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ink/ink7.xml" ContentType="application/inkml+xml"/>
  <Override PartName="/xl/ink/ink8.xml" ContentType="application/inkml+xml"/>
  <Override PartName="/xl/ink/ink9.xml" ContentType="application/inkml+xml"/>
  <Override PartName="/xl/charts/chart5.xml" ContentType="application/vnd.openxmlformats-officedocument.drawingml.chart+xml"/>
  <Override PartName="/xl/drawings/drawing8.xml" ContentType="application/vnd.openxmlformats-officedocument.drawingml.chartshapes+xml"/>
  <Override PartName="/xl/charts/chart6.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7.xml" ContentType="application/vnd.openxmlformats-officedocument.drawingml.chart+xml"/>
  <Override PartName="/xl/drawings/drawing11.xml" ContentType="application/vnd.openxmlformats-officedocument.drawingml.chartshapes+xml"/>
  <Override PartName="/xl/charts/chart8.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9.xml" ContentType="application/vnd.openxmlformats-officedocument.drawingml.chart+xml"/>
  <Override PartName="/xl/drawings/drawing14.xml" ContentType="application/vnd.openxmlformats-officedocument.drawingml.chartshapes+xml"/>
  <Override PartName="/xl/charts/chart10.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11.xml" ContentType="application/vnd.openxmlformats-officedocument.drawingml.chart+xml"/>
  <Override PartName="/xl/drawings/drawing17.xml" ContentType="application/vnd.openxmlformats-officedocument.drawingml.chartshapes+xml"/>
  <Override PartName="/xl/charts/chart12.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13.xml" ContentType="application/vnd.openxmlformats-officedocument.drawingml.chart+xml"/>
  <Override PartName="/xl/drawings/drawing20.xml" ContentType="application/vnd.openxmlformats-officedocument.drawingml.chartshapes+xml"/>
  <Override PartName="/xl/ink/ink10.xml" ContentType="application/inkml+xml"/>
  <Override PartName="/xl/ink/ink11.xml" ContentType="application/inkml+xml"/>
  <Override PartName="/xl/ink/ink12.xml" ContentType="application/inkml+xml"/>
  <Override PartName="/xl/ink/ink13.xml" ContentType="application/inkml+xml"/>
  <Override PartName="/xl/ink/ink14.xml" ContentType="application/inkml+xml"/>
  <Override PartName="/xl/ink/ink15.xml" ContentType="application/inkml+xml"/>
  <Override PartName="/xl/ink/ink16.xml" ContentType="application/inkml+xml"/>
  <Override PartName="/xl/charts/chart14.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15.xml" ContentType="application/vnd.openxmlformats-officedocument.drawingml.chart+xml"/>
  <Override PartName="/xl/drawings/drawing23.xml" ContentType="application/vnd.openxmlformats-officedocument.drawingml.chartshapes+xml"/>
  <Override PartName="/xl/charts/chart16.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harts/chart17.xml" ContentType="application/vnd.openxmlformats-officedocument.drawingml.chart+xml"/>
  <Override PartName="/xl/drawings/drawing26.xml" ContentType="application/vnd.openxmlformats-officedocument.drawingml.chartshapes+xml"/>
  <Override PartName="/xl/charts/chart18.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charts/chart19.xml" ContentType="application/vnd.openxmlformats-officedocument.drawingml.chart+xml"/>
  <Override PartName="/xl/drawings/drawing29.xml" ContentType="application/vnd.openxmlformats-officedocument.drawingml.chartshapes+xml"/>
  <Override PartName="/xl/drawings/drawing30.xml" ContentType="application/vnd.openxmlformats-officedocument.drawing+xml"/>
  <Override PartName="/xl/charts/chart20.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charts/chart21.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22.xml" ContentType="application/vnd.openxmlformats-officedocument.drawingml.chart+xml"/>
  <Override PartName="/xl/drawings/drawing35.xml" ContentType="application/vnd.openxmlformats-officedocument.drawingml.chartshapes+xml"/>
  <Override PartName="/xl/drawings/drawing36.xml" ContentType="application/vnd.openxmlformats-officedocument.drawing+xml"/>
  <Override PartName="/xl/charts/chart23.xml" ContentType="application/vnd.openxmlformats-officedocument.drawingml.chart+xml"/>
  <Override PartName="/xl/drawings/drawing37.xml" ContentType="application/vnd.openxmlformats-officedocument.drawingml.chartshapes+xml"/>
  <Override PartName="/xl/charts/chart24.xml" ContentType="application/vnd.openxmlformats-officedocument.drawingml.chart+xml"/>
  <Override PartName="/xl/drawings/drawing38.xml" ContentType="application/vnd.openxmlformats-officedocument.drawingml.chartshapes+xml"/>
  <Override PartName="/xl/drawings/drawing39.xml" ContentType="application/vnd.openxmlformats-officedocument.drawing+xml"/>
  <Override PartName="/xl/charts/chart25.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charts/chart26.xml" ContentType="application/vnd.openxmlformats-officedocument.drawingml.chart+xml"/>
  <Override PartName="/xl/drawings/drawing42.xml" ContentType="application/vnd.openxmlformats-officedocument.drawingml.chartshapes+xml"/>
  <Override PartName="/xl/charts/chart27.xml" ContentType="application/vnd.openxmlformats-officedocument.drawingml.chart+xml"/>
  <Override PartName="/xl/drawings/drawing43.xml" ContentType="application/vnd.openxmlformats-officedocument.drawingml.chartshapes+xml"/>
  <Override PartName="/xl/charts/chart28.xml" ContentType="application/vnd.openxmlformats-officedocument.drawingml.chart+xml"/>
  <Override PartName="/xl/drawings/drawing44.xml" ContentType="application/vnd.openxmlformats-officedocument.drawingml.chartshapes+xml"/>
  <Override PartName="/xl/charts/chart29.xml" ContentType="application/vnd.openxmlformats-officedocument.drawingml.chart+xml"/>
  <Override PartName="/xl/drawings/drawing45.xml" ContentType="application/vnd.openxmlformats-officedocument.drawingml.chartshapes+xml"/>
  <Override PartName="/xl/drawings/drawing46.xml" ContentType="application/vnd.openxmlformats-officedocument.drawing+xml"/>
  <Override PartName="/xl/charts/chart30.xml" ContentType="application/vnd.openxmlformats-officedocument.drawingml.chart+xml"/>
  <Override PartName="/xl/drawings/drawing47.xml" ContentType="application/vnd.openxmlformats-officedocument.drawingml.chartshapes+xml"/>
  <Override PartName="/xl/drawings/drawing48.xml" ContentType="application/vnd.openxmlformats-officedocument.drawing+xml"/>
  <Override PartName="/xl/charts/chart31.xml" ContentType="application/vnd.openxmlformats-officedocument.drawingml.chart+xml"/>
  <Override PartName="/xl/drawings/drawing49.xml" ContentType="application/vnd.openxmlformats-officedocument.drawingml.chartshapes+xml"/>
  <Override PartName="/xl/ink/ink17.xml" ContentType="application/inkml+xml"/>
  <Override PartName="/xl/ink/ink18.xml" ContentType="application/inkml+xml"/>
  <Override PartName="/xl/ink/ink19.xml" ContentType="application/inkml+xml"/>
  <Override PartName="/xl/ink/ink20.xml" ContentType="application/inkml+xml"/>
  <Override PartName="/xl/ink/ink21.xml" ContentType="application/inkml+xml"/>
  <Override PartName="/xl/ink/ink22.xml" ContentType="application/inkml+xml"/>
  <Override PartName="/xl/ink/ink23.xml" ContentType="application/inkml+xml"/>
  <Override PartName="/xl/drawings/drawing50.xml" ContentType="application/vnd.openxmlformats-officedocument.drawing+xml"/>
  <Override PartName="/xl/charts/chart32.xml" ContentType="application/vnd.openxmlformats-officedocument.drawingml.chart+xml"/>
  <Override PartName="/xl/drawings/drawing51.xml" ContentType="application/vnd.openxmlformats-officedocument.drawingml.chartshapes+xml"/>
  <Override PartName="/xl/ink/ink24.xml" ContentType="application/inkml+xml"/>
  <Override PartName="/xl/ink/ink25.xml" ContentType="application/inkml+xml"/>
  <Override PartName="/xl/ink/ink26.xml" ContentType="application/inkml+xml"/>
  <Override PartName="/xl/ink/ink27.xml" ContentType="application/inkml+xml"/>
  <Override PartName="/xl/ink/ink28.xml" ContentType="application/inkml+xml"/>
  <Override PartName="/xl/ink/ink29.xml" ContentType="application/inkml+xml"/>
  <Override PartName="/xl/ink/ink30.xml" ContentType="application/inkml+xml"/>
  <Override PartName="/xl/drawings/drawing52.xml" ContentType="application/vnd.openxmlformats-officedocument.drawing+xml"/>
  <Override PartName="/xl/charts/chart33.xml" ContentType="application/vnd.openxmlformats-officedocument.drawingml.chart+xml"/>
  <Override PartName="/xl/drawings/drawing53.xml" ContentType="application/vnd.openxmlformats-officedocument.drawingml.chartshapes+xml"/>
  <Override PartName="/xl/ink/ink31.xml" ContentType="application/inkml+xml"/>
  <Override PartName="/xl/ink/ink32.xml" ContentType="application/inkml+xml"/>
  <Override PartName="/xl/ink/ink33.xml" ContentType="application/inkml+xml"/>
  <Override PartName="/xl/ink/ink34.xml" ContentType="application/inkml+xml"/>
  <Override PartName="/xl/ink/ink35.xml" ContentType="application/inkml+xml"/>
  <Override PartName="/xl/ink/ink36.xml" ContentType="application/inkml+xml"/>
  <Override PartName="/xl/ink/ink37.xml" ContentType="application/inkml+xml"/>
  <Override PartName="/xl/drawings/drawing54.xml" ContentType="application/vnd.openxmlformats-officedocument.drawing+xml"/>
  <Override PartName="/xl/charts/chart34.xml" ContentType="application/vnd.openxmlformats-officedocument.drawingml.chart+xml"/>
  <Override PartName="/xl/drawings/drawing55.xml" ContentType="application/vnd.openxmlformats-officedocument.drawingml.chartshapes+xml"/>
  <Override PartName="/xl/drawings/drawing56.xml" ContentType="application/vnd.openxmlformats-officedocument.drawing+xml"/>
  <Override PartName="/xl/charts/chart35.xml" ContentType="application/vnd.openxmlformats-officedocument.drawingml.chart+xml"/>
  <Override PartName="/xl/drawings/drawing57.xml" ContentType="application/vnd.openxmlformats-officedocument.drawingml.chartshapes+xml"/>
  <Override PartName="/xl/charts/chart36.xml" ContentType="application/vnd.openxmlformats-officedocument.drawingml.chart+xml"/>
  <Override PartName="/xl/drawings/drawing58.xml" ContentType="application/vnd.openxmlformats-officedocument.drawingml.chartshapes+xml"/>
  <Override PartName="/xl/drawings/drawing59.xml" ContentType="application/vnd.openxmlformats-officedocument.drawing+xml"/>
  <Override PartName="/xl/ink/ink38.xml" ContentType="application/inkml+xml"/>
  <Override PartName="/xl/ink/ink39.xml" ContentType="application/inkml+xml"/>
  <Override PartName="/xl/ink/ink40.xml" ContentType="application/inkml+xml"/>
  <Override PartName="/xl/ink/ink41.xml" ContentType="application/inkml+xml"/>
  <Override PartName="/xl/ink/ink42.xml" ContentType="application/inkml+xml"/>
  <Override PartName="/xl/ink/ink43.xml" ContentType="application/inkml+xml"/>
  <Override PartName="/xl/ink/ink44.xml" ContentType="application/inkml+xml"/>
  <Override PartName="/xl/ink/ink45.xml" ContentType="application/inkml+xml"/>
  <Override PartName="/xl/ink/ink46.xml" ContentType="application/inkml+xml"/>
  <Override PartName="/xl/charts/chart37.xml" ContentType="application/vnd.openxmlformats-officedocument.drawingml.chart+xml"/>
  <Override PartName="/xl/drawings/drawing60.xml" ContentType="application/vnd.openxmlformats-officedocument.drawingml.chartshapes+xml"/>
  <Override PartName="/xl/drawings/drawing61.xml" ContentType="application/vnd.openxmlformats-officedocument.drawing+xml"/>
  <Override PartName="/xl/ink/ink47.xml" ContentType="application/inkml+xml"/>
  <Override PartName="/xl/ink/ink48.xml" ContentType="application/inkml+xml"/>
  <Override PartName="/xl/ink/ink49.xml" ContentType="application/inkml+xml"/>
  <Override PartName="/xl/ink/ink50.xml" ContentType="application/inkml+xml"/>
  <Override PartName="/xl/ink/ink51.xml" ContentType="application/inkml+xml"/>
  <Override PartName="/xl/ink/ink52.xml" ContentType="application/inkml+xml"/>
  <Override PartName="/xl/ink/ink53.xml" ContentType="application/inkml+xml"/>
  <Override PartName="/xl/ink/ink54.xml" ContentType="application/inkml+xml"/>
  <Override PartName="/xl/ink/ink55.xml" ContentType="application/inkml+xml"/>
  <Override PartName="/xl/charts/chart38.xml" ContentType="application/vnd.openxmlformats-officedocument.drawingml.chart+xml"/>
  <Override PartName="/xl/drawings/drawing62.xml" ContentType="application/vnd.openxmlformats-officedocument.drawingml.chartshapes+xml"/>
  <Override PartName="/xl/charts/chart39.xml" ContentType="application/vnd.openxmlformats-officedocument.drawingml.chart+xml"/>
  <Override PartName="/xl/drawings/drawing63.xml" ContentType="application/vnd.openxmlformats-officedocument.drawingml.chartshapes+xml"/>
  <Override PartName="/xl/drawings/drawing64.xml" ContentType="application/vnd.openxmlformats-officedocument.drawing+xml"/>
  <Override PartName="/xl/ink/ink56.xml" ContentType="application/inkml+xml"/>
  <Override PartName="/xl/ink/ink57.xml" ContentType="application/inkml+xml"/>
  <Override PartName="/xl/ink/ink58.xml" ContentType="application/inkml+xml"/>
  <Override PartName="/xl/ink/ink59.xml" ContentType="application/inkml+xml"/>
  <Override PartName="/xl/ink/ink60.xml" ContentType="application/inkml+xml"/>
  <Override PartName="/xl/ink/ink61.xml" ContentType="application/inkml+xml"/>
  <Override PartName="/xl/ink/ink62.xml" ContentType="application/inkml+xml"/>
  <Override PartName="/xl/ink/ink63.xml" ContentType="application/inkml+xml"/>
  <Override PartName="/xl/ink/ink64.xml" ContentType="application/inkml+xml"/>
  <Override PartName="/xl/drawings/drawing65.xml" ContentType="application/vnd.openxmlformats-officedocument.drawing+xml"/>
  <Override PartName="/xl/ink/ink65.xml" ContentType="application/inkml+xml"/>
  <Override PartName="/xl/ink/ink66.xml" ContentType="application/inkml+xml"/>
  <Override PartName="/xl/ink/ink67.xml" ContentType="application/inkml+xml"/>
  <Override PartName="/xl/ink/ink68.xml" ContentType="application/inkml+xml"/>
  <Override PartName="/xl/ink/ink69.xml" ContentType="application/inkml+xml"/>
  <Override PartName="/xl/ink/ink70.xml" ContentType="application/inkml+xml"/>
  <Override PartName="/xl/ink/ink71.xml" ContentType="application/inkml+xml"/>
  <Override PartName="/xl/ink/ink72.xml" ContentType="application/inkml+xml"/>
  <Override PartName="/xl/ink/ink73.xml" ContentType="application/inkml+xml"/>
  <Override PartName="/xl/drawings/drawing66.xml" ContentType="application/vnd.openxmlformats-officedocument.drawing+xml"/>
  <Override PartName="/xl/ink/ink74.xml" ContentType="application/inkml+xml"/>
  <Override PartName="/xl/ink/ink75.xml" ContentType="application/inkml+xml"/>
  <Override PartName="/xl/ink/ink76.xml" ContentType="application/inkml+xml"/>
  <Override PartName="/xl/ink/ink77.xml" ContentType="application/inkml+xml"/>
  <Override PartName="/xl/ink/ink78.xml" ContentType="application/inkml+xml"/>
  <Override PartName="/xl/ink/ink79.xml" ContentType="application/inkml+xml"/>
  <Override PartName="/xl/ink/ink80.xml" ContentType="application/inkml+xml"/>
  <Override PartName="/xl/ink/ink81.xml" ContentType="application/inkml+xml"/>
  <Override PartName="/xl/ink/ink82.xml" ContentType="application/inkml+xml"/>
  <Override PartName="/xl/drawings/drawing67.xml" ContentType="application/vnd.openxmlformats-officedocument.drawing+xml"/>
  <Override PartName="/xl/ink/ink83.xml" ContentType="application/inkml+xml"/>
  <Override PartName="/xl/ink/ink84.xml" ContentType="application/inkml+xml"/>
  <Override PartName="/xl/ink/ink85.xml" ContentType="application/inkml+xml"/>
  <Override PartName="/xl/ink/ink86.xml" ContentType="application/inkml+xml"/>
  <Override PartName="/xl/ink/ink87.xml" ContentType="application/inkml+xml"/>
  <Override PartName="/xl/ink/ink88.xml" ContentType="application/inkml+xml"/>
  <Override PartName="/xl/ink/ink89.xml" ContentType="application/inkml+xml"/>
  <Override PartName="/xl/ink/ink90.xml" ContentType="application/inkml+xml"/>
  <Override PartName="/xl/ink/ink91.xml" ContentType="application/inkml+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mc:AlternateContent xmlns:mc="http://schemas.openxmlformats.org/markup-compatibility/2006">
    <mc:Choice Requires="x15">
      <x15ac:absPath xmlns:x15ac="http://schemas.microsoft.com/office/spreadsheetml/2010/11/ac" url="N:\Splinter.David\Private\Progressivity &amp; Redistribution-NTJ Article\NTJ submission files\"/>
    </mc:Choice>
  </mc:AlternateContent>
  <xr:revisionPtr revIDLastSave="0" documentId="13_ncr:1_{359C5F06-473E-4BF4-AD44-AFBC3C1E7D50}" xr6:coauthVersionLast="45" xr6:coauthVersionMax="45" xr10:uidLastSave="{00000000-0000-0000-0000-000000000000}"/>
  <bookViews>
    <workbookView xWindow="780" yWindow="780" windowWidth="24870" windowHeight="15195" tabRatio="909" xr2:uid="{00000000-000D-0000-FFFF-FFFF00000000}"/>
  </bookViews>
  <sheets>
    <sheet name="Index" sheetId="108" r:id="rId1"/>
    <sheet name="1-Prog" sheetId="104" r:id="rId2"/>
    <sheet name="2-Rates" sheetId="86" r:id="rId3"/>
    <sheet name="3-Kak" sheetId="35" r:id="rId4"/>
    <sheet name="4-Prog" sheetId="36" r:id="rId5"/>
    <sheet name="5-Top" sheetId="39" r:id="rId6"/>
    <sheet name="6-Red" sheetId="72" r:id="rId7"/>
    <sheet name="7-RS" sheetId="92" r:id="rId8"/>
    <sheet name="8-Redist" sheetId="63" r:id="rId9"/>
    <sheet name="A1-Tx" sheetId="45" r:id="rId10"/>
    <sheet name="B1-Elast" sheetId="33" r:id="rId11"/>
    <sheet name="B2-RdTr" sheetId="46" r:id="rId12"/>
    <sheet name="B3-Top" sheetId="99" r:id="rId13"/>
    <sheet name="B4-Top" sheetId="100" r:id="rId14"/>
    <sheet name="B5-PrVsRd" sheetId="70" r:id="rId15"/>
    <sheet name="B6-SL" sheetId="85" r:id="rId16"/>
    <sheet name="B7-SZ" sheetId="82" r:id="rId17"/>
    <sheet name="C0-PrVsRd" sheetId="53" r:id="rId18"/>
    <sheet name="C1-RdTrAlt" sheetId="67" r:id="rId19"/>
    <sheet name="C2-NetEl" sheetId="52" r:id="rId20"/>
    <sheet name="C3-EDI" sheetId="103" r:id="rId21"/>
    <sheet name="C4a-RSalt1" sheetId="57" r:id="rId22"/>
    <sheet name="C4b-RSalt2" sheetId="102" r:id="rId23"/>
    <sheet name="C4c-RSalt3" sheetId="105" r:id="rId24"/>
    <sheet name="C4d-RSalt4" sheetId="106" r:id="rId25"/>
    <sheet name="C5-SS" sheetId="43" r:id="rId26"/>
    <sheet name="C6-Top" sheetId="101" r:id="rId27"/>
    <sheet name="C7-Trans" sheetId="96" r:id="rId28"/>
    <sheet name="C8-Suits" sheetId="111" r:id="rId29"/>
    <sheet name="C9-KakMid" sheetId="113" r:id="rId30"/>
    <sheet name="C10a-KakIC" sheetId="117" r:id="rId31"/>
    <sheet name="C10b-KakNIC" sheetId="118" r:id="rId32"/>
    <sheet name="C10c-KakCredits" sheetId="119" r:id="rId33"/>
    <sheet name="C11-TCJA" sheetId="121" r:id="rId34"/>
    <sheet name="CBO data" sheetId="91" r:id="rId35"/>
    <sheet name="TxRt" sheetId="32" r:id="rId36"/>
    <sheet name="Dem" sheetId="58" r:id="rId37"/>
    <sheet name="Inc" sheetId="34" r:id="rId38"/>
    <sheet name="Tax" sheetId="49" r:id="rId39"/>
    <sheet name="Shares" sheetId="74" r:id="rId40"/>
    <sheet name="Trans" sheetId="48" r:id="rId41"/>
    <sheet name="HH inc" sheetId="60" r:id="rId42"/>
    <sheet name="JCT" sheetId="110" r:id="rId43"/>
    <sheet name="OTA" sheetId="109" r:id="rId44"/>
    <sheet name="NoTax" sheetId="107" r:id="rId45"/>
    <sheet name="SZ data" sheetId="83" r:id="rId46"/>
    <sheet name="PikettySaez" sheetId="25" r:id="rId47"/>
    <sheet name="AS" sheetId="22" r:id="rId48"/>
    <sheet name="AS-top" sheetId="116" r:id="rId49"/>
    <sheet name="longrun" sheetId="120" r:id="rId50"/>
  </sheets>
  <externalReferences>
    <externalReference r:id="rId51"/>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69" i="22" l="1"/>
  <c r="D69" i="22"/>
  <c r="E69" i="22"/>
  <c r="F69" i="22"/>
  <c r="G69" i="22"/>
  <c r="H69" i="22"/>
  <c r="I69" i="22"/>
  <c r="B69" i="22"/>
  <c r="B47" i="105" l="1"/>
  <c r="B37" i="121" l="1"/>
  <c r="B38" i="121"/>
  <c r="B39" i="121"/>
  <c r="B40" i="121"/>
  <c r="B41" i="121"/>
  <c r="B42" i="121"/>
  <c r="B43" i="121"/>
  <c r="B44" i="121"/>
  <c r="B45" i="121"/>
  <c r="B46" i="121"/>
  <c r="B47" i="121"/>
  <c r="B48" i="121"/>
  <c r="B49" i="121"/>
  <c r="B50" i="121"/>
  <c r="B51" i="121"/>
  <c r="B52" i="121"/>
  <c r="B53" i="121"/>
  <c r="B54" i="121"/>
  <c r="B55" i="121"/>
  <c r="B56" i="121"/>
  <c r="B57" i="121"/>
  <c r="B58" i="121"/>
  <c r="B59" i="121"/>
  <c r="B60" i="121"/>
  <c r="B61" i="121"/>
  <c r="B62" i="121"/>
  <c r="B63" i="121"/>
  <c r="B64" i="121"/>
  <c r="B65" i="121"/>
  <c r="B66" i="121"/>
  <c r="B67" i="121"/>
  <c r="B68" i="121"/>
  <c r="B69" i="121"/>
  <c r="B70" i="121"/>
  <c r="B71" i="121"/>
  <c r="B72" i="121"/>
  <c r="B73" i="121"/>
  <c r="B36" i="121"/>
  <c r="A37" i="121"/>
  <c r="A38" i="121" s="1"/>
  <c r="A39" i="121" s="1"/>
  <c r="A40" i="121" s="1"/>
  <c r="A41" i="121" s="1"/>
  <c r="A42" i="121" s="1"/>
  <c r="A43" i="121" s="1"/>
  <c r="A44" i="121" s="1"/>
  <c r="A45" i="121" s="1"/>
  <c r="A46" i="121" s="1"/>
  <c r="A47" i="121" s="1"/>
  <c r="A48" i="121" s="1"/>
  <c r="A49" i="121" s="1"/>
  <c r="A50" i="121" s="1"/>
  <c r="A51" i="121" s="1"/>
  <c r="A52" i="121" s="1"/>
  <c r="A53" i="121" s="1"/>
  <c r="A54" i="121" s="1"/>
  <c r="A55" i="121" s="1"/>
  <c r="A56" i="121" s="1"/>
  <c r="A57" i="121" s="1"/>
  <c r="A58" i="121" s="1"/>
  <c r="A59" i="121" s="1"/>
  <c r="A60" i="121" s="1"/>
  <c r="A61" i="121" s="1"/>
  <c r="A62" i="121" s="1"/>
  <c r="A63" i="121" s="1"/>
  <c r="A64" i="121" s="1"/>
  <c r="A65" i="121" s="1"/>
  <c r="A66" i="121" s="1"/>
  <c r="A67" i="121" s="1"/>
  <c r="A68" i="121" s="1"/>
  <c r="A69" i="121" s="1"/>
  <c r="A70" i="121" s="1"/>
  <c r="A71" i="121" s="1"/>
  <c r="A72" i="121" s="1"/>
  <c r="A73" i="121" s="1"/>
  <c r="A74" i="121" s="1"/>
  <c r="A75" i="121" s="1"/>
  <c r="A76" i="121" s="1"/>
  <c r="A77" i="121" s="1"/>
  <c r="A78" i="121" s="1"/>
  <c r="A79" i="121" s="1"/>
  <c r="A80" i="121" s="1"/>
  <c r="A81" i="121" s="1"/>
  <c r="A82" i="121" s="1"/>
  <c r="A83" i="121" s="1"/>
  <c r="A84" i="121" s="1"/>
  <c r="A85" i="121" s="1"/>
  <c r="P24" i="121"/>
  <c r="AH24" i="121"/>
  <c r="P25" i="121"/>
  <c r="Q25" i="121" s="1"/>
  <c r="AH25" i="121"/>
  <c r="P26" i="121"/>
  <c r="AH26" i="121"/>
  <c r="A10" i="121"/>
  <c r="A11" i="121" s="1"/>
  <c r="A12" i="121" s="1"/>
  <c r="A13" i="121" s="1"/>
  <c r="A14" i="121" s="1"/>
  <c r="A15" i="121" s="1"/>
  <c r="A16" i="121" s="1"/>
  <c r="A17" i="121" s="1"/>
  <c r="A18" i="121" s="1"/>
  <c r="A19" i="121" s="1"/>
  <c r="A20" i="121" s="1"/>
  <c r="A21" i="121" s="1"/>
  <c r="A22" i="121" s="1"/>
  <c r="A23" i="121" s="1"/>
  <c r="A24" i="121" s="1"/>
  <c r="A25" i="121" s="1"/>
  <c r="A26" i="121" s="1"/>
  <c r="Q5" i="121"/>
  <c r="G25" i="121" l="1"/>
  <c r="H25" i="121"/>
  <c r="R25" i="121"/>
  <c r="Y26" i="121"/>
  <c r="AI26" i="121"/>
  <c r="G26" i="121"/>
  <c r="Q26" i="121"/>
  <c r="Y24" i="121"/>
  <c r="AI24" i="121"/>
  <c r="G24" i="121"/>
  <c r="Q24" i="121"/>
  <c r="AI25" i="121"/>
  <c r="Y25" i="121"/>
  <c r="AH22" i="121"/>
  <c r="AI22" i="121" s="1"/>
  <c r="Z22" i="121" s="1"/>
  <c r="AH19" i="121"/>
  <c r="AI19" i="121" s="1"/>
  <c r="AH23" i="121"/>
  <c r="AI23" i="121" s="1"/>
  <c r="AH21" i="121"/>
  <c r="Y21" i="121" s="1"/>
  <c r="AH17" i="121"/>
  <c r="Y17" i="121" s="1"/>
  <c r="AH15" i="121"/>
  <c r="Y15" i="121" s="1"/>
  <c r="AH10" i="121"/>
  <c r="AI10" i="121" s="1"/>
  <c r="AJ10" i="121" s="1"/>
  <c r="AK10" i="121" s="1"/>
  <c r="AL10" i="121" s="1"/>
  <c r="AM10" i="121" s="1"/>
  <c r="AN10" i="121" s="1"/>
  <c r="AH20" i="121"/>
  <c r="Y20" i="121" s="1"/>
  <c r="AH18" i="121"/>
  <c r="Y18" i="121" s="1"/>
  <c r="AH16" i="121"/>
  <c r="Y16" i="121" s="1"/>
  <c r="Y10" i="121"/>
  <c r="AH12" i="121"/>
  <c r="AI12" i="121" s="1"/>
  <c r="AJ12" i="121" s="1"/>
  <c r="AK12" i="121" s="1"/>
  <c r="AL12" i="121" s="1"/>
  <c r="AM12" i="121" s="1"/>
  <c r="AN12" i="121" s="1"/>
  <c r="AH14" i="121"/>
  <c r="Y14" i="121" s="1"/>
  <c r="R5" i="121"/>
  <c r="AH9" i="121"/>
  <c r="AH11" i="121"/>
  <c r="AH13" i="121"/>
  <c r="E52" i="119"/>
  <c r="D52" i="119"/>
  <c r="E51" i="119"/>
  <c r="D51" i="119"/>
  <c r="B52" i="119"/>
  <c r="B51" i="119"/>
  <c r="AI17" i="121" l="1"/>
  <c r="AJ17" i="121" s="1"/>
  <c r="AI21" i="121"/>
  <c r="Z21" i="121" s="1"/>
  <c r="Y23" i="121"/>
  <c r="Z26" i="121"/>
  <c r="AJ26" i="121"/>
  <c r="H24" i="121"/>
  <c r="R24" i="121"/>
  <c r="Z25" i="121"/>
  <c r="AJ25" i="121"/>
  <c r="H26" i="121"/>
  <c r="R26" i="121"/>
  <c r="Z24" i="121"/>
  <c r="AJ24" i="121"/>
  <c r="I25" i="121"/>
  <c r="S25" i="121"/>
  <c r="AI20" i="121"/>
  <c r="Z20" i="121" s="1"/>
  <c r="Y22" i="121"/>
  <c r="Y12" i="121"/>
  <c r="AI15" i="121"/>
  <c r="Z15" i="121" s="1"/>
  <c r="AI14" i="121"/>
  <c r="AJ14" i="121" s="1"/>
  <c r="AK14" i="121" s="1"/>
  <c r="AL14" i="121" s="1"/>
  <c r="AM14" i="121" s="1"/>
  <c r="AN14" i="121" s="1"/>
  <c r="AJ22" i="121"/>
  <c r="AA22" i="121" s="1"/>
  <c r="P15" i="121"/>
  <c r="G15" i="121" s="1"/>
  <c r="P19" i="121"/>
  <c r="Q19" i="121" s="1"/>
  <c r="Z10" i="121"/>
  <c r="AI16" i="121"/>
  <c r="Z16" i="121" s="1"/>
  <c r="Y19" i="121"/>
  <c r="AI18" i="121"/>
  <c r="Z18" i="121" s="1"/>
  <c r="P16" i="121"/>
  <c r="Z23" i="121"/>
  <c r="AJ23" i="121"/>
  <c r="Z19" i="121"/>
  <c r="AJ19" i="121"/>
  <c r="AA10" i="121"/>
  <c r="AA12" i="121"/>
  <c r="S5" i="121"/>
  <c r="AI13" i="121"/>
  <c r="Y13" i="121"/>
  <c r="AI9" i="121"/>
  <c r="Y9" i="121"/>
  <c r="P9" i="121"/>
  <c r="Z12" i="121"/>
  <c r="AI11" i="121"/>
  <c r="Y11" i="121"/>
  <c r="K37" i="101"/>
  <c r="K36" i="101" s="1"/>
  <c r="K34" i="101" s="1"/>
  <c r="K33" i="101" s="1"/>
  <c r="Z17" i="121" l="1"/>
  <c r="AJ21" i="121"/>
  <c r="AA21" i="121" s="1"/>
  <c r="S24" i="121"/>
  <c r="I24" i="121"/>
  <c r="AA26" i="121"/>
  <c r="AK26" i="121"/>
  <c r="AA25" i="121"/>
  <c r="AK25" i="121"/>
  <c r="J25" i="121"/>
  <c r="T25" i="121"/>
  <c r="AK24" i="121"/>
  <c r="AA24" i="121"/>
  <c r="I26" i="121"/>
  <c r="S26" i="121"/>
  <c r="G19" i="121"/>
  <c r="AJ15" i="121"/>
  <c r="AK15" i="121" s="1"/>
  <c r="AA14" i="121"/>
  <c r="AJ20" i="121"/>
  <c r="AK20" i="121" s="1"/>
  <c r="Z14" i="121"/>
  <c r="AJ18" i="121"/>
  <c r="AA18" i="121" s="1"/>
  <c r="AJ16" i="121"/>
  <c r="AA16" i="121" s="1"/>
  <c r="AK22" i="121"/>
  <c r="AB22" i="121" s="1"/>
  <c r="P17" i="121"/>
  <c r="Q15" i="121"/>
  <c r="H15" i="121" s="1"/>
  <c r="P20" i="121"/>
  <c r="G20" i="121" s="1"/>
  <c r="P13" i="121"/>
  <c r="P21" i="121"/>
  <c r="Q21" i="121" s="1"/>
  <c r="P18" i="121"/>
  <c r="AA17" i="121"/>
  <c r="AK17" i="121"/>
  <c r="G16" i="121"/>
  <c r="Q16" i="121"/>
  <c r="AA19" i="121"/>
  <c r="AK19" i="121"/>
  <c r="P23" i="121"/>
  <c r="P22" i="121"/>
  <c r="AK21" i="121"/>
  <c r="AK23" i="121"/>
  <c r="AA23" i="121"/>
  <c r="H19" i="121"/>
  <c r="R19" i="121"/>
  <c r="G21" i="121"/>
  <c r="AJ13" i="121"/>
  <c r="Z13" i="121"/>
  <c r="AJ11" i="121"/>
  <c r="Z11" i="121"/>
  <c r="AB14" i="121"/>
  <c r="AB10" i="121"/>
  <c r="AB12" i="121"/>
  <c r="T5" i="121"/>
  <c r="Q9" i="121"/>
  <c r="G9" i="121"/>
  <c r="P14" i="121"/>
  <c r="AJ9" i="121"/>
  <c r="Z9" i="121"/>
  <c r="AV32" i="72"/>
  <c r="AW32" i="72"/>
  <c r="AX32" i="72"/>
  <c r="AY32" i="72"/>
  <c r="AZ32" i="72"/>
  <c r="BA32" i="72"/>
  <c r="BB32" i="72"/>
  <c r="AU32" i="72"/>
  <c r="B34" i="72"/>
  <c r="D18" i="120"/>
  <c r="E18" i="120"/>
  <c r="F18" i="120"/>
  <c r="G18" i="120"/>
  <c r="H18" i="120"/>
  <c r="I18" i="120"/>
  <c r="J18" i="120"/>
  <c r="K18" i="120"/>
  <c r="L18" i="120"/>
  <c r="M18" i="120"/>
  <c r="N18" i="120"/>
  <c r="O18" i="120"/>
  <c r="P18" i="120"/>
  <c r="Q18" i="120"/>
  <c r="R18" i="120"/>
  <c r="S18" i="120"/>
  <c r="T18" i="120"/>
  <c r="U18" i="120"/>
  <c r="V18" i="120"/>
  <c r="W18" i="120"/>
  <c r="X18" i="120"/>
  <c r="Y18" i="120"/>
  <c r="Z18" i="120"/>
  <c r="AA18" i="120"/>
  <c r="AB18" i="120"/>
  <c r="AC18" i="120"/>
  <c r="AD18" i="120"/>
  <c r="AE18" i="120"/>
  <c r="AF18" i="120"/>
  <c r="AG18" i="120"/>
  <c r="AH18" i="120"/>
  <c r="AI18" i="120"/>
  <c r="AJ18" i="120"/>
  <c r="AK18" i="120"/>
  <c r="AL18" i="120"/>
  <c r="AM18" i="120"/>
  <c r="AN18" i="120"/>
  <c r="AO18" i="120"/>
  <c r="AP18" i="120"/>
  <c r="AQ18" i="120"/>
  <c r="AR18" i="120"/>
  <c r="AS18" i="120"/>
  <c r="AT18" i="120"/>
  <c r="AU18" i="120"/>
  <c r="AV18" i="120"/>
  <c r="AW18" i="120"/>
  <c r="AX18" i="120"/>
  <c r="AY18" i="120"/>
  <c r="AZ18" i="120"/>
  <c r="BA18" i="120"/>
  <c r="BB18" i="120"/>
  <c r="BC18" i="120"/>
  <c r="BD18" i="120"/>
  <c r="BE18" i="120"/>
  <c r="BF18" i="120"/>
  <c r="BG18" i="120"/>
  <c r="BH18" i="120"/>
  <c r="BI18" i="120"/>
  <c r="BJ18" i="120"/>
  <c r="BK18" i="120"/>
  <c r="BL18" i="120"/>
  <c r="BM18" i="120"/>
  <c r="BN18" i="120"/>
  <c r="BO18" i="120"/>
  <c r="BP18" i="120"/>
  <c r="BQ18" i="120"/>
  <c r="BR18" i="120"/>
  <c r="BS18" i="120"/>
  <c r="BT18" i="120"/>
  <c r="BU18" i="120"/>
  <c r="BV18" i="120"/>
  <c r="BW18" i="120"/>
  <c r="BX18" i="120"/>
  <c r="BY18" i="120"/>
  <c r="BZ18" i="120"/>
  <c r="CA18" i="120"/>
  <c r="CB18" i="120"/>
  <c r="CC18" i="120"/>
  <c r="CD18" i="120"/>
  <c r="D19" i="120"/>
  <c r="E19" i="120"/>
  <c r="F19" i="120"/>
  <c r="G19" i="120"/>
  <c r="H19" i="120"/>
  <c r="I19" i="120"/>
  <c r="J19" i="120"/>
  <c r="K19" i="120"/>
  <c r="L19" i="120"/>
  <c r="M19" i="120"/>
  <c r="N19" i="120"/>
  <c r="O19" i="120"/>
  <c r="P19" i="120"/>
  <c r="Q19" i="120"/>
  <c r="R19" i="120"/>
  <c r="S19" i="120"/>
  <c r="T19" i="120"/>
  <c r="U19" i="120"/>
  <c r="V19" i="120"/>
  <c r="W19" i="120"/>
  <c r="X19" i="120"/>
  <c r="Y19" i="120"/>
  <c r="Z19" i="120"/>
  <c r="AA19" i="120"/>
  <c r="AB19" i="120"/>
  <c r="AC19" i="120"/>
  <c r="AD19" i="120"/>
  <c r="AE19" i="120"/>
  <c r="AF19" i="120"/>
  <c r="AG19" i="120"/>
  <c r="AH19" i="120"/>
  <c r="AI19" i="120"/>
  <c r="AJ19" i="120"/>
  <c r="AK19" i="120"/>
  <c r="AL19" i="120"/>
  <c r="AM19" i="120"/>
  <c r="AN19" i="120"/>
  <c r="AO19" i="120"/>
  <c r="AP19" i="120"/>
  <c r="AQ19" i="120"/>
  <c r="AR19" i="120"/>
  <c r="AS19" i="120"/>
  <c r="AT19" i="120"/>
  <c r="AU19" i="120"/>
  <c r="AV19" i="120"/>
  <c r="AW19" i="120"/>
  <c r="AX19" i="120"/>
  <c r="AY19" i="120"/>
  <c r="AZ19" i="120"/>
  <c r="BA19" i="120"/>
  <c r="BB19" i="120"/>
  <c r="BC19" i="120"/>
  <c r="BD19" i="120"/>
  <c r="BE19" i="120"/>
  <c r="BF19" i="120"/>
  <c r="BG19" i="120"/>
  <c r="BH19" i="120"/>
  <c r="BI19" i="120"/>
  <c r="BJ19" i="120"/>
  <c r="BK19" i="120"/>
  <c r="BL19" i="120"/>
  <c r="BM19" i="120"/>
  <c r="BN19" i="120"/>
  <c r="BO19" i="120"/>
  <c r="BP19" i="120"/>
  <c r="BQ19" i="120"/>
  <c r="BR19" i="120"/>
  <c r="BS19" i="120"/>
  <c r="BT19" i="120"/>
  <c r="BU19" i="120"/>
  <c r="BV19" i="120"/>
  <c r="BW19" i="120"/>
  <c r="BX19" i="120"/>
  <c r="BY19" i="120"/>
  <c r="BZ19" i="120"/>
  <c r="CA19" i="120"/>
  <c r="CB19" i="120"/>
  <c r="CC19" i="120"/>
  <c r="CD19" i="120"/>
  <c r="D20" i="120"/>
  <c r="E20" i="120"/>
  <c r="F20" i="120"/>
  <c r="G20" i="120"/>
  <c r="H20" i="120"/>
  <c r="I20" i="120"/>
  <c r="J20" i="120"/>
  <c r="K20" i="120"/>
  <c r="L20" i="120"/>
  <c r="M20" i="120"/>
  <c r="N20" i="120"/>
  <c r="O20" i="120"/>
  <c r="P20" i="120"/>
  <c r="Q20" i="120"/>
  <c r="R20" i="120"/>
  <c r="S20" i="120"/>
  <c r="T20" i="120"/>
  <c r="U20" i="120"/>
  <c r="V20" i="120"/>
  <c r="W20" i="120"/>
  <c r="X20" i="120"/>
  <c r="Y20" i="120"/>
  <c r="Z20" i="120"/>
  <c r="AA20" i="120"/>
  <c r="AB20" i="120"/>
  <c r="AC20" i="120"/>
  <c r="AD20" i="120"/>
  <c r="AE20" i="120"/>
  <c r="AF20" i="120"/>
  <c r="AG20" i="120"/>
  <c r="AH20" i="120"/>
  <c r="AI20" i="120"/>
  <c r="AJ20" i="120"/>
  <c r="AK20" i="120"/>
  <c r="AL20" i="120"/>
  <c r="AM20" i="120"/>
  <c r="AN20" i="120"/>
  <c r="AO20" i="120"/>
  <c r="AP20" i="120"/>
  <c r="AQ20" i="120"/>
  <c r="AR20" i="120"/>
  <c r="AS20" i="120"/>
  <c r="AT20" i="120"/>
  <c r="AU20" i="120"/>
  <c r="AV20" i="120"/>
  <c r="AW20" i="120"/>
  <c r="AX20" i="120"/>
  <c r="AY20" i="120"/>
  <c r="AZ20" i="120"/>
  <c r="BA20" i="120"/>
  <c r="BB20" i="120"/>
  <c r="BC20" i="120"/>
  <c r="BD20" i="120"/>
  <c r="BE20" i="120"/>
  <c r="BF20" i="120"/>
  <c r="BG20" i="120"/>
  <c r="BH20" i="120"/>
  <c r="BI20" i="120"/>
  <c r="BJ20" i="120"/>
  <c r="BK20" i="120"/>
  <c r="BL20" i="120"/>
  <c r="BM20" i="120"/>
  <c r="BN20" i="120"/>
  <c r="BO20" i="120"/>
  <c r="BP20" i="120"/>
  <c r="BQ20" i="120"/>
  <c r="BR20" i="120"/>
  <c r="BS20" i="120"/>
  <c r="BT20" i="120"/>
  <c r="BU20" i="120"/>
  <c r="BV20" i="120"/>
  <c r="BW20" i="120"/>
  <c r="BX20" i="120"/>
  <c r="BY20" i="120"/>
  <c r="BZ20" i="120"/>
  <c r="CA20" i="120"/>
  <c r="CB20" i="120"/>
  <c r="CC20" i="120"/>
  <c r="CD20" i="120"/>
  <c r="D21" i="120"/>
  <c r="E21" i="120"/>
  <c r="F21" i="120"/>
  <c r="G21" i="120"/>
  <c r="H21" i="120"/>
  <c r="I21" i="120"/>
  <c r="J21" i="120"/>
  <c r="K21" i="120"/>
  <c r="L21" i="120"/>
  <c r="M21" i="120"/>
  <c r="N21" i="120"/>
  <c r="O21" i="120"/>
  <c r="P21" i="120"/>
  <c r="Q21" i="120"/>
  <c r="R21" i="120"/>
  <c r="S21" i="120"/>
  <c r="T21" i="120"/>
  <c r="U21" i="120"/>
  <c r="V21" i="120"/>
  <c r="W21" i="120"/>
  <c r="X21" i="120"/>
  <c r="Y21" i="120"/>
  <c r="Z21" i="120"/>
  <c r="AA21" i="120"/>
  <c r="AB21" i="120"/>
  <c r="AC21" i="120"/>
  <c r="AD21" i="120"/>
  <c r="AE21" i="120"/>
  <c r="AF21" i="120"/>
  <c r="AG21" i="120"/>
  <c r="AH21" i="120"/>
  <c r="AI21" i="120"/>
  <c r="AJ21" i="120"/>
  <c r="AK21" i="120"/>
  <c r="AL21" i="120"/>
  <c r="AM21" i="120"/>
  <c r="AN21" i="120"/>
  <c r="AO21" i="120"/>
  <c r="AP21" i="120"/>
  <c r="AQ21" i="120"/>
  <c r="AR21" i="120"/>
  <c r="AS21" i="120"/>
  <c r="AT21" i="120"/>
  <c r="AU21" i="120"/>
  <c r="AV21" i="120"/>
  <c r="AW21" i="120"/>
  <c r="AX21" i="120"/>
  <c r="AY21" i="120"/>
  <c r="AZ21" i="120"/>
  <c r="BA21" i="120"/>
  <c r="BB21" i="120"/>
  <c r="BC21" i="120"/>
  <c r="BD21" i="120"/>
  <c r="BE21" i="120"/>
  <c r="BF21" i="120"/>
  <c r="BG21" i="120"/>
  <c r="BH21" i="120"/>
  <c r="BI21" i="120"/>
  <c r="BJ21" i="120"/>
  <c r="BK21" i="120"/>
  <c r="BL21" i="120"/>
  <c r="BM21" i="120"/>
  <c r="BN21" i="120"/>
  <c r="BO21" i="120"/>
  <c r="BP21" i="120"/>
  <c r="BQ21" i="120"/>
  <c r="BR21" i="120"/>
  <c r="BS21" i="120"/>
  <c r="BT21" i="120"/>
  <c r="BU21" i="120"/>
  <c r="BV21" i="120"/>
  <c r="BW21" i="120"/>
  <c r="BX21" i="120"/>
  <c r="BY21" i="120"/>
  <c r="BZ21" i="120"/>
  <c r="CA21" i="120"/>
  <c r="CB21" i="120"/>
  <c r="CC21" i="120"/>
  <c r="CD21" i="120"/>
  <c r="C19" i="120"/>
  <c r="C20" i="120"/>
  <c r="C21" i="120"/>
  <c r="C18" i="120"/>
  <c r="D3" i="120"/>
  <c r="E3" i="120"/>
  <c r="F3" i="120"/>
  <c r="G3" i="120"/>
  <c r="H3" i="120"/>
  <c r="I3" i="120"/>
  <c r="J3" i="120"/>
  <c r="K3" i="120"/>
  <c r="L3" i="120"/>
  <c r="M3" i="120"/>
  <c r="N3" i="120"/>
  <c r="O3" i="120"/>
  <c r="P3" i="120"/>
  <c r="Q3" i="120"/>
  <c r="R3" i="120"/>
  <c r="S3" i="120"/>
  <c r="T3" i="120"/>
  <c r="U3" i="120"/>
  <c r="V3" i="120"/>
  <c r="W3" i="120"/>
  <c r="X3" i="120"/>
  <c r="Y3" i="120"/>
  <c r="Z3" i="120"/>
  <c r="AA3" i="120"/>
  <c r="AB3" i="120"/>
  <c r="AC3" i="120"/>
  <c r="AD3" i="120"/>
  <c r="AE3" i="120"/>
  <c r="AF3" i="120"/>
  <c r="AG3" i="120"/>
  <c r="AH3" i="120"/>
  <c r="AI3" i="120"/>
  <c r="AJ3" i="120"/>
  <c r="AK3" i="120"/>
  <c r="AL3" i="120"/>
  <c r="AM3" i="120"/>
  <c r="AN3" i="120"/>
  <c r="AO3" i="120"/>
  <c r="AP3" i="120"/>
  <c r="AQ3" i="120"/>
  <c r="AR3" i="120"/>
  <c r="AS3" i="120"/>
  <c r="AT3" i="120"/>
  <c r="AU3" i="120"/>
  <c r="AV3" i="120"/>
  <c r="AW3" i="120"/>
  <c r="AX3" i="120"/>
  <c r="AY3" i="120"/>
  <c r="AZ3" i="120"/>
  <c r="BA3" i="120"/>
  <c r="BB3" i="120"/>
  <c r="BC3" i="120"/>
  <c r="BD3" i="120"/>
  <c r="BE3" i="120"/>
  <c r="BF3" i="120"/>
  <c r="BG3" i="120"/>
  <c r="BH3" i="120"/>
  <c r="BI3" i="120"/>
  <c r="BJ3" i="120"/>
  <c r="BK3" i="120"/>
  <c r="BL3" i="120"/>
  <c r="BM3" i="120"/>
  <c r="BN3" i="120"/>
  <c r="BO3" i="120"/>
  <c r="BP3" i="120"/>
  <c r="BQ3" i="120"/>
  <c r="BR3" i="120"/>
  <c r="BS3" i="120"/>
  <c r="BT3" i="120"/>
  <c r="BU3" i="120"/>
  <c r="BV3" i="120"/>
  <c r="BW3" i="120"/>
  <c r="BX3" i="120"/>
  <c r="BY3" i="120"/>
  <c r="BZ3" i="120"/>
  <c r="CA3" i="120"/>
  <c r="CB3" i="120"/>
  <c r="CC3" i="120"/>
  <c r="CD3" i="120"/>
  <c r="D5" i="120"/>
  <c r="D14" i="120" s="1"/>
  <c r="L5" i="120"/>
  <c r="L14" i="120" s="1"/>
  <c r="T5" i="120"/>
  <c r="T14" i="120" s="1"/>
  <c r="AB5" i="120"/>
  <c r="AB14" i="120" s="1"/>
  <c r="AJ5" i="120"/>
  <c r="AJ14" i="120" s="1"/>
  <c r="AR5" i="120"/>
  <c r="AR14" i="120" s="1"/>
  <c r="AZ5" i="120"/>
  <c r="AZ14" i="120" s="1"/>
  <c r="BH5" i="120"/>
  <c r="BH14" i="120" s="1"/>
  <c r="BP5" i="120"/>
  <c r="BP14" i="120" s="1"/>
  <c r="BX5" i="120"/>
  <c r="BX14" i="120" s="1"/>
  <c r="D6" i="120"/>
  <c r="E6" i="120"/>
  <c r="E5" i="120" s="1"/>
  <c r="F6" i="120"/>
  <c r="G6" i="120"/>
  <c r="G5" i="120" s="1"/>
  <c r="H6" i="120"/>
  <c r="I6" i="120"/>
  <c r="I5" i="120" s="1"/>
  <c r="J6" i="120"/>
  <c r="J5" i="120" s="1"/>
  <c r="K6" i="120"/>
  <c r="K5" i="120" s="1"/>
  <c r="L6" i="120"/>
  <c r="M6" i="120"/>
  <c r="M5" i="120" s="1"/>
  <c r="N6" i="120"/>
  <c r="O6" i="120"/>
  <c r="O5" i="120" s="1"/>
  <c r="P6" i="120"/>
  <c r="Q6" i="120"/>
  <c r="Q5" i="120" s="1"/>
  <c r="R6" i="120"/>
  <c r="R5" i="120" s="1"/>
  <c r="S6" i="120"/>
  <c r="S5" i="120" s="1"/>
  <c r="T6" i="120"/>
  <c r="U6" i="120"/>
  <c r="U5" i="120" s="1"/>
  <c r="V6" i="120"/>
  <c r="W6" i="120"/>
  <c r="W5" i="120" s="1"/>
  <c r="X6" i="120"/>
  <c r="Y6" i="120"/>
  <c r="Y5" i="120" s="1"/>
  <c r="Z6" i="120"/>
  <c r="Z5" i="120" s="1"/>
  <c r="AA6" i="120"/>
  <c r="AA5" i="120" s="1"/>
  <c r="AB6" i="120"/>
  <c r="AC6" i="120"/>
  <c r="AC5" i="120" s="1"/>
  <c r="AD6" i="120"/>
  <c r="AE6" i="120"/>
  <c r="AE5" i="120" s="1"/>
  <c r="AF6" i="120"/>
  <c r="AG6" i="120"/>
  <c r="AG5" i="120" s="1"/>
  <c r="AH6" i="120"/>
  <c r="AH5" i="120" s="1"/>
  <c r="AI6" i="120"/>
  <c r="AI5" i="120" s="1"/>
  <c r="AJ6" i="120"/>
  <c r="AK6" i="120"/>
  <c r="AK5" i="120" s="1"/>
  <c r="AL6" i="120"/>
  <c r="AM6" i="120"/>
  <c r="AM5" i="120" s="1"/>
  <c r="AN6" i="120"/>
  <c r="AO6" i="120"/>
  <c r="AO5" i="120" s="1"/>
  <c r="AP6" i="120"/>
  <c r="AP5" i="120" s="1"/>
  <c r="AQ6" i="120"/>
  <c r="AQ5" i="120" s="1"/>
  <c r="AR6" i="120"/>
  <c r="AS6" i="120"/>
  <c r="AS5" i="120" s="1"/>
  <c r="AT6" i="120"/>
  <c r="AU6" i="120"/>
  <c r="AU5" i="120" s="1"/>
  <c r="AV6" i="120"/>
  <c r="AW6" i="120"/>
  <c r="AW5" i="120" s="1"/>
  <c r="AX6" i="120"/>
  <c r="AX5" i="120" s="1"/>
  <c r="AY6" i="120"/>
  <c r="AY5" i="120" s="1"/>
  <c r="AZ6" i="120"/>
  <c r="BA6" i="120"/>
  <c r="BA5" i="120" s="1"/>
  <c r="BB6" i="120"/>
  <c r="BC6" i="120"/>
  <c r="BC5" i="120" s="1"/>
  <c r="BD6" i="120"/>
  <c r="BE6" i="120"/>
  <c r="BE5" i="120" s="1"/>
  <c r="BF6" i="120"/>
  <c r="BF5" i="120" s="1"/>
  <c r="BG6" i="120"/>
  <c r="BG5" i="120" s="1"/>
  <c r="BH6" i="120"/>
  <c r="BI6" i="120"/>
  <c r="BI5" i="120" s="1"/>
  <c r="BJ6" i="120"/>
  <c r="BK6" i="120"/>
  <c r="BK5" i="120" s="1"/>
  <c r="BL6" i="120"/>
  <c r="BM6" i="120"/>
  <c r="BM5" i="120" s="1"/>
  <c r="BN6" i="120"/>
  <c r="BN5" i="120" s="1"/>
  <c r="BO6" i="120"/>
  <c r="BO5" i="120" s="1"/>
  <c r="BP6" i="120"/>
  <c r="BQ6" i="120"/>
  <c r="BQ5" i="120" s="1"/>
  <c r="BR6" i="120"/>
  <c r="BS6" i="120"/>
  <c r="BS5" i="120" s="1"/>
  <c r="BT6" i="120"/>
  <c r="BU6" i="120"/>
  <c r="BU5" i="120" s="1"/>
  <c r="BV6" i="120"/>
  <c r="BV5" i="120" s="1"/>
  <c r="BW6" i="120"/>
  <c r="BW5" i="120" s="1"/>
  <c r="BX6" i="120"/>
  <c r="BY6" i="120"/>
  <c r="BY5" i="120" s="1"/>
  <c r="BZ6" i="120"/>
  <c r="CA6" i="120"/>
  <c r="CA5" i="120" s="1"/>
  <c r="CB6" i="120"/>
  <c r="CC6" i="120"/>
  <c r="CC5" i="120" s="1"/>
  <c r="CD6" i="120"/>
  <c r="CD5" i="120" s="1"/>
  <c r="D7" i="120"/>
  <c r="E7" i="120"/>
  <c r="F7" i="120"/>
  <c r="F5" i="120" s="1"/>
  <c r="G7" i="120"/>
  <c r="H7" i="120"/>
  <c r="H5" i="120" s="1"/>
  <c r="I7" i="120"/>
  <c r="J7" i="120"/>
  <c r="K7" i="120"/>
  <c r="L7" i="120"/>
  <c r="M7" i="120"/>
  <c r="N7" i="120"/>
  <c r="N5" i="120" s="1"/>
  <c r="O7" i="120"/>
  <c r="P7" i="120"/>
  <c r="P5" i="120" s="1"/>
  <c r="Q7" i="120"/>
  <c r="R7" i="120"/>
  <c r="S7" i="120"/>
  <c r="T7" i="120"/>
  <c r="U7" i="120"/>
  <c r="V7" i="120"/>
  <c r="V5" i="120" s="1"/>
  <c r="W7" i="120"/>
  <c r="X7" i="120"/>
  <c r="X5" i="120" s="1"/>
  <c r="Y7" i="120"/>
  <c r="Z7" i="120"/>
  <c r="AA7" i="120"/>
  <c r="AB7" i="120"/>
  <c r="AC7" i="120"/>
  <c r="AD7" i="120"/>
  <c r="AD5" i="120" s="1"/>
  <c r="AE7" i="120"/>
  <c r="AF7" i="120"/>
  <c r="AF5" i="120" s="1"/>
  <c r="AG7" i="120"/>
  <c r="AH7" i="120"/>
  <c r="AI7" i="120"/>
  <c r="AJ7" i="120"/>
  <c r="AK7" i="120"/>
  <c r="AL7" i="120"/>
  <c r="AL5" i="120" s="1"/>
  <c r="AM7" i="120"/>
  <c r="AN7" i="120"/>
  <c r="AN5" i="120" s="1"/>
  <c r="AO7" i="120"/>
  <c r="AP7" i="120"/>
  <c r="AQ7" i="120"/>
  <c r="AR7" i="120"/>
  <c r="AS7" i="120"/>
  <c r="AT7" i="120"/>
  <c r="AT5" i="120" s="1"/>
  <c r="AU7" i="120"/>
  <c r="AV7" i="120"/>
  <c r="AV5" i="120" s="1"/>
  <c r="AW7" i="120"/>
  <c r="AX7" i="120"/>
  <c r="AY7" i="120"/>
  <c r="AZ7" i="120"/>
  <c r="BA7" i="120"/>
  <c r="BB7" i="120"/>
  <c r="BB5" i="120" s="1"/>
  <c r="BC7" i="120"/>
  <c r="BD7" i="120"/>
  <c r="BD5" i="120" s="1"/>
  <c r="BE7" i="120"/>
  <c r="BF7" i="120"/>
  <c r="BG7" i="120"/>
  <c r="BH7" i="120"/>
  <c r="BI7" i="120"/>
  <c r="BJ7" i="120"/>
  <c r="BJ5" i="120" s="1"/>
  <c r="BK7" i="120"/>
  <c r="BL7" i="120"/>
  <c r="BL5" i="120" s="1"/>
  <c r="BM7" i="120"/>
  <c r="BN7" i="120"/>
  <c r="BO7" i="120"/>
  <c r="BP7" i="120"/>
  <c r="BQ7" i="120"/>
  <c r="BR7" i="120"/>
  <c r="BR5" i="120" s="1"/>
  <c r="BS7" i="120"/>
  <c r="BT7" i="120"/>
  <c r="BT5" i="120" s="1"/>
  <c r="BU7" i="120"/>
  <c r="BV7" i="120"/>
  <c r="BW7" i="120"/>
  <c r="BX7" i="120"/>
  <c r="BY7" i="120"/>
  <c r="BZ7" i="120"/>
  <c r="BZ5" i="120" s="1"/>
  <c r="CA7" i="120"/>
  <c r="CB7" i="120"/>
  <c r="CB5" i="120" s="1"/>
  <c r="CC7" i="120"/>
  <c r="CD7" i="120"/>
  <c r="D8" i="120"/>
  <c r="E8" i="120"/>
  <c r="F8" i="120"/>
  <c r="G8" i="120"/>
  <c r="H8" i="120"/>
  <c r="I8" i="120"/>
  <c r="J8" i="120"/>
  <c r="K8" i="120"/>
  <c r="L8" i="120"/>
  <c r="M8" i="120"/>
  <c r="N8" i="120"/>
  <c r="O8" i="120"/>
  <c r="P8" i="120"/>
  <c r="Q8" i="120"/>
  <c r="R8" i="120"/>
  <c r="S8" i="120"/>
  <c r="T8" i="120"/>
  <c r="U8" i="120"/>
  <c r="V8" i="120"/>
  <c r="W8" i="120"/>
  <c r="X8" i="120"/>
  <c r="Y8" i="120"/>
  <c r="Z8" i="120"/>
  <c r="AA8" i="120"/>
  <c r="AB8" i="120"/>
  <c r="AC8" i="120"/>
  <c r="AD8" i="120"/>
  <c r="AE8" i="120"/>
  <c r="AF8" i="120"/>
  <c r="AG8" i="120"/>
  <c r="AH8" i="120"/>
  <c r="AI8" i="120"/>
  <c r="AJ8" i="120"/>
  <c r="AK8" i="120"/>
  <c r="AL8" i="120"/>
  <c r="AM8" i="120"/>
  <c r="AN8" i="120"/>
  <c r="AO8" i="120"/>
  <c r="AP8" i="120"/>
  <c r="AQ8" i="120"/>
  <c r="AR8" i="120"/>
  <c r="AS8" i="120"/>
  <c r="AT8" i="120"/>
  <c r="AU8" i="120"/>
  <c r="AV8" i="120"/>
  <c r="AW8" i="120"/>
  <c r="AX8" i="120"/>
  <c r="AY8" i="120"/>
  <c r="AZ8" i="120"/>
  <c r="BA8" i="120"/>
  <c r="BB8" i="120"/>
  <c r="BC8" i="120"/>
  <c r="BD8" i="120"/>
  <c r="BE8" i="120"/>
  <c r="BF8" i="120"/>
  <c r="BG8" i="120"/>
  <c r="BH8" i="120"/>
  <c r="BI8" i="120"/>
  <c r="BJ8" i="120"/>
  <c r="BK8" i="120"/>
  <c r="BL8" i="120"/>
  <c r="BM8" i="120"/>
  <c r="BN8" i="120"/>
  <c r="BO8" i="120"/>
  <c r="BP8" i="120"/>
  <c r="BQ8" i="120"/>
  <c r="BR8" i="120"/>
  <c r="BS8" i="120"/>
  <c r="BT8" i="120"/>
  <c r="BU8" i="120"/>
  <c r="BV8" i="120"/>
  <c r="BW8" i="120"/>
  <c r="BX8" i="120"/>
  <c r="BY8" i="120"/>
  <c r="BZ8" i="120"/>
  <c r="CA8" i="120"/>
  <c r="CB8" i="120"/>
  <c r="CC8" i="120"/>
  <c r="CD8" i="120"/>
  <c r="D9" i="120"/>
  <c r="E9" i="120"/>
  <c r="F9" i="120"/>
  <c r="G9" i="120"/>
  <c r="H9" i="120"/>
  <c r="I9" i="120"/>
  <c r="J9" i="120"/>
  <c r="K9" i="120"/>
  <c r="L9" i="120"/>
  <c r="M9" i="120"/>
  <c r="N9" i="120"/>
  <c r="O9" i="120"/>
  <c r="P9" i="120"/>
  <c r="Q9" i="120"/>
  <c r="R9" i="120"/>
  <c r="S9" i="120"/>
  <c r="T9" i="120"/>
  <c r="U9" i="120"/>
  <c r="V9" i="120"/>
  <c r="W9" i="120"/>
  <c r="X9" i="120"/>
  <c r="Y9" i="120"/>
  <c r="Z9" i="120"/>
  <c r="AA9" i="120"/>
  <c r="AB9" i="120"/>
  <c r="AC9" i="120"/>
  <c r="AD9" i="120"/>
  <c r="AE9" i="120"/>
  <c r="AF9" i="120"/>
  <c r="AG9" i="120"/>
  <c r="AH9" i="120"/>
  <c r="AI9" i="120"/>
  <c r="AJ9" i="120"/>
  <c r="AK9" i="120"/>
  <c r="AL9" i="120"/>
  <c r="AM9" i="120"/>
  <c r="AN9" i="120"/>
  <c r="AO9" i="120"/>
  <c r="AP9" i="120"/>
  <c r="AQ9" i="120"/>
  <c r="AR9" i="120"/>
  <c r="AS9" i="120"/>
  <c r="AT9" i="120"/>
  <c r="AU9" i="120"/>
  <c r="AV9" i="120"/>
  <c r="AW9" i="120"/>
  <c r="AX9" i="120"/>
  <c r="AY9" i="120"/>
  <c r="AZ9" i="120"/>
  <c r="BA9" i="120"/>
  <c r="BB9" i="120"/>
  <c r="BC9" i="120"/>
  <c r="BD9" i="120"/>
  <c r="BE9" i="120"/>
  <c r="BF9" i="120"/>
  <c r="BG9" i="120"/>
  <c r="BH9" i="120"/>
  <c r="BI9" i="120"/>
  <c r="BJ9" i="120"/>
  <c r="BK9" i="120"/>
  <c r="BL9" i="120"/>
  <c r="BM9" i="120"/>
  <c r="BN9" i="120"/>
  <c r="BO9" i="120"/>
  <c r="BP9" i="120"/>
  <c r="BQ9" i="120"/>
  <c r="BR9" i="120"/>
  <c r="BS9" i="120"/>
  <c r="BT9" i="120"/>
  <c r="BU9" i="120"/>
  <c r="BV9" i="120"/>
  <c r="BW9" i="120"/>
  <c r="BX9" i="120"/>
  <c r="BY9" i="120"/>
  <c r="BZ9" i="120"/>
  <c r="CA9" i="120"/>
  <c r="CB9" i="120"/>
  <c r="CC9" i="120"/>
  <c r="CD9" i="120"/>
  <c r="D15" i="120"/>
  <c r="L15" i="120"/>
  <c r="T15" i="120"/>
  <c r="AB15" i="120"/>
  <c r="AJ15" i="120"/>
  <c r="AR15" i="120"/>
  <c r="AZ15" i="120"/>
  <c r="BH15" i="120"/>
  <c r="BP15" i="120"/>
  <c r="BX15" i="120"/>
  <c r="C13" i="120"/>
  <c r="C14" i="120"/>
  <c r="C15" i="120"/>
  <c r="C12" i="120"/>
  <c r="C3" i="120"/>
  <c r="C5" i="120"/>
  <c r="C7" i="120"/>
  <c r="C9" i="120"/>
  <c r="C8" i="120"/>
  <c r="C6" i="120"/>
  <c r="AK16" i="121" l="1"/>
  <c r="AB16" i="121" s="1"/>
  <c r="K25" i="121"/>
  <c r="U25" i="121"/>
  <c r="T24" i="121"/>
  <c r="J24" i="121"/>
  <c r="J26" i="121"/>
  <c r="T26" i="121"/>
  <c r="AB25" i="121"/>
  <c r="AL25" i="121"/>
  <c r="AB26" i="121"/>
  <c r="AL26" i="121"/>
  <c r="AL24" i="121"/>
  <c r="AB24" i="121"/>
  <c r="AL22" i="121"/>
  <c r="AC22" i="121" s="1"/>
  <c r="AK18" i="121"/>
  <c r="AB18" i="121" s="1"/>
  <c r="R15" i="121"/>
  <c r="I15" i="121" s="1"/>
  <c r="AA20" i="121"/>
  <c r="AA15" i="121"/>
  <c r="Q17" i="121"/>
  <c r="R17" i="121" s="1"/>
  <c r="G17" i="121"/>
  <c r="P12" i="121"/>
  <c r="Q12" i="121" s="1"/>
  <c r="Q20" i="121"/>
  <c r="H20" i="121" s="1"/>
  <c r="H21" i="121"/>
  <c r="R21" i="121"/>
  <c r="AB19" i="121"/>
  <c r="AL19" i="121"/>
  <c r="AB17" i="121"/>
  <c r="AL17" i="121"/>
  <c r="AL15" i="121"/>
  <c r="AB15" i="121"/>
  <c r="H16" i="121"/>
  <c r="R16" i="121"/>
  <c r="AL23" i="121"/>
  <c r="AB23" i="121"/>
  <c r="G23" i="121"/>
  <c r="Q23" i="121"/>
  <c r="I19" i="121"/>
  <c r="S19" i="121"/>
  <c r="AB21" i="121"/>
  <c r="AL21" i="121"/>
  <c r="AB20" i="121"/>
  <c r="AL20" i="121"/>
  <c r="Q22" i="121"/>
  <c r="G22" i="121"/>
  <c r="G18" i="121"/>
  <c r="Q18" i="121"/>
  <c r="R9" i="121"/>
  <c r="H9" i="121"/>
  <c r="AC14" i="121"/>
  <c r="AC12" i="121"/>
  <c r="AC10" i="121"/>
  <c r="U5" i="121"/>
  <c r="AK11" i="121"/>
  <c r="AA11" i="121"/>
  <c r="P10" i="121"/>
  <c r="G14" i="121"/>
  <c r="Q14" i="121"/>
  <c r="Q13" i="121"/>
  <c r="G13" i="121"/>
  <c r="AK9" i="121"/>
  <c r="AA9" i="121"/>
  <c r="AK13" i="121"/>
  <c r="AA13" i="121"/>
  <c r="P11" i="121"/>
  <c r="BW13" i="120"/>
  <c r="BW12" i="120"/>
  <c r="BW14" i="120"/>
  <c r="BW15" i="120"/>
  <c r="BG13" i="120"/>
  <c r="BG12" i="120"/>
  <c r="BG14" i="120"/>
  <c r="BG15" i="120"/>
  <c r="AI13" i="120"/>
  <c r="AI12" i="120"/>
  <c r="AI14" i="120"/>
  <c r="AI15" i="120"/>
  <c r="S13" i="120"/>
  <c r="S12" i="120"/>
  <c r="S14" i="120"/>
  <c r="S15" i="120"/>
  <c r="K13" i="120"/>
  <c r="K12" i="120"/>
  <c r="K14" i="120"/>
  <c r="K15" i="120"/>
  <c r="CD12" i="120"/>
  <c r="CD13" i="120"/>
  <c r="CD15" i="120"/>
  <c r="CD14" i="120"/>
  <c r="BN12" i="120"/>
  <c r="BN13" i="120"/>
  <c r="BN15" i="120"/>
  <c r="BN14" i="120"/>
  <c r="AX12" i="120"/>
  <c r="AX13" i="120"/>
  <c r="AX15" i="120"/>
  <c r="AX14" i="120"/>
  <c r="AH12" i="120"/>
  <c r="AH15" i="120"/>
  <c r="AH14" i="120"/>
  <c r="AH13" i="120"/>
  <c r="R12" i="120"/>
  <c r="R13" i="120"/>
  <c r="R15" i="120"/>
  <c r="R14" i="120"/>
  <c r="J12" i="120"/>
  <c r="J13" i="120"/>
  <c r="J15" i="120"/>
  <c r="J14" i="120"/>
  <c r="CC15" i="120"/>
  <c r="CC14" i="120"/>
  <c r="CC13" i="120"/>
  <c r="CC12" i="120"/>
  <c r="BU15" i="120"/>
  <c r="BU14" i="120"/>
  <c r="BU12" i="120"/>
  <c r="BU13" i="120"/>
  <c r="BE15" i="120"/>
  <c r="BE14" i="120"/>
  <c r="BE12" i="120"/>
  <c r="BE13" i="120"/>
  <c r="AW15" i="120"/>
  <c r="AW14" i="120"/>
  <c r="AW13" i="120"/>
  <c r="AW12" i="120"/>
  <c r="AO12" i="120"/>
  <c r="AO15" i="120"/>
  <c r="AO14" i="120"/>
  <c r="AO13" i="120"/>
  <c r="AG12" i="120"/>
  <c r="AG15" i="120"/>
  <c r="AG14" i="120"/>
  <c r="AG13" i="120"/>
  <c r="Y12" i="120"/>
  <c r="Y15" i="120"/>
  <c r="Y14" i="120"/>
  <c r="Y13" i="120"/>
  <c r="Q15" i="120"/>
  <c r="Q12" i="120"/>
  <c r="Q14" i="120"/>
  <c r="Q13" i="120"/>
  <c r="I15" i="120"/>
  <c r="I14" i="120"/>
  <c r="I12" i="120"/>
  <c r="I13" i="120"/>
  <c r="BO13" i="120"/>
  <c r="BO12" i="120"/>
  <c r="BO14" i="120"/>
  <c r="BO15" i="120"/>
  <c r="AQ13" i="120"/>
  <c r="AQ12" i="120"/>
  <c r="AQ14" i="120"/>
  <c r="AQ15" i="120"/>
  <c r="AA13" i="120"/>
  <c r="AA12" i="120"/>
  <c r="AA15" i="120"/>
  <c r="AA14" i="120"/>
  <c r="BV12" i="120"/>
  <c r="BV15" i="120"/>
  <c r="BV14" i="120"/>
  <c r="BV13" i="120"/>
  <c r="BF12" i="120"/>
  <c r="BF13" i="120"/>
  <c r="BF15" i="120"/>
  <c r="BF14" i="120"/>
  <c r="AP12" i="120"/>
  <c r="AP15" i="120"/>
  <c r="AP13" i="120"/>
  <c r="AP14" i="120"/>
  <c r="Z12" i="120"/>
  <c r="Z15" i="120"/>
  <c r="Z13" i="120"/>
  <c r="Z14" i="120"/>
  <c r="BM12" i="120"/>
  <c r="BM15" i="120"/>
  <c r="BM14" i="120"/>
  <c r="BM13" i="120"/>
  <c r="CB14" i="120"/>
  <c r="CB13" i="120"/>
  <c r="CB12" i="120"/>
  <c r="BD14" i="120"/>
  <c r="BD13" i="120"/>
  <c r="BD12" i="120"/>
  <c r="CA15" i="120"/>
  <c r="CA13" i="120"/>
  <c r="BT14" i="120"/>
  <c r="BT13" i="120"/>
  <c r="BT12" i="120"/>
  <c r="BL14" i="120"/>
  <c r="BL13" i="120"/>
  <c r="BL12" i="120"/>
  <c r="AV14" i="120"/>
  <c r="AV13" i="120"/>
  <c r="AV12" i="120"/>
  <c r="AN14" i="120"/>
  <c r="AN13" i="120"/>
  <c r="AN12" i="120"/>
  <c r="AF14" i="120"/>
  <c r="AF13" i="120"/>
  <c r="AF12" i="120"/>
  <c r="X14" i="120"/>
  <c r="X13" i="120"/>
  <c r="X12" i="120"/>
  <c r="P14" i="120"/>
  <c r="P13" i="120"/>
  <c r="P12" i="120"/>
  <c r="H14" i="120"/>
  <c r="H13" i="120"/>
  <c r="H12" i="120"/>
  <c r="BS15" i="120"/>
  <c r="BS13" i="120"/>
  <c r="BK15" i="120"/>
  <c r="BK13" i="120"/>
  <c r="BK12" i="120"/>
  <c r="BC15" i="120"/>
  <c r="BC13" i="120"/>
  <c r="BC12" i="120"/>
  <c r="AU15" i="120"/>
  <c r="AU13" i="120"/>
  <c r="AU12" i="120"/>
  <c r="AM15" i="120"/>
  <c r="AM13" i="120"/>
  <c r="AE15" i="120"/>
  <c r="AE13" i="120"/>
  <c r="W15" i="120"/>
  <c r="W13" i="120"/>
  <c r="O15" i="120"/>
  <c r="O13" i="120"/>
  <c r="G15" i="120"/>
  <c r="G13" i="120"/>
  <c r="CB15" i="120"/>
  <c r="BT15" i="120"/>
  <c r="BL15" i="120"/>
  <c r="BD15" i="120"/>
  <c r="AV15" i="120"/>
  <c r="AN15" i="120"/>
  <c r="AF15" i="120"/>
  <c r="X15" i="120"/>
  <c r="P15" i="120"/>
  <c r="H15" i="120"/>
  <c r="CA14" i="120"/>
  <c r="BS14" i="120"/>
  <c r="BK14" i="120"/>
  <c r="BC14" i="120"/>
  <c r="AU14" i="120"/>
  <c r="AM14" i="120"/>
  <c r="AE14" i="120"/>
  <c r="W14" i="120"/>
  <c r="O14" i="120"/>
  <c r="G14" i="120"/>
  <c r="BZ15" i="120"/>
  <c r="BZ14" i="120"/>
  <c r="BZ12" i="120"/>
  <c r="BR15" i="120"/>
  <c r="BR14" i="120"/>
  <c r="BR12" i="120"/>
  <c r="BJ15" i="120"/>
  <c r="BJ14" i="120"/>
  <c r="BJ12" i="120"/>
  <c r="BB15" i="120"/>
  <c r="BB14" i="120"/>
  <c r="BB12" i="120"/>
  <c r="AT15" i="120"/>
  <c r="AT14" i="120"/>
  <c r="AT12" i="120"/>
  <c r="AL15" i="120"/>
  <c r="AL14" i="120"/>
  <c r="AL12" i="120"/>
  <c r="AD15" i="120"/>
  <c r="AD14" i="120"/>
  <c r="AD12" i="120"/>
  <c r="V15" i="120"/>
  <c r="V14" i="120"/>
  <c r="V12" i="120"/>
  <c r="N15" i="120"/>
  <c r="N14" i="120"/>
  <c r="N12" i="120"/>
  <c r="F15" i="120"/>
  <c r="F14" i="120"/>
  <c r="F12" i="120"/>
  <c r="BY15" i="120"/>
  <c r="BY14" i="120"/>
  <c r="BY13" i="120"/>
  <c r="BQ15" i="120"/>
  <c r="BQ14" i="120"/>
  <c r="BQ13" i="120"/>
  <c r="BI15" i="120"/>
  <c r="BI14" i="120"/>
  <c r="BI13" i="120"/>
  <c r="BA15" i="120"/>
  <c r="BA14" i="120"/>
  <c r="BA13" i="120"/>
  <c r="AS15" i="120"/>
  <c r="AS14" i="120"/>
  <c r="AS13" i="120"/>
  <c r="AK15" i="120"/>
  <c r="AK14" i="120"/>
  <c r="AK13" i="120"/>
  <c r="AC15" i="120"/>
  <c r="AC14" i="120"/>
  <c r="AC13" i="120"/>
  <c r="U15" i="120"/>
  <c r="U14" i="120"/>
  <c r="U13" i="120"/>
  <c r="M15" i="120"/>
  <c r="M14" i="120"/>
  <c r="M13" i="120"/>
  <c r="E15" i="120"/>
  <c r="E14" i="120"/>
  <c r="E13" i="120"/>
  <c r="AY13" i="120"/>
  <c r="AY14" i="120"/>
  <c r="AY12" i="120"/>
  <c r="AY15" i="120"/>
  <c r="CA12" i="120"/>
  <c r="BS12" i="120"/>
  <c r="AM12" i="120"/>
  <c r="AE12" i="120"/>
  <c r="W12" i="120"/>
  <c r="O12" i="120"/>
  <c r="G12" i="120"/>
  <c r="BZ13" i="120"/>
  <c r="BR13" i="120"/>
  <c r="BJ13" i="120"/>
  <c r="BB13" i="120"/>
  <c r="AT13" i="120"/>
  <c r="AL13" i="120"/>
  <c r="AD13" i="120"/>
  <c r="V13" i="120"/>
  <c r="N13" i="120"/>
  <c r="F13" i="120"/>
  <c r="BY12" i="120"/>
  <c r="BQ12" i="120"/>
  <c r="BI12" i="120"/>
  <c r="BA12" i="120"/>
  <c r="AS12" i="120"/>
  <c r="AK12" i="120"/>
  <c r="AC12" i="120"/>
  <c r="U12" i="120"/>
  <c r="M12" i="120"/>
  <c r="E12" i="120"/>
  <c r="BX12" i="120"/>
  <c r="BP12" i="120"/>
  <c r="BH12" i="120"/>
  <c r="AZ12" i="120"/>
  <c r="AR12" i="120"/>
  <c r="AJ12" i="120"/>
  <c r="AB12" i="120"/>
  <c r="T12" i="120"/>
  <c r="L12" i="120"/>
  <c r="D12" i="120"/>
  <c r="BX13" i="120"/>
  <c r="BP13" i="120"/>
  <c r="BH13" i="120"/>
  <c r="AZ13" i="120"/>
  <c r="AJ13" i="120"/>
  <c r="AB13" i="120"/>
  <c r="T13" i="120"/>
  <c r="L13" i="120"/>
  <c r="D13" i="120"/>
  <c r="AR13" i="120"/>
  <c r="AL16" i="121" l="1"/>
  <c r="AM16" i="121" s="1"/>
  <c r="AL18" i="121"/>
  <c r="AM22" i="121"/>
  <c r="AD22" i="121" s="1"/>
  <c r="S15" i="121"/>
  <c r="T15" i="121" s="1"/>
  <c r="AC25" i="121"/>
  <c r="AM25" i="121"/>
  <c r="K26" i="121"/>
  <c r="U26" i="121"/>
  <c r="L25" i="121"/>
  <c r="V25" i="121"/>
  <c r="AM26" i="121"/>
  <c r="AC26" i="121"/>
  <c r="AC24" i="121"/>
  <c r="AM24" i="121"/>
  <c r="K24" i="121"/>
  <c r="U24" i="121"/>
  <c r="G12" i="121"/>
  <c r="R20" i="121"/>
  <c r="S20" i="121" s="1"/>
  <c r="H17" i="121"/>
  <c r="J19" i="121"/>
  <c r="T19" i="121"/>
  <c r="AC19" i="121"/>
  <c r="AM19" i="121"/>
  <c r="I17" i="121"/>
  <c r="S17" i="121"/>
  <c r="AC23" i="121"/>
  <c r="AM23" i="121"/>
  <c r="AM18" i="121"/>
  <c r="AC18" i="121"/>
  <c r="I21" i="121"/>
  <c r="S21" i="121"/>
  <c r="H22" i="121"/>
  <c r="R22" i="121"/>
  <c r="H18" i="121"/>
  <c r="R18" i="121"/>
  <c r="AC20" i="121"/>
  <c r="AM20" i="121"/>
  <c r="I16" i="121"/>
  <c r="S16" i="121"/>
  <c r="AC15" i="121"/>
  <c r="AM15" i="121"/>
  <c r="AM21" i="121"/>
  <c r="AC21" i="121"/>
  <c r="H23" i="121"/>
  <c r="R23" i="121"/>
  <c r="AC17" i="121"/>
  <c r="AM17" i="121"/>
  <c r="AL9" i="121"/>
  <c r="AB9" i="121"/>
  <c r="Q10" i="121"/>
  <c r="G10" i="121"/>
  <c r="R13" i="121"/>
  <c r="H13" i="121"/>
  <c r="AL13" i="121"/>
  <c r="AB13" i="121"/>
  <c r="Q11" i="121"/>
  <c r="G11" i="121"/>
  <c r="R14" i="121"/>
  <c r="H14" i="121"/>
  <c r="AL11" i="121"/>
  <c r="AB11" i="121"/>
  <c r="AD14" i="121"/>
  <c r="AD12" i="121"/>
  <c r="AD10" i="121"/>
  <c r="V5" i="121"/>
  <c r="S9" i="121"/>
  <c r="I9" i="121"/>
  <c r="R12" i="121"/>
  <c r="H12" i="121"/>
  <c r="BI10" i="119"/>
  <c r="BJ10" i="119"/>
  <c r="BK10" i="119"/>
  <c r="BL10" i="119"/>
  <c r="BM10" i="119"/>
  <c r="BN10" i="119"/>
  <c r="BO10" i="119"/>
  <c r="BP10" i="119"/>
  <c r="BI11" i="119"/>
  <c r="BJ11" i="119"/>
  <c r="BK11" i="119"/>
  <c r="BL11" i="119"/>
  <c r="BM11" i="119"/>
  <c r="BN11" i="119"/>
  <c r="BO11" i="119"/>
  <c r="BP11" i="119"/>
  <c r="CH11" i="119" s="1"/>
  <c r="CQ11" i="119" s="1"/>
  <c r="BI12" i="119"/>
  <c r="BJ12" i="119"/>
  <c r="BK12" i="119"/>
  <c r="BL12" i="119"/>
  <c r="BM12" i="119"/>
  <c r="BN12" i="119"/>
  <c r="BO12" i="119"/>
  <c r="BP12" i="119"/>
  <c r="CH12" i="119" s="1"/>
  <c r="CQ12" i="119" s="1"/>
  <c r="BI13" i="119"/>
  <c r="BJ13" i="119"/>
  <c r="BK13" i="119"/>
  <c r="BL13" i="119"/>
  <c r="BM13" i="119"/>
  <c r="BN13" i="119"/>
  <c r="BO13" i="119"/>
  <c r="BP13" i="119"/>
  <c r="CH13" i="119" s="1"/>
  <c r="CQ13" i="119" s="1"/>
  <c r="BI14" i="119"/>
  <c r="BJ14" i="119"/>
  <c r="BK14" i="119"/>
  <c r="BL14" i="119"/>
  <c r="BM14" i="119"/>
  <c r="BN14" i="119"/>
  <c r="BO14" i="119"/>
  <c r="BP14" i="119"/>
  <c r="CH14" i="119" s="1"/>
  <c r="CQ14" i="119" s="1"/>
  <c r="BI15" i="119"/>
  <c r="BJ15" i="119"/>
  <c r="BK15" i="119"/>
  <c r="BL15" i="119"/>
  <c r="BM15" i="119"/>
  <c r="BN15" i="119"/>
  <c r="BO15" i="119"/>
  <c r="BP15" i="119"/>
  <c r="CH15" i="119" s="1"/>
  <c r="CQ15" i="119" s="1"/>
  <c r="BI16" i="119"/>
  <c r="BJ16" i="119"/>
  <c r="BK16" i="119"/>
  <c r="BL16" i="119"/>
  <c r="BM16" i="119"/>
  <c r="BN16" i="119"/>
  <c r="BO16" i="119"/>
  <c r="BP16" i="119"/>
  <c r="CH16" i="119" s="1"/>
  <c r="CQ16" i="119" s="1"/>
  <c r="BI17" i="119"/>
  <c r="BJ17" i="119"/>
  <c r="BK17" i="119"/>
  <c r="BL17" i="119"/>
  <c r="BM17" i="119"/>
  <c r="BN17" i="119"/>
  <c r="BO17" i="119"/>
  <c r="BP17" i="119"/>
  <c r="CH17" i="119" s="1"/>
  <c r="BI18" i="119"/>
  <c r="BJ18" i="119"/>
  <c r="BK18" i="119"/>
  <c r="BL18" i="119"/>
  <c r="BM18" i="119"/>
  <c r="BN18" i="119"/>
  <c r="BO18" i="119"/>
  <c r="BP18" i="119"/>
  <c r="BI19" i="119"/>
  <c r="BJ19" i="119"/>
  <c r="BK19" i="119"/>
  <c r="BL19" i="119"/>
  <c r="BM19" i="119"/>
  <c r="BN19" i="119"/>
  <c r="BO19" i="119"/>
  <c r="BP19" i="119"/>
  <c r="CH19" i="119" s="1"/>
  <c r="CQ19" i="119" s="1"/>
  <c r="BI20" i="119"/>
  <c r="BJ20" i="119"/>
  <c r="BK20" i="119"/>
  <c r="BL20" i="119"/>
  <c r="BM20" i="119"/>
  <c r="BN20" i="119"/>
  <c r="BO20" i="119"/>
  <c r="BP20" i="119"/>
  <c r="CH20" i="119" s="1"/>
  <c r="CQ20" i="119" s="1"/>
  <c r="BI21" i="119"/>
  <c r="BJ21" i="119"/>
  <c r="BK21" i="119"/>
  <c r="BL21" i="119"/>
  <c r="BM21" i="119"/>
  <c r="BN21" i="119"/>
  <c r="BO21" i="119"/>
  <c r="BP21" i="119"/>
  <c r="CH21" i="119" s="1"/>
  <c r="BI22" i="119"/>
  <c r="BJ22" i="119"/>
  <c r="BK22" i="119"/>
  <c r="BL22" i="119"/>
  <c r="BM22" i="119"/>
  <c r="BN22" i="119"/>
  <c r="BO22" i="119"/>
  <c r="BP22" i="119"/>
  <c r="CH22" i="119" s="1"/>
  <c r="BI23" i="119"/>
  <c r="BJ23" i="119"/>
  <c r="BK23" i="119"/>
  <c r="BL23" i="119"/>
  <c r="BM23" i="119"/>
  <c r="BN23" i="119"/>
  <c r="BO23" i="119"/>
  <c r="BP23" i="119"/>
  <c r="CH23" i="119" s="1"/>
  <c r="CQ23" i="119" s="1"/>
  <c r="BI24" i="119"/>
  <c r="BJ24" i="119"/>
  <c r="BK24" i="119"/>
  <c r="BL24" i="119"/>
  <c r="BM24" i="119"/>
  <c r="BN24" i="119"/>
  <c r="BO24" i="119"/>
  <c r="BP24" i="119"/>
  <c r="CH24" i="119" s="1"/>
  <c r="CQ24" i="119" s="1"/>
  <c r="BI25" i="119"/>
  <c r="BJ25" i="119"/>
  <c r="BK25" i="119"/>
  <c r="BL25" i="119"/>
  <c r="BM25" i="119"/>
  <c r="BN25" i="119"/>
  <c r="BO25" i="119"/>
  <c r="BP25" i="119"/>
  <c r="CH25" i="119" s="1"/>
  <c r="CQ25" i="119" s="1"/>
  <c r="BI26" i="119"/>
  <c r="BJ26" i="119"/>
  <c r="BK26" i="119"/>
  <c r="BL26" i="119"/>
  <c r="BM26" i="119"/>
  <c r="BN26" i="119"/>
  <c r="BO26" i="119"/>
  <c r="BP26" i="119"/>
  <c r="CH26" i="119" s="1"/>
  <c r="CQ26" i="119" s="1"/>
  <c r="BI27" i="119"/>
  <c r="BJ27" i="119"/>
  <c r="BK27" i="119"/>
  <c r="BL27" i="119"/>
  <c r="BM27" i="119"/>
  <c r="BN27" i="119"/>
  <c r="BO27" i="119"/>
  <c r="BP27" i="119"/>
  <c r="CH27" i="119" s="1"/>
  <c r="CQ27" i="119" s="1"/>
  <c r="BI28" i="119"/>
  <c r="BJ28" i="119"/>
  <c r="BK28" i="119"/>
  <c r="BL28" i="119"/>
  <c r="BM28" i="119"/>
  <c r="BN28" i="119"/>
  <c r="BO28" i="119"/>
  <c r="BP28" i="119"/>
  <c r="CH28" i="119" s="1"/>
  <c r="BI29" i="119"/>
  <c r="BJ29" i="119"/>
  <c r="BK29" i="119"/>
  <c r="BL29" i="119"/>
  <c r="BM29" i="119"/>
  <c r="BN29" i="119"/>
  <c r="BO29" i="119"/>
  <c r="BP29" i="119"/>
  <c r="CH29" i="119" s="1"/>
  <c r="BI30" i="119"/>
  <c r="BJ30" i="119"/>
  <c r="BK30" i="119"/>
  <c r="BL30" i="119"/>
  <c r="BM30" i="119"/>
  <c r="BN30" i="119"/>
  <c r="BO30" i="119"/>
  <c r="BP30" i="119"/>
  <c r="CH30" i="119" s="1"/>
  <c r="CQ30" i="119" s="1"/>
  <c r="BI31" i="119"/>
  <c r="BJ31" i="119"/>
  <c r="BK31" i="119"/>
  <c r="BL31" i="119"/>
  <c r="BM31" i="119"/>
  <c r="BN31" i="119"/>
  <c r="BO31" i="119"/>
  <c r="BP31" i="119"/>
  <c r="CH31" i="119" s="1"/>
  <c r="BI32" i="119"/>
  <c r="BJ32" i="119"/>
  <c r="BK32" i="119"/>
  <c r="BL32" i="119"/>
  <c r="BM32" i="119"/>
  <c r="BN32" i="119"/>
  <c r="BO32" i="119"/>
  <c r="BP32" i="119"/>
  <c r="CH32" i="119" s="1"/>
  <c r="CQ32" i="119" s="1"/>
  <c r="BI33" i="119"/>
  <c r="BJ33" i="119"/>
  <c r="BK33" i="119"/>
  <c r="BL33" i="119"/>
  <c r="BM33" i="119"/>
  <c r="BN33" i="119"/>
  <c r="BO33" i="119"/>
  <c r="BP33" i="119"/>
  <c r="BI34" i="119"/>
  <c r="BJ34" i="119"/>
  <c r="BK34" i="119"/>
  <c r="BL34" i="119"/>
  <c r="BM34" i="119"/>
  <c r="BN34" i="119"/>
  <c r="BO34" i="119"/>
  <c r="BP34" i="119"/>
  <c r="CH34" i="119" s="1"/>
  <c r="CQ34" i="119" s="1"/>
  <c r="BI35" i="119"/>
  <c r="BJ35" i="119"/>
  <c r="BK35" i="119"/>
  <c r="BL35" i="119"/>
  <c r="BM35" i="119"/>
  <c r="BN35" i="119"/>
  <c r="BO35" i="119"/>
  <c r="BP35" i="119"/>
  <c r="CH35" i="119" s="1"/>
  <c r="BI36" i="119"/>
  <c r="BJ36" i="119"/>
  <c r="BK36" i="119"/>
  <c r="BL36" i="119"/>
  <c r="BM36" i="119"/>
  <c r="BN36" i="119"/>
  <c r="BO36" i="119"/>
  <c r="BP36" i="119"/>
  <c r="CH36" i="119" s="1"/>
  <c r="CQ36" i="119" s="1"/>
  <c r="BI37" i="119"/>
  <c r="BJ37" i="119"/>
  <c r="BK37" i="119"/>
  <c r="BL37" i="119"/>
  <c r="BM37" i="119"/>
  <c r="BN37" i="119"/>
  <c r="BO37" i="119"/>
  <c r="BP37" i="119"/>
  <c r="CH37" i="119" s="1"/>
  <c r="CQ37" i="119" s="1"/>
  <c r="BI38" i="119"/>
  <c r="BJ38" i="119"/>
  <c r="BK38" i="119"/>
  <c r="BL38" i="119"/>
  <c r="BM38" i="119"/>
  <c r="BN38" i="119"/>
  <c r="BO38" i="119"/>
  <c r="BP38" i="119"/>
  <c r="CH38" i="119" s="1"/>
  <c r="CQ38" i="119" s="1"/>
  <c r="BI39" i="119"/>
  <c r="BJ39" i="119"/>
  <c r="BK39" i="119"/>
  <c r="BL39" i="119"/>
  <c r="BM39" i="119"/>
  <c r="BN39" i="119"/>
  <c r="BO39" i="119"/>
  <c r="BP39" i="119"/>
  <c r="CH39" i="119" s="1"/>
  <c r="CQ39" i="119" s="1"/>
  <c r="BI40" i="119"/>
  <c r="BJ40" i="119"/>
  <c r="BK40" i="119"/>
  <c r="BL40" i="119"/>
  <c r="BM40" i="119"/>
  <c r="BN40" i="119"/>
  <c r="BO40" i="119"/>
  <c r="BP40" i="119"/>
  <c r="CH40" i="119" s="1"/>
  <c r="BI41" i="119"/>
  <c r="BJ41" i="119"/>
  <c r="BK41" i="119"/>
  <c r="BL41" i="119"/>
  <c r="BM41" i="119"/>
  <c r="BN41" i="119"/>
  <c r="BO41" i="119"/>
  <c r="BP41" i="119"/>
  <c r="BI42" i="119"/>
  <c r="BJ42" i="119"/>
  <c r="BK42" i="119"/>
  <c r="CC42" i="119" s="1"/>
  <c r="CL42" i="119" s="1"/>
  <c r="BL42" i="119"/>
  <c r="CD42" i="119" s="1"/>
  <c r="BM42" i="119"/>
  <c r="BN42" i="119"/>
  <c r="BO42" i="119"/>
  <c r="BP42" i="119"/>
  <c r="CH42" i="119" s="1"/>
  <c r="CQ42" i="119" s="1"/>
  <c r="BI43" i="119"/>
  <c r="CA43" i="119" s="1"/>
  <c r="BJ43" i="119"/>
  <c r="BK43" i="119"/>
  <c r="BL43" i="119"/>
  <c r="BM43" i="119"/>
  <c r="BN43" i="119"/>
  <c r="BO43" i="119"/>
  <c r="BP43" i="119"/>
  <c r="CH43" i="119" s="1"/>
  <c r="CQ43" i="119" s="1"/>
  <c r="BI44" i="119"/>
  <c r="BJ44" i="119"/>
  <c r="BK44" i="119"/>
  <c r="BL44" i="119"/>
  <c r="CD44" i="119" s="1"/>
  <c r="CM44" i="119" s="1"/>
  <c r="BM44" i="119"/>
  <c r="BN44" i="119"/>
  <c r="BO44" i="119"/>
  <c r="BP44" i="119"/>
  <c r="CH44" i="119" s="1"/>
  <c r="CQ44" i="119" s="1"/>
  <c r="BI45" i="119"/>
  <c r="BJ45" i="119"/>
  <c r="BK45" i="119"/>
  <c r="BL45" i="119"/>
  <c r="BM45" i="119"/>
  <c r="BN45" i="119"/>
  <c r="BO45" i="119"/>
  <c r="BP45" i="119"/>
  <c r="CH45" i="119" s="1"/>
  <c r="CQ45" i="119" s="1"/>
  <c r="BI46" i="119"/>
  <c r="BJ46" i="119"/>
  <c r="CB46" i="119" s="1"/>
  <c r="CK46" i="119" s="1"/>
  <c r="BK46" i="119"/>
  <c r="CC46" i="119" s="1"/>
  <c r="CL46" i="119" s="1"/>
  <c r="BL46" i="119"/>
  <c r="BM46" i="119"/>
  <c r="BN46" i="119"/>
  <c r="CF46" i="119" s="1"/>
  <c r="CO46" i="119" s="1"/>
  <c r="BO46" i="119"/>
  <c r="BP46" i="119"/>
  <c r="BP9" i="119"/>
  <c r="CH9" i="119" s="1"/>
  <c r="CQ9" i="119" s="1"/>
  <c r="BO9" i="119"/>
  <c r="BN9" i="119"/>
  <c r="BM9" i="119"/>
  <c r="CE10" i="119"/>
  <c r="CN10" i="119" s="1"/>
  <c r="BL9" i="119"/>
  <c r="BK9" i="119"/>
  <c r="BJ9" i="119"/>
  <c r="CB10" i="119" s="1"/>
  <c r="CK10" i="119" s="1"/>
  <c r="BI9" i="119"/>
  <c r="CA9" i="119" s="1"/>
  <c r="CJ9" i="119" s="1"/>
  <c r="BR49" i="119"/>
  <c r="DN46" i="119"/>
  <c r="DM46" i="119"/>
  <c r="DL46" i="119"/>
  <c r="DK46" i="119"/>
  <c r="DJ46" i="119"/>
  <c r="DI46" i="119"/>
  <c r="DH46" i="119"/>
  <c r="DG46" i="119"/>
  <c r="DF46" i="119"/>
  <c r="DB46" i="119"/>
  <c r="DA46" i="119"/>
  <c r="CZ46" i="119"/>
  <c r="CY46" i="119"/>
  <c r="CX46" i="119"/>
  <c r="CW46" i="119"/>
  <c r="CV46" i="119"/>
  <c r="CU46" i="119"/>
  <c r="CG46" i="119"/>
  <c r="CP46" i="119" s="1"/>
  <c r="BY46" i="119"/>
  <c r="BX46" i="119"/>
  <c r="BW46" i="119"/>
  <c r="BV46" i="119"/>
  <c r="BU46" i="119"/>
  <c r="BT46" i="119"/>
  <c r="BS46" i="119"/>
  <c r="BR46" i="119"/>
  <c r="CE46" i="119"/>
  <c r="CD46" i="119"/>
  <c r="CA46" i="119"/>
  <c r="CJ46" i="119" s="1"/>
  <c r="BG46" i="119"/>
  <c r="BF46" i="119"/>
  <c r="BE46" i="119"/>
  <c r="BD46" i="119"/>
  <c r="BC46" i="119"/>
  <c r="BB46" i="119"/>
  <c r="BA46" i="119"/>
  <c r="AZ46" i="119"/>
  <c r="DN45" i="119"/>
  <c r="DM45" i="119"/>
  <c r="DL45" i="119"/>
  <c r="DK45" i="119"/>
  <c r="DJ45" i="119"/>
  <c r="DI45" i="119"/>
  <c r="DH45" i="119"/>
  <c r="DG45" i="119"/>
  <c r="DF45" i="119"/>
  <c r="DB45" i="119"/>
  <c r="DA45" i="119"/>
  <c r="CZ45" i="119"/>
  <c r="CY45" i="119"/>
  <c r="CX45" i="119"/>
  <c r="CW45" i="119"/>
  <c r="CV45" i="119"/>
  <c r="CU45" i="119"/>
  <c r="CD45" i="119"/>
  <c r="BY45" i="119"/>
  <c r="BX45" i="119"/>
  <c r="BW45" i="119"/>
  <c r="BV45" i="119"/>
  <c r="BU45" i="119"/>
  <c r="BT45" i="119"/>
  <c r="BS45" i="119"/>
  <c r="BR45" i="119"/>
  <c r="CG45" i="119"/>
  <c r="CP45" i="119" s="1"/>
  <c r="CF45" i="119"/>
  <c r="CO45" i="119" s="1"/>
  <c r="CE45" i="119"/>
  <c r="CN45" i="119" s="1"/>
  <c r="CC45" i="119"/>
  <c r="CL45" i="119" s="1"/>
  <c r="CB45" i="119"/>
  <c r="CA45" i="119"/>
  <c r="BG45" i="119"/>
  <c r="BF45" i="119"/>
  <c r="BE45" i="119"/>
  <c r="BD45" i="119"/>
  <c r="BC45" i="119"/>
  <c r="BB45" i="119"/>
  <c r="BA45" i="119"/>
  <c r="AZ45" i="119"/>
  <c r="DN44" i="119"/>
  <c r="DM44" i="119"/>
  <c r="DL44" i="119"/>
  <c r="DK44" i="119"/>
  <c r="DJ44" i="119"/>
  <c r="DI44" i="119"/>
  <c r="DH44" i="119"/>
  <c r="DG44" i="119"/>
  <c r="DF44" i="119"/>
  <c r="DB44" i="119"/>
  <c r="DA44" i="119"/>
  <c r="CZ44" i="119"/>
  <c r="CY44" i="119"/>
  <c r="CX44" i="119"/>
  <c r="CW44" i="119"/>
  <c r="CV44" i="119"/>
  <c r="CU44" i="119"/>
  <c r="BY44" i="119"/>
  <c r="BX44" i="119"/>
  <c r="BW44" i="119"/>
  <c r="BV44" i="119"/>
  <c r="BU44" i="119"/>
  <c r="BT44" i="119"/>
  <c r="BS44" i="119"/>
  <c r="BR44" i="119"/>
  <c r="CG44" i="119"/>
  <c r="CF44" i="119"/>
  <c r="CO44" i="119" s="1"/>
  <c r="CE44" i="119"/>
  <c r="CN44" i="119" s="1"/>
  <c r="CC44" i="119"/>
  <c r="CB44" i="119"/>
  <c r="CK44" i="119" s="1"/>
  <c r="CA44" i="119"/>
  <c r="CJ44" i="119" s="1"/>
  <c r="BG44" i="119"/>
  <c r="BF44" i="119"/>
  <c r="BE44" i="119"/>
  <c r="BD44" i="119"/>
  <c r="BC44" i="119"/>
  <c r="BB44" i="119"/>
  <c r="BA44" i="119"/>
  <c r="AZ44" i="119"/>
  <c r="DN43" i="119"/>
  <c r="DM43" i="119"/>
  <c r="DL43" i="119"/>
  <c r="DK43" i="119"/>
  <c r="DJ43" i="119"/>
  <c r="DI43" i="119"/>
  <c r="DH43" i="119"/>
  <c r="DG43" i="119"/>
  <c r="DF43" i="119"/>
  <c r="DB43" i="119"/>
  <c r="DA43" i="119"/>
  <c r="CZ43" i="119"/>
  <c r="CY43" i="119"/>
  <c r="CX43" i="119"/>
  <c r="CW43" i="119"/>
  <c r="CV43" i="119"/>
  <c r="CU43" i="119"/>
  <c r="BY43" i="119"/>
  <c r="BX43" i="119"/>
  <c r="BW43" i="119"/>
  <c r="BV43" i="119"/>
  <c r="BU43" i="119"/>
  <c r="BT43" i="119"/>
  <c r="BS43" i="119"/>
  <c r="BR43" i="119"/>
  <c r="CG43" i="119"/>
  <c r="CP43" i="119" s="1"/>
  <c r="CF43" i="119"/>
  <c r="CE43" i="119"/>
  <c r="CN43" i="119" s="1"/>
  <c r="CD43" i="119"/>
  <c r="CC43" i="119"/>
  <c r="CL43" i="119" s="1"/>
  <c r="CB43" i="119"/>
  <c r="CK43" i="119" s="1"/>
  <c r="BG43" i="119"/>
  <c r="BF43" i="119"/>
  <c r="BE43" i="119"/>
  <c r="BD43" i="119"/>
  <c r="BC43" i="119"/>
  <c r="BB43" i="119"/>
  <c r="BA43" i="119"/>
  <c r="AZ43" i="119"/>
  <c r="DN42" i="119"/>
  <c r="DM42" i="119"/>
  <c r="DL42" i="119"/>
  <c r="DK42" i="119"/>
  <c r="DJ42" i="119"/>
  <c r="DI42" i="119"/>
  <c r="DH42" i="119"/>
  <c r="DG42" i="119"/>
  <c r="DF42" i="119"/>
  <c r="DB42" i="119"/>
  <c r="DA42" i="119"/>
  <c r="CZ42" i="119"/>
  <c r="CY42" i="119"/>
  <c r="CX42" i="119"/>
  <c r="CW42" i="119"/>
  <c r="CV42" i="119"/>
  <c r="CU42" i="119"/>
  <c r="CB42" i="119"/>
  <c r="CK42" i="119" s="1"/>
  <c r="BY42" i="119"/>
  <c r="BX42" i="119"/>
  <c r="BW42" i="119"/>
  <c r="BV42" i="119"/>
  <c r="BU42" i="119"/>
  <c r="BT42" i="119"/>
  <c r="BS42" i="119"/>
  <c r="BR42" i="119"/>
  <c r="CG42" i="119"/>
  <c r="CP42" i="119" s="1"/>
  <c r="CF42" i="119"/>
  <c r="CO42" i="119" s="1"/>
  <c r="CE42" i="119"/>
  <c r="CA42" i="119"/>
  <c r="CJ42" i="119" s="1"/>
  <c r="BG42" i="119"/>
  <c r="BF42" i="119"/>
  <c r="BE42" i="119"/>
  <c r="BD42" i="119"/>
  <c r="BC42" i="119"/>
  <c r="BB42" i="119"/>
  <c r="BA42" i="119"/>
  <c r="AZ42" i="119"/>
  <c r="DN41" i="119"/>
  <c r="DM41" i="119"/>
  <c r="DL41" i="119"/>
  <c r="DK41" i="119"/>
  <c r="DJ41" i="119"/>
  <c r="DI41" i="119"/>
  <c r="DH41" i="119"/>
  <c r="DG41" i="119"/>
  <c r="DF41" i="119"/>
  <c r="DB41" i="119"/>
  <c r="DA41" i="119"/>
  <c r="CZ41" i="119"/>
  <c r="CY41" i="119"/>
  <c r="CX41" i="119"/>
  <c r="CW41" i="119"/>
  <c r="CV41" i="119"/>
  <c r="CU41" i="119"/>
  <c r="BY41" i="119"/>
  <c r="BX41" i="119"/>
  <c r="BW41" i="119"/>
  <c r="BV41" i="119"/>
  <c r="BU41" i="119"/>
  <c r="BT41" i="119"/>
  <c r="BS41" i="119"/>
  <c r="BR41" i="119"/>
  <c r="CH41" i="119"/>
  <c r="CG41" i="119"/>
  <c r="CP41" i="119" s="1"/>
  <c r="CF41" i="119"/>
  <c r="CE41" i="119"/>
  <c r="CN41" i="119" s="1"/>
  <c r="CD41" i="119"/>
  <c r="CM41" i="119" s="1"/>
  <c r="CC41" i="119"/>
  <c r="CL41" i="119" s="1"/>
  <c r="CB41" i="119"/>
  <c r="CA41" i="119"/>
  <c r="BG41" i="119"/>
  <c r="BF41" i="119"/>
  <c r="BE41" i="119"/>
  <c r="BD41" i="119"/>
  <c r="BC41" i="119"/>
  <c r="BB41" i="119"/>
  <c r="BA41" i="119"/>
  <c r="AZ41" i="119"/>
  <c r="DN40" i="119"/>
  <c r="DM40" i="119"/>
  <c r="DL40" i="119"/>
  <c r="DK40" i="119"/>
  <c r="DJ40" i="119"/>
  <c r="DI40" i="119"/>
  <c r="DH40" i="119"/>
  <c r="DG40" i="119"/>
  <c r="DF40" i="119"/>
  <c r="DB40" i="119"/>
  <c r="DA40" i="119"/>
  <c r="CZ40" i="119"/>
  <c r="CY40" i="119"/>
  <c r="CX40" i="119"/>
  <c r="CW40" i="119"/>
  <c r="CV40" i="119"/>
  <c r="CU40" i="119"/>
  <c r="BY40" i="119"/>
  <c r="BX40" i="119"/>
  <c r="BW40" i="119"/>
  <c r="BV40" i="119"/>
  <c r="BU40" i="119"/>
  <c r="BT40" i="119"/>
  <c r="BS40" i="119"/>
  <c r="BR40" i="119"/>
  <c r="CG40" i="119"/>
  <c r="CP40" i="119" s="1"/>
  <c r="CF40" i="119"/>
  <c r="CO40" i="119" s="1"/>
  <c r="CE40" i="119"/>
  <c r="CN40" i="119" s="1"/>
  <c r="CD40" i="119"/>
  <c r="CM40" i="119" s="1"/>
  <c r="CC40" i="119"/>
  <c r="CB40" i="119"/>
  <c r="CK40" i="119" s="1"/>
  <c r="CA40" i="119"/>
  <c r="CJ40" i="119" s="1"/>
  <c r="BG40" i="119"/>
  <c r="BF40" i="119"/>
  <c r="BE40" i="119"/>
  <c r="BD40" i="119"/>
  <c r="BC40" i="119"/>
  <c r="BB40" i="119"/>
  <c r="BA40" i="119"/>
  <c r="AZ40" i="119"/>
  <c r="DN39" i="119"/>
  <c r="DM39" i="119"/>
  <c r="DL39" i="119"/>
  <c r="DK39" i="119"/>
  <c r="DJ39" i="119"/>
  <c r="DI39" i="119"/>
  <c r="DH39" i="119"/>
  <c r="DG39" i="119"/>
  <c r="DF39" i="119"/>
  <c r="DB39" i="119"/>
  <c r="DA39" i="119"/>
  <c r="CZ39" i="119"/>
  <c r="CY39" i="119"/>
  <c r="CX39" i="119"/>
  <c r="CW39" i="119"/>
  <c r="CV39" i="119"/>
  <c r="CU39" i="119"/>
  <c r="CE39" i="119"/>
  <c r="CN39" i="119" s="1"/>
  <c r="BY39" i="119"/>
  <c r="BX39" i="119"/>
  <c r="BW39" i="119"/>
  <c r="BV39" i="119"/>
  <c r="BU39" i="119"/>
  <c r="BT39" i="119"/>
  <c r="BS39" i="119"/>
  <c r="BR39" i="119"/>
  <c r="CG39" i="119"/>
  <c r="CP39" i="119" s="1"/>
  <c r="CF39" i="119"/>
  <c r="CD39" i="119"/>
  <c r="CM39" i="119" s="1"/>
  <c r="CC39" i="119"/>
  <c r="CB39" i="119"/>
  <c r="CK39" i="119" s="1"/>
  <c r="CA39" i="119"/>
  <c r="BG39" i="119"/>
  <c r="BF39" i="119"/>
  <c r="AH39" i="119" s="1"/>
  <c r="AI39" i="119" s="1"/>
  <c r="AJ39" i="119" s="1"/>
  <c r="AK39" i="119" s="1"/>
  <c r="AL39" i="119" s="1"/>
  <c r="AM39" i="119" s="1"/>
  <c r="AN39" i="119" s="1"/>
  <c r="BE39" i="119"/>
  <c r="BD39" i="119"/>
  <c r="BC39" i="119"/>
  <c r="BB39" i="119"/>
  <c r="BA39" i="119"/>
  <c r="AZ39" i="119"/>
  <c r="DN38" i="119"/>
  <c r="DM38" i="119"/>
  <c r="DL38" i="119"/>
  <c r="DK38" i="119"/>
  <c r="DJ38" i="119"/>
  <c r="DI38" i="119"/>
  <c r="DH38" i="119"/>
  <c r="DG38" i="119"/>
  <c r="DF38" i="119"/>
  <c r="DB38" i="119"/>
  <c r="DA38" i="119"/>
  <c r="CZ38" i="119"/>
  <c r="CY38" i="119"/>
  <c r="CX38" i="119"/>
  <c r="CW38" i="119"/>
  <c r="CV38" i="119"/>
  <c r="CU38" i="119"/>
  <c r="BY38" i="119"/>
  <c r="BX38" i="119"/>
  <c r="BW38" i="119"/>
  <c r="BV38" i="119"/>
  <c r="BU38" i="119"/>
  <c r="BT38" i="119"/>
  <c r="BS38" i="119"/>
  <c r="BR38" i="119"/>
  <c r="CG38" i="119"/>
  <c r="CP38" i="119" s="1"/>
  <c r="CF38" i="119"/>
  <c r="CE38" i="119"/>
  <c r="CN38" i="119" s="1"/>
  <c r="CD38" i="119"/>
  <c r="CM38" i="119" s="1"/>
  <c r="CC38" i="119"/>
  <c r="CL38" i="119" s="1"/>
  <c r="CB38" i="119"/>
  <c r="CK38" i="119" s="1"/>
  <c r="CA38" i="119"/>
  <c r="BG38" i="119"/>
  <c r="BF38" i="119"/>
  <c r="BE38" i="119"/>
  <c r="BD38" i="119"/>
  <c r="BC38" i="119"/>
  <c r="BB38" i="119"/>
  <c r="BA38" i="119"/>
  <c r="AZ38" i="119"/>
  <c r="DN37" i="119"/>
  <c r="DM37" i="119"/>
  <c r="DL37" i="119"/>
  <c r="DK37" i="119"/>
  <c r="DJ37" i="119"/>
  <c r="DI37" i="119"/>
  <c r="DH37" i="119"/>
  <c r="DG37" i="119"/>
  <c r="DF37" i="119"/>
  <c r="DB37" i="119"/>
  <c r="DA37" i="119"/>
  <c r="CZ37" i="119"/>
  <c r="CY37" i="119"/>
  <c r="CX37" i="119"/>
  <c r="CW37" i="119"/>
  <c r="CV37" i="119"/>
  <c r="CU37" i="119"/>
  <c r="BY37" i="119"/>
  <c r="BX37" i="119"/>
  <c r="BW37" i="119"/>
  <c r="BV37" i="119"/>
  <c r="BU37" i="119"/>
  <c r="BT37" i="119"/>
  <c r="BS37" i="119"/>
  <c r="BR37" i="119"/>
  <c r="CG37" i="119"/>
  <c r="CP37" i="119" s="1"/>
  <c r="CF37" i="119"/>
  <c r="CE37" i="119"/>
  <c r="CD37" i="119"/>
  <c r="CC37" i="119"/>
  <c r="CL37" i="119" s="1"/>
  <c r="CB37" i="119"/>
  <c r="CK37" i="119" s="1"/>
  <c r="CA37" i="119"/>
  <c r="CJ37" i="119" s="1"/>
  <c r="BG37" i="119"/>
  <c r="BF37" i="119"/>
  <c r="BE37" i="119"/>
  <c r="BD37" i="119"/>
  <c r="BC37" i="119"/>
  <c r="BB37" i="119"/>
  <c r="BA37" i="119"/>
  <c r="AZ37" i="119"/>
  <c r="DN36" i="119"/>
  <c r="DM36" i="119"/>
  <c r="DL36" i="119"/>
  <c r="DK36" i="119"/>
  <c r="DJ36" i="119"/>
  <c r="DI36" i="119"/>
  <c r="DH36" i="119"/>
  <c r="DG36" i="119"/>
  <c r="DF36" i="119"/>
  <c r="DB36" i="119"/>
  <c r="DA36" i="119"/>
  <c r="CZ36" i="119"/>
  <c r="CY36" i="119"/>
  <c r="CX36" i="119"/>
  <c r="CW36" i="119"/>
  <c r="CV36" i="119"/>
  <c r="CU36" i="119"/>
  <c r="BY36" i="119"/>
  <c r="BX36" i="119"/>
  <c r="BW36" i="119"/>
  <c r="BV36" i="119"/>
  <c r="BU36" i="119"/>
  <c r="BT36" i="119"/>
  <c r="BS36" i="119"/>
  <c r="BR36" i="119"/>
  <c r="CG36" i="119"/>
  <c r="CF36" i="119"/>
  <c r="CO36" i="119" s="1"/>
  <c r="CE36" i="119"/>
  <c r="CN36" i="119" s="1"/>
  <c r="CD36" i="119"/>
  <c r="CC36" i="119"/>
  <c r="CL36" i="119" s="1"/>
  <c r="CB36" i="119"/>
  <c r="CK36" i="119" s="1"/>
  <c r="CA36" i="119"/>
  <c r="CJ36" i="119" s="1"/>
  <c r="BG36" i="119"/>
  <c r="BF36" i="119"/>
  <c r="BE36" i="119"/>
  <c r="BD36" i="119"/>
  <c r="BC36" i="119"/>
  <c r="BB36" i="119"/>
  <c r="BA36" i="119"/>
  <c r="AZ36" i="119"/>
  <c r="DN35" i="119"/>
  <c r="DM35" i="119"/>
  <c r="DL35" i="119"/>
  <c r="DK35" i="119"/>
  <c r="DJ35" i="119"/>
  <c r="DI35" i="119"/>
  <c r="DH35" i="119"/>
  <c r="DG35" i="119"/>
  <c r="DF35" i="119"/>
  <c r="DB35" i="119"/>
  <c r="DA35" i="119"/>
  <c r="CZ35" i="119"/>
  <c r="CY35" i="119"/>
  <c r="CX35" i="119"/>
  <c r="CW35" i="119"/>
  <c r="CV35" i="119"/>
  <c r="CU35" i="119"/>
  <c r="CC35" i="119"/>
  <c r="BY35" i="119"/>
  <c r="BX35" i="119"/>
  <c r="BW35" i="119"/>
  <c r="BV35" i="119"/>
  <c r="BU35" i="119"/>
  <c r="BT35" i="119"/>
  <c r="BS35" i="119"/>
  <c r="BR35" i="119"/>
  <c r="CG35" i="119"/>
  <c r="CP35" i="119" s="1"/>
  <c r="CF35" i="119"/>
  <c r="CO35" i="119" s="1"/>
  <c r="CE35" i="119"/>
  <c r="CD35" i="119"/>
  <c r="CM35" i="119" s="1"/>
  <c r="CB35" i="119"/>
  <c r="CA35" i="119"/>
  <c r="CJ35" i="119" s="1"/>
  <c r="BG35" i="119"/>
  <c r="BF35" i="119"/>
  <c r="BE35" i="119"/>
  <c r="BD35" i="119"/>
  <c r="BC35" i="119"/>
  <c r="BB35" i="119"/>
  <c r="BA35" i="119"/>
  <c r="AZ35" i="119"/>
  <c r="DN34" i="119"/>
  <c r="DM34" i="119"/>
  <c r="DL34" i="119"/>
  <c r="DK34" i="119"/>
  <c r="DJ34" i="119"/>
  <c r="DI34" i="119"/>
  <c r="DH34" i="119"/>
  <c r="DG34" i="119"/>
  <c r="DF34" i="119"/>
  <c r="DB34" i="119"/>
  <c r="DA34" i="119"/>
  <c r="CZ34" i="119"/>
  <c r="CY34" i="119"/>
  <c r="CX34" i="119"/>
  <c r="CW34" i="119"/>
  <c r="CV34" i="119"/>
  <c r="CU34" i="119"/>
  <c r="CF34" i="119"/>
  <c r="CE34" i="119"/>
  <c r="BY34" i="119"/>
  <c r="BX34" i="119"/>
  <c r="BW34" i="119"/>
  <c r="BV34" i="119"/>
  <c r="BU34" i="119"/>
  <c r="BT34" i="119"/>
  <c r="BS34" i="119"/>
  <c r="BR34" i="119"/>
  <c r="CG34" i="119"/>
  <c r="CP34" i="119" s="1"/>
  <c r="CD34" i="119"/>
  <c r="CM34" i="119" s="1"/>
  <c r="CC34" i="119"/>
  <c r="CB34" i="119"/>
  <c r="CA34" i="119"/>
  <c r="CJ34" i="119" s="1"/>
  <c r="BG34" i="119"/>
  <c r="BF34" i="119"/>
  <c r="AH34" i="119" s="1"/>
  <c r="BE34" i="119"/>
  <c r="BD34" i="119"/>
  <c r="BC34" i="119"/>
  <c r="BB34" i="119"/>
  <c r="BA34" i="119"/>
  <c r="AZ34" i="119"/>
  <c r="DN33" i="119"/>
  <c r="DM33" i="119"/>
  <c r="DL33" i="119"/>
  <c r="DK33" i="119"/>
  <c r="DJ33" i="119"/>
  <c r="DI33" i="119"/>
  <c r="DH33" i="119"/>
  <c r="DG33" i="119"/>
  <c r="DF33" i="119"/>
  <c r="DB33" i="119"/>
  <c r="DA33" i="119"/>
  <c r="CZ33" i="119"/>
  <c r="CY33" i="119"/>
  <c r="CX33" i="119"/>
  <c r="CW33" i="119"/>
  <c r="CV33" i="119"/>
  <c r="CU33" i="119"/>
  <c r="BY33" i="119"/>
  <c r="BX33" i="119"/>
  <c r="BW33" i="119"/>
  <c r="BV33" i="119"/>
  <c r="BU33" i="119"/>
  <c r="BT33" i="119"/>
  <c r="BS33" i="119"/>
  <c r="BR33" i="119"/>
  <c r="CH33" i="119"/>
  <c r="CG33" i="119"/>
  <c r="CP33" i="119" s="1"/>
  <c r="CF33" i="119"/>
  <c r="CE33" i="119"/>
  <c r="CN33" i="119" s="1"/>
  <c r="CD33" i="119"/>
  <c r="CM33" i="119" s="1"/>
  <c r="CC33" i="119"/>
  <c r="CL33" i="119" s="1"/>
  <c r="CB33" i="119"/>
  <c r="CA33" i="119"/>
  <c r="BG33" i="119"/>
  <c r="BF33" i="119"/>
  <c r="BE33" i="119"/>
  <c r="BD33" i="119"/>
  <c r="BC33" i="119"/>
  <c r="BB33" i="119"/>
  <c r="BA33" i="119"/>
  <c r="AZ33" i="119"/>
  <c r="DN32" i="119"/>
  <c r="DM32" i="119"/>
  <c r="DL32" i="119"/>
  <c r="DK32" i="119"/>
  <c r="DJ32" i="119"/>
  <c r="DI32" i="119"/>
  <c r="DH32" i="119"/>
  <c r="DG32" i="119"/>
  <c r="DF32" i="119"/>
  <c r="DB32" i="119"/>
  <c r="DA32" i="119"/>
  <c r="CZ32" i="119"/>
  <c r="CY32" i="119"/>
  <c r="CX32" i="119"/>
  <c r="CW32" i="119"/>
  <c r="CV32" i="119"/>
  <c r="CU32" i="119"/>
  <c r="CF32" i="119"/>
  <c r="CC32" i="119"/>
  <c r="CL32" i="119" s="1"/>
  <c r="BY32" i="119"/>
  <c r="BX32" i="119"/>
  <c r="BW32" i="119"/>
  <c r="BV32" i="119"/>
  <c r="BU32" i="119"/>
  <c r="BT32" i="119"/>
  <c r="BS32" i="119"/>
  <c r="BR32" i="119"/>
  <c r="CG32" i="119"/>
  <c r="CP32" i="119" s="1"/>
  <c r="CE32" i="119"/>
  <c r="CD32" i="119"/>
  <c r="CB32" i="119"/>
  <c r="CA32" i="119"/>
  <c r="CJ32" i="119" s="1"/>
  <c r="BG32" i="119"/>
  <c r="BF32" i="119"/>
  <c r="BE32" i="119"/>
  <c r="BD32" i="119"/>
  <c r="BC32" i="119"/>
  <c r="BB32" i="119"/>
  <c r="BA32" i="119"/>
  <c r="AZ32" i="119"/>
  <c r="DN31" i="119"/>
  <c r="DM31" i="119"/>
  <c r="DL31" i="119"/>
  <c r="DK31" i="119"/>
  <c r="DJ31" i="119"/>
  <c r="DI31" i="119"/>
  <c r="DH31" i="119"/>
  <c r="DG31" i="119"/>
  <c r="DF31" i="119"/>
  <c r="DB31" i="119"/>
  <c r="DA31" i="119"/>
  <c r="CZ31" i="119"/>
  <c r="CY31" i="119"/>
  <c r="CX31" i="119"/>
  <c r="CW31" i="119"/>
  <c r="CV31" i="119"/>
  <c r="CU31" i="119"/>
  <c r="CE31" i="119"/>
  <c r="CN31" i="119" s="1"/>
  <c r="BY31" i="119"/>
  <c r="BX31" i="119"/>
  <c r="BW31" i="119"/>
  <c r="BV31" i="119"/>
  <c r="BU31" i="119"/>
  <c r="BT31" i="119"/>
  <c r="BS31" i="119"/>
  <c r="BR31" i="119"/>
  <c r="CG31" i="119"/>
  <c r="CF31" i="119"/>
  <c r="CD31" i="119"/>
  <c r="CM31" i="119" s="1"/>
  <c r="CC31" i="119"/>
  <c r="CL31" i="119" s="1"/>
  <c r="CB31" i="119"/>
  <c r="CK31" i="119" s="1"/>
  <c r="CA31" i="119"/>
  <c r="BG31" i="119"/>
  <c r="BF31" i="119"/>
  <c r="BE31" i="119"/>
  <c r="BD31" i="119"/>
  <c r="BC31" i="119"/>
  <c r="BB31" i="119"/>
  <c r="BA31" i="119"/>
  <c r="AZ31" i="119"/>
  <c r="DN30" i="119"/>
  <c r="DM30" i="119"/>
  <c r="DL30" i="119"/>
  <c r="DK30" i="119"/>
  <c r="DJ30" i="119"/>
  <c r="DI30" i="119"/>
  <c r="DH30" i="119"/>
  <c r="DG30" i="119"/>
  <c r="DF30" i="119"/>
  <c r="DB30" i="119"/>
  <c r="DA30" i="119"/>
  <c r="CZ30" i="119"/>
  <c r="CY30" i="119"/>
  <c r="CX30" i="119"/>
  <c r="CW30" i="119"/>
  <c r="CV30" i="119"/>
  <c r="CU30" i="119"/>
  <c r="CB30" i="119"/>
  <c r="CK30" i="119" s="1"/>
  <c r="BY30" i="119"/>
  <c r="BX30" i="119"/>
  <c r="BW30" i="119"/>
  <c r="BV30" i="119"/>
  <c r="BU30" i="119"/>
  <c r="BT30" i="119"/>
  <c r="BS30" i="119"/>
  <c r="BR30" i="119"/>
  <c r="CG30" i="119"/>
  <c r="CP30" i="119" s="1"/>
  <c r="CF30" i="119"/>
  <c r="CO30" i="119" s="1"/>
  <c r="CE30" i="119"/>
  <c r="CD30" i="119"/>
  <c r="CC30" i="119"/>
  <c r="CA30" i="119"/>
  <c r="CJ30" i="119" s="1"/>
  <c r="BG30" i="119"/>
  <c r="BF30" i="119"/>
  <c r="BE30" i="119"/>
  <c r="BD30" i="119"/>
  <c r="BC30" i="119"/>
  <c r="BB30" i="119"/>
  <c r="BA30" i="119"/>
  <c r="AZ30" i="119"/>
  <c r="DN29" i="119"/>
  <c r="DM29" i="119"/>
  <c r="DL29" i="119"/>
  <c r="DK29" i="119"/>
  <c r="DJ29" i="119"/>
  <c r="DI29" i="119"/>
  <c r="DH29" i="119"/>
  <c r="DG29" i="119"/>
  <c r="DF29" i="119"/>
  <c r="DB29" i="119"/>
  <c r="DA29" i="119"/>
  <c r="CZ29" i="119"/>
  <c r="CY29" i="119"/>
  <c r="CX29" i="119"/>
  <c r="CW29" i="119"/>
  <c r="CV29" i="119"/>
  <c r="CU29" i="119"/>
  <c r="CG29" i="119"/>
  <c r="CP29" i="119" s="1"/>
  <c r="BY29" i="119"/>
  <c r="BX29" i="119"/>
  <c r="BW29" i="119"/>
  <c r="BV29" i="119"/>
  <c r="BU29" i="119"/>
  <c r="BT29" i="119"/>
  <c r="BS29" i="119"/>
  <c r="BR29" i="119"/>
  <c r="CF29" i="119"/>
  <c r="CO29" i="119" s="1"/>
  <c r="CE29" i="119"/>
  <c r="CN29" i="119" s="1"/>
  <c r="CD29" i="119"/>
  <c r="CC29" i="119"/>
  <c r="CL29" i="119" s="1"/>
  <c r="CB29" i="119"/>
  <c r="CA29" i="119"/>
  <c r="BG29" i="119"/>
  <c r="BF29" i="119"/>
  <c r="BE29" i="119"/>
  <c r="BD29" i="119"/>
  <c r="BC29" i="119"/>
  <c r="BB29" i="119"/>
  <c r="BA29" i="119"/>
  <c r="AZ29" i="119"/>
  <c r="DN28" i="119"/>
  <c r="DM28" i="119"/>
  <c r="DL28" i="119"/>
  <c r="DK28" i="119"/>
  <c r="DJ28" i="119"/>
  <c r="DI28" i="119"/>
  <c r="DH28" i="119"/>
  <c r="DG28" i="119"/>
  <c r="DF28" i="119"/>
  <c r="DB28" i="119"/>
  <c r="DA28" i="119"/>
  <c r="CZ28" i="119"/>
  <c r="CY28" i="119"/>
  <c r="CX28" i="119"/>
  <c r="CW28" i="119"/>
  <c r="CV28" i="119"/>
  <c r="CU28" i="119"/>
  <c r="BY28" i="119"/>
  <c r="BX28" i="119"/>
  <c r="BW28" i="119"/>
  <c r="BV28" i="119"/>
  <c r="BU28" i="119"/>
  <c r="BT28" i="119"/>
  <c r="BS28" i="119"/>
  <c r="BR28" i="119"/>
  <c r="CG28" i="119"/>
  <c r="CP28" i="119" s="1"/>
  <c r="CF28" i="119"/>
  <c r="CO28" i="119" s="1"/>
  <c r="CE28" i="119"/>
  <c r="CN28" i="119" s="1"/>
  <c r="CD28" i="119"/>
  <c r="CC28" i="119"/>
  <c r="CL28" i="119" s="1"/>
  <c r="CB28" i="119"/>
  <c r="CK28" i="119" s="1"/>
  <c r="CA28" i="119"/>
  <c r="CJ28" i="119" s="1"/>
  <c r="BG28" i="119"/>
  <c r="BF28" i="119"/>
  <c r="BE28" i="119"/>
  <c r="BD28" i="119"/>
  <c r="BC28" i="119"/>
  <c r="BB28" i="119"/>
  <c r="BA28" i="119"/>
  <c r="AZ28" i="119"/>
  <c r="DN27" i="119"/>
  <c r="DM27" i="119"/>
  <c r="DL27" i="119"/>
  <c r="DK27" i="119"/>
  <c r="DJ27" i="119"/>
  <c r="DI27" i="119"/>
  <c r="DH27" i="119"/>
  <c r="DG27" i="119"/>
  <c r="DF27" i="119"/>
  <c r="DB27" i="119"/>
  <c r="DA27" i="119"/>
  <c r="CZ27" i="119"/>
  <c r="CY27" i="119"/>
  <c r="CX27" i="119"/>
  <c r="CW27" i="119"/>
  <c r="CV27" i="119"/>
  <c r="CU27" i="119"/>
  <c r="BY27" i="119"/>
  <c r="BX27" i="119"/>
  <c r="BW27" i="119"/>
  <c r="BV27" i="119"/>
  <c r="BU27" i="119"/>
  <c r="BT27" i="119"/>
  <c r="BS27" i="119"/>
  <c r="BR27" i="119"/>
  <c r="CG27" i="119"/>
  <c r="CP27" i="119" s="1"/>
  <c r="CF27" i="119"/>
  <c r="CE27" i="119"/>
  <c r="CD27" i="119"/>
  <c r="CM27" i="119" s="1"/>
  <c r="CC27" i="119"/>
  <c r="CL27" i="119" s="1"/>
  <c r="CB27" i="119"/>
  <c r="CA27" i="119"/>
  <c r="CJ27" i="119" s="1"/>
  <c r="BG27" i="119"/>
  <c r="BF27" i="119"/>
  <c r="BE27" i="119"/>
  <c r="BD27" i="119"/>
  <c r="BC27" i="119"/>
  <c r="BB27" i="119"/>
  <c r="BA27" i="119"/>
  <c r="AZ27" i="119"/>
  <c r="DN26" i="119"/>
  <c r="DM26" i="119"/>
  <c r="DL26" i="119"/>
  <c r="DK26" i="119"/>
  <c r="DJ26" i="119"/>
  <c r="DI26" i="119"/>
  <c r="DH26" i="119"/>
  <c r="DG26" i="119"/>
  <c r="DF26" i="119"/>
  <c r="DB26" i="119"/>
  <c r="DA26" i="119"/>
  <c r="CZ26" i="119"/>
  <c r="CY26" i="119"/>
  <c r="CX26" i="119"/>
  <c r="CW26" i="119"/>
  <c r="CV26" i="119"/>
  <c r="CU26" i="119"/>
  <c r="CG26" i="119"/>
  <c r="BY26" i="119"/>
  <c r="BX26" i="119"/>
  <c r="BW26" i="119"/>
  <c r="BV26" i="119"/>
  <c r="BU26" i="119"/>
  <c r="BT26" i="119"/>
  <c r="BS26" i="119"/>
  <c r="BR26" i="119"/>
  <c r="CF26" i="119"/>
  <c r="CO26" i="119" s="1"/>
  <c r="CE26" i="119"/>
  <c r="CN26" i="119" s="1"/>
  <c r="CD26" i="119"/>
  <c r="CC26" i="119"/>
  <c r="CL26" i="119" s="1"/>
  <c r="CB26" i="119"/>
  <c r="CK26" i="119" s="1"/>
  <c r="CA26" i="119"/>
  <c r="CJ26" i="119" s="1"/>
  <c r="BG26" i="119"/>
  <c r="BF26" i="119"/>
  <c r="BE26" i="119"/>
  <c r="BD26" i="119"/>
  <c r="BC26" i="119"/>
  <c r="BB26" i="119"/>
  <c r="BA26" i="119"/>
  <c r="AZ26" i="119"/>
  <c r="DN25" i="119"/>
  <c r="DM25" i="119"/>
  <c r="DL25" i="119"/>
  <c r="DK25" i="119"/>
  <c r="DJ25" i="119"/>
  <c r="DI25" i="119"/>
  <c r="DH25" i="119"/>
  <c r="DG25" i="119"/>
  <c r="DF25" i="119"/>
  <c r="DB25" i="119"/>
  <c r="DA25" i="119"/>
  <c r="CZ25" i="119"/>
  <c r="CY25" i="119"/>
  <c r="CX25" i="119"/>
  <c r="CW25" i="119"/>
  <c r="CV25" i="119"/>
  <c r="CU25" i="119"/>
  <c r="BY25" i="119"/>
  <c r="BX25" i="119"/>
  <c r="BW25" i="119"/>
  <c r="BV25" i="119"/>
  <c r="BU25" i="119"/>
  <c r="BT25" i="119"/>
  <c r="BS25" i="119"/>
  <c r="BR25" i="119"/>
  <c r="CG25" i="119"/>
  <c r="CP25" i="119" s="1"/>
  <c r="CF25" i="119"/>
  <c r="CE25" i="119"/>
  <c r="CN25" i="119" s="1"/>
  <c r="CD25" i="119"/>
  <c r="CM25" i="119" s="1"/>
  <c r="CC25" i="119"/>
  <c r="CL25" i="119" s="1"/>
  <c r="CB25" i="119"/>
  <c r="CK25" i="119" s="1"/>
  <c r="CA25" i="119"/>
  <c r="BG25" i="119"/>
  <c r="BF25" i="119"/>
  <c r="BE25" i="119"/>
  <c r="BD25" i="119"/>
  <c r="BC25" i="119"/>
  <c r="BB25" i="119"/>
  <c r="BA25" i="119"/>
  <c r="AZ25" i="119"/>
  <c r="DN24" i="119"/>
  <c r="DM24" i="119"/>
  <c r="DL24" i="119"/>
  <c r="DK24" i="119"/>
  <c r="DJ24" i="119"/>
  <c r="DI24" i="119"/>
  <c r="DH24" i="119"/>
  <c r="DG24" i="119"/>
  <c r="DF24" i="119"/>
  <c r="DB24" i="119"/>
  <c r="DA24" i="119"/>
  <c r="CZ24" i="119"/>
  <c r="CY24" i="119"/>
  <c r="CX24" i="119"/>
  <c r="CW24" i="119"/>
  <c r="CV24" i="119"/>
  <c r="CU24" i="119"/>
  <c r="BY24" i="119"/>
  <c r="BX24" i="119"/>
  <c r="BW24" i="119"/>
  <c r="BV24" i="119"/>
  <c r="BU24" i="119"/>
  <c r="BT24" i="119"/>
  <c r="BS24" i="119"/>
  <c r="BR24" i="119"/>
  <c r="CG24" i="119"/>
  <c r="CP24" i="119" s="1"/>
  <c r="CF24" i="119"/>
  <c r="CO24" i="119" s="1"/>
  <c r="CE24" i="119"/>
  <c r="CN24" i="119" s="1"/>
  <c r="CD24" i="119"/>
  <c r="CC24" i="119"/>
  <c r="CB24" i="119"/>
  <c r="CK24" i="119" s="1"/>
  <c r="CA24" i="119"/>
  <c r="BG24" i="119"/>
  <c r="BF24" i="119"/>
  <c r="BE24" i="119"/>
  <c r="BD24" i="119"/>
  <c r="BC24" i="119"/>
  <c r="BB24" i="119"/>
  <c r="BA24" i="119"/>
  <c r="AZ24" i="119"/>
  <c r="DN23" i="119"/>
  <c r="DM23" i="119"/>
  <c r="DL23" i="119"/>
  <c r="DK23" i="119"/>
  <c r="DJ23" i="119"/>
  <c r="DI23" i="119"/>
  <c r="DH23" i="119"/>
  <c r="DG23" i="119"/>
  <c r="DF23" i="119"/>
  <c r="DB23" i="119"/>
  <c r="DA23" i="119"/>
  <c r="CZ23" i="119"/>
  <c r="CY23" i="119"/>
  <c r="CX23" i="119"/>
  <c r="CW23" i="119"/>
  <c r="CV23" i="119"/>
  <c r="CU23" i="119"/>
  <c r="CC23" i="119"/>
  <c r="BY23" i="119"/>
  <c r="BX23" i="119"/>
  <c r="BW23" i="119"/>
  <c r="BV23" i="119"/>
  <c r="BU23" i="119"/>
  <c r="BT23" i="119"/>
  <c r="BS23" i="119"/>
  <c r="BR23" i="119"/>
  <c r="CG23" i="119"/>
  <c r="CP23" i="119" s="1"/>
  <c r="CF23" i="119"/>
  <c r="CE23" i="119"/>
  <c r="CN23" i="119" s="1"/>
  <c r="CD23" i="119"/>
  <c r="CM23" i="119" s="1"/>
  <c r="CB23" i="119"/>
  <c r="CK23" i="119" s="1"/>
  <c r="CA23" i="119"/>
  <c r="CJ23" i="119" s="1"/>
  <c r="BG23" i="119"/>
  <c r="BF23" i="119"/>
  <c r="BE23" i="119"/>
  <c r="BD23" i="119"/>
  <c r="BC23" i="119"/>
  <c r="BB23" i="119"/>
  <c r="BA23" i="119"/>
  <c r="AZ23" i="119"/>
  <c r="DN22" i="119"/>
  <c r="DM22" i="119"/>
  <c r="DL22" i="119"/>
  <c r="DK22" i="119"/>
  <c r="DJ22" i="119"/>
  <c r="DI22" i="119"/>
  <c r="DH22" i="119"/>
  <c r="DG22" i="119"/>
  <c r="DF22" i="119"/>
  <c r="DB22" i="119"/>
  <c r="DA22" i="119"/>
  <c r="CZ22" i="119"/>
  <c r="CY22" i="119"/>
  <c r="CX22" i="119"/>
  <c r="CW22" i="119"/>
  <c r="CV22" i="119"/>
  <c r="CU22" i="119"/>
  <c r="BY22" i="119"/>
  <c r="BX22" i="119"/>
  <c r="BW22" i="119"/>
  <c r="BV22" i="119"/>
  <c r="BU22" i="119"/>
  <c r="BT22" i="119"/>
  <c r="BS22" i="119"/>
  <c r="BR22" i="119"/>
  <c r="CG22" i="119"/>
  <c r="CP22" i="119" s="1"/>
  <c r="CF22" i="119"/>
  <c r="CO22" i="119" s="1"/>
  <c r="CE22" i="119"/>
  <c r="CN22" i="119" s="1"/>
  <c r="CD22" i="119"/>
  <c r="CM22" i="119" s="1"/>
  <c r="CC22" i="119"/>
  <c r="CL22" i="119" s="1"/>
  <c r="CB22" i="119"/>
  <c r="CK22" i="119" s="1"/>
  <c r="CA22" i="119"/>
  <c r="CJ22" i="119" s="1"/>
  <c r="BG22" i="119"/>
  <c r="BF22" i="119"/>
  <c r="BE22" i="119"/>
  <c r="BD22" i="119"/>
  <c r="BC22" i="119"/>
  <c r="BB22" i="119"/>
  <c r="BA22" i="119"/>
  <c r="AZ22" i="119"/>
  <c r="DN21" i="119"/>
  <c r="DM21" i="119"/>
  <c r="DL21" i="119"/>
  <c r="DK21" i="119"/>
  <c r="DJ21" i="119"/>
  <c r="DI21" i="119"/>
  <c r="DH21" i="119"/>
  <c r="DG21" i="119"/>
  <c r="DF21" i="119"/>
  <c r="DB21" i="119"/>
  <c r="DA21" i="119"/>
  <c r="CZ21" i="119"/>
  <c r="CY21" i="119"/>
  <c r="CX21" i="119"/>
  <c r="CW21" i="119"/>
  <c r="CV21" i="119"/>
  <c r="CU21" i="119"/>
  <c r="BY21" i="119"/>
  <c r="BX21" i="119"/>
  <c r="BW21" i="119"/>
  <c r="BV21" i="119"/>
  <c r="BU21" i="119"/>
  <c r="BT21" i="119"/>
  <c r="BS21" i="119"/>
  <c r="BR21" i="119"/>
  <c r="CG21" i="119"/>
  <c r="CP21" i="119" s="1"/>
  <c r="CF21" i="119"/>
  <c r="CO21" i="119" s="1"/>
  <c r="CE21" i="119"/>
  <c r="CN21" i="119" s="1"/>
  <c r="CD21" i="119"/>
  <c r="CM21" i="119" s="1"/>
  <c r="CC21" i="119"/>
  <c r="CB21" i="119"/>
  <c r="CK21" i="119" s="1"/>
  <c r="CA21" i="119"/>
  <c r="CJ21" i="119" s="1"/>
  <c r="BG21" i="119"/>
  <c r="BF21" i="119"/>
  <c r="BE21" i="119"/>
  <c r="BD21" i="119"/>
  <c r="BC21" i="119"/>
  <c r="AH21" i="119" s="1"/>
  <c r="BB21" i="119"/>
  <c r="BA21" i="119"/>
  <c r="AZ21" i="119"/>
  <c r="DN20" i="119"/>
  <c r="DM20" i="119"/>
  <c r="DL20" i="119"/>
  <c r="DK20" i="119"/>
  <c r="DJ20" i="119"/>
  <c r="DI20" i="119"/>
  <c r="DH20" i="119"/>
  <c r="DG20" i="119"/>
  <c r="DF20" i="119"/>
  <c r="DB20" i="119"/>
  <c r="DA20" i="119"/>
  <c r="CZ20" i="119"/>
  <c r="CY20" i="119"/>
  <c r="CX20" i="119"/>
  <c r="CW20" i="119"/>
  <c r="CV20" i="119"/>
  <c r="CU20" i="119"/>
  <c r="BY20" i="119"/>
  <c r="BX20" i="119"/>
  <c r="BW20" i="119"/>
  <c r="BV20" i="119"/>
  <c r="BU20" i="119"/>
  <c r="BT20" i="119"/>
  <c r="BS20" i="119"/>
  <c r="BR20" i="119"/>
  <c r="CG20" i="119"/>
  <c r="CP20" i="119" s="1"/>
  <c r="CF20" i="119"/>
  <c r="CO20" i="119" s="1"/>
  <c r="CE20" i="119"/>
  <c r="CN20" i="119" s="1"/>
  <c r="CD20" i="119"/>
  <c r="CM20" i="119" s="1"/>
  <c r="CC20" i="119"/>
  <c r="CL20" i="119" s="1"/>
  <c r="CB20" i="119"/>
  <c r="CA20" i="119"/>
  <c r="CJ20" i="119" s="1"/>
  <c r="BG20" i="119"/>
  <c r="BF20" i="119"/>
  <c r="BE20" i="119"/>
  <c r="BD20" i="119"/>
  <c r="BC20" i="119"/>
  <c r="BB20" i="119"/>
  <c r="BA20" i="119"/>
  <c r="AZ20" i="119"/>
  <c r="DN19" i="119"/>
  <c r="DM19" i="119"/>
  <c r="DL19" i="119"/>
  <c r="DK19" i="119"/>
  <c r="DJ19" i="119"/>
  <c r="DI19" i="119"/>
  <c r="DH19" i="119"/>
  <c r="DG19" i="119"/>
  <c r="DF19" i="119"/>
  <c r="DB19" i="119"/>
  <c r="DA19" i="119"/>
  <c r="CZ19" i="119"/>
  <c r="CY19" i="119"/>
  <c r="CX19" i="119"/>
  <c r="CW19" i="119"/>
  <c r="CV19" i="119"/>
  <c r="CU19" i="119"/>
  <c r="BY19" i="119"/>
  <c r="BX19" i="119"/>
  <c r="BW19" i="119"/>
  <c r="BV19" i="119"/>
  <c r="BU19" i="119"/>
  <c r="BT19" i="119"/>
  <c r="BS19" i="119"/>
  <c r="BR19" i="119"/>
  <c r="CG19" i="119"/>
  <c r="CF19" i="119"/>
  <c r="CE19" i="119"/>
  <c r="CN19" i="119" s="1"/>
  <c r="CD19" i="119"/>
  <c r="CM19" i="119" s="1"/>
  <c r="CC19" i="119"/>
  <c r="CB19" i="119"/>
  <c r="CK19" i="119" s="1"/>
  <c r="CA19" i="119"/>
  <c r="CJ19" i="119" s="1"/>
  <c r="BG19" i="119"/>
  <c r="BF19" i="119"/>
  <c r="BE19" i="119"/>
  <c r="BD19" i="119"/>
  <c r="BC19" i="119"/>
  <c r="BB19" i="119"/>
  <c r="BA19" i="119"/>
  <c r="AZ19" i="119"/>
  <c r="DN18" i="119"/>
  <c r="DM18" i="119"/>
  <c r="DL18" i="119"/>
  <c r="DK18" i="119"/>
  <c r="DJ18" i="119"/>
  <c r="DI18" i="119"/>
  <c r="DH18" i="119"/>
  <c r="DG18" i="119"/>
  <c r="DF18" i="119"/>
  <c r="DB18" i="119"/>
  <c r="DA18" i="119"/>
  <c r="CZ18" i="119"/>
  <c r="CY18" i="119"/>
  <c r="CX18" i="119"/>
  <c r="CW18" i="119"/>
  <c r="CV18" i="119"/>
  <c r="CU18" i="119"/>
  <c r="BY18" i="119"/>
  <c r="BX18" i="119"/>
  <c r="BW18" i="119"/>
  <c r="BV18" i="119"/>
  <c r="BU18" i="119"/>
  <c r="BT18" i="119"/>
  <c r="BS18" i="119"/>
  <c r="BR18" i="119"/>
  <c r="CH18" i="119"/>
  <c r="CQ18" i="119" s="1"/>
  <c r="CG18" i="119"/>
  <c r="CP18" i="119" s="1"/>
  <c r="CF18" i="119"/>
  <c r="CE18" i="119"/>
  <c r="CN18" i="119" s="1"/>
  <c r="CD18" i="119"/>
  <c r="CM18" i="119" s="1"/>
  <c r="CC18" i="119"/>
  <c r="CL18" i="119" s="1"/>
  <c r="CB18" i="119"/>
  <c r="CK18" i="119" s="1"/>
  <c r="CA18" i="119"/>
  <c r="BG18" i="119"/>
  <c r="BF18" i="119"/>
  <c r="BE18" i="119"/>
  <c r="BD18" i="119"/>
  <c r="BC18" i="119"/>
  <c r="BB18" i="119"/>
  <c r="BA18" i="119"/>
  <c r="AZ18" i="119"/>
  <c r="DN17" i="119"/>
  <c r="DM17" i="119"/>
  <c r="DL17" i="119"/>
  <c r="DK17" i="119"/>
  <c r="DJ17" i="119"/>
  <c r="DI17" i="119"/>
  <c r="DH17" i="119"/>
  <c r="DG17" i="119"/>
  <c r="DF17" i="119"/>
  <c r="DB17" i="119"/>
  <c r="DA17" i="119"/>
  <c r="CZ17" i="119"/>
  <c r="CY17" i="119"/>
  <c r="CX17" i="119"/>
  <c r="CW17" i="119"/>
  <c r="CV17" i="119"/>
  <c r="CU17" i="119"/>
  <c r="BY17" i="119"/>
  <c r="BX17" i="119"/>
  <c r="BW17" i="119"/>
  <c r="BV17" i="119"/>
  <c r="BU17" i="119"/>
  <c r="BT17" i="119"/>
  <c r="BS17" i="119"/>
  <c r="BR17" i="119"/>
  <c r="CG17" i="119"/>
  <c r="CP17" i="119" s="1"/>
  <c r="CF17" i="119"/>
  <c r="CO17" i="119" s="1"/>
  <c r="CE17" i="119"/>
  <c r="CN17" i="119" s="1"/>
  <c r="CD17" i="119"/>
  <c r="CM17" i="119" s="1"/>
  <c r="CC17" i="119"/>
  <c r="CB17" i="119"/>
  <c r="CK17" i="119" s="1"/>
  <c r="CA17" i="119"/>
  <c r="CJ17" i="119" s="1"/>
  <c r="BG17" i="119"/>
  <c r="BF17" i="119"/>
  <c r="BE17" i="119"/>
  <c r="BD17" i="119"/>
  <c r="BC17" i="119"/>
  <c r="BB17" i="119"/>
  <c r="BA17" i="119"/>
  <c r="AZ17" i="119"/>
  <c r="DN16" i="119"/>
  <c r="DM16" i="119"/>
  <c r="DL16" i="119"/>
  <c r="DK16" i="119"/>
  <c r="DJ16" i="119"/>
  <c r="DI16" i="119"/>
  <c r="DH16" i="119"/>
  <c r="DG16" i="119"/>
  <c r="DF16" i="119"/>
  <c r="DB16" i="119"/>
  <c r="DA16" i="119"/>
  <c r="CZ16" i="119"/>
  <c r="CY16" i="119"/>
  <c r="CX16" i="119"/>
  <c r="CW16" i="119"/>
  <c r="CV16" i="119"/>
  <c r="CU16" i="119"/>
  <c r="BY16" i="119"/>
  <c r="BX16" i="119"/>
  <c r="BW16" i="119"/>
  <c r="BV16" i="119"/>
  <c r="BU16" i="119"/>
  <c r="BT16" i="119"/>
  <c r="BS16" i="119"/>
  <c r="BR16" i="119"/>
  <c r="CG16" i="119"/>
  <c r="CP16" i="119" s="1"/>
  <c r="CF16" i="119"/>
  <c r="CO16" i="119" s="1"/>
  <c r="CE16" i="119"/>
  <c r="CN16" i="119" s="1"/>
  <c r="CD16" i="119"/>
  <c r="CM16" i="119" s="1"/>
  <c r="CC16" i="119"/>
  <c r="CL16" i="119" s="1"/>
  <c r="CB16" i="119"/>
  <c r="CK16" i="119" s="1"/>
  <c r="CA16" i="119"/>
  <c r="CJ16" i="119" s="1"/>
  <c r="BG16" i="119"/>
  <c r="BF16" i="119"/>
  <c r="BE16" i="119"/>
  <c r="BD16" i="119"/>
  <c r="BC16" i="119"/>
  <c r="BB16" i="119"/>
  <c r="BA16" i="119"/>
  <c r="AZ16" i="119"/>
  <c r="DN15" i="119"/>
  <c r="DM15" i="119"/>
  <c r="DL15" i="119"/>
  <c r="DK15" i="119"/>
  <c r="DJ15" i="119"/>
  <c r="DI15" i="119"/>
  <c r="DH15" i="119"/>
  <c r="DG15" i="119"/>
  <c r="DF15" i="119"/>
  <c r="DB15" i="119"/>
  <c r="DA15" i="119"/>
  <c r="CZ15" i="119"/>
  <c r="CY15" i="119"/>
  <c r="CX15" i="119"/>
  <c r="CW15" i="119"/>
  <c r="CV15" i="119"/>
  <c r="CU15" i="119"/>
  <c r="BY15" i="119"/>
  <c r="BX15" i="119"/>
  <c r="BW15" i="119"/>
  <c r="BV15" i="119"/>
  <c r="BU15" i="119"/>
  <c r="BT15" i="119"/>
  <c r="BS15" i="119"/>
  <c r="BR15" i="119"/>
  <c r="CG15" i="119"/>
  <c r="CF15" i="119"/>
  <c r="CO15" i="119" s="1"/>
  <c r="CE15" i="119"/>
  <c r="CD15" i="119"/>
  <c r="CC15" i="119"/>
  <c r="CL15" i="119" s="1"/>
  <c r="CB15" i="119"/>
  <c r="CK15" i="119" s="1"/>
  <c r="CA15" i="119"/>
  <c r="CJ15" i="119" s="1"/>
  <c r="BG15" i="119"/>
  <c r="BF15" i="119"/>
  <c r="BE15" i="119"/>
  <c r="BD15" i="119"/>
  <c r="BC15" i="119"/>
  <c r="BB15" i="119"/>
  <c r="BA15" i="119"/>
  <c r="AZ15" i="119"/>
  <c r="DN14" i="119"/>
  <c r="DM14" i="119"/>
  <c r="DL14" i="119"/>
  <c r="DK14" i="119"/>
  <c r="DJ14" i="119"/>
  <c r="DI14" i="119"/>
  <c r="DH14" i="119"/>
  <c r="DG14" i="119"/>
  <c r="DF14" i="119"/>
  <c r="DB14" i="119"/>
  <c r="DA14" i="119"/>
  <c r="CZ14" i="119"/>
  <c r="CY14" i="119"/>
  <c r="CX14" i="119"/>
  <c r="CW14" i="119"/>
  <c r="CV14" i="119"/>
  <c r="CU14" i="119"/>
  <c r="BY14" i="119"/>
  <c r="BX14" i="119"/>
  <c r="BW14" i="119"/>
  <c r="BV14" i="119"/>
  <c r="BU14" i="119"/>
  <c r="BT14" i="119"/>
  <c r="BS14" i="119"/>
  <c r="BR14" i="119"/>
  <c r="CG14" i="119"/>
  <c r="CP14" i="119" s="1"/>
  <c r="CF14" i="119"/>
  <c r="CE14" i="119"/>
  <c r="CN14" i="119" s="1"/>
  <c r="CD14" i="119"/>
  <c r="CM14" i="119" s="1"/>
  <c r="CC14" i="119"/>
  <c r="CL14" i="119" s="1"/>
  <c r="CB14" i="119"/>
  <c r="CA14" i="119"/>
  <c r="BG14" i="119"/>
  <c r="BF14" i="119"/>
  <c r="BE14" i="119"/>
  <c r="BD14" i="119"/>
  <c r="BC14" i="119"/>
  <c r="BB14" i="119"/>
  <c r="BA14" i="119"/>
  <c r="AZ14" i="119"/>
  <c r="DN13" i="119"/>
  <c r="DM13" i="119"/>
  <c r="DL13" i="119"/>
  <c r="DK13" i="119"/>
  <c r="DJ13" i="119"/>
  <c r="DI13" i="119"/>
  <c r="DH13" i="119"/>
  <c r="DG13" i="119"/>
  <c r="DF13" i="119"/>
  <c r="DB13" i="119"/>
  <c r="DA13" i="119"/>
  <c r="CZ13" i="119"/>
  <c r="CY13" i="119"/>
  <c r="CX13" i="119"/>
  <c r="CW13" i="119"/>
  <c r="CV13" i="119"/>
  <c r="CU13" i="119"/>
  <c r="BY13" i="119"/>
  <c r="BX13" i="119"/>
  <c r="BW13" i="119"/>
  <c r="BV13" i="119"/>
  <c r="BU13" i="119"/>
  <c r="BT13" i="119"/>
  <c r="BS13" i="119"/>
  <c r="BR13" i="119"/>
  <c r="CG13" i="119"/>
  <c r="CF13" i="119"/>
  <c r="CO13" i="119" s="1"/>
  <c r="CE13" i="119"/>
  <c r="CN13" i="119" s="1"/>
  <c r="CD13" i="119"/>
  <c r="CM13" i="119" s="1"/>
  <c r="CC13" i="119"/>
  <c r="CL13" i="119" s="1"/>
  <c r="CB13" i="119"/>
  <c r="CK13" i="119" s="1"/>
  <c r="CA13" i="119"/>
  <c r="CJ13" i="119" s="1"/>
  <c r="BG13" i="119"/>
  <c r="BF13" i="119"/>
  <c r="BE13" i="119"/>
  <c r="BD13" i="119"/>
  <c r="BC13" i="119"/>
  <c r="BB13" i="119"/>
  <c r="BA13" i="119"/>
  <c r="AZ13" i="119"/>
  <c r="DN12" i="119"/>
  <c r="DM12" i="119"/>
  <c r="DL12" i="119"/>
  <c r="DK12" i="119"/>
  <c r="DJ12" i="119"/>
  <c r="DI12" i="119"/>
  <c r="DH12" i="119"/>
  <c r="DG12" i="119"/>
  <c r="DF12" i="119"/>
  <c r="DB12" i="119"/>
  <c r="DA12" i="119"/>
  <c r="CZ12" i="119"/>
  <c r="CY12" i="119"/>
  <c r="CX12" i="119"/>
  <c r="CW12" i="119"/>
  <c r="CV12" i="119"/>
  <c r="CU12" i="119"/>
  <c r="BY12" i="119"/>
  <c r="BX12" i="119"/>
  <c r="BW12" i="119"/>
  <c r="BV12" i="119"/>
  <c r="BU12" i="119"/>
  <c r="BT12" i="119"/>
  <c r="BS12" i="119"/>
  <c r="BR12" i="119"/>
  <c r="CG12" i="119"/>
  <c r="CP12" i="119" s="1"/>
  <c r="CF12" i="119"/>
  <c r="CO12" i="119" s="1"/>
  <c r="CE12" i="119"/>
  <c r="CD12" i="119"/>
  <c r="CM12" i="119" s="1"/>
  <c r="CC12" i="119"/>
  <c r="CL12" i="119" s="1"/>
  <c r="CB12" i="119"/>
  <c r="CK12" i="119" s="1"/>
  <c r="CA12" i="119"/>
  <c r="BG12" i="119"/>
  <c r="BF12" i="119"/>
  <c r="AH12" i="119" s="1"/>
  <c r="BE12" i="119"/>
  <c r="BD12" i="119"/>
  <c r="BC12" i="119"/>
  <c r="BB12" i="119"/>
  <c r="BA12" i="119"/>
  <c r="AZ12" i="119"/>
  <c r="DN11" i="119"/>
  <c r="DM11" i="119"/>
  <c r="DL11" i="119"/>
  <c r="DK11" i="119"/>
  <c r="DJ11" i="119"/>
  <c r="DI11" i="119"/>
  <c r="DH11" i="119"/>
  <c r="DG11" i="119"/>
  <c r="DF11" i="119"/>
  <c r="DB11" i="119"/>
  <c r="DA11" i="119"/>
  <c r="CZ11" i="119"/>
  <c r="CY11" i="119"/>
  <c r="CX11" i="119"/>
  <c r="CW11" i="119"/>
  <c r="CV11" i="119"/>
  <c r="CU11" i="119"/>
  <c r="BY11" i="119"/>
  <c r="BX11" i="119"/>
  <c r="BW11" i="119"/>
  <c r="BV11" i="119"/>
  <c r="BU11" i="119"/>
  <c r="BT11" i="119"/>
  <c r="BS11" i="119"/>
  <c r="BR11" i="119"/>
  <c r="CG11" i="119"/>
  <c r="CP11" i="119" s="1"/>
  <c r="CF11" i="119"/>
  <c r="CO11" i="119" s="1"/>
  <c r="CE11" i="119"/>
  <c r="CN11" i="119" s="1"/>
  <c r="CD11" i="119"/>
  <c r="CM11" i="119" s="1"/>
  <c r="CC11" i="119"/>
  <c r="CL11" i="119" s="1"/>
  <c r="CB11" i="119"/>
  <c r="CK11" i="119" s="1"/>
  <c r="CA11" i="119"/>
  <c r="CJ11" i="119" s="1"/>
  <c r="BG11" i="119"/>
  <c r="BF11" i="119"/>
  <c r="BE11" i="119"/>
  <c r="BD11" i="119"/>
  <c r="BC11" i="119"/>
  <c r="BB11" i="119"/>
  <c r="BA11" i="119"/>
  <c r="AZ11" i="119"/>
  <c r="DN10" i="119"/>
  <c r="DM10" i="119"/>
  <c r="DL10" i="119"/>
  <c r="DK10" i="119"/>
  <c r="DJ10" i="119"/>
  <c r="DI10" i="119"/>
  <c r="DH10" i="119"/>
  <c r="DG10" i="119"/>
  <c r="DF10" i="119"/>
  <c r="DB10" i="119"/>
  <c r="DA10" i="119"/>
  <c r="CZ10" i="119"/>
  <c r="CY10" i="119"/>
  <c r="CX10" i="119"/>
  <c r="CW10" i="119"/>
  <c r="CV10" i="119"/>
  <c r="CU10" i="119"/>
  <c r="CH10" i="119"/>
  <c r="CQ10" i="119" s="1"/>
  <c r="CG10" i="119"/>
  <c r="CP10" i="119" s="1"/>
  <c r="BY10" i="119"/>
  <c r="BX10" i="119"/>
  <c r="BW10" i="119"/>
  <c r="CF10" i="119" s="1"/>
  <c r="CO10" i="119" s="1"/>
  <c r="BV10" i="119"/>
  <c r="BU10" i="119"/>
  <c r="CD10" i="119" s="1"/>
  <c r="CM10" i="119" s="1"/>
  <c r="BT10" i="119"/>
  <c r="BS10" i="119"/>
  <c r="BR10" i="119"/>
  <c r="CA10" i="119" s="1"/>
  <c r="CJ10" i="119" s="1"/>
  <c r="CC10" i="119"/>
  <c r="BG10" i="119"/>
  <c r="BF10" i="119"/>
  <c r="BE10" i="119"/>
  <c r="BD10" i="119"/>
  <c r="BC10" i="119"/>
  <c r="BB10" i="119"/>
  <c r="BA10" i="119"/>
  <c r="AZ10" i="119"/>
  <c r="W10" i="119"/>
  <c r="W11" i="119" s="1"/>
  <c r="W12" i="119" s="1"/>
  <c r="W13" i="119" s="1"/>
  <c r="W14" i="119" s="1"/>
  <c r="W15" i="119" s="1"/>
  <c r="W16" i="119" s="1"/>
  <c r="W17" i="119" s="1"/>
  <c r="W18" i="119" s="1"/>
  <c r="W19" i="119" s="1"/>
  <c r="W20" i="119" s="1"/>
  <c r="W21" i="119" s="1"/>
  <c r="W22" i="119" s="1"/>
  <c r="W23" i="119" s="1"/>
  <c r="W24" i="119" s="1"/>
  <c r="W25" i="119" s="1"/>
  <c r="W26" i="119" s="1"/>
  <c r="W27" i="119" s="1"/>
  <c r="W28" i="119" s="1"/>
  <c r="W29" i="119" s="1"/>
  <c r="W30" i="119" s="1"/>
  <c r="W31" i="119" s="1"/>
  <c r="W32" i="119" s="1"/>
  <c r="W33" i="119" s="1"/>
  <c r="W34" i="119" s="1"/>
  <c r="W35" i="119" s="1"/>
  <c r="W36" i="119" s="1"/>
  <c r="W37" i="119" s="1"/>
  <c r="W38" i="119" s="1"/>
  <c r="W39" i="119" s="1"/>
  <c r="W40" i="119" s="1"/>
  <c r="W41" i="119" s="1"/>
  <c r="W42" i="119" s="1"/>
  <c r="W43" i="119" s="1"/>
  <c r="W44" i="119" s="1"/>
  <c r="W45" i="119" s="1"/>
  <c r="W46" i="119" s="1"/>
  <c r="A10" i="119"/>
  <c r="A11" i="119" s="1"/>
  <c r="A12" i="119" s="1"/>
  <c r="A13" i="119" s="1"/>
  <c r="A14" i="119" s="1"/>
  <c r="A15" i="119" s="1"/>
  <c r="A16" i="119" s="1"/>
  <c r="A17" i="119" s="1"/>
  <c r="A18" i="119" s="1"/>
  <c r="A19" i="119" s="1"/>
  <c r="A20" i="119" s="1"/>
  <c r="A21" i="119" s="1"/>
  <c r="A22" i="119" s="1"/>
  <c r="A23" i="119" s="1"/>
  <c r="A24" i="119" s="1"/>
  <c r="A25" i="119" s="1"/>
  <c r="A26" i="119" s="1"/>
  <c r="A27" i="119" s="1"/>
  <c r="A28" i="119" s="1"/>
  <c r="A29" i="119" s="1"/>
  <c r="A30" i="119" s="1"/>
  <c r="A31" i="119" s="1"/>
  <c r="A32" i="119" s="1"/>
  <c r="A33" i="119" s="1"/>
  <c r="A34" i="119" s="1"/>
  <c r="A35" i="119" s="1"/>
  <c r="A36" i="119" s="1"/>
  <c r="A37" i="119" s="1"/>
  <c r="A38" i="119" s="1"/>
  <c r="A39" i="119" s="1"/>
  <c r="A40" i="119" s="1"/>
  <c r="A41" i="119" s="1"/>
  <c r="A42" i="119" s="1"/>
  <c r="A43" i="119" s="1"/>
  <c r="A44" i="119" s="1"/>
  <c r="A45" i="119" s="1"/>
  <c r="A46" i="119" s="1"/>
  <c r="DN9" i="119"/>
  <c r="DM9" i="119"/>
  <c r="DL9" i="119"/>
  <c r="DK9" i="119"/>
  <c r="DJ9" i="119"/>
  <c r="DI9" i="119"/>
  <c r="DH9" i="119"/>
  <c r="DG9" i="119"/>
  <c r="DF9" i="119"/>
  <c r="DB9" i="119"/>
  <c r="DA9" i="119"/>
  <c r="CZ9" i="119"/>
  <c r="CY9" i="119"/>
  <c r="CX9" i="119"/>
  <c r="CW9" i="119"/>
  <c r="CV9" i="119"/>
  <c r="CU9" i="119"/>
  <c r="CF9" i="119"/>
  <c r="BY9" i="119"/>
  <c r="BX9" i="119"/>
  <c r="CG9" i="119" s="1"/>
  <c r="CP9" i="119" s="1"/>
  <c r="BW9" i="119"/>
  <c r="BV9" i="119"/>
  <c r="CE9" i="119" s="1"/>
  <c r="CN9" i="119" s="1"/>
  <c r="BU9" i="119"/>
  <c r="BT9" i="119"/>
  <c r="BS9" i="119"/>
  <c r="CB9" i="119" s="1"/>
  <c r="BR9" i="119"/>
  <c r="CC9" i="119"/>
  <c r="CL9" i="119" s="1"/>
  <c r="BG9" i="119"/>
  <c r="BF9" i="119"/>
  <c r="BE9" i="119"/>
  <c r="BD9" i="119"/>
  <c r="BC9" i="119"/>
  <c r="BB9" i="119"/>
  <c r="BA9" i="119"/>
  <c r="AZ9" i="119"/>
  <c r="Q5" i="119"/>
  <c r="CR3" i="119"/>
  <c r="BI11" i="118"/>
  <c r="BJ11" i="118"/>
  <c r="BK11" i="118"/>
  <c r="BL11" i="118"/>
  <c r="BM11" i="118"/>
  <c r="BN11" i="118"/>
  <c r="CF11" i="118" s="1"/>
  <c r="CO11" i="118" s="1"/>
  <c r="BO11" i="118"/>
  <c r="CG11" i="118" s="1"/>
  <c r="CP11" i="118" s="1"/>
  <c r="BP11" i="118"/>
  <c r="CH11" i="118" s="1"/>
  <c r="CQ11" i="118" s="1"/>
  <c r="BI12" i="118"/>
  <c r="BJ12" i="118"/>
  <c r="BK12" i="118"/>
  <c r="BL12" i="118"/>
  <c r="BM12" i="118"/>
  <c r="BN12" i="118"/>
  <c r="CF12" i="118" s="1"/>
  <c r="CO12" i="118" s="1"/>
  <c r="BO12" i="118"/>
  <c r="CG12" i="118" s="1"/>
  <c r="CP12" i="118" s="1"/>
  <c r="BP12" i="118"/>
  <c r="CH12" i="118" s="1"/>
  <c r="CQ12" i="118" s="1"/>
  <c r="BI13" i="118"/>
  <c r="BJ13" i="118"/>
  <c r="BK13" i="118"/>
  <c r="BL13" i="118"/>
  <c r="BM13" i="118"/>
  <c r="BN13" i="118"/>
  <c r="CF13" i="118" s="1"/>
  <c r="CO13" i="118" s="1"/>
  <c r="BO13" i="118"/>
  <c r="CG13" i="118" s="1"/>
  <c r="BP13" i="118"/>
  <c r="CH13" i="118" s="1"/>
  <c r="CQ13" i="118" s="1"/>
  <c r="BI14" i="118"/>
  <c r="BJ14" i="118"/>
  <c r="BK14" i="118"/>
  <c r="BL14" i="118"/>
  <c r="BM14" i="118"/>
  <c r="BN14" i="118"/>
  <c r="CF14" i="118" s="1"/>
  <c r="CO14" i="118" s="1"/>
  <c r="BO14" i="118"/>
  <c r="CG14" i="118" s="1"/>
  <c r="CP14" i="118" s="1"/>
  <c r="BP14" i="118"/>
  <c r="BI15" i="118"/>
  <c r="BJ15" i="118"/>
  <c r="BK15" i="118"/>
  <c r="BL15" i="118"/>
  <c r="BM15" i="118"/>
  <c r="BN15" i="118"/>
  <c r="CF15" i="118" s="1"/>
  <c r="CO15" i="118" s="1"/>
  <c r="BO15" i="118"/>
  <c r="CG15" i="118" s="1"/>
  <c r="CP15" i="118" s="1"/>
  <c r="BP15" i="118"/>
  <c r="BI16" i="118"/>
  <c r="BJ16" i="118"/>
  <c r="BK16" i="118"/>
  <c r="BL16" i="118"/>
  <c r="BM16" i="118"/>
  <c r="BN16" i="118"/>
  <c r="CF16" i="118" s="1"/>
  <c r="CO16" i="118" s="1"/>
  <c r="BO16" i="118"/>
  <c r="BP16" i="118"/>
  <c r="CH16" i="118" s="1"/>
  <c r="CQ16" i="118" s="1"/>
  <c r="BI17" i="118"/>
  <c r="BJ17" i="118"/>
  <c r="BK17" i="118"/>
  <c r="BL17" i="118"/>
  <c r="BM17" i="118"/>
  <c r="BN17" i="118"/>
  <c r="CF17" i="118" s="1"/>
  <c r="CO17" i="118" s="1"/>
  <c r="BO17" i="118"/>
  <c r="BP17" i="118"/>
  <c r="CH17" i="118" s="1"/>
  <c r="CQ17" i="118" s="1"/>
  <c r="BI18" i="118"/>
  <c r="BJ18" i="118"/>
  <c r="BK18" i="118"/>
  <c r="BL18" i="118"/>
  <c r="BM18" i="118"/>
  <c r="BN18" i="118"/>
  <c r="BO18" i="118"/>
  <c r="CG18" i="118" s="1"/>
  <c r="CP18" i="118" s="1"/>
  <c r="BP18" i="118"/>
  <c r="CH18" i="118" s="1"/>
  <c r="CQ18" i="118" s="1"/>
  <c r="BI19" i="118"/>
  <c r="BJ19" i="118"/>
  <c r="BK19" i="118"/>
  <c r="BL19" i="118"/>
  <c r="BM19" i="118"/>
  <c r="BN19" i="118"/>
  <c r="CF19" i="118" s="1"/>
  <c r="CO19" i="118" s="1"/>
  <c r="BO19" i="118"/>
  <c r="CG19" i="118" s="1"/>
  <c r="CP19" i="118" s="1"/>
  <c r="BP19" i="118"/>
  <c r="CH19" i="118" s="1"/>
  <c r="BI20" i="118"/>
  <c r="BJ20" i="118"/>
  <c r="BK20" i="118"/>
  <c r="BL20" i="118"/>
  <c r="BM20" i="118"/>
  <c r="BN20" i="118"/>
  <c r="CF20" i="118" s="1"/>
  <c r="CO20" i="118" s="1"/>
  <c r="BO20" i="118"/>
  <c r="BP20" i="118"/>
  <c r="BI21" i="118"/>
  <c r="BJ21" i="118"/>
  <c r="BK21" i="118"/>
  <c r="BL21" i="118"/>
  <c r="BM21" i="118"/>
  <c r="BN21" i="118"/>
  <c r="BO21" i="118"/>
  <c r="CG21" i="118" s="1"/>
  <c r="CP21" i="118" s="1"/>
  <c r="BP21" i="118"/>
  <c r="CH21" i="118" s="1"/>
  <c r="CQ21" i="118" s="1"/>
  <c r="BI22" i="118"/>
  <c r="BJ22" i="118"/>
  <c r="BK22" i="118"/>
  <c r="BL22" i="118"/>
  <c r="BM22" i="118"/>
  <c r="BN22" i="118"/>
  <c r="CF22" i="118" s="1"/>
  <c r="CO22" i="118" s="1"/>
  <c r="BO22" i="118"/>
  <c r="CG22" i="118" s="1"/>
  <c r="BP22" i="118"/>
  <c r="CH22" i="118" s="1"/>
  <c r="CQ22" i="118" s="1"/>
  <c r="BI23" i="118"/>
  <c r="BJ23" i="118"/>
  <c r="BK23" i="118"/>
  <c r="BL23" i="118"/>
  <c r="BM23" i="118"/>
  <c r="BN23" i="118"/>
  <c r="CF23" i="118" s="1"/>
  <c r="CO23" i="118" s="1"/>
  <c r="BO23" i="118"/>
  <c r="CG23" i="118" s="1"/>
  <c r="BP23" i="118"/>
  <c r="BI24" i="118"/>
  <c r="BJ24" i="118"/>
  <c r="BK24" i="118"/>
  <c r="BL24" i="118"/>
  <c r="BM24" i="118"/>
  <c r="BN24" i="118"/>
  <c r="BO24" i="118"/>
  <c r="BP24" i="118"/>
  <c r="CH24" i="118" s="1"/>
  <c r="CQ24" i="118" s="1"/>
  <c r="BI25" i="118"/>
  <c r="BJ25" i="118"/>
  <c r="BK25" i="118"/>
  <c r="BL25" i="118"/>
  <c r="BM25" i="118"/>
  <c r="BN25" i="118"/>
  <c r="CF25" i="118" s="1"/>
  <c r="CO25" i="118" s="1"/>
  <c r="BO25" i="118"/>
  <c r="BP25" i="118"/>
  <c r="CH25" i="118" s="1"/>
  <c r="BI26" i="118"/>
  <c r="BJ26" i="118"/>
  <c r="BK26" i="118"/>
  <c r="BL26" i="118"/>
  <c r="BM26" i="118"/>
  <c r="BN26" i="118"/>
  <c r="CF26" i="118" s="1"/>
  <c r="CO26" i="118" s="1"/>
  <c r="BO26" i="118"/>
  <c r="CG26" i="118" s="1"/>
  <c r="CP26" i="118" s="1"/>
  <c r="BP26" i="118"/>
  <c r="CH26" i="118" s="1"/>
  <c r="BI27" i="118"/>
  <c r="BJ27" i="118"/>
  <c r="BK27" i="118"/>
  <c r="BL27" i="118"/>
  <c r="BM27" i="118"/>
  <c r="BN27" i="118"/>
  <c r="BO27" i="118"/>
  <c r="CG27" i="118" s="1"/>
  <c r="CP27" i="118" s="1"/>
  <c r="BP27" i="118"/>
  <c r="CH27" i="118" s="1"/>
  <c r="CQ27" i="118" s="1"/>
  <c r="BI28" i="118"/>
  <c r="BJ28" i="118"/>
  <c r="BK28" i="118"/>
  <c r="BL28" i="118"/>
  <c r="BM28" i="118"/>
  <c r="BN28" i="118"/>
  <c r="CF28" i="118" s="1"/>
  <c r="BO28" i="118"/>
  <c r="CG28" i="118" s="1"/>
  <c r="CP28" i="118" s="1"/>
  <c r="BP28" i="118"/>
  <c r="CH28" i="118" s="1"/>
  <c r="CQ28" i="118" s="1"/>
  <c r="BI29" i="118"/>
  <c r="BJ29" i="118"/>
  <c r="BK29" i="118"/>
  <c r="BL29" i="118"/>
  <c r="BM29" i="118"/>
  <c r="BN29" i="118"/>
  <c r="BO29" i="118"/>
  <c r="BP29" i="118"/>
  <c r="CH29" i="118" s="1"/>
  <c r="CQ29" i="118" s="1"/>
  <c r="BI30" i="118"/>
  <c r="BJ30" i="118"/>
  <c r="BK30" i="118"/>
  <c r="BL30" i="118"/>
  <c r="BM30" i="118"/>
  <c r="BN30" i="118"/>
  <c r="CF30" i="118" s="1"/>
  <c r="CO30" i="118" s="1"/>
  <c r="BO30" i="118"/>
  <c r="BP30" i="118"/>
  <c r="CH30" i="118" s="1"/>
  <c r="CQ30" i="118" s="1"/>
  <c r="BI31" i="118"/>
  <c r="BJ31" i="118"/>
  <c r="BK31" i="118"/>
  <c r="BL31" i="118"/>
  <c r="BM31" i="118"/>
  <c r="BN31" i="118"/>
  <c r="BO31" i="118"/>
  <c r="CG31" i="118" s="1"/>
  <c r="CP31" i="118" s="1"/>
  <c r="BP31" i="118"/>
  <c r="CH31" i="118" s="1"/>
  <c r="BI32" i="118"/>
  <c r="BJ32" i="118"/>
  <c r="BK32" i="118"/>
  <c r="BL32" i="118"/>
  <c r="BM32" i="118"/>
  <c r="BN32" i="118"/>
  <c r="BO32" i="118"/>
  <c r="CG32" i="118" s="1"/>
  <c r="CP32" i="118" s="1"/>
  <c r="BP32" i="118"/>
  <c r="CH32" i="118" s="1"/>
  <c r="CQ32" i="118" s="1"/>
  <c r="BI33" i="118"/>
  <c r="BJ33" i="118"/>
  <c r="BK33" i="118"/>
  <c r="BL33" i="118"/>
  <c r="BM33" i="118"/>
  <c r="BN33" i="118"/>
  <c r="CF33" i="118" s="1"/>
  <c r="BO33" i="118"/>
  <c r="CG33" i="118" s="1"/>
  <c r="CP33" i="118" s="1"/>
  <c r="BP33" i="118"/>
  <c r="CH33" i="118" s="1"/>
  <c r="CQ33" i="118" s="1"/>
  <c r="BI34" i="118"/>
  <c r="BJ34" i="118"/>
  <c r="BK34" i="118"/>
  <c r="BL34" i="118"/>
  <c r="BM34" i="118"/>
  <c r="BN34" i="118"/>
  <c r="CF34" i="118" s="1"/>
  <c r="CO34" i="118" s="1"/>
  <c r="BO34" i="118"/>
  <c r="CG34" i="118" s="1"/>
  <c r="CP34" i="118" s="1"/>
  <c r="BP34" i="118"/>
  <c r="BI35" i="118"/>
  <c r="BJ35" i="118"/>
  <c r="BK35" i="118"/>
  <c r="BL35" i="118"/>
  <c r="BM35" i="118"/>
  <c r="BN35" i="118"/>
  <c r="BO35" i="118"/>
  <c r="BP35" i="118"/>
  <c r="CH35" i="118" s="1"/>
  <c r="CQ35" i="118" s="1"/>
  <c r="BI36" i="118"/>
  <c r="BJ36" i="118"/>
  <c r="BK36" i="118"/>
  <c r="BL36" i="118"/>
  <c r="BM36" i="118"/>
  <c r="BN36" i="118"/>
  <c r="CF36" i="118" s="1"/>
  <c r="CO36" i="118" s="1"/>
  <c r="BO36" i="118"/>
  <c r="CG36" i="118" s="1"/>
  <c r="BP36" i="118"/>
  <c r="CH36" i="118" s="1"/>
  <c r="CQ36" i="118" s="1"/>
  <c r="BI37" i="118"/>
  <c r="BJ37" i="118"/>
  <c r="BK37" i="118"/>
  <c r="BL37" i="118"/>
  <c r="BM37" i="118"/>
  <c r="BN37" i="118"/>
  <c r="CF37" i="118" s="1"/>
  <c r="CO37" i="118" s="1"/>
  <c r="BO37" i="118"/>
  <c r="BP37" i="118"/>
  <c r="CH37" i="118" s="1"/>
  <c r="CQ37" i="118" s="1"/>
  <c r="BI38" i="118"/>
  <c r="BJ38" i="118"/>
  <c r="BK38" i="118"/>
  <c r="BL38" i="118"/>
  <c r="BM38" i="118"/>
  <c r="BN38" i="118"/>
  <c r="CF38" i="118" s="1"/>
  <c r="CO38" i="118" s="1"/>
  <c r="BO38" i="118"/>
  <c r="BP38" i="118"/>
  <c r="CH38" i="118" s="1"/>
  <c r="CQ38" i="118" s="1"/>
  <c r="BI39" i="118"/>
  <c r="BJ39" i="118"/>
  <c r="BK39" i="118"/>
  <c r="BL39" i="118"/>
  <c r="BM39" i="118"/>
  <c r="BN39" i="118"/>
  <c r="CF39" i="118" s="1"/>
  <c r="CO39" i="118" s="1"/>
  <c r="BO39" i="118"/>
  <c r="CG39" i="118" s="1"/>
  <c r="CP39" i="118" s="1"/>
  <c r="BP39" i="118"/>
  <c r="CH39" i="118" s="1"/>
  <c r="CQ39" i="118" s="1"/>
  <c r="BI40" i="118"/>
  <c r="BJ40" i="118"/>
  <c r="BK40" i="118"/>
  <c r="BL40" i="118"/>
  <c r="BM40" i="118"/>
  <c r="BN40" i="118"/>
  <c r="CF40" i="118" s="1"/>
  <c r="CO40" i="118" s="1"/>
  <c r="BO40" i="118"/>
  <c r="CG40" i="118" s="1"/>
  <c r="CP40" i="118" s="1"/>
  <c r="BP40" i="118"/>
  <c r="CH40" i="118" s="1"/>
  <c r="CQ40" i="118" s="1"/>
  <c r="BI41" i="118"/>
  <c r="BJ41" i="118"/>
  <c r="BK41" i="118"/>
  <c r="BL41" i="118"/>
  <c r="BM41" i="118"/>
  <c r="BN41" i="118"/>
  <c r="CF41" i="118" s="1"/>
  <c r="CO41" i="118" s="1"/>
  <c r="BO41" i="118"/>
  <c r="CG41" i="118" s="1"/>
  <c r="CP41" i="118" s="1"/>
  <c r="BP41" i="118"/>
  <c r="CH41" i="118" s="1"/>
  <c r="CQ41" i="118" s="1"/>
  <c r="BI42" i="118"/>
  <c r="BJ42" i="118"/>
  <c r="BK42" i="118"/>
  <c r="BL42" i="118"/>
  <c r="BM42" i="118"/>
  <c r="BN42" i="118"/>
  <c r="CF42" i="118" s="1"/>
  <c r="CO42" i="118" s="1"/>
  <c r="BO42" i="118"/>
  <c r="BP42" i="118"/>
  <c r="CH42" i="118" s="1"/>
  <c r="CQ42" i="118" s="1"/>
  <c r="BI43" i="118"/>
  <c r="BJ43" i="118"/>
  <c r="BK43" i="118"/>
  <c r="BL43" i="118"/>
  <c r="BM43" i="118"/>
  <c r="BN43" i="118"/>
  <c r="CF43" i="118" s="1"/>
  <c r="CO43" i="118" s="1"/>
  <c r="BO43" i="118"/>
  <c r="BP43" i="118"/>
  <c r="CH43" i="118" s="1"/>
  <c r="CQ43" i="118" s="1"/>
  <c r="BI44" i="118"/>
  <c r="BJ44" i="118"/>
  <c r="BK44" i="118"/>
  <c r="BL44" i="118"/>
  <c r="BM44" i="118"/>
  <c r="BN44" i="118"/>
  <c r="CF44" i="118" s="1"/>
  <c r="CO44" i="118" s="1"/>
  <c r="BO44" i="118"/>
  <c r="BP44" i="118"/>
  <c r="CH44" i="118" s="1"/>
  <c r="CQ44" i="118" s="1"/>
  <c r="BI45" i="118"/>
  <c r="BJ45" i="118"/>
  <c r="BK45" i="118"/>
  <c r="BL45" i="118"/>
  <c r="BM45" i="118"/>
  <c r="BN45" i="118"/>
  <c r="BO45" i="118"/>
  <c r="CG45" i="118" s="1"/>
  <c r="CP45" i="118" s="1"/>
  <c r="BP45" i="118"/>
  <c r="CH45" i="118" s="1"/>
  <c r="CQ45" i="118" s="1"/>
  <c r="BI46" i="118"/>
  <c r="BJ46" i="118"/>
  <c r="BK46" i="118"/>
  <c r="BL46" i="118"/>
  <c r="BM46" i="118"/>
  <c r="BN46" i="118"/>
  <c r="CF46" i="118" s="1"/>
  <c r="CO46" i="118" s="1"/>
  <c r="BO46" i="118"/>
  <c r="CG46" i="118" s="1"/>
  <c r="CP46" i="118" s="1"/>
  <c r="BP46" i="118"/>
  <c r="CH46" i="118" s="1"/>
  <c r="CQ46" i="118" s="1"/>
  <c r="BP10" i="118"/>
  <c r="BO10" i="118"/>
  <c r="BN10" i="118"/>
  <c r="BM10" i="118"/>
  <c r="BL10" i="118"/>
  <c r="BK10" i="118"/>
  <c r="BJ10" i="118"/>
  <c r="BI10" i="118"/>
  <c r="BR49" i="118"/>
  <c r="DN46" i="118"/>
  <c r="DM46" i="118"/>
  <c r="DL46" i="118"/>
  <c r="DK46" i="118"/>
  <c r="DJ46" i="118"/>
  <c r="DI46" i="118"/>
  <c r="DH46" i="118"/>
  <c r="DG46" i="118"/>
  <c r="DF46" i="118"/>
  <c r="DB46" i="118"/>
  <c r="DA46" i="118"/>
  <c r="CZ46" i="118"/>
  <c r="CY46" i="118"/>
  <c r="CX46" i="118"/>
  <c r="CW46" i="118"/>
  <c r="CV46" i="118"/>
  <c r="CU46" i="118"/>
  <c r="BY46" i="118"/>
  <c r="BX46" i="118"/>
  <c r="BW46" i="118"/>
  <c r="BV46" i="118"/>
  <c r="BU46" i="118"/>
  <c r="BT46" i="118"/>
  <c r="BS46" i="118"/>
  <c r="BR46" i="118"/>
  <c r="CE46" i="118"/>
  <c r="CN46" i="118" s="1"/>
  <c r="CD46" i="118"/>
  <c r="CM46" i="118" s="1"/>
  <c r="CC46" i="118"/>
  <c r="CL46" i="118" s="1"/>
  <c r="CB46" i="118"/>
  <c r="CK46" i="118" s="1"/>
  <c r="CA46" i="118"/>
  <c r="CJ46" i="118" s="1"/>
  <c r="BG46" i="118"/>
  <c r="BF46" i="118"/>
  <c r="BE46" i="118"/>
  <c r="BD46" i="118"/>
  <c r="AH46" i="118" s="1"/>
  <c r="BC46" i="118"/>
  <c r="BB46" i="118"/>
  <c r="BA46" i="118"/>
  <c r="AZ46" i="118"/>
  <c r="DN45" i="118"/>
  <c r="DM45" i="118"/>
  <c r="DL45" i="118"/>
  <c r="DK45" i="118"/>
  <c r="DJ45" i="118"/>
  <c r="DI45" i="118"/>
  <c r="DH45" i="118"/>
  <c r="DG45" i="118"/>
  <c r="DF45" i="118"/>
  <c r="DB45" i="118"/>
  <c r="DA45" i="118"/>
  <c r="CZ45" i="118"/>
  <c r="CY45" i="118"/>
  <c r="CX45" i="118"/>
  <c r="CW45" i="118"/>
  <c r="CV45" i="118"/>
  <c r="CU45" i="118"/>
  <c r="BY45" i="118"/>
  <c r="BX45" i="118"/>
  <c r="BW45" i="118"/>
  <c r="BV45" i="118"/>
  <c r="BU45" i="118"/>
  <c r="BT45" i="118"/>
  <c r="BS45" i="118"/>
  <c r="BR45" i="118"/>
  <c r="CF45" i="118"/>
  <c r="CO45" i="118" s="1"/>
  <c r="CE45" i="118"/>
  <c r="CN45" i="118" s="1"/>
  <c r="CD45" i="118"/>
  <c r="CM45" i="118" s="1"/>
  <c r="CC45" i="118"/>
  <c r="CL45" i="118" s="1"/>
  <c r="CB45" i="118"/>
  <c r="CK45" i="118" s="1"/>
  <c r="CA45" i="118"/>
  <c r="CJ45" i="118" s="1"/>
  <c r="BG45" i="118"/>
  <c r="BF45" i="118"/>
  <c r="BE45" i="118"/>
  <c r="BD45" i="118"/>
  <c r="BC45" i="118"/>
  <c r="BB45" i="118"/>
  <c r="AH45" i="118" s="1"/>
  <c r="Y45" i="118" s="1"/>
  <c r="BA45" i="118"/>
  <c r="AZ45" i="118"/>
  <c r="DN44" i="118"/>
  <c r="DM44" i="118"/>
  <c r="DL44" i="118"/>
  <c r="DK44" i="118"/>
  <c r="DJ44" i="118"/>
  <c r="DI44" i="118"/>
  <c r="DH44" i="118"/>
  <c r="DG44" i="118"/>
  <c r="DF44" i="118"/>
  <c r="DB44" i="118"/>
  <c r="DA44" i="118"/>
  <c r="CZ44" i="118"/>
  <c r="CY44" i="118"/>
  <c r="CX44" i="118"/>
  <c r="CW44" i="118"/>
  <c r="CV44" i="118"/>
  <c r="CU44" i="118"/>
  <c r="BY44" i="118"/>
  <c r="BX44" i="118"/>
  <c r="BW44" i="118"/>
  <c r="BV44" i="118"/>
  <c r="BU44" i="118"/>
  <c r="BT44" i="118"/>
  <c r="BS44" i="118"/>
  <c r="BR44" i="118"/>
  <c r="CG44" i="118"/>
  <c r="CP44" i="118" s="1"/>
  <c r="CE44" i="118"/>
  <c r="CN44" i="118" s="1"/>
  <c r="CD44" i="118"/>
  <c r="CM44" i="118" s="1"/>
  <c r="CC44" i="118"/>
  <c r="CL44" i="118" s="1"/>
  <c r="CB44" i="118"/>
  <c r="CK44" i="118" s="1"/>
  <c r="CA44" i="118"/>
  <c r="CJ44" i="118" s="1"/>
  <c r="BG44" i="118"/>
  <c r="AH44" i="118" s="1"/>
  <c r="BF44" i="118"/>
  <c r="BE44" i="118"/>
  <c r="BD44" i="118"/>
  <c r="BC44" i="118"/>
  <c r="BB44" i="118"/>
  <c r="BA44" i="118"/>
  <c r="AZ44" i="118"/>
  <c r="DN43" i="118"/>
  <c r="DM43" i="118"/>
  <c r="DL43" i="118"/>
  <c r="DK43" i="118"/>
  <c r="DJ43" i="118"/>
  <c r="DI43" i="118"/>
  <c r="DH43" i="118"/>
  <c r="DG43" i="118"/>
  <c r="DF43" i="118"/>
  <c r="DB43" i="118"/>
  <c r="DA43" i="118"/>
  <c r="CZ43" i="118"/>
  <c r="CY43" i="118"/>
  <c r="CX43" i="118"/>
  <c r="CW43" i="118"/>
  <c r="CV43" i="118"/>
  <c r="CU43" i="118"/>
  <c r="CE43" i="118"/>
  <c r="CN43" i="118" s="1"/>
  <c r="BY43" i="118"/>
  <c r="BX43" i="118"/>
  <c r="BW43" i="118"/>
  <c r="BV43" i="118"/>
  <c r="BU43" i="118"/>
  <c r="BT43" i="118"/>
  <c r="BS43" i="118"/>
  <c r="BR43" i="118"/>
  <c r="CG43" i="118"/>
  <c r="CP43" i="118" s="1"/>
  <c r="CD43" i="118"/>
  <c r="CM43" i="118" s="1"/>
  <c r="CC43" i="118"/>
  <c r="CL43" i="118" s="1"/>
  <c r="CB43" i="118"/>
  <c r="CK43" i="118" s="1"/>
  <c r="CA43" i="118"/>
  <c r="CJ43" i="118" s="1"/>
  <c r="BG43" i="118"/>
  <c r="BF43" i="118"/>
  <c r="BE43" i="118"/>
  <c r="BD43" i="118"/>
  <c r="AH43" i="118" s="1"/>
  <c r="BC43" i="118"/>
  <c r="BB43" i="118"/>
  <c r="BA43" i="118"/>
  <c r="AZ43" i="118"/>
  <c r="DN42" i="118"/>
  <c r="DM42" i="118"/>
  <c r="DL42" i="118"/>
  <c r="DK42" i="118"/>
  <c r="DJ42" i="118"/>
  <c r="DI42" i="118"/>
  <c r="DH42" i="118"/>
  <c r="DG42" i="118"/>
  <c r="DF42" i="118"/>
  <c r="DB42" i="118"/>
  <c r="DA42" i="118"/>
  <c r="CZ42" i="118"/>
  <c r="CY42" i="118"/>
  <c r="CX42" i="118"/>
  <c r="CW42" i="118"/>
  <c r="CV42" i="118"/>
  <c r="CU42" i="118"/>
  <c r="BY42" i="118"/>
  <c r="BX42" i="118"/>
  <c r="BW42" i="118"/>
  <c r="BV42" i="118"/>
  <c r="BU42" i="118"/>
  <c r="BT42" i="118"/>
  <c r="BS42" i="118"/>
  <c r="BR42" i="118"/>
  <c r="CG42" i="118"/>
  <c r="CP42" i="118" s="1"/>
  <c r="CE42" i="118"/>
  <c r="CN42" i="118" s="1"/>
  <c r="CD42" i="118"/>
  <c r="CM42" i="118" s="1"/>
  <c r="CC42" i="118"/>
  <c r="CL42" i="118" s="1"/>
  <c r="CB42" i="118"/>
  <c r="CK42" i="118" s="1"/>
  <c r="CA42" i="118"/>
  <c r="CJ42" i="118" s="1"/>
  <c r="BG42" i="118"/>
  <c r="BF42" i="118"/>
  <c r="BE42" i="118"/>
  <c r="BD42" i="118"/>
  <c r="BC42" i="118"/>
  <c r="BB42" i="118"/>
  <c r="BA42" i="118"/>
  <c r="AZ42" i="118"/>
  <c r="AH42" i="118"/>
  <c r="DN41" i="118"/>
  <c r="DM41" i="118"/>
  <c r="DL41" i="118"/>
  <c r="DK41" i="118"/>
  <c r="DJ41" i="118"/>
  <c r="DI41" i="118"/>
  <c r="DH41" i="118"/>
  <c r="DG41" i="118"/>
  <c r="DF41" i="118"/>
  <c r="DB41" i="118"/>
  <c r="DA41" i="118"/>
  <c r="CZ41" i="118"/>
  <c r="CY41" i="118"/>
  <c r="CX41" i="118"/>
  <c r="CW41" i="118"/>
  <c r="CV41" i="118"/>
  <c r="CU41" i="118"/>
  <c r="BY41" i="118"/>
  <c r="BX41" i="118"/>
  <c r="BW41" i="118"/>
  <c r="BV41" i="118"/>
  <c r="BU41" i="118"/>
  <c r="BT41" i="118"/>
  <c r="BS41" i="118"/>
  <c r="BR41" i="118"/>
  <c r="CE41" i="118"/>
  <c r="CN41" i="118" s="1"/>
  <c r="CD41" i="118"/>
  <c r="CM41" i="118" s="1"/>
  <c r="CC41" i="118"/>
  <c r="CL41" i="118" s="1"/>
  <c r="CB41" i="118"/>
  <c r="CK41" i="118" s="1"/>
  <c r="CA41" i="118"/>
  <c r="CJ41" i="118" s="1"/>
  <c r="BG41" i="118"/>
  <c r="BF41" i="118"/>
  <c r="AH41" i="118" s="1"/>
  <c r="BE41" i="118"/>
  <c r="BD41" i="118"/>
  <c r="BC41" i="118"/>
  <c r="BB41" i="118"/>
  <c r="BA41" i="118"/>
  <c r="AZ41" i="118"/>
  <c r="DN40" i="118"/>
  <c r="DM40" i="118"/>
  <c r="DL40" i="118"/>
  <c r="DK40" i="118"/>
  <c r="DJ40" i="118"/>
  <c r="DI40" i="118"/>
  <c r="DH40" i="118"/>
  <c r="DG40" i="118"/>
  <c r="DF40" i="118"/>
  <c r="DB40" i="118"/>
  <c r="DA40" i="118"/>
  <c r="CZ40" i="118"/>
  <c r="CY40" i="118"/>
  <c r="CX40" i="118"/>
  <c r="CW40" i="118"/>
  <c r="CV40" i="118"/>
  <c r="CU40" i="118"/>
  <c r="CD40" i="118"/>
  <c r="CM40" i="118" s="1"/>
  <c r="BY40" i="118"/>
  <c r="BX40" i="118"/>
  <c r="BW40" i="118"/>
  <c r="BV40" i="118"/>
  <c r="BU40" i="118"/>
  <c r="BT40" i="118"/>
  <c r="BS40" i="118"/>
  <c r="BR40" i="118"/>
  <c r="CE40" i="118"/>
  <c r="CN40" i="118" s="1"/>
  <c r="CC40" i="118"/>
  <c r="CB40" i="118"/>
  <c r="CK40" i="118" s="1"/>
  <c r="CA40" i="118"/>
  <c r="CJ40" i="118" s="1"/>
  <c r="BG40" i="118"/>
  <c r="BF40" i="118"/>
  <c r="BE40" i="118"/>
  <c r="BD40" i="118"/>
  <c r="BC40" i="118"/>
  <c r="BB40" i="118"/>
  <c r="BA40" i="118"/>
  <c r="AZ40" i="118"/>
  <c r="AH40" i="118" s="1"/>
  <c r="DN39" i="118"/>
  <c r="DM39" i="118"/>
  <c r="DL39" i="118"/>
  <c r="DK39" i="118"/>
  <c r="DJ39" i="118"/>
  <c r="DI39" i="118"/>
  <c r="DH39" i="118"/>
  <c r="DG39" i="118"/>
  <c r="DF39" i="118"/>
  <c r="DB39" i="118"/>
  <c r="DA39" i="118"/>
  <c r="CZ39" i="118"/>
  <c r="CY39" i="118"/>
  <c r="CX39" i="118"/>
  <c r="CW39" i="118"/>
  <c r="CV39" i="118"/>
  <c r="CU39" i="118"/>
  <c r="BY39" i="118"/>
  <c r="BX39" i="118"/>
  <c r="BW39" i="118"/>
  <c r="BV39" i="118"/>
  <c r="BU39" i="118"/>
  <c r="BT39" i="118"/>
  <c r="BS39" i="118"/>
  <c r="BR39" i="118"/>
  <c r="CE39" i="118"/>
  <c r="CN39" i="118" s="1"/>
  <c r="CD39" i="118"/>
  <c r="CM39" i="118" s="1"/>
  <c r="CC39" i="118"/>
  <c r="CL39" i="118" s="1"/>
  <c r="CB39" i="118"/>
  <c r="CK39" i="118" s="1"/>
  <c r="CA39" i="118"/>
  <c r="CJ39" i="118" s="1"/>
  <c r="BG39" i="118"/>
  <c r="BF39" i="118"/>
  <c r="BE39" i="118"/>
  <c r="BD39" i="118"/>
  <c r="BC39" i="118"/>
  <c r="BB39" i="118"/>
  <c r="BA39" i="118"/>
  <c r="AZ39" i="118"/>
  <c r="AH39" i="118" s="1"/>
  <c r="DN38" i="118"/>
  <c r="DM38" i="118"/>
  <c r="DL38" i="118"/>
  <c r="DK38" i="118"/>
  <c r="DJ38" i="118"/>
  <c r="DI38" i="118"/>
  <c r="DH38" i="118"/>
  <c r="DG38" i="118"/>
  <c r="DF38" i="118"/>
  <c r="DB38" i="118"/>
  <c r="DA38" i="118"/>
  <c r="CZ38" i="118"/>
  <c r="CY38" i="118"/>
  <c r="CX38" i="118"/>
  <c r="CW38" i="118"/>
  <c r="CV38" i="118"/>
  <c r="CU38" i="118"/>
  <c r="BY38" i="118"/>
  <c r="BX38" i="118"/>
  <c r="BW38" i="118"/>
  <c r="BV38" i="118"/>
  <c r="BU38" i="118"/>
  <c r="BT38" i="118"/>
  <c r="BS38" i="118"/>
  <c r="BR38" i="118"/>
  <c r="CG38" i="118"/>
  <c r="CP38" i="118" s="1"/>
  <c r="CE38" i="118"/>
  <c r="CN38" i="118" s="1"/>
  <c r="CD38" i="118"/>
  <c r="CM38" i="118" s="1"/>
  <c r="CC38" i="118"/>
  <c r="CL38" i="118" s="1"/>
  <c r="CB38" i="118"/>
  <c r="CK38" i="118" s="1"/>
  <c r="CA38" i="118"/>
  <c r="CJ38" i="118" s="1"/>
  <c r="BG38" i="118"/>
  <c r="BF38" i="118"/>
  <c r="BE38" i="118"/>
  <c r="BD38" i="118"/>
  <c r="BC38" i="118"/>
  <c r="BB38" i="118"/>
  <c r="BA38" i="118"/>
  <c r="AZ38" i="118"/>
  <c r="AH38" i="118" s="1"/>
  <c r="DN37" i="118"/>
  <c r="DM37" i="118"/>
  <c r="DL37" i="118"/>
  <c r="DK37" i="118"/>
  <c r="DJ37" i="118"/>
  <c r="DI37" i="118"/>
  <c r="DH37" i="118"/>
  <c r="DG37" i="118"/>
  <c r="DF37" i="118"/>
  <c r="DB37" i="118"/>
  <c r="DA37" i="118"/>
  <c r="CZ37" i="118"/>
  <c r="CY37" i="118"/>
  <c r="CX37" i="118"/>
  <c r="CW37" i="118"/>
  <c r="CV37" i="118"/>
  <c r="CU37" i="118"/>
  <c r="CC37" i="118"/>
  <c r="CL37" i="118" s="1"/>
  <c r="BY37" i="118"/>
  <c r="BX37" i="118"/>
  <c r="BW37" i="118"/>
  <c r="BV37" i="118"/>
  <c r="BU37" i="118"/>
  <c r="BT37" i="118"/>
  <c r="BS37" i="118"/>
  <c r="BR37" i="118"/>
  <c r="CG37" i="118"/>
  <c r="CP37" i="118" s="1"/>
  <c r="CE37" i="118"/>
  <c r="CN37" i="118" s="1"/>
  <c r="CD37" i="118"/>
  <c r="CM37" i="118" s="1"/>
  <c r="CB37" i="118"/>
  <c r="CK37" i="118" s="1"/>
  <c r="CA37" i="118"/>
  <c r="CJ37" i="118" s="1"/>
  <c r="BG37" i="118"/>
  <c r="BF37" i="118"/>
  <c r="BE37" i="118"/>
  <c r="BD37" i="118"/>
  <c r="BC37" i="118"/>
  <c r="BB37" i="118"/>
  <c r="BA37" i="118"/>
  <c r="AZ37" i="118"/>
  <c r="AH37" i="118" s="1"/>
  <c r="Y37" i="118" s="1"/>
  <c r="AI37" i="118"/>
  <c r="AJ37" i="118" s="1"/>
  <c r="AK37" i="118" s="1"/>
  <c r="AL37" i="118" s="1"/>
  <c r="AM37" i="118" s="1"/>
  <c r="AN37" i="118" s="1"/>
  <c r="DN36" i="118"/>
  <c r="DM36" i="118"/>
  <c r="DL36" i="118"/>
  <c r="DK36" i="118"/>
  <c r="DJ36" i="118"/>
  <c r="DI36" i="118"/>
  <c r="DH36" i="118"/>
  <c r="DG36" i="118"/>
  <c r="DF36" i="118"/>
  <c r="DB36" i="118"/>
  <c r="DA36" i="118"/>
  <c r="CZ36" i="118"/>
  <c r="CY36" i="118"/>
  <c r="CX36" i="118"/>
  <c r="CW36" i="118"/>
  <c r="CV36" i="118"/>
  <c r="CU36" i="118"/>
  <c r="CC36" i="118"/>
  <c r="CL36" i="118" s="1"/>
  <c r="BY36" i="118"/>
  <c r="BX36" i="118"/>
  <c r="BW36" i="118"/>
  <c r="BV36" i="118"/>
  <c r="BU36" i="118"/>
  <c r="BT36" i="118"/>
  <c r="BS36" i="118"/>
  <c r="BR36" i="118"/>
  <c r="CE36" i="118"/>
  <c r="CN36" i="118" s="1"/>
  <c r="CD36" i="118"/>
  <c r="CM36" i="118" s="1"/>
  <c r="CB36" i="118"/>
  <c r="CK36" i="118" s="1"/>
  <c r="CA36" i="118"/>
  <c r="CJ36" i="118" s="1"/>
  <c r="BG36" i="118"/>
  <c r="BF36" i="118"/>
  <c r="BE36" i="118"/>
  <c r="BD36" i="118"/>
  <c r="BC36" i="118"/>
  <c r="BB36" i="118"/>
  <c r="BA36" i="118"/>
  <c r="AZ36" i="118"/>
  <c r="AN36" i="118"/>
  <c r="AH36" i="118"/>
  <c r="AI36" i="118" s="1"/>
  <c r="AJ36" i="118" s="1"/>
  <c r="AK36" i="118" s="1"/>
  <c r="AL36" i="118" s="1"/>
  <c r="AM36" i="118" s="1"/>
  <c r="Y36" i="118"/>
  <c r="DN35" i="118"/>
  <c r="DM35" i="118"/>
  <c r="DL35" i="118"/>
  <c r="DK35" i="118"/>
  <c r="DJ35" i="118"/>
  <c r="DI35" i="118"/>
  <c r="DH35" i="118"/>
  <c r="DG35" i="118"/>
  <c r="DF35" i="118"/>
  <c r="DB35" i="118"/>
  <c r="DA35" i="118"/>
  <c r="CZ35" i="118"/>
  <c r="CY35" i="118"/>
  <c r="CX35" i="118"/>
  <c r="CW35" i="118"/>
  <c r="CV35" i="118"/>
  <c r="CU35" i="118"/>
  <c r="CG35" i="118"/>
  <c r="CP35" i="118" s="1"/>
  <c r="CF35" i="118"/>
  <c r="CO35" i="118" s="1"/>
  <c r="CC35" i="118"/>
  <c r="CL35" i="118" s="1"/>
  <c r="BY35" i="118"/>
  <c r="BX35" i="118"/>
  <c r="BW35" i="118"/>
  <c r="BV35" i="118"/>
  <c r="BU35" i="118"/>
  <c r="BT35" i="118"/>
  <c r="BS35" i="118"/>
  <c r="BR35" i="118"/>
  <c r="CE35" i="118"/>
  <c r="CN35" i="118" s="1"/>
  <c r="CD35" i="118"/>
  <c r="CM35" i="118" s="1"/>
  <c r="CB35" i="118"/>
  <c r="CK35" i="118" s="1"/>
  <c r="CA35" i="118"/>
  <c r="BG35" i="118"/>
  <c r="BF35" i="118"/>
  <c r="BE35" i="118"/>
  <c r="BD35" i="118"/>
  <c r="AH35" i="118" s="1"/>
  <c r="BC35" i="118"/>
  <c r="BB35" i="118"/>
  <c r="BA35" i="118"/>
  <c r="AZ35" i="118"/>
  <c r="DN34" i="118"/>
  <c r="DM34" i="118"/>
  <c r="DL34" i="118"/>
  <c r="DK34" i="118"/>
  <c r="DJ34" i="118"/>
  <c r="DI34" i="118"/>
  <c r="DH34" i="118"/>
  <c r="DG34" i="118"/>
  <c r="DF34" i="118"/>
  <c r="DB34" i="118"/>
  <c r="DA34" i="118"/>
  <c r="CZ34" i="118"/>
  <c r="CY34" i="118"/>
  <c r="CX34" i="118"/>
  <c r="CW34" i="118"/>
  <c r="CV34" i="118"/>
  <c r="CU34" i="118"/>
  <c r="CB34" i="118"/>
  <c r="CK34" i="118" s="1"/>
  <c r="BY34" i="118"/>
  <c r="BX34" i="118"/>
  <c r="BW34" i="118"/>
  <c r="BV34" i="118"/>
  <c r="BU34" i="118"/>
  <c r="BT34" i="118"/>
  <c r="BS34" i="118"/>
  <c r="BR34" i="118"/>
  <c r="CH34" i="118"/>
  <c r="CQ34" i="118" s="1"/>
  <c r="CE34" i="118"/>
  <c r="CN34" i="118" s="1"/>
  <c r="CD34" i="118"/>
  <c r="CM34" i="118" s="1"/>
  <c r="CC34" i="118"/>
  <c r="CL34" i="118" s="1"/>
  <c r="CA34" i="118"/>
  <c r="CJ34" i="118" s="1"/>
  <c r="BG34" i="118"/>
  <c r="BF34" i="118"/>
  <c r="BE34" i="118"/>
  <c r="BD34" i="118"/>
  <c r="BC34" i="118"/>
  <c r="BB34" i="118"/>
  <c r="BA34" i="118"/>
  <c r="AZ34" i="118"/>
  <c r="AH34" i="118"/>
  <c r="AI34" i="118" s="1"/>
  <c r="AJ34" i="118" s="1"/>
  <c r="AK34" i="118" s="1"/>
  <c r="AL34" i="118" s="1"/>
  <c r="AM34" i="118" s="1"/>
  <c r="AN34" i="118" s="1"/>
  <c r="DN33" i="118"/>
  <c r="DM33" i="118"/>
  <c r="DL33" i="118"/>
  <c r="DK33" i="118"/>
  <c r="DJ33" i="118"/>
  <c r="DI33" i="118"/>
  <c r="DH33" i="118"/>
  <c r="DG33" i="118"/>
  <c r="DF33" i="118"/>
  <c r="DB33" i="118"/>
  <c r="DA33" i="118"/>
  <c r="CZ33" i="118"/>
  <c r="CY33" i="118"/>
  <c r="CX33" i="118"/>
  <c r="CW33" i="118"/>
  <c r="CV33" i="118"/>
  <c r="CU33" i="118"/>
  <c r="BY33" i="118"/>
  <c r="BX33" i="118"/>
  <c r="BW33" i="118"/>
  <c r="BV33" i="118"/>
  <c r="BU33" i="118"/>
  <c r="BT33" i="118"/>
  <c r="BS33" i="118"/>
  <c r="BR33" i="118"/>
  <c r="CE33" i="118"/>
  <c r="CN33" i="118" s="1"/>
  <c r="CD33" i="118"/>
  <c r="CM33" i="118" s="1"/>
  <c r="CC33" i="118"/>
  <c r="CL33" i="118" s="1"/>
  <c r="CB33" i="118"/>
  <c r="CK33" i="118" s="1"/>
  <c r="CA33" i="118"/>
  <c r="CJ33" i="118" s="1"/>
  <c r="BG33" i="118"/>
  <c r="BF33" i="118"/>
  <c r="BE33" i="118"/>
  <c r="BD33" i="118"/>
  <c r="BC33" i="118"/>
  <c r="BB33" i="118"/>
  <c r="BA33" i="118"/>
  <c r="AZ33" i="118"/>
  <c r="DN32" i="118"/>
  <c r="DM32" i="118"/>
  <c r="DL32" i="118"/>
  <c r="DK32" i="118"/>
  <c r="DJ32" i="118"/>
  <c r="DI32" i="118"/>
  <c r="DH32" i="118"/>
  <c r="DG32" i="118"/>
  <c r="DF32" i="118"/>
  <c r="DB32" i="118"/>
  <c r="DA32" i="118"/>
  <c r="CZ32" i="118"/>
  <c r="CY32" i="118"/>
  <c r="CX32" i="118"/>
  <c r="CW32" i="118"/>
  <c r="CV32" i="118"/>
  <c r="CU32" i="118"/>
  <c r="CD32" i="118"/>
  <c r="CM32" i="118" s="1"/>
  <c r="BY32" i="118"/>
  <c r="BX32" i="118"/>
  <c r="BW32" i="118"/>
  <c r="BV32" i="118"/>
  <c r="BU32" i="118"/>
  <c r="BT32" i="118"/>
  <c r="BS32" i="118"/>
  <c r="BR32" i="118"/>
  <c r="CF32" i="118"/>
  <c r="CO32" i="118" s="1"/>
  <c r="CE32" i="118"/>
  <c r="CN32" i="118" s="1"/>
  <c r="CC32" i="118"/>
  <c r="CB32" i="118"/>
  <c r="CK32" i="118" s="1"/>
  <c r="CA32" i="118"/>
  <c r="CJ32" i="118" s="1"/>
  <c r="BG32" i="118"/>
  <c r="BF32" i="118"/>
  <c r="BE32" i="118"/>
  <c r="BD32" i="118"/>
  <c r="BC32" i="118"/>
  <c r="BB32" i="118"/>
  <c r="BA32" i="118"/>
  <c r="AZ32" i="118"/>
  <c r="AH32" i="118" s="1"/>
  <c r="DN31" i="118"/>
  <c r="DM31" i="118"/>
  <c r="DL31" i="118"/>
  <c r="DK31" i="118"/>
  <c r="DJ31" i="118"/>
  <c r="DI31" i="118"/>
  <c r="DH31" i="118"/>
  <c r="DG31" i="118"/>
  <c r="DF31" i="118"/>
  <c r="DB31" i="118"/>
  <c r="DA31" i="118"/>
  <c r="CZ31" i="118"/>
  <c r="CY31" i="118"/>
  <c r="CX31" i="118"/>
  <c r="CW31" i="118"/>
  <c r="CV31" i="118"/>
  <c r="CU31" i="118"/>
  <c r="BY31" i="118"/>
  <c r="BX31" i="118"/>
  <c r="BW31" i="118"/>
  <c r="BV31" i="118"/>
  <c r="BU31" i="118"/>
  <c r="BT31" i="118"/>
  <c r="BS31" i="118"/>
  <c r="BR31" i="118"/>
  <c r="CF31" i="118"/>
  <c r="CO31" i="118" s="1"/>
  <c r="CE31" i="118"/>
  <c r="CN31" i="118" s="1"/>
  <c r="CD31" i="118"/>
  <c r="CM31" i="118" s="1"/>
  <c r="CC31" i="118"/>
  <c r="CL31" i="118" s="1"/>
  <c r="CB31" i="118"/>
  <c r="CK31" i="118" s="1"/>
  <c r="CA31" i="118"/>
  <c r="CJ31" i="118" s="1"/>
  <c r="BG31" i="118"/>
  <c r="BF31" i="118"/>
  <c r="BE31" i="118"/>
  <c r="BD31" i="118"/>
  <c r="BC31" i="118"/>
  <c r="BB31" i="118"/>
  <c r="BA31" i="118"/>
  <c r="AZ31" i="118"/>
  <c r="AH31" i="118" s="1"/>
  <c r="DN30" i="118"/>
  <c r="DM30" i="118"/>
  <c r="DL30" i="118"/>
  <c r="DK30" i="118"/>
  <c r="DJ30" i="118"/>
  <c r="DI30" i="118"/>
  <c r="DH30" i="118"/>
  <c r="DG30" i="118"/>
  <c r="DF30" i="118"/>
  <c r="DB30" i="118"/>
  <c r="DA30" i="118"/>
  <c r="CZ30" i="118"/>
  <c r="CY30" i="118"/>
  <c r="CX30" i="118"/>
  <c r="CW30" i="118"/>
  <c r="CV30" i="118"/>
  <c r="CU30" i="118"/>
  <c r="BY30" i="118"/>
  <c r="BX30" i="118"/>
  <c r="BW30" i="118"/>
  <c r="BV30" i="118"/>
  <c r="BU30" i="118"/>
  <c r="BT30" i="118"/>
  <c r="BS30" i="118"/>
  <c r="BR30" i="118"/>
  <c r="CG30" i="118"/>
  <c r="CP30" i="118" s="1"/>
  <c r="CE30" i="118"/>
  <c r="CN30" i="118" s="1"/>
  <c r="CD30" i="118"/>
  <c r="CM30" i="118" s="1"/>
  <c r="CC30" i="118"/>
  <c r="CL30" i="118" s="1"/>
  <c r="CB30" i="118"/>
  <c r="CK30" i="118" s="1"/>
  <c r="CA30" i="118"/>
  <c r="CJ30" i="118" s="1"/>
  <c r="BG30" i="118"/>
  <c r="BF30" i="118"/>
  <c r="BE30" i="118"/>
  <c r="BD30" i="118"/>
  <c r="BC30" i="118"/>
  <c r="BB30" i="118"/>
  <c r="BA30" i="118"/>
  <c r="AZ30" i="118"/>
  <c r="AH30" i="118" s="1"/>
  <c r="DN29" i="118"/>
  <c r="DM29" i="118"/>
  <c r="DL29" i="118"/>
  <c r="DK29" i="118"/>
  <c r="DJ29" i="118"/>
  <c r="DI29" i="118"/>
  <c r="DH29" i="118"/>
  <c r="DG29" i="118"/>
  <c r="DF29" i="118"/>
  <c r="DB29" i="118"/>
  <c r="DA29" i="118"/>
  <c r="CZ29" i="118"/>
  <c r="CY29" i="118"/>
  <c r="CX29" i="118"/>
  <c r="CW29" i="118"/>
  <c r="CV29" i="118"/>
  <c r="CU29" i="118"/>
  <c r="BY29" i="118"/>
  <c r="BX29" i="118"/>
  <c r="BW29" i="118"/>
  <c r="BV29" i="118"/>
  <c r="BU29" i="118"/>
  <c r="BT29" i="118"/>
  <c r="BS29" i="118"/>
  <c r="BR29" i="118"/>
  <c r="CG29" i="118"/>
  <c r="CP29" i="118" s="1"/>
  <c r="CF29" i="118"/>
  <c r="CO29" i="118" s="1"/>
  <c r="CE29" i="118"/>
  <c r="CN29" i="118" s="1"/>
  <c r="CD29" i="118"/>
  <c r="CM29" i="118" s="1"/>
  <c r="CC29" i="118"/>
  <c r="CL29" i="118" s="1"/>
  <c r="CB29" i="118"/>
  <c r="CK29" i="118" s="1"/>
  <c r="CA29" i="118"/>
  <c r="CJ29" i="118" s="1"/>
  <c r="BG29" i="118"/>
  <c r="BF29" i="118"/>
  <c r="BE29" i="118"/>
  <c r="BD29" i="118"/>
  <c r="BC29" i="118"/>
  <c r="BB29" i="118"/>
  <c r="BA29" i="118"/>
  <c r="AH29" i="118" s="1"/>
  <c r="AI29" i="118" s="1"/>
  <c r="AJ29" i="118" s="1"/>
  <c r="AK29" i="118" s="1"/>
  <c r="AL29" i="118" s="1"/>
  <c r="AM29" i="118" s="1"/>
  <c r="AN29" i="118" s="1"/>
  <c r="AZ29" i="118"/>
  <c r="DN28" i="118"/>
  <c r="DM28" i="118"/>
  <c r="DL28" i="118"/>
  <c r="DK28" i="118"/>
  <c r="DJ28" i="118"/>
  <c r="DI28" i="118"/>
  <c r="DH28" i="118"/>
  <c r="DG28" i="118"/>
  <c r="DF28" i="118"/>
  <c r="DB28" i="118"/>
  <c r="DA28" i="118"/>
  <c r="CZ28" i="118"/>
  <c r="CY28" i="118"/>
  <c r="CX28" i="118"/>
  <c r="CW28" i="118"/>
  <c r="CV28" i="118"/>
  <c r="CU28" i="118"/>
  <c r="CE28" i="118"/>
  <c r="CN28" i="118" s="1"/>
  <c r="BY28" i="118"/>
  <c r="BX28" i="118"/>
  <c r="BW28" i="118"/>
  <c r="BV28" i="118"/>
  <c r="BU28" i="118"/>
  <c r="BT28" i="118"/>
  <c r="BS28" i="118"/>
  <c r="BR28" i="118"/>
  <c r="CD28" i="118"/>
  <c r="CM28" i="118" s="1"/>
  <c r="CC28" i="118"/>
  <c r="CL28" i="118" s="1"/>
  <c r="CB28" i="118"/>
  <c r="CK28" i="118" s="1"/>
  <c r="CA28" i="118"/>
  <c r="CJ28" i="118" s="1"/>
  <c r="BG28" i="118"/>
  <c r="BF28" i="118"/>
  <c r="BE28" i="118"/>
  <c r="BD28" i="118"/>
  <c r="BC28" i="118"/>
  <c r="BB28" i="118"/>
  <c r="BA28" i="118"/>
  <c r="AZ28" i="118"/>
  <c r="DN27" i="118"/>
  <c r="DM27" i="118"/>
  <c r="DL27" i="118"/>
  <c r="DK27" i="118"/>
  <c r="DJ27" i="118"/>
  <c r="DI27" i="118"/>
  <c r="DH27" i="118"/>
  <c r="DG27" i="118"/>
  <c r="DF27" i="118"/>
  <c r="DB27" i="118"/>
  <c r="DA27" i="118"/>
  <c r="CZ27" i="118"/>
  <c r="CY27" i="118"/>
  <c r="CX27" i="118"/>
  <c r="CW27" i="118"/>
  <c r="CV27" i="118"/>
  <c r="CU27" i="118"/>
  <c r="CD27" i="118"/>
  <c r="CM27" i="118" s="1"/>
  <c r="CB27" i="118"/>
  <c r="BY27" i="118"/>
  <c r="BX27" i="118"/>
  <c r="BW27" i="118"/>
  <c r="BV27" i="118"/>
  <c r="BU27" i="118"/>
  <c r="BT27" i="118"/>
  <c r="BS27" i="118"/>
  <c r="BR27" i="118"/>
  <c r="CF27" i="118"/>
  <c r="CO27" i="118" s="1"/>
  <c r="CE27" i="118"/>
  <c r="CN27" i="118" s="1"/>
  <c r="CC27" i="118"/>
  <c r="CL27" i="118" s="1"/>
  <c r="CA27" i="118"/>
  <c r="CJ27" i="118" s="1"/>
  <c r="BG27" i="118"/>
  <c r="BF27" i="118"/>
  <c r="BE27" i="118"/>
  <c r="BD27" i="118"/>
  <c r="BC27" i="118"/>
  <c r="BB27" i="118"/>
  <c r="BA27" i="118"/>
  <c r="AZ27" i="118"/>
  <c r="DN26" i="118"/>
  <c r="DM26" i="118"/>
  <c r="DL26" i="118"/>
  <c r="DK26" i="118"/>
  <c r="DJ26" i="118"/>
  <c r="DI26" i="118"/>
  <c r="DH26" i="118"/>
  <c r="DG26" i="118"/>
  <c r="DF26" i="118"/>
  <c r="DB26" i="118"/>
  <c r="DA26" i="118"/>
  <c r="CZ26" i="118"/>
  <c r="CY26" i="118"/>
  <c r="CX26" i="118"/>
  <c r="CW26" i="118"/>
  <c r="CV26" i="118"/>
  <c r="CU26" i="118"/>
  <c r="BY26" i="118"/>
  <c r="BX26" i="118"/>
  <c r="BW26" i="118"/>
  <c r="BV26" i="118"/>
  <c r="BU26" i="118"/>
  <c r="BT26" i="118"/>
  <c r="BS26" i="118"/>
  <c r="BR26" i="118"/>
  <c r="CE26" i="118"/>
  <c r="CD26" i="118"/>
  <c r="CM26" i="118" s="1"/>
  <c r="CC26" i="118"/>
  <c r="CB26" i="118"/>
  <c r="CK26" i="118" s="1"/>
  <c r="CA26" i="118"/>
  <c r="CJ26" i="118" s="1"/>
  <c r="BG26" i="118"/>
  <c r="BF26" i="118"/>
  <c r="BE26" i="118"/>
  <c r="BD26" i="118"/>
  <c r="BC26" i="118"/>
  <c r="BB26" i="118"/>
  <c r="BA26" i="118"/>
  <c r="AZ26" i="118"/>
  <c r="DN25" i="118"/>
  <c r="DM25" i="118"/>
  <c r="DL25" i="118"/>
  <c r="DK25" i="118"/>
  <c r="DJ25" i="118"/>
  <c r="DI25" i="118"/>
  <c r="DH25" i="118"/>
  <c r="DG25" i="118"/>
  <c r="DF25" i="118"/>
  <c r="DB25" i="118"/>
  <c r="DA25" i="118"/>
  <c r="CZ25" i="118"/>
  <c r="CY25" i="118"/>
  <c r="CX25" i="118"/>
  <c r="CW25" i="118"/>
  <c r="CV25" i="118"/>
  <c r="CU25" i="118"/>
  <c r="CC25" i="118"/>
  <c r="CL25" i="118" s="1"/>
  <c r="BY25" i="118"/>
  <c r="BX25" i="118"/>
  <c r="BW25" i="118"/>
  <c r="BV25" i="118"/>
  <c r="BU25" i="118"/>
  <c r="BT25" i="118"/>
  <c r="BS25" i="118"/>
  <c r="BR25" i="118"/>
  <c r="CG25" i="118"/>
  <c r="CP25" i="118" s="1"/>
  <c r="CE25" i="118"/>
  <c r="CD25" i="118"/>
  <c r="CM25" i="118" s="1"/>
  <c r="CB25" i="118"/>
  <c r="CK25" i="118" s="1"/>
  <c r="CA25" i="118"/>
  <c r="CJ25" i="118" s="1"/>
  <c r="BG25" i="118"/>
  <c r="BF25" i="118"/>
  <c r="BE25" i="118"/>
  <c r="BD25" i="118"/>
  <c r="BC25" i="118"/>
  <c r="BB25" i="118"/>
  <c r="BA25" i="118"/>
  <c r="AZ25" i="118"/>
  <c r="DN24" i="118"/>
  <c r="DM24" i="118"/>
  <c r="DL24" i="118"/>
  <c r="DK24" i="118"/>
  <c r="DJ24" i="118"/>
  <c r="DI24" i="118"/>
  <c r="DH24" i="118"/>
  <c r="DG24" i="118"/>
  <c r="DF24" i="118"/>
  <c r="DB24" i="118"/>
  <c r="DA24" i="118"/>
  <c r="CZ24" i="118"/>
  <c r="CY24" i="118"/>
  <c r="CX24" i="118"/>
  <c r="CW24" i="118"/>
  <c r="CV24" i="118"/>
  <c r="CU24" i="118"/>
  <c r="BY24" i="118"/>
  <c r="BX24" i="118"/>
  <c r="BW24" i="118"/>
  <c r="BV24" i="118"/>
  <c r="BU24" i="118"/>
  <c r="BT24" i="118"/>
  <c r="BS24" i="118"/>
  <c r="BR24" i="118"/>
  <c r="CG24" i="118"/>
  <c r="CF24" i="118"/>
  <c r="CO24" i="118" s="1"/>
  <c r="CE24" i="118"/>
  <c r="CD24" i="118"/>
  <c r="CM24" i="118" s="1"/>
  <c r="CC24" i="118"/>
  <c r="CL24" i="118" s="1"/>
  <c r="CB24" i="118"/>
  <c r="CA24" i="118"/>
  <c r="CJ24" i="118" s="1"/>
  <c r="BG24" i="118"/>
  <c r="BF24" i="118"/>
  <c r="BE24" i="118"/>
  <c r="BD24" i="118"/>
  <c r="BC24" i="118"/>
  <c r="BB24" i="118"/>
  <c r="BA24" i="118"/>
  <c r="AZ24" i="118"/>
  <c r="DN23" i="118"/>
  <c r="DM23" i="118"/>
  <c r="DL23" i="118"/>
  <c r="DK23" i="118"/>
  <c r="DJ23" i="118"/>
  <c r="DI23" i="118"/>
  <c r="DH23" i="118"/>
  <c r="DG23" i="118"/>
  <c r="DF23" i="118"/>
  <c r="DB23" i="118"/>
  <c r="DA23" i="118"/>
  <c r="CZ23" i="118"/>
  <c r="CY23" i="118"/>
  <c r="CX23" i="118"/>
  <c r="CW23" i="118"/>
  <c r="CV23" i="118"/>
  <c r="CU23" i="118"/>
  <c r="CH23" i="118"/>
  <c r="CQ23" i="118" s="1"/>
  <c r="BY23" i="118"/>
  <c r="BX23" i="118"/>
  <c r="BW23" i="118"/>
  <c r="BV23" i="118"/>
  <c r="BU23" i="118"/>
  <c r="BT23" i="118"/>
  <c r="BS23" i="118"/>
  <c r="BR23" i="118"/>
  <c r="CE23" i="118"/>
  <c r="CN23" i="118" s="1"/>
  <c r="CD23" i="118"/>
  <c r="CC23" i="118"/>
  <c r="CL23" i="118" s="1"/>
  <c r="CB23" i="118"/>
  <c r="CA23" i="118"/>
  <c r="CJ23" i="118" s="1"/>
  <c r="BG23" i="118"/>
  <c r="BF23" i="118"/>
  <c r="BE23" i="118"/>
  <c r="BD23" i="118"/>
  <c r="BC23" i="118"/>
  <c r="BB23" i="118"/>
  <c r="AH23" i="118" s="1"/>
  <c r="Y23" i="118" s="1"/>
  <c r="BA23" i="118"/>
  <c r="AZ23" i="118"/>
  <c r="AI23" i="118"/>
  <c r="AJ23" i="118" s="1"/>
  <c r="AK23" i="118" s="1"/>
  <c r="AL23" i="118" s="1"/>
  <c r="AM23" i="118" s="1"/>
  <c r="AN23" i="118" s="1"/>
  <c r="DN22" i="118"/>
  <c r="DM22" i="118"/>
  <c r="DL22" i="118"/>
  <c r="DK22" i="118"/>
  <c r="DJ22" i="118"/>
  <c r="DI22" i="118"/>
  <c r="DH22" i="118"/>
  <c r="DG22" i="118"/>
  <c r="DF22" i="118"/>
  <c r="DB22" i="118"/>
  <c r="DA22" i="118"/>
  <c r="CZ22" i="118"/>
  <c r="CY22" i="118"/>
  <c r="CX22" i="118"/>
  <c r="CW22" i="118"/>
  <c r="CV22" i="118"/>
  <c r="CU22" i="118"/>
  <c r="BY22" i="118"/>
  <c r="BX22" i="118"/>
  <c r="BW22" i="118"/>
  <c r="BV22" i="118"/>
  <c r="BU22" i="118"/>
  <c r="BT22" i="118"/>
  <c r="BS22" i="118"/>
  <c r="BR22" i="118"/>
  <c r="CE22" i="118"/>
  <c r="CN22" i="118" s="1"/>
  <c r="CD22" i="118"/>
  <c r="CC22" i="118"/>
  <c r="CL22" i="118" s="1"/>
  <c r="CB22" i="118"/>
  <c r="CK22" i="118" s="1"/>
  <c r="CA22" i="118"/>
  <c r="BG22" i="118"/>
  <c r="BF22" i="118"/>
  <c r="BE22" i="118"/>
  <c r="BD22" i="118"/>
  <c r="BC22" i="118"/>
  <c r="BB22" i="118"/>
  <c r="BA22" i="118"/>
  <c r="AZ22" i="118"/>
  <c r="DN21" i="118"/>
  <c r="DM21" i="118"/>
  <c r="DL21" i="118"/>
  <c r="DK21" i="118"/>
  <c r="DJ21" i="118"/>
  <c r="DI21" i="118"/>
  <c r="DH21" i="118"/>
  <c r="DG21" i="118"/>
  <c r="DF21" i="118"/>
  <c r="DB21" i="118"/>
  <c r="DA21" i="118"/>
  <c r="CZ21" i="118"/>
  <c r="CY21" i="118"/>
  <c r="CX21" i="118"/>
  <c r="CW21" i="118"/>
  <c r="CV21" i="118"/>
  <c r="CU21" i="118"/>
  <c r="CE21" i="118"/>
  <c r="CN21" i="118" s="1"/>
  <c r="CB21" i="118"/>
  <c r="CK21" i="118" s="1"/>
  <c r="BY21" i="118"/>
  <c r="BX21" i="118"/>
  <c r="BW21" i="118"/>
  <c r="BV21" i="118"/>
  <c r="BU21" i="118"/>
  <c r="BT21" i="118"/>
  <c r="BS21" i="118"/>
  <c r="BR21" i="118"/>
  <c r="CF21" i="118"/>
  <c r="CD21" i="118"/>
  <c r="CM21" i="118" s="1"/>
  <c r="CC21" i="118"/>
  <c r="CL21" i="118" s="1"/>
  <c r="CA21" i="118"/>
  <c r="CJ21" i="118" s="1"/>
  <c r="BG21" i="118"/>
  <c r="BF21" i="118"/>
  <c r="BE21" i="118"/>
  <c r="BD21" i="118"/>
  <c r="BC21" i="118"/>
  <c r="BB21" i="118"/>
  <c r="BA21" i="118"/>
  <c r="AZ21" i="118"/>
  <c r="AK21" i="118"/>
  <c r="AL21" i="118" s="1"/>
  <c r="AM21" i="118" s="1"/>
  <c r="AN21" i="118" s="1"/>
  <c r="AH21" i="118"/>
  <c r="AI21" i="118" s="1"/>
  <c r="AJ21" i="118" s="1"/>
  <c r="DN20" i="118"/>
  <c r="DM20" i="118"/>
  <c r="DL20" i="118"/>
  <c r="DK20" i="118"/>
  <c r="DJ20" i="118"/>
  <c r="DI20" i="118"/>
  <c r="DH20" i="118"/>
  <c r="DG20" i="118"/>
  <c r="DF20" i="118"/>
  <c r="DB20" i="118"/>
  <c r="DA20" i="118"/>
  <c r="CZ20" i="118"/>
  <c r="CY20" i="118"/>
  <c r="CX20" i="118"/>
  <c r="CW20" i="118"/>
  <c r="CV20" i="118"/>
  <c r="CU20" i="118"/>
  <c r="CG20" i="118"/>
  <c r="CP20" i="118" s="1"/>
  <c r="BY20" i="118"/>
  <c r="BX20" i="118"/>
  <c r="BW20" i="118"/>
  <c r="BV20" i="118"/>
  <c r="BU20" i="118"/>
  <c r="BT20" i="118"/>
  <c r="BS20" i="118"/>
  <c r="BR20" i="118"/>
  <c r="CH20" i="118"/>
  <c r="CQ20" i="118" s="1"/>
  <c r="CE20" i="118"/>
  <c r="CN20" i="118" s="1"/>
  <c r="CD20" i="118"/>
  <c r="CM20" i="118" s="1"/>
  <c r="CC20" i="118"/>
  <c r="CL20" i="118" s="1"/>
  <c r="CB20" i="118"/>
  <c r="CA20" i="118"/>
  <c r="CJ20" i="118" s="1"/>
  <c r="BG20" i="118"/>
  <c r="BF20" i="118"/>
  <c r="BE20" i="118"/>
  <c r="BD20" i="118"/>
  <c r="BC20" i="118"/>
  <c r="BB20" i="118"/>
  <c r="BA20" i="118"/>
  <c r="AZ20" i="118"/>
  <c r="AH20" i="118"/>
  <c r="DN19" i="118"/>
  <c r="DM19" i="118"/>
  <c r="DL19" i="118"/>
  <c r="DK19" i="118"/>
  <c r="DJ19" i="118"/>
  <c r="DI19" i="118"/>
  <c r="DH19" i="118"/>
  <c r="DG19" i="118"/>
  <c r="DF19" i="118"/>
  <c r="DB19" i="118"/>
  <c r="DA19" i="118"/>
  <c r="CZ19" i="118"/>
  <c r="CY19" i="118"/>
  <c r="CX19" i="118"/>
  <c r="CW19" i="118"/>
  <c r="CV19" i="118"/>
  <c r="CU19" i="118"/>
  <c r="CD19" i="118"/>
  <c r="CM19" i="118" s="1"/>
  <c r="BY19" i="118"/>
  <c r="BX19" i="118"/>
  <c r="BW19" i="118"/>
  <c r="BV19" i="118"/>
  <c r="BU19" i="118"/>
  <c r="BT19" i="118"/>
  <c r="BS19" i="118"/>
  <c r="BR19" i="118"/>
  <c r="CE19" i="118"/>
  <c r="CN19" i="118" s="1"/>
  <c r="CC19" i="118"/>
  <c r="CL19" i="118" s="1"/>
  <c r="CB19" i="118"/>
  <c r="CK19" i="118" s="1"/>
  <c r="CA19" i="118"/>
  <c r="CJ19" i="118" s="1"/>
  <c r="BG19" i="118"/>
  <c r="BF19" i="118"/>
  <c r="BE19" i="118"/>
  <c r="BD19" i="118"/>
  <c r="BC19" i="118"/>
  <c r="BB19" i="118"/>
  <c r="BA19" i="118"/>
  <c r="AZ19" i="118"/>
  <c r="DN18" i="118"/>
  <c r="DM18" i="118"/>
  <c r="DL18" i="118"/>
  <c r="DK18" i="118"/>
  <c r="DJ18" i="118"/>
  <c r="DI18" i="118"/>
  <c r="DH18" i="118"/>
  <c r="DG18" i="118"/>
  <c r="DF18" i="118"/>
  <c r="DB18" i="118"/>
  <c r="DA18" i="118"/>
  <c r="CZ18" i="118"/>
  <c r="CY18" i="118"/>
  <c r="CX18" i="118"/>
  <c r="CW18" i="118"/>
  <c r="CV18" i="118"/>
  <c r="CU18" i="118"/>
  <c r="CD18" i="118"/>
  <c r="CM18" i="118" s="1"/>
  <c r="BY18" i="118"/>
  <c r="BX18" i="118"/>
  <c r="BW18" i="118"/>
  <c r="BV18" i="118"/>
  <c r="BU18" i="118"/>
  <c r="BT18" i="118"/>
  <c r="BS18" i="118"/>
  <c r="BR18" i="118"/>
  <c r="CF18" i="118"/>
  <c r="CO18" i="118" s="1"/>
  <c r="CE18" i="118"/>
  <c r="CN18" i="118" s="1"/>
  <c r="CC18" i="118"/>
  <c r="CL18" i="118" s="1"/>
  <c r="CB18" i="118"/>
  <c r="CK18" i="118" s="1"/>
  <c r="CA18" i="118"/>
  <c r="CJ18" i="118" s="1"/>
  <c r="BG18" i="118"/>
  <c r="BF18" i="118"/>
  <c r="BE18" i="118"/>
  <c r="BD18" i="118"/>
  <c r="BC18" i="118"/>
  <c r="BB18" i="118"/>
  <c r="BA18" i="118"/>
  <c r="AZ18" i="118"/>
  <c r="DN17" i="118"/>
  <c r="DM17" i="118"/>
  <c r="DL17" i="118"/>
  <c r="DK17" i="118"/>
  <c r="DJ17" i="118"/>
  <c r="DI17" i="118"/>
  <c r="DH17" i="118"/>
  <c r="DG17" i="118"/>
  <c r="DF17" i="118"/>
  <c r="DB17" i="118"/>
  <c r="DA17" i="118"/>
  <c r="CZ17" i="118"/>
  <c r="CY17" i="118"/>
  <c r="CX17" i="118"/>
  <c r="CW17" i="118"/>
  <c r="CV17" i="118"/>
  <c r="CU17" i="118"/>
  <c r="BY17" i="118"/>
  <c r="BX17" i="118"/>
  <c r="BW17" i="118"/>
  <c r="BV17" i="118"/>
  <c r="BU17" i="118"/>
  <c r="BT17" i="118"/>
  <c r="BS17" i="118"/>
  <c r="BR17" i="118"/>
  <c r="CG17" i="118"/>
  <c r="CP17" i="118" s="1"/>
  <c r="CE17" i="118"/>
  <c r="CN17" i="118" s="1"/>
  <c r="CD17" i="118"/>
  <c r="CM17" i="118" s="1"/>
  <c r="CC17" i="118"/>
  <c r="CL17" i="118" s="1"/>
  <c r="CB17" i="118"/>
  <c r="CK17" i="118" s="1"/>
  <c r="CA17" i="118"/>
  <c r="CJ17" i="118" s="1"/>
  <c r="BG17" i="118"/>
  <c r="BF17" i="118"/>
  <c r="BE17" i="118"/>
  <c r="BD17" i="118"/>
  <c r="BC17" i="118"/>
  <c r="BB17" i="118"/>
  <c r="BA17" i="118"/>
  <c r="AZ17" i="118"/>
  <c r="AH17" i="118" s="1"/>
  <c r="DN16" i="118"/>
  <c r="DM16" i="118"/>
  <c r="DL16" i="118"/>
  <c r="DK16" i="118"/>
  <c r="DJ16" i="118"/>
  <c r="DI16" i="118"/>
  <c r="DH16" i="118"/>
  <c r="DG16" i="118"/>
  <c r="DF16" i="118"/>
  <c r="DB16" i="118"/>
  <c r="DA16" i="118"/>
  <c r="CZ16" i="118"/>
  <c r="CY16" i="118"/>
  <c r="CX16" i="118"/>
  <c r="CW16" i="118"/>
  <c r="CV16" i="118"/>
  <c r="CU16" i="118"/>
  <c r="CE16" i="118"/>
  <c r="CN16" i="118" s="1"/>
  <c r="CC16" i="118"/>
  <c r="CL16" i="118" s="1"/>
  <c r="BY16" i="118"/>
  <c r="BX16" i="118"/>
  <c r="BW16" i="118"/>
  <c r="BV16" i="118"/>
  <c r="BU16" i="118"/>
  <c r="BT16" i="118"/>
  <c r="BS16" i="118"/>
  <c r="BR16" i="118"/>
  <c r="CG16" i="118"/>
  <c r="CP16" i="118" s="1"/>
  <c r="CD16" i="118"/>
  <c r="CB16" i="118"/>
  <c r="CK16" i="118" s="1"/>
  <c r="CA16" i="118"/>
  <c r="CJ16" i="118" s="1"/>
  <c r="BG16" i="118"/>
  <c r="BF16" i="118"/>
  <c r="BE16" i="118"/>
  <c r="BD16" i="118"/>
  <c r="BC16" i="118"/>
  <c r="BB16" i="118"/>
  <c r="BA16" i="118"/>
  <c r="AZ16" i="118"/>
  <c r="AH16" i="118" s="1"/>
  <c r="Y16" i="118" s="1"/>
  <c r="DN15" i="118"/>
  <c r="DM15" i="118"/>
  <c r="DL15" i="118"/>
  <c r="DK15" i="118"/>
  <c r="DJ15" i="118"/>
  <c r="DI15" i="118"/>
  <c r="DH15" i="118"/>
  <c r="DG15" i="118"/>
  <c r="DF15" i="118"/>
  <c r="DB15" i="118"/>
  <c r="DA15" i="118"/>
  <c r="CZ15" i="118"/>
  <c r="CY15" i="118"/>
  <c r="CX15" i="118"/>
  <c r="CW15" i="118"/>
  <c r="CV15" i="118"/>
  <c r="CU15" i="118"/>
  <c r="CC15" i="118"/>
  <c r="CL15" i="118" s="1"/>
  <c r="CB15" i="118"/>
  <c r="CK15" i="118" s="1"/>
  <c r="BY15" i="118"/>
  <c r="BX15" i="118"/>
  <c r="BW15" i="118"/>
  <c r="BV15" i="118"/>
  <c r="BU15" i="118"/>
  <c r="BT15" i="118"/>
  <c r="BS15" i="118"/>
  <c r="BR15" i="118"/>
  <c r="CH15" i="118"/>
  <c r="CQ15" i="118" s="1"/>
  <c r="CE15" i="118"/>
  <c r="CN15" i="118" s="1"/>
  <c r="CD15" i="118"/>
  <c r="CM15" i="118" s="1"/>
  <c r="CA15" i="118"/>
  <c r="CJ15" i="118" s="1"/>
  <c r="BG15" i="118"/>
  <c r="BF15" i="118"/>
  <c r="BE15" i="118"/>
  <c r="BD15" i="118"/>
  <c r="BC15" i="118"/>
  <c r="BB15" i="118"/>
  <c r="BA15" i="118"/>
  <c r="AZ15" i="118"/>
  <c r="AH15" i="118"/>
  <c r="Y15" i="118" s="1"/>
  <c r="DN14" i="118"/>
  <c r="DM14" i="118"/>
  <c r="DL14" i="118"/>
  <c r="DK14" i="118"/>
  <c r="DJ14" i="118"/>
  <c r="DI14" i="118"/>
  <c r="DH14" i="118"/>
  <c r="DG14" i="118"/>
  <c r="DF14" i="118"/>
  <c r="DB14" i="118"/>
  <c r="DA14" i="118"/>
  <c r="CZ14" i="118"/>
  <c r="CY14" i="118"/>
  <c r="CX14" i="118"/>
  <c r="CW14" i="118"/>
  <c r="CV14" i="118"/>
  <c r="CU14" i="118"/>
  <c r="BY14" i="118"/>
  <c r="BX14" i="118"/>
  <c r="BW14" i="118"/>
  <c r="BV14" i="118"/>
  <c r="BU14" i="118"/>
  <c r="BT14" i="118"/>
  <c r="BS14" i="118"/>
  <c r="BR14" i="118"/>
  <c r="CH14" i="118"/>
  <c r="CQ14" i="118" s="1"/>
  <c r="CE14" i="118"/>
  <c r="CN14" i="118" s="1"/>
  <c r="CD14" i="118"/>
  <c r="CM14" i="118" s="1"/>
  <c r="CC14" i="118"/>
  <c r="CL14" i="118" s="1"/>
  <c r="CB14" i="118"/>
  <c r="CK14" i="118" s="1"/>
  <c r="CA14" i="118"/>
  <c r="CJ14" i="118" s="1"/>
  <c r="BG14" i="118"/>
  <c r="BF14" i="118"/>
  <c r="BE14" i="118"/>
  <c r="BD14" i="118"/>
  <c r="BC14" i="118"/>
  <c r="BB14" i="118"/>
  <c r="BA14" i="118"/>
  <c r="AZ14" i="118"/>
  <c r="DN13" i="118"/>
  <c r="DM13" i="118"/>
  <c r="DL13" i="118"/>
  <c r="DK13" i="118"/>
  <c r="DJ13" i="118"/>
  <c r="DI13" i="118"/>
  <c r="DH13" i="118"/>
  <c r="DG13" i="118"/>
  <c r="DF13" i="118"/>
  <c r="DB13" i="118"/>
  <c r="DA13" i="118"/>
  <c r="CZ13" i="118"/>
  <c r="CY13" i="118"/>
  <c r="CX13" i="118"/>
  <c r="CW13" i="118"/>
  <c r="CV13" i="118"/>
  <c r="CU13" i="118"/>
  <c r="CB13" i="118"/>
  <c r="CK13" i="118" s="1"/>
  <c r="BY13" i="118"/>
  <c r="BX13" i="118"/>
  <c r="BW13" i="118"/>
  <c r="BV13" i="118"/>
  <c r="BU13" i="118"/>
  <c r="BT13" i="118"/>
  <c r="BS13" i="118"/>
  <c r="BR13" i="118"/>
  <c r="CE13" i="118"/>
  <c r="CN13" i="118" s="1"/>
  <c r="CD13" i="118"/>
  <c r="CM13" i="118" s="1"/>
  <c r="CC13" i="118"/>
  <c r="CA13" i="118"/>
  <c r="CJ13" i="118" s="1"/>
  <c r="BG13" i="118"/>
  <c r="BF13" i="118"/>
  <c r="BE13" i="118"/>
  <c r="BD13" i="118"/>
  <c r="BC13" i="118"/>
  <c r="AH13" i="118" s="1"/>
  <c r="BB13" i="118"/>
  <c r="BA13" i="118"/>
  <c r="AZ13" i="118"/>
  <c r="DN12" i="118"/>
  <c r="DM12" i="118"/>
  <c r="DL12" i="118"/>
  <c r="DK12" i="118"/>
  <c r="DJ12" i="118"/>
  <c r="DI12" i="118"/>
  <c r="DH12" i="118"/>
  <c r="DG12" i="118"/>
  <c r="DF12" i="118"/>
  <c r="DB12" i="118"/>
  <c r="DA12" i="118"/>
  <c r="CZ12" i="118"/>
  <c r="CY12" i="118"/>
  <c r="CX12" i="118"/>
  <c r="CW12" i="118"/>
  <c r="CV12" i="118"/>
  <c r="CU12" i="118"/>
  <c r="BY12" i="118"/>
  <c r="BX12" i="118"/>
  <c r="BW12" i="118"/>
  <c r="BV12" i="118"/>
  <c r="BU12" i="118"/>
  <c r="BT12" i="118"/>
  <c r="BS12" i="118"/>
  <c r="BR12" i="118"/>
  <c r="CE12" i="118"/>
  <c r="CN12" i="118" s="1"/>
  <c r="CD12" i="118"/>
  <c r="CM12" i="118" s="1"/>
  <c r="CC12" i="118"/>
  <c r="CL12" i="118" s="1"/>
  <c r="CB12" i="118"/>
  <c r="CK12" i="118" s="1"/>
  <c r="CA12" i="118"/>
  <c r="CJ12" i="118" s="1"/>
  <c r="BG12" i="118"/>
  <c r="BF12" i="118"/>
  <c r="BE12" i="118"/>
  <c r="BD12" i="118"/>
  <c r="BC12" i="118"/>
  <c r="BB12" i="118"/>
  <c r="BA12" i="118"/>
  <c r="AZ12" i="118"/>
  <c r="AH12" i="118" s="1"/>
  <c r="DN11" i="118"/>
  <c r="DM11" i="118"/>
  <c r="DL11" i="118"/>
  <c r="DK11" i="118"/>
  <c r="DJ11" i="118"/>
  <c r="DI11" i="118"/>
  <c r="DH11" i="118"/>
  <c r="DG11" i="118"/>
  <c r="DF11" i="118"/>
  <c r="DB11" i="118"/>
  <c r="DA11" i="118"/>
  <c r="CZ11" i="118"/>
  <c r="CY11" i="118"/>
  <c r="CX11" i="118"/>
  <c r="CW11" i="118"/>
  <c r="CV11" i="118"/>
  <c r="CU11" i="118"/>
  <c r="BY11" i="118"/>
  <c r="BX11" i="118"/>
  <c r="BW11" i="118"/>
  <c r="BV11" i="118"/>
  <c r="BU11" i="118"/>
  <c r="BT11" i="118"/>
  <c r="BS11" i="118"/>
  <c r="BR11" i="118"/>
  <c r="CE11" i="118"/>
  <c r="CN11" i="118" s="1"/>
  <c r="CD11" i="118"/>
  <c r="CM11" i="118" s="1"/>
  <c r="CC11" i="118"/>
  <c r="CL11" i="118" s="1"/>
  <c r="CB11" i="118"/>
  <c r="CK11" i="118" s="1"/>
  <c r="CA11" i="118"/>
  <c r="CJ11" i="118" s="1"/>
  <c r="BG11" i="118"/>
  <c r="BF11" i="118"/>
  <c r="BE11" i="118"/>
  <c r="BD11" i="118"/>
  <c r="BC11" i="118"/>
  <c r="BB11" i="118"/>
  <c r="AH11" i="118" s="1"/>
  <c r="BA11" i="118"/>
  <c r="AZ11" i="118"/>
  <c r="W11" i="118"/>
  <c r="W12" i="118" s="1"/>
  <c r="W13" i="118" s="1"/>
  <c r="W14" i="118" s="1"/>
  <c r="W15" i="118" s="1"/>
  <c r="W16" i="118" s="1"/>
  <c r="W17" i="118" s="1"/>
  <c r="W18" i="118" s="1"/>
  <c r="W19" i="118" s="1"/>
  <c r="W20" i="118" s="1"/>
  <c r="W21" i="118" s="1"/>
  <c r="W22" i="118" s="1"/>
  <c r="W23" i="118" s="1"/>
  <c r="W24" i="118" s="1"/>
  <c r="W25" i="118" s="1"/>
  <c r="W26" i="118" s="1"/>
  <c r="W27" i="118" s="1"/>
  <c r="W28" i="118" s="1"/>
  <c r="W29" i="118" s="1"/>
  <c r="W30" i="118" s="1"/>
  <c r="W31" i="118" s="1"/>
  <c r="W32" i="118" s="1"/>
  <c r="W33" i="118" s="1"/>
  <c r="W34" i="118" s="1"/>
  <c r="W35" i="118" s="1"/>
  <c r="W36" i="118" s="1"/>
  <c r="W37" i="118" s="1"/>
  <c r="W38" i="118" s="1"/>
  <c r="W39" i="118" s="1"/>
  <c r="W40" i="118" s="1"/>
  <c r="W41" i="118" s="1"/>
  <c r="W42" i="118" s="1"/>
  <c r="W43" i="118" s="1"/>
  <c r="W44" i="118" s="1"/>
  <c r="W45" i="118" s="1"/>
  <c r="W46" i="118" s="1"/>
  <c r="DN10" i="118"/>
  <c r="DM10" i="118"/>
  <c r="DL10" i="118"/>
  <c r="DK10" i="118"/>
  <c r="DJ10" i="118"/>
  <c r="DI10" i="118"/>
  <c r="DH10" i="118"/>
  <c r="DG10" i="118"/>
  <c r="DF10" i="118"/>
  <c r="DB10" i="118"/>
  <c r="DA10" i="118"/>
  <c r="CZ10" i="118"/>
  <c r="CY10" i="118"/>
  <c r="CX10" i="118"/>
  <c r="CW10" i="118"/>
  <c r="CV10" i="118"/>
  <c r="CU10" i="118"/>
  <c r="BY10" i="118"/>
  <c r="BX10" i="118"/>
  <c r="BW10" i="118"/>
  <c r="BV10" i="118"/>
  <c r="BU10" i="118"/>
  <c r="BT10" i="118"/>
  <c r="BS10" i="118"/>
  <c r="BR10" i="118"/>
  <c r="CH10" i="118"/>
  <c r="CQ10" i="118" s="1"/>
  <c r="CG10" i="118"/>
  <c r="CP10" i="118" s="1"/>
  <c r="CF10" i="118"/>
  <c r="CO10" i="118" s="1"/>
  <c r="CE10" i="118"/>
  <c r="CN10" i="118" s="1"/>
  <c r="CD10" i="118"/>
  <c r="CM10" i="118" s="1"/>
  <c r="CC10" i="118"/>
  <c r="CL10" i="118" s="1"/>
  <c r="CB10" i="118"/>
  <c r="CK10" i="118" s="1"/>
  <c r="CA10" i="118"/>
  <c r="CJ10" i="118" s="1"/>
  <c r="BG10" i="118"/>
  <c r="BF10" i="118"/>
  <c r="BE10" i="118"/>
  <c r="BD10" i="118"/>
  <c r="BC10" i="118"/>
  <c r="BB10" i="118"/>
  <c r="AH10" i="118" s="1"/>
  <c r="BA10" i="118"/>
  <c r="AZ10" i="118"/>
  <c r="W10" i="118"/>
  <c r="A10" i="118"/>
  <c r="A11" i="118" s="1"/>
  <c r="A12" i="118" s="1"/>
  <c r="A13" i="118" s="1"/>
  <c r="A14" i="118" s="1"/>
  <c r="A15" i="118" s="1"/>
  <c r="A16" i="118" s="1"/>
  <c r="A17" i="118" s="1"/>
  <c r="A18" i="118" s="1"/>
  <c r="A19" i="118" s="1"/>
  <c r="A20" i="118" s="1"/>
  <c r="A21" i="118" s="1"/>
  <c r="A22" i="118" s="1"/>
  <c r="A23" i="118" s="1"/>
  <c r="A24" i="118" s="1"/>
  <c r="A25" i="118" s="1"/>
  <c r="A26" i="118" s="1"/>
  <c r="A27" i="118" s="1"/>
  <c r="A28" i="118" s="1"/>
  <c r="A29" i="118" s="1"/>
  <c r="A30" i="118" s="1"/>
  <c r="A31" i="118" s="1"/>
  <c r="A32" i="118" s="1"/>
  <c r="A33" i="118" s="1"/>
  <c r="A34" i="118" s="1"/>
  <c r="A35" i="118" s="1"/>
  <c r="A36" i="118" s="1"/>
  <c r="A37" i="118" s="1"/>
  <c r="A38" i="118" s="1"/>
  <c r="A39" i="118" s="1"/>
  <c r="A40" i="118" s="1"/>
  <c r="A41" i="118" s="1"/>
  <c r="A42" i="118" s="1"/>
  <c r="A43" i="118" s="1"/>
  <c r="A44" i="118" s="1"/>
  <c r="A45" i="118" s="1"/>
  <c r="A46" i="118" s="1"/>
  <c r="DN9" i="118"/>
  <c r="DM9" i="118"/>
  <c r="DL9" i="118"/>
  <c r="DK9" i="118"/>
  <c r="DJ9" i="118"/>
  <c r="DI9" i="118"/>
  <c r="DH9" i="118"/>
  <c r="DG9" i="118"/>
  <c r="DF9" i="118"/>
  <c r="DB9" i="118"/>
  <c r="DA9" i="118"/>
  <c r="CZ9" i="118"/>
  <c r="CY9" i="118"/>
  <c r="CX9" i="118"/>
  <c r="CW9" i="118"/>
  <c r="CV9" i="118"/>
  <c r="CU9" i="118"/>
  <c r="BY9" i="118"/>
  <c r="BX9" i="118"/>
  <c r="BW9" i="118"/>
  <c r="BV9" i="118"/>
  <c r="BU9" i="118"/>
  <c r="BT9" i="118"/>
  <c r="BS9" i="118"/>
  <c r="BR9" i="118"/>
  <c r="BP9" i="118"/>
  <c r="CH9" i="118" s="1"/>
  <c r="CQ9" i="118" s="1"/>
  <c r="BO9" i="118"/>
  <c r="CG9" i="118" s="1"/>
  <c r="CP9" i="118" s="1"/>
  <c r="BN9" i="118"/>
  <c r="CF9" i="118" s="1"/>
  <c r="CO9" i="118" s="1"/>
  <c r="BM9" i="118"/>
  <c r="CE9" i="118" s="1"/>
  <c r="CN9" i="118" s="1"/>
  <c r="BL9" i="118"/>
  <c r="CD9" i="118" s="1"/>
  <c r="CM9" i="118" s="1"/>
  <c r="BK9" i="118"/>
  <c r="CC9" i="118" s="1"/>
  <c r="CL9" i="118" s="1"/>
  <c r="BJ9" i="118"/>
  <c r="CB9" i="118" s="1"/>
  <c r="CK9" i="118" s="1"/>
  <c r="BI9" i="118"/>
  <c r="CA9" i="118" s="1"/>
  <c r="CJ9" i="118" s="1"/>
  <c r="BG9" i="118"/>
  <c r="BF9" i="118"/>
  <c r="BE9" i="118"/>
  <c r="BD9" i="118"/>
  <c r="AH9" i="118" s="1"/>
  <c r="BC9" i="118"/>
  <c r="BB9" i="118"/>
  <c r="BA9" i="118"/>
  <c r="AZ9" i="118"/>
  <c r="R5" i="118"/>
  <c r="Q5" i="118"/>
  <c r="CR3" i="118"/>
  <c r="BI11" i="117"/>
  <c r="BJ11" i="117"/>
  <c r="BK11" i="117"/>
  <c r="BL11" i="117"/>
  <c r="BM11" i="117"/>
  <c r="BN11" i="117"/>
  <c r="BO11" i="117"/>
  <c r="BP11" i="117"/>
  <c r="BI12" i="117"/>
  <c r="BJ12" i="117"/>
  <c r="BK12" i="117"/>
  <c r="BL12" i="117"/>
  <c r="BM12" i="117"/>
  <c r="BN12" i="117"/>
  <c r="BO12" i="117"/>
  <c r="BP12" i="117"/>
  <c r="CH12" i="117" s="1"/>
  <c r="CQ12" i="117" s="1"/>
  <c r="BI13" i="117"/>
  <c r="BJ13" i="117"/>
  <c r="BK13" i="117"/>
  <c r="BL13" i="117"/>
  <c r="BM13" i="117"/>
  <c r="BN13" i="117"/>
  <c r="BO13" i="117"/>
  <c r="BP13" i="117"/>
  <c r="BI14" i="117"/>
  <c r="BJ14" i="117"/>
  <c r="BK14" i="117"/>
  <c r="BL14" i="117"/>
  <c r="BM14" i="117"/>
  <c r="BN14" i="117"/>
  <c r="BO14" i="117"/>
  <c r="BP14" i="117"/>
  <c r="CH14" i="117" s="1"/>
  <c r="CQ14" i="117" s="1"/>
  <c r="BI15" i="117"/>
  <c r="BJ15" i="117"/>
  <c r="BK15" i="117"/>
  <c r="BL15" i="117"/>
  <c r="BM15" i="117"/>
  <c r="BN15" i="117"/>
  <c r="BO15" i="117"/>
  <c r="BP15" i="117"/>
  <c r="CH15" i="117" s="1"/>
  <c r="CQ15" i="117" s="1"/>
  <c r="BI16" i="117"/>
  <c r="BJ16" i="117"/>
  <c r="BK16" i="117"/>
  <c r="BL16" i="117"/>
  <c r="BM16" i="117"/>
  <c r="BN16" i="117"/>
  <c r="BO16" i="117"/>
  <c r="BP16" i="117"/>
  <c r="CH16" i="117" s="1"/>
  <c r="CQ16" i="117" s="1"/>
  <c r="BI17" i="117"/>
  <c r="BJ17" i="117"/>
  <c r="BK17" i="117"/>
  <c r="BL17" i="117"/>
  <c r="BM17" i="117"/>
  <c r="BN17" i="117"/>
  <c r="BO17" i="117"/>
  <c r="BP17" i="117"/>
  <c r="CH17" i="117" s="1"/>
  <c r="BI18" i="117"/>
  <c r="BJ18" i="117"/>
  <c r="BK18" i="117"/>
  <c r="BL18" i="117"/>
  <c r="BM18" i="117"/>
  <c r="BN18" i="117"/>
  <c r="BO18" i="117"/>
  <c r="BP18" i="117"/>
  <c r="CH18" i="117" s="1"/>
  <c r="CQ18" i="117" s="1"/>
  <c r="BI19" i="117"/>
  <c r="BJ19" i="117"/>
  <c r="BK19" i="117"/>
  <c r="BL19" i="117"/>
  <c r="BM19" i="117"/>
  <c r="BN19" i="117"/>
  <c r="BO19" i="117"/>
  <c r="BP19" i="117"/>
  <c r="CH19" i="117" s="1"/>
  <c r="CQ19" i="117" s="1"/>
  <c r="BI20" i="117"/>
  <c r="BJ20" i="117"/>
  <c r="BK20" i="117"/>
  <c r="BL20" i="117"/>
  <c r="BM20" i="117"/>
  <c r="BN20" i="117"/>
  <c r="BO20" i="117"/>
  <c r="BP20" i="117"/>
  <c r="CH20" i="117" s="1"/>
  <c r="CQ20" i="117" s="1"/>
  <c r="BI21" i="117"/>
  <c r="BJ21" i="117"/>
  <c r="BK21" i="117"/>
  <c r="BL21" i="117"/>
  <c r="BM21" i="117"/>
  <c r="BN21" i="117"/>
  <c r="BO21" i="117"/>
  <c r="BP21" i="117"/>
  <c r="BI22" i="117"/>
  <c r="BJ22" i="117"/>
  <c r="BK22" i="117"/>
  <c r="BL22" i="117"/>
  <c r="BM22" i="117"/>
  <c r="BN22" i="117"/>
  <c r="BO22" i="117"/>
  <c r="BP22" i="117"/>
  <c r="BI23" i="117"/>
  <c r="BJ23" i="117"/>
  <c r="BK23" i="117"/>
  <c r="BL23" i="117"/>
  <c r="BM23" i="117"/>
  <c r="BN23" i="117"/>
  <c r="BO23" i="117"/>
  <c r="BP23" i="117"/>
  <c r="CH23" i="117" s="1"/>
  <c r="CQ23" i="117" s="1"/>
  <c r="BI24" i="117"/>
  <c r="BJ24" i="117"/>
  <c r="BK24" i="117"/>
  <c r="BL24" i="117"/>
  <c r="BM24" i="117"/>
  <c r="BN24" i="117"/>
  <c r="BO24" i="117"/>
  <c r="BP24" i="117"/>
  <c r="CH24" i="117" s="1"/>
  <c r="CQ24" i="117" s="1"/>
  <c r="BI25" i="117"/>
  <c r="BJ25" i="117"/>
  <c r="BK25" i="117"/>
  <c r="BL25" i="117"/>
  <c r="BM25" i="117"/>
  <c r="BN25" i="117"/>
  <c r="BO25" i="117"/>
  <c r="BP25" i="117"/>
  <c r="CH25" i="117" s="1"/>
  <c r="CQ25" i="117" s="1"/>
  <c r="BI26" i="117"/>
  <c r="BJ26" i="117"/>
  <c r="BK26" i="117"/>
  <c r="BL26" i="117"/>
  <c r="BM26" i="117"/>
  <c r="BN26" i="117"/>
  <c r="BO26" i="117"/>
  <c r="BP26" i="117"/>
  <c r="CH26" i="117" s="1"/>
  <c r="BI27" i="117"/>
  <c r="BJ27" i="117"/>
  <c r="BK27" i="117"/>
  <c r="BL27" i="117"/>
  <c r="BM27" i="117"/>
  <c r="BN27" i="117"/>
  <c r="BO27" i="117"/>
  <c r="BP27" i="117"/>
  <c r="CH27" i="117" s="1"/>
  <c r="CQ27" i="117" s="1"/>
  <c r="BI28" i="117"/>
  <c r="BJ28" i="117"/>
  <c r="BK28" i="117"/>
  <c r="BL28" i="117"/>
  <c r="BM28" i="117"/>
  <c r="BN28" i="117"/>
  <c r="BO28" i="117"/>
  <c r="BP28" i="117"/>
  <c r="CH28" i="117" s="1"/>
  <c r="CQ28" i="117" s="1"/>
  <c r="BI29" i="117"/>
  <c r="BJ29" i="117"/>
  <c r="BK29" i="117"/>
  <c r="BL29" i="117"/>
  <c r="BM29" i="117"/>
  <c r="BN29" i="117"/>
  <c r="BO29" i="117"/>
  <c r="BP29" i="117"/>
  <c r="CH29" i="117" s="1"/>
  <c r="CQ29" i="117" s="1"/>
  <c r="BI30" i="117"/>
  <c r="BJ30" i="117"/>
  <c r="BK30" i="117"/>
  <c r="BL30" i="117"/>
  <c r="BM30" i="117"/>
  <c r="BN30" i="117"/>
  <c r="BO30" i="117"/>
  <c r="BP30" i="117"/>
  <c r="BI31" i="117"/>
  <c r="BJ31" i="117"/>
  <c r="BK31" i="117"/>
  <c r="BL31" i="117"/>
  <c r="BM31" i="117"/>
  <c r="BN31" i="117"/>
  <c r="BO31" i="117"/>
  <c r="BP31" i="117"/>
  <c r="CH31" i="117" s="1"/>
  <c r="CQ31" i="117" s="1"/>
  <c r="BI32" i="117"/>
  <c r="BJ32" i="117"/>
  <c r="BK32" i="117"/>
  <c r="BL32" i="117"/>
  <c r="BM32" i="117"/>
  <c r="BN32" i="117"/>
  <c r="BO32" i="117"/>
  <c r="BP32" i="117"/>
  <c r="BI33" i="117"/>
  <c r="BJ33" i="117"/>
  <c r="BK33" i="117"/>
  <c r="BL33" i="117"/>
  <c r="BM33" i="117"/>
  <c r="BN33" i="117"/>
  <c r="BO33" i="117"/>
  <c r="BP33" i="117"/>
  <c r="BI34" i="117"/>
  <c r="BJ34" i="117"/>
  <c r="BK34" i="117"/>
  <c r="BL34" i="117"/>
  <c r="BM34" i="117"/>
  <c r="BN34" i="117"/>
  <c r="BO34" i="117"/>
  <c r="BP34" i="117"/>
  <c r="CH34" i="117" s="1"/>
  <c r="CQ34" i="117" s="1"/>
  <c r="BI35" i="117"/>
  <c r="BJ35" i="117"/>
  <c r="BK35" i="117"/>
  <c r="BL35" i="117"/>
  <c r="BM35" i="117"/>
  <c r="BN35" i="117"/>
  <c r="BO35" i="117"/>
  <c r="BP35" i="117"/>
  <c r="CH35" i="117" s="1"/>
  <c r="CQ35" i="117" s="1"/>
  <c r="BI36" i="117"/>
  <c r="BJ36" i="117"/>
  <c r="BK36" i="117"/>
  <c r="BL36" i="117"/>
  <c r="BM36" i="117"/>
  <c r="BN36" i="117"/>
  <c r="BO36" i="117"/>
  <c r="BP36" i="117"/>
  <c r="CH36" i="117" s="1"/>
  <c r="BI37" i="117"/>
  <c r="BJ37" i="117"/>
  <c r="BK37" i="117"/>
  <c r="BL37" i="117"/>
  <c r="BM37" i="117"/>
  <c r="BN37" i="117"/>
  <c r="BO37" i="117"/>
  <c r="BP37" i="117"/>
  <c r="CH37" i="117" s="1"/>
  <c r="CQ37" i="117" s="1"/>
  <c r="BI38" i="117"/>
  <c r="BJ38" i="117"/>
  <c r="BK38" i="117"/>
  <c r="BL38" i="117"/>
  <c r="BM38" i="117"/>
  <c r="BN38" i="117"/>
  <c r="BO38" i="117"/>
  <c r="BP38" i="117"/>
  <c r="CH38" i="117" s="1"/>
  <c r="CQ38" i="117" s="1"/>
  <c r="BI39" i="117"/>
  <c r="BJ39" i="117"/>
  <c r="BK39" i="117"/>
  <c r="CC39" i="117" s="1"/>
  <c r="CL39" i="117" s="1"/>
  <c r="BL39" i="117"/>
  <c r="BM39" i="117"/>
  <c r="BN39" i="117"/>
  <c r="BO39" i="117"/>
  <c r="BP39" i="117"/>
  <c r="BI40" i="117"/>
  <c r="BJ40" i="117"/>
  <c r="BK40" i="117"/>
  <c r="CC40" i="117" s="1"/>
  <c r="BL40" i="117"/>
  <c r="BM40" i="117"/>
  <c r="BN40" i="117"/>
  <c r="BO40" i="117"/>
  <c r="BP40" i="117"/>
  <c r="CH40" i="117" s="1"/>
  <c r="CQ40" i="117" s="1"/>
  <c r="BI41" i="117"/>
  <c r="BJ41" i="117"/>
  <c r="CB41" i="117" s="1"/>
  <c r="CK41" i="117" s="1"/>
  <c r="BK41" i="117"/>
  <c r="CC41" i="117" s="1"/>
  <c r="CL41" i="117" s="1"/>
  <c r="BL41" i="117"/>
  <c r="BM41" i="117"/>
  <c r="CE41" i="117" s="1"/>
  <c r="BN41" i="117"/>
  <c r="BO41" i="117"/>
  <c r="BP41" i="117"/>
  <c r="CH41" i="117" s="1"/>
  <c r="CQ41" i="117" s="1"/>
  <c r="BI42" i="117"/>
  <c r="CA42" i="117" s="1"/>
  <c r="CJ42" i="117" s="1"/>
  <c r="BJ42" i="117"/>
  <c r="BK42" i="117"/>
  <c r="CC42" i="117" s="1"/>
  <c r="CL42" i="117" s="1"/>
  <c r="BL42" i="117"/>
  <c r="BM42" i="117"/>
  <c r="BN42" i="117"/>
  <c r="BO42" i="117"/>
  <c r="BP42" i="117"/>
  <c r="CH42" i="117" s="1"/>
  <c r="BI43" i="117"/>
  <c r="BJ43" i="117"/>
  <c r="BK43" i="117"/>
  <c r="CC43" i="117" s="1"/>
  <c r="BL43" i="117"/>
  <c r="BM43" i="117"/>
  <c r="BN43" i="117"/>
  <c r="BO43" i="117"/>
  <c r="BP43" i="117"/>
  <c r="CH43" i="117" s="1"/>
  <c r="CQ43" i="117" s="1"/>
  <c r="BI44" i="117"/>
  <c r="BJ44" i="117"/>
  <c r="BK44" i="117"/>
  <c r="BL44" i="117"/>
  <c r="BM44" i="117"/>
  <c r="BN44" i="117"/>
  <c r="BO44" i="117"/>
  <c r="BP44" i="117"/>
  <c r="CH44" i="117" s="1"/>
  <c r="CQ44" i="117" s="1"/>
  <c r="BI45" i="117"/>
  <c r="BJ45" i="117"/>
  <c r="CB45" i="117" s="1"/>
  <c r="CK45" i="117" s="1"/>
  <c r="BK45" i="117"/>
  <c r="CC45" i="117" s="1"/>
  <c r="CL45" i="117" s="1"/>
  <c r="BL45" i="117"/>
  <c r="BM45" i="117"/>
  <c r="CE45" i="117" s="1"/>
  <c r="BN45" i="117"/>
  <c r="BO45" i="117"/>
  <c r="BP45" i="117"/>
  <c r="BI46" i="117"/>
  <c r="CA46" i="117" s="1"/>
  <c r="CJ46" i="117" s="1"/>
  <c r="BJ46" i="117"/>
  <c r="BK46" i="117"/>
  <c r="BL46" i="117"/>
  <c r="BM46" i="117"/>
  <c r="BN46" i="117"/>
  <c r="CF46" i="117" s="1"/>
  <c r="CO46" i="117" s="1"/>
  <c r="BO46" i="117"/>
  <c r="BP46" i="117"/>
  <c r="CH46" i="117" s="1"/>
  <c r="CQ46" i="117" s="1"/>
  <c r="BP10" i="117"/>
  <c r="BO10" i="117"/>
  <c r="BN10" i="117"/>
  <c r="BM10" i="117"/>
  <c r="BL10" i="117"/>
  <c r="BK10" i="117"/>
  <c r="BJ10" i="117"/>
  <c r="BI10" i="117"/>
  <c r="CA10" i="117" s="1"/>
  <c r="CJ10" i="117" s="1"/>
  <c r="BS27" i="117"/>
  <c r="AM30" i="117"/>
  <c r="DN46" i="117"/>
  <c r="DM46" i="117"/>
  <c r="DL46" i="117"/>
  <c r="DK46" i="117"/>
  <c r="DJ46" i="117"/>
  <c r="DI46" i="117"/>
  <c r="DH46" i="117"/>
  <c r="DG46" i="117"/>
  <c r="DF46" i="117"/>
  <c r="DB46" i="117"/>
  <c r="DA46" i="117"/>
  <c r="CZ46" i="117"/>
  <c r="CY46" i="117"/>
  <c r="CX46" i="117"/>
  <c r="CW46" i="117"/>
  <c r="CV46" i="117"/>
  <c r="CU46" i="117"/>
  <c r="BY46" i="117"/>
  <c r="BX46" i="117"/>
  <c r="BW46" i="117"/>
  <c r="BV46" i="117"/>
  <c r="BU46" i="117"/>
  <c r="BT46" i="117"/>
  <c r="BS46" i="117"/>
  <c r="BR46" i="117"/>
  <c r="CG46" i="117"/>
  <c r="CP46" i="117" s="1"/>
  <c r="CE46" i="117"/>
  <c r="CD46" i="117"/>
  <c r="CM46" i="117" s="1"/>
  <c r="CC46" i="117"/>
  <c r="CL46" i="117" s="1"/>
  <c r="CB46" i="117"/>
  <c r="CK46" i="117" s="1"/>
  <c r="BG46" i="117"/>
  <c r="BF46" i="117"/>
  <c r="BE46" i="117"/>
  <c r="BD46" i="117"/>
  <c r="BC46" i="117"/>
  <c r="BB46" i="117"/>
  <c r="BA46" i="117"/>
  <c r="AZ46" i="117"/>
  <c r="DN45" i="117"/>
  <c r="DM45" i="117"/>
  <c r="DL45" i="117"/>
  <c r="DK45" i="117"/>
  <c r="DJ45" i="117"/>
  <c r="DI45" i="117"/>
  <c r="DH45" i="117"/>
  <c r="DG45" i="117"/>
  <c r="DF45" i="117"/>
  <c r="DB45" i="117"/>
  <c r="DA45" i="117"/>
  <c r="CZ45" i="117"/>
  <c r="CY45" i="117"/>
  <c r="CX45" i="117"/>
  <c r="CW45" i="117"/>
  <c r="CV45" i="117"/>
  <c r="CU45" i="117"/>
  <c r="BY45" i="117"/>
  <c r="BX45" i="117"/>
  <c r="BW45" i="117"/>
  <c r="BV45" i="117"/>
  <c r="BU45" i="117"/>
  <c r="BT45" i="117"/>
  <c r="BS45" i="117"/>
  <c r="BR45" i="117"/>
  <c r="CH45" i="117"/>
  <c r="CQ45" i="117" s="1"/>
  <c r="CG45" i="117"/>
  <c r="CP45" i="117" s="1"/>
  <c r="CF45" i="117"/>
  <c r="CD45" i="117"/>
  <c r="BG45" i="117"/>
  <c r="BF45" i="117"/>
  <c r="BE45" i="117"/>
  <c r="BD45" i="117"/>
  <c r="BC45" i="117"/>
  <c r="BB45" i="117"/>
  <c r="BA45" i="117"/>
  <c r="AZ45" i="117"/>
  <c r="DN44" i="117"/>
  <c r="DM44" i="117"/>
  <c r="DL44" i="117"/>
  <c r="DK44" i="117"/>
  <c r="DJ44" i="117"/>
  <c r="DI44" i="117"/>
  <c r="DH44" i="117"/>
  <c r="DG44" i="117"/>
  <c r="DF44" i="117"/>
  <c r="DB44" i="117"/>
  <c r="DA44" i="117"/>
  <c r="CZ44" i="117"/>
  <c r="CY44" i="117"/>
  <c r="CX44" i="117"/>
  <c r="CW44" i="117"/>
  <c r="CV44" i="117"/>
  <c r="CU44" i="117"/>
  <c r="CG44" i="117"/>
  <c r="CP44" i="117" s="1"/>
  <c r="BY44" i="117"/>
  <c r="BX44" i="117"/>
  <c r="BW44" i="117"/>
  <c r="BV44" i="117"/>
  <c r="BU44" i="117"/>
  <c r="BT44" i="117"/>
  <c r="BS44" i="117"/>
  <c r="BR44" i="117"/>
  <c r="BG44" i="117"/>
  <c r="BF44" i="117"/>
  <c r="BE44" i="117"/>
  <c r="BD44" i="117"/>
  <c r="BC44" i="117"/>
  <c r="BB44" i="117"/>
  <c r="BA44" i="117"/>
  <c r="AZ44" i="117"/>
  <c r="DN43" i="117"/>
  <c r="DM43" i="117"/>
  <c r="DL43" i="117"/>
  <c r="DK43" i="117"/>
  <c r="DJ43" i="117"/>
  <c r="DI43" i="117"/>
  <c r="DH43" i="117"/>
  <c r="DG43" i="117"/>
  <c r="DF43" i="117"/>
  <c r="DB43" i="117"/>
  <c r="DA43" i="117"/>
  <c r="CZ43" i="117"/>
  <c r="CY43" i="117"/>
  <c r="CX43" i="117"/>
  <c r="CW43" i="117"/>
  <c r="CV43" i="117"/>
  <c r="CU43" i="117"/>
  <c r="CG43" i="117"/>
  <c r="CP43" i="117" s="1"/>
  <c r="CB43" i="117"/>
  <c r="CK43" i="117" s="1"/>
  <c r="BY43" i="117"/>
  <c r="BX43" i="117"/>
  <c r="BW43" i="117"/>
  <c r="BV43" i="117"/>
  <c r="BU43" i="117"/>
  <c r="BT43" i="117"/>
  <c r="BS43" i="117"/>
  <c r="BR43" i="117"/>
  <c r="CF43" i="117"/>
  <c r="CE43" i="117"/>
  <c r="CD43" i="117"/>
  <c r="CM43" i="117" s="1"/>
  <c r="BG43" i="117"/>
  <c r="BF43" i="117"/>
  <c r="BE43" i="117"/>
  <c r="BD43" i="117"/>
  <c r="BC43" i="117"/>
  <c r="BB43" i="117"/>
  <c r="BA43" i="117"/>
  <c r="AZ43" i="117"/>
  <c r="DN42" i="117"/>
  <c r="DM42" i="117"/>
  <c r="DL42" i="117"/>
  <c r="DK42" i="117"/>
  <c r="DJ42" i="117"/>
  <c r="DI42" i="117"/>
  <c r="DH42" i="117"/>
  <c r="DG42" i="117"/>
  <c r="DF42" i="117"/>
  <c r="DB42" i="117"/>
  <c r="DA42" i="117"/>
  <c r="CZ42" i="117"/>
  <c r="CY42" i="117"/>
  <c r="CX42" i="117"/>
  <c r="CW42" i="117"/>
  <c r="CV42" i="117"/>
  <c r="CU42" i="117"/>
  <c r="CB42" i="117"/>
  <c r="BY42" i="117"/>
  <c r="BX42" i="117"/>
  <c r="BW42" i="117"/>
  <c r="BV42" i="117"/>
  <c r="BU42" i="117"/>
  <c r="BT42" i="117"/>
  <c r="BS42" i="117"/>
  <c r="BR42" i="117"/>
  <c r="CG42" i="117"/>
  <c r="CP42" i="117" s="1"/>
  <c r="CF42" i="117"/>
  <c r="CO42" i="117" s="1"/>
  <c r="CD42" i="117"/>
  <c r="CM42" i="117" s="1"/>
  <c r="BG42" i="117"/>
  <c r="BF42" i="117"/>
  <c r="BE42" i="117"/>
  <c r="BD42" i="117"/>
  <c r="AH42" i="117" s="1"/>
  <c r="AI42" i="117" s="1"/>
  <c r="AJ42" i="117" s="1"/>
  <c r="AK42" i="117" s="1"/>
  <c r="AL42" i="117" s="1"/>
  <c r="AM42" i="117" s="1"/>
  <c r="AN42" i="117" s="1"/>
  <c r="BC42" i="117"/>
  <c r="BB42" i="117"/>
  <c r="BA42" i="117"/>
  <c r="AZ42" i="117"/>
  <c r="DN41" i="117"/>
  <c r="DM41" i="117"/>
  <c r="DL41" i="117"/>
  <c r="DK41" i="117"/>
  <c r="DJ41" i="117"/>
  <c r="DI41" i="117"/>
  <c r="DH41" i="117"/>
  <c r="DG41" i="117"/>
  <c r="DF41" i="117"/>
  <c r="DB41" i="117"/>
  <c r="DA41" i="117"/>
  <c r="CZ41" i="117"/>
  <c r="CY41" i="117"/>
  <c r="CX41" i="117"/>
  <c r="CW41" i="117"/>
  <c r="CV41" i="117"/>
  <c r="CU41" i="117"/>
  <c r="CG41" i="117"/>
  <c r="CP41" i="117" s="1"/>
  <c r="BY41" i="117"/>
  <c r="BX41" i="117"/>
  <c r="BW41" i="117"/>
  <c r="BV41" i="117"/>
  <c r="BU41" i="117"/>
  <c r="BT41" i="117"/>
  <c r="BS41" i="117"/>
  <c r="BR41" i="117"/>
  <c r="CF41" i="117"/>
  <c r="CO41" i="117" s="1"/>
  <c r="CD41" i="117"/>
  <c r="CM41" i="117" s="1"/>
  <c r="CA41" i="117"/>
  <c r="CJ41" i="117" s="1"/>
  <c r="BG41" i="117"/>
  <c r="BF41" i="117"/>
  <c r="BE41" i="117"/>
  <c r="BD41" i="117"/>
  <c r="BC41" i="117"/>
  <c r="BB41" i="117"/>
  <c r="BA41" i="117"/>
  <c r="AZ41" i="117"/>
  <c r="DN40" i="117"/>
  <c r="DM40" i="117"/>
  <c r="DL40" i="117"/>
  <c r="DK40" i="117"/>
  <c r="DJ40" i="117"/>
  <c r="DI40" i="117"/>
  <c r="DH40" i="117"/>
  <c r="DG40" i="117"/>
  <c r="DF40" i="117"/>
  <c r="DB40" i="117"/>
  <c r="DA40" i="117"/>
  <c r="CZ40" i="117"/>
  <c r="CY40" i="117"/>
  <c r="CX40" i="117"/>
  <c r="CW40" i="117"/>
  <c r="CV40" i="117"/>
  <c r="CU40" i="117"/>
  <c r="BY40" i="117"/>
  <c r="BX40" i="117"/>
  <c r="BW40" i="117"/>
  <c r="BV40" i="117"/>
  <c r="BU40" i="117"/>
  <c r="BT40" i="117"/>
  <c r="BS40" i="117"/>
  <c r="BR40" i="117"/>
  <c r="CG40" i="117"/>
  <c r="CP40" i="117" s="1"/>
  <c r="CF40" i="117"/>
  <c r="CO40" i="117" s="1"/>
  <c r="CE40" i="117"/>
  <c r="CN40" i="117" s="1"/>
  <c r="CD40" i="117"/>
  <c r="CM40" i="117" s="1"/>
  <c r="CB40" i="117"/>
  <c r="CK40" i="117" s="1"/>
  <c r="CA40" i="117"/>
  <c r="BG40" i="117"/>
  <c r="BF40" i="117"/>
  <c r="BE40" i="117"/>
  <c r="BD40" i="117"/>
  <c r="BC40" i="117"/>
  <c r="BB40" i="117"/>
  <c r="BA40" i="117"/>
  <c r="AZ40" i="117"/>
  <c r="DN39" i="117"/>
  <c r="DM39" i="117"/>
  <c r="DL39" i="117"/>
  <c r="DK39" i="117"/>
  <c r="DJ39" i="117"/>
  <c r="DI39" i="117"/>
  <c r="DH39" i="117"/>
  <c r="DG39" i="117"/>
  <c r="DF39" i="117"/>
  <c r="DB39" i="117"/>
  <c r="DA39" i="117"/>
  <c r="CZ39" i="117"/>
  <c r="CY39" i="117"/>
  <c r="CX39" i="117"/>
  <c r="CW39" i="117"/>
  <c r="CV39" i="117"/>
  <c r="CU39" i="117"/>
  <c r="BY39" i="117"/>
  <c r="BX39" i="117"/>
  <c r="BW39" i="117"/>
  <c r="BV39" i="117"/>
  <c r="BU39" i="117"/>
  <c r="BT39" i="117"/>
  <c r="BS39" i="117"/>
  <c r="BR39" i="117"/>
  <c r="CG39" i="117"/>
  <c r="CP39" i="117" s="1"/>
  <c r="CF39" i="117"/>
  <c r="CO39" i="117" s="1"/>
  <c r="CE39" i="117"/>
  <c r="CN39" i="117" s="1"/>
  <c r="CD39" i="117"/>
  <c r="CM39" i="117" s="1"/>
  <c r="CB39" i="117"/>
  <c r="CK39" i="117" s="1"/>
  <c r="CA39" i="117"/>
  <c r="BG39" i="117"/>
  <c r="BF39" i="117"/>
  <c r="BE39" i="117"/>
  <c r="BD39" i="117"/>
  <c r="BC39" i="117"/>
  <c r="BB39" i="117"/>
  <c r="BA39" i="117"/>
  <c r="AZ39" i="117"/>
  <c r="DN38" i="117"/>
  <c r="DM38" i="117"/>
  <c r="DL38" i="117"/>
  <c r="DK38" i="117"/>
  <c r="DJ38" i="117"/>
  <c r="DI38" i="117"/>
  <c r="DH38" i="117"/>
  <c r="DG38" i="117"/>
  <c r="DF38" i="117"/>
  <c r="DB38" i="117"/>
  <c r="DA38" i="117"/>
  <c r="CZ38" i="117"/>
  <c r="CY38" i="117"/>
  <c r="CX38" i="117"/>
  <c r="CW38" i="117"/>
  <c r="CV38" i="117"/>
  <c r="CU38" i="117"/>
  <c r="CF38" i="117"/>
  <c r="CO38" i="117" s="1"/>
  <c r="BY38" i="117"/>
  <c r="BX38" i="117"/>
  <c r="BW38" i="117"/>
  <c r="BV38" i="117"/>
  <c r="BU38" i="117"/>
  <c r="BT38" i="117"/>
  <c r="BS38" i="117"/>
  <c r="BR38" i="117"/>
  <c r="CG38" i="117"/>
  <c r="CE38" i="117"/>
  <c r="CN38" i="117" s="1"/>
  <c r="CD38" i="117"/>
  <c r="CM38" i="117" s="1"/>
  <c r="CC38" i="117"/>
  <c r="CL38" i="117" s="1"/>
  <c r="CB38" i="117"/>
  <c r="CA38" i="117"/>
  <c r="BG38" i="117"/>
  <c r="BF38" i="117"/>
  <c r="BE38" i="117"/>
  <c r="BD38" i="117"/>
  <c r="BC38" i="117"/>
  <c r="BB38" i="117"/>
  <c r="BA38" i="117"/>
  <c r="AZ38" i="117"/>
  <c r="DN37" i="117"/>
  <c r="DM37" i="117"/>
  <c r="DL37" i="117"/>
  <c r="DK37" i="117"/>
  <c r="DJ37" i="117"/>
  <c r="DI37" i="117"/>
  <c r="DH37" i="117"/>
  <c r="DG37" i="117"/>
  <c r="DF37" i="117"/>
  <c r="DB37" i="117"/>
  <c r="DA37" i="117"/>
  <c r="CZ37" i="117"/>
  <c r="CY37" i="117"/>
  <c r="CX37" i="117"/>
  <c r="CW37" i="117"/>
  <c r="CV37" i="117"/>
  <c r="CU37" i="117"/>
  <c r="BY37" i="117"/>
  <c r="BX37" i="117"/>
  <c r="BW37" i="117"/>
  <c r="BV37" i="117"/>
  <c r="BU37" i="117"/>
  <c r="BT37" i="117"/>
  <c r="BS37" i="117"/>
  <c r="BR37" i="117"/>
  <c r="CG37" i="117"/>
  <c r="CP37" i="117" s="1"/>
  <c r="CF37" i="117"/>
  <c r="CO37" i="117" s="1"/>
  <c r="CE37" i="117"/>
  <c r="CN37" i="117" s="1"/>
  <c r="CD37" i="117"/>
  <c r="CC37" i="117"/>
  <c r="CL37" i="117" s="1"/>
  <c r="CB37" i="117"/>
  <c r="CA37" i="117"/>
  <c r="CJ37" i="117" s="1"/>
  <c r="BG37" i="117"/>
  <c r="BF37" i="117"/>
  <c r="BE37" i="117"/>
  <c r="BD37" i="117"/>
  <c r="BC37" i="117"/>
  <c r="BB37" i="117"/>
  <c r="BA37" i="117"/>
  <c r="AZ37" i="117"/>
  <c r="DN36" i="117"/>
  <c r="DM36" i="117"/>
  <c r="DL36" i="117"/>
  <c r="DK36" i="117"/>
  <c r="DJ36" i="117"/>
  <c r="DI36" i="117"/>
  <c r="DH36" i="117"/>
  <c r="DG36" i="117"/>
  <c r="DF36" i="117"/>
  <c r="DB36" i="117"/>
  <c r="DA36" i="117"/>
  <c r="CZ36" i="117"/>
  <c r="CY36" i="117"/>
  <c r="CX36" i="117"/>
  <c r="CW36" i="117"/>
  <c r="CV36" i="117"/>
  <c r="CU36" i="117"/>
  <c r="BY36" i="117"/>
  <c r="BX36" i="117"/>
  <c r="BW36" i="117"/>
  <c r="BV36" i="117"/>
  <c r="BU36" i="117"/>
  <c r="BT36" i="117"/>
  <c r="BS36" i="117"/>
  <c r="BR36" i="117"/>
  <c r="CG36" i="117"/>
  <c r="CP36" i="117" s="1"/>
  <c r="CF36" i="117"/>
  <c r="CO36" i="117" s="1"/>
  <c r="CE36" i="117"/>
  <c r="CD36" i="117"/>
  <c r="CM36" i="117" s="1"/>
  <c r="CC36" i="117"/>
  <c r="CL36" i="117" s="1"/>
  <c r="BG36" i="117"/>
  <c r="BF36" i="117"/>
  <c r="BE36" i="117"/>
  <c r="BD36" i="117"/>
  <c r="BC36" i="117"/>
  <c r="BB36" i="117"/>
  <c r="BA36" i="117"/>
  <c r="AZ36" i="117"/>
  <c r="DN35" i="117"/>
  <c r="DM35" i="117"/>
  <c r="DL35" i="117"/>
  <c r="DK35" i="117"/>
  <c r="DJ35" i="117"/>
  <c r="DI35" i="117"/>
  <c r="DH35" i="117"/>
  <c r="DG35" i="117"/>
  <c r="DF35" i="117"/>
  <c r="DB35" i="117"/>
  <c r="DA35" i="117"/>
  <c r="CZ35" i="117"/>
  <c r="CY35" i="117"/>
  <c r="CX35" i="117"/>
  <c r="CW35" i="117"/>
  <c r="CV35" i="117"/>
  <c r="CU35" i="117"/>
  <c r="BY35" i="117"/>
  <c r="BX35" i="117"/>
  <c r="BW35" i="117"/>
  <c r="BV35" i="117"/>
  <c r="BU35" i="117"/>
  <c r="BT35" i="117"/>
  <c r="BS35" i="117"/>
  <c r="BR35" i="117"/>
  <c r="CG35" i="117"/>
  <c r="CF35" i="117"/>
  <c r="CO35" i="117" s="1"/>
  <c r="CE35" i="117"/>
  <c r="CN35" i="117" s="1"/>
  <c r="CD35" i="117"/>
  <c r="CM35" i="117" s="1"/>
  <c r="CC35" i="117"/>
  <c r="CL35" i="117" s="1"/>
  <c r="CB35" i="117"/>
  <c r="CA35" i="117"/>
  <c r="CJ35" i="117" s="1"/>
  <c r="BG35" i="117"/>
  <c r="BF35" i="117"/>
  <c r="BE35" i="117"/>
  <c r="BD35" i="117"/>
  <c r="BC35" i="117"/>
  <c r="BB35" i="117"/>
  <c r="BA35" i="117"/>
  <c r="AZ35" i="117"/>
  <c r="DN34" i="117"/>
  <c r="DM34" i="117"/>
  <c r="DL34" i="117"/>
  <c r="DK34" i="117"/>
  <c r="DJ34" i="117"/>
  <c r="DI34" i="117"/>
  <c r="DH34" i="117"/>
  <c r="DG34" i="117"/>
  <c r="DF34" i="117"/>
  <c r="DB34" i="117"/>
  <c r="DA34" i="117"/>
  <c r="CZ34" i="117"/>
  <c r="CY34" i="117"/>
  <c r="CX34" i="117"/>
  <c r="CW34" i="117"/>
  <c r="CV34" i="117"/>
  <c r="CU34" i="117"/>
  <c r="CF34" i="117"/>
  <c r="CO34" i="117" s="1"/>
  <c r="BY34" i="117"/>
  <c r="BX34" i="117"/>
  <c r="BW34" i="117"/>
  <c r="BV34" i="117"/>
  <c r="BU34" i="117"/>
  <c r="BT34" i="117"/>
  <c r="BS34" i="117"/>
  <c r="BR34" i="117"/>
  <c r="CG34" i="117"/>
  <c r="CE34" i="117"/>
  <c r="CD34" i="117"/>
  <c r="CC34" i="117"/>
  <c r="CL34" i="117" s="1"/>
  <c r="CB34" i="117"/>
  <c r="CK34" i="117" s="1"/>
  <c r="CA34" i="117"/>
  <c r="CJ34" i="117" s="1"/>
  <c r="BG34" i="117"/>
  <c r="BF34" i="117"/>
  <c r="BE34" i="117"/>
  <c r="BD34" i="117"/>
  <c r="BC34" i="117"/>
  <c r="BB34" i="117"/>
  <c r="BA34" i="117"/>
  <c r="AZ34" i="117"/>
  <c r="DN33" i="117"/>
  <c r="DM33" i="117"/>
  <c r="DL33" i="117"/>
  <c r="DK33" i="117"/>
  <c r="DJ33" i="117"/>
  <c r="DI33" i="117"/>
  <c r="DH33" i="117"/>
  <c r="DG33" i="117"/>
  <c r="DF33" i="117"/>
  <c r="DB33" i="117"/>
  <c r="DA33" i="117"/>
  <c r="CZ33" i="117"/>
  <c r="CY33" i="117"/>
  <c r="CX33" i="117"/>
  <c r="CW33" i="117"/>
  <c r="CV33" i="117"/>
  <c r="CU33" i="117"/>
  <c r="CC33" i="117"/>
  <c r="BY33" i="117"/>
  <c r="BX33" i="117"/>
  <c r="BW33" i="117"/>
  <c r="BV33" i="117"/>
  <c r="BU33" i="117"/>
  <c r="BT33" i="117"/>
  <c r="BS33" i="117"/>
  <c r="BR33" i="117"/>
  <c r="CH33" i="117"/>
  <c r="CQ33" i="117" s="1"/>
  <c r="CG33" i="117"/>
  <c r="CP33" i="117" s="1"/>
  <c r="CF33" i="117"/>
  <c r="CO33" i="117" s="1"/>
  <c r="CE33" i="117"/>
  <c r="CN33" i="117" s="1"/>
  <c r="CD33" i="117"/>
  <c r="CB33" i="117"/>
  <c r="BG33" i="117"/>
  <c r="BF33" i="117"/>
  <c r="BE33" i="117"/>
  <c r="BD33" i="117"/>
  <c r="BC33" i="117"/>
  <c r="BB33" i="117"/>
  <c r="BA33" i="117"/>
  <c r="AZ33" i="117"/>
  <c r="DN32" i="117"/>
  <c r="DM32" i="117"/>
  <c r="DL32" i="117"/>
  <c r="DK32" i="117"/>
  <c r="DJ32" i="117"/>
  <c r="DI32" i="117"/>
  <c r="DH32" i="117"/>
  <c r="DG32" i="117"/>
  <c r="DF32" i="117"/>
  <c r="DB32" i="117"/>
  <c r="DA32" i="117"/>
  <c r="CZ32" i="117"/>
  <c r="CY32" i="117"/>
  <c r="CX32" i="117"/>
  <c r="CW32" i="117"/>
  <c r="CV32" i="117"/>
  <c r="CU32" i="117"/>
  <c r="CC32" i="117"/>
  <c r="BY32" i="117"/>
  <c r="BX32" i="117"/>
  <c r="BW32" i="117"/>
  <c r="BV32" i="117"/>
  <c r="BU32" i="117"/>
  <c r="BT32" i="117"/>
  <c r="BS32" i="117"/>
  <c r="BR32" i="117"/>
  <c r="CH32" i="117"/>
  <c r="CQ32" i="117" s="1"/>
  <c r="CG32" i="117"/>
  <c r="CP32" i="117" s="1"/>
  <c r="CF32" i="117"/>
  <c r="CO32" i="117" s="1"/>
  <c r="CD32" i="117"/>
  <c r="CM32" i="117" s="1"/>
  <c r="CB32" i="117"/>
  <c r="CA32" i="117"/>
  <c r="CJ32" i="117" s="1"/>
  <c r="BG32" i="117"/>
  <c r="BF32" i="117"/>
  <c r="BE32" i="117"/>
  <c r="BD32" i="117"/>
  <c r="BC32" i="117"/>
  <c r="BB32" i="117"/>
  <c r="BA32" i="117"/>
  <c r="AZ32" i="117"/>
  <c r="DN31" i="117"/>
  <c r="DM31" i="117"/>
  <c r="DL31" i="117"/>
  <c r="DK31" i="117"/>
  <c r="DJ31" i="117"/>
  <c r="DI31" i="117"/>
  <c r="DH31" i="117"/>
  <c r="DG31" i="117"/>
  <c r="DF31" i="117"/>
  <c r="DB31" i="117"/>
  <c r="DA31" i="117"/>
  <c r="CZ31" i="117"/>
  <c r="CY31" i="117"/>
  <c r="CX31" i="117"/>
  <c r="CW31" i="117"/>
  <c r="CV31" i="117"/>
  <c r="CU31" i="117"/>
  <c r="CG31" i="117"/>
  <c r="CP31" i="117" s="1"/>
  <c r="CC31" i="117"/>
  <c r="CL31" i="117" s="1"/>
  <c r="BY31" i="117"/>
  <c r="BX31" i="117"/>
  <c r="BW31" i="117"/>
  <c r="BV31" i="117"/>
  <c r="BU31" i="117"/>
  <c r="BT31" i="117"/>
  <c r="BS31" i="117"/>
  <c r="BR31" i="117"/>
  <c r="CF31" i="117"/>
  <c r="CO31" i="117" s="1"/>
  <c r="CE31" i="117"/>
  <c r="CN31" i="117" s="1"/>
  <c r="CD31" i="117"/>
  <c r="CM31" i="117" s="1"/>
  <c r="CB31" i="117"/>
  <c r="CK31" i="117" s="1"/>
  <c r="CA31" i="117"/>
  <c r="CJ31" i="117" s="1"/>
  <c r="BG31" i="117"/>
  <c r="BF31" i="117"/>
  <c r="BE31" i="117"/>
  <c r="BD31" i="117"/>
  <c r="BC31" i="117"/>
  <c r="BB31" i="117"/>
  <c r="BA31" i="117"/>
  <c r="AZ31" i="117"/>
  <c r="DN30" i="117"/>
  <c r="DM30" i="117"/>
  <c r="DL30" i="117"/>
  <c r="DK30" i="117"/>
  <c r="DJ30" i="117"/>
  <c r="DI30" i="117"/>
  <c r="DH30" i="117"/>
  <c r="DG30" i="117"/>
  <c r="DF30" i="117"/>
  <c r="DB30" i="117"/>
  <c r="DA30" i="117"/>
  <c r="CZ30" i="117"/>
  <c r="CY30" i="117"/>
  <c r="CX30" i="117"/>
  <c r="CW30" i="117"/>
  <c r="CV30" i="117"/>
  <c r="CU30" i="117"/>
  <c r="BY30" i="117"/>
  <c r="BX30" i="117"/>
  <c r="BW30" i="117"/>
  <c r="BV30" i="117"/>
  <c r="BU30" i="117"/>
  <c r="BT30" i="117"/>
  <c r="BS30" i="117"/>
  <c r="BR30" i="117"/>
  <c r="CH30" i="117"/>
  <c r="CG30" i="117"/>
  <c r="CP30" i="117" s="1"/>
  <c r="CF30" i="117"/>
  <c r="CO30" i="117" s="1"/>
  <c r="CE30" i="117"/>
  <c r="CN30" i="117" s="1"/>
  <c r="CD30" i="117"/>
  <c r="CM30" i="117" s="1"/>
  <c r="CC30" i="117"/>
  <c r="CL30" i="117" s="1"/>
  <c r="CB30" i="117"/>
  <c r="CK30" i="117" s="1"/>
  <c r="CA30" i="117"/>
  <c r="BG30" i="117"/>
  <c r="BF30" i="117"/>
  <c r="BE30" i="117"/>
  <c r="BD30" i="117"/>
  <c r="BC30" i="117"/>
  <c r="BB30" i="117"/>
  <c r="BA30" i="117"/>
  <c r="AZ30" i="117"/>
  <c r="DN29" i="117"/>
  <c r="DM29" i="117"/>
  <c r="DL29" i="117"/>
  <c r="DK29" i="117"/>
  <c r="DJ29" i="117"/>
  <c r="DI29" i="117"/>
  <c r="DH29" i="117"/>
  <c r="DG29" i="117"/>
  <c r="DF29" i="117"/>
  <c r="DB29" i="117"/>
  <c r="DA29" i="117"/>
  <c r="CZ29" i="117"/>
  <c r="CY29" i="117"/>
  <c r="CX29" i="117"/>
  <c r="CW29" i="117"/>
  <c r="CV29" i="117"/>
  <c r="CU29" i="117"/>
  <c r="BY29" i="117"/>
  <c r="BX29" i="117"/>
  <c r="BW29" i="117"/>
  <c r="BV29" i="117"/>
  <c r="BU29" i="117"/>
  <c r="BT29" i="117"/>
  <c r="BS29" i="117"/>
  <c r="BR29" i="117"/>
  <c r="CG29" i="117"/>
  <c r="CP29" i="117" s="1"/>
  <c r="CF29" i="117"/>
  <c r="CO29" i="117" s="1"/>
  <c r="CE29" i="117"/>
  <c r="CD29" i="117"/>
  <c r="CC29" i="117"/>
  <c r="CB29" i="117"/>
  <c r="CK29" i="117" s="1"/>
  <c r="CA29" i="117"/>
  <c r="CJ29" i="117" s="1"/>
  <c r="BG29" i="117"/>
  <c r="BF29" i="117"/>
  <c r="BE29" i="117"/>
  <c r="AH29" i="117" s="1"/>
  <c r="BD29" i="117"/>
  <c r="BC29" i="117"/>
  <c r="BB29" i="117"/>
  <c r="BA29" i="117"/>
  <c r="AZ29" i="117"/>
  <c r="DN28" i="117"/>
  <c r="DM28" i="117"/>
  <c r="DL28" i="117"/>
  <c r="DK28" i="117"/>
  <c r="DJ28" i="117"/>
  <c r="DI28" i="117"/>
  <c r="DH28" i="117"/>
  <c r="DG28" i="117"/>
  <c r="DF28" i="117"/>
  <c r="DB28" i="117"/>
  <c r="DA28" i="117"/>
  <c r="CZ28" i="117"/>
  <c r="CY28" i="117"/>
  <c r="CX28" i="117"/>
  <c r="CW28" i="117"/>
  <c r="CV28" i="117"/>
  <c r="CU28" i="117"/>
  <c r="CL28" i="117"/>
  <c r="CB28" i="117"/>
  <c r="BY28" i="117"/>
  <c r="BX28" i="117"/>
  <c r="BW28" i="117"/>
  <c r="BV28" i="117"/>
  <c r="BU28" i="117"/>
  <c r="BT28" i="117"/>
  <c r="BS28" i="117"/>
  <c r="BR28" i="117"/>
  <c r="CG28" i="117"/>
  <c r="CP28" i="117" s="1"/>
  <c r="CF28" i="117"/>
  <c r="CO28" i="117" s="1"/>
  <c r="CE28" i="117"/>
  <c r="CN28" i="117" s="1"/>
  <c r="CD28" i="117"/>
  <c r="CM28" i="117" s="1"/>
  <c r="CC28" i="117"/>
  <c r="CA28" i="117"/>
  <c r="BG28" i="117"/>
  <c r="BF28" i="117"/>
  <c r="BE28" i="117"/>
  <c r="BD28" i="117"/>
  <c r="BC28" i="117"/>
  <c r="BB28" i="117"/>
  <c r="BA28" i="117"/>
  <c r="AZ28" i="117"/>
  <c r="DN27" i="117"/>
  <c r="DM27" i="117"/>
  <c r="DL27" i="117"/>
  <c r="DK27" i="117"/>
  <c r="DJ27" i="117"/>
  <c r="DI27" i="117"/>
  <c r="DH27" i="117"/>
  <c r="DG27" i="117"/>
  <c r="DF27" i="117"/>
  <c r="DB27" i="117"/>
  <c r="DA27" i="117"/>
  <c r="CZ27" i="117"/>
  <c r="CY27" i="117"/>
  <c r="CX27" i="117"/>
  <c r="CW27" i="117"/>
  <c r="CV27" i="117"/>
  <c r="CU27" i="117"/>
  <c r="BY27" i="117"/>
  <c r="BX27" i="117"/>
  <c r="BW27" i="117"/>
  <c r="BV27" i="117"/>
  <c r="BU27" i="117"/>
  <c r="BT27" i="117"/>
  <c r="BR27" i="117"/>
  <c r="CG27" i="117"/>
  <c r="CP27" i="117" s="1"/>
  <c r="CF27" i="117"/>
  <c r="CE27" i="117"/>
  <c r="CD27" i="117"/>
  <c r="CM27" i="117" s="1"/>
  <c r="CC27" i="117"/>
  <c r="CL27" i="117" s="1"/>
  <c r="CB27" i="117"/>
  <c r="CA27" i="117"/>
  <c r="CJ27" i="117" s="1"/>
  <c r="BG27" i="117"/>
  <c r="BF27" i="117"/>
  <c r="BE27" i="117"/>
  <c r="BD27" i="117"/>
  <c r="BC27" i="117"/>
  <c r="BB27" i="117"/>
  <c r="BA27" i="117"/>
  <c r="AZ27" i="117"/>
  <c r="DN26" i="117"/>
  <c r="DM26" i="117"/>
  <c r="DL26" i="117"/>
  <c r="DK26" i="117"/>
  <c r="DJ26" i="117"/>
  <c r="DI26" i="117"/>
  <c r="DH26" i="117"/>
  <c r="DG26" i="117"/>
  <c r="DF26" i="117"/>
  <c r="DB26" i="117"/>
  <c r="DA26" i="117"/>
  <c r="CZ26" i="117"/>
  <c r="CY26" i="117"/>
  <c r="CX26" i="117"/>
  <c r="CW26" i="117"/>
  <c r="CV26" i="117"/>
  <c r="CU26" i="117"/>
  <c r="CG26" i="117"/>
  <c r="CP26" i="117" s="1"/>
  <c r="BY26" i="117"/>
  <c r="BX26" i="117"/>
  <c r="BW26" i="117"/>
  <c r="BV26" i="117"/>
  <c r="BU26" i="117"/>
  <c r="BT26" i="117"/>
  <c r="BS26" i="117"/>
  <c r="BR26" i="117"/>
  <c r="CF26" i="117"/>
  <c r="CO26" i="117" s="1"/>
  <c r="CE26" i="117"/>
  <c r="CN26" i="117" s="1"/>
  <c r="CD26" i="117"/>
  <c r="CC26" i="117"/>
  <c r="CL26" i="117" s="1"/>
  <c r="CB26" i="117"/>
  <c r="CK26" i="117" s="1"/>
  <c r="CA26" i="117"/>
  <c r="CJ26" i="117" s="1"/>
  <c r="BG26" i="117"/>
  <c r="BF26" i="117"/>
  <c r="BE26" i="117"/>
  <c r="BD26" i="117"/>
  <c r="BC26" i="117"/>
  <c r="BB26" i="117"/>
  <c r="BA26" i="117"/>
  <c r="AZ26" i="117"/>
  <c r="DN25" i="117"/>
  <c r="DM25" i="117"/>
  <c r="DL25" i="117"/>
  <c r="DK25" i="117"/>
  <c r="DJ25" i="117"/>
  <c r="DI25" i="117"/>
  <c r="DH25" i="117"/>
  <c r="DG25" i="117"/>
  <c r="DF25" i="117"/>
  <c r="DB25" i="117"/>
  <c r="DA25" i="117"/>
  <c r="CZ25" i="117"/>
  <c r="CY25" i="117"/>
  <c r="CX25" i="117"/>
  <c r="CW25" i="117"/>
  <c r="CV25" i="117"/>
  <c r="CU25" i="117"/>
  <c r="BY25" i="117"/>
  <c r="BX25" i="117"/>
  <c r="BW25" i="117"/>
  <c r="BV25" i="117"/>
  <c r="BU25" i="117"/>
  <c r="BT25" i="117"/>
  <c r="BS25" i="117"/>
  <c r="BR25" i="117"/>
  <c r="CG25" i="117"/>
  <c r="CP25" i="117" s="1"/>
  <c r="CF25" i="117"/>
  <c r="CO25" i="117" s="1"/>
  <c r="CE25" i="117"/>
  <c r="CN25" i="117" s="1"/>
  <c r="CD25" i="117"/>
  <c r="CM25" i="117" s="1"/>
  <c r="CC25" i="117"/>
  <c r="CL25" i="117" s="1"/>
  <c r="CB25" i="117"/>
  <c r="CK25" i="117" s="1"/>
  <c r="CA25" i="117"/>
  <c r="CJ25" i="117" s="1"/>
  <c r="BG25" i="117"/>
  <c r="BF25" i="117"/>
  <c r="BE25" i="117"/>
  <c r="BD25" i="117"/>
  <c r="BC25" i="117"/>
  <c r="BB25" i="117"/>
  <c r="BA25" i="117"/>
  <c r="AZ25" i="117"/>
  <c r="DN24" i="117"/>
  <c r="DM24" i="117"/>
  <c r="DL24" i="117"/>
  <c r="DK24" i="117"/>
  <c r="DJ24" i="117"/>
  <c r="DI24" i="117"/>
  <c r="DH24" i="117"/>
  <c r="DG24" i="117"/>
  <c r="DF24" i="117"/>
  <c r="DB24" i="117"/>
  <c r="DA24" i="117"/>
  <c r="CZ24" i="117"/>
  <c r="CY24" i="117"/>
  <c r="CX24" i="117"/>
  <c r="CW24" i="117"/>
  <c r="CV24" i="117"/>
  <c r="CU24" i="117"/>
  <c r="BY24" i="117"/>
  <c r="BX24" i="117"/>
  <c r="BW24" i="117"/>
  <c r="BV24" i="117"/>
  <c r="BU24" i="117"/>
  <c r="BT24" i="117"/>
  <c r="BS24" i="117"/>
  <c r="BR24" i="117"/>
  <c r="CG24" i="117"/>
  <c r="CP24" i="117" s="1"/>
  <c r="CF24" i="117"/>
  <c r="CO24" i="117" s="1"/>
  <c r="CE24" i="117"/>
  <c r="CN24" i="117" s="1"/>
  <c r="CD24" i="117"/>
  <c r="CM24" i="117" s="1"/>
  <c r="CC24" i="117"/>
  <c r="CL24" i="117" s="1"/>
  <c r="CB24" i="117"/>
  <c r="CA24" i="117"/>
  <c r="CJ24" i="117" s="1"/>
  <c r="BG24" i="117"/>
  <c r="BF24" i="117"/>
  <c r="BE24" i="117"/>
  <c r="BD24" i="117"/>
  <c r="BC24" i="117"/>
  <c r="BB24" i="117"/>
  <c r="BA24" i="117"/>
  <c r="AZ24" i="117"/>
  <c r="DN23" i="117"/>
  <c r="DM23" i="117"/>
  <c r="DL23" i="117"/>
  <c r="DK23" i="117"/>
  <c r="DJ23" i="117"/>
  <c r="DI23" i="117"/>
  <c r="DH23" i="117"/>
  <c r="DG23" i="117"/>
  <c r="DF23" i="117"/>
  <c r="DB23" i="117"/>
  <c r="DA23" i="117"/>
  <c r="CZ23" i="117"/>
  <c r="CY23" i="117"/>
  <c r="CX23" i="117"/>
  <c r="CW23" i="117"/>
  <c r="CV23" i="117"/>
  <c r="CU23" i="117"/>
  <c r="BY23" i="117"/>
  <c r="BX23" i="117"/>
  <c r="BW23" i="117"/>
  <c r="BV23" i="117"/>
  <c r="BU23" i="117"/>
  <c r="BT23" i="117"/>
  <c r="BS23" i="117"/>
  <c r="BR23" i="117"/>
  <c r="CG23" i="117"/>
  <c r="CP23" i="117" s="1"/>
  <c r="CF23" i="117"/>
  <c r="CO23" i="117" s="1"/>
  <c r="CE23" i="117"/>
  <c r="CD23" i="117"/>
  <c r="CM23" i="117" s="1"/>
  <c r="CC23" i="117"/>
  <c r="CB23" i="117"/>
  <c r="CK23" i="117" s="1"/>
  <c r="CA23" i="117"/>
  <c r="BG23" i="117"/>
  <c r="BF23" i="117"/>
  <c r="BE23" i="117"/>
  <c r="BD23" i="117"/>
  <c r="BC23" i="117"/>
  <c r="BB23" i="117"/>
  <c r="BA23" i="117"/>
  <c r="AZ23" i="117"/>
  <c r="DN22" i="117"/>
  <c r="DM22" i="117"/>
  <c r="DL22" i="117"/>
  <c r="DK22" i="117"/>
  <c r="DJ22" i="117"/>
  <c r="DI22" i="117"/>
  <c r="DH22" i="117"/>
  <c r="DG22" i="117"/>
  <c r="DF22" i="117"/>
  <c r="DB22" i="117"/>
  <c r="DA22" i="117"/>
  <c r="CZ22" i="117"/>
  <c r="CY22" i="117"/>
  <c r="CX22" i="117"/>
  <c r="CW22" i="117"/>
  <c r="CV22" i="117"/>
  <c r="CU22" i="117"/>
  <c r="BY22" i="117"/>
  <c r="BX22" i="117"/>
  <c r="BW22" i="117"/>
  <c r="BV22" i="117"/>
  <c r="BU22" i="117"/>
  <c r="BT22" i="117"/>
  <c r="BS22" i="117"/>
  <c r="BR22" i="117"/>
  <c r="CH22" i="117"/>
  <c r="CG22" i="117"/>
  <c r="CF22" i="117"/>
  <c r="CO22" i="117" s="1"/>
  <c r="CE22" i="117"/>
  <c r="CN22" i="117" s="1"/>
  <c r="CD22" i="117"/>
  <c r="CM22" i="117" s="1"/>
  <c r="CC22" i="117"/>
  <c r="CL22" i="117" s="1"/>
  <c r="CB22" i="117"/>
  <c r="CK22" i="117" s="1"/>
  <c r="BG22" i="117"/>
  <c r="BF22" i="117"/>
  <c r="BE22" i="117"/>
  <c r="BD22" i="117"/>
  <c r="BC22" i="117"/>
  <c r="BB22" i="117"/>
  <c r="BA22" i="117"/>
  <c r="AZ22" i="117"/>
  <c r="DN21" i="117"/>
  <c r="DM21" i="117"/>
  <c r="DL21" i="117"/>
  <c r="DK21" i="117"/>
  <c r="DJ21" i="117"/>
  <c r="DI21" i="117"/>
  <c r="DH21" i="117"/>
  <c r="DG21" i="117"/>
  <c r="DF21" i="117"/>
  <c r="DB21" i="117"/>
  <c r="DA21" i="117"/>
  <c r="CZ21" i="117"/>
  <c r="CY21" i="117"/>
  <c r="CX21" i="117"/>
  <c r="CW21" i="117"/>
  <c r="CV21" i="117"/>
  <c r="CU21" i="117"/>
  <c r="BY21" i="117"/>
  <c r="BX21" i="117"/>
  <c r="BW21" i="117"/>
  <c r="BV21" i="117"/>
  <c r="BU21" i="117"/>
  <c r="BT21" i="117"/>
  <c r="BS21" i="117"/>
  <c r="BR21" i="117"/>
  <c r="CH21" i="117"/>
  <c r="CQ21" i="117" s="1"/>
  <c r="CG21" i="117"/>
  <c r="CP21" i="117" s="1"/>
  <c r="CF21" i="117"/>
  <c r="CO21" i="117" s="1"/>
  <c r="CE21" i="117"/>
  <c r="CN21" i="117" s="1"/>
  <c r="CD21" i="117"/>
  <c r="CM21" i="117" s="1"/>
  <c r="CC21" i="117"/>
  <c r="CL21" i="117" s="1"/>
  <c r="CB21" i="117"/>
  <c r="CK21" i="117" s="1"/>
  <c r="CA21" i="117"/>
  <c r="BG21" i="117"/>
  <c r="BF21" i="117"/>
  <c r="BE21" i="117"/>
  <c r="BD21" i="117"/>
  <c r="BC21" i="117"/>
  <c r="BB21" i="117"/>
  <c r="BA21" i="117"/>
  <c r="AZ21" i="117"/>
  <c r="DN20" i="117"/>
  <c r="DM20" i="117"/>
  <c r="DL20" i="117"/>
  <c r="DK20" i="117"/>
  <c r="DJ20" i="117"/>
  <c r="DI20" i="117"/>
  <c r="DH20" i="117"/>
  <c r="DG20" i="117"/>
  <c r="DF20" i="117"/>
  <c r="DB20" i="117"/>
  <c r="DA20" i="117"/>
  <c r="CZ20" i="117"/>
  <c r="CY20" i="117"/>
  <c r="CX20" i="117"/>
  <c r="CW20" i="117"/>
  <c r="CV20" i="117"/>
  <c r="CU20" i="117"/>
  <c r="BY20" i="117"/>
  <c r="BX20" i="117"/>
  <c r="BW20" i="117"/>
  <c r="BV20" i="117"/>
  <c r="BU20" i="117"/>
  <c r="BT20" i="117"/>
  <c r="BS20" i="117"/>
  <c r="BR20" i="117"/>
  <c r="CG20" i="117"/>
  <c r="CF20" i="117"/>
  <c r="CO20" i="117" s="1"/>
  <c r="CE20" i="117"/>
  <c r="CN20" i="117" s="1"/>
  <c r="CD20" i="117"/>
  <c r="CC20" i="117"/>
  <c r="CL20" i="117" s="1"/>
  <c r="CB20" i="117"/>
  <c r="CK20" i="117" s="1"/>
  <c r="CA20" i="117"/>
  <c r="CJ20" i="117" s="1"/>
  <c r="BG20" i="117"/>
  <c r="BF20" i="117"/>
  <c r="BE20" i="117"/>
  <c r="BD20" i="117"/>
  <c r="BC20" i="117"/>
  <c r="BB20" i="117"/>
  <c r="BA20" i="117"/>
  <c r="AZ20" i="117"/>
  <c r="DN19" i="117"/>
  <c r="DM19" i="117"/>
  <c r="DL19" i="117"/>
  <c r="DK19" i="117"/>
  <c r="DJ19" i="117"/>
  <c r="DI19" i="117"/>
  <c r="DH19" i="117"/>
  <c r="DG19" i="117"/>
  <c r="DF19" i="117"/>
  <c r="DB19" i="117"/>
  <c r="DA19" i="117"/>
  <c r="CZ19" i="117"/>
  <c r="CY19" i="117"/>
  <c r="CX19" i="117"/>
  <c r="CW19" i="117"/>
  <c r="CV19" i="117"/>
  <c r="CU19" i="117"/>
  <c r="BY19" i="117"/>
  <c r="BX19" i="117"/>
  <c r="BW19" i="117"/>
  <c r="BV19" i="117"/>
  <c r="BU19" i="117"/>
  <c r="BT19" i="117"/>
  <c r="BS19" i="117"/>
  <c r="BR19" i="117"/>
  <c r="CG19" i="117"/>
  <c r="CP19" i="117" s="1"/>
  <c r="CF19" i="117"/>
  <c r="CO19" i="117" s="1"/>
  <c r="CE19" i="117"/>
  <c r="CN19" i="117" s="1"/>
  <c r="CD19" i="117"/>
  <c r="CM19" i="117" s="1"/>
  <c r="CC19" i="117"/>
  <c r="CL19" i="117" s="1"/>
  <c r="CB19" i="117"/>
  <c r="CK19" i="117" s="1"/>
  <c r="CA19" i="117"/>
  <c r="CJ19" i="117" s="1"/>
  <c r="BG19" i="117"/>
  <c r="BF19" i="117"/>
  <c r="BE19" i="117"/>
  <c r="BD19" i="117"/>
  <c r="BC19" i="117"/>
  <c r="BB19" i="117"/>
  <c r="BA19" i="117"/>
  <c r="AZ19" i="117"/>
  <c r="DN18" i="117"/>
  <c r="DM18" i="117"/>
  <c r="DL18" i="117"/>
  <c r="DK18" i="117"/>
  <c r="DJ18" i="117"/>
  <c r="DI18" i="117"/>
  <c r="DH18" i="117"/>
  <c r="DG18" i="117"/>
  <c r="DF18" i="117"/>
  <c r="DB18" i="117"/>
  <c r="DA18" i="117"/>
  <c r="CZ18" i="117"/>
  <c r="CY18" i="117"/>
  <c r="CX18" i="117"/>
  <c r="CW18" i="117"/>
  <c r="CV18" i="117"/>
  <c r="CU18" i="117"/>
  <c r="BY18" i="117"/>
  <c r="BX18" i="117"/>
  <c r="BW18" i="117"/>
  <c r="BV18" i="117"/>
  <c r="BU18" i="117"/>
  <c r="BT18" i="117"/>
  <c r="BS18" i="117"/>
  <c r="BR18" i="117"/>
  <c r="CG18" i="117"/>
  <c r="CP18" i="117" s="1"/>
  <c r="CF18" i="117"/>
  <c r="CO18" i="117" s="1"/>
  <c r="CE18" i="117"/>
  <c r="CN18" i="117" s="1"/>
  <c r="CD18" i="117"/>
  <c r="CM18" i="117" s="1"/>
  <c r="CC18" i="117"/>
  <c r="CL18" i="117" s="1"/>
  <c r="CB18" i="117"/>
  <c r="CK18" i="117" s="1"/>
  <c r="CA18" i="117"/>
  <c r="BG18" i="117"/>
  <c r="BF18" i="117"/>
  <c r="BE18" i="117"/>
  <c r="BD18" i="117"/>
  <c r="BC18" i="117"/>
  <c r="BB18" i="117"/>
  <c r="BA18" i="117"/>
  <c r="AZ18" i="117"/>
  <c r="DN17" i="117"/>
  <c r="DM17" i="117"/>
  <c r="DL17" i="117"/>
  <c r="DK17" i="117"/>
  <c r="DJ17" i="117"/>
  <c r="DI17" i="117"/>
  <c r="DH17" i="117"/>
  <c r="DG17" i="117"/>
  <c r="DF17" i="117"/>
  <c r="DB17" i="117"/>
  <c r="DA17" i="117"/>
  <c r="CZ17" i="117"/>
  <c r="CY17" i="117"/>
  <c r="CX17" i="117"/>
  <c r="CW17" i="117"/>
  <c r="CV17" i="117"/>
  <c r="CU17" i="117"/>
  <c r="BY17" i="117"/>
  <c r="BX17" i="117"/>
  <c r="BW17" i="117"/>
  <c r="BV17" i="117"/>
  <c r="BU17" i="117"/>
  <c r="BT17" i="117"/>
  <c r="BS17" i="117"/>
  <c r="BR17" i="117"/>
  <c r="CG17" i="117"/>
  <c r="CP17" i="117" s="1"/>
  <c r="CF17" i="117"/>
  <c r="CE17" i="117"/>
  <c r="CN17" i="117" s="1"/>
  <c r="CD17" i="117"/>
  <c r="CM17" i="117" s="1"/>
  <c r="CC17" i="117"/>
  <c r="CL17" i="117" s="1"/>
  <c r="CA17" i="117"/>
  <c r="BG17" i="117"/>
  <c r="BF17" i="117"/>
  <c r="BE17" i="117"/>
  <c r="BD17" i="117"/>
  <c r="BC17" i="117"/>
  <c r="BB17" i="117"/>
  <c r="BA17" i="117"/>
  <c r="AZ17" i="117"/>
  <c r="DN16" i="117"/>
  <c r="DM16" i="117"/>
  <c r="DL16" i="117"/>
  <c r="DK16" i="117"/>
  <c r="DJ16" i="117"/>
  <c r="DI16" i="117"/>
  <c r="DH16" i="117"/>
  <c r="DG16" i="117"/>
  <c r="DF16" i="117"/>
  <c r="DB16" i="117"/>
  <c r="DA16" i="117"/>
  <c r="CZ16" i="117"/>
  <c r="CY16" i="117"/>
  <c r="CX16" i="117"/>
  <c r="CW16" i="117"/>
  <c r="CV16" i="117"/>
  <c r="CU16" i="117"/>
  <c r="BY16" i="117"/>
  <c r="BX16" i="117"/>
  <c r="BW16" i="117"/>
  <c r="BV16" i="117"/>
  <c r="BU16" i="117"/>
  <c r="BT16" i="117"/>
  <c r="BS16" i="117"/>
  <c r="BR16" i="117"/>
  <c r="CG16" i="117"/>
  <c r="CP16" i="117" s="1"/>
  <c r="CF16" i="117"/>
  <c r="CO16" i="117" s="1"/>
  <c r="CE16" i="117"/>
  <c r="CN16" i="117" s="1"/>
  <c r="CD16" i="117"/>
  <c r="CM16" i="117" s="1"/>
  <c r="CC16" i="117"/>
  <c r="CB16" i="117"/>
  <c r="CK16" i="117" s="1"/>
  <c r="CA16" i="117"/>
  <c r="CJ16" i="117" s="1"/>
  <c r="BG16" i="117"/>
  <c r="BF16" i="117"/>
  <c r="BE16" i="117"/>
  <c r="BD16" i="117"/>
  <c r="BC16" i="117"/>
  <c r="BB16" i="117"/>
  <c r="BA16" i="117"/>
  <c r="AZ16" i="117"/>
  <c r="DN15" i="117"/>
  <c r="DM15" i="117"/>
  <c r="DL15" i="117"/>
  <c r="DK15" i="117"/>
  <c r="DJ15" i="117"/>
  <c r="DI15" i="117"/>
  <c r="DH15" i="117"/>
  <c r="DG15" i="117"/>
  <c r="DF15" i="117"/>
  <c r="DB15" i="117"/>
  <c r="DA15" i="117"/>
  <c r="CZ15" i="117"/>
  <c r="CY15" i="117"/>
  <c r="CX15" i="117"/>
  <c r="CW15" i="117"/>
  <c r="CV15" i="117"/>
  <c r="CU15" i="117"/>
  <c r="BY15" i="117"/>
  <c r="BX15" i="117"/>
  <c r="BW15" i="117"/>
  <c r="BV15" i="117"/>
  <c r="BU15" i="117"/>
  <c r="BT15" i="117"/>
  <c r="BS15" i="117"/>
  <c r="BR15" i="117"/>
  <c r="CG15" i="117"/>
  <c r="CP15" i="117" s="1"/>
  <c r="CF15" i="117"/>
  <c r="CO15" i="117" s="1"/>
  <c r="CE15" i="117"/>
  <c r="CN15" i="117" s="1"/>
  <c r="CD15" i="117"/>
  <c r="CM15" i="117" s="1"/>
  <c r="CC15" i="117"/>
  <c r="CL15" i="117" s="1"/>
  <c r="CB15" i="117"/>
  <c r="CK15" i="117" s="1"/>
  <c r="CA15" i="117"/>
  <c r="CJ15" i="117" s="1"/>
  <c r="BG15" i="117"/>
  <c r="BF15" i="117"/>
  <c r="BE15" i="117"/>
  <c r="BD15" i="117"/>
  <c r="BC15" i="117"/>
  <c r="BB15" i="117"/>
  <c r="BA15" i="117"/>
  <c r="AZ15" i="117"/>
  <c r="AH15" i="117" s="1"/>
  <c r="Y15" i="117" s="1"/>
  <c r="DN14" i="117"/>
  <c r="DM14" i="117"/>
  <c r="DL14" i="117"/>
  <c r="DK14" i="117"/>
  <c r="DJ14" i="117"/>
  <c r="DI14" i="117"/>
  <c r="DH14" i="117"/>
  <c r="DG14" i="117"/>
  <c r="DF14" i="117"/>
  <c r="DB14" i="117"/>
  <c r="DA14" i="117"/>
  <c r="CZ14" i="117"/>
  <c r="CY14" i="117"/>
  <c r="CX14" i="117"/>
  <c r="CW14" i="117"/>
  <c r="CV14" i="117"/>
  <c r="CU14" i="117"/>
  <c r="BY14" i="117"/>
  <c r="BX14" i="117"/>
  <c r="BW14" i="117"/>
  <c r="BV14" i="117"/>
  <c r="BU14" i="117"/>
  <c r="BT14" i="117"/>
  <c r="BS14" i="117"/>
  <c r="BR14" i="117"/>
  <c r="CG14" i="117"/>
  <c r="CP14" i="117" s="1"/>
  <c r="CF14" i="117"/>
  <c r="CO14" i="117" s="1"/>
  <c r="CE14" i="117"/>
  <c r="CN14" i="117" s="1"/>
  <c r="CD14" i="117"/>
  <c r="CM14" i="117" s="1"/>
  <c r="CC14" i="117"/>
  <c r="CL14" i="117" s="1"/>
  <c r="CB14" i="117"/>
  <c r="CK14" i="117" s="1"/>
  <c r="CA14" i="117"/>
  <c r="CJ14" i="117" s="1"/>
  <c r="BG14" i="117"/>
  <c r="BF14" i="117"/>
  <c r="BE14" i="117"/>
  <c r="BD14" i="117"/>
  <c r="BC14" i="117"/>
  <c r="BB14" i="117"/>
  <c r="BA14" i="117"/>
  <c r="AZ14" i="117"/>
  <c r="DN13" i="117"/>
  <c r="DM13" i="117"/>
  <c r="DL13" i="117"/>
  <c r="DK13" i="117"/>
  <c r="DJ13" i="117"/>
  <c r="DI13" i="117"/>
  <c r="DH13" i="117"/>
  <c r="DG13" i="117"/>
  <c r="DF13" i="117"/>
  <c r="DB13" i="117"/>
  <c r="DA13" i="117"/>
  <c r="CZ13" i="117"/>
  <c r="CY13" i="117"/>
  <c r="CX13" i="117"/>
  <c r="CW13" i="117"/>
  <c r="CV13" i="117"/>
  <c r="CU13" i="117"/>
  <c r="BY13" i="117"/>
  <c r="BX13" i="117"/>
  <c r="BW13" i="117"/>
  <c r="BV13" i="117"/>
  <c r="BU13" i="117"/>
  <c r="BT13" i="117"/>
  <c r="BS13" i="117"/>
  <c r="BR13" i="117"/>
  <c r="CG13" i="117"/>
  <c r="CP13" i="117" s="1"/>
  <c r="CF13" i="117"/>
  <c r="CO13" i="117" s="1"/>
  <c r="CE13" i="117"/>
  <c r="CN13" i="117" s="1"/>
  <c r="CD13" i="117"/>
  <c r="CM13" i="117" s="1"/>
  <c r="CC13" i="117"/>
  <c r="CL13" i="117" s="1"/>
  <c r="CB13" i="117"/>
  <c r="CK13" i="117" s="1"/>
  <c r="CA13" i="117"/>
  <c r="CJ13" i="117" s="1"/>
  <c r="BG13" i="117"/>
  <c r="BF13" i="117"/>
  <c r="BE13" i="117"/>
  <c r="BD13" i="117"/>
  <c r="BC13" i="117"/>
  <c r="BB13" i="117"/>
  <c r="BA13" i="117"/>
  <c r="AZ13" i="117"/>
  <c r="DN12" i="117"/>
  <c r="DM12" i="117"/>
  <c r="DL12" i="117"/>
  <c r="DK12" i="117"/>
  <c r="DJ12" i="117"/>
  <c r="DI12" i="117"/>
  <c r="DH12" i="117"/>
  <c r="DG12" i="117"/>
  <c r="DF12" i="117"/>
  <c r="DB12" i="117"/>
  <c r="DA12" i="117"/>
  <c r="CZ12" i="117"/>
  <c r="CY12" i="117"/>
  <c r="CX12" i="117"/>
  <c r="CW12" i="117"/>
  <c r="CV12" i="117"/>
  <c r="CU12" i="117"/>
  <c r="BY12" i="117"/>
  <c r="BX12" i="117"/>
  <c r="BW12" i="117"/>
  <c r="BV12" i="117"/>
  <c r="BU12" i="117"/>
  <c r="BT12" i="117"/>
  <c r="BS12" i="117"/>
  <c r="BR12" i="117"/>
  <c r="CG12" i="117"/>
  <c r="CP12" i="117" s="1"/>
  <c r="CF12" i="117"/>
  <c r="CO12" i="117" s="1"/>
  <c r="CE12" i="117"/>
  <c r="CN12" i="117" s="1"/>
  <c r="CD12" i="117"/>
  <c r="CM12" i="117" s="1"/>
  <c r="CC12" i="117"/>
  <c r="CL12" i="117" s="1"/>
  <c r="CB12" i="117"/>
  <c r="CK12" i="117" s="1"/>
  <c r="CA12" i="117"/>
  <c r="CJ12" i="117" s="1"/>
  <c r="BG12" i="117"/>
  <c r="BF12" i="117"/>
  <c r="BE12" i="117"/>
  <c r="BD12" i="117"/>
  <c r="BC12" i="117"/>
  <c r="BB12" i="117"/>
  <c r="BA12" i="117"/>
  <c r="AZ12" i="117"/>
  <c r="DN11" i="117"/>
  <c r="DM11" i="117"/>
  <c r="DL11" i="117"/>
  <c r="DK11" i="117"/>
  <c r="DJ11" i="117"/>
  <c r="DI11" i="117"/>
  <c r="DH11" i="117"/>
  <c r="DG11" i="117"/>
  <c r="DF11" i="117"/>
  <c r="DB11" i="117"/>
  <c r="DA11" i="117"/>
  <c r="CZ11" i="117"/>
  <c r="CY11" i="117"/>
  <c r="CX11" i="117"/>
  <c r="CW11" i="117"/>
  <c r="CV11" i="117"/>
  <c r="CU11" i="117"/>
  <c r="BY11" i="117"/>
  <c r="BX11" i="117"/>
  <c r="BW11" i="117"/>
  <c r="BV11" i="117"/>
  <c r="BU11" i="117"/>
  <c r="BT11" i="117"/>
  <c r="BS11" i="117"/>
  <c r="BR11" i="117"/>
  <c r="CH11" i="117"/>
  <c r="CQ11" i="117" s="1"/>
  <c r="CG11" i="117"/>
  <c r="CP11" i="117" s="1"/>
  <c r="CF11" i="117"/>
  <c r="CO11" i="117" s="1"/>
  <c r="CE11" i="117"/>
  <c r="CN11" i="117" s="1"/>
  <c r="CD11" i="117"/>
  <c r="CM11" i="117" s="1"/>
  <c r="CC11" i="117"/>
  <c r="CL11" i="117" s="1"/>
  <c r="CB11" i="117"/>
  <c r="CK11" i="117" s="1"/>
  <c r="CA11" i="117"/>
  <c r="CJ11" i="117" s="1"/>
  <c r="BG11" i="117"/>
  <c r="BF11" i="117"/>
  <c r="BE11" i="117"/>
  <c r="BD11" i="117"/>
  <c r="BC11" i="117"/>
  <c r="BB11" i="117"/>
  <c r="BA11" i="117"/>
  <c r="AZ11" i="117"/>
  <c r="DN10" i="117"/>
  <c r="DM10" i="117"/>
  <c r="DL10" i="117"/>
  <c r="DK10" i="117"/>
  <c r="DJ10" i="117"/>
  <c r="DI10" i="117"/>
  <c r="DH10" i="117"/>
  <c r="DG10" i="117"/>
  <c r="DF10" i="117"/>
  <c r="DB10" i="117"/>
  <c r="DA10" i="117"/>
  <c r="CZ10" i="117"/>
  <c r="CY10" i="117"/>
  <c r="CX10" i="117"/>
  <c r="CW10" i="117"/>
  <c r="CV10" i="117"/>
  <c r="CU10" i="117"/>
  <c r="BY10" i="117"/>
  <c r="BX10" i="117"/>
  <c r="BW10" i="117"/>
  <c r="BV10" i="117"/>
  <c r="BU10" i="117"/>
  <c r="BT10" i="117"/>
  <c r="BS10" i="117"/>
  <c r="BR10" i="117"/>
  <c r="CH10" i="117"/>
  <c r="CQ10" i="117" s="1"/>
  <c r="CG10" i="117"/>
  <c r="CP10" i="117" s="1"/>
  <c r="CF10" i="117"/>
  <c r="CO10" i="117" s="1"/>
  <c r="CE10" i="117"/>
  <c r="CN10" i="117" s="1"/>
  <c r="CD10" i="117"/>
  <c r="CM10" i="117" s="1"/>
  <c r="CC10" i="117"/>
  <c r="CL10" i="117" s="1"/>
  <c r="CB10" i="117"/>
  <c r="CK10" i="117" s="1"/>
  <c r="BG10" i="117"/>
  <c r="BF10" i="117"/>
  <c r="BE10" i="117"/>
  <c r="BD10" i="117"/>
  <c r="BC10" i="117"/>
  <c r="BB10" i="117"/>
  <c r="BA10" i="117"/>
  <c r="AZ10" i="117"/>
  <c r="W10" i="117"/>
  <c r="W11" i="117" s="1"/>
  <c r="W12" i="117" s="1"/>
  <c r="W13" i="117" s="1"/>
  <c r="W14" i="117" s="1"/>
  <c r="W15" i="117" s="1"/>
  <c r="W16" i="117" s="1"/>
  <c r="W17" i="117" s="1"/>
  <c r="W18" i="117" s="1"/>
  <c r="W19" i="117" s="1"/>
  <c r="W20" i="117" s="1"/>
  <c r="W21" i="117" s="1"/>
  <c r="W22" i="117" s="1"/>
  <c r="W23" i="117" s="1"/>
  <c r="W24" i="117" s="1"/>
  <c r="W25" i="117" s="1"/>
  <c r="W26" i="117" s="1"/>
  <c r="W27" i="117" s="1"/>
  <c r="W28" i="117" s="1"/>
  <c r="W29" i="117" s="1"/>
  <c r="W30" i="117" s="1"/>
  <c r="W31" i="117" s="1"/>
  <c r="W32" i="117" s="1"/>
  <c r="W33" i="117" s="1"/>
  <c r="W34" i="117" s="1"/>
  <c r="W35" i="117" s="1"/>
  <c r="W36" i="117" s="1"/>
  <c r="W37" i="117" s="1"/>
  <c r="W38" i="117" s="1"/>
  <c r="W39" i="117" s="1"/>
  <c r="W40" i="117" s="1"/>
  <c r="W41" i="117" s="1"/>
  <c r="W42" i="117" s="1"/>
  <c r="W43" i="117" s="1"/>
  <c r="W44" i="117" s="1"/>
  <c r="W45" i="117" s="1"/>
  <c r="W46" i="117" s="1"/>
  <c r="A10" i="117"/>
  <c r="A11" i="117" s="1"/>
  <c r="A12" i="117" s="1"/>
  <c r="A13" i="117" s="1"/>
  <c r="A14" i="117" s="1"/>
  <c r="A15" i="117" s="1"/>
  <c r="A16" i="117" s="1"/>
  <c r="A17" i="117" s="1"/>
  <c r="A18" i="117" s="1"/>
  <c r="A19" i="117" s="1"/>
  <c r="A20" i="117" s="1"/>
  <c r="A21" i="117" s="1"/>
  <c r="A22" i="117" s="1"/>
  <c r="A23" i="117" s="1"/>
  <c r="A24" i="117" s="1"/>
  <c r="A25" i="117" s="1"/>
  <c r="A26" i="117" s="1"/>
  <c r="A27" i="117" s="1"/>
  <c r="A28" i="117" s="1"/>
  <c r="A29" i="117" s="1"/>
  <c r="A30" i="117" s="1"/>
  <c r="A31" i="117" s="1"/>
  <c r="A32" i="117" s="1"/>
  <c r="A33" i="117" s="1"/>
  <c r="A34" i="117" s="1"/>
  <c r="A35" i="117" s="1"/>
  <c r="A36" i="117" s="1"/>
  <c r="A37" i="117" s="1"/>
  <c r="A38" i="117" s="1"/>
  <c r="A39" i="117" s="1"/>
  <c r="A40" i="117" s="1"/>
  <c r="A41" i="117" s="1"/>
  <c r="A42" i="117" s="1"/>
  <c r="A43" i="117" s="1"/>
  <c r="A44" i="117" s="1"/>
  <c r="A45" i="117" s="1"/>
  <c r="A46" i="117" s="1"/>
  <c r="DN9" i="117"/>
  <c r="DM9" i="117"/>
  <c r="DL9" i="117"/>
  <c r="DK9" i="117"/>
  <c r="DJ9" i="117"/>
  <c r="DI9" i="117"/>
  <c r="DH9" i="117"/>
  <c r="DG9" i="117"/>
  <c r="DF9" i="117"/>
  <c r="DB9" i="117"/>
  <c r="DA9" i="117"/>
  <c r="CZ9" i="117"/>
  <c r="CY9" i="117"/>
  <c r="CX9" i="117"/>
  <c r="CW9" i="117"/>
  <c r="CV9" i="117"/>
  <c r="CU9" i="117"/>
  <c r="BY9" i="117"/>
  <c r="BX9" i="117"/>
  <c r="BW9" i="117"/>
  <c r="BV9" i="117"/>
  <c r="BU9" i="117"/>
  <c r="BT9" i="117"/>
  <c r="BS9" i="117"/>
  <c r="BR9" i="117"/>
  <c r="BP9" i="117"/>
  <c r="CH9" i="117" s="1"/>
  <c r="CQ9" i="117" s="1"/>
  <c r="BO9" i="117"/>
  <c r="CG9" i="117" s="1"/>
  <c r="CP9" i="117" s="1"/>
  <c r="BN9" i="117"/>
  <c r="CF9" i="117" s="1"/>
  <c r="CO9" i="117" s="1"/>
  <c r="BM9" i="117"/>
  <c r="CE9" i="117" s="1"/>
  <c r="CN9" i="117" s="1"/>
  <c r="BL9" i="117"/>
  <c r="CD9" i="117" s="1"/>
  <c r="CM9" i="117" s="1"/>
  <c r="BK9" i="117"/>
  <c r="CC9" i="117" s="1"/>
  <c r="CL9" i="117" s="1"/>
  <c r="BJ9" i="117"/>
  <c r="CB9" i="117" s="1"/>
  <c r="CK9" i="117" s="1"/>
  <c r="BI9" i="117"/>
  <c r="CA9" i="117" s="1"/>
  <c r="CJ9" i="117" s="1"/>
  <c r="BG9" i="117"/>
  <c r="BF9" i="117"/>
  <c r="BE9" i="117"/>
  <c r="BD9" i="117"/>
  <c r="BC9" i="117"/>
  <c r="BB9" i="117"/>
  <c r="BA9" i="117"/>
  <c r="AZ9" i="117"/>
  <c r="Q5" i="117"/>
  <c r="CR3" i="117"/>
  <c r="I61" i="45"/>
  <c r="J61" i="45"/>
  <c r="G61" i="45"/>
  <c r="F61" i="45"/>
  <c r="J58" i="45"/>
  <c r="I58" i="45"/>
  <c r="J57" i="45"/>
  <c r="I57" i="45"/>
  <c r="G57" i="45"/>
  <c r="H57" i="45" s="1"/>
  <c r="F57" i="45"/>
  <c r="AC16" i="121" l="1"/>
  <c r="J15" i="121"/>
  <c r="AN22" i="121"/>
  <c r="M25" i="121"/>
  <c r="I20" i="121"/>
  <c r="AD24" i="121"/>
  <c r="AN24" i="121"/>
  <c r="AE24" i="121" s="1"/>
  <c r="L24" i="121"/>
  <c r="V24" i="121"/>
  <c r="M24" i="121" s="1"/>
  <c r="AN26" i="121"/>
  <c r="AE26" i="121" s="1"/>
  <c r="AD26" i="121"/>
  <c r="AD25" i="121"/>
  <c r="AN25" i="121"/>
  <c r="AE25" i="121" s="1"/>
  <c r="V26" i="121"/>
  <c r="M26" i="121" s="1"/>
  <c r="L26" i="121"/>
  <c r="AE22" i="121"/>
  <c r="AD19" i="121"/>
  <c r="AN19" i="121"/>
  <c r="AE19" i="121" s="1"/>
  <c r="AD15" i="121"/>
  <c r="AN15" i="121"/>
  <c r="AE15" i="121" s="1"/>
  <c r="AD17" i="121"/>
  <c r="AN17" i="121"/>
  <c r="AE17" i="121" s="1"/>
  <c r="AN16" i="121"/>
  <c r="AE16" i="121" s="1"/>
  <c r="AD16" i="121"/>
  <c r="AD23" i="121"/>
  <c r="AN23" i="121"/>
  <c r="AE23" i="121" s="1"/>
  <c r="K19" i="121"/>
  <c r="U19" i="121"/>
  <c r="J21" i="121"/>
  <c r="T21" i="121"/>
  <c r="AD18" i="121"/>
  <c r="AN18" i="121"/>
  <c r="AE18" i="121" s="1"/>
  <c r="S23" i="121"/>
  <c r="I23" i="121"/>
  <c r="J16" i="121"/>
  <c r="T16" i="121"/>
  <c r="I18" i="121"/>
  <c r="S18" i="121"/>
  <c r="J20" i="121"/>
  <c r="T20" i="121"/>
  <c r="K15" i="121"/>
  <c r="U15" i="121"/>
  <c r="AD20" i="121"/>
  <c r="AN20" i="121"/>
  <c r="AE20" i="121" s="1"/>
  <c r="I22" i="121"/>
  <c r="S22" i="121"/>
  <c r="J17" i="121"/>
  <c r="T17" i="121"/>
  <c r="AN21" i="121"/>
  <c r="AE21" i="121" s="1"/>
  <c r="AD21" i="121"/>
  <c r="AM13" i="121"/>
  <c r="AC13" i="121"/>
  <c r="AM9" i="121"/>
  <c r="AN9" i="121" s="1"/>
  <c r="AC9" i="121"/>
  <c r="S12" i="121"/>
  <c r="I12" i="121"/>
  <c r="AE14" i="121"/>
  <c r="AE12" i="121"/>
  <c r="AE10" i="121"/>
  <c r="W5" i="121"/>
  <c r="S14" i="121"/>
  <c r="I14" i="121"/>
  <c r="R11" i="121"/>
  <c r="H11" i="121"/>
  <c r="AM11" i="121"/>
  <c r="AC11" i="121"/>
  <c r="T9" i="121"/>
  <c r="J9" i="121"/>
  <c r="S13" i="121"/>
  <c r="I13" i="121"/>
  <c r="R10" i="121"/>
  <c r="H10" i="121"/>
  <c r="CM37" i="119"/>
  <c r="CP19" i="119"/>
  <c r="CR19" i="119" s="1"/>
  <c r="AV19" i="119" s="1"/>
  <c r="AH25" i="119"/>
  <c r="CP26" i="119"/>
  <c r="AH36" i="119"/>
  <c r="AH44" i="119"/>
  <c r="CJ12" i="119"/>
  <c r="CR12" i="119" s="1"/>
  <c r="AV12" i="119" s="1"/>
  <c r="AH46" i="119"/>
  <c r="CO9" i="119"/>
  <c r="AH16" i="119"/>
  <c r="CQ17" i="119"/>
  <c r="CL19" i="119"/>
  <c r="AH23" i="119"/>
  <c r="CO33" i="119"/>
  <c r="CK34" i="119"/>
  <c r="CO34" i="119"/>
  <c r="AH42" i="119"/>
  <c r="AI42" i="119" s="1"/>
  <c r="AJ42" i="119" s="1"/>
  <c r="AK42" i="119" s="1"/>
  <c r="AL42" i="119" s="1"/>
  <c r="AM42" i="119" s="1"/>
  <c r="AN42" i="119" s="1"/>
  <c r="CH46" i="119"/>
  <c r="CQ46" i="119" s="1"/>
  <c r="CO14" i="119"/>
  <c r="CM15" i="119"/>
  <c r="AH17" i="119"/>
  <c r="CO18" i="119"/>
  <c r="AH20" i="119"/>
  <c r="AI20" i="119" s="1"/>
  <c r="AJ20" i="119" s="1"/>
  <c r="AK20" i="119" s="1"/>
  <c r="AL20" i="119" s="1"/>
  <c r="AM20" i="119" s="1"/>
  <c r="AN20" i="119" s="1"/>
  <c r="CQ21" i="119"/>
  <c r="AH24" i="119"/>
  <c r="AI24" i="119" s="1"/>
  <c r="CJ24" i="119"/>
  <c r="CO25" i="119"/>
  <c r="CM26" i="119"/>
  <c r="CK27" i="119"/>
  <c r="AH30" i="119"/>
  <c r="CO31" i="119"/>
  <c r="CQ35" i="119"/>
  <c r="CM36" i="119"/>
  <c r="CO38" i="119"/>
  <c r="CL39" i="119"/>
  <c r="CQ40" i="119"/>
  <c r="CO41" i="119"/>
  <c r="CO43" i="119"/>
  <c r="CJ45" i="119"/>
  <c r="CM46" i="119"/>
  <c r="AH28" i="119"/>
  <c r="AI28" i="119" s="1"/>
  <c r="AJ28" i="119" s="1"/>
  <c r="AK28" i="119" s="1"/>
  <c r="AL28" i="119" s="1"/>
  <c r="AM28" i="119" s="1"/>
  <c r="AN28" i="119" s="1"/>
  <c r="CQ29" i="119"/>
  <c r="CL30" i="119"/>
  <c r="CM32" i="119"/>
  <c r="AH35" i="119"/>
  <c r="CL35" i="119"/>
  <c r="CM42" i="119"/>
  <c r="CR42" i="119" s="1"/>
  <c r="CK45" i="119"/>
  <c r="CM45" i="119"/>
  <c r="AH11" i="119"/>
  <c r="CN12" i="119"/>
  <c r="AH13" i="119"/>
  <c r="CO19" i="119"/>
  <c r="CL24" i="119"/>
  <c r="CJ29" i="119"/>
  <c r="CQ31" i="119"/>
  <c r="CN32" i="119"/>
  <c r="CJ33" i="119"/>
  <c r="CK35" i="119"/>
  <c r="CQ41" i="119"/>
  <c r="CN42" i="119"/>
  <c r="AH45" i="119"/>
  <c r="CJ14" i="119"/>
  <c r="CP15" i="119"/>
  <c r="CJ18" i="119"/>
  <c r="CO23" i="119"/>
  <c r="CM24" i="119"/>
  <c r="CR24" i="119" s="1"/>
  <c r="AX24" i="119" s="1"/>
  <c r="CJ25" i="119"/>
  <c r="CJ31" i="119"/>
  <c r="AH33" i="119"/>
  <c r="CK33" i="119"/>
  <c r="CN37" i="119"/>
  <c r="CO39" i="119"/>
  <c r="CJ41" i="119"/>
  <c r="AH43" i="119"/>
  <c r="CJ43" i="119"/>
  <c r="CN30" i="119"/>
  <c r="CO32" i="119"/>
  <c r="CR11" i="119"/>
  <c r="AQ11" i="119" s="1"/>
  <c r="Y11" i="119"/>
  <c r="AI11" i="119"/>
  <c r="AJ11" i="119" s="1"/>
  <c r="AK11" i="119" s="1"/>
  <c r="AL11" i="119" s="1"/>
  <c r="AM11" i="119" s="1"/>
  <c r="AN11" i="119" s="1"/>
  <c r="CR25" i="119"/>
  <c r="AT25" i="119" s="1"/>
  <c r="AI13" i="119"/>
  <c r="AJ13" i="119" s="1"/>
  <c r="AK13" i="119" s="1"/>
  <c r="AL13" i="119" s="1"/>
  <c r="AM13" i="119" s="1"/>
  <c r="AN13" i="119" s="1"/>
  <c r="Y13" i="119"/>
  <c r="AI16" i="119"/>
  <c r="AJ16" i="119" s="1"/>
  <c r="AK16" i="119" s="1"/>
  <c r="AL16" i="119" s="1"/>
  <c r="AM16" i="119" s="1"/>
  <c r="AN16" i="119" s="1"/>
  <c r="Y16" i="119"/>
  <c r="CR16" i="119"/>
  <c r="AS16" i="119" s="1"/>
  <c r="CD9" i="119"/>
  <c r="CM9" i="119" s="1"/>
  <c r="AI12" i="119"/>
  <c r="AJ12" i="119" s="1"/>
  <c r="AK12" i="119" s="1"/>
  <c r="AL12" i="119" s="1"/>
  <c r="AM12" i="119" s="1"/>
  <c r="AN12" i="119" s="1"/>
  <c r="Y12" i="119"/>
  <c r="CN34" i="119"/>
  <c r="AI17" i="119"/>
  <c r="AJ17" i="119" s="1"/>
  <c r="AK17" i="119" s="1"/>
  <c r="AL17" i="119" s="1"/>
  <c r="AM17" i="119" s="1"/>
  <c r="AN17" i="119" s="1"/>
  <c r="Y17" i="119"/>
  <c r="CK14" i="119"/>
  <c r="CL17" i="119"/>
  <c r="CK20" i="119"/>
  <c r="CQ22" i="119"/>
  <c r="CR22" i="119" s="1"/>
  <c r="AW22" i="119" s="1"/>
  <c r="CP13" i="119"/>
  <c r="AH18" i="119"/>
  <c r="AH14" i="119"/>
  <c r="AH22" i="119"/>
  <c r="AH9" i="119"/>
  <c r="AH10" i="119"/>
  <c r="AH15" i="119"/>
  <c r="CL23" i="119"/>
  <c r="CR23" i="119" s="1"/>
  <c r="AI35" i="119"/>
  <c r="AJ35" i="119" s="1"/>
  <c r="AK35" i="119" s="1"/>
  <c r="AL35" i="119" s="1"/>
  <c r="AM35" i="119" s="1"/>
  <c r="AN35" i="119" s="1"/>
  <c r="Y35" i="119"/>
  <c r="CK9" i="119"/>
  <c r="Y25" i="119"/>
  <c r="AI25" i="119"/>
  <c r="AJ25" i="119" s="1"/>
  <c r="AK25" i="119" s="1"/>
  <c r="AL25" i="119" s="1"/>
  <c r="AM25" i="119" s="1"/>
  <c r="AN25" i="119" s="1"/>
  <c r="CO27" i="119"/>
  <c r="Z39" i="119"/>
  <c r="Z25" i="119"/>
  <c r="R5" i="119"/>
  <c r="Z20" i="119"/>
  <c r="Z13" i="119"/>
  <c r="CL10" i="119"/>
  <c r="CR10" i="119" s="1"/>
  <c r="CN15" i="119"/>
  <c r="Y20" i="119"/>
  <c r="AH27" i="119"/>
  <c r="AH19" i="119"/>
  <c r="CL21" i="119"/>
  <c r="CK29" i="119"/>
  <c r="CN35" i="119"/>
  <c r="AI21" i="119"/>
  <c r="AJ21" i="119" s="1"/>
  <c r="AK21" i="119" s="1"/>
  <c r="AL21" i="119" s="1"/>
  <c r="AM21" i="119" s="1"/>
  <c r="AN21" i="119" s="1"/>
  <c r="Y21" i="119"/>
  <c r="CQ28" i="119"/>
  <c r="CN27" i="119"/>
  <c r="Y28" i="119"/>
  <c r="AI30" i="119"/>
  <c r="AJ30" i="119" s="1"/>
  <c r="AK30" i="119" s="1"/>
  <c r="AL30" i="119" s="1"/>
  <c r="AM30" i="119" s="1"/>
  <c r="AN30" i="119" s="1"/>
  <c r="Y30" i="119"/>
  <c r="AH31" i="119"/>
  <c r="AI33" i="119"/>
  <c r="AJ33" i="119" s="1"/>
  <c r="AK33" i="119" s="1"/>
  <c r="AL33" i="119" s="1"/>
  <c r="AM33" i="119" s="1"/>
  <c r="AN33" i="119" s="1"/>
  <c r="Y33" i="119"/>
  <c r="AH26" i="119"/>
  <c r="CR26" i="119"/>
  <c r="AS26" i="119" s="1"/>
  <c r="CM28" i="119"/>
  <c r="CR28" i="119" s="1"/>
  <c r="AH29" i="119"/>
  <c r="CM29" i="119"/>
  <c r="AI34" i="119"/>
  <c r="AJ34" i="119" s="1"/>
  <c r="AK34" i="119" s="1"/>
  <c r="AL34" i="119" s="1"/>
  <c r="AM34" i="119" s="1"/>
  <c r="AN34" i="119" s="1"/>
  <c r="Y34" i="119"/>
  <c r="AI44" i="119"/>
  <c r="AJ44" i="119" s="1"/>
  <c r="AK44" i="119" s="1"/>
  <c r="AL44" i="119" s="1"/>
  <c r="AM44" i="119" s="1"/>
  <c r="AN44" i="119" s="1"/>
  <c r="Y44" i="119"/>
  <c r="CO37" i="119"/>
  <c r="CR37" i="119" s="1"/>
  <c r="AX37" i="119" s="1"/>
  <c r="CJ39" i="119"/>
  <c r="CK32" i="119"/>
  <c r="AI43" i="119"/>
  <c r="AJ43" i="119" s="1"/>
  <c r="AK43" i="119" s="1"/>
  <c r="AL43" i="119" s="1"/>
  <c r="AM43" i="119" s="1"/>
  <c r="AN43" i="119" s="1"/>
  <c r="Y43" i="119"/>
  <c r="AH32" i="119"/>
  <c r="AI46" i="119"/>
  <c r="AJ46" i="119" s="1"/>
  <c r="AK46" i="119" s="1"/>
  <c r="AL46" i="119" s="1"/>
  <c r="AM46" i="119" s="1"/>
  <c r="AN46" i="119" s="1"/>
  <c r="Y46" i="119"/>
  <c r="CM30" i="119"/>
  <c r="CQ33" i="119"/>
  <c r="CP31" i="119"/>
  <c r="CL34" i="119"/>
  <c r="AH38" i="119"/>
  <c r="Y39" i="119"/>
  <c r="AH40" i="119"/>
  <c r="CR41" i="119"/>
  <c r="AV41" i="119" s="1"/>
  <c r="CL44" i="119"/>
  <c r="CR44" i="119" s="1"/>
  <c r="CK41" i="119"/>
  <c r="CM43" i="119"/>
  <c r="CR43" i="119" s="1"/>
  <c r="CJ38" i="119"/>
  <c r="CL40" i="119"/>
  <c r="AH41" i="119"/>
  <c r="CN46" i="119"/>
  <c r="CP36" i="119"/>
  <c r="AH37" i="119"/>
  <c r="AU41" i="119"/>
  <c r="CP44" i="119"/>
  <c r="CP13" i="118"/>
  <c r="AW13" i="118" s="1"/>
  <c r="CR12" i="118"/>
  <c r="AQ12" i="118" s="1"/>
  <c r="AI9" i="118"/>
  <c r="Y9" i="118"/>
  <c r="AR15" i="118"/>
  <c r="CR18" i="118"/>
  <c r="AS18" i="118" s="1"/>
  <c r="AQ18" i="118"/>
  <c r="AT18" i="118"/>
  <c r="AI10" i="118"/>
  <c r="Y10" i="118"/>
  <c r="CR11" i="118"/>
  <c r="AX11" i="118" s="1"/>
  <c r="AS15" i="118"/>
  <c r="AI12" i="118"/>
  <c r="Y12" i="118"/>
  <c r="Y11" i="118"/>
  <c r="AI11" i="118"/>
  <c r="AR12" i="118"/>
  <c r="CR9" i="118"/>
  <c r="AW9" i="118" s="1"/>
  <c r="AQ9" i="118"/>
  <c r="AS12" i="118"/>
  <c r="AR9" i="118"/>
  <c r="AS9" i="118"/>
  <c r="AI13" i="118"/>
  <c r="AJ13" i="118" s="1"/>
  <c r="AK13" i="118" s="1"/>
  <c r="AL13" i="118" s="1"/>
  <c r="AM13" i="118" s="1"/>
  <c r="AN13" i="118" s="1"/>
  <c r="Y13" i="118"/>
  <c r="CR17" i="118"/>
  <c r="AS17" i="118" s="1"/>
  <c r="AT9" i="118"/>
  <c r="CR10" i="118"/>
  <c r="AS10" i="118" s="1"/>
  <c r="AX15" i="118"/>
  <c r="CR31" i="118"/>
  <c r="AQ31" i="118" s="1"/>
  <c r="CR14" i="118"/>
  <c r="AT14" i="118" s="1"/>
  <c r="AI15" i="118"/>
  <c r="AJ15" i="118" s="1"/>
  <c r="AK15" i="118" s="1"/>
  <c r="AL15" i="118" s="1"/>
  <c r="AM15" i="118" s="1"/>
  <c r="AN15" i="118" s="1"/>
  <c r="AI16" i="118"/>
  <c r="AJ16" i="118" s="1"/>
  <c r="AK16" i="118" s="1"/>
  <c r="AL16" i="118" s="1"/>
  <c r="AM16" i="118" s="1"/>
  <c r="AN16" i="118" s="1"/>
  <c r="CQ19" i="118"/>
  <c r="CR19" i="118" s="1"/>
  <c r="AU19" i="118" s="1"/>
  <c r="AA20" i="118"/>
  <c r="AA13" i="118"/>
  <c r="CL13" i="118"/>
  <c r="CR13" i="118" s="1"/>
  <c r="CM16" i="118"/>
  <c r="CR16" i="118" s="1"/>
  <c r="AU18" i="118"/>
  <c r="Y20" i="118"/>
  <c r="AI20" i="118"/>
  <c r="AJ20" i="118" s="1"/>
  <c r="AK20" i="118" s="1"/>
  <c r="AL20" i="118" s="1"/>
  <c r="AM20" i="118" s="1"/>
  <c r="AN20" i="118" s="1"/>
  <c r="AH14" i="118"/>
  <c r="AT15" i="118"/>
  <c r="AV18" i="118"/>
  <c r="CR15" i="118"/>
  <c r="AV15" i="118" s="1"/>
  <c r="AQ15" i="118"/>
  <c r="Z43" i="118"/>
  <c r="Z44" i="118"/>
  <c r="Z37" i="118"/>
  <c r="Z31" i="118"/>
  <c r="Z36" i="118"/>
  <c r="Z34" i="118"/>
  <c r="Z29" i="118"/>
  <c r="Z21" i="118"/>
  <c r="Z13" i="118"/>
  <c r="Z23" i="118"/>
  <c r="Z17" i="118"/>
  <c r="AU15" i="118"/>
  <c r="AA38" i="118"/>
  <c r="AA36" i="118"/>
  <c r="AA39" i="118"/>
  <c r="AA37" i="118"/>
  <c r="AA35" i="118"/>
  <c r="AA30" i="118"/>
  <c r="AA34" i="118"/>
  <c r="AA29" i="118"/>
  <c r="AA23" i="118"/>
  <c r="AA21" i="118"/>
  <c r="AA16" i="118"/>
  <c r="AA15" i="118"/>
  <c r="Z15" i="118"/>
  <c r="CR21" i="118"/>
  <c r="AT21" i="118" s="1"/>
  <c r="AH22" i="118"/>
  <c r="S5" i="118"/>
  <c r="AW15" i="118"/>
  <c r="Z16" i="118"/>
  <c r="AH18" i="118"/>
  <c r="CK20" i="118"/>
  <c r="CR20" i="118" s="1"/>
  <c r="AI30" i="118"/>
  <c r="AJ30" i="118" s="1"/>
  <c r="AK30" i="118" s="1"/>
  <c r="AL30" i="118" s="1"/>
  <c r="AM30" i="118" s="1"/>
  <c r="AN30" i="118" s="1"/>
  <c r="Y30" i="118"/>
  <c r="CR30" i="118"/>
  <c r="AQ30" i="118"/>
  <c r="AV30" i="118"/>
  <c r="AR21" i="118"/>
  <c r="AI17" i="118"/>
  <c r="AJ17" i="118" s="1"/>
  <c r="AK17" i="118" s="1"/>
  <c r="AL17" i="118" s="1"/>
  <c r="AM17" i="118" s="1"/>
  <c r="AN17" i="118" s="1"/>
  <c r="Y17" i="118"/>
  <c r="CP23" i="118"/>
  <c r="CP24" i="118"/>
  <c r="CQ25" i="118"/>
  <c r="CQ26" i="118"/>
  <c r="Y29" i="118"/>
  <c r="CO21" i="118"/>
  <c r="CP22" i="118"/>
  <c r="AH25" i="118"/>
  <c r="AH26" i="118"/>
  <c r="AS30" i="118"/>
  <c r="AQ39" i="118"/>
  <c r="CR39" i="118"/>
  <c r="AX39" i="118" s="1"/>
  <c r="AH19" i="118"/>
  <c r="AI31" i="118"/>
  <c r="AJ31" i="118" s="1"/>
  <c r="AK31" i="118" s="1"/>
  <c r="AL31" i="118" s="1"/>
  <c r="AM31" i="118" s="1"/>
  <c r="AN31" i="118" s="1"/>
  <c r="Y31" i="118"/>
  <c r="AI41" i="118"/>
  <c r="AJ41" i="118" s="1"/>
  <c r="AK41" i="118" s="1"/>
  <c r="AL41" i="118" s="1"/>
  <c r="AM41" i="118" s="1"/>
  <c r="AN41" i="118" s="1"/>
  <c r="Y41" i="118"/>
  <c r="Y21" i="118"/>
  <c r="AX21" i="118"/>
  <c r="CJ22" i="118"/>
  <c r="CK23" i="118"/>
  <c r="CK24" i="118"/>
  <c r="CL26" i="118"/>
  <c r="AH24" i="118"/>
  <c r="AS31" i="118"/>
  <c r="CM23" i="118"/>
  <c r="CN25" i="118"/>
  <c r="CN26" i="118"/>
  <c r="CK27" i="118"/>
  <c r="CR27" i="118" s="1"/>
  <c r="CR34" i="118"/>
  <c r="AS34" i="118" s="1"/>
  <c r="AQ34" i="118"/>
  <c r="AR34" i="118"/>
  <c r="CM22" i="118"/>
  <c r="CN24" i="118"/>
  <c r="CR24" i="118" s="1"/>
  <c r="AX24" i="118" s="1"/>
  <c r="AH27" i="118"/>
  <c r="AT30" i="118"/>
  <c r="CL32" i="118"/>
  <c r="AU30" i="118"/>
  <c r="AI38" i="118"/>
  <c r="AJ38" i="118" s="1"/>
  <c r="AK38" i="118" s="1"/>
  <c r="AL38" i="118" s="1"/>
  <c r="AM38" i="118" s="1"/>
  <c r="AN38" i="118" s="1"/>
  <c r="Y38" i="118"/>
  <c r="CR38" i="118"/>
  <c r="AR38" i="118" s="1"/>
  <c r="AW42" i="118"/>
  <c r="AI46" i="118"/>
  <c r="AJ46" i="118" s="1"/>
  <c r="AK46" i="118" s="1"/>
  <c r="AL46" i="118" s="1"/>
  <c r="AM46" i="118" s="1"/>
  <c r="AN46" i="118" s="1"/>
  <c r="Y46" i="118"/>
  <c r="AH33" i="118"/>
  <c r="AI42" i="118"/>
  <c r="AJ42" i="118" s="1"/>
  <c r="AK42" i="118" s="1"/>
  <c r="AL42" i="118" s="1"/>
  <c r="AM42" i="118" s="1"/>
  <c r="AN42" i="118" s="1"/>
  <c r="Y42" i="118"/>
  <c r="AH28" i="118"/>
  <c r="AW30" i="118"/>
  <c r="AW31" i="118"/>
  <c r="AI35" i="118"/>
  <c r="AJ35" i="118" s="1"/>
  <c r="AK35" i="118" s="1"/>
  <c r="AL35" i="118" s="1"/>
  <c r="AM35" i="118" s="1"/>
  <c r="AN35" i="118" s="1"/>
  <c r="Y35" i="118"/>
  <c r="AI39" i="118"/>
  <c r="AJ39" i="118" s="1"/>
  <c r="AK39" i="118" s="1"/>
  <c r="AL39" i="118" s="1"/>
  <c r="AM39" i="118" s="1"/>
  <c r="AN39" i="118" s="1"/>
  <c r="Y39" i="118"/>
  <c r="CO28" i="118"/>
  <c r="CR28" i="118" s="1"/>
  <c r="CR29" i="118"/>
  <c r="AS29" i="118" s="1"/>
  <c r="AX30" i="118"/>
  <c r="CQ31" i="118"/>
  <c r="CO33" i="118"/>
  <c r="Y34" i="118"/>
  <c r="AV34" i="118"/>
  <c r="AR30" i="118"/>
  <c r="AI32" i="118"/>
  <c r="AJ32" i="118" s="1"/>
  <c r="AK32" i="118" s="1"/>
  <c r="AL32" i="118" s="1"/>
  <c r="AM32" i="118" s="1"/>
  <c r="AN32" i="118" s="1"/>
  <c r="Y32" i="118"/>
  <c r="CR32" i="118"/>
  <c r="AU32" i="118" s="1"/>
  <c r="AX34" i="118"/>
  <c r="AI40" i="118"/>
  <c r="AJ40" i="118" s="1"/>
  <c r="AK40" i="118" s="1"/>
  <c r="AL40" i="118" s="1"/>
  <c r="AM40" i="118" s="1"/>
  <c r="AN40" i="118" s="1"/>
  <c r="Y40" i="118"/>
  <c r="AI45" i="118"/>
  <c r="AJ45" i="118" s="1"/>
  <c r="AK45" i="118" s="1"/>
  <c r="AL45" i="118" s="1"/>
  <c r="AM45" i="118" s="1"/>
  <c r="AN45" i="118" s="1"/>
  <c r="CR41" i="118"/>
  <c r="AR41" i="118" s="1"/>
  <c r="CR42" i="118"/>
  <c r="AR42" i="118" s="1"/>
  <c r="AQ42" i="118"/>
  <c r="CR43" i="118"/>
  <c r="AX43" i="118" s="1"/>
  <c r="AI44" i="118"/>
  <c r="AJ44" i="118" s="1"/>
  <c r="AK44" i="118" s="1"/>
  <c r="AL44" i="118" s="1"/>
  <c r="AM44" i="118" s="1"/>
  <c r="AN44" i="118" s="1"/>
  <c r="Y44" i="118"/>
  <c r="CP36" i="118"/>
  <c r="CR36" i="118" s="1"/>
  <c r="CL40" i="118"/>
  <c r="CR40" i="118" s="1"/>
  <c r="AT40" i="118" s="1"/>
  <c r="CR44" i="118"/>
  <c r="AV44" i="118" s="1"/>
  <c r="AQ44" i="118"/>
  <c r="CR45" i="118"/>
  <c r="AV45" i="118" s="1"/>
  <c r="AX46" i="118"/>
  <c r="CJ35" i="118"/>
  <c r="AU39" i="118"/>
  <c r="AS41" i="118"/>
  <c r="CR46" i="118"/>
  <c r="AV46" i="118" s="1"/>
  <c r="AQ46" i="118"/>
  <c r="AT43" i="118"/>
  <c r="AS44" i="118"/>
  <c r="AW39" i="118"/>
  <c r="AI43" i="118"/>
  <c r="AJ43" i="118" s="1"/>
  <c r="AK43" i="118" s="1"/>
  <c r="AL43" i="118" s="1"/>
  <c r="AM43" i="118" s="1"/>
  <c r="AN43" i="118" s="1"/>
  <c r="Y43" i="118"/>
  <c r="AS46" i="118"/>
  <c r="CR37" i="118"/>
  <c r="AV37" i="118" s="1"/>
  <c r="AX38" i="118"/>
  <c r="AU44" i="118"/>
  <c r="AT46" i="118"/>
  <c r="CP22" i="117"/>
  <c r="CB17" i="117"/>
  <c r="CK17" i="117" s="1"/>
  <c r="CE32" i="117"/>
  <c r="CH39" i="117"/>
  <c r="CE42" i="117"/>
  <c r="CN42" i="117" s="1"/>
  <c r="CB36" i="117"/>
  <c r="CK36" i="117" s="1"/>
  <c r="CQ17" i="117"/>
  <c r="AH27" i="117"/>
  <c r="Y27" i="117" s="1"/>
  <c r="CN27" i="117"/>
  <c r="CM29" i="117"/>
  <c r="CQ30" i="117"/>
  <c r="CJ38" i="117"/>
  <c r="AH41" i="117"/>
  <c r="AI41" i="117" s="1"/>
  <c r="AJ41" i="117" s="1"/>
  <c r="AK41" i="117" s="1"/>
  <c r="AL41" i="117" s="1"/>
  <c r="AM41" i="117" s="1"/>
  <c r="AN41" i="117" s="1"/>
  <c r="CO45" i="117"/>
  <c r="CA36" i="117"/>
  <c r="CJ36" i="117" s="1"/>
  <c r="CR36" i="117" s="1"/>
  <c r="AH21" i="117"/>
  <c r="CA22" i="117"/>
  <c r="CJ22" i="117" s="1"/>
  <c r="CJ39" i="117"/>
  <c r="AH11" i="117"/>
  <c r="CL16" i="117"/>
  <c r="CJ17" i="117"/>
  <c r="AH19" i="117"/>
  <c r="CM20" i="117"/>
  <c r="AT20" i="117" s="1"/>
  <c r="CJ21" i="117"/>
  <c r="CR21" i="117" s="1"/>
  <c r="CN23" i="117"/>
  <c r="CJ30" i="117"/>
  <c r="AH34" i="117"/>
  <c r="CQ36" i="117"/>
  <c r="CK38" i="117"/>
  <c r="AH10" i="117"/>
  <c r="Y10" i="117" s="1"/>
  <c r="AH28" i="117"/>
  <c r="AH17" i="117"/>
  <c r="Y17" i="117" s="1"/>
  <c r="AH33" i="117"/>
  <c r="AH39" i="117"/>
  <c r="CJ40" i="117"/>
  <c r="CN45" i="117"/>
  <c r="CH13" i="117"/>
  <c r="CQ13" i="117" s="1"/>
  <c r="CA43" i="117"/>
  <c r="CJ43" i="117" s="1"/>
  <c r="CA33" i="117"/>
  <c r="CJ33" i="117" s="1"/>
  <c r="CA45" i="117"/>
  <c r="CJ45" i="117" s="1"/>
  <c r="CR45" i="117" s="1"/>
  <c r="AH12" i="117"/>
  <c r="AI12" i="117" s="1"/>
  <c r="AH18" i="117"/>
  <c r="CJ23" i="117"/>
  <c r="CM26" i="117"/>
  <c r="CK27" i="117"/>
  <c r="CK37" i="117"/>
  <c r="Y42" i="117"/>
  <c r="CQ42" i="117"/>
  <c r="CL33" i="117"/>
  <c r="AH36" i="117"/>
  <c r="AH20" i="117"/>
  <c r="CL32" i="117"/>
  <c r="CM33" i="117"/>
  <c r="AH35" i="117"/>
  <c r="CN36" i="117"/>
  <c r="AH37" i="117"/>
  <c r="Y37" i="117" s="1"/>
  <c r="CL40" i="117"/>
  <c r="CR40" i="117" s="1"/>
  <c r="CN41" i="117"/>
  <c r="CR41" i="117" s="1"/>
  <c r="AQ41" i="117" s="1"/>
  <c r="CN43" i="117"/>
  <c r="AH44" i="117"/>
  <c r="AI44" i="117" s="1"/>
  <c r="AJ44" i="117" s="1"/>
  <c r="AK44" i="117" s="1"/>
  <c r="AL44" i="117" s="1"/>
  <c r="AM44" i="117" s="1"/>
  <c r="AN44" i="117" s="1"/>
  <c r="CM45" i="117"/>
  <c r="AH13" i="117"/>
  <c r="AH14" i="117"/>
  <c r="Y14" i="117" s="1"/>
  <c r="AH16" i="117"/>
  <c r="AI16" i="117" s="1"/>
  <c r="AJ16" i="117" s="1"/>
  <c r="AK16" i="117" s="1"/>
  <c r="AL16" i="117" s="1"/>
  <c r="AM16" i="117" s="1"/>
  <c r="AN16" i="117" s="1"/>
  <c r="CJ28" i="117"/>
  <c r="CR28" i="117" s="1"/>
  <c r="CK28" i="117"/>
  <c r="CL29" i="117"/>
  <c r="AH32" i="117"/>
  <c r="CK32" i="117"/>
  <c r="CK35" i="117"/>
  <c r="CM37" i="117"/>
  <c r="CR37" i="117" s="1"/>
  <c r="CO43" i="117"/>
  <c r="AI10" i="117"/>
  <c r="AJ10" i="117" s="1"/>
  <c r="AK10" i="117" s="1"/>
  <c r="AL10" i="117" s="1"/>
  <c r="AM10" i="117" s="1"/>
  <c r="AN10" i="117" s="1"/>
  <c r="CR14" i="117"/>
  <c r="AQ14" i="117" s="1"/>
  <c r="AI18" i="117"/>
  <c r="AJ18" i="117" s="1"/>
  <c r="AK18" i="117" s="1"/>
  <c r="AL18" i="117" s="1"/>
  <c r="AM18" i="117" s="1"/>
  <c r="AN18" i="117" s="1"/>
  <c r="Y18" i="117"/>
  <c r="CR15" i="117"/>
  <c r="AT15" i="117" s="1"/>
  <c r="AV12" i="117"/>
  <c r="AI14" i="117"/>
  <c r="AJ14" i="117" s="1"/>
  <c r="AK14" i="117" s="1"/>
  <c r="AL14" i="117" s="1"/>
  <c r="AM14" i="117" s="1"/>
  <c r="AN14" i="117" s="1"/>
  <c r="AI13" i="117"/>
  <c r="AJ13" i="117" s="1"/>
  <c r="AK13" i="117" s="1"/>
  <c r="AL13" i="117" s="1"/>
  <c r="AM13" i="117" s="1"/>
  <c r="AN13" i="117" s="1"/>
  <c r="Y13" i="117"/>
  <c r="CR10" i="117"/>
  <c r="AW10" i="117" s="1"/>
  <c r="Y11" i="117"/>
  <c r="AI11" i="117"/>
  <c r="CR11" i="117"/>
  <c r="AV11" i="117" s="1"/>
  <c r="CR13" i="117"/>
  <c r="AQ13" i="117" s="1"/>
  <c r="AH9" i="117"/>
  <c r="CR9" i="117"/>
  <c r="AU9" i="117" s="1"/>
  <c r="CR12" i="117"/>
  <c r="AR12" i="117" s="1"/>
  <c r="Y16" i="117"/>
  <c r="CR16" i="117"/>
  <c r="AX16" i="117" s="1"/>
  <c r="AQ16" i="117"/>
  <c r="CP20" i="117"/>
  <c r="Y36" i="117"/>
  <c r="AI36" i="117"/>
  <c r="AJ36" i="117" s="1"/>
  <c r="AK36" i="117" s="1"/>
  <c r="AL36" i="117" s="1"/>
  <c r="AM36" i="117" s="1"/>
  <c r="AN36" i="117" s="1"/>
  <c r="AI15" i="117"/>
  <c r="AJ15" i="117" s="1"/>
  <c r="AK15" i="117" s="1"/>
  <c r="AL15" i="117" s="1"/>
  <c r="AM15" i="117" s="1"/>
  <c r="AN15" i="117" s="1"/>
  <c r="AR16" i="117"/>
  <c r="CJ18" i="117"/>
  <c r="CR19" i="117"/>
  <c r="AX19" i="117" s="1"/>
  <c r="AI20" i="117"/>
  <c r="AJ20" i="117" s="1"/>
  <c r="AK20" i="117" s="1"/>
  <c r="AL20" i="117" s="1"/>
  <c r="AM20" i="117" s="1"/>
  <c r="AN20" i="117" s="1"/>
  <c r="Y20" i="117"/>
  <c r="AH22" i="117"/>
  <c r="AS16" i="117"/>
  <c r="CR20" i="117"/>
  <c r="AX20" i="117" s="1"/>
  <c r="AI17" i="117"/>
  <c r="AJ17" i="117" s="1"/>
  <c r="AK17" i="117" s="1"/>
  <c r="AL17" i="117" s="1"/>
  <c r="AM17" i="117" s="1"/>
  <c r="AN17" i="117" s="1"/>
  <c r="Z10" i="117"/>
  <c r="AV16" i="117"/>
  <c r="Y19" i="117"/>
  <c r="AI19" i="117"/>
  <c r="AJ19" i="117" s="1"/>
  <c r="AK19" i="117" s="1"/>
  <c r="AL19" i="117" s="1"/>
  <c r="AM19" i="117" s="1"/>
  <c r="AN19" i="117" s="1"/>
  <c r="Z44" i="117"/>
  <c r="Z41" i="117"/>
  <c r="Z42" i="117"/>
  <c r="Z36" i="117"/>
  <c r="Z27" i="117"/>
  <c r="Z20" i="117"/>
  <c r="Z19" i="117"/>
  <c r="CO17" i="117"/>
  <c r="R5" i="117"/>
  <c r="AI27" i="117"/>
  <c r="AJ27" i="117" s="1"/>
  <c r="AK27" i="117" s="1"/>
  <c r="AL27" i="117" s="1"/>
  <c r="AM27" i="117" s="1"/>
  <c r="AN27" i="117" s="1"/>
  <c r="AH25" i="117"/>
  <c r="CN29" i="117"/>
  <c r="AH30" i="117"/>
  <c r="CR30" i="117"/>
  <c r="AQ30" i="117" s="1"/>
  <c r="AI28" i="117"/>
  <c r="AJ28" i="117" s="1"/>
  <c r="AK28" i="117" s="1"/>
  <c r="AL28" i="117" s="1"/>
  <c r="AM28" i="117" s="1"/>
  <c r="AN28" i="117" s="1"/>
  <c r="Y28" i="117"/>
  <c r="CQ22" i="117"/>
  <c r="AH23" i="117"/>
  <c r="CK33" i="117"/>
  <c r="CN34" i="117"/>
  <c r="AH24" i="117"/>
  <c r="CQ26" i="117"/>
  <c r="CL23" i="117"/>
  <c r="CK24" i="117"/>
  <c r="CR25" i="117"/>
  <c r="AV25" i="117" s="1"/>
  <c r="AQ25" i="117"/>
  <c r="AH26" i="117"/>
  <c r="Y39" i="117"/>
  <c r="AI39" i="117"/>
  <c r="AJ39" i="117" s="1"/>
  <c r="AK39" i="117" s="1"/>
  <c r="AL39" i="117" s="1"/>
  <c r="AM39" i="117" s="1"/>
  <c r="AN39" i="117" s="1"/>
  <c r="AI29" i="117"/>
  <c r="AJ29" i="117" s="1"/>
  <c r="AK29" i="117" s="1"/>
  <c r="AL29" i="117" s="1"/>
  <c r="AM29" i="117" s="1"/>
  <c r="AN29" i="117" s="1"/>
  <c r="Y29" i="117"/>
  <c r="AI34" i="117"/>
  <c r="AJ34" i="117" s="1"/>
  <c r="AK34" i="117" s="1"/>
  <c r="AL34" i="117" s="1"/>
  <c r="AM34" i="117" s="1"/>
  <c r="AN34" i="117" s="1"/>
  <c r="Y34" i="117"/>
  <c r="CO27" i="117"/>
  <c r="CM34" i="117"/>
  <c r="AI37" i="117"/>
  <c r="AJ37" i="117" s="1"/>
  <c r="AK37" i="117" s="1"/>
  <c r="AL37" i="117" s="1"/>
  <c r="AM37" i="117" s="1"/>
  <c r="AN37" i="117" s="1"/>
  <c r="AH38" i="117"/>
  <c r="CK42" i="117"/>
  <c r="CR42" i="117" s="1"/>
  <c r="CN32" i="117"/>
  <c r="CR32" i="117" s="1"/>
  <c r="CP35" i="117"/>
  <c r="CP38" i="117"/>
  <c r="CP34" i="117"/>
  <c r="AH31" i="117"/>
  <c r="CR31" i="117"/>
  <c r="AU31" i="117" s="1"/>
  <c r="Y41" i="117"/>
  <c r="AH40" i="117"/>
  <c r="AH43" i="117"/>
  <c r="CQ39" i="117"/>
  <c r="Y44" i="117"/>
  <c r="AH45" i="117"/>
  <c r="CL43" i="117"/>
  <c r="CA44" i="117"/>
  <c r="CJ44" i="117" s="1"/>
  <c r="CB44" i="117"/>
  <c r="CK44" i="117" s="1"/>
  <c r="AH46" i="117"/>
  <c r="CN46" i="117"/>
  <c r="CE44" i="117"/>
  <c r="CN44" i="117" s="1"/>
  <c r="CF44" i="117"/>
  <c r="CO44" i="117" s="1"/>
  <c r="CC44" i="117"/>
  <c r="CL44" i="117" s="1"/>
  <c r="CD44" i="117"/>
  <c r="CM44" i="117" s="1"/>
  <c r="J62" i="45"/>
  <c r="H61" i="45"/>
  <c r="I62" i="45"/>
  <c r="B49" i="107"/>
  <c r="C78" i="86"/>
  <c r="D78" i="86"/>
  <c r="B78" i="86"/>
  <c r="N25" i="121" l="1"/>
  <c r="D25" i="121" s="1"/>
  <c r="AF25" i="121"/>
  <c r="E25" i="121" s="1"/>
  <c r="N24" i="121"/>
  <c r="D24" i="121" s="1"/>
  <c r="AF24" i="121"/>
  <c r="E24" i="121" s="1"/>
  <c r="AF26" i="121"/>
  <c r="E26" i="121" s="1"/>
  <c r="N26" i="121"/>
  <c r="D26" i="121"/>
  <c r="N23" i="121"/>
  <c r="N9" i="121"/>
  <c r="AF18" i="121"/>
  <c r="E18" i="121" s="1"/>
  <c r="AF15" i="121"/>
  <c r="E15" i="121" s="1"/>
  <c r="AF21" i="121"/>
  <c r="E21" i="121" s="1"/>
  <c r="AF23" i="121"/>
  <c r="E23" i="121" s="1"/>
  <c r="AF20" i="121"/>
  <c r="E20" i="121" s="1"/>
  <c r="AF17" i="121"/>
  <c r="E17" i="121" s="1"/>
  <c r="AF19" i="121"/>
  <c r="E19" i="121" s="1"/>
  <c r="AF22" i="121"/>
  <c r="E22" i="121" s="1"/>
  <c r="AF16" i="121"/>
  <c r="E16" i="121" s="1"/>
  <c r="N15" i="121"/>
  <c r="N16" i="121"/>
  <c r="N20" i="121"/>
  <c r="N21" i="121"/>
  <c r="N17" i="121"/>
  <c r="N18" i="121"/>
  <c r="N22" i="121"/>
  <c r="N19" i="121"/>
  <c r="K16" i="121"/>
  <c r="U16" i="121"/>
  <c r="L19" i="121"/>
  <c r="V19" i="121"/>
  <c r="M19" i="121" s="1"/>
  <c r="L15" i="121"/>
  <c r="V15" i="121"/>
  <c r="M15" i="121" s="1"/>
  <c r="T23" i="121"/>
  <c r="J23" i="121"/>
  <c r="K17" i="121"/>
  <c r="U17" i="121"/>
  <c r="K20" i="121"/>
  <c r="U20" i="121"/>
  <c r="J22" i="121"/>
  <c r="T22" i="121"/>
  <c r="T18" i="121"/>
  <c r="J18" i="121"/>
  <c r="U21" i="121"/>
  <c r="K21" i="121"/>
  <c r="U9" i="121"/>
  <c r="V9" i="121" s="1"/>
  <c r="K9" i="121"/>
  <c r="T13" i="121"/>
  <c r="J13" i="121"/>
  <c r="AF14" i="121"/>
  <c r="E14" i="121" s="1"/>
  <c r="N14" i="121"/>
  <c r="AF13" i="121"/>
  <c r="N13" i="121"/>
  <c r="AF10" i="121"/>
  <c r="E10" i="121" s="1"/>
  <c r="N10" i="121"/>
  <c r="AF11" i="121"/>
  <c r="N11" i="121"/>
  <c r="AF12" i="121"/>
  <c r="E12" i="121" s="1"/>
  <c r="AF9" i="121"/>
  <c r="N12" i="121"/>
  <c r="T12" i="121"/>
  <c r="J12" i="121"/>
  <c r="AN13" i="121"/>
  <c r="AE13" i="121" s="1"/>
  <c r="AD13" i="121"/>
  <c r="S10" i="121"/>
  <c r="I10" i="121"/>
  <c r="AE9" i="121"/>
  <c r="AD9" i="121"/>
  <c r="S11" i="121"/>
  <c r="I11" i="121"/>
  <c r="AN11" i="121"/>
  <c r="AE11" i="121" s="1"/>
  <c r="AD11" i="121"/>
  <c r="T14" i="121"/>
  <c r="J14" i="121"/>
  <c r="AR42" i="119"/>
  <c r="AW42" i="119"/>
  <c r="AQ42" i="119"/>
  <c r="AU42" i="119"/>
  <c r="CR30" i="119"/>
  <c r="AR30" i="119" s="1"/>
  <c r="CR14" i="119"/>
  <c r="AX14" i="119" s="1"/>
  <c r="AU25" i="119"/>
  <c r="AT42" i="119"/>
  <c r="CR27" i="119"/>
  <c r="AT27" i="119" s="1"/>
  <c r="AX26" i="119"/>
  <c r="CR31" i="119"/>
  <c r="AX31" i="119" s="1"/>
  <c r="CR33" i="119"/>
  <c r="CR35" i="119"/>
  <c r="AQ35" i="119" s="1"/>
  <c r="CR15" i="119"/>
  <c r="AQ15" i="119" s="1"/>
  <c r="CR18" i="119"/>
  <c r="AV18" i="119" s="1"/>
  <c r="AW18" i="119"/>
  <c r="AT18" i="119"/>
  <c r="AU18" i="119"/>
  <c r="AJ24" i="119"/>
  <c r="AK24" i="119" s="1"/>
  <c r="AL24" i="119" s="1"/>
  <c r="AM24" i="119" s="1"/>
  <c r="AN24" i="119" s="1"/>
  <c r="Z24" i="119"/>
  <c r="AV14" i="119"/>
  <c r="CR45" i="119"/>
  <c r="AW45" i="119" s="1"/>
  <c r="Z42" i="119"/>
  <c r="AQ24" i="119"/>
  <c r="AU19" i="119"/>
  <c r="Y24" i="119"/>
  <c r="AU24" i="119"/>
  <c r="Y45" i="119"/>
  <c r="AI45" i="119"/>
  <c r="AQ18" i="119"/>
  <c r="AI23" i="119"/>
  <c r="Y23" i="119"/>
  <c r="Y36" i="119"/>
  <c r="AI36" i="119"/>
  <c r="AR19" i="119"/>
  <c r="AS24" i="119"/>
  <c r="CR36" i="119"/>
  <c r="AT36" i="119" s="1"/>
  <c r="Z12" i="119"/>
  <c r="AX25" i="119"/>
  <c r="AR12" i="119"/>
  <c r="Y42" i="119"/>
  <c r="AR26" i="119"/>
  <c r="AW11" i="119"/>
  <c r="AU28" i="119"/>
  <c r="AQ28" i="119"/>
  <c r="AS33" i="119"/>
  <c r="AQ33" i="119"/>
  <c r="AW33" i="119"/>
  <c r="AU33" i="119"/>
  <c r="AV33" i="119"/>
  <c r="AT33" i="119"/>
  <c r="AX27" i="119"/>
  <c r="AS27" i="119"/>
  <c r="AQ27" i="119"/>
  <c r="AQ16" i="119"/>
  <c r="AR25" i="119"/>
  <c r="AV25" i="119"/>
  <c r="AQ19" i="119"/>
  <c r="AQ12" i="119"/>
  <c r="AV11" i="119"/>
  <c r="AQ25" i="119"/>
  <c r="P25" i="119" s="1"/>
  <c r="AT37" i="119"/>
  <c r="AS37" i="119"/>
  <c r="AW16" i="119"/>
  <c r="AU16" i="119"/>
  <c r="AT16" i="119"/>
  <c r="AQ37" i="119"/>
  <c r="AS25" i="119"/>
  <c r="AV16" i="119"/>
  <c r="AX11" i="119"/>
  <c r="AT11" i="119"/>
  <c r="AR11" i="119"/>
  <c r="AS11" i="119"/>
  <c r="AU37" i="119"/>
  <c r="AR37" i="119"/>
  <c r="AW25" i="119"/>
  <c r="AU11" i="119"/>
  <c r="AV26" i="119"/>
  <c r="AR16" i="119"/>
  <c r="AS19" i="119"/>
  <c r="AR22" i="119"/>
  <c r="AW37" i="119"/>
  <c r="AX12" i="119"/>
  <c r="AW12" i="119"/>
  <c r="AU12" i="119"/>
  <c r="CR9" i="119"/>
  <c r="AQ9" i="119" s="1"/>
  <c r="AW43" i="119"/>
  <c r="AS43" i="119"/>
  <c r="AV43" i="119"/>
  <c r="AQ43" i="119"/>
  <c r="AX43" i="119"/>
  <c r="AU43" i="119"/>
  <c r="AR43" i="119"/>
  <c r="AQ31" i="119"/>
  <c r="AU31" i="119"/>
  <c r="AR31" i="119"/>
  <c r="AR10" i="119"/>
  <c r="AV10" i="119"/>
  <c r="AW10" i="119"/>
  <c r="AX10" i="119"/>
  <c r="AQ10" i="119"/>
  <c r="AU10" i="119"/>
  <c r="AT10" i="119"/>
  <c r="AU44" i="119"/>
  <c r="AV44" i="119"/>
  <c r="AX44" i="119"/>
  <c r="AR44" i="119"/>
  <c r="AT44" i="119"/>
  <c r="AQ44" i="119"/>
  <c r="AT23" i="119"/>
  <c r="AR23" i="119"/>
  <c r="AX23" i="119"/>
  <c r="AU23" i="119"/>
  <c r="AQ23" i="119"/>
  <c r="AV23" i="119"/>
  <c r="AW23" i="119"/>
  <c r="AV30" i="119"/>
  <c r="AS30" i="119"/>
  <c r="AU30" i="119"/>
  <c r="AX30" i="119"/>
  <c r="AW30" i="119"/>
  <c r="AR36" i="119"/>
  <c r="AX36" i="119"/>
  <c r="AQ36" i="119"/>
  <c r="AV36" i="119"/>
  <c r="AI29" i="119"/>
  <c r="Y29" i="119"/>
  <c r="AS45" i="119"/>
  <c r="AR28" i="119"/>
  <c r="AS22" i="119"/>
  <c r="Z17" i="119"/>
  <c r="Z34" i="119"/>
  <c r="AR33" i="119"/>
  <c r="AR14" i="119"/>
  <c r="AQ22" i="119"/>
  <c r="AT29" i="119"/>
  <c r="AI18" i="119"/>
  <c r="Y18" i="119"/>
  <c r="Y37" i="119"/>
  <c r="AI37" i="119"/>
  <c r="CR38" i="119"/>
  <c r="AQ38" i="119" s="1"/>
  <c r="CR40" i="119"/>
  <c r="AW31" i="119"/>
  <c r="AT28" i="119"/>
  <c r="AS42" i="119"/>
  <c r="AV42" i="119"/>
  <c r="AQ45" i="119"/>
  <c r="AU27" i="119"/>
  <c r="AX28" i="119"/>
  <c r="Z21" i="119"/>
  <c r="Z30" i="119"/>
  <c r="AT26" i="119"/>
  <c r="Z28" i="119"/>
  <c r="AR15" i="119"/>
  <c r="CR21" i="119"/>
  <c r="AS21" i="119" s="1"/>
  <c r="AR27" i="119"/>
  <c r="CR39" i="119"/>
  <c r="AV22" i="119"/>
  <c r="Z46" i="119"/>
  <c r="AI15" i="119"/>
  <c r="Y15" i="119"/>
  <c r="Y14" i="119"/>
  <c r="AI14" i="119"/>
  <c r="CR20" i="119"/>
  <c r="AW14" i="119"/>
  <c r="AV45" i="119"/>
  <c r="CR29" i="119"/>
  <c r="Y32" i="119"/>
  <c r="AI32" i="119"/>
  <c r="AV37" i="119"/>
  <c r="CR32" i="119"/>
  <c r="AR32" i="119" s="1"/>
  <c r="AW26" i="119"/>
  <c r="AT19" i="119"/>
  <c r="AW19" i="119"/>
  <c r="AW27" i="119"/>
  <c r="AA43" i="119"/>
  <c r="AA46" i="119"/>
  <c r="AA39" i="119"/>
  <c r="AA42" i="119"/>
  <c r="AA30" i="119"/>
  <c r="AA33" i="119"/>
  <c r="AA44" i="119"/>
  <c r="AA35" i="119"/>
  <c r="AA28" i="119"/>
  <c r="AA24" i="119"/>
  <c r="AA34" i="119"/>
  <c r="AA20" i="119"/>
  <c r="AA13" i="119"/>
  <c r="AA16" i="119"/>
  <c r="AA21" i="119"/>
  <c r="AA11" i="119"/>
  <c r="AA12" i="119"/>
  <c r="AA25" i="119"/>
  <c r="AA17" i="119"/>
  <c r="S5" i="119"/>
  <c r="Z35" i="119"/>
  <c r="AT15" i="119"/>
  <c r="AS12" i="119"/>
  <c r="AX19" i="119"/>
  <c r="AS28" i="119"/>
  <c r="AU14" i="119"/>
  <c r="AX16" i="119"/>
  <c r="AT12" i="119"/>
  <c r="AV15" i="119"/>
  <c r="AX35" i="119"/>
  <c r="AT35" i="119"/>
  <c r="AW36" i="119"/>
  <c r="AS44" i="119"/>
  <c r="AX33" i="119"/>
  <c r="AW35" i="119"/>
  <c r="AQ26" i="119"/>
  <c r="Y31" i="119"/>
  <c r="AI31" i="119"/>
  <c r="AU22" i="119"/>
  <c r="AU35" i="119"/>
  <c r="AI19" i="119"/>
  <c r="Y19" i="119"/>
  <c r="AU26" i="119"/>
  <c r="Z43" i="119"/>
  <c r="AI10" i="119"/>
  <c r="Y10" i="119"/>
  <c r="CR34" i="119"/>
  <c r="AU34" i="119" s="1"/>
  <c r="Z16" i="119"/>
  <c r="CR13" i="119"/>
  <c r="AI40" i="119"/>
  <c r="Y40" i="119"/>
  <c r="AW44" i="119"/>
  <c r="AT43" i="119"/>
  <c r="AV28" i="119"/>
  <c r="AX42" i="119"/>
  <c r="AR29" i="119"/>
  <c r="AI27" i="119"/>
  <c r="Y27" i="119"/>
  <c r="AS10" i="119"/>
  <c r="Z33" i="119"/>
  <c r="AT24" i="119"/>
  <c r="AR24" i="119"/>
  <c r="AV24" i="119"/>
  <c r="AW24" i="119"/>
  <c r="AS23" i="119"/>
  <c r="Y9" i="119"/>
  <c r="AI9" i="119"/>
  <c r="AI22" i="119"/>
  <c r="Y22" i="119"/>
  <c r="AQ14" i="119"/>
  <c r="CR17" i="119"/>
  <c r="AS17" i="119" s="1"/>
  <c r="Z11" i="119"/>
  <c r="AS41" i="119"/>
  <c r="AX41" i="119"/>
  <c r="AW41" i="119"/>
  <c r="AT41" i="119"/>
  <c r="Y41" i="119"/>
  <c r="AI41" i="119"/>
  <c r="AR41" i="119"/>
  <c r="AQ41" i="119"/>
  <c r="AI38" i="119"/>
  <c r="Y38" i="119"/>
  <c r="CR46" i="119"/>
  <c r="AV35" i="119"/>
  <c r="Y26" i="119"/>
  <c r="AI26" i="119"/>
  <c r="AT22" i="119"/>
  <c r="AW28" i="119"/>
  <c r="Z44" i="119"/>
  <c r="AX22" i="119"/>
  <c r="AU27" i="118"/>
  <c r="AT27" i="118"/>
  <c r="AQ27" i="118"/>
  <c r="AW27" i="118"/>
  <c r="AW28" i="118"/>
  <c r="AT28" i="118"/>
  <c r="AR13" i="118"/>
  <c r="AV13" i="118"/>
  <c r="AX13" i="118"/>
  <c r="AQ13" i="118"/>
  <c r="AU13" i="118"/>
  <c r="AT13" i="118"/>
  <c r="AV29" i="118"/>
  <c r="AV39" i="118"/>
  <c r="AU38" i="118"/>
  <c r="AT39" i="118"/>
  <c r="P39" i="118" s="1"/>
  <c r="AU43" i="118"/>
  <c r="AW37" i="118"/>
  <c r="AU37" i="118"/>
  <c r="AR39" i="118"/>
  <c r="AW34" i="118"/>
  <c r="AV38" i="118"/>
  <c r="AR32" i="118"/>
  <c r="AV12" i="118"/>
  <c r="AX12" i="118"/>
  <c r="AW12" i="118"/>
  <c r="AU41" i="118"/>
  <c r="AW46" i="118"/>
  <c r="AS39" i="118"/>
  <c r="AQ32" i="118"/>
  <c r="AT34" i="118"/>
  <c r="P34" i="118" s="1"/>
  <c r="AR18" i="118"/>
  <c r="P18" i="118" s="1"/>
  <c r="AX18" i="118"/>
  <c r="AR17" i="118"/>
  <c r="AV17" i="118"/>
  <c r="AT12" i="118"/>
  <c r="AS43" i="118"/>
  <c r="AW17" i="118"/>
  <c r="AR46" i="118"/>
  <c r="AS42" i="118"/>
  <c r="AW44" i="118"/>
  <c r="AU34" i="118"/>
  <c r="AU46" i="118"/>
  <c r="AU31" i="118"/>
  <c r="AW18" i="118"/>
  <c r="AT17" i="118"/>
  <c r="AQ17" i="118"/>
  <c r="AR43" i="118"/>
  <c r="AQ43" i="118"/>
  <c r="AT10" i="118"/>
  <c r="AX10" i="118"/>
  <c r="AW10" i="118"/>
  <c r="AR10" i="118"/>
  <c r="AQ10" i="118"/>
  <c r="AU10" i="118"/>
  <c r="AV10" i="118"/>
  <c r="AR16" i="118"/>
  <c r="AV16" i="118"/>
  <c r="AQ16" i="118"/>
  <c r="AS16" i="118"/>
  <c r="AW16" i="118"/>
  <c r="AU16" i="118"/>
  <c r="AX16" i="118"/>
  <c r="AR36" i="118"/>
  <c r="AX36" i="118"/>
  <c r="AU36" i="118"/>
  <c r="AV36" i="118"/>
  <c r="AT36" i="118"/>
  <c r="AS36" i="118"/>
  <c r="AQ36" i="118"/>
  <c r="AV20" i="118"/>
  <c r="AX20" i="118"/>
  <c r="AS20" i="118"/>
  <c r="AU20" i="118"/>
  <c r="AW20" i="118"/>
  <c r="AQ20" i="118"/>
  <c r="AT20" i="118"/>
  <c r="AW32" i="118"/>
  <c r="Y27" i="118"/>
  <c r="AI27" i="118"/>
  <c r="AT24" i="118"/>
  <c r="AI26" i="118"/>
  <c r="Y26" i="118"/>
  <c r="AV42" i="118"/>
  <c r="AT41" i="118"/>
  <c r="AS40" i="118"/>
  <c r="AR28" i="118"/>
  <c r="AR24" i="118"/>
  <c r="AB46" i="118"/>
  <c r="AB38" i="118"/>
  <c r="AB41" i="118"/>
  <c r="AB44" i="118"/>
  <c r="AB39" i="118"/>
  <c r="AB42" i="118"/>
  <c r="AB45" i="118"/>
  <c r="AB37" i="118"/>
  <c r="AB40" i="118"/>
  <c r="AB43" i="118"/>
  <c r="AB30" i="118"/>
  <c r="AB31" i="118"/>
  <c r="AB34" i="118"/>
  <c r="AB36" i="118"/>
  <c r="AB29" i="118"/>
  <c r="AB32" i="118"/>
  <c r="AB35" i="118"/>
  <c r="AB20" i="118"/>
  <c r="AB17" i="118"/>
  <c r="AB23" i="118"/>
  <c r="AB15" i="118"/>
  <c r="AB16" i="118"/>
  <c r="T5" i="118"/>
  <c r="AB13" i="118"/>
  <c r="AB21" i="118"/>
  <c r="AT45" i="118"/>
  <c r="AU40" i="118"/>
  <c r="AR44" i="118"/>
  <c r="AS38" i="118"/>
  <c r="AX41" i="118"/>
  <c r="AS45" i="118"/>
  <c r="AV28" i="118"/>
  <c r="AX44" i="118"/>
  <c r="AS37" i="118"/>
  <c r="AU28" i="118"/>
  <c r="AW21" i="118"/>
  <c r="AX27" i="118"/>
  <c r="AA31" i="118"/>
  <c r="AA40" i="118"/>
  <c r="AA42" i="118"/>
  <c r="AA41" i="118"/>
  <c r="Z39" i="118"/>
  <c r="Z46" i="118"/>
  <c r="Y14" i="118"/>
  <c r="AI14" i="118"/>
  <c r="AU12" i="118"/>
  <c r="P12" i="118" s="1"/>
  <c r="AU11" i="118"/>
  <c r="AS11" i="118"/>
  <c r="AS24" i="118"/>
  <c r="AJ10" i="118"/>
  <c r="Z10" i="118"/>
  <c r="AU9" i="118"/>
  <c r="P9" i="118" s="1"/>
  <c r="AI28" i="118"/>
  <c r="Y28" i="118"/>
  <c r="AX42" i="118"/>
  <c r="Y18" i="118"/>
  <c r="AI18" i="118"/>
  <c r="AV41" i="118"/>
  <c r="AW38" i="118"/>
  <c r="AW40" i="118"/>
  <c r="AT44" i="118"/>
  <c r="P44" i="118" s="1"/>
  <c r="AX37" i="118"/>
  <c r="AQ45" i="118"/>
  <c r="AT38" i="118"/>
  <c r="AT37" i="118"/>
  <c r="AQ40" i="118"/>
  <c r="AW43" i="118"/>
  <c r="AV32" i="118"/>
  <c r="AT29" i="118"/>
  <c r="AR37" i="118"/>
  <c r="CR22" i="118"/>
  <c r="AQ22" i="118"/>
  <c r="AQ24" i="118"/>
  <c r="AW29" i="118"/>
  <c r="CR26" i="118"/>
  <c r="AX26" i="118" s="1"/>
  <c r="AR29" i="118"/>
  <c r="AS27" i="118"/>
  <c r="Z35" i="118"/>
  <c r="AT32" i="118"/>
  <c r="AQ14" i="118"/>
  <c r="AV11" i="118"/>
  <c r="Z11" i="118"/>
  <c r="AJ11" i="118"/>
  <c r="AV9" i="118"/>
  <c r="CR33" i="118"/>
  <c r="AV33" i="118" s="1"/>
  <c r="AV24" i="118"/>
  <c r="AW24" i="118"/>
  <c r="AR14" i="118"/>
  <c r="AV19" i="118"/>
  <c r="AQ19" i="118"/>
  <c r="AU45" i="118"/>
  <c r="AQ37" i="118"/>
  <c r="AU42" i="118"/>
  <c r="AQ41" i="118"/>
  <c r="AX31" i="118"/>
  <c r="AX29" i="118"/>
  <c r="AI33" i="118"/>
  <c r="Y33" i="118"/>
  <c r="AQ38" i="118"/>
  <c r="AT31" i="118"/>
  <c r="AU24" i="118"/>
  <c r="AQ28" i="118"/>
  <c r="AR19" i="118"/>
  <c r="CR23" i="118"/>
  <c r="AW23" i="118" s="1"/>
  <c r="Y25" i="118"/>
  <c r="AI25" i="118"/>
  <c r="AU21" i="118"/>
  <c r="AV14" i="118"/>
  <c r="AA46" i="118"/>
  <c r="Z45" i="118"/>
  <c r="Z32" i="118"/>
  <c r="Z41" i="118"/>
  <c r="Z40" i="118"/>
  <c r="AW19" i="118"/>
  <c r="AS13" i="118"/>
  <c r="AX19" i="118"/>
  <c r="AW11" i="118"/>
  <c r="AX17" i="118"/>
  <c r="P17" i="118" s="1"/>
  <c r="AW14" i="118"/>
  <c r="AX9" i="118"/>
  <c r="AQ11" i="118"/>
  <c r="AU14" i="118"/>
  <c r="AS14" i="118"/>
  <c r="Y24" i="118"/>
  <c r="AI24" i="118"/>
  <c r="AT22" i="118"/>
  <c r="AX32" i="118"/>
  <c r="AW41" i="118"/>
  <c r="AX28" i="118"/>
  <c r="AI19" i="118"/>
  <c r="Y19" i="118"/>
  <c r="P30" i="118"/>
  <c r="P15" i="118"/>
  <c r="AR11" i="118"/>
  <c r="AJ9" i="118"/>
  <c r="Z9" i="118"/>
  <c r="AW22" i="118"/>
  <c r="AR20" i="118"/>
  <c r="AI22" i="118"/>
  <c r="Y22" i="118"/>
  <c r="AV43" i="118"/>
  <c r="P43" i="118" s="1"/>
  <c r="AV40" i="118"/>
  <c r="AT42" i="118"/>
  <c r="P42" i="118" s="1"/>
  <c r="AR40" i="118"/>
  <c r="AR31" i="118"/>
  <c r="P31" i="118" s="1"/>
  <c r="AQ29" i="118"/>
  <c r="AV31" i="118"/>
  <c r="AS28" i="118"/>
  <c r="AU29" i="118"/>
  <c r="AS21" i="118"/>
  <c r="AR27" i="118"/>
  <c r="P27" i="118" s="1"/>
  <c r="AV27" i="118"/>
  <c r="AV21" i="118"/>
  <c r="AT19" i="118"/>
  <c r="AQ21" i="118"/>
  <c r="AA17" i="118"/>
  <c r="AA32" i="118"/>
  <c r="AA45" i="118"/>
  <c r="AA44" i="118"/>
  <c r="AA43" i="118"/>
  <c r="Z30" i="118"/>
  <c r="Z42" i="118"/>
  <c r="Z38" i="118"/>
  <c r="AU17" i="118"/>
  <c r="AS19" i="118"/>
  <c r="AX14" i="118"/>
  <c r="AT11" i="118"/>
  <c r="AT16" i="118"/>
  <c r="AW36" i="118"/>
  <c r="AW45" i="118"/>
  <c r="AX40" i="118"/>
  <c r="AS32" i="118"/>
  <c r="CR25" i="118"/>
  <c r="AX25" i="118" s="1"/>
  <c r="P46" i="118"/>
  <c r="AX45" i="118"/>
  <c r="AR45" i="118"/>
  <c r="CR35" i="118"/>
  <c r="AQ35" i="118" s="1"/>
  <c r="Z20" i="118"/>
  <c r="AJ12" i="118"/>
  <c r="Z12" i="118"/>
  <c r="AQ45" i="117"/>
  <c r="AU45" i="117"/>
  <c r="AS21" i="117"/>
  <c r="AX21" i="117"/>
  <c r="AV21" i="117"/>
  <c r="AW21" i="117"/>
  <c r="AT21" i="117"/>
  <c r="AU21" i="117"/>
  <c r="AR21" i="117"/>
  <c r="AX37" i="117"/>
  <c r="AQ37" i="117"/>
  <c r="AX28" i="117"/>
  <c r="AT28" i="117"/>
  <c r="AR40" i="117"/>
  <c r="AU40" i="117"/>
  <c r="AX40" i="117"/>
  <c r="AT14" i="117"/>
  <c r="CR29" i="117"/>
  <c r="AX29" i="117" s="1"/>
  <c r="CR17" i="117"/>
  <c r="AS17" i="117" s="1"/>
  <c r="AR19" i="117"/>
  <c r="AQ28" i="117"/>
  <c r="CR22" i="117"/>
  <c r="AW16" i="117"/>
  <c r="AT25" i="117"/>
  <c r="AS20" i="117"/>
  <c r="AR20" i="117"/>
  <c r="AQ21" i="117"/>
  <c r="P21" i="117" s="1"/>
  <c r="CR35" i="117"/>
  <c r="AU20" i="117"/>
  <c r="CR39" i="117"/>
  <c r="CR23" i="117"/>
  <c r="AU15" i="117"/>
  <c r="CR33" i="117"/>
  <c r="AQ33" i="117" s="1"/>
  <c r="AR30" i="117"/>
  <c r="P30" i="117" s="1"/>
  <c r="AR25" i="117"/>
  <c r="AU16" i="117"/>
  <c r="AS13" i="117"/>
  <c r="CR38" i="117"/>
  <c r="AX38" i="117" s="1"/>
  <c r="CR27" i="117"/>
  <c r="AS27" i="117" s="1"/>
  <c r="AV20" i="117"/>
  <c r="AQ20" i="117"/>
  <c r="AT12" i="117"/>
  <c r="AR10" i="117"/>
  <c r="AJ12" i="117"/>
  <c r="AK12" i="117" s="1"/>
  <c r="AL12" i="117" s="1"/>
  <c r="AM12" i="117" s="1"/>
  <c r="AN12" i="117" s="1"/>
  <c r="Z12" i="117"/>
  <c r="AS42" i="117"/>
  <c r="AQ42" i="117"/>
  <c r="AQ23" i="117"/>
  <c r="AU23" i="117"/>
  <c r="AQ35" i="117"/>
  <c r="AV35" i="117"/>
  <c r="Y33" i="117"/>
  <c r="AI33" i="117"/>
  <c r="Z34" i="117"/>
  <c r="Y21" i="117"/>
  <c r="AI21" i="117"/>
  <c r="AQ40" i="117"/>
  <c r="P40" i="117" s="1"/>
  <c r="AS25" i="117"/>
  <c r="Z15" i="117"/>
  <c r="Y12" i="117"/>
  <c r="AS40" i="117"/>
  <c r="AW30" i="117"/>
  <c r="Z29" i="117"/>
  <c r="Z13" i="117"/>
  <c r="Y35" i="117"/>
  <c r="AI35" i="117"/>
  <c r="AU19" i="117"/>
  <c r="AT10" i="117"/>
  <c r="AQ31" i="117"/>
  <c r="AV28" i="117"/>
  <c r="Z28" i="117"/>
  <c r="AT40" i="117"/>
  <c r="AQ12" i="117"/>
  <c r="AX12" i="117"/>
  <c r="AT16" i="117"/>
  <c r="AR13" i="117"/>
  <c r="AI32" i="117"/>
  <c r="Y32" i="117"/>
  <c r="AT30" i="117"/>
  <c r="AS12" i="117"/>
  <c r="AV30" i="117"/>
  <c r="AV40" i="117"/>
  <c r="AW28" i="117"/>
  <c r="AR11" i="117"/>
  <c r="AR14" i="117"/>
  <c r="AU33" i="117"/>
  <c r="AV33" i="117"/>
  <c r="AW33" i="117"/>
  <c r="AX33" i="117"/>
  <c r="AS33" i="117"/>
  <c r="AU39" i="117"/>
  <c r="AR39" i="117"/>
  <c r="AT39" i="117"/>
  <c r="AW39" i="117"/>
  <c r="AQ39" i="117"/>
  <c r="AS39" i="117"/>
  <c r="AV39" i="117"/>
  <c r="AT17" i="117"/>
  <c r="AX17" i="117"/>
  <c r="AR32" i="117"/>
  <c r="AV32" i="117"/>
  <c r="AS32" i="117"/>
  <c r="AQ32" i="117"/>
  <c r="AT32" i="117"/>
  <c r="AW32" i="117"/>
  <c r="AX32" i="117"/>
  <c r="AX27" i="117"/>
  <c r="AW27" i="117"/>
  <c r="AT27" i="117"/>
  <c r="AR27" i="117"/>
  <c r="AU27" i="117"/>
  <c r="AQ27" i="117"/>
  <c r="AR22" i="117"/>
  <c r="AT22" i="117"/>
  <c r="AU22" i="117"/>
  <c r="AQ22" i="117"/>
  <c r="AW22" i="117"/>
  <c r="AS22" i="117"/>
  <c r="AV22" i="117"/>
  <c r="AR45" i="117"/>
  <c r="BR49" i="117"/>
  <c r="AR37" i="117"/>
  <c r="AT42" i="117"/>
  <c r="Y31" i="117"/>
  <c r="AI31" i="117"/>
  <c r="AR42" i="117"/>
  <c r="AU35" i="117"/>
  <c r="AX31" i="117"/>
  <c r="AV37" i="117"/>
  <c r="AX25" i="117"/>
  <c r="AV19" i="117"/>
  <c r="Z37" i="117"/>
  <c r="AT19" i="117"/>
  <c r="AS29" i="117"/>
  <c r="AS19" i="117"/>
  <c r="AV31" i="117"/>
  <c r="AW14" i="117"/>
  <c r="Y9" i="117"/>
  <c r="AI9" i="117"/>
  <c r="AV14" i="117"/>
  <c r="AU13" i="117"/>
  <c r="AQ15" i="117"/>
  <c r="AI40" i="117"/>
  <c r="Y40" i="117"/>
  <c r="Y45" i="117"/>
  <c r="AI45" i="117"/>
  <c r="AT38" i="117"/>
  <c r="AV41" i="117"/>
  <c r="AS41" i="117"/>
  <c r="AS37" i="117"/>
  <c r="AX35" i="117"/>
  <c r="Y24" i="117"/>
  <c r="AI24" i="117"/>
  <c r="AU28" i="117"/>
  <c r="Y30" i="117"/>
  <c r="AI30" i="117"/>
  <c r="AS31" i="117"/>
  <c r="AS30" i="117"/>
  <c r="AW19" i="117"/>
  <c r="AS28" i="117"/>
  <c r="Z16" i="117"/>
  <c r="Z17" i="117"/>
  <c r="AW15" i="117"/>
  <c r="AT31" i="117"/>
  <c r="P16" i="117"/>
  <c r="AX13" i="117"/>
  <c r="AX9" i="117"/>
  <c r="AW13" i="117"/>
  <c r="AU14" i="117"/>
  <c r="AX10" i="117"/>
  <c r="AS14" i="117"/>
  <c r="AV23" i="117"/>
  <c r="AT11" i="117"/>
  <c r="CR44" i="117"/>
  <c r="AR44" i="117" s="1"/>
  <c r="AU36" i="117"/>
  <c r="AX36" i="117"/>
  <c r="AR38" i="117"/>
  <c r="AQ38" i="117"/>
  <c r="AW9" i="117"/>
  <c r="Y46" i="117"/>
  <c r="AI46" i="117"/>
  <c r="AX39" i="117"/>
  <c r="AU38" i="117"/>
  <c r="AW38" i="117"/>
  <c r="AV38" i="117"/>
  <c r="AX42" i="117"/>
  <c r="AW40" i="117"/>
  <c r="AR35" i="117"/>
  <c r="AR24" i="117"/>
  <c r="AT35" i="117"/>
  <c r="AR23" i="117"/>
  <c r="AW25" i="117"/>
  <c r="AX30" i="117"/>
  <c r="AU25" i="117"/>
  <c r="Z39" i="117"/>
  <c r="AT23" i="117"/>
  <c r="CR24" i="117"/>
  <c r="AV9" i="117"/>
  <c r="AV13" i="117"/>
  <c r="AW11" i="117"/>
  <c r="AT13" i="117"/>
  <c r="AU10" i="117"/>
  <c r="AU32" i="117"/>
  <c r="CR43" i="117"/>
  <c r="AS43" i="117" s="1"/>
  <c r="AQ36" i="117"/>
  <c r="AR31" i="117"/>
  <c r="AI26" i="117"/>
  <c r="Y26" i="117"/>
  <c r="AI25" i="117"/>
  <c r="Y25" i="117"/>
  <c r="CR18" i="117"/>
  <c r="AX45" i="117"/>
  <c r="AW37" i="117"/>
  <c r="AT36" i="117"/>
  <c r="AV42" i="117"/>
  <c r="AS38" i="117"/>
  <c r="AS36" i="117"/>
  <c r="AX41" i="117"/>
  <c r="AV27" i="117"/>
  <c r="CR34" i="117"/>
  <c r="AW34" i="117" s="1"/>
  <c r="AR28" i="117"/>
  <c r="P28" i="117" s="1"/>
  <c r="AU42" i="117"/>
  <c r="AS23" i="117"/>
  <c r="Z18" i="117"/>
  <c r="AX23" i="117"/>
  <c r="AS15" i="117"/>
  <c r="AW23" i="117"/>
  <c r="AS9" i="117"/>
  <c r="AQ11" i="117"/>
  <c r="AW12" i="117"/>
  <c r="AX14" i="117"/>
  <c r="AU12" i="117"/>
  <c r="AU11" i="117"/>
  <c r="AS45" i="117"/>
  <c r="AV45" i="117"/>
  <c r="AU37" i="117"/>
  <c r="AT37" i="117"/>
  <c r="AW41" i="117"/>
  <c r="AI23" i="117"/>
  <c r="Y23" i="117"/>
  <c r="AX15" i="117"/>
  <c r="AR36" i="117"/>
  <c r="AX11" i="117"/>
  <c r="AS11" i="117"/>
  <c r="AV10" i="117"/>
  <c r="AA44" i="117"/>
  <c r="AA41" i="117"/>
  <c r="AA36" i="117"/>
  <c r="AA34" i="117"/>
  <c r="AA39" i="117"/>
  <c r="AA37" i="117"/>
  <c r="AA29" i="117"/>
  <c r="AA42" i="117"/>
  <c r="AA28" i="117"/>
  <c r="AA17" i="117"/>
  <c r="AA20" i="117"/>
  <c r="AA15" i="117"/>
  <c r="AA18" i="117"/>
  <c r="AA27" i="117"/>
  <c r="AA19" i="117"/>
  <c r="AA10" i="117"/>
  <c r="AA16" i="117"/>
  <c r="AA13" i="117"/>
  <c r="AA14" i="117"/>
  <c r="AA12" i="117"/>
  <c r="S5" i="117"/>
  <c r="AV36" i="117"/>
  <c r="AW42" i="117"/>
  <c r="AT41" i="117"/>
  <c r="AI38" i="117"/>
  <c r="Y38" i="117"/>
  <c r="AT45" i="117"/>
  <c r="AR41" i="117"/>
  <c r="AW45" i="117"/>
  <c r="CR46" i="117"/>
  <c r="AI43" i="117"/>
  <c r="Y43" i="117"/>
  <c r="AU41" i="117"/>
  <c r="AW35" i="117"/>
  <c r="AW36" i="117"/>
  <c r="AW31" i="117"/>
  <c r="AX22" i="117"/>
  <c r="AU30" i="117"/>
  <c r="AS35" i="117"/>
  <c r="AI22" i="117"/>
  <c r="Y22" i="117"/>
  <c r="AQ19" i="117"/>
  <c r="P19" i="117" s="1"/>
  <c r="Z14" i="117"/>
  <c r="AW20" i="117"/>
  <c r="AS10" i="117"/>
  <c r="AJ11" i="117"/>
  <c r="AK11" i="117" s="1"/>
  <c r="AL11" i="117" s="1"/>
  <c r="AM11" i="117" s="1"/>
  <c r="AN11" i="117" s="1"/>
  <c r="Z11" i="117"/>
  <c r="AQ10" i="117"/>
  <c r="AR15" i="117"/>
  <c r="AR9" i="117"/>
  <c r="CR26" i="117"/>
  <c r="AV15" i="117"/>
  <c r="AQ9" i="117"/>
  <c r="AT9" i="117"/>
  <c r="A66" i="116"/>
  <c r="B24" i="121" l="1"/>
  <c r="D83" i="121" s="1"/>
  <c r="B25" i="121"/>
  <c r="D84" i="121" s="1"/>
  <c r="D15" i="121"/>
  <c r="B26" i="121"/>
  <c r="D85" i="121" s="1"/>
  <c r="B15" i="121"/>
  <c r="D74" i="121" s="1"/>
  <c r="D19" i="121"/>
  <c r="B19" i="121" s="1"/>
  <c r="D78" i="121" s="1"/>
  <c r="V21" i="121"/>
  <c r="M21" i="121" s="1"/>
  <c r="L21" i="121"/>
  <c r="L17" i="121"/>
  <c r="V17" i="121"/>
  <c r="M17" i="121" s="1"/>
  <c r="D17" i="121" s="1"/>
  <c r="B17" i="121" s="1"/>
  <c r="D76" i="121" s="1"/>
  <c r="U18" i="121"/>
  <c r="K18" i="121"/>
  <c r="V16" i="121"/>
  <c r="M16" i="121" s="1"/>
  <c r="L16" i="121"/>
  <c r="K22" i="121"/>
  <c r="U22" i="121"/>
  <c r="K23" i="121"/>
  <c r="U23" i="121"/>
  <c r="L20" i="121"/>
  <c r="V20" i="121"/>
  <c r="M20" i="121" s="1"/>
  <c r="U13" i="121"/>
  <c r="K13" i="121"/>
  <c r="U14" i="121"/>
  <c r="K14" i="121"/>
  <c r="E13" i="121"/>
  <c r="T10" i="121"/>
  <c r="J10" i="121"/>
  <c r="M9" i="121"/>
  <c r="L9" i="121"/>
  <c r="E11" i="121"/>
  <c r="T11" i="121"/>
  <c r="J11" i="121"/>
  <c r="E9" i="121"/>
  <c r="U12" i="121"/>
  <c r="K12" i="121"/>
  <c r="AU15" i="119"/>
  <c r="AS36" i="119"/>
  <c r="AT31" i="119"/>
  <c r="AT14" i="119"/>
  <c r="AX15" i="119"/>
  <c r="AS14" i="119"/>
  <c r="P37" i="119"/>
  <c r="AW15" i="119"/>
  <c r="AU36" i="119"/>
  <c r="AQ30" i="119"/>
  <c r="P30" i="119" s="1"/>
  <c r="AS31" i="119"/>
  <c r="AS18" i="119"/>
  <c r="P24" i="119"/>
  <c r="Q24" i="119" s="1"/>
  <c r="AX45" i="119"/>
  <c r="AX18" i="119"/>
  <c r="AS15" i="119"/>
  <c r="AV31" i="119"/>
  <c r="AT30" i="119"/>
  <c r="AR35" i="119"/>
  <c r="AU45" i="119"/>
  <c r="AV27" i="119"/>
  <c r="P27" i="119" s="1"/>
  <c r="AS35" i="119"/>
  <c r="AR18" i="119"/>
  <c r="P19" i="119"/>
  <c r="Q19" i="119" s="1"/>
  <c r="AT45" i="119"/>
  <c r="P15" i="119"/>
  <c r="G15" i="119" s="1"/>
  <c r="AJ45" i="119"/>
  <c r="Z45" i="119"/>
  <c r="P42" i="119"/>
  <c r="Q42" i="119" s="1"/>
  <c r="AJ23" i="119"/>
  <c r="Z23" i="119"/>
  <c r="AR45" i="119"/>
  <c r="P11" i="119"/>
  <c r="P16" i="119"/>
  <c r="AJ36" i="119"/>
  <c r="Z36" i="119"/>
  <c r="G11" i="119"/>
  <c r="Q11" i="119"/>
  <c r="R11" i="119" s="1"/>
  <c r="P28" i="119"/>
  <c r="G28" i="119" s="1"/>
  <c r="P22" i="119"/>
  <c r="P33" i="119"/>
  <c r="Q33" i="119" s="1"/>
  <c r="P35" i="119"/>
  <c r="Q35" i="119" s="1"/>
  <c r="P12" i="119"/>
  <c r="Q12" i="119" s="1"/>
  <c r="AS9" i="119"/>
  <c r="AW9" i="119"/>
  <c r="AT9" i="119"/>
  <c r="AR9" i="119"/>
  <c r="AV9" i="119"/>
  <c r="AU9" i="119"/>
  <c r="AX9" i="119"/>
  <c r="Q15" i="119"/>
  <c r="G24" i="119"/>
  <c r="G33" i="119"/>
  <c r="AS20" i="119"/>
  <c r="AW20" i="119"/>
  <c r="AX20" i="119"/>
  <c r="AU20" i="119"/>
  <c r="AQ20" i="119"/>
  <c r="AV20" i="119"/>
  <c r="AT20" i="119"/>
  <c r="G19" i="119"/>
  <c r="Q22" i="119"/>
  <c r="G22" i="119"/>
  <c r="G25" i="119"/>
  <c r="Q25" i="119"/>
  <c r="P41" i="119"/>
  <c r="AQ13" i="119"/>
  <c r="AT13" i="119"/>
  <c r="AS13" i="119"/>
  <c r="AU13" i="119"/>
  <c r="AR13" i="119"/>
  <c r="AX13" i="119"/>
  <c r="AV13" i="119"/>
  <c r="AQ29" i="119"/>
  <c r="AX29" i="119"/>
  <c r="AV29" i="119"/>
  <c r="AW29" i="119"/>
  <c r="AU29" i="119"/>
  <c r="AS29" i="119"/>
  <c r="AJ26" i="119"/>
  <c r="Z26" i="119"/>
  <c r="AJ22" i="119"/>
  <c r="Z22" i="119"/>
  <c r="AJ19" i="119"/>
  <c r="Z19" i="119"/>
  <c r="AR20" i="119"/>
  <c r="AJ41" i="119"/>
  <c r="Z41" i="119"/>
  <c r="AJ9" i="119"/>
  <c r="Z9" i="119"/>
  <c r="AR34" i="119"/>
  <c r="AV34" i="119"/>
  <c r="AX34" i="119"/>
  <c r="AT34" i="119"/>
  <c r="AQ34" i="119"/>
  <c r="AW34" i="119"/>
  <c r="AB46" i="119"/>
  <c r="AB44" i="119"/>
  <c r="AB42" i="119"/>
  <c r="AB39" i="119"/>
  <c r="AB33" i="119"/>
  <c r="AB35" i="119"/>
  <c r="AB30" i="119"/>
  <c r="AB25" i="119"/>
  <c r="AB34" i="119"/>
  <c r="AB20" i="119"/>
  <c r="AB13" i="119"/>
  <c r="AB16" i="119"/>
  <c r="AB43" i="119"/>
  <c r="AB11" i="119"/>
  <c r="AB28" i="119"/>
  <c r="AB12" i="119"/>
  <c r="AB21" i="119"/>
  <c r="AB24" i="119"/>
  <c r="AB17" i="119"/>
  <c r="T5" i="119"/>
  <c r="AJ14" i="119"/>
  <c r="Z14" i="119"/>
  <c r="AU21" i="119"/>
  <c r="AV21" i="119"/>
  <c r="AT21" i="119"/>
  <c r="AW21" i="119"/>
  <c r="AX21" i="119"/>
  <c r="AQ21" i="119"/>
  <c r="AR21" i="119"/>
  <c r="AW13" i="119"/>
  <c r="AS34" i="119"/>
  <c r="AJ38" i="119"/>
  <c r="Z38" i="119"/>
  <c r="AX32" i="119"/>
  <c r="AT32" i="119"/>
  <c r="AW32" i="119"/>
  <c r="AQ32" i="119"/>
  <c r="AS32" i="119"/>
  <c r="AU32" i="119"/>
  <c r="AV32" i="119"/>
  <c r="AX40" i="119"/>
  <c r="AU40" i="119"/>
  <c r="AT40" i="119"/>
  <c r="AV40" i="119"/>
  <c r="AR40" i="119"/>
  <c r="AW40" i="119"/>
  <c r="AQ40" i="119"/>
  <c r="AJ18" i="119"/>
  <c r="Z18" i="119"/>
  <c r="P44" i="119"/>
  <c r="P43" i="119"/>
  <c r="AU39" i="119"/>
  <c r="AR39" i="119"/>
  <c r="AW39" i="119"/>
  <c r="AV39" i="119"/>
  <c r="AX39" i="119"/>
  <c r="AS39" i="119"/>
  <c r="AT39" i="119"/>
  <c r="AW46" i="119"/>
  <c r="AQ46" i="119"/>
  <c r="AR46" i="119"/>
  <c r="AV46" i="119"/>
  <c r="AT46" i="119"/>
  <c r="AS46" i="119"/>
  <c r="AX46" i="119"/>
  <c r="AJ27" i="119"/>
  <c r="Z27" i="119"/>
  <c r="AJ10" i="119"/>
  <c r="Z10" i="119"/>
  <c r="AJ31" i="119"/>
  <c r="Z31" i="119"/>
  <c r="AU46" i="119"/>
  <c r="AQ39" i="119"/>
  <c r="P10" i="119"/>
  <c r="AW17" i="119"/>
  <c r="AU17" i="119"/>
  <c r="AQ17" i="119"/>
  <c r="AR17" i="119"/>
  <c r="AV17" i="119"/>
  <c r="AT17" i="119"/>
  <c r="AX17" i="119"/>
  <c r="Q16" i="119"/>
  <c r="G16" i="119"/>
  <c r="AJ15" i="119"/>
  <c r="Z15" i="119"/>
  <c r="AR38" i="119"/>
  <c r="AW38" i="119"/>
  <c r="AU38" i="119"/>
  <c r="AT38" i="119"/>
  <c r="AV38" i="119"/>
  <c r="AX38" i="119"/>
  <c r="AS38" i="119"/>
  <c r="P31" i="119"/>
  <c r="P14" i="119"/>
  <c r="AJ40" i="119"/>
  <c r="Z40" i="119"/>
  <c r="P26" i="119"/>
  <c r="AJ32" i="119"/>
  <c r="Z32" i="119"/>
  <c r="G37" i="119"/>
  <c r="Q37" i="119"/>
  <c r="P45" i="119"/>
  <c r="AJ37" i="119"/>
  <c r="Z37" i="119"/>
  <c r="AS40" i="119"/>
  <c r="AJ29" i="119"/>
  <c r="Z29" i="119"/>
  <c r="P36" i="119"/>
  <c r="P23" i="119"/>
  <c r="P32" i="118"/>
  <c r="Q32" i="118" s="1"/>
  <c r="P28" i="118"/>
  <c r="G28" i="118" s="1"/>
  <c r="AR23" i="118"/>
  <c r="AT23" i="118"/>
  <c r="P13" i="118"/>
  <c r="Q13" i="118" s="1"/>
  <c r="AU26" i="118"/>
  <c r="P10" i="118"/>
  <c r="Q10" i="118" s="1"/>
  <c r="Q12" i="118"/>
  <c r="G12" i="118"/>
  <c r="Q43" i="118"/>
  <c r="G43" i="118"/>
  <c r="Q9" i="118"/>
  <c r="G9" i="118"/>
  <c r="Q31" i="118"/>
  <c r="G31" i="118"/>
  <c r="G13" i="118"/>
  <c r="Q27" i="118"/>
  <c r="G27" i="118"/>
  <c r="Q42" i="118"/>
  <c r="G42" i="118"/>
  <c r="P45" i="118"/>
  <c r="AK10" i="118"/>
  <c r="AA10" i="118"/>
  <c r="P20" i="118"/>
  <c r="P36" i="118"/>
  <c r="P21" i="118"/>
  <c r="AV25" i="118"/>
  <c r="AS25" i="118"/>
  <c r="AW25" i="118"/>
  <c r="AQ25" i="118"/>
  <c r="AT25" i="118"/>
  <c r="AR25" i="118"/>
  <c r="Q34" i="118"/>
  <c r="G34" i="118"/>
  <c r="AJ28" i="118"/>
  <c r="Z28" i="118"/>
  <c r="AC41" i="118"/>
  <c r="AC44" i="118"/>
  <c r="AC36" i="118"/>
  <c r="AC39" i="118"/>
  <c r="AC42" i="118"/>
  <c r="AC45" i="118"/>
  <c r="AC37" i="118"/>
  <c r="AC40" i="118"/>
  <c r="AC43" i="118"/>
  <c r="AC38" i="118"/>
  <c r="AC31" i="118"/>
  <c r="AC34" i="118"/>
  <c r="AC29" i="118"/>
  <c r="AC32" i="118"/>
  <c r="AC46" i="118"/>
  <c r="AC35" i="118"/>
  <c r="AC21" i="118"/>
  <c r="AC20" i="118"/>
  <c r="AC23" i="118"/>
  <c r="AC30" i="118"/>
  <c r="AC13" i="118"/>
  <c r="AC17" i="118"/>
  <c r="AC16" i="118"/>
  <c r="AC15" i="118"/>
  <c r="U5" i="118"/>
  <c r="AJ26" i="118"/>
  <c r="Z26" i="118"/>
  <c r="AJ19" i="118"/>
  <c r="Z19" i="118"/>
  <c r="Q17" i="118"/>
  <c r="G17" i="118"/>
  <c r="AK9" i="118"/>
  <c r="AA9" i="118"/>
  <c r="Q39" i="118"/>
  <c r="G39" i="118"/>
  <c r="P11" i="118"/>
  <c r="AJ25" i="118"/>
  <c r="Z25" i="118"/>
  <c r="P38" i="118"/>
  <c r="P37" i="118"/>
  <c r="P16" i="118"/>
  <c r="AK11" i="118"/>
  <c r="AA11" i="118"/>
  <c r="G15" i="118"/>
  <c r="Q15" i="118"/>
  <c r="AR33" i="118"/>
  <c r="AT33" i="118"/>
  <c r="AQ33" i="118"/>
  <c r="AX33" i="118"/>
  <c r="AW33" i="118"/>
  <c r="AU33" i="118"/>
  <c r="AS33" i="118"/>
  <c r="P14" i="118"/>
  <c r="P24" i="118"/>
  <c r="AU25" i="118"/>
  <c r="AJ27" i="118"/>
  <c r="Z27" i="118"/>
  <c r="Q46" i="118"/>
  <c r="G46" i="118"/>
  <c r="P41" i="118"/>
  <c r="AT26" i="118"/>
  <c r="AQ26" i="118"/>
  <c r="AW26" i="118"/>
  <c r="AR26" i="118"/>
  <c r="AV26" i="118"/>
  <c r="P29" i="118"/>
  <c r="AJ22" i="118"/>
  <c r="Z22" i="118"/>
  <c r="Q30" i="118"/>
  <c r="G30" i="118"/>
  <c r="Q44" i="118"/>
  <c r="G44" i="118"/>
  <c r="AS23" i="118"/>
  <c r="AU23" i="118"/>
  <c r="AX23" i="118"/>
  <c r="AQ23" i="118"/>
  <c r="AV23" i="118"/>
  <c r="AJ33" i="118"/>
  <c r="Z33" i="118"/>
  <c r="P19" i="118"/>
  <c r="P40" i="118"/>
  <c r="AK12" i="118"/>
  <c r="AA12" i="118"/>
  <c r="Q28" i="118"/>
  <c r="AT35" i="118"/>
  <c r="AU35" i="118"/>
  <c r="AX35" i="118"/>
  <c r="AV35" i="118"/>
  <c r="AR35" i="118"/>
  <c r="P35" i="118" s="1"/>
  <c r="AS35" i="118"/>
  <c r="AW35" i="118"/>
  <c r="AS26" i="118"/>
  <c r="AJ24" i="118"/>
  <c r="Z24" i="118"/>
  <c r="AV22" i="118"/>
  <c r="AS22" i="118"/>
  <c r="AR22" i="118"/>
  <c r="AX22" i="118"/>
  <c r="AU22" i="118"/>
  <c r="AJ18" i="118"/>
  <c r="Z18" i="118"/>
  <c r="G18" i="118"/>
  <c r="Q18" i="118"/>
  <c r="AJ14" i="118"/>
  <c r="Z14" i="118"/>
  <c r="AQ29" i="117"/>
  <c r="P29" i="117" s="1"/>
  <c r="AR17" i="117"/>
  <c r="AU17" i="117"/>
  <c r="P17" i="117" s="1"/>
  <c r="P42" i="117"/>
  <c r="P31" i="117"/>
  <c r="G31" i="117" s="1"/>
  <c r="AU29" i="117"/>
  <c r="AV29" i="117"/>
  <c r="AW17" i="117"/>
  <c r="AT33" i="117"/>
  <c r="AR29" i="117"/>
  <c r="P25" i="117"/>
  <c r="Q25" i="117" s="1"/>
  <c r="AT29" i="117"/>
  <c r="P20" i="117"/>
  <c r="Q20" i="117" s="1"/>
  <c r="AR33" i="117"/>
  <c r="AQ17" i="117"/>
  <c r="AW29" i="117"/>
  <c r="AV17" i="117"/>
  <c r="AJ33" i="117"/>
  <c r="Z33" i="117"/>
  <c r="P12" i="117"/>
  <c r="Q12" i="117" s="1"/>
  <c r="P23" i="117"/>
  <c r="Q23" i="117" s="1"/>
  <c r="P45" i="117"/>
  <c r="G45" i="117" s="1"/>
  <c r="P41" i="117"/>
  <c r="Q41" i="117" s="1"/>
  <c r="AJ35" i="117"/>
  <c r="Z35" i="117"/>
  <c r="P37" i="117"/>
  <c r="P10" i="117"/>
  <c r="G10" i="117" s="1"/>
  <c r="P13" i="117"/>
  <c r="Q13" i="117" s="1"/>
  <c r="P35" i="117"/>
  <c r="Q35" i="117" s="1"/>
  <c r="AJ21" i="117"/>
  <c r="Z21" i="117"/>
  <c r="AT44" i="117"/>
  <c r="AS44" i="117"/>
  <c r="P14" i="117"/>
  <c r="G14" i="117" s="1"/>
  <c r="AJ32" i="117"/>
  <c r="Z32" i="117"/>
  <c r="AU44" i="117"/>
  <c r="G12" i="117"/>
  <c r="G25" i="117"/>
  <c r="G37" i="117"/>
  <c r="Q37" i="117"/>
  <c r="Q31" i="117"/>
  <c r="G23" i="117"/>
  <c r="Q42" i="117"/>
  <c r="G42" i="117"/>
  <c r="Q45" i="117"/>
  <c r="Q30" i="117"/>
  <c r="G30" i="117"/>
  <c r="AJ23" i="117"/>
  <c r="Z23" i="117"/>
  <c r="AU18" i="117"/>
  <c r="AX18" i="117"/>
  <c r="AR18" i="117"/>
  <c r="AW18" i="117"/>
  <c r="AS18" i="117"/>
  <c r="AT18" i="117"/>
  <c r="AV18" i="117"/>
  <c r="P38" i="117"/>
  <c r="AJ30" i="117"/>
  <c r="Z30" i="117"/>
  <c r="AT34" i="117"/>
  <c r="P32" i="117"/>
  <c r="AB44" i="117"/>
  <c r="AB41" i="117"/>
  <c r="AB39" i="117"/>
  <c r="AB37" i="117"/>
  <c r="AB36" i="117"/>
  <c r="AB34" i="117"/>
  <c r="AB29" i="117"/>
  <c r="AB27" i="117"/>
  <c r="AB42" i="117"/>
  <c r="AB28" i="117"/>
  <c r="AB20" i="117"/>
  <c r="AB18" i="117"/>
  <c r="AB16" i="117"/>
  <c r="AB17" i="117"/>
  <c r="AB10" i="117"/>
  <c r="AB19" i="117"/>
  <c r="AB13" i="117"/>
  <c r="AB15" i="117"/>
  <c r="AB11" i="117"/>
  <c r="AB14" i="117"/>
  <c r="AB12" i="117"/>
  <c r="T5" i="117"/>
  <c r="P11" i="117"/>
  <c r="AQ34" i="117"/>
  <c r="AR34" i="117"/>
  <c r="AV34" i="117"/>
  <c r="AS34" i="117"/>
  <c r="AX34" i="117"/>
  <c r="AJ40" i="117"/>
  <c r="Z40" i="117"/>
  <c r="AJ31" i="117"/>
  <c r="Z31" i="117"/>
  <c r="P22" i="117"/>
  <c r="P39" i="117"/>
  <c r="G19" i="117"/>
  <c r="Q19" i="117"/>
  <c r="Q28" i="117"/>
  <c r="G28" i="117"/>
  <c r="AJ25" i="117"/>
  <c r="Z25" i="117"/>
  <c r="P15" i="117"/>
  <c r="AV26" i="117"/>
  <c r="AQ26" i="117"/>
  <c r="AS26" i="117"/>
  <c r="AW26" i="117"/>
  <c r="AT26" i="117"/>
  <c r="AU26" i="117"/>
  <c r="AR26" i="117"/>
  <c r="Q40" i="117"/>
  <c r="G40" i="117"/>
  <c r="AQ44" i="117"/>
  <c r="AJ24" i="117"/>
  <c r="Z24" i="117"/>
  <c r="AW46" i="117"/>
  <c r="AQ46" i="117"/>
  <c r="AT46" i="117"/>
  <c r="AX46" i="117"/>
  <c r="AS46" i="117"/>
  <c r="AR46" i="117"/>
  <c r="AV46" i="117"/>
  <c r="AJ22" i="117"/>
  <c r="Z22" i="117"/>
  <c r="AJ26" i="117"/>
  <c r="Z26" i="117"/>
  <c r="AS24" i="117"/>
  <c r="AQ24" i="117"/>
  <c r="AW24" i="117"/>
  <c r="AX24" i="117"/>
  <c r="AV24" i="117"/>
  <c r="AT24" i="117"/>
  <c r="AU24" i="117"/>
  <c r="AX44" i="117"/>
  <c r="AW44" i="117"/>
  <c r="AJ45" i="117"/>
  <c r="Z45" i="117"/>
  <c r="AU34" i="117"/>
  <c r="AU46" i="117"/>
  <c r="G21" i="117"/>
  <c r="Q21" i="117"/>
  <c r="AJ9" i="117"/>
  <c r="Z9" i="117"/>
  <c r="P9" i="117"/>
  <c r="P36" i="117"/>
  <c r="AJ46" i="117"/>
  <c r="Z46" i="117"/>
  <c r="AX26" i="117"/>
  <c r="P27" i="117"/>
  <c r="P33" i="117"/>
  <c r="AJ43" i="117"/>
  <c r="Z43" i="117"/>
  <c r="AA11" i="117"/>
  <c r="AJ38" i="117"/>
  <c r="Z38" i="117"/>
  <c r="AQ18" i="117"/>
  <c r="AQ43" i="117"/>
  <c r="AV43" i="117"/>
  <c r="AT43" i="117"/>
  <c r="AX43" i="117"/>
  <c r="AW43" i="117"/>
  <c r="AR43" i="117"/>
  <c r="AU43" i="117"/>
  <c r="Q16" i="117"/>
  <c r="G16" i="117"/>
  <c r="AV44" i="117"/>
  <c r="W10" i="113"/>
  <c r="W11" i="113"/>
  <c r="DM67" i="113"/>
  <c r="DC67" i="113"/>
  <c r="CT67" i="113"/>
  <c r="DN67" i="113" s="1"/>
  <c r="BS67" i="113"/>
  <c r="BK67" i="113"/>
  <c r="DM63" i="113"/>
  <c r="DC63" i="113"/>
  <c r="CT63" i="113"/>
  <c r="DN63" i="113" s="1"/>
  <c r="DM59" i="113"/>
  <c r="DC59" i="113"/>
  <c r="CT59" i="113"/>
  <c r="DN59" i="113" s="1"/>
  <c r="DN55" i="113"/>
  <c r="DM55" i="113"/>
  <c r="DC55" i="113"/>
  <c r="CZ55" i="113"/>
  <c r="CT55" i="113"/>
  <c r="DN52" i="113"/>
  <c r="DM52" i="113"/>
  <c r="DC52" i="113"/>
  <c r="CT52" i="113"/>
  <c r="DN46" i="113"/>
  <c r="DM46" i="113"/>
  <c r="DL46" i="113"/>
  <c r="DK46" i="113"/>
  <c r="DJ46" i="113"/>
  <c r="DI46" i="113"/>
  <c r="DH46" i="113"/>
  <c r="DG46" i="113"/>
  <c r="DF46" i="113"/>
  <c r="DB46" i="113"/>
  <c r="DA46" i="113"/>
  <c r="CZ46" i="113"/>
  <c r="CY46" i="113"/>
  <c r="CX46" i="113"/>
  <c r="CW46" i="113"/>
  <c r="CV46" i="113"/>
  <c r="CU46" i="113"/>
  <c r="CF46" i="113"/>
  <c r="CO46" i="113" s="1"/>
  <c r="BY46" i="113"/>
  <c r="BX46" i="113"/>
  <c r="BW46" i="113"/>
  <c r="BV46" i="113"/>
  <c r="BU46" i="113"/>
  <c r="BT46" i="113"/>
  <c r="BS46" i="113"/>
  <c r="BR46" i="113"/>
  <c r="BP46" i="113"/>
  <c r="CH46" i="113" s="1"/>
  <c r="BO46" i="113"/>
  <c r="CG46" i="113" s="1"/>
  <c r="CP46" i="113" s="1"/>
  <c r="BN46" i="113"/>
  <c r="BM46" i="113"/>
  <c r="CE46" i="113" s="1"/>
  <c r="BL46" i="113"/>
  <c r="CD46" i="113" s="1"/>
  <c r="CM46" i="113" s="1"/>
  <c r="BK46" i="113"/>
  <c r="CC46" i="113" s="1"/>
  <c r="CL46" i="113" s="1"/>
  <c r="BJ46" i="113"/>
  <c r="CB46" i="113" s="1"/>
  <c r="CK46" i="113" s="1"/>
  <c r="BI46" i="113"/>
  <c r="CA46" i="113" s="1"/>
  <c r="BG46" i="113"/>
  <c r="BF46" i="113"/>
  <c r="BE46" i="113"/>
  <c r="BD46" i="113"/>
  <c r="BC46" i="113"/>
  <c r="BB46" i="113"/>
  <c r="BA46" i="113"/>
  <c r="AZ46" i="113"/>
  <c r="DN45" i="113"/>
  <c r="DM45" i="113"/>
  <c r="DL45" i="113"/>
  <c r="DK45" i="113"/>
  <c r="DJ45" i="113"/>
  <c r="DI45" i="113"/>
  <c r="DH45" i="113"/>
  <c r="DG45" i="113"/>
  <c r="DF45" i="113"/>
  <c r="DB45" i="113"/>
  <c r="DA45" i="113"/>
  <c r="CZ45" i="113"/>
  <c r="CY45" i="113"/>
  <c r="CX45" i="113"/>
  <c r="CW45" i="113"/>
  <c r="CV45" i="113"/>
  <c r="CU45" i="113"/>
  <c r="BY45" i="113"/>
  <c r="BX45" i="113"/>
  <c r="BW45" i="113"/>
  <c r="BV45" i="113"/>
  <c r="BU45" i="113"/>
  <c r="BT45" i="113"/>
  <c r="BS45" i="113"/>
  <c r="BR45" i="113"/>
  <c r="BP45" i="113"/>
  <c r="CH45" i="113" s="1"/>
  <c r="BO45" i="113"/>
  <c r="CG45" i="113" s="1"/>
  <c r="CP45" i="113" s="1"/>
  <c r="BN45" i="113"/>
  <c r="CF45" i="113" s="1"/>
  <c r="CO45" i="113" s="1"/>
  <c r="BM45" i="113"/>
  <c r="CE45" i="113" s="1"/>
  <c r="CN45" i="113" s="1"/>
  <c r="BL45" i="113"/>
  <c r="CD45" i="113" s="1"/>
  <c r="CM45" i="113" s="1"/>
  <c r="BK45" i="113"/>
  <c r="CC45" i="113" s="1"/>
  <c r="CL45" i="113" s="1"/>
  <c r="BJ45" i="113"/>
  <c r="CB45" i="113" s="1"/>
  <c r="BI45" i="113"/>
  <c r="CA45" i="113" s="1"/>
  <c r="CJ45" i="113" s="1"/>
  <c r="BG45" i="113"/>
  <c r="BF45" i="113"/>
  <c r="BE45" i="113"/>
  <c r="BD45" i="113"/>
  <c r="BC45" i="113"/>
  <c r="BB45" i="113"/>
  <c r="BA45" i="113"/>
  <c r="AZ45" i="113"/>
  <c r="DN44" i="113"/>
  <c r="DM44" i="113"/>
  <c r="DL44" i="113"/>
  <c r="DK44" i="113"/>
  <c r="DJ44" i="113"/>
  <c r="DI44" i="113"/>
  <c r="DH44" i="113"/>
  <c r="DG44" i="113"/>
  <c r="DF44" i="113"/>
  <c r="DB44" i="113"/>
  <c r="DB59" i="113" s="1"/>
  <c r="DA44" i="113"/>
  <c r="CZ44" i="113"/>
  <c r="CY44" i="113"/>
  <c r="CX44" i="113"/>
  <c r="CW44" i="113"/>
  <c r="CW59" i="113" s="1"/>
  <c r="CV44" i="113"/>
  <c r="CV55" i="113" s="1"/>
  <c r="CU44" i="113"/>
  <c r="CG44" i="113"/>
  <c r="CP44" i="113" s="1"/>
  <c r="BY44" i="113"/>
  <c r="BX44" i="113"/>
  <c r="BX59" i="113" s="1"/>
  <c r="BW44" i="113"/>
  <c r="BW52" i="113" s="1"/>
  <c r="BV44" i="113"/>
  <c r="BV59" i="113" s="1"/>
  <c r="BU44" i="113"/>
  <c r="BU55" i="113" s="1"/>
  <c r="BT44" i="113"/>
  <c r="BS44" i="113"/>
  <c r="BR44" i="113"/>
  <c r="BP44" i="113"/>
  <c r="BO44" i="113"/>
  <c r="BN44" i="113"/>
  <c r="BM44" i="113"/>
  <c r="BM59" i="113" s="1"/>
  <c r="CE59" i="113" s="1"/>
  <c r="BL44" i="113"/>
  <c r="BL55" i="113" s="1"/>
  <c r="CD55" i="113" s="1"/>
  <c r="BK44" i="113"/>
  <c r="BJ44" i="113"/>
  <c r="BJ67" i="113" s="1"/>
  <c r="BI44" i="113"/>
  <c r="BI55" i="113" s="1"/>
  <c r="BG44" i="113"/>
  <c r="BF44" i="113"/>
  <c r="BE44" i="113"/>
  <c r="BD44" i="113"/>
  <c r="BC44" i="113"/>
  <c r="BB44" i="113"/>
  <c r="BA44" i="113"/>
  <c r="AZ44" i="113"/>
  <c r="DN43" i="113"/>
  <c r="DM43" i="113"/>
  <c r="DL43" i="113"/>
  <c r="DK43" i="113"/>
  <c r="DJ43" i="113"/>
  <c r="DI43" i="113"/>
  <c r="DH43" i="113"/>
  <c r="DG43" i="113"/>
  <c r="DF43" i="113"/>
  <c r="DB43" i="113"/>
  <c r="DA43" i="113"/>
  <c r="CZ43" i="113"/>
  <c r="CY43" i="113"/>
  <c r="CX43" i="113"/>
  <c r="CW43" i="113"/>
  <c r="CV43" i="113"/>
  <c r="CU43" i="113"/>
  <c r="CF43" i="113"/>
  <c r="CO43" i="113" s="1"/>
  <c r="BY43" i="113"/>
  <c r="BX43" i="113"/>
  <c r="BW43" i="113"/>
  <c r="BV43" i="113"/>
  <c r="BU43" i="113"/>
  <c r="BT43" i="113"/>
  <c r="BS43" i="113"/>
  <c r="BR43" i="113"/>
  <c r="BP43" i="113"/>
  <c r="CH43" i="113" s="1"/>
  <c r="CQ43" i="113" s="1"/>
  <c r="BO43" i="113"/>
  <c r="CG43" i="113" s="1"/>
  <c r="BN43" i="113"/>
  <c r="BM43" i="113"/>
  <c r="CE43" i="113" s="1"/>
  <c r="CN43" i="113" s="1"/>
  <c r="BL43" i="113"/>
  <c r="CD43" i="113" s="1"/>
  <c r="CM43" i="113" s="1"/>
  <c r="BK43" i="113"/>
  <c r="CC43" i="113" s="1"/>
  <c r="BJ43" i="113"/>
  <c r="CB43" i="113" s="1"/>
  <c r="CK43" i="113" s="1"/>
  <c r="BI43" i="113"/>
  <c r="CA43" i="113" s="1"/>
  <c r="BG43" i="113"/>
  <c r="BF43" i="113"/>
  <c r="BE43" i="113"/>
  <c r="BD43" i="113"/>
  <c r="BC43" i="113"/>
  <c r="BB43" i="113"/>
  <c r="BA43" i="113"/>
  <c r="AZ43" i="113"/>
  <c r="DN42" i="113"/>
  <c r="DM42" i="113"/>
  <c r="DL42" i="113"/>
  <c r="DK42" i="113"/>
  <c r="DJ42" i="113"/>
  <c r="DI42" i="113"/>
  <c r="DH42" i="113"/>
  <c r="DG42" i="113"/>
  <c r="DF42" i="113"/>
  <c r="DB42" i="113"/>
  <c r="DA42" i="113"/>
  <c r="CZ42" i="113"/>
  <c r="CY42" i="113"/>
  <c r="CX42" i="113"/>
  <c r="CW42" i="113"/>
  <c r="CV42" i="113"/>
  <c r="CU42" i="113"/>
  <c r="BY42" i="113"/>
  <c r="BX42" i="113"/>
  <c r="BW42" i="113"/>
  <c r="BV42" i="113"/>
  <c r="BU42" i="113"/>
  <c r="BT42" i="113"/>
  <c r="BS42" i="113"/>
  <c r="BR42" i="113"/>
  <c r="BP42" i="113"/>
  <c r="CH42" i="113" s="1"/>
  <c r="CQ42" i="113" s="1"/>
  <c r="BO42" i="113"/>
  <c r="CG42" i="113" s="1"/>
  <c r="CP42" i="113" s="1"/>
  <c r="BN42" i="113"/>
  <c r="CF42" i="113" s="1"/>
  <c r="BM42" i="113"/>
  <c r="CE42" i="113" s="1"/>
  <c r="CN42" i="113" s="1"/>
  <c r="BL42" i="113"/>
  <c r="CD42" i="113" s="1"/>
  <c r="CM42" i="113" s="1"/>
  <c r="BK42" i="113"/>
  <c r="CC42" i="113" s="1"/>
  <c r="BJ42" i="113"/>
  <c r="CB42" i="113" s="1"/>
  <c r="CK42" i="113" s="1"/>
  <c r="BI42" i="113"/>
  <c r="CA42" i="113" s="1"/>
  <c r="CJ42" i="113" s="1"/>
  <c r="BG42" i="113"/>
  <c r="BF42" i="113"/>
  <c r="BE42" i="113"/>
  <c r="BD42" i="113"/>
  <c r="BC42" i="113"/>
  <c r="BB42" i="113"/>
  <c r="BA42" i="113"/>
  <c r="AZ42" i="113"/>
  <c r="DN41" i="113"/>
  <c r="DM41" i="113"/>
  <c r="DL41" i="113"/>
  <c r="DK41" i="113"/>
  <c r="DJ41" i="113"/>
  <c r="DI41" i="113"/>
  <c r="DH41" i="113"/>
  <c r="DG41" i="113"/>
  <c r="DF41" i="113"/>
  <c r="DB41" i="113"/>
  <c r="DA41" i="113"/>
  <c r="CZ41" i="113"/>
  <c r="CY41" i="113"/>
  <c r="CX41" i="113"/>
  <c r="CW41" i="113"/>
  <c r="CV41" i="113"/>
  <c r="CU41" i="113"/>
  <c r="BY41" i="113"/>
  <c r="BX41" i="113"/>
  <c r="BW41" i="113"/>
  <c r="BV41" i="113"/>
  <c r="BU41" i="113"/>
  <c r="BT41" i="113"/>
  <c r="BS41" i="113"/>
  <c r="BR41" i="113"/>
  <c r="BP41" i="113"/>
  <c r="CH41" i="113" s="1"/>
  <c r="BO41" i="113"/>
  <c r="CG41" i="113" s="1"/>
  <c r="CP41" i="113" s="1"/>
  <c r="BN41" i="113"/>
  <c r="CF41" i="113" s="1"/>
  <c r="BM41" i="113"/>
  <c r="CE41" i="113" s="1"/>
  <c r="BL41" i="113"/>
  <c r="CD41" i="113" s="1"/>
  <c r="CM41" i="113" s="1"/>
  <c r="BK41" i="113"/>
  <c r="CC41" i="113" s="1"/>
  <c r="CL41" i="113" s="1"/>
  <c r="BJ41" i="113"/>
  <c r="CB41" i="113" s="1"/>
  <c r="CK41" i="113" s="1"/>
  <c r="BI41" i="113"/>
  <c r="CA41" i="113" s="1"/>
  <c r="BG41" i="113"/>
  <c r="BF41" i="113"/>
  <c r="BE41" i="113"/>
  <c r="BD41" i="113"/>
  <c r="BC41" i="113"/>
  <c r="BB41" i="113"/>
  <c r="BA41" i="113"/>
  <c r="AZ41" i="113"/>
  <c r="DN40" i="113"/>
  <c r="DM40" i="113"/>
  <c r="DL40" i="113"/>
  <c r="DK40" i="113"/>
  <c r="DJ40" i="113"/>
  <c r="DI40" i="113"/>
  <c r="DH40" i="113"/>
  <c r="DG40" i="113"/>
  <c r="DF40" i="113"/>
  <c r="DB40" i="113"/>
  <c r="DA40" i="113"/>
  <c r="CZ40" i="113"/>
  <c r="CY40" i="113"/>
  <c r="CX40" i="113"/>
  <c r="CW40" i="113"/>
  <c r="CV40" i="113"/>
  <c r="CU40" i="113"/>
  <c r="CO40" i="113"/>
  <c r="BY40" i="113"/>
  <c r="BX40" i="113"/>
  <c r="BW40" i="113"/>
  <c r="BV40" i="113"/>
  <c r="BU40" i="113"/>
  <c r="BT40" i="113"/>
  <c r="BS40" i="113"/>
  <c r="BR40" i="113"/>
  <c r="BP40" i="113"/>
  <c r="CH40" i="113" s="1"/>
  <c r="BO40" i="113"/>
  <c r="CG40" i="113" s="1"/>
  <c r="BN40" i="113"/>
  <c r="CF40" i="113" s="1"/>
  <c r="BM40" i="113"/>
  <c r="CE40" i="113" s="1"/>
  <c r="CN40" i="113" s="1"/>
  <c r="BL40" i="113"/>
  <c r="CD40" i="113" s="1"/>
  <c r="CM40" i="113" s="1"/>
  <c r="BK40" i="113"/>
  <c r="CC40" i="113" s="1"/>
  <c r="BJ40" i="113"/>
  <c r="CB40" i="113" s="1"/>
  <c r="BI40" i="113"/>
  <c r="CA40" i="113" s="1"/>
  <c r="CJ40" i="113" s="1"/>
  <c r="BG40" i="113"/>
  <c r="BF40" i="113"/>
  <c r="BE40" i="113"/>
  <c r="BD40" i="113"/>
  <c r="BC40" i="113"/>
  <c r="BB40" i="113"/>
  <c r="BA40" i="113"/>
  <c r="AZ40" i="113"/>
  <c r="DN39" i="113"/>
  <c r="DM39" i="113"/>
  <c r="DL39" i="113"/>
  <c r="DK39" i="113"/>
  <c r="DJ39" i="113"/>
  <c r="DI39" i="113"/>
  <c r="DH39" i="113"/>
  <c r="DG39" i="113"/>
  <c r="DF39" i="113"/>
  <c r="DB39" i="113"/>
  <c r="DA39" i="113"/>
  <c r="CZ39" i="113"/>
  <c r="CY39" i="113"/>
  <c r="CX39" i="113"/>
  <c r="CW39" i="113"/>
  <c r="CV39" i="113"/>
  <c r="CU39" i="113"/>
  <c r="BY39" i="113"/>
  <c r="BX39" i="113"/>
  <c r="BW39" i="113"/>
  <c r="BV39" i="113"/>
  <c r="BU39" i="113"/>
  <c r="BT39" i="113"/>
  <c r="BS39" i="113"/>
  <c r="BR39" i="113"/>
  <c r="BP39" i="113"/>
  <c r="CH39" i="113" s="1"/>
  <c r="CQ39" i="113" s="1"/>
  <c r="BO39" i="113"/>
  <c r="CG39" i="113" s="1"/>
  <c r="CP39" i="113" s="1"/>
  <c r="BN39" i="113"/>
  <c r="CF39" i="113" s="1"/>
  <c r="CO39" i="113" s="1"/>
  <c r="BM39" i="113"/>
  <c r="CE39" i="113" s="1"/>
  <c r="CN39" i="113" s="1"/>
  <c r="BL39" i="113"/>
  <c r="CD39" i="113" s="1"/>
  <c r="CM39" i="113" s="1"/>
  <c r="BK39" i="113"/>
  <c r="CC39" i="113" s="1"/>
  <c r="CL39" i="113" s="1"/>
  <c r="BJ39" i="113"/>
  <c r="CB39" i="113" s="1"/>
  <c r="BI39" i="113"/>
  <c r="CA39" i="113" s="1"/>
  <c r="CJ39" i="113" s="1"/>
  <c r="BG39" i="113"/>
  <c r="BF39" i="113"/>
  <c r="BE39" i="113"/>
  <c r="BD39" i="113"/>
  <c r="BC39" i="113"/>
  <c r="BB39" i="113"/>
  <c r="BA39" i="113"/>
  <c r="AZ39" i="113"/>
  <c r="DN38" i="113"/>
  <c r="DM38" i="113"/>
  <c r="DL38" i="113"/>
  <c r="DK38" i="113"/>
  <c r="DJ38" i="113"/>
  <c r="DI38" i="113"/>
  <c r="DH38" i="113"/>
  <c r="DG38" i="113"/>
  <c r="DF38" i="113"/>
  <c r="DB38" i="113"/>
  <c r="DA38" i="113"/>
  <c r="CZ38" i="113"/>
  <c r="CY38" i="113"/>
  <c r="CX38" i="113"/>
  <c r="CW38" i="113"/>
  <c r="CV38" i="113"/>
  <c r="CU38" i="113"/>
  <c r="BY38" i="113"/>
  <c r="BX38" i="113"/>
  <c r="BW38" i="113"/>
  <c r="BV38" i="113"/>
  <c r="BU38" i="113"/>
  <c r="BT38" i="113"/>
  <c r="BS38" i="113"/>
  <c r="BR38" i="113"/>
  <c r="BP38" i="113"/>
  <c r="CH38" i="113" s="1"/>
  <c r="CQ38" i="113" s="1"/>
  <c r="BO38" i="113"/>
  <c r="CG38" i="113" s="1"/>
  <c r="CP38" i="113" s="1"/>
  <c r="BN38" i="113"/>
  <c r="CF38" i="113" s="1"/>
  <c r="CO38" i="113" s="1"/>
  <c r="BM38" i="113"/>
  <c r="CE38" i="113" s="1"/>
  <c r="CN38" i="113" s="1"/>
  <c r="BL38" i="113"/>
  <c r="CD38" i="113" s="1"/>
  <c r="CM38" i="113" s="1"/>
  <c r="BK38" i="113"/>
  <c r="CC38" i="113" s="1"/>
  <c r="CL38" i="113" s="1"/>
  <c r="BJ38" i="113"/>
  <c r="CB38" i="113" s="1"/>
  <c r="CK38" i="113" s="1"/>
  <c r="BI38" i="113"/>
  <c r="CA38" i="113" s="1"/>
  <c r="CJ38" i="113" s="1"/>
  <c r="BG38" i="113"/>
  <c r="BF38" i="113"/>
  <c r="BE38" i="113"/>
  <c r="BD38" i="113"/>
  <c r="BC38" i="113"/>
  <c r="BB38" i="113"/>
  <c r="BA38" i="113"/>
  <c r="AZ38" i="113"/>
  <c r="DN37" i="113"/>
  <c r="DM37" i="113"/>
  <c r="DL37" i="113"/>
  <c r="DK37" i="113"/>
  <c r="DJ37" i="113"/>
  <c r="DI37" i="113"/>
  <c r="DH37" i="113"/>
  <c r="DG37" i="113"/>
  <c r="DF37" i="113"/>
  <c r="DB37" i="113"/>
  <c r="DA37" i="113"/>
  <c r="CZ37" i="113"/>
  <c r="CY37" i="113"/>
  <c r="CX37" i="113"/>
  <c r="CW37" i="113"/>
  <c r="CV37" i="113"/>
  <c r="CU37" i="113"/>
  <c r="CE37" i="113"/>
  <c r="CN37" i="113" s="1"/>
  <c r="CC37" i="113"/>
  <c r="CL37" i="113" s="1"/>
  <c r="BY37" i="113"/>
  <c r="BX37" i="113"/>
  <c r="BW37" i="113"/>
  <c r="BV37" i="113"/>
  <c r="BU37" i="113"/>
  <c r="BT37" i="113"/>
  <c r="BS37" i="113"/>
  <c r="BR37" i="113"/>
  <c r="BP37" i="113"/>
  <c r="CH37" i="113" s="1"/>
  <c r="BO37" i="113"/>
  <c r="CG37" i="113" s="1"/>
  <c r="BN37" i="113"/>
  <c r="CF37" i="113" s="1"/>
  <c r="CO37" i="113" s="1"/>
  <c r="BM37" i="113"/>
  <c r="BL37" i="113"/>
  <c r="CD37" i="113" s="1"/>
  <c r="CM37" i="113" s="1"/>
  <c r="BK37" i="113"/>
  <c r="BJ37" i="113"/>
  <c r="CB37" i="113" s="1"/>
  <c r="CK37" i="113" s="1"/>
  <c r="BI37" i="113"/>
  <c r="CA37" i="113" s="1"/>
  <c r="CJ37" i="113" s="1"/>
  <c r="BG37" i="113"/>
  <c r="BF37" i="113"/>
  <c r="BE37" i="113"/>
  <c r="BD37" i="113"/>
  <c r="BC37" i="113"/>
  <c r="BB37" i="113"/>
  <c r="BA37" i="113"/>
  <c r="AZ37" i="113"/>
  <c r="DN36" i="113"/>
  <c r="DM36" i="113"/>
  <c r="DL36" i="113"/>
  <c r="DK36" i="113"/>
  <c r="DJ36" i="113"/>
  <c r="DI36" i="113"/>
  <c r="DH36" i="113"/>
  <c r="DG36" i="113"/>
  <c r="DF36" i="113"/>
  <c r="DB36" i="113"/>
  <c r="DA36" i="113"/>
  <c r="CZ36" i="113"/>
  <c r="CO36" i="113" s="1"/>
  <c r="CY36" i="113"/>
  <c r="CX36" i="113"/>
  <c r="CW36" i="113"/>
  <c r="CV36" i="113"/>
  <c r="CU36" i="113"/>
  <c r="CF36" i="113"/>
  <c r="CE36" i="113"/>
  <c r="CC36" i="113"/>
  <c r="BY36" i="113"/>
  <c r="BX36" i="113"/>
  <c r="BW36" i="113"/>
  <c r="BV36" i="113"/>
  <c r="BU36" i="113"/>
  <c r="BT36" i="113"/>
  <c r="BS36" i="113"/>
  <c r="BR36" i="113"/>
  <c r="BP36" i="113"/>
  <c r="CH36" i="113" s="1"/>
  <c r="CQ36" i="113" s="1"/>
  <c r="BO36" i="113"/>
  <c r="CG36" i="113" s="1"/>
  <c r="CP36" i="113" s="1"/>
  <c r="BN36" i="113"/>
  <c r="BM36" i="113"/>
  <c r="BL36" i="113"/>
  <c r="CD36" i="113" s="1"/>
  <c r="CM36" i="113" s="1"/>
  <c r="BK36" i="113"/>
  <c r="BJ36" i="113"/>
  <c r="CB36" i="113" s="1"/>
  <c r="CK36" i="113" s="1"/>
  <c r="BI36" i="113"/>
  <c r="CA36" i="113" s="1"/>
  <c r="CJ36" i="113" s="1"/>
  <c r="BG36" i="113"/>
  <c r="BF36" i="113"/>
  <c r="BE36" i="113"/>
  <c r="BD36" i="113"/>
  <c r="BC36" i="113"/>
  <c r="BB36" i="113"/>
  <c r="BA36" i="113"/>
  <c r="AZ36" i="113"/>
  <c r="DN35" i="113"/>
  <c r="DM35" i="113"/>
  <c r="DL35" i="113"/>
  <c r="DK35" i="113"/>
  <c r="DJ35" i="113"/>
  <c r="DI35" i="113"/>
  <c r="DH35" i="113"/>
  <c r="DG35" i="113"/>
  <c r="DF35" i="113"/>
  <c r="DB35" i="113"/>
  <c r="DA35" i="113"/>
  <c r="CZ35" i="113"/>
  <c r="CY35" i="113"/>
  <c r="CX35" i="113"/>
  <c r="CW35" i="113"/>
  <c r="CV35" i="113"/>
  <c r="CU35" i="113"/>
  <c r="CG35" i="113"/>
  <c r="CP35" i="113" s="1"/>
  <c r="BY35" i="113"/>
  <c r="BX35" i="113"/>
  <c r="BW35" i="113"/>
  <c r="BV35" i="113"/>
  <c r="BU35" i="113"/>
  <c r="BT35" i="113"/>
  <c r="BS35" i="113"/>
  <c r="BR35" i="113"/>
  <c r="BP35" i="113"/>
  <c r="CH35" i="113" s="1"/>
  <c r="BO35" i="113"/>
  <c r="BN35" i="113"/>
  <c r="CF35" i="113" s="1"/>
  <c r="CO35" i="113" s="1"/>
  <c r="BM35" i="113"/>
  <c r="CE35" i="113" s="1"/>
  <c r="BL35" i="113"/>
  <c r="CD35" i="113" s="1"/>
  <c r="CM35" i="113" s="1"/>
  <c r="BK35" i="113"/>
  <c r="CC35" i="113" s="1"/>
  <c r="BJ35" i="113"/>
  <c r="CB35" i="113" s="1"/>
  <c r="CK35" i="113" s="1"/>
  <c r="BI35" i="113"/>
  <c r="CA35" i="113" s="1"/>
  <c r="BG35" i="113"/>
  <c r="BF35" i="113"/>
  <c r="BE35" i="113"/>
  <c r="BD35" i="113"/>
  <c r="BC35" i="113"/>
  <c r="BB35" i="113"/>
  <c r="BA35" i="113"/>
  <c r="AZ35" i="113"/>
  <c r="DN34" i="113"/>
  <c r="DM34" i="113"/>
  <c r="DL34" i="113"/>
  <c r="DK34" i="113"/>
  <c r="DJ34" i="113"/>
  <c r="DI34" i="113"/>
  <c r="DH34" i="113"/>
  <c r="DG34" i="113"/>
  <c r="DF34" i="113"/>
  <c r="DB34" i="113"/>
  <c r="DA34" i="113"/>
  <c r="CZ34" i="113"/>
  <c r="CY34" i="113"/>
  <c r="CX34" i="113"/>
  <c r="CW34" i="113"/>
  <c r="CV34" i="113"/>
  <c r="CU34" i="113"/>
  <c r="CD34" i="113"/>
  <c r="BY34" i="113"/>
  <c r="BX34" i="113"/>
  <c r="BW34" i="113"/>
  <c r="BV34" i="113"/>
  <c r="BU34" i="113"/>
  <c r="BT34" i="113"/>
  <c r="BS34" i="113"/>
  <c r="BR34" i="113"/>
  <c r="BP34" i="113"/>
  <c r="CH34" i="113" s="1"/>
  <c r="CQ34" i="113" s="1"/>
  <c r="BO34" i="113"/>
  <c r="CG34" i="113" s="1"/>
  <c r="BN34" i="113"/>
  <c r="CF34" i="113" s="1"/>
  <c r="CO34" i="113" s="1"/>
  <c r="BM34" i="113"/>
  <c r="CE34" i="113" s="1"/>
  <c r="BL34" i="113"/>
  <c r="BK34" i="113"/>
  <c r="CC34" i="113" s="1"/>
  <c r="BJ34" i="113"/>
  <c r="CB34" i="113" s="1"/>
  <c r="BI34" i="113"/>
  <c r="CA34" i="113" s="1"/>
  <c r="CJ34" i="113" s="1"/>
  <c r="BG34" i="113"/>
  <c r="BF34" i="113"/>
  <c r="BE34" i="113"/>
  <c r="BD34" i="113"/>
  <c r="BC34" i="113"/>
  <c r="BB34" i="113"/>
  <c r="BA34" i="113"/>
  <c r="AZ34" i="113"/>
  <c r="DN33" i="113"/>
  <c r="DM33" i="113"/>
  <c r="DL33" i="113"/>
  <c r="DK33" i="113"/>
  <c r="DJ33" i="113"/>
  <c r="DI33" i="113"/>
  <c r="DH33" i="113"/>
  <c r="DG33" i="113"/>
  <c r="DF33" i="113"/>
  <c r="DB33" i="113"/>
  <c r="DA33" i="113"/>
  <c r="CZ33" i="113"/>
  <c r="CY33" i="113"/>
  <c r="CX33" i="113"/>
  <c r="CW33" i="113"/>
  <c r="CV33" i="113"/>
  <c r="CU33" i="113"/>
  <c r="BY33" i="113"/>
  <c r="BX33" i="113"/>
  <c r="BW33" i="113"/>
  <c r="BV33" i="113"/>
  <c r="BU33" i="113"/>
  <c r="BT33" i="113"/>
  <c r="BS33" i="113"/>
  <c r="BR33" i="113"/>
  <c r="BP33" i="113"/>
  <c r="CH33" i="113" s="1"/>
  <c r="CQ33" i="113" s="1"/>
  <c r="BO33" i="113"/>
  <c r="CG33" i="113" s="1"/>
  <c r="BN33" i="113"/>
  <c r="CF33" i="113" s="1"/>
  <c r="CO33" i="113" s="1"/>
  <c r="BM33" i="113"/>
  <c r="CE33" i="113" s="1"/>
  <c r="BL33" i="113"/>
  <c r="CD33" i="113" s="1"/>
  <c r="BK33" i="113"/>
  <c r="CC33" i="113" s="1"/>
  <c r="CL33" i="113" s="1"/>
  <c r="BJ33" i="113"/>
  <c r="CB33" i="113" s="1"/>
  <c r="CK33" i="113" s="1"/>
  <c r="BI33" i="113"/>
  <c r="CA33" i="113" s="1"/>
  <c r="BG33" i="113"/>
  <c r="BF33" i="113"/>
  <c r="BE33" i="113"/>
  <c r="BD33" i="113"/>
  <c r="BC33" i="113"/>
  <c r="BB33" i="113"/>
  <c r="BA33" i="113"/>
  <c r="AZ33" i="113"/>
  <c r="DN32" i="113"/>
  <c r="DM32" i="113"/>
  <c r="DL32" i="113"/>
  <c r="DK32" i="113"/>
  <c r="DJ32" i="113"/>
  <c r="DI32" i="113"/>
  <c r="DH32" i="113"/>
  <c r="DG32" i="113"/>
  <c r="DF32" i="113"/>
  <c r="DB32" i="113"/>
  <c r="DA32" i="113"/>
  <c r="CZ32" i="113"/>
  <c r="CY32" i="113"/>
  <c r="CX32" i="113"/>
  <c r="CW32" i="113"/>
  <c r="CV32" i="113"/>
  <c r="CU32" i="113"/>
  <c r="BY32" i="113"/>
  <c r="BX32" i="113"/>
  <c r="BW32" i="113"/>
  <c r="BV32" i="113"/>
  <c r="BU32" i="113"/>
  <c r="BT32" i="113"/>
  <c r="BS32" i="113"/>
  <c r="BR32" i="113"/>
  <c r="BP32" i="113"/>
  <c r="CH32" i="113" s="1"/>
  <c r="BO32" i="113"/>
  <c r="CG32" i="113" s="1"/>
  <c r="CP32" i="113" s="1"/>
  <c r="BN32" i="113"/>
  <c r="CF32" i="113" s="1"/>
  <c r="CO32" i="113" s="1"/>
  <c r="BM32" i="113"/>
  <c r="CE32" i="113" s="1"/>
  <c r="CN32" i="113" s="1"/>
  <c r="BL32" i="113"/>
  <c r="CD32" i="113" s="1"/>
  <c r="BK32" i="113"/>
  <c r="CC32" i="113" s="1"/>
  <c r="CL32" i="113" s="1"/>
  <c r="BJ32" i="113"/>
  <c r="CB32" i="113" s="1"/>
  <c r="BI32" i="113"/>
  <c r="CA32" i="113" s="1"/>
  <c r="BG32" i="113"/>
  <c r="BF32" i="113"/>
  <c r="BE32" i="113"/>
  <c r="BD32" i="113"/>
  <c r="BC32" i="113"/>
  <c r="BB32" i="113"/>
  <c r="BA32" i="113"/>
  <c r="AZ32" i="113"/>
  <c r="DN31" i="113"/>
  <c r="DM31" i="113"/>
  <c r="DL31" i="113"/>
  <c r="DK31" i="113"/>
  <c r="DJ31" i="113"/>
  <c r="DI31" i="113"/>
  <c r="DH31" i="113"/>
  <c r="DG31" i="113"/>
  <c r="DF31" i="113"/>
  <c r="DB31" i="113"/>
  <c r="DA31" i="113"/>
  <c r="CZ31" i="113"/>
  <c r="CY31" i="113"/>
  <c r="CX31" i="113"/>
  <c r="CW31" i="113"/>
  <c r="CV31" i="113"/>
  <c r="CU31" i="113"/>
  <c r="CC31" i="113"/>
  <c r="CL31" i="113" s="1"/>
  <c r="BY31" i="113"/>
  <c r="BX31" i="113"/>
  <c r="BW31" i="113"/>
  <c r="BV31" i="113"/>
  <c r="BU31" i="113"/>
  <c r="BT31" i="113"/>
  <c r="BS31" i="113"/>
  <c r="BR31" i="113"/>
  <c r="BP31" i="113"/>
  <c r="CH31" i="113" s="1"/>
  <c r="CQ31" i="113" s="1"/>
  <c r="BO31" i="113"/>
  <c r="CG31" i="113" s="1"/>
  <c r="CP31" i="113" s="1"/>
  <c r="BN31" i="113"/>
  <c r="CF31" i="113" s="1"/>
  <c r="BM31" i="113"/>
  <c r="CE31" i="113" s="1"/>
  <c r="CN31" i="113" s="1"/>
  <c r="BL31" i="113"/>
  <c r="CD31" i="113" s="1"/>
  <c r="CM31" i="113" s="1"/>
  <c r="BK31" i="113"/>
  <c r="BJ31" i="113"/>
  <c r="CB31" i="113" s="1"/>
  <c r="CK31" i="113" s="1"/>
  <c r="BI31" i="113"/>
  <c r="CA31" i="113" s="1"/>
  <c r="BG31" i="113"/>
  <c r="BF31" i="113"/>
  <c r="BE31" i="113"/>
  <c r="BD31" i="113"/>
  <c r="BC31" i="113"/>
  <c r="BB31" i="113"/>
  <c r="BA31" i="113"/>
  <c r="AZ31" i="113"/>
  <c r="DN30" i="113"/>
  <c r="DM30" i="113"/>
  <c r="DL30" i="113"/>
  <c r="DK30" i="113"/>
  <c r="DJ30" i="113"/>
  <c r="DI30" i="113"/>
  <c r="DH30" i="113"/>
  <c r="DG30" i="113"/>
  <c r="DF30" i="113"/>
  <c r="DB30" i="113"/>
  <c r="DA30" i="113"/>
  <c r="CZ30" i="113"/>
  <c r="CY30" i="113"/>
  <c r="CX30" i="113"/>
  <c r="CW30" i="113"/>
  <c r="CV30" i="113"/>
  <c r="CU30" i="113"/>
  <c r="BY30" i="113"/>
  <c r="BX30" i="113"/>
  <c r="BW30" i="113"/>
  <c r="BV30" i="113"/>
  <c r="BU30" i="113"/>
  <c r="BT30" i="113"/>
  <c r="BS30" i="113"/>
  <c r="BR30" i="113"/>
  <c r="BP30" i="113"/>
  <c r="CH30" i="113" s="1"/>
  <c r="CQ30" i="113" s="1"/>
  <c r="BO30" i="113"/>
  <c r="CG30" i="113" s="1"/>
  <c r="CP30" i="113" s="1"/>
  <c r="BN30" i="113"/>
  <c r="CF30" i="113" s="1"/>
  <c r="BM30" i="113"/>
  <c r="CE30" i="113" s="1"/>
  <c r="CN30" i="113" s="1"/>
  <c r="BL30" i="113"/>
  <c r="CD30" i="113" s="1"/>
  <c r="BK30" i="113"/>
  <c r="CC30" i="113" s="1"/>
  <c r="CL30" i="113" s="1"/>
  <c r="BJ30" i="113"/>
  <c r="CB30" i="113" s="1"/>
  <c r="CK30" i="113" s="1"/>
  <c r="BI30" i="113"/>
  <c r="CA30" i="113" s="1"/>
  <c r="BG30" i="113"/>
  <c r="BF30" i="113"/>
  <c r="BE30" i="113"/>
  <c r="BD30" i="113"/>
  <c r="BC30" i="113"/>
  <c r="BB30" i="113"/>
  <c r="BA30" i="113"/>
  <c r="AZ30" i="113"/>
  <c r="DN29" i="113"/>
  <c r="DM29" i="113"/>
  <c r="DL29" i="113"/>
  <c r="DK29" i="113"/>
  <c r="DJ29" i="113"/>
  <c r="DI29" i="113"/>
  <c r="DH29" i="113"/>
  <c r="DG29" i="113"/>
  <c r="DF29" i="113"/>
  <c r="DB29" i="113"/>
  <c r="DA29" i="113"/>
  <c r="CZ29" i="113"/>
  <c r="CY29" i="113"/>
  <c r="CX29" i="113"/>
  <c r="CW29" i="113"/>
  <c r="CV29" i="113"/>
  <c r="CU29" i="113"/>
  <c r="BY29" i="113"/>
  <c r="BX29" i="113"/>
  <c r="BW29" i="113"/>
  <c r="BV29" i="113"/>
  <c r="BU29" i="113"/>
  <c r="BT29" i="113"/>
  <c r="BS29" i="113"/>
  <c r="BR29" i="113"/>
  <c r="BP29" i="113"/>
  <c r="CH29" i="113" s="1"/>
  <c r="BO29" i="113"/>
  <c r="CG29" i="113" s="1"/>
  <c r="CP29" i="113" s="1"/>
  <c r="BN29" i="113"/>
  <c r="CF29" i="113" s="1"/>
  <c r="CO29" i="113" s="1"/>
  <c r="BM29" i="113"/>
  <c r="CE29" i="113" s="1"/>
  <c r="CN29" i="113" s="1"/>
  <c r="BL29" i="113"/>
  <c r="CD29" i="113" s="1"/>
  <c r="CM29" i="113" s="1"/>
  <c r="BK29" i="113"/>
  <c r="CC29" i="113" s="1"/>
  <c r="CL29" i="113" s="1"/>
  <c r="BJ29" i="113"/>
  <c r="CB29" i="113" s="1"/>
  <c r="CK29" i="113" s="1"/>
  <c r="BI29" i="113"/>
  <c r="CA29" i="113" s="1"/>
  <c r="CJ29" i="113" s="1"/>
  <c r="BG29" i="113"/>
  <c r="BF29" i="113"/>
  <c r="BE29" i="113"/>
  <c r="BD29" i="113"/>
  <c r="BC29" i="113"/>
  <c r="BB29" i="113"/>
  <c r="BA29" i="113"/>
  <c r="AZ29" i="113"/>
  <c r="DN28" i="113"/>
  <c r="DM28" i="113"/>
  <c r="DL28" i="113"/>
  <c r="DK28" i="113"/>
  <c r="DJ28" i="113"/>
  <c r="DI28" i="113"/>
  <c r="DH28" i="113"/>
  <c r="DG28" i="113"/>
  <c r="DF28" i="113"/>
  <c r="DB28" i="113"/>
  <c r="DA28" i="113"/>
  <c r="CZ28" i="113"/>
  <c r="CY28" i="113"/>
  <c r="CX28" i="113"/>
  <c r="CW28" i="113"/>
  <c r="CV28" i="113"/>
  <c r="CU28" i="113"/>
  <c r="CG28" i="113"/>
  <c r="BY28" i="113"/>
  <c r="BX28" i="113"/>
  <c r="BW28" i="113"/>
  <c r="BV28" i="113"/>
  <c r="BU28" i="113"/>
  <c r="BT28" i="113"/>
  <c r="BS28" i="113"/>
  <c r="BR28" i="113"/>
  <c r="BP28" i="113"/>
  <c r="CH28" i="113" s="1"/>
  <c r="CQ28" i="113" s="1"/>
  <c r="BO28" i="113"/>
  <c r="BN28" i="113"/>
  <c r="CF28" i="113" s="1"/>
  <c r="CO28" i="113" s="1"/>
  <c r="BM28" i="113"/>
  <c r="CE28" i="113" s="1"/>
  <c r="BL28" i="113"/>
  <c r="CD28" i="113" s="1"/>
  <c r="CM28" i="113" s="1"/>
  <c r="BK28" i="113"/>
  <c r="CC28" i="113" s="1"/>
  <c r="CL28" i="113" s="1"/>
  <c r="BJ28" i="113"/>
  <c r="CB28" i="113" s="1"/>
  <c r="CK28" i="113" s="1"/>
  <c r="BI28" i="113"/>
  <c r="CA28" i="113" s="1"/>
  <c r="BG28" i="113"/>
  <c r="BF28" i="113"/>
  <c r="BE28" i="113"/>
  <c r="BD28" i="113"/>
  <c r="BC28" i="113"/>
  <c r="BB28" i="113"/>
  <c r="BA28" i="113"/>
  <c r="AZ28" i="113"/>
  <c r="DN27" i="113"/>
  <c r="DM27" i="113"/>
  <c r="DL27" i="113"/>
  <c r="DK27" i="113"/>
  <c r="DJ27" i="113"/>
  <c r="DI27" i="113"/>
  <c r="DH27" i="113"/>
  <c r="DG27" i="113"/>
  <c r="DF27" i="113"/>
  <c r="DB27" i="113"/>
  <c r="DA27" i="113"/>
  <c r="CZ27" i="113"/>
  <c r="CY27" i="113"/>
  <c r="CX27" i="113"/>
  <c r="CW27" i="113"/>
  <c r="CV27" i="113"/>
  <c r="CU27" i="113"/>
  <c r="BY27" i="113"/>
  <c r="BX27" i="113"/>
  <c r="BW27" i="113"/>
  <c r="BV27" i="113"/>
  <c r="BU27" i="113"/>
  <c r="BT27" i="113"/>
  <c r="BS27" i="113"/>
  <c r="BR27" i="113"/>
  <c r="BP27" i="113"/>
  <c r="CH27" i="113" s="1"/>
  <c r="CQ27" i="113" s="1"/>
  <c r="BO27" i="113"/>
  <c r="CG27" i="113" s="1"/>
  <c r="CP27" i="113" s="1"/>
  <c r="BN27" i="113"/>
  <c r="CF27" i="113" s="1"/>
  <c r="BM27" i="113"/>
  <c r="CE27" i="113" s="1"/>
  <c r="CN27" i="113" s="1"/>
  <c r="BL27" i="113"/>
  <c r="CD27" i="113" s="1"/>
  <c r="CM27" i="113" s="1"/>
  <c r="BK27" i="113"/>
  <c r="CC27" i="113" s="1"/>
  <c r="CL27" i="113" s="1"/>
  <c r="BJ27" i="113"/>
  <c r="CB27" i="113" s="1"/>
  <c r="CK27" i="113" s="1"/>
  <c r="BI27" i="113"/>
  <c r="CA27" i="113" s="1"/>
  <c r="BG27" i="113"/>
  <c r="BF27" i="113"/>
  <c r="BE27" i="113"/>
  <c r="BD27" i="113"/>
  <c r="BC27" i="113"/>
  <c r="BB27" i="113"/>
  <c r="BA27" i="113"/>
  <c r="AZ27" i="113"/>
  <c r="DN26" i="113"/>
  <c r="DM26" i="113"/>
  <c r="DL26" i="113"/>
  <c r="DK26" i="113"/>
  <c r="DJ26" i="113"/>
  <c r="DI26" i="113"/>
  <c r="DH26" i="113"/>
  <c r="DG26" i="113"/>
  <c r="DF26" i="113"/>
  <c r="DB26" i="113"/>
  <c r="DA26" i="113"/>
  <c r="CZ26" i="113"/>
  <c r="CY26" i="113"/>
  <c r="CX26" i="113"/>
  <c r="CW26" i="113"/>
  <c r="CV26" i="113"/>
  <c r="CU26" i="113"/>
  <c r="CK26" i="113"/>
  <c r="CH26" i="113"/>
  <c r="CQ26" i="113" s="1"/>
  <c r="BY26" i="113"/>
  <c r="BX26" i="113"/>
  <c r="BW26" i="113"/>
  <c r="BV26" i="113"/>
  <c r="BU26" i="113"/>
  <c r="BT26" i="113"/>
  <c r="BS26" i="113"/>
  <c r="BR26" i="113"/>
  <c r="BP26" i="113"/>
  <c r="BO26" i="113"/>
  <c r="CG26" i="113" s="1"/>
  <c r="CP26" i="113" s="1"/>
  <c r="BN26" i="113"/>
  <c r="CF26" i="113" s="1"/>
  <c r="BM26" i="113"/>
  <c r="CE26" i="113" s="1"/>
  <c r="CN26" i="113" s="1"/>
  <c r="BL26" i="113"/>
  <c r="CD26" i="113" s="1"/>
  <c r="BK26" i="113"/>
  <c r="CC26" i="113" s="1"/>
  <c r="CL26" i="113" s="1"/>
  <c r="BJ26" i="113"/>
  <c r="CB26" i="113" s="1"/>
  <c r="BI26" i="113"/>
  <c r="CA26" i="113" s="1"/>
  <c r="CJ26" i="113" s="1"/>
  <c r="BG26" i="113"/>
  <c r="BF26" i="113"/>
  <c r="BE26" i="113"/>
  <c r="BD26" i="113"/>
  <c r="BC26" i="113"/>
  <c r="BB26" i="113"/>
  <c r="BA26" i="113"/>
  <c r="AZ26" i="113"/>
  <c r="DN25" i="113"/>
  <c r="DM25" i="113"/>
  <c r="DL25" i="113"/>
  <c r="DK25" i="113"/>
  <c r="DJ25" i="113"/>
  <c r="DI25" i="113"/>
  <c r="DH25" i="113"/>
  <c r="DG25" i="113"/>
  <c r="DF25" i="113"/>
  <c r="DB25" i="113"/>
  <c r="DA25" i="113"/>
  <c r="CZ25" i="113"/>
  <c r="CY25" i="113"/>
  <c r="CX25" i="113"/>
  <c r="CW25" i="113"/>
  <c r="CV25" i="113"/>
  <c r="CU25" i="113"/>
  <c r="CH25" i="113"/>
  <c r="CQ25" i="113" s="1"/>
  <c r="CG25" i="113"/>
  <c r="CP25" i="113" s="1"/>
  <c r="CE25" i="113"/>
  <c r="CN25" i="113" s="1"/>
  <c r="BY25" i="113"/>
  <c r="BX25" i="113"/>
  <c r="BW25" i="113"/>
  <c r="BV25" i="113"/>
  <c r="BU25" i="113"/>
  <c r="BT25" i="113"/>
  <c r="BS25" i="113"/>
  <c r="BR25" i="113"/>
  <c r="BP25" i="113"/>
  <c r="BO25" i="113"/>
  <c r="BN25" i="113"/>
  <c r="CF25" i="113" s="1"/>
  <c r="CO25" i="113" s="1"/>
  <c r="BM25" i="113"/>
  <c r="BL25" i="113"/>
  <c r="CD25" i="113" s="1"/>
  <c r="BK25" i="113"/>
  <c r="CC25" i="113" s="1"/>
  <c r="CL25" i="113" s="1"/>
  <c r="BJ25" i="113"/>
  <c r="CB25" i="113" s="1"/>
  <c r="BI25" i="113"/>
  <c r="CA25" i="113" s="1"/>
  <c r="CJ25" i="113" s="1"/>
  <c r="BG25" i="113"/>
  <c r="BF25" i="113"/>
  <c r="BE25" i="113"/>
  <c r="BD25" i="113"/>
  <c r="BC25" i="113"/>
  <c r="BB25" i="113"/>
  <c r="BA25" i="113"/>
  <c r="AZ25" i="113"/>
  <c r="DN24" i="113"/>
  <c r="DM24" i="113"/>
  <c r="DL24" i="113"/>
  <c r="DK24" i="113"/>
  <c r="DJ24" i="113"/>
  <c r="DI24" i="113"/>
  <c r="DH24" i="113"/>
  <c r="DG24" i="113"/>
  <c r="DF24" i="113"/>
  <c r="DB24" i="113"/>
  <c r="DA24" i="113"/>
  <c r="CZ24" i="113"/>
  <c r="CY24" i="113"/>
  <c r="CX24" i="113"/>
  <c r="CW24" i="113"/>
  <c r="CV24" i="113"/>
  <c r="CU24" i="113"/>
  <c r="CE24" i="113"/>
  <c r="CB24" i="113"/>
  <c r="CK24" i="113" s="1"/>
  <c r="BY24" i="113"/>
  <c r="BX24" i="113"/>
  <c r="BW24" i="113"/>
  <c r="BV24" i="113"/>
  <c r="BU24" i="113"/>
  <c r="BT24" i="113"/>
  <c r="BS24" i="113"/>
  <c r="BR24" i="113"/>
  <c r="BP24" i="113"/>
  <c r="CH24" i="113" s="1"/>
  <c r="BO24" i="113"/>
  <c r="CG24" i="113" s="1"/>
  <c r="BN24" i="113"/>
  <c r="CF24" i="113" s="1"/>
  <c r="CO24" i="113" s="1"/>
  <c r="BM24" i="113"/>
  <c r="BL24" i="113"/>
  <c r="CD24" i="113" s="1"/>
  <c r="CM24" i="113" s="1"/>
  <c r="BK24" i="113"/>
  <c r="CC24" i="113" s="1"/>
  <c r="BJ24" i="113"/>
  <c r="BI24" i="113"/>
  <c r="CA24" i="113" s="1"/>
  <c r="BG24" i="113"/>
  <c r="BF24" i="113"/>
  <c r="BE24" i="113"/>
  <c r="BD24" i="113"/>
  <c r="BC24" i="113"/>
  <c r="BB24" i="113"/>
  <c r="BA24" i="113"/>
  <c r="AZ24" i="113"/>
  <c r="AH24" i="113" s="1"/>
  <c r="Y24" i="113" s="1"/>
  <c r="DN23" i="113"/>
  <c r="DM23" i="113"/>
  <c r="DL23" i="113"/>
  <c r="DK23" i="113"/>
  <c r="DJ23" i="113"/>
  <c r="DI23" i="113"/>
  <c r="DH23" i="113"/>
  <c r="DG23" i="113"/>
  <c r="DF23" i="113"/>
  <c r="DB23" i="113"/>
  <c r="DA23" i="113"/>
  <c r="CZ23" i="113"/>
  <c r="CY23" i="113"/>
  <c r="CX23" i="113"/>
  <c r="CW23" i="113"/>
  <c r="CV23" i="113"/>
  <c r="CU23" i="113"/>
  <c r="CE23" i="113"/>
  <c r="BY23" i="113"/>
  <c r="BX23" i="113"/>
  <c r="BW23" i="113"/>
  <c r="BV23" i="113"/>
  <c r="BU23" i="113"/>
  <c r="BT23" i="113"/>
  <c r="BS23" i="113"/>
  <c r="BR23" i="113"/>
  <c r="BP23" i="113"/>
  <c r="CH23" i="113" s="1"/>
  <c r="BO23" i="113"/>
  <c r="CG23" i="113" s="1"/>
  <c r="CP23" i="113" s="1"/>
  <c r="BN23" i="113"/>
  <c r="CF23" i="113" s="1"/>
  <c r="BM23" i="113"/>
  <c r="BL23" i="113"/>
  <c r="CD23" i="113" s="1"/>
  <c r="CM23" i="113" s="1"/>
  <c r="BK23" i="113"/>
  <c r="CC23" i="113" s="1"/>
  <c r="BJ23" i="113"/>
  <c r="CB23" i="113" s="1"/>
  <c r="CK23" i="113" s="1"/>
  <c r="BI23" i="113"/>
  <c r="CA23" i="113" s="1"/>
  <c r="BG23" i="113"/>
  <c r="BF23" i="113"/>
  <c r="BE23" i="113"/>
  <c r="BD23" i="113"/>
  <c r="BC23" i="113"/>
  <c r="BB23" i="113"/>
  <c r="BA23" i="113"/>
  <c r="AZ23" i="113"/>
  <c r="DN22" i="113"/>
  <c r="DM22" i="113"/>
  <c r="DL22" i="113"/>
  <c r="DK22" i="113"/>
  <c r="DJ22" i="113"/>
  <c r="DI22" i="113"/>
  <c r="DH22" i="113"/>
  <c r="DG22" i="113"/>
  <c r="DF22" i="113"/>
  <c r="DB22" i="113"/>
  <c r="DA22" i="113"/>
  <c r="CZ22" i="113"/>
  <c r="CY22" i="113"/>
  <c r="CX22" i="113"/>
  <c r="CW22" i="113"/>
  <c r="CV22" i="113"/>
  <c r="CU22" i="113"/>
  <c r="CJ22" i="113"/>
  <c r="CG22" i="113"/>
  <c r="CP22" i="113" s="1"/>
  <c r="BY22" i="113"/>
  <c r="BX22" i="113"/>
  <c r="BW22" i="113"/>
  <c r="BV22" i="113"/>
  <c r="BU22" i="113"/>
  <c r="BT22" i="113"/>
  <c r="BS22" i="113"/>
  <c r="BR22" i="113"/>
  <c r="BP22" i="113"/>
  <c r="CH22" i="113" s="1"/>
  <c r="CQ22" i="113" s="1"/>
  <c r="BO22" i="113"/>
  <c r="BN22" i="113"/>
  <c r="CF22" i="113" s="1"/>
  <c r="BM22" i="113"/>
  <c r="CE22" i="113" s="1"/>
  <c r="BL22" i="113"/>
  <c r="CD22" i="113" s="1"/>
  <c r="CM22" i="113" s="1"/>
  <c r="BK22" i="113"/>
  <c r="CC22" i="113" s="1"/>
  <c r="BJ22" i="113"/>
  <c r="CB22" i="113" s="1"/>
  <c r="CK22" i="113" s="1"/>
  <c r="BI22" i="113"/>
  <c r="CA22" i="113" s="1"/>
  <c r="BG22" i="113"/>
  <c r="BF22" i="113"/>
  <c r="BE22" i="113"/>
  <c r="BD22" i="113"/>
  <c r="BC22" i="113"/>
  <c r="BB22" i="113"/>
  <c r="BA22" i="113"/>
  <c r="AZ22" i="113"/>
  <c r="DN21" i="113"/>
  <c r="DM21" i="113"/>
  <c r="DL21" i="113"/>
  <c r="DK21" i="113"/>
  <c r="DJ21" i="113"/>
  <c r="DI21" i="113"/>
  <c r="DH21" i="113"/>
  <c r="DG21" i="113"/>
  <c r="DF21" i="113"/>
  <c r="DB21" i="113"/>
  <c r="DA21" i="113"/>
  <c r="CZ21" i="113"/>
  <c r="CY21" i="113"/>
  <c r="CX21" i="113"/>
  <c r="CW21" i="113"/>
  <c r="CV21" i="113"/>
  <c r="CU21" i="113"/>
  <c r="CF21" i="113"/>
  <c r="CO21" i="113" s="1"/>
  <c r="BY21" i="113"/>
  <c r="BX21" i="113"/>
  <c r="BW21" i="113"/>
  <c r="BV21" i="113"/>
  <c r="BU21" i="113"/>
  <c r="BT21" i="113"/>
  <c r="BS21" i="113"/>
  <c r="BR21" i="113"/>
  <c r="BP21" i="113"/>
  <c r="CH21" i="113" s="1"/>
  <c r="CQ21" i="113" s="1"/>
  <c r="BO21" i="113"/>
  <c r="CG21" i="113" s="1"/>
  <c r="CP21" i="113" s="1"/>
  <c r="BN21" i="113"/>
  <c r="BM21" i="113"/>
  <c r="CE21" i="113" s="1"/>
  <c r="BL21" i="113"/>
  <c r="CD21" i="113" s="1"/>
  <c r="CM21" i="113" s="1"/>
  <c r="BK21" i="113"/>
  <c r="CC21" i="113" s="1"/>
  <c r="BJ21" i="113"/>
  <c r="CB21" i="113" s="1"/>
  <c r="CK21" i="113" s="1"/>
  <c r="BI21" i="113"/>
  <c r="CA21" i="113" s="1"/>
  <c r="BG21" i="113"/>
  <c r="BF21" i="113"/>
  <c r="BE21" i="113"/>
  <c r="BD21" i="113"/>
  <c r="BC21" i="113"/>
  <c r="BB21" i="113"/>
  <c r="BA21" i="113"/>
  <c r="AZ21" i="113"/>
  <c r="DN20" i="113"/>
  <c r="DM20" i="113"/>
  <c r="DL20" i="113"/>
  <c r="DK20" i="113"/>
  <c r="DJ20" i="113"/>
  <c r="DI20" i="113"/>
  <c r="DH20" i="113"/>
  <c r="DG20" i="113"/>
  <c r="DF20" i="113"/>
  <c r="DB20" i="113"/>
  <c r="DA20" i="113"/>
  <c r="CZ20" i="113"/>
  <c r="CY20" i="113"/>
  <c r="CX20" i="113"/>
  <c r="CW20" i="113"/>
  <c r="CV20" i="113"/>
  <c r="CU20" i="113"/>
  <c r="CJ20" i="113"/>
  <c r="CD20" i="113"/>
  <c r="CM20" i="113" s="1"/>
  <c r="BY20" i="113"/>
  <c r="BX20" i="113"/>
  <c r="BW20" i="113"/>
  <c r="BV20" i="113"/>
  <c r="BU20" i="113"/>
  <c r="BT20" i="113"/>
  <c r="BS20" i="113"/>
  <c r="BR20" i="113"/>
  <c r="BP20" i="113"/>
  <c r="CH20" i="113" s="1"/>
  <c r="BO20" i="113"/>
  <c r="CG20" i="113" s="1"/>
  <c r="CP20" i="113" s="1"/>
  <c r="BN20" i="113"/>
  <c r="CF20" i="113" s="1"/>
  <c r="BM20" i="113"/>
  <c r="CE20" i="113" s="1"/>
  <c r="CN20" i="113" s="1"/>
  <c r="BL20" i="113"/>
  <c r="BK20" i="113"/>
  <c r="CC20" i="113" s="1"/>
  <c r="BJ20" i="113"/>
  <c r="CB20" i="113" s="1"/>
  <c r="CK20" i="113" s="1"/>
  <c r="BI20" i="113"/>
  <c r="CA20" i="113" s="1"/>
  <c r="BG20" i="113"/>
  <c r="BF20" i="113"/>
  <c r="BE20" i="113"/>
  <c r="BD20" i="113"/>
  <c r="BC20" i="113"/>
  <c r="BB20" i="113"/>
  <c r="BA20" i="113"/>
  <c r="AZ20" i="113"/>
  <c r="DN19" i="113"/>
  <c r="DM19" i="113"/>
  <c r="DL19" i="113"/>
  <c r="DK19" i="113"/>
  <c r="DJ19" i="113"/>
  <c r="DI19" i="113"/>
  <c r="DH19" i="113"/>
  <c r="DG19" i="113"/>
  <c r="DF19" i="113"/>
  <c r="DB19" i="113"/>
  <c r="DA19" i="113"/>
  <c r="CZ19" i="113"/>
  <c r="CY19" i="113"/>
  <c r="CX19" i="113"/>
  <c r="CW19" i="113"/>
  <c r="CV19" i="113"/>
  <c r="CU19" i="113"/>
  <c r="CH19" i="113"/>
  <c r="CQ19" i="113" s="1"/>
  <c r="BY19" i="113"/>
  <c r="BX19" i="113"/>
  <c r="BW19" i="113"/>
  <c r="BV19" i="113"/>
  <c r="BU19" i="113"/>
  <c r="BT19" i="113"/>
  <c r="BS19" i="113"/>
  <c r="BR19" i="113"/>
  <c r="BP19" i="113"/>
  <c r="BO19" i="113"/>
  <c r="CG19" i="113" s="1"/>
  <c r="CP19" i="113" s="1"/>
  <c r="BN19" i="113"/>
  <c r="CF19" i="113" s="1"/>
  <c r="CO19" i="113" s="1"/>
  <c r="BM19" i="113"/>
  <c r="CE19" i="113" s="1"/>
  <c r="BL19" i="113"/>
  <c r="CD19" i="113" s="1"/>
  <c r="CM19" i="113" s="1"/>
  <c r="BK19" i="113"/>
  <c r="CC19" i="113" s="1"/>
  <c r="BJ19" i="113"/>
  <c r="CB19" i="113" s="1"/>
  <c r="CK19" i="113" s="1"/>
  <c r="BI19" i="113"/>
  <c r="CA19" i="113" s="1"/>
  <c r="BG19" i="113"/>
  <c r="BF19" i="113"/>
  <c r="BE19" i="113"/>
  <c r="BD19" i="113"/>
  <c r="BC19" i="113"/>
  <c r="BB19" i="113"/>
  <c r="BA19" i="113"/>
  <c r="AZ19" i="113"/>
  <c r="DN18" i="113"/>
  <c r="DM18" i="113"/>
  <c r="DL18" i="113"/>
  <c r="DK18" i="113"/>
  <c r="DJ18" i="113"/>
  <c r="DI18" i="113"/>
  <c r="DH18" i="113"/>
  <c r="DG18" i="113"/>
  <c r="DF18" i="113"/>
  <c r="DB18" i="113"/>
  <c r="DA18" i="113"/>
  <c r="CZ18" i="113"/>
  <c r="CY18" i="113"/>
  <c r="CX18" i="113"/>
  <c r="CW18" i="113"/>
  <c r="CV18" i="113"/>
  <c r="CU18" i="113"/>
  <c r="BY18" i="113"/>
  <c r="BX18" i="113"/>
  <c r="BW18" i="113"/>
  <c r="BV18" i="113"/>
  <c r="BU18" i="113"/>
  <c r="BT18" i="113"/>
  <c r="BS18" i="113"/>
  <c r="BR18" i="113"/>
  <c r="BP18" i="113"/>
  <c r="CH18" i="113" s="1"/>
  <c r="CQ18" i="113" s="1"/>
  <c r="BO18" i="113"/>
  <c r="CG18" i="113" s="1"/>
  <c r="CP18" i="113" s="1"/>
  <c r="BN18" i="113"/>
  <c r="CF18" i="113" s="1"/>
  <c r="CO18" i="113" s="1"/>
  <c r="BM18" i="113"/>
  <c r="CE18" i="113" s="1"/>
  <c r="CN18" i="113" s="1"/>
  <c r="BL18" i="113"/>
  <c r="CD18" i="113" s="1"/>
  <c r="BK18" i="113"/>
  <c r="CC18" i="113" s="1"/>
  <c r="CL18" i="113" s="1"/>
  <c r="BJ18" i="113"/>
  <c r="CB18" i="113" s="1"/>
  <c r="CK18" i="113" s="1"/>
  <c r="BI18" i="113"/>
  <c r="CA18" i="113" s="1"/>
  <c r="BG18" i="113"/>
  <c r="BF18" i="113"/>
  <c r="BE18" i="113"/>
  <c r="BD18" i="113"/>
  <c r="BC18" i="113"/>
  <c r="BB18" i="113"/>
  <c r="BA18" i="113"/>
  <c r="AZ18" i="113"/>
  <c r="DN17" i="113"/>
  <c r="DM17" i="113"/>
  <c r="DL17" i="113"/>
  <c r="DK17" i="113"/>
  <c r="DJ17" i="113"/>
  <c r="DI17" i="113"/>
  <c r="DH17" i="113"/>
  <c r="DG17" i="113"/>
  <c r="DF17" i="113"/>
  <c r="DB17" i="113"/>
  <c r="DA17" i="113"/>
  <c r="CZ17" i="113"/>
  <c r="CY17" i="113"/>
  <c r="CX17" i="113"/>
  <c r="CW17" i="113"/>
  <c r="CV17" i="113"/>
  <c r="CU17" i="113"/>
  <c r="BY17" i="113"/>
  <c r="BX17" i="113"/>
  <c r="BW17" i="113"/>
  <c r="BV17" i="113"/>
  <c r="BU17" i="113"/>
  <c r="BT17" i="113"/>
  <c r="BS17" i="113"/>
  <c r="BR17" i="113"/>
  <c r="BP17" i="113"/>
  <c r="CH17" i="113" s="1"/>
  <c r="CQ17" i="113" s="1"/>
  <c r="BO17" i="113"/>
  <c r="CG17" i="113" s="1"/>
  <c r="CP17" i="113" s="1"/>
  <c r="BN17" i="113"/>
  <c r="CF17" i="113" s="1"/>
  <c r="CO17" i="113" s="1"/>
  <c r="BM17" i="113"/>
  <c r="CE17" i="113" s="1"/>
  <c r="CN17" i="113" s="1"/>
  <c r="BL17" i="113"/>
  <c r="CD17" i="113" s="1"/>
  <c r="CM17" i="113" s="1"/>
  <c r="BK17" i="113"/>
  <c r="CC17" i="113" s="1"/>
  <c r="CL17" i="113" s="1"/>
  <c r="BJ17" i="113"/>
  <c r="CB17" i="113" s="1"/>
  <c r="CK17" i="113" s="1"/>
  <c r="BI17" i="113"/>
  <c r="CA17" i="113" s="1"/>
  <c r="CJ17" i="113" s="1"/>
  <c r="BG17" i="113"/>
  <c r="BF17" i="113"/>
  <c r="BE17" i="113"/>
  <c r="BD17" i="113"/>
  <c r="BC17" i="113"/>
  <c r="BB17" i="113"/>
  <c r="BA17" i="113"/>
  <c r="AZ17" i="113"/>
  <c r="DN16" i="113"/>
  <c r="DM16" i="113"/>
  <c r="DL16" i="113"/>
  <c r="DK16" i="113"/>
  <c r="DJ16" i="113"/>
  <c r="DI16" i="113"/>
  <c r="DH16" i="113"/>
  <c r="DG16" i="113"/>
  <c r="DF16" i="113"/>
  <c r="DB16" i="113"/>
  <c r="DA16" i="113"/>
  <c r="CZ16" i="113"/>
  <c r="CY16" i="113"/>
  <c r="CX16" i="113"/>
  <c r="CW16" i="113"/>
  <c r="CV16" i="113"/>
  <c r="CU16" i="113"/>
  <c r="BY16" i="113"/>
  <c r="BX16" i="113"/>
  <c r="BW16" i="113"/>
  <c r="BV16" i="113"/>
  <c r="BU16" i="113"/>
  <c r="BT16" i="113"/>
  <c r="BS16" i="113"/>
  <c r="BR16" i="113"/>
  <c r="BP16" i="113"/>
  <c r="CH16" i="113" s="1"/>
  <c r="CQ16" i="113" s="1"/>
  <c r="BO16" i="113"/>
  <c r="CG16" i="113" s="1"/>
  <c r="BN16" i="113"/>
  <c r="CF16" i="113" s="1"/>
  <c r="CO16" i="113" s="1"/>
  <c r="BM16" i="113"/>
  <c r="CE16" i="113" s="1"/>
  <c r="CN16" i="113" s="1"/>
  <c r="BL16" i="113"/>
  <c r="CD16" i="113" s="1"/>
  <c r="BK16" i="113"/>
  <c r="CC16" i="113" s="1"/>
  <c r="CL16" i="113" s="1"/>
  <c r="BJ16" i="113"/>
  <c r="CB16" i="113" s="1"/>
  <c r="BI16" i="113"/>
  <c r="CA16" i="113" s="1"/>
  <c r="BG16" i="113"/>
  <c r="BF16" i="113"/>
  <c r="BE16" i="113"/>
  <c r="BD16" i="113"/>
  <c r="BC16" i="113"/>
  <c r="BB16" i="113"/>
  <c r="BA16" i="113"/>
  <c r="AZ16" i="113"/>
  <c r="DN15" i="113"/>
  <c r="DM15" i="113"/>
  <c r="DL15" i="113"/>
  <c r="DK15" i="113"/>
  <c r="DJ15" i="113"/>
  <c r="DI15" i="113"/>
  <c r="DH15" i="113"/>
  <c r="DG15" i="113"/>
  <c r="DF15" i="113"/>
  <c r="DB15" i="113"/>
  <c r="DA15" i="113"/>
  <c r="CZ15" i="113"/>
  <c r="CY15" i="113"/>
  <c r="CX15" i="113"/>
  <c r="CW15" i="113"/>
  <c r="CV15" i="113"/>
  <c r="CU15" i="113"/>
  <c r="CM15" i="113"/>
  <c r="CD15" i="113"/>
  <c r="BY15" i="113"/>
  <c r="BX15" i="113"/>
  <c r="BW15" i="113"/>
  <c r="BV15" i="113"/>
  <c r="BU15" i="113"/>
  <c r="BT15" i="113"/>
  <c r="BS15" i="113"/>
  <c r="BR15" i="113"/>
  <c r="BP15" i="113"/>
  <c r="CH15" i="113" s="1"/>
  <c r="CQ15" i="113" s="1"/>
  <c r="BO15" i="113"/>
  <c r="CG15" i="113" s="1"/>
  <c r="BN15" i="113"/>
  <c r="CF15" i="113" s="1"/>
  <c r="CO15" i="113" s="1"/>
  <c r="BM15" i="113"/>
  <c r="CE15" i="113" s="1"/>
  <c r="CN15" i="113" s="1"/>
  <c r="BL15" i="113"/>
  <c r="BK15" i="113"/>
  <c r="CC15" i="113" s="1"/>
  <c r="CL15" i="113" s="1"/>
  <c r="BJ15" i="113"/>
  <c r="CB15" i="113" s="1"/>
  <c r="CK15" i="113" s="1"/>
  <c r="BI15" i="113"/>
  <c r="CA15" i="113" s="1"/>
  <c r="BG15" i="113"/>
  <c r="BF15" i="113"/>
  <c r="BE15" i="113"/>
  <c r="BD15" i="113"/>
  <c r="BC15" i="113"/>
  <c r="BB15" i="113"/>
  <c r="BA15" i="113"/>
  <c r="AZ15" i="113"/>
  <c r="DN14" i="113"/>
  <c r="DM14" i="113"/>
  <c r="DL14" i="113"/>
  <c r="DK14" i="113"/>
  <c r="DJ14" i="113"/>
  <c r="DI14" i="113"/>
  <c r="DH14" i="113"/>
  <c r="DG14" i="113"/>
  <c r="DF14" i="113"/>
  <c r="DB14" i="113"/>
  <c r="DA14" i="113"/>
  <c r="CZ14" i="113"/>
  <c r="CY14" i="113"/>
  <c r="CX14" i="113"/>
  <c r="CW14" i="113"/>
  <c r="CV14" i="113"/>
  <c r="CU14" i="113"/>
  <c r="CH14" i="113"/>
  <c r="CQ14" i="113" s="1"/>
  <c r="BY14" i="113"/>
  <c r="BX14" i="113"/>
  <c r="BW14" i="113"/>
  <c r="BV14" i="113"/>
  <c r="BU14" i="113"/>
  <c r="BT14" i="113"/>
  <c r="BS14" i="113"/>
  <c r="BR14" i="113"/>
  <c r="BP14" i="113"/>
  <c r="BO14" i="113"/>
  <c r="CG14" i="113" s="1"/>
  <c r="CP14" i="113" s="1"/>
  <c r="BN14" i="113"/>
  <c r="CF14" i="113" s="1"/>
  <c r="BM14" i="113"/>
  <c r="CE14" i="113" s="1"/>
  <c r="BL14" i="113"/>
  <c r="CD14" i="113" s="1"/>
  <c r="CM14" i="113" s="1"/>
  <c r="BK14" i="113"/>
  <c r="CC14" i="113" s="1"/>
  <c r="BJ14" i="113"/>
  <c r="CB14" i="113" s="1"/>
  <c r="BI14" i="113"/>
  <c r="CA14" i="113" s="1"/>
  <c r="BG14" i="113"/>
  <c r="BF14" i="113"/>
  <c r="BE14" i="113"/>
  <c r="BD14" i="113"/>
  <c r="BC14" i="113"/>
  <c r="BB14" i="113"/>
  <c r="BA14" i="113"/>
  <c r="AZ14" i="113"/>
  <c r="DN13" i="113"/>
  <c r="DM13" i="113"/>
  <c r="DL13" i="113"/>
  <c r="DK13" i="113"/>
  <c r="DJ13" i="113"/>
  <c r="DI13" i="113"/>
  <c r="DH13" i="113"/>
  <c r="DG13" i="113"/>
  <c r="DF13" i="113"/>
  <c r="DB13" i="113"/>
  <c r="DA13" i="113"/>
  <c r="CZ13" i="113"/>
  <c r="CY13" i="113"/>
  <c r="CX13" i="113"/>
  <c r="CW13" i="113"/>
  <c r="CV13" i="113"/>
  <c r="CU13" i="113"/>
  <c r="BY13" i="113"/>
  <c r="BX13" i="113"/>
  <c r="BW13" i="113"/>
  <c r="BV13" i="113"/>
  <c r="BU13" i="113"/>
  <c r="BT13" i="113"/>
  <c r="BS13" i="113"/>
  <c r="BR13" i="113"/>
  <c r="BP13" i="113"/>
  <c r="CH13" i="113" s="1"/>
  <c r="CQ13" i="113" s="1"/>
  <c r="BO13" i="113"/>
  <c r="CG13" i="113" s="1"/>
  <c r="CP13" i="113" s="1"/>
  <c r="BN13" i="113"/>
  <c r="CF13" i="113" s="1"/>
  <c r="CO13" i="113" s="1"/>
  <c r="BM13" i="113"/>
  <c r="CE13" i="113" s="1"/>
  <c r="CN13" i="113" s="1"/>
  <c r="BL13" i="113"/>
  <c r="CD13" i="113" s="1"/>
  <c r="CM13" i="113" s="1"/>
  <c r="BK13" i="113"/>
  <c r="CC13" i="113" s="1"/>
  <c r="BJ13" i="113"/>
  <c r="CB13" i="113" s="1"/>
  <c r="CK13" i="113" s="1"/>
  <c r="BI13" i="113"/>
  <c r="CA13" i="113" s="1"/>
  <c r="CJ13" i="113" s="1"/>
  <c r="BG13" i="113"/>
  <c r="BF13" i="113"/>
  <c r="BE13" i="113"/>
  <c r="BD13" i="113"/>
  <c r="BC13" i="113"/>
  <c r="BB13" i="113"/>
  <c r="BA13" i="113"/>
  <c r="AZ13" i="113"/>
  <c r="DN12" i="113"/>
  <c r="DM12" i="113"/>
  <c r="DL12" i="113"/>
  <c r="DK12" i="113"/>
  <c r="DJ12" i="113"/>
  <c r="DI12" i="113"/>
  <c r="DH12" i="113"/>
  <c r="DG12" i="113"/>
  <c r="DF12" i="113"/>
  <c r="DB12" i="113"/>
  <c r="DA12" i="113"/>
  <c r="CZ12" i="113"/>
  <c r="CY12" i="113"/>
  <c r="CX12" i="113"/>
  <c r="CW12" i="113"/>
  <c r="CV12" i="113"/>
  <c r="CU12" i="113"/>
  <c r="BY12" i="113"/>
  <c r="BX12" i="113"/>
  <c r="BW12" i="113"/>
  <c r="BV12" i="113"/>
  <c r="BU12" i="113"/>
  <c r="BT12" i="113"/>
  <c r="BS12" i="113"/>
  <c r="BR12" i="113"/>
  <c r="BP12" i="113"/>
  <c r="CH12" i="113" s="1"/>
  <c r="CQ12" i="113" s="1"/>
  <c r="BO12" i="113"/>
  <c r="CG12" i="113" s="1"/>
  <c r="CP12" i="113" s="1"/>
  <c r="BN12" i="113"/>
  <c r="CF12" i="113" s="1"/>
  <c r="CO12" i="113" s="1"/>
  <c r="BM12" i="113"/>
  <c r="CE12" i="113" s="1"/>
  <c r="CN12" i="113" s="1"/>
  <c r="BL12" i="113"/>
  <c r="CD12" i="113" s="1"/>
  <c r="CM12" i="113" s="1"/>
  <c r="BK12" i="113"/>
  <c r="CC12" i="113" s="1"/>
  <c r="CL12" i="113" s="1"/>
  <c r="BJ12" i="113"/>
  <c r="CB12" i="113" s="1"/>
  <c r="CK12" i="113" s="1"/>
  <c r="BI12" i="113"/>
  <c r="CA12" i="113" s="1"/>
  <c r="CJ12" i="113" s="1"/>
  <c r="BG12" i="113"/>
  <c r="BF12" i="113"/>
  <c r="BE12" i="113"/>
  <c r="BD12" i="113"/>
  <c r="BC12" i="113"/>
  <c r="BB12" i="113"/>
  <c r="BA12" i="113"/>
  <c r="AZ12" i="113"/>
  <c r="DN11" i="113"/>
  <c r="DM11" i="113"/>
  <c r="DL11" i="113"/>
  <c r="DK11" i="113"/>
  <c r="DJ11" i="113"/>
  <c r="DI11" i="113"/>
  <c r="DH11" i="113"/>
  <c r="DG11" i="113"/>
  <c r="DF11" i="113"/>
  <c r="DB11" i="113"/>
  <c r="DA11" i="113"/>
  <c r="CZ11" i="113"/>
  <c r="CY11" i="113"/>
  <c r="CX11" i="113"/>
  <c r="CW11" i="113"/>
  <c r="CV11" i="113"/>
  <c r="CU11" i="113"/>
  <c r="CB11" i="113"/>
  <c r="CK11" i="113" s="1"/>
  <c r="BY11" i="113"/>
  <c r="BX11" i="113"/>
  <c r="BW11" i="113"/>
  <c r="BV11" i="113"/>
  <c r="BU11" i="113"/>
  <c r="BT11" i="113"/>
  <c r="BS11" i="113"/>
  <c r="BR11" i="113"/>
  <c r="BP11" i="113"/>
  <c r="CH11" i="113" s="1"/>
  <c r="BO11" i="113"/>
  <c r="CG11" i="113" s="1"/>
  <c r="BN11" i="113"/>
  <c r="CF11" i="113" s="1"/>
  <c r="CO11" i="113" s="1"/>
  <c r="BM11" i="113"/>
  <c r="CE11" i="113" s="1"/>
  <c r="BL11" i="113"/>
  <c r="CD11" i="113" s="1"/>
  <c r="CM11" i="113" s="1"/>
  <c r="BK11" i="113"/>
  <c r="CC11" i="113" s="1"/>
  <c r="CL11" i="113" s="1"/>
  <c r="BJ11" i="113"/>
  <c r="BI11" i="113"/>
  <c r="BG11" i="113"/>
  <c r="BF11" i="113"/>
  <c r="BE11" i="113"/>
  <c r="BD11" i="113"/>
  <c r="BC11" i="113"/>
  <c r="BB11" i="113"/>
  <c r="BA11" i="113"/>
  <c r="AZ11" i="113"/>
  <c r="DN10" i="113"/>
  <c r="DM10" i="113"/>
  <c r="DL10" i="113"/>
  <c r="DK10" i="113"/>
  <c r="DJ10" i="113"/>
  <c r="DI10" i="113"/>
  <c r="DH10" i="113"/>
  <c r="DG10" i="113"/>
  <c r="DF10" i="113"/>
  <c r="DB10" i="113"/>
  <c r="DA10" i="113"/>
  <c r="CZ10" i="113"/>
  <c r="CY10" i="113"/>
  <c r="CX10" i="113"/>
  <c r="CW10" i="113"/>
  <c r="CV10" i="113"/>
  <c r="CU10" i="113"/>
  <c r="CH10" i="113"/>
  <c r="CQ10" i="113" s="1"/>
  <c r="BY10" i="113"/>
  <c r="BX10" i="113"/>
  <c r="BW10" i="113"/>
  <c r="BV10" i="113"/>
  <c r="BU10" i="113"/>
  <c r="BT10" i="113"/>
  <c r="BS10" i="113"/>
  <c r="BR10" i="113"/>
  <c r="BP10" i="113"/>
  <c r="BO10" i="113"/>
  <c r="CG10" i="113" s="1"/>
  <c r="CP10" i="113" s="1"/>
  <c r="BN10" i="113"/>
  <c r="CF10" i="113" s="1"/>
  <c r="CO10" i="113" s="1"/>
  <c r="BM10" i="113"/>
  <c r="CE10" i="113" s="1"/>
  <c r="BL10" i="113"/>
  <c r="CD10" i="113" s="1"/>
  <c r="CM10" i="113" s="1"/>
  <c r="BK10" i="113"/>
  <c r="CC10" i="113" s="1"/>
  <c r="BJ10" i="113"/>
  <c r="CB10" i="113" s="1"/>
  <c r="BI10" i="113"/>
  <c r="CA10" i="113" s="1"/>
  <c r="CJ10" i="113" s="1"/>
  <c r="BG10" i="113"/>
  <c r="BF10" i="113"/>
  <c r="BE10" i="113"/>
  <c r="BD10" i="113"/>
  <c r="BC10" i="113"/>
  <c r="BB10" i="113"/>
  <c r="BA10" i="113"/>
  <c r="AZ10" i="113"/>
  <c r="A10" i="113"/>
  <c r="A11" i="113" s="1"/>
  <c r="A12" i="113" s="1"/>
  <c r="A13" i="113" s="1"/>
  <c r="A14" i="113" s="1"/>
  <c r="A15" i="113" s="1"/>
  <c r="A16" i="113" s="1"/>
  <c r="A17" i="113" s="1"/>
  <c r="A18" i="113" s="1"/>
  <c r="A19" i="113" s="1"/>
  <c r="A20" i="113" s="1"/>
  <c r="A21" i="113" s="1"/>
  <c r="A22" i="113" s="1"/>
  <c r="A23" i="113" s="1"/>
  <c r="A24" i="113" s="1"/>
  <c r="A25" i="113" s="1"/>
  <c r="A26" i="113" s="1"/>
  <c r="A27" i="113" s="1"/>
  <c r="A28" i="113" s="1"/>
  <c r="A29" i="113" s="1"/>
  <c r="A30" i="113" s="1"/>
  <c r="A31" i="113" s="1"/>
  <c r="A32" i="113" s="1"/>
  <c r="A33" i="113" s="1"/>
  <c r="A34" i="113" s="1"/>
  <c r="A35" i="113" s="1"/>
  <c r="A36" i="113" s="1"/>
  <c r="A37" i="113" s="1"/>
  <c r="A38" i="113" s="1"/>
  <c r="A39" i="113" s="1"/>
  <c r="A40" i="113" s="1"/>
  <c r="A41" i="113" s="1"/>
  <c r="A42" i="113" s="1"/>
  <c r="A43" i="113" s="1"/>
  <c r="A44" i="113" s="1"/>
  <c r="A45" i="113" s="1"/>
  <c r="A46" i="113" s="1"/>
  <c r="DN9" i="113"/>
  <c r="DM9" i="113"/>
  <c r="DL9" i="113"/>
  <c r="DK9" i="113"/>
  <c r="DJ9" i="113"/>
  <c r="DI9" i="113"/>
  <c r="DH9" i="113"/>
  <c r="DG9" i="113"/>
  <c r="DF9" i="113"/>
  <c r="DB9" i="113"/>
  <c r="DA9" i="113"/>
  <c r="CZ9" i="113"/>
  <c r="CY9" i="113"/>
  <c r="CX9" i="113"/>
  <c r="CW9" i="113"/>
  <c r="CV9" i="113"/>
  <c r="CU9" i="113"/>
  <c r="CE9" i="113"/>
  <c r="CN9" i="113" s="1"/>
  <c r="BY9" i="113"/>
  <c r="BX9" i="113"/>
  <c r="BW9" i="113"/>
  <c r="BV9" i="113"/>
  <c r="BU9" i="113"/>
  <c r="BT9" i="113"/>
  <c r="BS9" i="113"/>
  <c r="BR9" i="113"/>
  <c r="BP9" i="113"/>
  <c r="CH9" i="113" s="1"/>
  <c r="CQ9" i="113" s="1"/>
  <c r="BO9" i="113"/>
  <c r="CG9" i="113" s="1"/>
  <c r="CP9" i="113" s="1"/>
  <c r="BN9" i="113"/>
  <c r="CF9" i="113" s="1"/>
  <c r="BM9" i="113"/>
  <c r="BL9" i="113"/>
  <c r="CD9" i="113" s="1"/>
  <c r="BK9" i="113"/>
  <c r="CC9" i="113" s="1"/>
  <c r="CL9" i="113" s="1"/>
  <c r="BJ9" i="113"/>
  <c r="CB9" i="113" s="1"/>
  <c r="BI9" i="113"/>
  <c r="CA9" i="113" s="1"/>
  <c r="BG9" i="113"/>
  <c r="BF9" i="113"/>
  <c r="BE9" i="113"/>
  <c r="BD9" i="113"/>
  <c r="BC9" i="113"/>
  <c r="BB9" i="113"/>
  <c r="BA9" i="113"/>
  <c r="AZ9" i="113"/>
  <c r="Q5" i="113"/>
  <c r="CR3" i="113"/>
  <c r="AO9" i="111"/>
  <c r="AP9" i="111"/>
  <c r="AQ9" i="111"/>
  <c r="AR9" i="111"/>
  <c r="AS9" i="111"/>
  <c r="AT9" i="111"/>
  <c r="AU9" i="111"/>
  <c r="AV9" i="111"/>
  <c r="AO10" i="111"/>
  <c r="AP10" i="111"/>
  <c r="AQ10" i="111"/>
  <c r="AR10" i="111"/>
  <c r="AS10" i="111"/>
  <c r="AT10" i="111"/>
  <c r="AU10" i="111"/>
  <c r="AV10" i="111"/>
  <c r="AO11" i="111"/>
  <c r="AP11" i="111"/>
  <c r="AQ11" i="111"/>
  <c r="AR11" i="111"/>
  <c r="AS11" i="111"/>
  <c r="AT11" i="111"/>
  <c r="AU11" i="111"/>
  <c r="AV11" i="111"/>
  <c r="AO12" i="111"/>
  <c r="AP12" i="111"/>
  <c r="AQ12" i="111"/>
  <c r="AR12" i="111"/>
  <c r="AS12" i="111"/>
  <c r="AT12" i="111"/>
  <c r="AU12" i="111"/>
  <c r="AV12" i="111"/>
  <c r="AO13" i="111"/>
  <c r="AP13" i="111"/>
  <c r="AQ13" i="111"/>
  <c r="AR13" i="111"/>
  <c r="AS13" i="111"/>
  <c r="AT13" i="111"/>
  <c r="AU13" i="111"/>
  <c r="AV13" i="111"/>
  <c r="AO14" i="111"/>
  <c r="AP14" i="111"/>
  <c r="AQ14" i="111"/>
  <c r="AR14" i="111"/>
  <c r="AS14" i="111"/>
  <c r="AT14" i="111"/>
  <c r="AU14" i="111"/>
  <c r="AV14" i="111"/>
  <c r="AO15" i="111"/>
  <c r="AP15" i="111"/>
  <c r="AQ15" i="111"/>
  <c r="AR15" i="111"/>
  <c r="AS15" i="111"/>
  <c r="AT15" i="111"/>
  <c r="AU15" i="111"/>
  <c r="AV15" i="111"/>
  <c r="AO16" i="111"/>
  <c r="AP16" i="111"/>
  <c r="AQ16" i="111"/>
  <c r="AR16" i="111"/>
  <c r="AS16" i="111"/>
  <c r="AT16" i="111"/>
  <c r="AU16" i="111"/>
  <c r="AV16" i="111"/>
  <c r="AO17" i="111"/>
  <c r="AP17" i="111"/>
  <c r="AQ17" i="111"/>
  <c r="AR17" i="111"/>
  <c r="AS17" i="111"/>
  <c r="AT17" i="111"/>
  <c r="AU17" i="111"/>
  <c r="AV17" i="111"/>
  <c r="AO18" i="111"/>
  <c r="AP18" i="111"/>
  <c r="AQ18" i="111"/>
  <c r="AR18" i="111"/>
  <c r="AS18" i="111"/>
  <c r="AT18" i="111"/>
  <c r="AU18" i="111"/>
  <c r="AV18" i="111"/>
  <c r="AO19" i="111"/>
  <c r="AP19" i="111"/>
  <c r="AQ19" i="111"/>
  <c r="AR19" i="111"/>
  <c r="AS19" i="111"/>
  <c r="AT19" i="111"/>
  <c r="AU19" i="111"/>
  <c r="AV19" i="111"/>
  <c r="AO20" i="111"/>
  <c r="AP20" i="111"/>
  <c r="AQ20" i="111"/>
  <c r="AR20" i="111"/>
  <c r="AS20" i="111"/>
  <c r="AT20" i="111"/>
  <c r="AU20" i="111"/>
  <c r="AV20" i="111"/>
  <c r="AO21" i="111"/>
  <c r="AP21" i="111"/>
  <c r="AQ21" i="111"/>
  <c r="AR21" i="111"/>
  <c r="AS21" i="111"/>
  <c r="AT21" i="111"/>
  <c r="AU21" i="111"/>
  <c r="AV21" i="111"/>
  <c r="AO22" i="111"/>
  <c r="AP22" i="111"/>
  <c r="AQ22" i="111"/>
  <c r="AR22" i="111"/>
  <c r="AS22" i="111"/>
  <c r="AT22" i="111"/>
  <c r="AU22" i="111"/>
  <c r="AV22" i="111"/>
  <c r="AO23" i="111"/>
  <c r="AP23" i="111"/>
  <c r="AQ23" i="111"/>
  <c r="AR23" i="111"/>
  <c r="AS23" i="111"/>
  <c r="AT23" i="111"/>
  <c r="AU23" i="111"/>
  <c r="AV23" i="111"/>
  <c r="AO24" i="111"/>
  <c r="AP24" i="111"/>
  <c r="AQ24" i="111"/>
  <c r="AR24" i="111"/>
  <c r="AS24" i="111"/>
  <c r="AT24" i="111"/>
  <c r="AU24" i="111"/>
  <c r="AV24" i="111"/>
  <c r="AO25" i="111"/>
  <c r="AP25" i="111"/>
  <c r="AQ25" i="111"/>
  <c r="AR25" i="111"/>
  <c r="AS25" i="111"/>
  <c r="AT25" i="111"/>
  <c r="AU25" i="111"/>
  <c r="AV25" i="111"/>
  <c r="AO26" i="111"/>
  <c r="AP26" i="111"/>
  <c r="AQ26" i="111"/>
  <c r="AR26" i="111"/>
  <c r="AS26" i="111"/>
  <c r="AT26" i="111"/>
  <c r="AU26" i="111"/>
  <c r="AV26" i="111"/>
  <c r="AO27" i="111"/>
  <c r="AP27" i="111"/>
  <c r="AQ27" i="111"/>
  <c r="AR27" i="111"/>
  <c r="AS27" i="111"/>
  <c r="AT27" i="111"/>
  <c r="AU27" i="111"/>
  <c r="AV27" i="111"/>
  <c r="AO28" i="111"/>
  <c r="AP28" i="111"/>
  <c r="AQ28" i="111"/>
  <c r="AR28" i="111"/>
  <c r="AS28" i="111"/>
  <c r="AT28" i="111"/>
  <c r="AU28" i="111"/>
  <c r="AV28" i="111"/>
  <c r="AO29" i="111"/>
  <c r="AP29" i="111"/>
  <c r="AQ29" i="111"/>
  <c r="AR29" i="111"/>
  <c r="AS29" i="111"/>
  <c r="AT29" i="111"/>
  <c r="AU29" i="111"/>
  <c r="AV29" i="111"/>
  <c r="AO30" i="111"/>
  <c r="AP30" i="111"/>
  <c r="AQ30" i="111"/>
  <c r="AR30" i="111"/>
  <c r="AS30" i="111"/>
  <c r="AT30" i="111"/>
  <c r="AU30" i="111"/>
  <c r="AV30" i="111"/>
  <c r="AO31" i="111"/>
  <c r="AP31" i="111"/>
  <c r="AQ31" i="111"/>
  <c r="AR31" i="111"/>
  <c r="AS31" i="111"/>
  <c r="AT31" i="111"/>
  <c r="AU31" i="111"/>
  <c r="AV31" i="111"/>
  <c r="AO32" i="111"/>
  <c r="AP32" i="111"/>
  <c r="AQ32" i="111"/>
  <c r="AR32" i="111"/>
  <c r="AS32" i="111"/>
  <c r="AT32" i="111"/>
  <c r="AU32" i="111"/>
  <c r="AV32" i="111"/>
  <c r="AO33" i="111"/>
  <c r="AP33" i="111"/>
  <c r="AQ33" i="111"/>
  <c r="AR33" i="111"/>
  <c r="AS33" i="111"/>
  <c r="AT33" i="111"/>
  <c r="AU33" i="111"/>
  <c r="AV33" i="111"/>
  <c r="AO34" i="111"/>
  <c r="AP34" i="111"/>
  <c r="AQ34" i="111"/>
  <c r="AR34" i="111"/>
  <c r="AS34" i="111"/>
  <c r="AT34" i="111"/>
  <c r="AU34" i="111"/>
  <c r="AV34" i="111"/>
  <c r="AO35" i="111"/>
  <c r="AP35" i="111"/>
  <c r="AQ35" i="111"/>
  <c r="AR35" i="111"/>
  <c r="AS35" i="111"/>
  <c r="AT35" i="111"/>
  <c r="AU35" i="111"/>
  <c r="AV35" i="111"/>
  <c r="AO36" i="111"/>
  <c r="AP36" i="111"/>
  <c r="AQ36" i="111"/>
  <c r="AR36" i="111"/>
  <c r="AS36" i="111"/>
  <c r="AT36" i="111"/>
  <c r="AU36" i="111"/>
  <c r="AV36" i="111"/>
  <c r="AO37" i="111"/>
  <c r="AP37" i="111"/>
  <c r="AQ37" i="111"/>
  <c r="AR37" i="111"/>
  <c r="AS37" i="111"/>
  <c r="AT37" i="111"/>
  <c r="AU37" i="111"/>
  <c r="AV37" i="111"/>
  <c r="AO38" i="111"/>
  <c r="AP38" i="111"/>
  <c r="AQ38" i="111"/>
  <c r="AR38" i="111"/>
  <c r="AS38" i="111"/>
  <c r="AT38" i="111"/>
  <c r="AU38" i="111"/>
  <c r="AV38" i="111"/>
  <c r="AO39" i="111"/>
  <c r="AP39" i="111"/>
  <c r="AQ39" i="111"/>
  <c r="AR39" i="111"/>
  <c r="AS39" i="111"/>
  <c r="AT39" i="111"/>
  <c r="AU39" i="111"/>
  <c r="AV39" i="111"/>
  <c r="AO40" i="111"/>
  <c r="AP40" i="111"/>
  <c r="AQ40" i="111"/>
  <c r="AR40" i="111"/>
  <c r="AS40" i="111"/>
  <c r="AT40" i="111"/>
  <c r="AU40" i="111"/>
  <c r="AV40" i="111"/>
  <c r="AO41" i="111"/>
  <c r="AP41" i="111"/>
  <c r="AQ41" i="111"/>
  <c r="AR41" i="111"/>
  <c r="AS41" i="111"/>
  <c r="AT41" i="111"/>
  <c r="AU41" i="111"/>
  <c r="AV41" i="111"/>
  <c r="AO42" i="111"/>
  <c r="AP42" i="111"/>
  <c r="AQ42" i="111"/>
  <c r="AR42" i="111"/>
  <c r="AS42" i="111"/>
  <c r="AT42" i="111"/>
  <c r="AU42" i="111"/>
  <c r="AV42" i="111"/>
  <c r="AO43" i="111"/>
  <c r="AP43" i="111"/>
  <c r="AQ43" i="111"/>
  <c r="AR43" i="111"/>
  <c r="AS43" i="111"/>
  <c r="AT43" i="111"/>
  <c r="AU43" i="111"/>
  <c r="AV43" i="111"/>
  <c r="AO44" i="111"/>
  <c r="AP44" i="111"/>
  <c r="AQ44" i="111"/>
  <c r="AR44" i="111"/>
  <c r="AS44" i="111"/>
  <c r="AT44" i="111"/>
  <c r="AU44" i="111"/>
  <c r="AV44" i="111"/>
  <c r="AO45" i="111"/>
  <c r="AP45" i="111"/>
  <c r="AQ45" i="111"/>
  <c r="AR45" i="111"/>
  <c r="AS45" i="111"/>
  <c r="AT45" i="111"/>
  <c r="AU45" i="111"/>
  <c r="AV45" i="111"/>
  <c r="AO46" i="111"/>
  <c r="AP46" i="111"/>
  <c r="AQ46" i="111"/>
  <c r="AR46" i="111"/>
  <c r="AS46" i="111"/>
  <c r="AT46" i="111"/>
  <c r="AU46" i="111"/>
  <c r="AV46" i="111"/>
  <c r="A10" i="111"/>
  <c r="A11" i="111" s="1"/>
  <c r="A12" i="111" s="1"/>
  <c r="A13" i="111" s="1"/>
  <c r="A14" i="111" s="1"/>
  <c r="A15" i="111" s="1"/>
  <c r="A16" i="111" s="1"/>
  <c r="A17" i="111" s="1"/>
  <c r="A18" i="111" s="1"/>
  <c r="A19" i="111" s="1"/>
  <c r="A20" i="111" s="1"/>
  <c r="A21" i="111" s="1"/>
  <c r="A22" i="111" s="1"/>
  <c r="A23" i="111" s="1"/>
  <c r="A24" i="111" s="1"/>
  <c r="A25" i="111" s="1"/>
  <c r="A26" i="111" s="1"/>
  <c r="A27" i="111" s="1"/>
  <c r="A28" i="111" s="1"/>
  <c r="A29" i="111" s="1"/>
  <c r="A30" i="111" s="1"/>
  <c r="A31" i="111" s="1"/>
  <c r="A32" i="111" s="1"/>
  <c r="A33" i="111" s="1"/>
  <c r="A34" i="111" s="1"/>
  <c r="A35" i="111" s="1"/>
  <c r="A36" i="111" s="1"/>
  <c r="A37" i="111" s="1"/>
  <c r="A38" i="111" s="1"/>
  <c r="A39" i="111" s="1"/>
  <c r="A40" i="111" s="1"/>
  <c r="A41" i="111" s="1"/>
  <c r="A42" i="111" s="1"/>
  <c r="A43" i="111" s="1"/>
  <c r="A44" i="111" s="1"/>
  <c r="A45" i="111" s="1"/>
  <c r="A46" i="111" s="1"/>
  <c r="F5" i="111"/>
  <c r="O15" i="109"/>
  <c r="D20" i="121" l="1"/>
  <c r="B20" i="121" s="1"/>
  <c r="D79" i="121" s="1"/>
  <c r="D16" i="121"/>
  <c r="B16" i="121" s="1"/>
  <c r="D75" i="121" s="1"/>
  <c r="L18" i="121"/>
  <c r="V18" i="121"/>
  <c r="M18" i="121" s="1"/>
  <c r="L23" i="121"/>
  <c r="V23" i="121"/>
  <c r="M23" i="121" s="1"/>
  <c r="L22" i="121"/>
  <c r="V22" i="121"/>
  <c r="M22" i="121" s="1"/>
  <c r="D21" i="121"/>
  <c r="B21" i="121" s="1"/>
  <c r="D80" i="121" s="1"/>
  <c r="D9" i="121"/>
  <c r="B9" i="121" s="1"/>
  <c r="D68" i="121" s="1"/>
  <c r="V14" i="121"/>
  <c r="M14" i="121" s="1"/>
  <c r="L14" i="121"/>
  <c r="U11" i="121"/>
  <c r="K11" i="121"/>
  <c r="U10" i="121"/>
  <c r="K10" i="121"/>
  <c r="V13" i="121"/>
  <c r="M13" i="121" s="1"/>
  <c r="L13" i="121"/>
  <c r="V12" i="121"/>
  <c r="M12" i="121" s="1"/>
  <c r="L12" i="121"/>
  <c r="Q27" i="119"/>
  <c r="G27" i="119"/>
  <c r="P18" i="119"/>
  <c r="G35" i="119"/>
  <c r="Q28" i="119"/>
  <c r="AK23" i="119"/>
  <c r="AA23" i="119"/>
  <c r="G42" i="119"/>
  <c r="AK36" i="119"/>
  <c r="AA36" i="119"/>
  <c r="AK45" i="119"/>
  <c r="AA45" i="119"/>
  <c r="H11" i="119"/>
  <c r="G12" i="119"/>
  <c r="P9" i="119"/>
  <c r="Q9" i="119" s="1"/>
  <c r="P38" i="119"/>
  <c r="Q38" i="119" s="1"/>
  <c r="P20" i="119"/>
  <c r="G20" i="119" s="1"/>
  <c r="AC44" i="119"/>
  <c r="AC39" i="119"/>
  <c r="AC35" i="119"/>
  <c r="AC42" i="119"/>
  <c r="AC30" i="119"/>
  <c r="AC25" i="119"/>
  <c r="AC28" i="119"/>
  <c r="AC33" i="119"/>
  <c r="AC34" i="119"/>
  <c r="AC20" i="119"/>
  <c r="AC13" i="119"/>
  <c r="AC16" i="119"/>
  <c r="AC43" i="119"/>
  <c r="AC11" i="119"/>
  <c r="AC21" i="119"/>
  <c r="AC12" i="119"/>
  <c r="AC24" i="119"/>
  <c r="AC17" i="119"/>
  <c r="U5" i="119"/>
  <c r="AC46" i="119"/>
  <c r="R28" i="119"/>
  <c r="H28" i="119"/>
  <c r="Q44" i="119"/>
  <c r="G44" i="119"/>
  <c r="P32" i="119"/>
  <c r="Q30" i="119"/>
  <c r="G30" i="119"/>
  <c r="AK19" i="119"/>
  <c r="AA19" i="119"/>
  <c r="R12" i="119"/>
  <c r="H12" i="119"/>
  <c r="S11" i="119"/>
  <c r="I11" i="119"/>
  <c r="AK37" i="119"/>
  <c r="AA37" i="119"/>
  <c r="AK40" i="119"/>
  <c r="AA40" i="119"/>
  <c r="AK15" i="119"/>
  <c r="AA15" i="119"/>
  <c r="P17" i="119"/>
  <c r="R22" i="119"/>
  <c r="H22" i="119"/>
  <c r="R15" i="119"/>
  <c r="H15" i="119"/>
  <c r="Q20" i="119"/>
  <c r="Q23" i="119"/>
  <c r="G23" i="119"/>
  <c r="G45" i="119"/>
  <c r="Q45" i="119"/>
  <c r="G14" i="119"/>
  <c r="Q14" i="119"/>
  <c r="AK31" i="119"/>
  <c r="AA31" i="119"/>
  <c r="AK9" i="119"/>
  <c r="AA9" i="119"/>
  <c r="AK22" i="119"/>
  <c r="AA22" i="119"/>
  <c r="P29" i="119"/>
  <c r="R35" i="119"/>
  <c r="H35" i="119"/>
  <c r="R42" i="119"/>
  <c r="H42" i="119"/>
  <c r="Q36" i="119"/>
  <c r="G36" i="119"/>
  <c r="R37" i="119"/>
  <c r="H37" i="119"/>
  <c r="R16" i="119"/>
  <c r="H16" i="119"/>
  <c r="P13" i="119"/>
  <c r="R33" i="119"/>
  <c r="H33" i="119"/>
  <c r="Q10" i="119"/>
  <c r="G10" i="119"/>
  <c r="AK10" i="119"/>
  <c r="AA10" i="119"/>
  <c r="P46" i="119"/>
  <c r="AK18" i="119"/>
  <c r="AA18" i="119"/>
  <c r="AK14" i="119"/>
  <c r="AA14" i="119"/>
  <c r="P34" i="119"/>
  <c r="AK41" i="119"/>
  <c r="AA41" i="119"/>
  <c r="AK26" i="119"/>
  <c r="AA26" i="119"/>
  <c r="R19" i="119"/>
  <c r="H19" i="119"/>
  <c r="Q43" i="119"/>
  <c r="G43" i="119"/>
  <c r="G31" i="119"/>
  <c r="Q31" i="119"/>
  <c r="G9" i="119"/>
  <c r="P40" i="119"/>
  <c r="P21" i="119"/>
  <c r="G41" i="119"/>
  <c r="Q41" i="119"/>
  <c r="R27" i="119"/>
  <c r="H27" i="119"/>
  <c r="G26" i="119"/>
  <c r="Q26" i="119"/>
  <c r="AK38" i="119"/>
  <c r="AA38" i="119"/>
  <c r="AK29" i="119"/>
  <c r="AA29" i="119"/>
  <c r="AK32" i="119"/>
  <c r="AA32" i="119"/>
  <c r="P39" i="119"/>
  <c r="AK27" i="119"/>
  <c r="AA27" i="119"/>
  <c r="R25" i="119"/>
  <c r="H25" i="119"/>
  <c r="R24" i="119"/>
  <c r="H24" i="119"/>
  <c r="P22" i="118"/>
  <c r="G32" i="118"/>
  <c r="G10" i="118"/>
  <c r="Q22" i="118"/>
  <c r="G22" i="118"/>
  <c r="Q35" i="118"/>
  <c r="G35" i="118"/>
  <c r="Q40" i="118"/>
  <c r="G40" i="118"/>
  <c r="Q29" i="118"/>
  <c r="G29" i="118"/>
  <c r="G24" i="118"/>
  <c r="Q24" i="118"/>
  <c r="AL11" i="118"/>
  <c r="AB11" i="118"/>
  <c r="R10" i="118"/>
  <c r="H10" i="118"/>
  <c r="G45" i="118"/>
  <c r="Q45" i="118"/>
  <c r="AK18" i="118"/>
  <c r="AA18" i="118"/>
  <c r="AK24" i="118"/>
  <c r="AA24" i="118"/>
  <c r="R46" i="118"/>
  <c r="H46" i="118"/>
  <c r="G14" i="118"/>
  <c r="Q14" i="118"/>
  <c r="G16" i="118"/>
  <c r="Q16" i="118"/>
  <c r="AK19" i="118"/>
  <c r="AA19" i="118"/>
  <c r="H9" i="118"/>
  <c r="R9" i="118"/>
  <c r="R44" i="118"/>
  <c r="H44" i="118"/>
  <c r="R15" i="118"/>
  <c r="H15" i="118"/>
  <c r="Q38" i="118"/>
  <c r="G38" i="118"/>
  <c r="AK26" i="118"/>
  <c r="AA26" i="118"/>
  <c r="Q21" i="118"/>
  <c r="G21" i="118"/>
  <c r="R42" i="118"/>
  <c r="H42" i="118"/>
  <c r="R43" i="118"/>
  <c r="H43" i="118"/>
  <c r="R39" i="118"/>
  <c r="H39" i="118"/>
  <c r="AD44" i="118"/>
  <c r="AD36" i="118"/>
  <c r="AD39" i="118"/>
  <c r="AD42" i="118"/>
  <c r="AD45" i="118"/>
  <c r="AD37" i="118"/>
  <c r="AD40" i="118"/>
  <c r="AD43" i="118"/>
  <c r="AD46" i="118"/>
  <c r="AD38" i="118"/>
  <c r="AD41" i="118"/>
  <c r="AD31" i="118"/>
  <c r="AD34" i="118"/>
  <c r="AD29" i="118"/>
  <c r="AD32" i="118"/>
  <c r="AD35" i="118"/>
  <c r="AD30" i="118"/>
  <c r="AD23" i="118"/>
  <c r="AD21" i="118"/>
  <c r="AD20" i="118"/>
  <c r="AD17" i="118"/>
  <c r="AD15" i="118"/>
  <c r="AD16" i="118"/>
  <c r="AD13" i="118"/>
  <c r="V5" i="118"/>
  <c r="R28" i="118"/>
  <c r="H28" i="118"/>
  <c r="AK33" i="118"/>
  <c r="AA33" i="118"/>
  <c r="R34" i="118"/>
  <c r="H34" i="118"/>
  <c r="G36" i="118"/>
  <c r="Q36" i="118"/>
  <c r="R31" i="118"/>
  <c r="H31" i="118"/>
  <c r="AK14" i="118"/>
  <c r="AA14" i="118"/>
  <c r="R30" i="118"/>
  <c r="H30" i="118"/>
  <c r="P26" i="118"/>
  <c r="AK27" i="118"/>
  <c r="AA27" i="118"/>
  <c r="AK25" i="118"/>
  <c r="AA25" i="118"/>
  <c r="AL9" i="118"/>
  <c r="AB9" i="118"/>
  <c r="Q20" i="118"/>
  <c r="G20" i="118"/>
  <c r="R27" i="118"/>
  <c r="H27" i="118"/>
  <c r="Q19" i="118"/>
  <c r="G19" i="118"/>
  <c r="AK28" i="118"/>
  <c r="AA28" i="118"/>
  <c r="R13" i="118"/>
  <c r="H13" i="118"/>
  <c r="H18" i="118"/>
  <c r="R18" i="118"/>
  <c r="AL12" i="118"/>
  <c r="AB12" i="118"/>
  <c r="P23" i="118"/>
  <c r="P33" i="118"/>
  <c r="G11" i="118"/>
  <c r="Q11" i="118"/>
  <c r="R12" i="118"/>
  <c r="H12" i="118"/>
  <c r="G37" i="118"/>
  <c r="Q37" i="118"/>
  <c r="AK22" i="118"/>
  <c r="AA22" i="118"/>
  <c r="Q41" i="118"/>
  <c r="G41" i="118"/>
  <c r="R17" i="118"/>
  <c r="H17" i="118"/>
  <c r="P25" i="118"/>
  <c r="AL10" i="118"/>
  <c r="AB10" i="118"/>
  <c r="R32" i="118"/>
  <c r="H32" i="118"/>
  <c r="Q29" i="117"/>
  <c r="G29" i="117"/>
  <c r="G20" i="117"/>
  <c r="G13" i="117"/>
  <c r="Q14" i="117"/>
  <c r="G35" i="117"/>
  <c r="Q10" i="117"/>
  <c r="R10" i="117" s="1"/>
  <c r="AK35" i="117"/>
  <c r="AA35" i="117"/>
  <c r="AK21" i="117"/>
  <c r="AA21" i="117"/>
  <c r="G41" i="117"/>
  <c r="P18" i="117"/>
  <c r="Q18" i="117" s="1"/>
  <c r="AK32" i="117"/>
  <c r="AA32" i="117"/>
  <c r="AK33" i="117"/>
  <c r="AA33" i="117"/>
  <c r="AK9" i="117"/>
  <c r="AA9" i="117"/>
  <c r="AK24" i="117"/>
  <c r="AA24" i="117"/>
  <c r="P26" i="117"/>
  <c r="Q32" i="117"/>
  <c r="G32" i="117"/>
  <c r="R12" i="117"/>
  <c r="H12" i="117"/>
  <c r="AK43" i="117"/>
  <c r="AA43" i="117"/>
  <c r="P24" i="117"/>
  <c r="P44" i="117"/>
  <c r="AK25" i="117"/>
  <c r="AA25" i="117"/>
  <c r="G39" i="117"/>
  <c r="Q39" i="117"/>
  <c r="AK23" i="117"/>
  <c r="AA23" i="117"/>
  <c r="AK46" i="117"/>
  <c r="AA46" i="117"/>
  <c r="Q22" i="117"/>
  <c r="G22" i="117"/>
  <c r="AC44" i="117"/>
  <c r="AC41" i="117"/>
  <c r="AC36" i="117"/>
  <c r="AC39" i="117"/>
  <c r="AC42" i="117"/>
  <c r="AC27" i="117"/>
  <c r="AC34" i="117"/>
  <c r="AC29" i="117"/>
  <c r="AC28" i="117"/>
  <c r="AC18" i="117"/>
  <c r="AC16" i="117"/>
  <c r="AC37" i="117"/>
  <c r="AC19" i="117"/>
  <c r="AC17" i="117"/>
  <c r="AC20" i="117"/>
  <c r="AC13" i="117"/>
  <c r="AC15" i="117"/>
  <c r="AC11" i="117"/>
  <c r="AC12" i="117"/>
  <c r="AC14" i="117"/>
  <c r="AC10" i="117"/>
  <c r="U5" i="117"/>
  <c r="R42" i="117"/>
  <c r="H42" i="117"/>
  <c r="R31" i="117"/>
  <c r="H31" i="117"/>
  <c r="R35" i="117"/>
  <c r="H35" i="117"/>
  <c r="Q17" i="117"/>
  <c r="G17" i="117"/>
  <c r="G33" i="117"/>
  <c r="Q33" i="117"/>
  <c r="G36" i="117"/>
  <c r="Q36" i="117"/>
  <c r="R23" i="117"/>
  <c r="H23" i="117"/>
  <c r="AK38" i="117"/>
  <c r="AA38" i="117"/>
  <c r="Q27" i="117"/>
  <c r="G27" i="117"/>
  <c r="R21" i="117"/>
  <c r="H21" i="117"/>
  <c r="AK22" i="117"/>
  <c r="AA22" i="117"/>
  <c r="P46" i="117"/>
  <c r="AK31" i="117"/>
  <c r="AA31" i="117"/>
  <c r="R30" i="117"/>
  <c r="H30" i="117"/>
  <c r="R37" i="117"/>
  <c r="H37" i="117"/>
  <c r="AK26" i="117"/>
  <c r="AA26" i="117"/>
  <c r="Q15" i="117"/>
  <c r="G15" i="117"/>
  <c r="R28" i="117"/>
  <c r="H28" i="117"/>
  <c r="AK30" i="117"/>
  <c r="AA30" i="117"/>
  <c r="R14" i="117"/>
  <c r="H14" i="117"/>
  <c r="R13" i="117"/>
  <c r="H13" i="117"/>
  <c r="Q9" i="117"/>
  <c r="G9" i="117"/>
  <c r="AK45" i="117"/>
  <c r="AA45" i="117"/>
  <c r="R40" i="117"/>
  <c r="H40" i="117"/>
  <c r="AK40" i="117"/>
  <c r="AA40" i="117"/>
  <c r="P34" i="117"/>
  <c r="Q38" i="117"/>
  <c r="G38" i="117"/>
  <c r="R25" i="117"/>
  <c r="H25" i="117"/>
  <c r="R16" i="117"/>
  <c r="H16" i="117"/>
  <c r="P43" i="117"/>
  <c r="R29" i="117"/>
  <c r="H29" i="117"/>
  <c r="R19" i="117"/>
  <c r="H19" i="117"/>
  <c r="Q11" i="117"/>
  <c r="G11" i="117"/>
  <c r="R45" i="117"/>
  <c r="H45" i="117"/>
  <c r="R20" i="117"/>
  <c r="H20" i="117"/>
  <c r="R41" i="117"/>
  <c r="H41" i="117"/>
  <c r="Z23" i="113"/>
  <c r="Z39" i="113"/>
  <c r="AA28" i="113"/>
  <c r="AH23" i="113"/>
  <c r="Y23" i="113" s="1"/>
  <c r="CA11" i="113"/>
  <c r="CK40" i="113"/>
  <c r="CP28" i="113"/>
  <c r="AH41" i="113"/>
  <c r="Y41" i="113" s="1"/>
  <c r="CL13" i="113"/>
  <c r="AS13" i="113" s="1"/>
  <c r="AH21" i="113"/>
  <c r="Y21" i="113" s="1"/>
  <c r="CX67" i="113"/>
  <c r="CX55" i="113"/>
  <c r="CX52" i="113"/>
  <c r="CP11" i="113"/>
  <c r="CK10" i="113"/>
  <c r="AH15" i="113"/>
  <c r="CP24" i="113"/>
  <c r="CZ59" i="113"/>
  <c r="CZ52" i="113"/>
  <c r="CL36" i="113"/>
  <c r="BP59" i="113"/>
  <c r="BP67" i="113"/>
  <c r="BP63" i="113"/>
  <c r="CH44" i="113"/>
  <c r="CQ44" i="113" s="1"/>
  <c r="BY59" i="113"/>
  <c r="BY52" i="113"/>
  <c r="BY67" i="113"/>
  <c r="BY55" i="113"/>
  <c r="CJ9" i="113"/>
  <c r="CL10" i="113"/>
  <c r="CQ11" i="113"/>
  <c r="CL14" i="113"/>
  <c r="CK14" i="113"/>
  <c r="CP15" i="113"/>
  <c r="CP16" i="113"/>
  <c r="AH19" i="113"/>
  <c r="Y19" i="113" s="1"/>
  <c r="CJ19" i="113"/>
  <c r="CO20" i="113"/>
  <c r="CL23" i="113"/>
  <c r="CQ24" i="113"/>
  <c r="AH25" i="113"/>
  <c r="Y25" i="113" s="1"/>
  <c r="AH28" i="113"/>
  <c r="Y28" i="113" s="1"/>
  <c r="CJ28" i="113"/>
  <c r="AH33" i="113"/>
  <c r="Y33" i="113" s="1"/>
  <c r="CJ33" i="113"/>
  <c r="CP34" i="113"/>
  <c r="AH36" i="113"/>
  <c r="CL40" i="113"/>
  <c r="CQ41" i="113"/>
  <c r="CO42" i="113"/>
  <c r="CL43" i="113"/>
  <c r="AH46" i="113"/>
  <c r="Y46" i="113" s="1"/>
  <c r="CN10" i="113"/>
  <c r="CN14" i="113"/>
  <c r="CJ16" i="113"/>
  <c r="CL19" i="113"/>
  <c r="CQ20" i="113"/>
  <c r="AX20" i="113" s="1"/>
  <c r="CN24" i="113"/>
  <c r="CO27" i="113"/>
  <c r="CO30" i="113"/>
  <c r="CM34" i="113"/>
  <c r="AH43" i="113"/>
  <c r="Y43" i="113" s="1"/>
  <c r="DA55" i="113"/>
  <c r="DA59" i="113"/>
  <c r="CB67" i="113"/>
  <c r="CK67" i="113" s="1"/>
  <c r="CM9" i="113"/>
  <c r="AH11" i="113"/>
  <c r="Y11" i="113" s="1"/>
  <c r="CO14" i="113"/>
  <c r="CK16" i="113"/>
  <c r="AH22" i="113"/>
  <c r="Y22" i="113" s="1"/>
  <c r="CO23" i="113"/>
  <c r="AH30" i="113"/>
  <c r="CQ32" i="113"/>
  <c r="CM33" i="113"/>
  <c r="CQ35" i="113"/>
  <c r="BJ55" i="113"/>
  <c r="BJ63" i="113"/>
  <c r="BJ59" i="113"/>
  <c r="CB59" i="113" s="1"/>
  <c r="BS55" i="113"/>
  <c r="BS59" i="113"/>
  <c r="DB67" i="113"/>
  <c r="DB63" i="113"/>
  <c r="AH13" i="113"/>
  <c r="Y13" i="113" s="1"/>
  <c r="AH14" i="113"/>
  <c r="Y14" i="113" s="1"/>
  <c r="AH17" i="113"/>
  <c r="Y17" i="113" s="1"/>
  <c r="CL22" i="113"/>
  <c r="CM26" i="113"/>
  <c r="CJ32" i="113"/>
  <c r="AH35" i="113"/>
  <c r="Y35" i="113" s="1"/>
  <c r="CJ35" i="113"/>
  <c r="CP37" i="113"/>
  <c r="CP40" i="113"/>
  <c r="AH42" i="113"/>
  <c r="Y42" i="113" s="1"/>
  <c r="CP43" i="113"/>
  <c r="BK55" i="113"/>
  <c r="BK63" i="113"/>
  <c r="BT55" i="113"/>
  <c r="BT67" i="113"/>
  <c r="BT63" i="113"/>
  <c r="CU55" i="113"/>
  <c r="CU67" i="113"/>
  <c r="CU63" i="113"/>
  <c r="BS63" i="113"/>
  <c r="CO9" i="113"/>
  <c r="CN11" i="113"/>
  <c r="CM16" i="113"/>
  <c r="CJ18" i="113"/>
  <c r="CL20" i="113"/>
  <c r="CQ23" i="113"/>
  <c r="CK25" i="113"/>
  <c r="CJ27" i="113"/>
  <c r="CJ30" i="113"/>
  <c r="CO31" i="113"/>
  <c r="CK32" i="113"/>
  <c r="CQ37" i="113"/>
  <c r="AH39" i="113"/>
  <c r="Y39" i="113" s="1"/>
  <c r="CQ40" i="113"/>
  <c r="CN41" i="113"/>
  <c r="CQ46" i="113"/>
  <c r="BI59" i="113"/>
  <c r="CJ14" i="113"/>
  <c r="CR14" i="113" s="1"/>
  <c r="CJ21" i="113"/>
  <c r="CN22" i="113"/>
  <c r="CN23" i="113"/>
  <c r="CO26" i="113"/>
  <c r="AH29" i="113"/>
  <c r="Y29" i="113" s="1"/>
  <c r="AH32" i="113"/>
  <c r="CP33" i="113"/>
  <c r="CN34" i="113"/>
  <c r="AH37" i="113"/>
  <c r="Y37" i="113" s="1"/>
  <c r="CO41" i="113"/>
  <c r="CJ43" i="113"/>
  <c r="CJ46" i="113"/>
  <c r="W12" i="113"/>
  <c r="AI13" i="113"/>
  <c r="AJ13" i="113" s="1"/>
  <c r="AK13" i="113" s="1"/>
  <c r="AL13" i="113" s="1"/>
  <c r="AM13" i="113" s="1"/>
  <c r="AN13" i="113" s="1"/>
  <c r="AI17" i="113"/>
  <c r="AJ17" i="113" s="1"/>
  <c r="AK17" i="113" s="1"/>
  <c r="AL17" i="113" s="1"/>
  <c r="AM17" i="113" s="1"/>
  <c r="AN17" i="113" s="1"/>
  <c r="CR17" i="113"/>
  <c r="AQ17" i="113"/>
  <c r="AI22" i="113"/>
  <c r="AJ22" i="113" s="1"/>
  <c r="AK22" i="113" s="1"/>
  <c r="AL22" i="113" s="1"/>
  <c r="AM22" i="113" s="1"/>
  <c r="AN22" i="113" s="1"/>
  <c r="CR13" i="113"/>
  <c r="AX13" i="113" s="1"/>
  <c r="AR17" i="113"/>
  <c r="AI23" i="113"/>
  <c r="AJ23" i="113" s="1"/>
  <c r="AK23" i="113" s="1"/>
  <c r="AL23" i="113" s="1"/>
  <c r="AM23" i="113" s="1"/>
  <c r="AN23" i="113" s="1"/>
  <c r="AI11" i="113"/>
  <c r="CR10" i="113"/>
  <c r="AW10" i="113" s="1"/>
  <c r="AQ10" i="113"/>
  <c r="AR13" i="113"/>
  <c r="AS17" i="113"/>
  <c r="AX10" i="113"/>
  <c r="AR10" i="113"/>
  <c r="AH18" i="113"/>
  <c r="Y18" i="113" s="1"/>
  <c r="CL21" i="113"/>
  <c r="AI24" i="113"/>
  <c r="AJ24" i="113" s="1"/>
  <c r="AK24" i="113" s="1"/>
  <c r="AL24" i="113" s="1"/>
  <c r="AM24" i="113" s="1"/>
  <c r="AN24" i="113" s="1"/>
  <c r="CR26" i="113"/>
  <c r="AR26" i="113" s="1"/>
  <c r="AS10" i="113"/>
  <c r="AS26" i="113"/>
  <c r="AI43" i="113"/>
  <c r="AJ43" i="113" s="1"/>
  <c r="AK43" i="113" s="1"/>
  <c r="AL43" i="113" s="1"/>
  <c r="AM43" i="113" s="1"/>
  <c r="AN43" i="113" s="1"/>
  <c r="AU26" i="113"/>
  <c r="AI29" i="113"/>
  <c r="AJ29" i="113" s="1"/>
  <c r="AK29" i="113" s="1"/>
  <c r="AL29" i="113" s="1"/>
  <c r="AM29" i="113" s="1"/>
  <c r="AN29" i="113" s="1"/>
  <c r="AI14" i="113"/>
  <c r="AJ14" i="113" s="1"/>
  <c r="AK14" i="113" s="1"/>
  <c r="AL14" i="113" s="1"/>
  <c r="AM14" i="113" s="1"/>
  <c r="AN14" i="113" s="1"/>
  <c r="CK9" i="113"/>
  <c r="CR9" i="113" s="1"/>
  <c r="CJ15" i="113"/>
  <c r="AH16" i="113"/>
  <c r="Y16" i="113" s="1"/>
  <c r="CR16" i="113"/>
  <c r="AX16" i="113" s="1"/>
  <c r="AU16" i="113"/>
  <c r="AH12" i="113"/>
  <c r="Y12" i="113" s="1"/>
  <c r="CR12" i="113"/>
  <c r="AX12" i="113" s="1"/>
  <c r="AX17" i="113"/>
  <c r="AI19" i="113"/>
  <c r="AJ19" i="113" s="1"/>
  <c r="AK19" i="113" s="1"/>
  <c r="AL19" i="113" s="1"/>
  <c r="AM19" i="113" s="1"/>
  <c r="AN19" i="113" s="1"/>
  <c r="AU10" i="113"/>
  <c r="CJ11" i="113"/>
  <c r="CR20" i="113"/>
  <c r="AT20" i="113" s="1"/>
  <c r="AH9" i="113"/>
  <c r="Y9" i="113" s="1"/>
  <c r="AH10" i="113"/>
  <c r="Y10" i="113" s="1"/>
  <c r="CR25" i="113"/>
  <c r="AQ25" i="113" s="1"/>
  <c r="AR16" i="113"/>
  <c r="AT17" i="113"/>
  <c r="CM18" i="113"/>
  <c r="AI21" i="113"/>
  <c r="AJ21" i="113" s="1"/>
  <c r="AK21" i="113" s="1"/>
  <c r="AL21" i="113" s="1"/>
  <c r="AM21" i="113" s="1"/>
  <c r="AN21" i="113" s="1"/>
  <c r="AV26" i="113"/>
  <c r="AI28" i="113"/>
  <c r="AJ28" i="113" s="1"/>
  <c r="AK28" i="113" s="1"/>
  <c r="AL28" i="113" s="1"/>
  <c r="AM28" i="113" s="1"/>
  <c r="AN28" i="113" s="1"/>
  <c r="AH31" i="113"/>
  <c r="Y31" i="113" s="1"/>
  <c r="AS16" i="113"/>
  <c r="AU17" i="113"/>
  <c r="CN19" i="113"/>
  <c r="CR19" i="113" s="1"/>
  <c r="CN21" i="113"/>
  <c r="CO22" i="113"/>
  <c r="CR22" i="113" s="1"/>
  <c r="CM25" i="113"/>
  <c r="AV17" i="113"/>
  <c r="CJ24" i="113"/>
  <c r="CL34" i="113"/>
  <c r="R5" i="113"/>
  <c r="AA13" i="113" s="1"/>
  <c r="AW17" i="113"/>
  <c r="CJ23" i="113"/>
  <c r="AH26" i="113"/>
  <c r="Y26" i="113" s="1"/>
  <c r="CR36" i="113"/>
  <c r="AW36" i="113" s="1"/>
  <c r="AH20" i="113"/>
  <c r="Y20" i="113" s="1"/>
  <c r="CL24" i="113"/>
  <c r="AX26" i="113"/>
  <c r="CJ41" i="113"/>
  <c r="AT26" i="113"/>
  <c r="AH27" i="113"/>
  <c r="Y27" i="113" s="1"/>
  <c r="CJ31" i="113"/>
  <c r="AI41" i="113"/>
  <c r="AJ41" i="113" s="1"/>
  <c r="AK41" i="113" s="1"/>
  <c r="AL41" i="113" s="1"/>
  <c r="AM41" i="113" s="1"/>
  <c r="AN41" i="113" s="1"/>
  <c r="AT43" i="113"/>
  <c r="AW26" i="113"/>
  <c r="CN28" i="113"/>
  <c r="CR28" i="113" s="1"/>
  <c r="CR37" i="113"/>
  <c r="AV37" i="113" s="1"/>
  <c r="AS37" i="113"/>
  <c r="CQ29" i="113"/>
  <c r="CR29" i="113" s="1"/>
  <c r="AI42" i="113"/>
  <c r="AJ42" i="113" s="1"/>
  <c r="AK42" i="113" s="1"/>
  <c r="AL42" i="113" s="1"/>
  <c r="AM42" i="113" s="1"/>
  <c r="AN42" i="113" s="1"/>
  <c r="AI33" i="113"/>
  <c r="AJ33" i="113" s="1"/>
  <c r="AK33" i="113" s="1"/>
  <c r="AL33" i="113" s="1"/>
  <c r="AM33" i="113" s="1"/>
  <c r="AN33" i="113" s="1"/>
  <c r="AH34" i="113"/>
  <c r="Y34" i="113" s="1"/>
  <c r="CR27" i="113"/>
  <c r="AR27" i="113" s="1"/>
  <c r="AQ27" i="113"/>
  <c r="CK34" i="113"/>
  <c r="CL35" i="113"/>
  <c r="CR35" i="113" s="1"/>
  <c r="CM32" i="113"/>
  <c r="BN67" i="113"/>
  <c r="CF67" i="113" s="1"/>
  <c r="BN63" i="113"/>
  <c r="CF63" i="113" s="1"/>
  <c r="BN59" i="113"/>
  <c r="CF44" i="113"/>
  <c r="CO44" i="113" s="1"/>
  <c r="BN55" i="113"/>
  <c r="CF55" i="113" s="1"/>
  <c r="CO55" i="113" s="1"/>
  <c r="BN52" i="113"/>
  <c r="CF52" i="113" s="1"/>
  <c r="CO52" i="113" s="1"/>
  <c r="BW67" i="113"/>
  <c r="BW63" i="113"/>
  <c r="BW59" i="113"/>
  <c r="BW55" i="113"/>
  <c r="CN33" i="113"/>
  <c r="CR33" i="113" s="1"/>
  <c r="CN35" i="113"/>
  <c r="AI37" i="113"/>
  <c r="AJ37" i="113" s="1"/>
  <c r="AK37" i="113" s="1"/>
  <c r="AL37" i="113" s="1"/>
  <c r="AM37" i="113" s="1"/>
  <c r="AN37" i="113" s="1"/>
  <c r="AI39" i="113"/>
  <c r="AJ39" i="113" s="1"/>
  <c r="AK39" i="113" s="1"/>
  <c r="AL39" i="113" s="1"/>
  <c r="AM39" i="113" s="1"/>
  <c r="AN39" i="113" s="1"/>
  <c r="AH45" i="113"/>
  <c r="Y45" i="113" s="1"/>
  <c r="CM30" i="113"/>
  <c r="CR30" i="113" s="1"/>
  <c r="CR38" i="113"/>
  <c r="AX38" i="113" s="1"/>
  <c r="AT40" i="113"/>
  <c r="CN59" i="113"/>
  <c r="CC67" i="113"/>
  <c r="AH38" i="113"/>
  <c r="Y38" i="113" s="1"/>
  <c r="CK39" i="113"/>
  <c r="CR40" i="113"/>
  <c r="AW40" i="113" s="1"/>
  <c r="AQ40" i="113"/>
  <c r="CL42" i="113"/>
  <c r="CR42" i="113" s="1"/>
  <c r="CN36" i="113"/>
  <c r="AT37" i="113"/>
  <c r="AW43" i="113"/>
  <c r="CY55" i="113"/>
  <c r="CY52" i="113"/>
  <c r="CY67" i="113"/>
  <c r="CY63" i="113"/>
  <c r="CY59" i="113"/>
  <c r="AI46" i="113"/>
  <c r="AJ46" i="113" s="1"/>
  <c r="AK46" i="113" s="1"/>
  <c r="AL46" i="113" s="1"/>
  <c r="AM46" i="113" s="1"/>
  <c r="AN46" i="113" s="1"/>
  <c r="AX43" i="113"/>
  <c r="AT38" i="113"/>
  <c r="AH40" i="113"/>
  <c r="Y40" i="113" s="1"/>
  <c r="CA59" i="113"/>
  <c r="CH67" i="113"/>
  <c r="CQ67" i="113" s="1"/>
  <c r="CM55" i="113"/>
  <c r="CK45" i="113"/>
  <c r="CR43" i="113"/>
  <c r="AU43" i="113" s="1"/>
  <c r="BO55" i="113"/>
  <c r="BO52" i="113"/>
  <c r="CG52" i="113" s="1"/>
  <c r="BO67" i="113"/>
  <c r="BO63" i="113"/>
  <c r="BX55" i="113"/>
  <c r="BX52" i="113"/>
  <c r="BX67" i="113"/>
  <c r="BX63" i="113"/>
  <c r="BI52" i="113"/>
  <c r="DA52" i="113"/>
  <c r="CZ67" i="113"/>
  <c r="DA67" i="113"/>
  <c r="DA63" i="113"/>
  <c r="CN46" i="113"/>
  <c r="BO59" i="113"/>
  <c r="CG59" i="113" s="1"/>
  <c r="CP59" i="113" s="1"/>
  <c r="AH44" i="113"/>
  <c r="Y44" i="113" s="1"/>
  <c r="BI67" i="113"/>
  <c r="BI63" i="113"/>
  <c r="BR67" i="113"/>
  <c r="BR63" i="113"/>
  <c r="CA44" i="113"/>
  <c r="CJ44" i="113" s="1"/>
  <c r="DB55" i="113"/>
  <c r="DB52" i="113"/>
  <c r="BP52" i="113"/>
  <c r="CH52" i="113" s="1"/>
  <c r="BP55" i="113"/>
  <c r="CH55" i="113" s="1"/>
  <c r="BR59" i="113"/>
  <c r="BY63" i="113"/>
  <c r="CQ45" i="113"/>
  <c r="BR52" i="113"/>
  <c r="BR55" i="113"/>
  <c r="CA55" i="113" s="1"/>
  <c r="CJ55" i="113" s="1"/>
  <c r="CZ63" i="113"/>
  <c r="CE44" i="113"/>
  <c r="CN44" i="113" s="1"/>
  <c r="BM52" i="113"/>
  <c r="BV52" i="113"/>
  <c r="CW52" i="113"/>
  <c r="BM55" i="113"/>
  <c r="BV55" i="113"/>
  <c r="CW55" i="113"/>
  <c r="CX59" i="113"/>
  <c r="CB44" i="113"/>
  <c r="CK44" i="113" s="1"/>
  <c r="BJ52" i="113"/>
  <c r="BS52" i="113"/>
  <c r="BK59" i="113"/>
  <c r="BT59" i="113"/>
  <c r="CU59" i="113"/>
  <c r="BL63" i="113"/>
  <c r="BU63" i="113"/>
  <c r="CV63" i="113"/>
  <c r="BL67" i="113"/>
  <c r="BU67" i="113"/>
  <c r="CV67" i="113"/>
  <c r="CC44" i="113"/>
  <c r="CL44" i="113" s="1"/>
  <c r="BK52" i="113"/>
  <c r="BT52" i="113"/>
  <c r="CU52" i="113"/>
  <c r="BL59" i="113"/>
  <c r="BU59" i="113"/>
  <c r="CV59" i="113"/>
  <c r="CK59" i="113" s="1"/>
  <c r="BM63" i="113"/>
  <c r="BV63" i="113"/>
  <c r="CW63" i="113"/>
  <c r="BM67" i="113"/>
  <c r="BV67" i="113"/>
  <c r="CW67" i="113"/>
  <c r="CD44" i="113"/>
  <c r="CM44" i="113" s="1"/>
  <c r="BL52" i="113"/>
  <c r="BU52" i="113"/>
  <c r="CV52" i="113"/>
  <c r="CX63" i="113"/>
  <c r="W19" i="111"/>
  <c r="X19" i="111" s="1"/>
  <c r="W9" i="111"/>
  <c r="W40" i="111"/>
  <c r="W39" i="111"/>
  <c r="W25" i="111"/>
  <c r="X25" i="111" s="1"/>
  <c r="W11" i="111"/>
  <c r="W35" i="111"/>
  <c r="X35" i="111" s="1"/>
  <c r="W12" i="111"/>
  <c r="W22" i="111"/>
  <c r="W18" i="111"/>
  <c r="W31" i="111"/>
  <c r="W17" i="111"/>
  <c r="W27" i="111"/>
  <c r="W36" i="111"/>
  <c r="W37" i="111"/>
  <c r="W38" i="111"/>
  <c r="W15" i="111"/>
  <c r="W33" i="111"/>
  <c r="W41" i="111"/>
  <c r="W26" i="111"/>
  <c r="W44" i="111"/>
  <c r="W24" i="111"/>
  <c r="W43" i="111"/>
  <c r="W46" i="111"/>
  <c r="W10" i="111"/>
  <c r="W16" i="111"/>
  <c r="W29" i="111"/>
  <c r="G5" i="111"/>
  <c r="W13" i="111"/>
  <c r="W14" i="111"/>
  <c r="W20" i="111"/>
  <c r="W21" i="111"/>
  <c r="W23" i="111"/>
  <c r="W28" i="111"/>
  <c r="X33" i="111"/>
  <c r="W34" i="111"/>
  <c r="W30" i="111"/>
  <c r="W32" i="111"/>
  <c r="X37" i="111"/>
  <c r="W42" i="111"/>
  <c r="W45" i="111"/>
  <c r="D13" i="121" l="1"/>
  <c r="B13" i="121" s="1"/>
  <c r="D72" i="121" s="1"/>
  <c r="D22" i="121"/>
  <c r="B22" i="121" s="1"/>
  <c r="D81" i="121" s="1"/>
  <c r="D14" i="121"/>
  <c r="B14" i="121" s="1"/>
  <c r="D73" i="121" s="1"/>
  <c r="D23" i="121"/>
  <c r="B23" i="121" s="1"/>
  <c r="D82" i="121" s="1"/>
  <c r="D18" i="121"/>
  <c r="B18" i="121" s="1"/>
  <c r="D77" i="121" s="1"/>
  <c r="D12" i="121"/>
  <c r="B12" i="121" s="1"/>
  <c r="D71" i="121" s="1"/>
  <c r="V10" i="121"/>
  <c r="M10" i="121" s="1"/>
  <c r="L10" i="121"/>
  <c r="V11" i="121"/>
  <c r="M11" i="121" s="1"/>
  <c r="L11" i="121"/>
  <c r="Q18" i="119"/>
  <c r="G18" i="119"/>
  <c r="AL36" i="119"/>
  <c r="AB36" i="119"/>
  <c r="AL45" i="119"/>
  <c r="AB45" i="119"/>
  <c r="AL23" i="119"/>
  <c r="AB23" i="119"/>
  <c r="G38" i="119"/>
  <c r="AL10" i="119"/>
  <c r="AB10" i="119"/>
  <c r="AL31" i="119"/>
  <c r="AB31" i="119"/>
  <c r="AL37" i="119"/>
  <c r="AB37" i="119"/>
  <c r="S24" i="119"/>
  <c r="I24" i="119"/>
  <c r="AL32" i="119"/>
  <c r="AB32" i="119"/>
  <c r="R9" i="119"/>
  <c r="H9" i="119"/>
  <c r="S42" i="119"/>
  <c r="I42" i="119"/>
  <c r="AL19" i="119"/>
  <c r="AB19" i="119"/>
  <c r="S28" i="119"/>
  <c r="I28" i="119"/>
  <c r="Q34" i="119"/>
  <c r="G34" i="119"/>
  <c r="AL9" i="119"/>
  <c r="AB9" i="119"/>
  <c r="S27" i="119"/>
  <c r="I27" i="119"/>
  <c r="R10" i="119"/>
  <c r="H10" i="119"/>
  <c r="S16" i="119"/>
  <c r="I16" i="119"/>
  <c r="R14" i="119"/>
  <c r="H14" i="119"/>
  <c r="Q17" i="119"/>
  <c r="G17" i="119"/>
  <c r="T11" i="119"/>
  <c r="J11" i="119"/>
  <c r="Q40" i="119"/>
  <c r="G40" i="119"/>
  <c r="AL29" i="119"/>
  <c r="AB29" i="119"/>
  <c r="S19" i="119"/>
  <c r="I19" i="119"/>
  <c r="AL14" i="119"/>
  <c r="AB14" i="119"/>
  <c r="S35" i="119"/>
  <c r="I35" i="119"/>
  <c r="S15" i="119"/>
  <c r="I15" i="119"/>
  <c r="S25" i="119"/>
  <c r="I25" i="119"/>
  <c r="R41" i="119"/>
  <c r="H41" i="119"/>
  <c r="S37" i="119"/>
  <c r="I37" i="119"/>
  <c r="Q29" i="119"/>
  <c r="G29" i="119"/>
  <c r="R45" i="119"/>
  <c r="H45" i="119"/>
  <c r="AL15" i="119"/>
  <c r="AB15" i="119"/>
  <c r="R30" i="119"/>
  <c r="H30" i="119"/>
  <c r="AD44" i="119"/>
  <c r="AD39" i="119"/>
  <c r="AD42" i="119"/>
  <c r="AD43" i="119"/>
  <c r="AD30" i="119"/>
  <c r="AD34" i="119"/>
  <c r="AD25" i="119"/>
  <c r="AD28" i="119"/>
  <c r="AD20" i="119"/>
  <c r="AD33" i="119"/>
  <c r="AD35" i="119"/>
  <c r="AD21" i="119"/>
  <c r="AD13" i="119"/>
  <c r="AD16" i="119"/>
  <c r="AD17" i="119"/>
  <c r="AD12" i="119"/>
  <c r="AD24" i="119"/>
  <c r="V5" i="119"/>
  <c r="AD46" i="119"/>
  <c r="AD11" i="119"/>
  <c r="R20" i="119"/>
  <c r="H20" i="119"/>
  <c r="R31" i="119"/>
  <c r="H31" i="119"/>
  <c r="AL26" i="119"/>
  <c r="AB26" i="119"/>
  <c r="AL18" i="119"/>
  <c r="AB18" i="119"/>
  <c r="S33" i="119"/>
  <c r="I33" i="119"/>
  <c r="G32" i="119"/>
  <c r="Q32" i="119"/>
  <c r="AL27" i="119"/>
  <c r="AB27" i="119"/>
  <c r="AL38" i="119"/>
  <c r="AB38" i="119"/>
  <c r="Q46" i="119"/>
  <c r="G46" i="119"/>
  <c r="R36" i="119"/>
  <c r="H36" i="119"/>
  <c r="AL22" i="119"/>
  <c r="AB22" i="119"/>
  <c r="AL40" i="119"/>
  <c r="AB40" i="119"/>
  <c r="S12" i="119"/>
  <c r="I12" i="119"/>
  <c r="R38" i="119"/>
  <c r="H38" i="119"/>
  <c r="Q39" i="119"/>
  <c r="G39" i="119"/>
  <c r="R26" i="119"/>
  <c r="H26" i="119"/>
  <c r="Q21" i="119"/>
  <c r="G21" i="119"/>
  <c r="R43" i="119"/>
  <c r="H43" i="119"/>
  <c r="AL41" i="119"/>
  <c r="AB41" i="119"/>
  <c r="Q13" i="119"/>
  <c r="G13" i="119"/>
  <c r="R23" i="119"/>
  <c r="H23" i="119"/>
  <c r="S22" i="119"/>
  <c r="I22" i="119"/>
  <c r="R44" i="119"/>
  <c r="H44" i="119"/>
  <c r="H11" i="118"/>
  <c r="R11" i="118"/>
  <c r="AE39" i="118"/>
  <c r="AE42" i="118"/>
  <c r="AE45" i="118"/>
  <c r="AE37" i="118"/>
  <c r="AE40" i="118"/>
  <c r="AE43" i="118"/>
  <c r="AE46" i="118"/>
  <c r="AE38" i="118"/>
  <c r="AE41" i="118"/>
  <c r="AE31" i="118"/>
  <c r="AE34" i="118"/>
  <c r="AE32" i="118"/>
  <c r="AE36" i="118"/>
  <c r="AE35" i="118"/>
  <c r="AE30" i="118"/>
  <c r="AE20" i="118"/>
  <c r="AE21" i="118"/>
  <c r="AE23" i="118"/>
  <c r="AE44" i="118"/>
  <c r="AE29" i="118"/>
  <c r="AE16" i="118"/>
  <c r="AE15" i="118"/>
  <c r="AE17" i="118"/>
  <c r="AE13" i="118"/>
  <c r="W5" i="118"/>
  <c r="S44" i="118"/>
  <c r="I44" i="118"/>
  <c r="AL19" i="118"/>
  <c r="AB19" i="118"/>
  <c r="R29" i="118"/>
  <c r="H29" i="118"/>
  <c r="AL25" i="118"/>
  <c r="AB25" i="118"/>
  <c r="S46" i="118"/>
  <c r="I46" i="118"/>
  <c r="S32" i="118"/>
  <c r="I32" i="118"/>
  <c r="R41" i="118"/>
  <c r="H41" i="118"/>
  <c r="S13" i="118"/>
  <c r="I13" i="118"/>
  <c r="S27" i="118"/>
  <c r="I27" i="118"/>
  <c r="AL27" i="118"/>
  <c r="AB27" i="118"/>
  <c r="S31" i="118"/>
  <c r="I31" i="118"/>
  <c r="AL24" i="118"/>
  <c r="AB24" i="118"/>
  <c r="S10" i="118"/>
  <c r="I10" i="118"/>
  <c r="S43" i="118"/>
  <c r="I43" i="118"/>
  <c r="S12" i="118"/>
  <c r="I12" i="118"/>
  <c r="Q33" i="118"/>
  <c r="G33" i="118"/>
  <c r="Q26" i="118"/>
  <c r="G26" i="118"/>
  <c r="S42" i="118"/>
  <c r="I42" i="118"/>
  <c r="AL26" i="118"/>
  <c r="AB26" i="118"/>
  <c r="R16" i="118"/>
  <c r="H16" i="118"/>
  <c r="R40" i="118"/>
  <c r="H40" i="118"/>
  <c r="AL22" i="118"/>
  <c r="AB22" i="118"/>
  <c r="G23" i="118"/>
  <c r="Q23" i="118"/>
  <c r="AL28" i="118"/>
  <c r="AB28" i="118"/>
  <c r="R20" i="118"/>
  <c r="H20" i="118"/>
  <c r="R36" i="118"/>
  <c r="H36" i="118"/>
  <c r="I9" i="118"/>
  <c r="S9" i="118"/>
  <c r="AL18" i="118"/>
  <c r="AB18" i="118"/>
  <c r="AM11" i="118"/>
  <c r="AC11" i="118"/>
  <c r="AL14" i="118"/>
  <c r="AB14" i="118"/>
  <c r="AM10" i="118"/>
  <c r="AC10" i="118"/>
  <c r="G25" i="118"/>
  <c r="Q25" i="118"/>
  <c r="S30" i="118"/>
  <c r="I30" i="118"/>
  <c r="AL33" i="118"/>
  <c r="AB33" i="118"/>
  <c r="R21" i="118"/>
  <c r="H21" i="118"/>
  <c r="R38" i="118"/>
  <c r="H38" i="118"/>
  <c r="R14" i="118"/>
  <c r="H14" i="118"/>
  <c r="R24" i="118"/>
  <c r="H24" i="118"/>
  <c r="R35" i="118"/>
  <c r="H35" i="118"/>
  <c r="R22" i="118"/>
  <c r="H22" i="118"/>
  <c r="AM12" i="118"/>
  <c r="AC12" i="118"/>
  <c r="AM9" i="118"/>
  <c r="AC9" i="118"/>
  <c r="S39" i="118"/>
  <c r="I39" i="118"/>
  <c r="R45" i="118"/>
  <c r="H45" i="118"/>
  <c r="S17" i="118"/>
  <c r="I17" i="118"/>
  <c r="R37" i="118"/>
  <c r="H37" i="118"/>
  <c r="S18" i="118"/>
  <c r="I18" i="118"/>
  <c r="R19" i="118"/>
  <c r="H19" i="118"/>
  <c r="S34" i="118"/>
  <c r="I34" i="118"/>
  <c r="S28" i="118"/>
  <c r="I28" i="118"/>
  <c r="S15" i="118"/>
  <c r="I15" i="118"/>
  <c r="H10" i="117"/>
  <c r="AL32" i="117"/>
  <c r="AB32" i="117"/>
  <c r="G18" i="117"/>
  <c r="AL21" i="117"/>
  <c r="AB21" i="117"/>
  <c r="AL33" i="117"/>
  <c r="AB33" i="117"/>
  <c r="AL35" i="117"/>
  <c r="AB35" i="117"/>
  <c r="AL23" i="117"/>
  <c r="AB23" i="117"/>
  <c r="G24" i="117"/>
  <c r="Q24" i="117"/>
  <c r="AL9" i="117"/>
  <c r="AB9" i="117"/>
  <c r="H11" i="117"/>
  <c r="R11" i="117"/>
  <c r="Q43" i="117"/>
  <c r="G43" i="117"/>
  <c r="S40" i="117"/>
  <c r="I40" i="117"/>
  <c r="S10" i="117"/>
  <c r="I10" i="117"/>
  <c r="S13" i="117"/>
  <c r="I13" i="117"/>
  <c r="S28" i="117"/>
  <c r="I28" i="117"/>
  <c r="S30" i="117"/>
  <c r="I30" i="117"/>
  <c r="S21" i="117"/>
  <c r="I21" i="117"/>
  <c r="S23" i="117"/>
  <c r="I23" i="117"/>
  <c r="R33" i="117"/>
  <c r="H33" i="117"/>
  <c r="AL26" i="117"/>
  <c r="AB26" i="117"/>
  <c r="R36" i="117"/>
  <c r="H36" i="117"/>
  <c r="S41" i="117"/>
  <c r="I41" i="117"/>
  <c r="S29" i="117"/>
  <c r="I29" i="117"/>
  <c r="S31" i="117"/>
  <c r="I31" i="117"/>
  <c r="S20" i="117"/>
  <c r="I20" i="117"/>
  <c r="R38" i="117"/>
  <c r="H38" i="117"/>
  <c r="R39" i="117"/>
  <c r="H39" i="117"/>
  <c r="AL43" i="117"/>
  <c r="AB43" i="117"/>
  <c r="Q26" i="117"/>
  <c r="G26" i="117"/>
  <c r="R18" i="117"/>
  <c r="H18" i="117"/>
  <c r="AL22" i="117"/>
  <c r="AB22" i="117"/>
  <c r="R32" i="117"/>
  <c r="H32" i="117"/>
  <c r="S16" i="117"/>
  <c r="I16" i="117"/>
  <c r="AL31" i="117"/>
  <c r="AB31" i="117"/>
  <c r="AL46" i="117"/>
  <c r="AB46" i="117"/>
  <c r="S45" i="117"/>
  <c r="I45" i="117"/>
  <c r="AL45" i="117"/>
  <c r="AB45" i="117"/>
  <c r="R17" i="117"/>
  <c r="H17" i="117"/>
  <c r="S12" i="117"/>
  <c r="I12" i="117"/>
  <c r="AL24" i="117"/>
  <c r="AB24" i="117"/>
  <c r="S19" i="117"/>
  <c r="I19" i="117"/>
  <c r="Q34" i="117"/>
  <c r="G34" i="117"/>
  <c r="R15" i="117"/>
  <c r="H15" i="117"/>
  <c r="R27" i="117"/>
  <c r="H27" i="117"/>
  <c r="S42" i="117"/>
  <c r="I42" i="117"/>
  <c r="S25" i="117"/>
  <c r="I25" i="117"/>
  <c r="AL40" i="117"/>
  <c r="AB40" i="117"/>
  <c r="S14" i="117"/>
  <c r="I14" i="117"/>
  <c r="G46" i="117"/>
  <c r="Q46" i="117"/>
  <c r="AL38" i="117"/>
  <c r="AB38" i="117"/>
  <c r="AD39" i="117"/>
  <c r="AD42" i="117"/>
  <c r="AD44" i="117"/>
  <c r="AD37" i="117"/>
  <c r="AD36" i="117"/>
  <c r="AD41" i="117"/>
  <c r="AD34" i="117"/>
  <c r="AD29" i="117"/>
  <c r="AD27" i="117"/>
  <c r="AD18" i="117"/>
  <c r="AD28" i="117"/>
  <c r="AD16" i="117"/>
  <c r="AD19" i="117"/>
  <c r="AD20" i="117"/>
  <c r="AD15" i="117"/>
  <c r="AD17" i="117"/>
  <c r="AD11" i="117"/>
  <c r="AD14" i="117"/>
  <c r="AD12" i="117"/>
  <c r="V5" i="117"/>
  <c r="AD10" i="117"/>
  <c r="AD13" i="117"/>
  <c r="R22" i="117"/>
  <c r="H22" i="117"/>
  <c r="AL25" i="117"/>
  <c r="AB25" i="117"/>
  <c r="AL30" i="117"/>
  <c r="AB30" i="117"/>
  <c r="R9" i="117"/>
  <c r="H9" i="117"/>
  <c r="S37" i="117"/>
  <c r="I37" i="117"/>
  <c r="S35" i="117"/>
  <c r="I35" i="117"/>
  <c r="Q44" i="117"/>
  <c r="G44" i="117"/>
  <c r="AX19" i="113"/>
  <c r="AQ19" i="113"/>
  <c r="AV19" i="113"/>
  <c r="AS19" i="113"/>
  <c r="AW19" i="113"/>
  <c r="AT19" i="113"/>
  <c r="AW35" i="113"/>
  <c r="AX35" i="113"/>
  <c r="AQ35" i="113"/>
  <c r="AR35" i="113"/>
  <c r="AT35" i="113"/>
  <c r="AV35" i="113"/>
  <c r="AX28" i="113"/>
  <c r="AV28" i="113"/>
  <c r="AS28" i="113"/>
  <c r="AT28" i="113"/>
  <c r="AR28" i="113"/>
  <c r="AW28" i="113"/>
  <c r="AS14" i="113"/>
  <c r="AT14" i="113"/>
  <c r="AX14" i="113"/>
  <c r="AV14" i="113"/>
  <c r="AU14" i="113"/>
  <c r="AR14" i="113"/>
  <c r="CD52" i="113"/>
  <c r="CM52" i="113" s="1"/>
  <c r="AX37" i="113"/>
  <c r="AW37" i="113"/>
  <c r="AR37" i="113"/>
  <c r="AI25" i="113"/>
  <c r="AJ25" i="113" s="1"/>
  <c r="AK25" i="113" s="1"/>
  <c r="AL25" i="113" s="1"/>
  <c r="AM25" i="113" s="1"/>
  <c r="AN25" i="113" s="1"/>
  <c r="AI35" i="113"/>
  <c r="AJ35" i="113" s="1"/>
  <c r="AK35" i="113" s="1"/>
  <c r="AL35" i="113" s="1"/>
  <c r="AM35" i="113" s="1"/>
  <c r="AN35" i="113" s="1"/>
  <c r="AW20" i="113"/>
  <c r="AR20" i="113"/>
  <c r="AT27" i="113"/>
  <c r="AV16" i="113"/>
  <c r="AS20" i="113"/>
  <c r="AA46" i="113"/>
  <c r="AA22" i="113"/>
  <c r="AA14" i="113"/>
  <c r="Z41" i="113"/>
  <c r="Z33" i="113"/>
  <c r="Z17" i="113"/>
  <c r="AQ20" i="113"/>
  <c r="AA37" i="113"/>
  <c r="AA29" i="113"/>
  <c r="AA21" i="113"/>
  <c r="Z24" i="113"/>
  <c r="CG67" i="113"/>
  <c r="CP67" i="113" s="1"/>
  <c r="AX40" i="113"/>
  <c r="CF59" i="113"/>
  <c r="CO59" i="113" s="1"/>
  <c r="AQ37" i="113"/>
  <c r="AQ36" i="113"/>
  <c r="AR12" i="113"/>
  <c r="AQ12" i="113"/>
  <c r="AQ16" i="113"/>
  <c r="AQ26" i="113"/>
  <c r="P26" i="113" s="1"/>
  <c r="AV10" i="113"/>
  <c r="CC63" i="113"/>
  <c r="AI30" i="113"/>
  <c r="AJ30" i="113" s="1"/>
  <c r="AK30" i="113" s="1"/>
  <c r="AL30" i="113" s="1"/>
  <c r="AM30" i="113" s="1"/>
  <c r="AN30" i="113" s="1"/>
  <c r="Y30" i="113"/>
  <c r="Y15" i="113"/>
  <c r="AI15" i="113"/>
  <c r="AA43" i="113"/>
  <c r="AA19" i="113"/>
  <c r="Z46" i="113"/>
  <c r="Z30" i="113"/>
  <c r="Z22" i="113"/>
  <c r="Z14" i="113"/>
  <c r="CO63" i="113"/>
  <c r="AU38" i="113"/>
  <c r="AW16" i="113"/>
  <c r="P10" i="113"/>
  <c r="P17" i="113"/>
  <c r="Y32" i="113"/>
  <c r="AI32" i="113"/>
  <c r="AJ32" i="113" s="1"/>
  <c r="AK32" i="113" s="1"/>
  <c r="AL32" i="113" s="1"/>
  <c r="AM32" i="113" s="1"/>
  <c r="AN32" i="113" s="1"/>
  <c r="CC55" i="113"/>
  <c r="CL55" i="113" s="1"/>
  <c r="AI36" i="113"/>
  <c r="Y36" i="113"/>
  <c r="AA42" i="113"/>
  <c r="Z45" i="113"/>
  <c r="Z37" i="113"/>
  <c r="Z29" i="113"/>
  <c r="Z21" i="113"/>
  <c r="Z13" i="113"/>
  <c r="CG55" i="113"/>
  <c r="CP55" i="113" s="1"/>
  <c r="CO67" i="113"/>
  <c r="AT13" i="113"/>
  <c r="AA41" i="113"/>
  <c r="AA33" i="113"/>
  <c r="AA25" i="113"/>
  <c r="AA17" i="113"/>
  <c r="Z36" i="113"/>
  <c r="Z28" i="113"/>
  <c r="CE67" i="113"/>
  <c r="CN67" i="113" s="1"/>
  <c r="CD63" i="113"/>
  <c r="CM63" i="113" s="1"/>
  <c r="AS40" i="113"/>
  <c r="P40" i="113" s="1"/>
  <c r="AR40" i="113"/>
  <c r="CR32" i="113"/>
  <c r="AW32" i="113" s="1"/>
  <c r="AX27" i="113"/>
  <c r="AV27" i="113"/>
  <c r="AU27" i="113"/>
  <c r="P27" i="113" s="1"/>
  <c r="AV20" i="113"/>
  <c r="AS12" i="113"/>
  <c r="CB63" i="113"/>
  <c r="CK63" i="113" s="1"/>
  <c r="CH59" i="113"/>
  <c r="CQ59" i="113" s="1"/>
  <c r="AA32" i="113"/>
  <c r="AA24" i="113"/>
  <c r="Z43" i="113"/>
  <c r="Z19" i="113"/>
  <c r="Z11" i="113"/>
  <c r="CL63" i="113"/>
  <c r="AU40" i="113"/>
  <c r="AU20" i="113"/>
  <c r="CB55" i="113"/>
  <c r="CK55" i="113" s="1"/>
  <c r="AA39" i="113"/>
  <c r="AA23" i="113"/>
  <c r="Z42" i="113"/>
  <c r="Z34" i="113"/>
  <c r="Z26" i="113"/>
  <c r="W13" i="113"/>
  <c r="AX33" i="113"/>
  <c r="AV33" i="113"/>
  <c r="AR33" i="113"/>
  <c r="AQ33" i="113"/>
  <c r="AW33" i="113"/>
  <c r="AT33" i="113"/>
  <c r="AS33" i="113"/>
  <c r="AX9" i="113"/>
  <c r="AU9" i="113"/>
  <c r="AV9" i="113"/>
  <c r="AT9" i="113"/>
  <c r="AW9" i="113"/>
  <c r="AQ9" i="113"/>
  <c r="AS9" i="113"/>
  <c r="AV32" i="113"/>
  <c r="AR32" i="113"/>
  <c r="AX32" i="113"/>
  <c r="AQ32" i="113"/>
  <c r="AS32" i="113"/>
  <c r="AU32" i="113"/>
  <c r="AT22" i="113"/>
  <c r="AX22" i="113"/>
  <c r="AQ22" i="113"/>
  <c r="AW22" i="113"/>
  <c r="AS22" i="113"/>
  <c r="AU22" i="113"/>
  <c r="AR22" i="113"/>
  <c r="AT29" i="113"/>
  <c r="AS29" i="113"/>
  <c r="AU29" i="113"/>
  <c r="AW29" i="113"/>
  <c r="AQ29" i="113"/>
  <c r="AV29" i="113"/>
  <c r="AR29" i="113"/>
  <c r="AW30" i="113"/>
  <c r="AU30" i="113"/>
  <c r="AS30" i="113"/>
  <c r="AV30" i="113"/>
  <c r="AR30" i="113"/>
  <c r="AX30" i="113"/>
  <c r="AQ30" i="113"/>
  <c r="AT42" i="113"/>
  <c r="AU42" i="113"/>
  <c r="AV42" i="113"/>
  <c r="AX42" i="113"/>
  <c r="AQ42" i="113"/>
  <c r="AW42" i="113"/>
  <c r="AR42" i="113"/>
  <c r="AI31" i="113"/>
  <c r="Z31" i="113" s="1"/>
  <c r="AV25" i="113"/>
  <c r="CP52" i="113"/>
  <c r="AT25" i="113"/>
  <c r="AS25" i="113"/>
  <c r="AU13" i="113"/>
  <c r="AV12" i="113"/>
  <c r="AI18" i="113"/>
  <c r="Z18" i="113" s="1"/>
  <c r="BR54" i="113"/>
  <c r="BE52" i="113" s="1"/>
  <c r="BE55" i="113" s="1"/>
  <c r="BE59" i="113" s="1"/>
  <c r="CA52" i="113"/>
  <c r="CJ52" i="113" s="1"/>
  <c r="AX25" i="113"/>
  <c r="AI27" i="113"/>
  <c r="AV43" i="113"/>
  <c r="CE63" i="113"/>
  <c r="CN63" i="113" s="1"/>
  <c r="CC59" i="113"/>
  <c r="CL59" i="113" s="1"/>
  <c r="CR44" i="113"/>
  <c r="AT44" i="113" s="1"/>
  <c r="AQ44" i="113"/>
  <c r="AQ43" i="113"/>
  <c r="P43" i="113" s="1"/>
  <c r="AR38" i="113"/>
  <c r="AU28" i="113"/>
  <c r="AS43" i="113"/>
  <c r="AR43" i="113"/>
  <c r="CR24" i="113"/>
  <c r="AQ24" i="113" s="1"/>
  <c r="AV38" i="113"/>
  <c r="AQ28" i="113"/>
  <c r="AW13" i="113"/>
  <c r="AR19" i="113"/>
  <c r="AV13" i="113"/>
  <c r="AT12" i="113"/>
  <c r="AQ13" i="113"/>
  <c r="AW12" i="113"/>
  <c r="AR25" i="113"/>
  <c r="P25" i="113" s="1"/>
  <c r="AX36" i="113"/>
  <c r="CE52" i="113"/>
  <c r="CN52" i="113" s="1"/>
  <c r="AU36" i="113"/>
  <c r="AW38" i="113"/>
  <c r="AW27" i="113"/>
  <c r="AU21" i="113"/>
  <c r="CR21" i="113"/>
  <c r="AS21" i="113"/>
  <c r="AU12" i="113"/>
  <c r="BB52" i="113"/>
  <c r="BB55" i="113" s="1"/>
  <c r="BB59" i="113" s="1"/>
  <c r="AI44" i="113"/>
  <c r="Z44" i="113" s="1"/>
  <c r="AU33" i="113"/>
  <c r="AI20" i="113"/>
  <c r="Z20" i="113" s="1"/>
  <c r="CC52" i="113"/>
  <c r="CL52" i="113" s="1"/>
  <c r="AI34" i="113"/>
  <c r="AQ38" i="113"/>
  <c r="BG63" i="113"/>
  <c r="AV22" i="113"/>
  <c r="CD67" i="113"/>
  <c r="CM67" i="113" s="1"/>
  <c r="BR69" i="113"/>
  <c r="BG67" i="113" s="1"/>
  <c r="AI26" i="113"/>
  <c r="CD59" i="113"/>
  <c r="CM59" i="113" s="1"/>
  <c r="CA63" i="113"/>
  <c r="CJ63" i="113" s="1"/>
  <c r="AI40" i="113"/>
  <c r="AU35" i="113"/>
  <c r="AT36" i="113"/>
  <c r="CR45" i="113"/>
  <c r="AX45" i="113" s="1"/>
  <c r="CH63" i="113"/>
  <c r="CQ63" i="113" s="1"/>
  <c r="CR41" i="113"/>
  <c r="CR23" i="113"/>
  <c r="AQ23" i="113"/>
  <c r="CR34" i="113"/>
  <c r="AU25" i="113"/>
  <c r="AI10" i="113"/>
  <c r="AS27" i="113"/>
  <c r="AI12" i="113"/>
  <c r="Z12" i="113" s="1"/>
  <c r="CR15" i="113"/>
  <c r="AQ15" i="113" s="1"/>
  <c r="AT10" i="113"/>
  <c r="AJ11" i="113"/>
  <c r="AK11" i="113" s="1"/>
  <c r="AL11" i="113" s="1"/>
  <c r="AM11" i="113" s="1"/>
  <c r="AN11" i="113" s="1"/>
  <c r="AW14" i="113"/>
  <c r="S5" i="113"/>
  <c r="AB14" i="113" s="1"/>
  <c r="AS42" i="113"/>
  <c r="AW25" i="113"/>
  <c r="CR11" i="113"/>
  <c r="AQ11" i="113"/>
  <c r="AR9" i="113"/>
  <c r="BD63" i="113"/>
  <c r="CE55" i="113"/>
  <c r="CN55" i="113" s="1"/>
  <c r="CJ59" i="113"/>
  <c r="AT32" i="113"/>
  <c r="BA52" i="113"/>
  <c r="BA55" i="113" s="1"/>
  <c r="BA59" i="113" s="1"/>
  <c r="BR65" i="113"/>
  <c r="BE63" i="113" s="1"/>
  <c r="AZ63" i="113"/>
  <c r="AH63" i="113" s="1"/>
  <c r="AX29" i="113"/>
  <c r="AI16" i="113"/>
  <c r="Z16" i="113" s="1"/>
  <c r="CB52" i="113"/>
  <c r="CK52" i="113" s="1"/>
  <c r="BF52" i="113"/>
  <c r="BF55" i="113" s="1"/>
  <c r="BF59" i="113" s="1"/>
  <c r="AS38" i="113"/>
  <c r="AI38" i="113"/>
  <c r="AT30" i="113"/>
  <c r="AV36" i="113"/>
  <c r="AR44" i="113"/>
  <c r="CQ55" i="113"/>
  <c r="CR46" i="113"/>
  <c r="BB63" i="113"/>
  <c r="AI45" i="113"/>
  <c r="CQ52" i="113"/>
  <c r="CA67" i="113"/>
  <c r="CJ67" i="113" s="1"/>
  <c r="CG63" i="113"/>
  <c r="CP63" i="113" s="1"/>
  <c r="AR45" i="113"/>
  <c r="CL67" i="113"/>
  <c r="AS35" i="113"/>
  <c r="AU37" i="113"/>
  <c r="AV40" i="113"/>
  <c r="AS36" i="113"/>
  <c r="CR39" i="113"/>
  <c r="CR31" i="113"/>
  <c r="AQ31" i="113" s="1"/>
  <c r="AR36" i="113"/>
  <c r="AT16" i="113"/>
  <c r="AU19" i="113"/>
  <c r="AI9" i="113"/>
  <c r="Z9" i="113" s="1"/>
  <c r="CR18" i="113"/>
  <c r="AQ14" i="113"/>
  <c r="Y19" i="111"/>
  <c r="X41" i="111"/>
  <c r="X16" i="111"/>
  <c r="X27" i="111"/>
  <c r="Y27" i="111" s="1"/>
  <c r="X10" i="111"/>
  <c r="Y10" i="111" s="1"/>
  <c r="X38" i="111"/>
  <c r="X18" i="111"/>
  <c r="Y35" i="111"/>
  <c r="X40" i="111"/>
  <c r="X11" i="111"/>
  <c r="Y25" i="111"/>
  <c r="Y33" i="111"/>
  <c r="X26" i="111"/>
  <c r="X46" i="111"/>
  <c r="X36" i="111"/>
  <c r="X29" i="111"/>
  <c r="Y29" i="111" s="1"/>
  <c r="X9" i="111"/>
  <c r="Y37" i="111"/>
  <c r="X44" i="111"/>
  <c r="X12" i="111"/>
  <c r="X39" i="111"/>
  <c r="X22" i="111"/>
  <c r="X15" i="111"/>
  <c r="X17" i="111"/>
  <c r="X24" i="111"/>
  <c r="X31" i="111"/>
  <c r="X43" i="111"/>
  <c r="H5" i="111"/>
  <c r="X42" i="111"/>
  <c r="X28" i="111"/>
  <c r="X34" i="111"/>
  <c r="X45" i="111"/>
  <c r="X30" i="111"/>
  <c r="X14" i="111"/>
  <c r="X32" i="111"/>
  <c r="X23" i="111"/>
  <c r="X21" i="111"/>
  <c r="X20" i="111"/>
  <c r="X13" i="111"/>
  <c r="D10" i="121" l="1"/>
  <c r="B10" i="121" s="1"/>
  <c r="D69" i="121" s="1"/>
  <c r="D11" i="121"/>
  <c r="B11" i="121" s="1"/>
  <c r="D70" i="121" s="1"/>
  <c r="R18" i="119"/>
  <c r="H18" i="119"/>
  <c r="AM23" i="119"/>
  <c r="AC23" i="119"/>
  <c r="AM45" i="119"/>
  <c r="AC45" i="119"/>
  <c r="AM36" i="119"/>
  <c r="AC36" i="119"/>
  <c r="AM22" i="119"/>
  <c r="AC22" i="119"/>
  <c r="S31" i="119"/>
  <c r="I31" i="119"/>
  <c r="AE39" i="119"/>
  <c r="AE42" i="119"/>
  <c r="AE43" i="119"/>
  <c r="AE46" i="119"/>
  <c r="AE33" i="119"/>
  <c r="AE34" i="119"/>
  <c r="AE28" i="119"/>
  <c r="AE20" i="119"/>
  <c r="AE44" i="119"/>
  <c r="AE35" i="119"/>
  <c r="AE21" i="119"/>
  <c r="AE24" i="119"/>
  <c r="AE16" i="119"/>
  <c r="AE11" i="119"/>
  <c r="AE17" i="119"/>
  <c r="AE30" i="119"/>
  <c r="AE25" i="119"/>
  <c r="AE12" i="119"/>
  <c r="W5" i="119"/>
  <c r="AE13" i="119"/>
  <c r="U11" i="119"/>
  <c r="K11" i="119"/>
  <c r="S10" i="119"/>
  <c r="I10" i="119"/>
  <c r="R34" i="119"/>
  <c r="H34" i="119"/>
  <c r="AM37" i="119"/>
  <c r="AC37" i="119"/>
  <c r="R13" i="119"/>
  <c r="H13" i="119"/>
  <c r="S26" i="119"/>
  <c r="I26" i="119"/>
  <c r="T12" i="119"/>
  <c r="J12" i="119"/>
  <c r="AM27" i="119"/>
  <c r="AC27" i="119"/>
  <c r="T33" i="119"/>
  <c r="J33" i="119"/>
  <c r="S30" i="119"/>
  <c r="I30" i="119"/>
  <c r="T37" i="119"/>
  <c r="J37" i="119"/>
  <c r="T19" i="119"/>
  <c r="J19" i="119"/>
  <c r="S36" i="119"/>
  <c r="I36" i="119"/>
  <c r="S20" i="119"/>
  <c r="I20" i="119"/>
  <c r="T15" i="119"/>
  <c r="J15" i="119"/>
  <c r="R17" i="119"/>
  <c r="H17" i="119"/>
  <c r="T28" i="119"/>
  <c r="J28" i="119"/>
  <c r="S9" i="119"/>
  <c r="I9" i="119"/>
  <c r="AM31" i="119"/>
  <c r="AC31" i="119"/>
  <c r="S44" i="119"/>
  <c r="I44" i="119"/>
  <c r="AM40" i="119"/>
  <c r="AC40" i="119"/>
  <c r="R46" i="119"/>
  <c r="H46" i="119"/>
  <c r="R32" i="119"/>
  <c r="H32" i="119"/>
  <c r="S41" i="119"/>
  <c r="I41" i="119"/>
  <c r="S14" i="119"/>
  <c r="I14" i="119"/>
  <c r="AM19" i="119"/>
  <c r="AC19" i="119"/>
  <c r="AM32" i="119"/>
  <c r="AC32" i="119"/>
  <c r="AM10" i="119"/>
  <c r="AC10" i="119"/>
  <c r="S38" i="119"/>
  <c r="I38" i="119"/>
  <c r="T25" i="119"/>
  <c r="J25" i="119"/>
  <c r="AM41" i="119"/>
  <c r="AC41" i="119"/>
  <c r="R39" i="119"/>
  <c r="H39" i="119"/>
  <c r="AM18" i="119"/>
  <c r="AC18" i="119"/>
  <c r="AM15" i="119"/>
  <c r="AC15" i="119"/>
  <c r="AM29" i="119"/>
  <c r="AC29" i="119"/>
  <c r="T27" i="119"/>
  <c r="J27" i="119"/>
  <c r="T22" i="119"/>
  <c r="J22" i="119"/>
  <c r="S43" i="119"/>
  <c r="I43" i="119"/>
  <c r="AM26" i="119"/>
  <c r="AC26" i="119"/>
  <c r="S45" i="119"/>
  <c r="I45" i="119"/>
  <c r="T35" i="119"/>
  <c r="J35" i="119"/>
  <c r="R40" i="119"/>
  <c r="H40" i="119"/>
  <c r="T16" i="119"/>
  <c r="J16" i="119"/>
  <c r="AM9" i="119"/>
  <c r="AC9" i="119"/>
  <c r="T24" i="119"/>
  <c r="J24" i="119"/>
  <c r="S23" i="119"/>
  <c r="I23" i="119"/>
  <c r="R21" i="119"/>
  <c r="H21" i="119"/>
  <c r="AM38" i="119"/>
  <c r="AC38" i="119"/>
  <c r="R29" i="119"/>
  <c r="H29" i="119"/>
  <c r="AM14" i="119"/>
  <c r="AC14" i="119"/>
  <c r="T42" i="119"/>
  <c r="J42" i="119"/>
  <c r="AN9" i="118"/>
  <c r="AE9" i="118" s="1"/>
  <c r="E9" i="118" s="1"/>
  <c r="AD9" i="118"/>
  <c r="AM18" i="118"/>
  <c r="AC18" i="118"/>
  <c r="S11" i="118"/>
  <c r="I11" i="118"/>
  <c r="T15" i="118"/>
  <c r="J15" i="118"/>
  <c r="S45" i="118"/>
  <c r="I45" i="118"/>
  <c r="AM14" i="118"/>
  <c r="AC14" i="118"/>
  <c r="T9" i="118"/>
  <c r="J9" i="118"/>
  <c r="S20" i="118"/>
  <c r="I20" i="118"/>
  <c r="S40" i="118"/>
  <c r="I40" i="118"/>
  <c r="R26" i="118"/>
  <c r="H26" i="118"/>
  <c r="T13" i="118"/>
  <c r="J13" i="118"/>
  <c r="T44" i="118"/>
  <c r="J44" i="118"/>
  <c r="AN10" i="118"/>
  <c r="AE10" i="118" s="1"/>
  <c r="AD10" i="118"/>
  <c r="AM22" i="118"/>
  <c r="AC22" i="118"/>
  <c r="T27" i="118"/>
  <c r="J27" i="118"/>
  <c r="AM33" i="118"/>
  <c r="AC33" i="118"/>
  <c r="T46" i="118"/>
  <c r="J46" i="118"/>
  <c r="T18" i="118"/>
  <c r="J18" i="118"/>
  <c r="AN12" i="118"/>
  <c r="AE12" i="118" s="1"/>
  <c r="AD12" i="118"/>
  <c r="S14" i="118"/>
  <c r="I14" i="118"/>
  <c r="AM25" i="118"/>
  <c r="AC25" i="118"/>
  <c r="S36" i="118"/>
  <c r="I36" i="118"/>
  <c r="T12" i="118"/>
  <c r="J12" i="118"/>
  <c r="S19" i="118"/>
  <c r="I19" i="118"/>
  <c r="S24" i="118"/>
  <c r="I24" i="118"/>
  <c r="AM24" i="118"/>
  <c r="AC24" i="118"/>
  <c r="T28" i="118"/>
  <c r="J28" i="118"/>
  <c r="T30" i="118"/>
  <c r="J30" i="118"/>
  <c r="AM28" i="118"/>
  <c r="AC28" i="118"/>
  <c r="S16" i="118"/>
  <c r="I16" i="118"/>
  <c r="T43" i="118"/>
  <c r="J43" i="118"/>
  <c r="T31" i="118"/>
  <c r="J31" i="118"/>
  <c r="R25" i="118"/>
  <c r="H25" i="118"/>
  <c r="AF42" i="118"/>
  <c r="N42" i="118"/>
  <c r="AF45" i="118"/>
  <c r="E45" i="118" s="1"/>
  <c r="N45" i="118"/>
  <c r="AF37" i="118"/>
  <c r="E37" i="118" s="1"/>
  <c r="N37" i="118"/>
  <c r="AF40" i="118"/>
  <c r="E40" i="118" s="1"/>
  <c r="N40" i="118"/>
  <c r="AF43" i="118"/>
  <c r="E43" i="118" s="1"/>
  <c r="N43" i="118"/>
  <c r="AF46" i="118"/>
  <c r="E46" i="118" s="1"/>
  <c r="N46" i="118"/>
  <c r="AF38" i="118"/>
  <c r="E38" i="118" s="1"/>
  <c r="N38" i="118"/>
  <c r="AF41" i="118"/>
  <c r="E41" i="118" s="1"/>
  <c r="N41" i="118"/>
  <c r="AF44" i="118"/>
  <c r="E44" i="118" s="1"/>
  <c r="N44" i="118"/>
  <c r="AF34" i="118"/>
  <c r="E34" i="118" s="1"/>
  <c r="N34" i="118"/>
  <c r="AF39" i="118"/>
  <c r="E39" i="118" s="1"/>
  <c r="AF29" i="118"/>
  <c r="N29" i="118"/>
  <c r="AF32" i="118"/>
  <c r="E32" i="118" s="1"/>
  <c r="N32" i="118"/>
  <c r="N39" i="118"/>
  <c r="AF36" i="118"/>
  <c r="E36" i="118" s="1"/>
  <c r="AF35" i="118"/>
  <c r="N35" i="118"/>
  <c r="AF27" i="118"/>
  <c r="N27" i="118"/>
  <c r="AF30" i="118"/>
  <c r="E30" i="118" s="1"/>
  <c r="N30" i="118"/>
  <c r="AF33" i="118"/>
  <c r="N33" i="118"/>
  <c r="N36" i="118"/>
  <c r="AF28" i="118"/>
  <c r="N28" i="118"/>
  <c r="AF22" i="118"/>
  <c r="N22" i="118"/>
  <c r="AF31" i="118"/>
  <c r="E31" i="118" s="1"/>
  <c r="AF23" i="118"/>
  <c r="E23" i="118" s="1"/>
  <c r="N23" i="118"/>
  <c r="N31" i="118"/>
  <c r="AF21" i="118"/>
  <c r="E21" i="118" s="1"/>
  <c r="N21" i="118"/>
  <c r="AF24" i="118"/>
  <c r="N24" i="118"/>
  <c r="AF20" i="118"/>
  <c r="E20" i="118" s="1"/>
  <c r="N19" i="118"/>
  <c r="N26" i="118"/>
  <c r="N25" i="118"/>
  <c r="AF15" i="118"/>
  <c r="E15" i="118" s="1"/>
  <c r="N15" i="118"/>
  <c r="AF26" i="118"/>
  <c r="AF25" i="118"/>
  <c r="AF13" i="118"/>
  <c r="E13" i="118" s="1"/>
  <c r="N13" i="118"/>
  <c r="AF16" i="118"/>
  <c r="E16" i="118" s="1"/>
  <c r="N16" i="118"/>
  <c r="AF19" i="118"/>
  <c r="AF14" i="118"/>
  <c r="N14" i="118"/>
  <c r="N20" i="118"/>
  <c r="AF11" i="118"/>
  <c r="N11" i="118"/>
  <c r="N9" i="118"/>
  <c r="AF18" i="118"/>
  <c r="AF9" i="118"/>
  <c r="N17" i="118"/>
  <c r="AF12" i="118"/>
  <c r="N12" i="118"/>
  <c r="N18" i="118"/>
  <c r="AF17" i="118"/>
  <c r="E17" i="118" s="1"/>
  <c r="AF10" i="118"/>
  <c r="E10" i="118" s="1"/>
  <c r="N10" i="118"/>
  <c r="S22" i="118"/>
  <c r="I22" i="118"/>
  <c r="S41" i="118"/>
  <c r="I41" i="118"/>
  <c r="T34" i="118"/>
  <c r="J34" i="118"/>
  <c r="AN11" i="118"/>
  <c r="AE11" i="118" s="1"/>
  <c r="AD11" i="118"/>
  <c r="AM26" i="118"/>
  <c r="AC26" i="118"/>
  <c r="R33" i="118"/>
  <c r="H33" i="118"/>
  <c r="AM27" i="118"/>
  <c r="AC27" i="118"/>
  <c r="S29" i="118"/>
  <c r="I29" i="118"/>
  <c r="S37" i="118"/>
  <c r="I37" i="118"/>
  <c r="T39" i="118"/>
  <c r="J39" i="118"/>
  <c r="S38" i="118"/>
  <c r="I38" i="118"/>
  <c r="R23" i="118"/>
  <c r="H23" i="118"/>
  <c r="E35" i="118"/>
  <c r="E42" i="118"/>
  <c r="T17" i="118"/>
  <c r="J17" i="118"/>
  <c r="S35" i="118"/>
  <c r="I35" i="118"/>
  <c r="S21" i="118"/>
  <c r="I21" i="118"/>
  <c r="T10" i="118"/>
  <c r="J10" i="118"/>
  <c r="T32" i="118"/>
  <c r="J32" i="118"/>
  <c r="E29" i="118"/>
  <c r="T42" i="118"/>
  <c r="J42" i="118"/>
  <c r="AM19" i="118"/>
  <c r="AC19" i="118"/>
  <c r="AM35" i="117"/>
  <c r="AC35" i="117"/>
  <c r="AM33" i="117"/>
  <c r="AC33" i="117"/>
  <c r="AM21" i="117"/>
  <c r="AC21" i="117"/>
  <c r="AM32" i="117"/>
  <c r="AC32" i="117"/>
  <c r="T28" i="117"/>
  <c r="J28" i="117"/>
  <c r="S22" i="117"/>
  <c r="I22" i="117"/>
  <c r="T16" i="117"/>
  <c r="J16" i="117"/>
  <c r="R26" i="117"/>
  <c r="H26" i="117"/>
  <c r="S36" i="117"/>
  <c r="I36" i="117"/>
  <c r="AM23" i="117"/>
  <c r="AC23" i="117"/>
  <c r="T35" i="117"/>
  <c r="J35" i="117"/>
  <c r="AC30" i="117"/>
  <c r="AM40" i="117"/>
  <c r="AC40" i="117"/>
  <c r="T42" i="117"/>
  <c r="J42" i="117"/>
  <c r="AM46" i="117"/>
  <c r="AC46" i="117"/>
  <c r="T29" i="117"/>
  <c r="J29" i="117"/>
  <c r="T23" i="117"/>
  <c r="J23" i="117"/>
  <c r="T13" i="117"/>
  <c r="J13" i="117"/>
  <c r="S11" i="117"/>
  <c r="I11" i="117"/>
  <c r="AM38" i="117"/>
  <c r="AC38" i="117"/>
  <c r="R34" i="117"/>
  <c r="H34" i="117"/>
  <c r="AM24" i="117"/>
  <c r="AC24" i="117"/>
  <c r="AM45" i="117"/>
  <c r="AC45" i="117"/>
  <c r="S32" i="117"/>
  <c r="I32" i="117"/>
  <c r="AM43" i="117"/>
  <c r="AC43" i="117"/>
  <c r="AM26" i="117"/>
  <c r="AC26" i="117"/>
  <c r="T25" i="117"/>
  <c r="J25" i="117"/>
  <c r="S38" i="117"/>
  <c r="I38" i="117"/>
  <c r="T41" i="117"/>
  <c r="J41" i="117"/>
  <c r="T10" i="117"/>
  <c r="J10" i="117"/>
  <c r="T37" i="117"/>
  <c r="J37" i="117"/>
  <c r="AM9" i="117"/>
  <c r="AC9" i="117"/>
  <c r="R46" i="117"/>
  <c r="H46" i="117"/>
  <c r="S27" i="117"/>
  <c r="I27" i="117"/>
  <c r="T21" i="117"/>
  <c r="J21" i="117"/>
  <c r="AM25" i="117"/>
  <c r="AC25" i="117"/>
  <c r="T19" i="117"/>
  <c r="J19" i="117"/>
  <c r="T12" i="117"/>
  <c r="J12" i="117"/>
  <c r="AM31" i="117"/>
  <c r="AC31" i="117"/>
  <c r="AM22" i="117"/>
  <c r="AC22" i="117"/>
  <c r="S39" i="117"/>
  <c r="I39" i="117"/>
  <c r="R44" i="117"/>
  <c r="H44" i="117"/>
  <c r="T20" i="117"/>
  <c r="J20" i="117"/>
  <c r="T30" i="117"/>
  <c r="J30" i="117"/>
  <c r="T40" i="117"/>
  <c r="J40" i="117"/>
  <c r="R24" i="117"/>
  <c r="H24" i="117"/>
  <c r="S9" i="117"/>
  <c r="I9" i="117"/>
  <c r="AE39" i="117"/>
  <c r="AE42" i="117"/>
  <c r="AE44" i="117"/>
  <c r="AE37" i="117"/>
  <c r="AE36" i="117"/>
  <c r="AE41" i="117"/>
  <c r="AE34" i="117"/>
  <c r="AE27" i="117"/>
  <c r="AE28" i="117"/>
  <c r="AE29" i="117"/>
  <c r="AE16" i="117"/>
  <c r="AE19" i="117"/>
  <c r="AE17" i="117"/>
  <c r="AE15" i="117"/>
  <c r="AE18" i="117"/>
  <c r="AE20" i="117"/>
  <c r="AE11" i="117"/>
  <c r="AE14" i="117"/>
  <c r="AE10" i="117"/>
  <c r="W5" i="117"/>
  <c r="AE12" i="117"/>
  <c r="AE13" i="117"/>
  <c r="T14" i="117"/>
  <c r="J14" i="117"/>
  <c r="T45" i="117"/>
  <c r="J45" i="117"/>
  <c r="S18" i="117"/>
  <c r="I18" i="117"/>
  <c r="S15" i="117"/>
  <c r="I15" i="117"/>
  <c r="S17" i="117"/>
  <c r="I17" i="117"/>
  <c r="T31" i="117"/>
  <c r="J31" i="117"/>
  <c r="S33" i="117"/>
  <c r="I33" i="117"/>
  <c r="R43" i="117"/>
  <c r="H43" i="117"/>
  <c r="G40" i="113"/>
  <c r="Q40" i="113"/>
  <c r="H40" i="113" s="1"/>
  <c r="G25" i="113"/>
  <c r="Q25" i="113"/>
  <c r="G27" i="113"/>
  <c r="H27" i="113"/>
  <c r="Q27" i="113"/>
  <c r="AA26" i="113"/>
  <c r="AA45" i="113"/>
  <c r="Z38" i="113"/>
  <c r="AB41" i="113"/>
  <c r="AB33" i="113"/>
  <c r="AB25" i="113"/>
  <c r="AB17" i="113"/>
  <c r="G17" i="113"/>
  <c r="Q17" i="113"/>
  <c r="H17" i="113" s="1"/>
  <c r="Z35" i="113"/>
  <c r="P28" i="113"/>
  <c r="P38" i="113"/>
  <c r="P30" i="113"/>
  <c r="Z10" i="113"/>
  <c r="AB32" i="113"/>
  <c r="AB24" i="113"/>
  <c r="Z40" i="113"/>
  <c r="Z32" i="113"/>
  <c r="G10" i="113"/>
  <c r="H10" i="113"/>
  <c r="Q10" i="113"/>
  <c r="P32" i="113"/>
  <c r="BC63" i="113"/>
  <c r="BD52" i="113"/>
  <c r="BD55" i="113" s="1"/>
  <c r="BD59" i="113" s="1"/>
  <c r="AU44" i="113"/>
  <c r="P24" i="113"/>
  <c r="P29" i="113"/>
  <c r="AJ36" i="113"/>
  <c r="AK36" i="113" s="1"/>
  <c r="AL36" i="113" s="1"/>
  <c r="AM36" i="113" s="1"/>
  <c r="AN36" i="113" s="1"/>
  <c r="AA11" i="113"/>
  <c r="G26" i="113"/>
  <c r="Q26" i="113"/>
  <c r="H26" i="113" s="1"/>
  <c r="AB39" i="113"/>
  <c r="AB23" i="113"/>
  <c r="P36" i="113"/>
  <c r="AA30" i="113"/>
  <c r="AB43" i="113"/>
  <c r="AB19" i="113"/>
  <c r="AB11" i="113"/>
  <c r="G43" i="113"/>
  <c r="Q43" i="113"/>
  <c r="H43" i="113"/>
  <c r="P33" i="113"/>
  <c r="AB42" i="113"/>
  <c r="P13" i="113"/>
  <c r="P22" i="113"/>
  <c r="P16" i="113"/>
  <c r="AB46" i="113"/>
  <c r="AB30" i="113"/>
  <c r="AB22" i="113"/>
  <c r="P37" i="113"/>
  <c r="P20" i="113"/>
  <c r="AC17" i="113"/>
  <c r="AC24" i="113"/>
  <c r="AC25" i="113"/>
  <c r="AC32" i="113"/>
  <c r="AC33" i="113"/>
  <c r="AC41" i="113"/>
  <c r="Z27" i="113"/>
  <c r="AB35" i="113"/>
  <c r="AA20" i="113"/>
  <c r="BC52" i="113"/>
  <c r="BC55" i="113" s="1"/>
  <c r="BC59" i="113" s="1"/>
  <c r="P42" i="113"/>
  <c r="AJ15" i="113"/>
  <c r="Z15" i="113"/>
  <c r="P12" i="113"/>
  <c r="AB37" i="113"/>
  <c r="AB29" i="113"/>
  <c r="AB21" i="113"/>
  <c r="AB13" i="113"/>
  <c r="P19" i="113"/>
  <c r="AA44" i="113"/>
  <c r="P14" i="113"/>
  <c r="BG52" i="113"/>
  <c r="BG55" i="113" s="1"/>
  <c r="BG59" i="113" s="1"/>
  <c r="AA35" i="113"/>
  <c r="AB36" i="113"/>
  <c r="AB28" i="113"/>
  <c r="Z25" i="113"/>
  <c r="P35" i="113"/>
  <c r="W14" i="113"/>
  <c r="AR41" i="113"/>
  <c r="AV41" i="113"/>
  <c r="AX41" i="113"/>
  <c r="AW41" i="113"/>
  <c r="AS41" i="113"/>
  <c r="AU41" i="113"/>
  <c r="AT41" i="113"/>
  <c r="AJ18" i="113"/>
  <c r="AJ16" i="113"/>
  <c r="AA16" i="113" s="1"/>
  <c r="AV15" i="113"/>
  <c r="AS15" i="113"/>
  <c r="AT15" i="113"/>
  <c r="AW15" i="113"/>
  <c r="AX15" i="113"/>
  <c r="AR15" i="113"/>
  <c r="P15" i="113" s="1"/>
  <c r="AU15" i="113"/>
  <c r="AV34" i="113"/>
  <c r="AQ34" i="113"/>
  <c r="AT34" i="113"/>
  <c r="AW34" i="113"/>
  <c r="AX34" i="113"/>
  <c r="AU34" i="113"/>
  <c r="CR63" i="113"/>
  <c r="AX63" i="113" s="1"/>
  <c r="AQ63" i="113"/>
  <c r="P63" i="113" s="1"/>
  <c r="BC67" i="113"/>
  <c r="AJ20" i="113"/>
  <c r="AJ44" i="113"/>
  <c r="BF63" i="113"/>
  <c r="P9" i="113"/>
  <c r="AJ38" i="113"/>
  <c r="AJ12" i="113"/>
  <c r="AA12" i="113" s="1"/>
  <c r="AQ45" i="113"/>
  <c r="P45" i="113" s="1"/>
  <c r="AS45" i="113"/>
  <c r="AU45" i="113"/>
  <c r="AW45" i="113"/>
  <c r="AT45" i="113"/>
  <c r="AV45" i="113"/>
  <c r="AT59" i="113"/>
  <c r="AW44" i="113"/>
  <c r="AX44" i="113"/>
  <c r="AJ27" i="113"/>
  <c r="AA27" i="113" s="1"/>
  <c r="AJ31" i="113"/>
  <c r="AA31" i="113" s="1"/>
  <c r="AW46" i="113"/>
  <c r="AV46" i="113"/>
  <c r="AS46" i="113"/>
  <c r="AQ46" i="113"/>
  <c r="AT46" i="113"/>
  <c r="AX46" i="113"/>
  <c r="AR46" i="113"/>
  <c r="AS34" i="113"/>
  <c r="AJ34" i="113"/>
  <c r="AA34" i="113" s="1"/>
  <c r="AR34" i="113"/>
  <c r="AS18" i="113"/>
  <c r="AR18" i="113"/>
  <c r="AQ18" i="113"/>
  <c r="AU18" i="113"/>
  <c r="AV18" i="113"/>
  <c r="AW18" i="113"/>
  <c r="AX18" i="113"/>
  <c r="AX39" i="113"/>
  <c r="AU39" i="113"/>
  <c r="AS39" i="113"/>
  <c r="AQ39" i="113"/>
  <c r="AW39" i="113"/>
  <c r="AT39" i="113"/>
  <c r="AV39" i="113"/>
  <c r="CR67" i="113"/>
  <c r="CR59" i="113"/>
  <c r="AS59" i="113" s="1"/>
  <c r="AX52" i="113"/>
  <c r="AX55" i="113"/>
  <c r="AR39" i="113"/>
  <c r="AU46" i="113"/>
  <c r="AV44" i="113"/>
  <c r="AT23" i="113"/>
  <c r="AR23" i="113"/>
  <c r="P23" i="113" s="1"/>
  <c r="AS23" i="113"/>
  <c r="AX23" i="113"/>
  <c r="AV23" i="113"/>
  <c r="AW23" i="113"/>
  <c r="AU23" i="113"/>
  <c r="BE67" i="113"/>
  <c r="AQ52" i="113"/>
  <c r="P52" i="113" s="1"/>
  <c r="CR52" i="113"/>
  <c r="AS52" i="113" s="1"/>
  <c r="BA63" i="113"/>
  <c r="AI63" i="113" s="1"/>
  <c r="AJ45" i="113"/>
  <c r="AJ40" i="113"/>
  <c r="AU24" i="113"/>
  <c r="AW24" i="113"/>
  <c r="AV24" i="113"/>
  <c r="AX24" i="113"/>
  <c r="AT24" i="113"/>
  <c r="AR24" i="113"/>
  <c r="AT18" i="113"/>
  <c r="AW63" i="113"/>
  <c r="AR11" i="113"/>
  <c r="P11" i="113" s="1"/>
  <c r="AS11" i="113"/>
  <c r="AU11" i="113"/>
  <c r="AV11" i="113"/>
  <c r="AW11" i="113"/>
  <c r="AT11" i="113"/>
  <c r="AX11" i="113"/>
  <c r="AR52" i="113"/>
  <c r="AS24" i="113"/>
  <c r="AJ26" i="113"/>
  <c r="BA67" i="113"/>
  <c r="AW52" i="113"/>
  <c r="BB67" i="113"/>
  <c r="T5" i="113"/>
  <c r="AC14" i="113" s="1"/>
  <c r="AX31" i="113"/>
  <c r="AS31" i="113"/>
  <c r="AR31" i="113"/>
  <c r="P31" i="113" s="1"/>
  <c r="AV31" i="113"/>
  <c r="AT31" i="113"/>
  <c r="AU31" i="113"/>
  <c r="AW31" i="113"/>
  <c r="AJ9" i="113"/>
  <c r="AA9" i="113" s="1"/>
  <c r="Y63" i="113"/>
  <c r="AU55" i="113"/>
  <c r="BD67" i="113"/>
  <c r="AS44" i="113"/>
  <c r="P44" i="113" s="1"/>
  <c r="AJ10" i="113"/>
  <c r="AA10" i="113" s="1"/>
  <c r="AQ41" i="113"/>
  <c r="AZ67" i="113"/>
  <c r="AH67" i="113" s="1"/>
  <c r="BF67" i="113"/>
  <c r="AX21" i="113"/>
  <c r="AV21" i="113"/>
  <c r="AW21" i="113"/>
  <c r="AQ21" i="113"/>
  <c r="AT21" i="113"/>
  <c r="AR21" i="113"/>
  <c r="AU63" i="113"/>
  <c r="AZ52" i="113"/>
  <c r="CR55" i="113"/>
  <c r="Z37" i="111"/>
  <c r="Y36" i="111"/>
  <c r="Y38" i="111"/>
  <c r="Y16" i="111"/>
  <c r="Y12" i="111"/>
  <c r="Z25" i="111"/>
  <c r="Y41" i="111"/>
  <c r="Y44" i="111"/>
  <c r="Y11" i="111"/>
  <c r="Z29" i="111"/>
  <c r="Y9" i="111"/>
  <c r="Y46" i="111"/>
  <c r="Z35" i="111"/>
  <c r="Y26" i="111"/>
  <c r="Y18" i="111"/>
  <c r="Y17" i="111"/>
  <c r="Z10" i="111"/>
  <c r="Y40" i="111"/>
  <c r="Z33" i="111"/>
  <c r="Z27" i="111"/>
  <c r="Y39" i="111"/>
  <c r="Z19" i="111"/>
  <c r="Y15" i="111"/>
  <c r="Y22" i="111"/>
  <c r="Y31" i="111"/>
  <c r="Y43" i="111"/>
  <c r="Y24" i="111"/>
  <c r="I5" i="111"/>
  <c r="Y28" i="111"/>
  <c r="Y34" i="111"/>
  <c r="Y20" i="111"/>
  <c r="Y32" i="111"/>
  <c r="Y21" i="111"/>
  <c r="Y30" i="111"/>
  <c r="Y23" i="111"/>
  <c r="Y14" i="111"/>
  <c r="Y13" i="111"/>
  <c r="Y45" i="111"/>
  <c r="Y42" i="111"/>
  <c r="I18" i="119" l="1"/>
  <c r="S18" i="119"/>
  <c r="AN36" i="119"/>
  <c r="AE36" i="119" s="1"/>
  <c r="AD36" i="119"/>
  <c r="AN45" i="119"/>
  <c r="AE45" i="119" s="1"/>
  <c r="AD45" i="119"/>
  <c r="AN23" i="119"/>
  <c r="AE23" i="119" s="1"/>
  <c r="AD23" i="119"/>
  <c r="AF42" i="119"/>
  <c r="E42" i="119" s="1"/>
  <c r="N42" i="119"/>
  <c r="AF45" i="119"/>
  <c r="N45" i="119"/>
  <c r="AF37" i="119"/>
  <c r="N37" i="119"/>
  <c r="AF40" i="119"/>
  <c r="N40" i="119"/>
  <c r="AF46" i="119"/>
  <c r="E46" i="119" s="1"/>
  <c r="N46" i="119"/>
  <c r="AF38" i="119"/>
  <c r="N38" i="119"/>
  <c r="AF41" i="119"/>
  <c r="N41" i="119"/>
  <c r="N39" i="119"/>
  <c r="AF36" i="119"/>
  <c r="E36" i="119" s="1"/>
  <c r="N44" i="119"/>
  <c r="N43" i="119"/>
  <c r="AF39" i="119"/>
  <c r="E39" i="119" s="1"/>
  <c r="AF44" i="119"/>
  <c r="E44" i="119" s="1"/>
  <c r="AF43" i="119"/>
  <c r="E43" i="119" s="1"/>
  <c r="AF32" i="119"/>
  <c r="N32" i="119"/>
  <c r="AF31" i="119"/>
  <c r="N30" i="119"/>
  <c r="AF26" i="119"/>
  <c r="N26" i="119"/>
  <c r="AF33" i="119"/>
  <c r="E33" i="119" s="1"/>
  <c r="N31" i="119"/>
  <c r="AF29" i="119"/>
  <c r="N29" i="119"/>
  <c r="AF34" i="119"/>
  <c r="E34" i="119" s="1"/>
  <c r="N33" i="119"/>
  <c r="AF27" i="119"/>
  <c r="N27" i="119"/>
  <c r="AF35" i="119"/>
  <c r="E35" i="119" s="1"/>
  <c r="N36" i="119"/>
  <c r="AF23" i="119"/>
  <c r="N23" i="119"/>
  <c r="AF21" i="119"/>
  <c r="E21" i="119" s="1"/>
  <c r="N21" i="119"/>
  <c r="AF24" i="119"/>
  <c r="E24" i="119" s="1"/>
  <c r="N24" i="119"/>
  <c r="N25" i="119"/>
  <c r="N22" i="119"/>
  <c r="N20" i="119"/>
  <c r="AF14" i="119"/>
  <c r="N14" i="119"/>
  <c r="N9" i="119"/>
  <c r="N35" i="119"/>
  <c r="N34" i="119"/>
  <c r="AF17" i="119"/>
  <c r="E17" i="119" s="1"/>
  <c r="N17" i="119"/>
  <c r="AF30" i="119"/>
  <c r="E30" i="119" s="1"/>
  <c r="AF25" i="119"/>
  <c r="E25" i="119" s="1"/>
  <c r="AF22" i="119"/>
  <c r="AF20" i="119"/>
  <c r="E20" i="119" s="1"/>
  <c r="AF12" i="119"/>
  <c r="E12" i="119" s="1"/>
  <c r="N12" i="119"/>
  <c r="AF28" i="119"/>
  <c r="E28" i="119" s="1"/>
  <c r="AF19" i="119"/>
  <c r="AF15" i="119"/>
  <c r="N15" i="119"/>
  <c r="N13" i="119"/>
  <c r="N11" i="119"/>
  <c r="N18" i="119"/>
  <c r="N16" i="119"/>
  <c r="AF13" i="119"/>
  <c r="E13" i="119" s="1"/>
  <c r="N28" i="119"/>
  <c r="AF18" i="119"/>
  <c r="AF16" i="119"/>
  <c r="E16" i="119" s="1"/>
  <c r="AF10" i="119"/>
  <c r="AF9" i="119"/>
  <c r="N19" i="119"/>
  <c r="AF11" i="119"/>
  <c r="E11" i="119" s="1"/>
  <c r="N10" i="119"/>
  <c r="AN14" i="119"/>
  <c r="AE14" i="119" s="1"/>
  <c r="AD14" i="119"/>
  <c r="S21" i="119"/>
  <c r="I21" i="119"/>
  <c r="U16" i="119"/>
  <c r="K16" i="119"/>
  <c r="T43" i="119"/>
  <c r="J43" i="119"/>
  <c r="AN15" i="119"/>
  <c r="AE15" i="119" s="1"/>
  <c r="AD15" i="119"/>
  <c r="AN41" i="119"/>
  <c r="AE41" i="119" s="1"/>
  <c r="AD41" i="119"/>
  <c r="AN32" i="119"/>
  <c r="AE32" i="119" s="1"/>
  <c r="AD32" i="119"/>
  <c r="T20" i="119"/>
  <c r="J20" i="119"/>
  <c r="U19" i="119"/>
  <c r="K19" i="119"/>
  <c r="U33" i="119"/>
  <c r="K33" i="119"/>
  <c r="S13" i="119"/>
  <c r="I13" i="119"/>
  <c r="V11" i="119"/>
  <c r="M11" i="119" s="1"/>
  <c r="L11" i="119"/>
  <c r="U28" i="119"/>
  <c r="K28" i="119"/>
  <c r="T44" i="119"/>
  <c r="J44" i="119"/>
  <c r="S29" i="119"/>
  <c r="I29" i="119"/>
  <c r="T23" i="119"/>
  <c r="J23" i="119"/>
  <c r="U22" i="119"/>
  <c r="K22" i="119"/>
  <c r="U25" i="119"/>
  <c r="K25" i="119"/>
  <c r="AN19" i="119"/>
  <c r="AE19" i="119" s="1"/>
  <c r="AD19" i="119"/>
  <c r="S32" i="119"/>
  <c r="I32" i="119"/>
  <c r="S17" i="119"/>
  <c r="I17" i="119"/>
  <c r="AN27" i="119"/>
  <c r="AE27" i="119" s="1"/>
  <c r="AD27" i="119"/>
  <c r="AN37" i="119"/>
  <c r="AE37" i="119" s="1"/>
  <c r="AD37" i="119"/>
  <c r="T31" i="119"/>
  <c r="J31" i="119"/>
  <c r="S40" i="119"/>
  <c r="I40" i="119"/>
  <c r="AN18" i="119"/>
  <c r="AE18" i="119" s="1"/>
  <c r="AD18" i="119"/>
  <c r="AN31" i="119"/>
  <c r="AE31" i="119" s="1"/>
  <c r="AD31" i="119"/>
  <c r="T36" i="119"/>
  <c r="J36" i="119"/>
  <c r="U37" i="119"/>
  <c r="K37" i="119"/>
  <c r="T45" i="119"/>
  <c r="J45" i="119"/>
  <c r="U24" i="119"/>
  <c r="K24" i="119"/>
  <c r="AN26" i="119"/>
  <c r="AE26" i="119" s="1"/>
  <c r="AD26" i="119"/>
  <c r="U27" i="119"/>
  <c r="K27" i="119"/>
  <c r="T38" i="119"/>
  <c r="J38" i="119"/>
  <c r="T14" i="119"/>
  <c r="J14" i="119"/>
  <c r="S46" i="119"/>
  <c r="I46" i="119"/>
  <c r="U15" i="119"/>
  <c r="K15" i="119"/>
  <c r="U12" i="119"/>
  <c r="K12" i="119"/>
  <c r="S34" i="119"/>
  <c r="I34" i="119"/>
  <c r="AN22" i="119"/>
  <c r="AE22" i="119" s="1"/>
  <c r="AD22" i="119"/>
  <c r="U42" i="119"/>
  <c r="K42" i="119"/>
  <c r="AN38" i="119"/>
  <c r="AE38" i="119" s="1"/>
  <c r="AD38" i="119"/>
  <c r="U35" i="119"/>
  <c r="K35" i="119"/>
  <c r="T9" i="119"/>
  <c r="J9" i="119"/>
  <c r="T30" i="119"/>
  <c r="J30" i="119"/>
  <c r="T41" i="119"/>
  <c r="J41" i="119"/>
  <c r="AN9" i="119"/>
  <c r="AE9" i="119" s="1"/>
  <c r="AD9" i="119"/>
  <c r="AN29" i="119"/>
  <c r="AE29" i="119" s="1"/>
  <c r="AD29" i="119"/>
  <c r="S39" i="119"/>
  <c r="I39" i="119"/>
  <c r="AN10" i="119"/>
  <c r="AE10" i="119" s="1"/>
  <c r="AD10" i="119"/>
  <c r="AN40" i="119"/>
  <c r="AE40" i="119" s="1"/>
  <c r="AD40" i="119"/>
  <c r="T26" i="119"/>
  <c r="J26" i="119"/>
  <c r="T10" i="119"/>
  <c r="J10" i="119"/>
  <c r="U34" i="118"/>
  <c r="K34" i="118"/>
  <c r="E33" i="118"/>
  <c r="U12" i="118"/>
  <c r="K12" i="118"/>
  <c r="T35" i="118"/>
  <c r="J35" i="118"/>
  <c r="S23" i="118"/>
  <c r="I23" i="118"/>
  <c r="T29" i="118"/>
  <c r="J29" i="118"/>
  <c r="AN26" i="118"/>
  <c r="AE26" i="118" s="1"/>
  <c r="AD26" i="118"/>
  <c r="E11" i="118"/>
  <c r="T16" i="118"/>
  <c r="J16" i="118"/>
  <c r="U27" i="118"/>
  <c r="K27" i="118"/>
  <c r="U13" i="118"/>
  <c r="K13" i="118"/>
  <c r="U9" i="118"/>
  <c r="K9" i="118"/>
  <c r="T11" i="118"/>
  <c r="J11" i="118"/>
  <c r="U10" i="118"/>
  <c r="K10" i="118"/>
  <c r="T41" i="118"/>
  <c r="J41" i="118"/>
  <c r="AN24" i="118"/>
  <c r="AE24" i="118" s="1"/>
  <c r="E24" i="118" s="1"/>
  <c r="AD24" i="118"/>
  <c r="T36" i="118"/>
  <c r="J36" i="118"/>
  <c r="AN19" i="118"/>
  <c r="AE19" i="118" s="1"/>
  <c r="E19" i="118" s="1"/>
  <c r="AD19" i="118"/>
  <c r="T38" i="118"/>
  <c r="J38" i="118"/>
  <c r="E12" i="118"/>
  <c r="S25" i="118"/>
  <c r="I25" i="118"/>
  <c r="AN28" i="118"/>
  <c r="AE28" i="118" s="1"/>
  <c r="AD28" i="118"/>
  <c r="E28" i="118" s="1"/>
  <c r="U18" i="118"/>
  <c r="K18" i="118"/>
  <c r="AN22" i="118"/>
  <c r="AE22" i="118" s="1"/>
  <c r="AD22" i="118"/>
  <c r="E22" i="118" s="1"/>
  <c r="S26" i="118"/>
  <c r="I26" i="118"/>
  <c r="AN14" i="118"/>
  <c r="AE14" i="118" s="1"/>
  <c r="AD14" i="118"/>
  <c r="U17" i="118"/>
  <c r="K17" i="118"/>
  <c r="AN27" i="118"/>
  <c r="AE27" i="118" s="1"/>
  <c r="E27" i="118" s="1"/>
  <c r="AD27" i="118"/>
  <c r="E14" i="118"/>
  <c r="T24" i="118"/>
  <c r="J24" i="118"/>
  <c r="U42" i="118"/>
  <c r="K42" i="118"/>
  <c r="U39" i="118"/>
  <c r="K39" i="118"/>
  <c r="T22" i="118"/>
  <c r="J22" i="118"/>
  <c r="U31" i="118"/>
  <c r="K31" i="118"/>
  <c r="U30" i="118"/>
  <c r="K30" i="118"/>
  <c r="AN25" i="118"/>
  <c r="AE25" i="118" s="1"/>
  <c r="E25" i="118" s="1"/>
  <c r="AD25" i="118"/>
  <c r="U46" i="118"/>
  <c r="K46" i="118"/>
  <c r="T40" i="118"/>
  <c r="J40" i="118"/>
  <c r="T45" i="118"/>
  <c r="J45" i="118"/>
  <c r="U32" i="118"/>
  <c r="K32" i="118"/>
  <c r="U28" i="118"/>
  <c r="K28" i="118"/>
  <c r="T19" i="118"/>
  <c r="J19" i="118"/>
  <c r="AN18" i="118"/>
  <c r="AE18" i="118" s="1"/>
  <c r="AD18" i="118"/>
  <c r="T21" i="118"/>
  <c r="J21" i="118"/>
  <c r="T37" i="118"/>
  <c r="J37" i="118"/>
  <c r="S33" i="118"/>
  <c r="I33" i="118"/>
  <c r="U43" i="118"/>
  <c r="K43" i="118"/>
  <c r="T14" i="118"/>
  <c r="J14" i="118"/>
  <c r="AN33" i="118"/>
  <c r="AE33" i="118" s="1"/>
  <c r="AD33" i="118"/>
  <c r="U44" i="118"/>
  <c r="K44" i="118"/>
  <c r="T20" i="118"/>
  <c r="J20" i="118"/>
  <c r="U15" i="118"/>
  <c r="K15" i="118"/>
  <c r="AN33" i="117"/>
  <c r="AE33" i="117" s="1"/>
  <c r="AD33" i="117"/>
  <c r="AN32" i="117"/>
  <c r="AE32" i="117" s="1"/>
  <c r="AD32" i="117"/>
  <c r="AN21" i="117"/>
  <c r="AE21" i="117" s="1"/>
  <c r="AD21" i="117"/>
  <c r="AN35" i="117"/>
  <c r="AE35" i="117" s="1"/>
  <c r="AD35" i="117"/>
  <c r="U14" i="117"/>
  <c r="K14" i="117"/>
  <c r="T17" i="117"/>
  <c r="J17" i="117"/>
  <c r="T18" i="117"/>
  <c r="J18" i="117"/>
  <c r="U41" i="117"/>
  <c r="K41" i="117"/>
  <c r="AN26" i="117"/>
  <c r="AE26" i="117" s="1"/>
  <c r="AD26" i="117"/>
  <c r="AN24" i="117"/>
  <c r="AE24" i="117" s="1"/>
  <c r="AD24" i="117"/>
  <c r="T11" i="117"/>
  <c r="J11" i="117"/>
  <c r="AN46" i="117"/>
  <c r="AE46" i="117" s="1"/>
  <c r="AD46" i="117"/>
  <c r="AN30" i="117"/>
  <c r="AE30" i="117" s="1"/>
  <c r="AD30" i="117"/>
  <c r="S26" i="117"/>
  <c r="I26" i="117"/>
  <c r="T9" i="117"/>
  <c r="J9" i="117"/>
  <c r="U30" i="117"/>
  <c r="K30" i="117"/>
  <c r="AN22" i="117"/>
  <c r="AE22" i="117" s="1"/>
  <c r="AD22" i="117"/>
  <c r="T15" i="117"/>
  <c r="J15" i="117"/>
  <c r="T38" i="117"/>
  <c r="J38" i="117"/>
  <c r="AN43" i="117"/>
  <c r="AE43" i="117" s="1"/>
  <c r="AD43" i="117"/>
  <c r="U13" i="117"/>
  <c r="K13" i="117"/>
  <c r="U35" i="117"/>
  <c r="K35" i="117"/>
  <c r="U28" i="117"/>
  <c r="K28" i="117"/>
  <c r="T33" i="117"/>
  <c r="J33" i="117"/>
  <c r="AN31" i="117"/>
  <c r="AE31" i="117" s="1"/>
  <c r="AD31" i="117"/>
  <c r="U42" i="117"/>
  <c r="K42" i="117"/>
  <c r="S34" i="117"/>
  <c r="I34" i="117"/>
  <c r="U45" i="117"/>
  <c r="K45" i="117"/>
  <c r="S44" i="117"/>
  <c r="I44" i="117"/>
  <c r="AN25" i="117"/>
  <c r="AE25" i="117" s="1"/>
  <c r="AD25" i="117"/>
  <c r="S46" i="117"/>
  <c r="I46" i="117"/>
  <c r="U37" i="117"/>
  <c r="K37" i="117"/>
  <c r="T32" i="117"/>
  <c r="J32" i="117"/>
  <c r="AN38" i="117"/>
  <c r="AE38" i="117" s="1"/>
  <c r="AD38" i="117"/>
  <c r="U23" i="117"/>
  <c r="K23" i="117"/>
  <c r="AN23" i="117"/>
  <c r="AE23" i="117" s="1"/>
  <c r="AD23" i="117"/>
  <c r="T27" i="117"/>
  <c r="J27" i="117"/>
  <c r="U16" i="117"/>
  <c r="K16" i="117"/>
  <c r="U31" i="117"/>
  <c r="K31" i="117"/>
  <c r="AF46" i="117"/>
  <c r="E46" i="117" s="1"/>
  <c r="N46" i="117"/>
  <c r="AF45" i="117"/>
  <c r="N45" i="117"/>
  <c r="AF42" i="117"/>
  <c r="E42" i="117" s="1"/>
  <c r="N42" i="117"/>
  <c r="AF44" i="117"/>
  <c r="E44" i="117" s="1"/>
  <c r="N44" i="117"/>
  <c r="AF37" i="117"/>
  <c r="E37" i="117" s="1"/>
  <c r="N37" i="117"/>
  <c r="AF40" i="117"/>
  <c r="N40" i="117"/>
  <c r="AF43" i="117"/>
  <c r="E43" i="117" s="1"/>
  <c r="N43" i="117"/>
  <c r="AF39" i="117"/>
  <c r="E39" i="117" s="1"/>
  <c r="N39" i="117"/>
  <c r="AF36" i="117"/>
  <c r="E36" i="117" s="1"/>
  <c r="AF33" i="117"/>
  <c r="E33" i="117" s="1"/>
  <c r="N33" i="117"/>
  <c r="AF41" i="117"/>
  <c r="E41" i="117" s="1"/>
  <c r="N41" i="117"/>
  <c r="AF28" i="117"/>
  <c r="E28" i="117" s="1"/>
  <c r="N28" i="117"/>
  <c r="AF31" i="117"/>
  <c r="E31" i="117" s="1"/>
  <c r="N31" i="117"/>
  <c r="AF32" i="117"/>
  <c r="E32" i="117" s="1"/>
  <c r="N32" i="117"/>
  <c r="N27" i="117"/>
  <c r="AF27" i="117"/>
  <c r="E27" i="117" s="1"/>
  <c r="N38" i="117"/>
  <c r="AF25" i="117"/>
  <c r="N25" i="117"/>
  <c r="AF30" i="117"/>
  <c r="N35" i="117"/>
  <c r="N29" i="117"/>
  <c r="AF35" i="117"/>
  <c r="E35" i="117" s="1"/>
  <c r="AF29" i="117"/>
  <c r="E29" i="117" s="1"/>
  <c r="AF38" i="117"/>
  <c r="E38" i="117" s="1"/>
  <c r="AF34" i="117"/>
  <c r="E34" i="117" s="1"/>
  <c r="N34" i="117"/>
  <c r="N30" i="117"/>
  <c r="N36" i="117"/>
  <c r="N23" i="117"/>
  <c r="AF16" i="117"/>
  <c r="E16" i="117" s="1"/>
  <c r="N16" i="117"/>
  <c r="N26" i="117"/>
  <c r="AF24" i="117"/>
  <c r="E24" i="117" s="1"/>
  <c r="N24" i="117"/>
  <c r="AF19" i="117"/>
  <c r="E19" i="117" s="1"/>
  <c r="N19" i="117"/>
  <c r="AF22" i="117"/>
  <c r="E22" i="117" s="1"/>
  <c r="N22" i="117"/>
  <c r="AF17" i="117"/>
  <c r="E17" i="117" s="1"/>
  <c r="N17" i="117"/>
  <c r="AF20" i="117"/>
  <c r="E20" i="117" s="1"/>
  <c r="N20" i="117"/>
  <c r="AF18" i="117"/>
  <c r="E18" i="117" s="1"/>
  <c r="N18" i="117"/>
  <c r="AF21" i="117"/>
  <c r="E21" i="117" s="1"/>
  <c r="N21" i="117"/>
  <c r="AF15" i="117"/>
  <c r="E15" i="117" s="1"/>
  <c r="AF14" i="117"/>
  <c r="E14" i="117" s="1"/>
  <c r="N14" i="117"/>
  <c r="N9" i="117"/>
  <c r="AF9" i="117"/>
  <c r="AF12" i="117"/>
  <c r="E12" i="117" s="1"/>
  <c r="N12" i="117"/>
  <c r="N15" i="117"/>
  <c r="AF26" i="117"/>
  <c r="E26" i="117" s="1"/>
  <c r="AF10" i="117"/>
  <c r="E10" i="117" s="1"/>
  <c r="N10" i="117"/>
  <c r="N13" i="117"/>
  <c r="AF23" i="117"/>
  <c r="AF11" i="117"/>
  <c r="E11" i="117" s="1"/>
  <c r="N11" i="117"/>
  <c r="AF13" i="117"/>
  <c r="E13" i="117" s="1"/>
  <c r="S24" i="117"/>
  <c r="I24" i="117"/>
  <c r="U20" i="117"/>
  <c r="K20" i="117"/>
  <c r="U12" i="117"/>
  <c r="K12" i="117"/>
  <c r="U25" i="117"/>
  <c r="K25" i="117"/>
  <c r="AN40" i="117"/>
  <c r="AE40" i="117" s="1"/>
  <c r="AD40" i="117"/>
  <c r="S43" i="117"/>
  <c r="I43" i="117"/>
  <c r="U10" i="117"/>
  <c r="K10" i="117"/>
  <c r="AN45" i="117"/>
  <c r="AE45" i="117" s="1"/>
  <c r="AD45" i="117"/>
  <c r="U29" i="117"/>
  <c r="K29" i="117"/>
  <c r="T36" i="117"/>
  <c r="J36" i="117"/>
  <c r="U40" i="117"/>
  <c r="K40" i="117"/>
  <c r="T39" i="117"/>
  <c r="J39" i="117"/>
  <c r="U19" i="117"/>
  <c r="K19" i="117"/>
  <c r="U21" i="117"/>
  <c r="K21" i="117"/>
  <c r="AN9" i="117"/>
  <c r="AE9" i="117" s="1"/>
  <c r="AD9" i="117"/>
  <c r="T22" i="117"/>
  <c r="J22" i="117"/>
  <c r="G11" i="113"/>
  <c r="Q11" i="113"/>
  <c r="H11" i="113" s="1"/>
  <c r="G15" i="113"/>
  <c r="Q15" i="113"/>
  <c r="H15" i="113" s="1"/>
  <c r="G44" i="113"/>
  <c r="Q44" i="113"/>
  <c r="H44" i="113"/>
  <c r="G31" i="113"/>
  <c r="H31" i="113"/>
  <c r="Q31" i="113"/>
  <c r="G23" i="113"/>
  <c r="Q23" i="113"/>
  <c r="P39" i="113"/>
  <c r="P46" i="113"/>
  <c r="G42" i="113"/>
  <c r="H42" i="113"/>
  <c r="Q42" i="113"/>
  <c r="I25" i="113"/>
  <c r="R25" i="113"/>
  <c r="AQ59" i="113"/>
  <c r="P59" i="113" s="1"/>
  <c r="Q59" i="113" s="1"/>
  <c r="G9" i="113"/>
  <c r="G14" i="113"/>
  <c r="Q14" i="113"/>
  <c r="AC46" i="113"/>
  <c r="AC30" i="113"/>
  <c r="AC22" i="113"/>
  <c r="G37" i="113"/>
  <c r="Q37" i="113"/>
  <c r="H37" i="113"/>
  <c r="G33" i="113"/>
  <c r="H33" i="113"/>
  <c r="Q33" i="113"/>
  <c r="AA40" i="113"/>
  <c r="H25" i="113"/>
  <c r="R26" i="113"/>
  <c r="I26" i="113" s="1"/>
  <c r="G30" i="113"/>
  <c r="Q30" i="113"/>
  <c r="AD14" i="113"/>
  <c r="AD22" i="113"/>
  <c r="AD46" i="113"/>
  <c r="AD11" i="113"/>
  <c r="AD35" i="113"/>
  <c r="AD43" i="113"/>
  <c r="AD24" i="113"/>
  <c r="AD32" i="113"/>
  <c r="AD25" i="113"/>
  <c r="AD33" i="113"/>
  <c r="AC37" i="113"/>
  <c r="AC29" i="113"/>
  <c r="AC21" i="113"/>
  <c r="AC13" i="113"/>
  <c r="G16" i="113"/>
  <c r="Q16" i="113"/>
  <c r="H16" i="113"/>
  <c r="G28" i="113"/>
  <c r="Q28" i="113"/>
  <c r="H28" i="113"/>
  <c r="AA38" i="113"/>
  <c r="G45" i="113"/>
  <c r="Q45" i="113"/>
  <c r="G24" i="113"/>
  <c r="Q24" i="113"/>
  <c r="H24" i="113"/>
  <c r="P18" i="113"/>
  <c r="AK15" i="113"/>
  <c r="AA15" i="113"/>
  <c r="G20" i="113"/>
  <c r="Q20" i="113"/>
  <c r="H20" i="113" s="1"/>
  <c r="P21" i="113"/>
  <c r="G19" i="113"/>
  <c r="Q19" i="113"/>
  <c r="H19" i="113" s="1"/>
  <c r="AC36" i="113"/>
  <c r="AC28" i="113"/>
  <c r="G22" i="113"/>
  <c r="H22" i="113"/>
  <c r="Q22" i="113"/>
  <c r="R43" i="113"/>
  <c r="I43" i="113"/>
  <c r="AA36" i="113"/>
  <c r="G32" i="113"/>
  <c r="Q32" i="113"/>
  <c r="R17" i="113"/>
  <c r="I17" i="113"/>
  <c r="AC39" i="113"/>
  <c r="AC23" i="113"/>
  <c r="G38" i="113"/>
  <c r="H38" i="113"/>
  <c r="Q38" i="113"/>
  <c r="P34" i="113"/>
  <c r="G35" i="113"/>
  <c r="H35" i="113"/>
  <c r="Q35" i="113"/>
  <c r="AC43" i="113"/>
  <c r="AC35" i="113"/>
  <c r="AC19" i="113"/>
  <c r="AC11" i="113"/>
  <c r="G13" i="113"/>
  <c r="Q13" i="113"/>
  <c r="H13" i="113"/>
  <c r="AA18" i="113"/>
  <c r="R40" i="113"/>
  <c r="I40" i="113" s="1"/>
  <c r="P41" i="113"/>
  <c r="G12" i="113"/>
  <c r="Q12" i="113"/>
  <c r="H12" i="113"/>
  <c r="AC42" i="113"/>
  <c r="G36" i="113"/>
  <c r="Q36" i="113"/>
  <c r="H36" i="113"/>
  <c r="G29" i="113"/>
  <c r="Q29" i="113"/>
  <c r="H29" i="113"/>
  <c r="I10" i="113"/>
  <c r="R10" i="113"/>
  <c r="I27" i="113"/>
  <c r="R27" i="113"/>
  <c r="W15" i="113"/>
  <c r="AK26" i="113"/>
  <c r="AW67" i="113"/>
  <c r="AX67" i="113"/>
  <c r="AV67" i="113"/>
  <c r="AR67" i="113"/>
  <c r="AU67" i="113"/>
  <c r="AK34" i="113"/>
  <c r="AB34" i="113" s="1"/>
  <c r="G63" i="113"/>
  <c r="AS63" i="113"/>
  <c r="AV63" i="113"/>
  <c r="AT63" i="113"/>
  <c r="AR63" i="113"/>
  <c r="Q63" i="113" s="1"/>
  <c r="AK16" i="113"/>
  <c r="AB16" i="113" s="1"/>
  <c r="AI67" i="113"/>
  <c r="Y67" i="113"/>
  <c r="AK12" i="113"/>
  <c r="AB12" i="113" s="1"/>
  <c r="AJ63" i="113"/>
  <c r="Z63" i="113"/>
  <c r="AK44" i="113"/>
  <c r="AB44" i="113" s="1"/>
  <c r="AS67" i="113"/>
  <c r="AH52" i="113"/>
  <c r="AZ55" i="113"/>
  <c r="AK40" i="113"/>
  <c r="AK45" i="113"/>
  <c r="AK38" i="113"/>
  <c r="AU52" i="113"/>
  <c r="AK31" i="113"/>
  <c r="AB31" i="113" s="1"/>
  <c r="AK20" i="113"/>
  <c r="AB20" i="113" s="1"/>
  <c r="AV59" i="113"/>
  <c r="AW59" i="113"/>
  <c r="AU59" i="113"/>
  <c r="AX59" i="113"/>
  <c r="AR59" i="113"/>
  <c r="Q52" i="113"/>
  <c r="G52" i="113"/>
  <c r="AK9" i="113"/>
  <c r="AK10" i="113"/>
  <c r="AB10" i="113" s="1"/>
  <c r="AS55" i="113"/>
  <c r="AV55" i="113"/>
  <c r="AR55" i="113"/>
  <c r="AT55" i="113"/>
  <c r="AW55" i="113"/>
  <c r="AQ55" i="113"/>
  <c r="P55" i="113" s="1"/>
  <c r="U5" i="113"/>
  <c r="AT52" i="113"/>
  <c r="AV52" i="113"/>
  <c r="AQ67" i="113"/>
  <c r="P67" i="113" s="1"/>
  <c r="AK27" i="113"/>
  <c r="AB27" i="113" s="1"/>
  <c r="Q9" i="113"/>
  <c r="AT67" i="113"/>
  <c r="AK18" i="113"/>
  <c r="AB18" i="113" s="1"/>
  <c r="Z40" i="111"/>
  <c r="Z12" i="111"/>
  <c r="Z18" i="111"/>
  <c r="Z41" i="111"/>
  <c r="Z38" i="111"/>
  <c r="AA27" i="111"/>
  <c r="AA29" i="111"/>
  <c r="Z44" i="111"/>
  <c r="Z26" i="111"/>
  <c r="Z36" i="111"/>
  <c r="AA10" i="111"/>
  <c r="AA35" i="111"/>
  <c r="Z9" i="111"/>
  <c r="AA19" i="111"/>
  <c r="AA37" i="111"/>
  <c r="AA33" i="111"/>
  <c r="Z17" i="111"/>
  <c r="Z46" i="111"/>
  <c r="Z11" i="111"/>
  <c r="AA25" i="111"/>
  <c r="Z39" i="111"/>
  <c r="Z16" i="111"/>
  <c r="Z15" i="111"/>
  <c r="Z22" i="111"/>
  <c r="Z24" i="111"/>
  <c r="Z43" i="111"/>
  <c r="Z31" i="111"/>
  <c r="Z28" i="111"/>
  <c r="Z42" i="111"/>
  <c r="Z21" i="111"/>
  <c r="Z32" i="111"/>
  <c r="Z30" i="111"/>
  <c r="Z23" i="111"/>
  <c r="Z13" i="111"/>
  <c r="Z45" i="111"/>
  <c r="Z14" i="111"/>
  <c r="Z34" i="111"/>
  <c r="J5" i="111"/>
  <c r="Z20" i="111"/>
  <c r="T18" i="119" l="1"/>
  <c r="J18" i="119"/>
  <c r="E9" i="119"/>
  <c r="E23" i="119"/>
  <c r="E27" i="119"/>
  <c r="E45" i="119"/>
  <c r="U26" i="119"/>
  <c r="K26" i="119"/>
  <c r="T39" i="119"/>
  <c r="J39" i="119"/>
  <c r="V12" i="119"/>
  <c r="M12" i="119" s="1"/>
  <c r="L12" i="119"/>
  <c r="U14" i="119"/>
  <c r="K14" i="119"/>
  <c r="V24" i="119"/>
  <c r="M24" i="119" s="1"/>
  <c r="L24" i="119"/>
  <c r="T17" i="119"/>
  <c r="J17" i="119"/>
  <c r="V22" i="119"/>
  <c r="M22" i="119" s="1"/>
  <c r="L22" i="119"/>
  <c r="U44" i="119"/>
  <c r="K44" i="119"/>
  <c r="T13" i="119"/>
  <c r="J13" i="119"/>
  <c r="V16" i="119"/>
  <c r="M16" i="119" s="1"/>
  <c r="L16" i="119"/>
  <c r="D11" i="119"/>
  <c r="B11" i="119" s="1"/>
  <c r="U31" i="119"/>
  <c r="K31" i="119"/>
  <c r="E10" i="119"/>
  <c r="E22" i="119"/>
  <c r="E31" i="119"/>
  <c r="U30" i="119"/>
  <c r="K30" i="119"/>
  <c r="U38" i="119"/>
  <c r="K38" i="119"/>
  <c r="U45" i="119"/>
  <c r="K45" i="119"/>
  <c r="T32" i="119"/>
  <c r="J32" i="119"/>
  <c r="U23" i="119"/>
  <c r="K23" i="119"/>
  <c r="V33" i="119"/>
  <c r="M33" i="119" s="1"/>
  <c r="L33" i="119"/>
  <c r="T21" i="119"/>
  <c r="J21" i="119"/>
  <c r="E14" i="119"/>
  <c r="E40" i="119"/>
  <c r="E15" i="119"/>
  <c r="E32" i="119"/>
  <c r="U9" i="119"/>
  <c r="K9" i="119"/>
  <c r="V27" i="119"/>
  <c r="M27" i="119" s="1"/>
  <c r="L27" i="119"/>
  <c r="V37" i="119"/>
  <c r="M37" i="119" s="1"/>
  <c r="L37" i="119"/>
  <c r="T29" i="119"/>
  <c r="J29" i="119"/>
  <c r="V28" i="119"/>
  <c r="M28" i="119" s="1"/>
  <c r="L28" i="119"/>
  <c r="V19" i="119"/>
  <c r="M19" i="119" s="1"/>
  <c r="L19" i="119"/>
  <c r="E19" i="119"/>
  <c r="E41" i="119"/>
  <c r="E37" i="119"/>
  <c r="V42" i="119"/>
  <c r="M42" i="119" s="1"/>
  <c r="L42" i="119"/>
  <c r="V15" i="119"/>
  <c r="M15" i="119" s="1"/>
  <c r="L15" i="119"/>
  <c r="E18" i="119"/>
  <c r="E29" i="119"/>
  <c r="U10" i="119"/>
  <c r="K10" i="119"/>
  <c r="V35" i="119"/>
  <c r="M35" i="119" s="1"/>
  <c r="L35" i="119"/>
  <c r="T34" i="119"/>
  <c r="J34" i="119"/>
  <c r="T46" i="119"/>
  <c r="J46" i="119"/>
  <c r="U36" i="119"/>
  <c r="K36" i="119"/>
  <c r="T40" i="119"/>
  <c r="J40" i="119"/>
  <c r="V25" i="119"/>
  <c r="M25" i="119" s="1"/>
  <c r="L25" i="119"/>
  <c r="U20" i="119"/>
  <c r="K20" i="119"/>
  <c r="U43" i="119"/>
  <c r="K43" i="119"/>
  <c r="E38" i="119"/>
  <c r="U41" i="119"/>
  <c r="K41" i="119"/>
  <c r="E26" i="119"/>
  <c r="U40" i="118"/>
  <c r="K40" i="118"/>
  <c r="E18" i="118"/>
  <c r="V28" i="118"/>
  <c r="M28" i="118" s="1"/>
  <c r="L28" i="118"/>
  <c r="V46" i="118"/>
  <c r="M46" i="118" s="1"/>
  <c r="L46" i="118"/>
  <c r="V17" i="118"/>
  <c r="M17" i="118" s="1"/>
  <c r="D17" i="118" s="1"/>
  <c r="B17" i="118" s="1"/>
  <c r="L17" i="118"/>
  <c r="V31" i="118"/>
  <c r="M31" i="118" s="1"/>
  <c r="D31" i="118" s="1"/>
  <c r="B31" i="118" s="1"/>
  <c r="L31" i="118"/>
  <c r="T25" i="118"/>
  <c r="J25" i="118"/>
  <c r="V43" i="118"/>
  <c r="M43" i="118" s="1"/>
  <c r="D43" i="118" s="1"/>
  <c r="B43" i="118" s="1"/>
  <c r="L43" i="118"/>
  <c r="V10" i="118"/>
  <c r="M10" i="118" s="1"/>
  <c r="L10" i="118"/>
  <c r="V27" i="118"/>
  <c r="M27" i="118" s="1"/>
  <c r="L27" i="118"/>
  <c r="V44" i="118"/>
  <c r="M44" i="118" s="1"/>
  <c r="L44" i="118"/>
  <c r="T33" i="118"/>
  <c r="J33" i="118"/>
  <c r="U22" i="118"/>
  <c r="K22" i="118"/>
  <c r="V18" i="118"/>
  <c r="M18" i="118" s="1"/>
  <c r="D18" i="118" s="1"/>
  <c r="B18" i="118" s="1"/>
  <c r="L18" i="118"/>
  <c r="U36" i="118"/>
  <c r="K36" i="118"/>
  <c r="U11" i="118"/>
  <c r="K11" i="118"/>
  <c r="T23" i="118"/>
  <c r="J23" i="118"/>
  <c r="V34" i="118"/>
  <c r="M34" i="118" s="1"/>
  <c r="L34" i="118"/>
  <c r="U29" i="118"/>
  <c r="K29" i="118"/>
  <c r="V32" i="118"/>
  <c r="M32" i="118" s="1"/>
  <c r="L32" i="118"/>
  <c r="U24" i="118"/>
  <c r="K24" i="118"/>
  <c r="U16" i="118"/>
  <c r="K16" i="118"/>
  <c r="U20" i="118"/>
  <c r="K20" i="118"/>
  <c r="U37" i="118"/>
  <c r="K37" i="118"/>
  <c r="U19" i="118"/>
  <c r="K19" i="118"/>
  <c r="V39" i="118"/>
  <c r="M39" i="118" s="1"/>
  <c r="D39" i="118" s="1"/>
  <c r="B39" i="118" s="1"/>
  <c r="L39" i="118"/>
  <c r="V9" i="118"/>
  <c r="M9" i="118" s="1"/>
  <c r="D9" i="118" s="1"/>
  <c r="B9" i="118" s="1"/>
  <c r="L9" i="118"/>
  <c r="U35" i="118"/>
  <c r="K35" i="118"/>
  <c r="U45" i="118"/>
  <c r="K45" i="118"/>
  <c r="V30" i="118"/>
  <c r="M30" i="118" s="1"/>
  <c r="L30" i="118"/>
  <c r="U38" i="118"/>
  <c r="K38" i="118"/>
  <c r="V15" i="118"/>
  <c r="M15" i="118" s="1"/>
  <c r="L15" i="118"/>
  <c r="U14" i="118"/>
  <c r="K14" i="118"/>
  <c r="U21" i="118"/>
  <c r="K21" i="118"/>
  <c r="V42" i="118"/>
  <c r="M42" i="118" s="1"/>
  <c r="L42" i="118"/>
  <c r="T26" i="118"/>
  <c r="J26" i="118"/>
  <c r="U41" i="118"/>
  <c r="K41" i="118"/>
  <c r="V13" i="118"/>
  <c r="M13" i="118" s="1"/>
  <c r="L13" i="118"/>
  <c r="E26" i="118"/>
  <c r="V12" i="118"/>
  <c r="M12" i="118" s="1"/>
  <c r="D12" i="118" s="1"/>
  <c r="B12" i="118" s="1"/>
  <c r="L12" i="118"/>
  <c r="E30" i="117"/>
  <c r="E25" i="117"/>
  <c r="E45" i="117"/>
  <c r="U39" i="117"/>
  <c r="K39" i="117"/>
  <c r="V40" i="117"/>
  <c r="M40" i="117" s="1"/>
  <c r="L40" i="117"/>
  <c r="T43" i="117"/>
  <c r="J43" i="117"/>
  <c r="V12" i="117"/>
  <c r="M12" i="117" s="1"/>
  <c r="L12" i="117"/>
  <c r="E23" i="117"/>
  <c r="E9" i="117"/>
  <c r="V16" i="117"/>
  <c r="M16" i="117" s="1"/>
  <c r="L16" i="117"/>
  <c r="D16" i="117" s="1"/>
  <c r="B16" i="117" s="1"/>
  <c r="V37" i="117"/>
  <c r="M37" i="117" s="1"/>
  <c r="D37" i="117" s="1"/>
  <c r="B37" i="117" s="1"/>
  <c r="L37" i="117"/>
  <c r="V45" i="117"/>
  <c r="M45" i="117" s="1"/>
  <c r="L45" i="117"/>
  <c r="U11" i="117"/>
  <c r="K11" i="117"/>
  <c r="V42" i="117"/>
  <c r="M42" i="117" s="1"/>
  <c r="L42" i="117"/>
  <c r="V13" i="117"/>
  <c r="M13" i="117" s="1"/>
  <c r="L13" i="117"/>
  <c r="V14" i="117"/>
  <c r="M14" i="117" s="1"/>
  <c r="L14" i="117"/>
  <c r="V21" i="117"/>
  <c r="M21" i="117" s="1"/>
  <c r="L21" i="117"/>
  <c r="D21" i="117" s="1"/>
  <c r="B21" i="117" s="1"/>
  <c r="U27" i="117"/>
  <c r="K27" i="117"/>
  <c r="V23" i="117"/>
  <c r="M23" i="117" s="1"/>
  <c r="L23" i="117"/>
  <c r="T46" i="117"/>
  <c r="J46" i="117"/>
  <c r="T26" i="117"/>
  <c r="J26" i="117"/>
  <c r="T34" i="117"/>
  <c r="J34" i="117"/>
  <c r="U33" i="117"/>
  <c r="K33" i="117"/>
  <c r="V20" i="117"/>
  <c r="M20" i="117" s="1"/>
  <c r="L20" i="117"/>
  <c r="U22" i="117"/>
  <c r="K22" i="117"/>
  <c r="V19" i="117"/>
  <c r="M19" i="117" s="1"/>
  <c r="L19" i="117"/>
  <c r="D19" i="117" s="1"/>
  <c r="B19" i="117" s="1"/>
  <c r="T24" i="117"/>
  <c r="J24" i="117"/>
  <c r="U36" i="117"/>
  <c r="K36" i="117"/>
  <c r="V10" i="117"/>
  <c r="M10" i="117" s="1"/>
  <c r="L10" i="117"/>
  <c r="V28" i="117"/>
  <c r="M28" i="117" s="1"/>
  <c r="L28" i="117"/>
  <c r="D28" i="117" s="1"/>
  <c r="B28" i="117" s="1"/>
  <c r="U38" i="117"/>
  <c r="K38" i="117"/>
  <c r="V30" i="117"/>
  <c r="M30" i="117" s="1"/>
  <c r="L30" i="117"/>
  <c r="U18" i="117"/>
  <c r="K18" i="117"/>
  <c r="V31" i="117"/>
  <c r="M31" i="117" s="1"/>
  <c r="L31" i="117"/>
  <c r="D31" i="117" s="1"/>
  <c r="B31" i="117" s="1"/>
  <c r="U32" i="117"/>
  <c r="K32" i="117"/>
  <c r="T44" i="117"/>
  <c r="J44" i="117"/>
  <c r="V41" i="117"/>
  <c r="M41" i="117" s="1"/>
  <c r="L41" i="117"/>
  <c r="V25" i="117"/>
  <c r="M25" i="117" s="1"/>
  <c r="L25" i="117"/>
  <c r="D25" i="117" s="1"/>
  <c r="B25" i="117" s="1"/>
  <c r="V29" i="117"/>
  <c r="M29" i="117" s="1"/>
  <c r="D29" i="117" s="1"/>
  <c r="B29" i="117" s="1"/>
  <c r="L29" i="117"/>
  <c r="E40" i="117"/>
  <c r="V35" i="117"/>
  <c r="M35" i="117" s="1"/>
  <c r="L35" i="117"/>
  <c r="U15" i="117"/>
  <c r="K15" i="117"/>
  <c r="U9" i="117"/>
  <c r="K9" i="117"/>
  <c r="U17" i="117"/>
  <c r="K17" i="117"/>
  <c r="AB26" i="113"/>
  <c r="S10" i="113"/>
  <c r="J10" i="113" s="1"/>
  <c r="R35" i="113"/>
  <c r="AD29" i="113"/>
  <c r="AD28" i="113"/>
  <c r="AD39" i="113"/>
  <c r="R37" i="113"/>
  <c r="I37" i="113" s="1"/>
  <c r="S25" i="113"/>
  <c r="R31" i="113"/>
  <c r="I31" i="113"/>
  <c r="AB38" i="113"/>
  <c r="R32" i="113"/>
  <c r="R19" i="113"/>
  <c r="I19" i="113"/>
  <c r="G18" i="113"/>
  <c r="Q18" i="113"/>
  <c r="AD21" i="113"/>
  <c r="AD42" i="113"/>
  <c r="R14" i="113"/>
  <c r="I14" i="113" s="1"/>
  <c r="G39" i="113"/>
  <c r="Q39" i="113"/>
  <c r="R15" i="113"/>
  <c r="R29" i="113"/>
  <c r="R12" i="113"/>
  <c r="G34" i="113"/>
  <c r="Q34" i="113"/>
  <c r="S17" i="113"/>
  <c r="J17" i="113"/>
  <c r="S43" i="113"/>
  <c r="G21" i="113"/>
  <c r="Q21" i="113"/>
  <c r="H21" i="113"/>
  <c r="R28" i="113"/>
  <c r="I28" i="113"/>
  <c r="AD17" i="113"/>
  <c r="H14" i="113"/>
  <c r="R23" i="113"/>
  <c r="I23" i="113"/>
  <c r="AB45" i="113"/>
  <c r="S40" i="113"/>
  <c r="G59" i="113"/>
  <c r="R13" i="113"/>
  <c r="I13" i="113"/>
  <c r="R38" i="113"/>
  <c r="I38" i="113"/>
  <c r="I22" i="113"/>
  <c r="R22" i="113"/>
  <c r="R24" i="113"/>
  <c r="AD13" i="113"/>
  <c r="AD23" i="113"/>
  <c r="R33" i="113"/>
  <c r="I33" i="113" s="1"/>
  <c r="H23" i="113"/>
  <c r="S26" i="113"/>
  <c r="AE14" i="113"/>
  <c r="AE15" i="113"/>
  <c r="AE22" i="113"/>
  <c r="AE23" i="113"/>
  <c r="AE30" i="113"/>
  <c r="AE39" i="113"/>
  <c r="AE46" i="113"/>
  <c r="AB9" i="113"/>
  <c r="R20" i="113"/>
  <c r="AD41" i="113"/>
  <c r="AD19" i="113"/>
  <c r="AD30" i="113"/>
  <c r="R30" i="113"/>
  <c r="I30" i="113"/>
  <c r="H9" i="113"/>
  <c r="R11" i="113"/>
  <c r="I11" i="113" s="1"/>
  <c r="R45" i="113"/>
  <c r="AL15" i="113"/>
  <c r="AM15" i="113" s="1"/>
  <c r="AN15" i="113" s="1"/>
  <c r="AB15" i="113"/>
  <c r="G46" i="113"/>
  <c r="H46" i="113"/>
  <c r="Q46" i="113"/>
  <c r="S27" i="113"/>
  <c r="R36" i="113"/>
  <c r="I36" i="113" s="1"/>
  <c r="G41" i="113"/>
  <c r="Q41" i="113"/>
  <c r="H32" i="113"/>
  <c r="H45" i="113"/>
  <c r="I16" i="113"/>
  <c r="R16" i="113"/>
  <c r="AD37" i="113"/>
  <c r="AD36" i="113"/>
  <c r="AD15" i="113"/>
  <c r="H30" i="113"/>
  <c r="R42" i="113"/>
  <c r="I42" i="113"/>
  <c r="AB40" i="113"/>
  <c r="R44" i="113"/>
  <c r="I44" i="113" s="1"/>
  <c r="W16" i="113"/>
  <c r="R63" i="113"/>
  <c r="H63" i="113"/>
  <c r="V5" i="113"/>
  <c r="AL45" i="113"/>
  <c r="AC45" i="113" s="1"/>
  <c r="AJ67" i="113"/>
  <c r="Z67" i="113"/>
  <c r="R52" i="113"/>
  <c r="H52" i="113"/>
  <c r="R59" i="113"/>
  <c r="H59" i="113"/>
  <c r="AL26" i="113"/>
  <c r="AC26" i="113" s="1"/>
  <c r="AL40" i="113"/>
  <c r="AC40" i="113" s="1"/>
  <c r="R9" i="113"/>
  <c r="I9" i="113" s="1"/>
  <c r="AL27" i="113"/>
  <c r="AC27" i="113" s="1"/>
  <c r="AL10" i="113"/>
  <c r="AC10" i="113" s="1"/>
  <c r="AL38" i="113"/>
  <c r="AC38" i="113" s="1"/>
  <c r="AH55" i="113"/>
  <c r="AZ59" i="113"/>
  <c r="AH59" i="113" s="1"/>
  <c r="AK63" i="113"/>
  <c r="AA63" i="113"/>
  <c r="AL34" i="113"/>
  <c r="AC34" i="113" s="1"/>
  <c r="G67" i="113"/>
  <c r="Q67" i="113"/>
  <c r="Q55" i="113"/>
  <c r="G55" i="113"/>
  <c r="AI52" i="113"/>
  <c r="Y52" i="113"/>
  <c r="AL44" i="113"/>
  <c r="AC44" i="113" s="1"/>
  <c r="AL31" i="113"/>
  <c r="AL16" i="113"/>
  <c r="AL9" i="113"/>
  <c r="AC9" i="113" s="1"/>
  <c r="AL20" i="113"/>
  <c r="AL12" i="113"/>
  <c r="AC12" i="113" s="1"/>
  <c r="AL18" i="113"/>
  <c r="AC18" i="113" s="1"/>
  <c r="AA11" i="111"/>
  <c r="AA39" i="111"/>
  <c r="AA9" i="111"/>
  <c r="AA44" i="111"/>
  <c r="AB37" i="111"/>
  <c r="AA46" i="111"/>
  <c r="AB19" i="111"/>
  <c r="AA38" i="111"/>
  <c r="AA17" i="111"/>
  <c r="AA36" i="111"/>
  <c r="AB35" i="111"/>
  <c r="AA12" i="111"/>
  <c r="AB10" i="111"/>
  <c r="AB29" i="111"/>
  <c r="AA41" i="111"/>
  <c r="AA40" i="111"/>
  <c r="AB25" i="111"/>
  <c r="AB33" i="111"/>
  <c r="AA26" i="111"/>
  <c r="AA16" i="111"/>
  <c r="AB27" i="111"/>
  <c r="AA18" i="111"/>
  <c r="AA22" i="111"/>
  <c r="AA15" i="111"/>
  <c r="AA31" i="111"/>
  <c r="AA24" i="111"/>
  <c r="AA43" i="111"/>
  <c r="AA13" i="111"/>
  <c r="AA30" i="111"/>
  <c r="AA14" i="111"/>
  <c r="AA32" i="111"/>
  <c r="AA34" i="111"/>
  <c r="AA23" i="111"/>
  <c r="AA21" i="111"/>
  <c r="AA28" i="111"/>
  <c r="AA42" i="111"/>
  <c r="AA45" i="111"/>
  <c r="AA20" i="111"/>
  <c r="K5" i="111"/>
  <c r="D25" i="119" l="1"/>
  <c r="B25" i="119" s="1"/>
  <c r="D15" i="119"/>
  <c r="D33" i="119"/>
  <c r="B33" i="119" s="1"/>
  <c r="D35" i="119"/>
  <c r="B35" i="119" s="1"/>
  <c r="D16" i="119"/>
  <c r="B16" i="119" s="1"/>
  <c r="U18" i="119"/>
  <c r="K18" i="119"/>
  <c r="D37" i="119"/>
  <c r="B37" i="119" s="1"/>
  <c r="B15" i="119"/>
  <c r="D42" i="119"/>
  <c r="B42" i="119" s="1"/>
  <c r="D22" i="119"/>
  <c r="B22" i="119" s="1"/>
  <c r="D12" i="119"/>
  <c r="B12" i="119" s="1"/>
  <c r="D24" i="119"/>
  <c r="B24" i="119" s="1"/>
  <c r="D19" i="119"/>
  <c r="B19" i="119" s="1"/>
  <c r="D27" i="119"/>
  <c r="B27" i="119" s="1"/>
  <c r="V26" i="119"/>
  <c r="M26" i="119" s="1"/>
  <c r="L26" i="119"/>
  <c r="V41" i="119"/>
  <c r="M41" i="119" s="1"/>
  <c r="L41" i="119"/>
  <c r="U46" i="119"/>
  <c r="K46" i="119"/>
  <c r="V38" i="119"/>
  <c r="M38" i="119" s="1"/>
  <c r="L38" i="119"/>
  <c r="V31" i="119"/>
  <c r="M31" i="119" s="1"/>
  <c r="L31" i="119"/>
  <c r="V44" i="119"/>
  <c r="M44" i="119" s="1"/>
  <c r="L44" i="119"/>
  <c r="D44" i="119" s="1"/>
  <c r="B44" i="119" s="1"/>
  <c r="V14" i="119"/>
  <c r="M14" i="119" s="1"/>
  <c r="L14" i="119"/>
  <c r="U29" i="119"/>
  <c r="K29" i="119"/>
  <c r="U34" i="119"/>
  <c r="K34" i="119"/>
  <c r="V23" i="119"/>
  <c r="M23" i="119" s="1"/>
  <c r="L23" i="119"/>
  <c r="D23" i="119" s="1"/>
  <c r="B23" i="119" s="1"/>
  <c r="V20" i="119"/>
  <c r="M20" i="119" s="1"/>
  <c r="L20" i="119"/>
  <c r="U13" i="119"/>
  <c r="K13" i="119"/>
  <c r="V43" i="119"/>
  <c r="M43" i="119" s="1"/>
  <c r="L43" i="119"/>
  <c r="U40" i="119"/>
  <c r="K40" i="119"/>
  <c r="U32" i="119"/>
  <c r="K32" i="119"/>
  <c r="U17" i="119"/>
  <c r="K17" i="119"/>
  <c r="U39" i="119"/>
  <c r="K39" i="119"/>
  <c r="V36" i="119"/>
  <c r="M36" i="119" s="1"/>
  <c r="L36" i="119"/>
  <c r="V30" i="119"/>
  <c r="M30" i="119" s="1"/>
  <c r="L30" i="119"/>
  <c r="V10" i="119"/>
  <c r="M10" i="119" s="1"/>
  <c r="L10" i="119"/>
  <c r="V45" i="119"/>
  <c r="M45" i="119" s="1"/>
  <c r="D45" i="119" s="1"/>
  <c r="B45" i="119" s="1"/>
  <c r="L45" i="119"/>
  <c r="U21" i="119"/>
  <c r="K21" i="119"/>
  <c r="D28" i="119"/>
  <c r="B28" i="119" s="1"/>
  <c r="V9" i="119"/>
  <c r="M9" i="119" s="1"/>
  <c r="L9" i="119"/>
  <c r="D15" i="118"/>
  <c r="B15" i="118" s="1"/>
  <c r="D44" i="118"/>
  <c r="B44" i="118" s="1"/>
  <c r="D28" i="118"/>
  <c r="B28" i="118" s="1"/>
  <c r="D13" i="118"/>
  <c r="B13" i="118" s="1"/>
  <c r="D30" i="118"/>
  <c r="B30" i="118" s="1"/>
  <c r="D10" i="118"/>
  <c r="B10" i="118" s="1"/>
  <c r="V41" i="118"/>
  <c r="M41" i="118" s="1"/>
  <c r="D41" i="118" s="1"/>
  <c r="B41" i="118" s="1"/>
  <c r="L41" i="118"/>
  <c r="V36" i="118"/>
  <c r="M36" i="118" s="1"/>
  <c r="D36" i="118" s="1"/>
  <c r="B36" i="118" s="1"/>
  <c r="L36" i="118"/>
  <c r="U25" i="118"/>
  <c r="K25" i="118"/>
  <c r="V29" i="118"/>
  <c r="M29" i="118" s="1"/>
  <c r="L29" i="118"/>
  <c r="V14" i="118"/>
  <c r="M14" i="118" s="1"/>
  <c r="D14" i="118" s="1"/>
  <c r="B14" i="118" s="1"/>
  <c r="L14" i="118"/>
  <c r="V16" i="118"/>
  <c r="M16" i="118" s="1"/>
  <c r="D16" i="118" s="1"/>
  <c r="B16" i="118" s="1"/>
  <c r="L16" i="118"/>
  <c r="D34" i="118"/>
  <c r="B34" i="118" s="1"/>
  <c r="V21" i="118"/>
  <c r="M21" i="118" s="1"/>
  <c r="L21" i="118"/>
  <c r="V45" i="118"/>
  <c r="M45" i="118" s="1"/>
  <c r="L45" i="118"/>
  <c r="D45" i="118" s="1"/>
  <c r="B45" i="118" s="1"/>
  <c r="D27" i="118"/>
  <c r="B27" i="118" s="1"/>
  <c r="V20" i="118"/>
  <c r="M20" i="118" s="1"/>
  <c r="L20" i="118"/>
  <c r="U26" i="118"/>
  <c r="K26" i="118"/>
  <c r="V19" i="118"/>
  <c r="M19" i="118" s="1"/>
  <c r="L19" i="118"/>
  <c r="V24" i="118"/>
  <c r="M24" i="118" s="1"/>
  <c r="L24" i="118"/>
  <c r="V22" i="118"/>
  <c r="M22" i="118" s="1"/>
  <c r="L22" i="118"/>
  <c r="U23" i="118"/>
  <c r="K23" i="118"/>
  <c r="V40" i="118"/>
  <c r="M40" i="118" s="1"/>
  <c r="L40" i="118"/>
  <c r="D40" i="118" s="1"/>
  <c r="B40" i="118" s="1"/>
  <c r="D42" i="118"/>
  <c r="B42" i="118" s="1"/>
  <c r="V35" i="118"/>
  <c r="M35" i="118" s="1"/>
  <c r="L35" i="118"/>
  <c r="V37" i="118"/>
  <c r="M37" i="118" s="1"/>
  <c r="L37" i="118"/>
  <c r="D32" i="118"/>
  <c r="B32" i="118" s="1"/>
  <c r="D46" i="118"/>
  <c r="B46" i="118" s="1"/>
  <c r="V38" i="118"/>
  <c r="M38" i="118" s="1"/>
  <c r="L38" i="118"/>
  <c r="V11" i="118"/>
  <c r="M11" i="118" s="1"/>
  <c r="D11" i="118" s="1"/>
  <c r="B11" i="118" s="1"/>
  <c r="L11" i="118"/>
  <c r="U33" i="118"/>
  <c r="K33" i="118"/>
  <c r="D14" i="117"/>
  <c r="B14" i="117" s="1"/>
  <c r="D45" i="117"/>
  <c r="B45" i="117" s="1"/>
  <c r="D12" i="117"/>
  <c r="B12" i="117" s="1"/>
  <c r="D23" i="117"/>
  <c r="B23" i="117" s="1"/>
  <c r="D13" i="117"/>
  <c r="B13" i="117" s="1"/>
  <c r="D10" i="117"/>
  <c r="B10" i="117" s="1"/>
  <c r="D41" i="117"/>
  <c r="B41" i="117" s="1"/>
  <c r="D42" i="117"/>
  <c r="B42" i="117" s="1"/>
  <c r="D40" i="117"/>
  <c r="B40" i="117" s="1"/>
  <c r="D30" i="117"/>
  <c r="B30" i="117" s="1"/>
  <c r="D35" i="117"/>
  <c r="B35" i="117" s="1"/>
  <c r="D20" i="117"/>
  <c r="B20" i="117" s="1"/>
  <c r="V32" i="117"/>
  <c r="M32" i="117" s="1"/>
  <c r="L32" i="117"/>
  <c r="V9" i="117"/>
  <c r="M9" i="117" s="1"/>
  <c r="L9" i="117"/>
  <c r="U34" i="117"/>
  <c r="K34" i="117"/>
  <c r="U43" i="117"/>
  <c r="K43" i="117"/>
  <c r="V38" i="117"/>
  <c r="M38" i="117" s="1"/>
  <c r="D38" i="117" s="1"/>
  <c r="B38" i="117" s="1"/>
  <c r="L38" i="117"/>
  <c r="V27" i="117"/>
  <c r="M27" i="117" s="1"/>
  <c r="L27" i="117"/>
  <c r="V22" i="117"/>
  <c r="M22" i="117" s="1"/>
  <c r="L22" i="117"/>
  <c r="V15" i="117"/>
  <c r="M15" i="117" s="1"/>
  <c r="L15" i="117"/>
  <c r="V36" i="117"/>
  <c r="M36" i="117" s="1"/>
  <c r="L36" i="117"/>
  <c r="U26" i="117"/>
  <c r="K26" i="117"/>
  <c r="V11" i="117"/>
  <c r="M11" i="117" s="1"/>
  <c r="L11" i="117"/>
  <c r="U24" i="117"/>
  <c r="K24" i="117"/>
  <c r="U44" i="117"/>
  <c r="K44" i="117"/>
  <c r="V18" i="117"/>
  <c r="M18" i="117" s="1"/>
  <c r="L18" i="117"/>
  <c r="U46" i="117"/>
  <c r="K46" i="117"/>
  <c r="V39" i="117"/>
  <c r="M39" i="117" s="1"/>
  <c r="L39" i="117"/>
  <c r="V17" i="117"/>
  <c r="M17" i="117" s="1"/>
  <c r="D17" i="117" s="1"/>
  <c r="B17" i="117" s="1"/>
  <c r="L17" i="117"/>
  <c r="V33" i="117"/>
  <c r="M33" i="117" s="1"/>
  <c r="L33" i="117"/>
  <c r="D33" i="117" s="1"/>
  <c r="B33" i="117" s="1"/>
  <c r="T27" i="113"/>
  <c r="S29" i="113"/>
  <c r="J27" i="113"/>
  <c r="R46" i="113"/>
  <c r="I46" i="113"/>
  <c r="AE37" i="113"/>
  <c r="AE29" i="113"/>
  <c r="AE21" i="113"/>
  <c r="AE13" i="113"/>
  <c r="S38" i="113"/>
  <c r="S28" i="113"/>
  <c r="T17" i="113"/>
  <c r="AC16" i="113"/>
  <c r="J32" i="113"/>
  <c r="S32" i="113"/>
  <c r="S14" i="113"/>
  <c r="I29" i="113"/>
  <c r="R41" i="113"/>
  <c r="AE36" i="113"/>
  <c r="AE28" i="113"/>
  <c r="S33" i="113"/>
  <c r="R34" i="113"/>
  <c r="I34" i="113"/>
  <c r="S15" i="113"/>
  <c r="J15" i="113" s="1"/>
  <c r="I32" i="113"/>
  <c r="AC15" i="113"/>
  <c r="J44" i="113"/>
  <c r="S44" i="113"/>
  <c r="T25" i="113"/>
  <c r="S37" i="113"/>
  <c r="J37" i="113"/>
  <c r="S42" i="113"/>
  <c r="J42" i="113"/>
  <c r="H41" i="113"/>
  <c r="AE43" i="113"/>
  <c r="AE35" i="113"/>
  <c r="AE19" i="113"/>
  <c r="AE11" i="113"/>
  <c r="S13" i="113"/>
  <c r="J13" i="113"/>
  <c r="S23" i="113"/>
  <c r="R21" i="113"/>
  <c r="I21" i="113" s="1"/>
  <c r="H34" i="113"/>
  <c r="I15" i="113"/>
  <c r="R18" i="113"/>
  <c r="AC20" i="113"/>
  <c r="AD9" i="113"/>
  <c r="J20" i="113"/>
  <c r="S20" i="113"/>
  <c r="T26" i="113"/>
  <c r="T43" i="113"/>
  <c r="T10" i="113"/>
  <c r="S11" i="113"/>
  <c r="J11" i="113" s="1"/>
  <c r="S19" i="113"/>
  <c r="J19" i="113"/>
  <c r="J30" i="113"/>
  <c r="S30" i="113"/>
  <c r="AE42" i="113"/>
  <c r="S24" i="113"/>
  <c r="AC31" i="113"/>
  <c r="R39" i="113"/>
  <c r="I39" i="113"/>
  <c r="H18" i="113"/>
  <c r="J35" i="113"/>
  <c r="S35" i="113"/>
  <c r="S45" i="113"/>
  <c r="K40" i="113"/>
  <c r="T40" i="113"/>
  <c r="J40" i="113"/>
  <c r="AE41" i="113"/>
  <c r="AE33" i="113"/>
  <c r="AE25" i="113"/>
  <c r="AE17" i="113"/>
  <c r="I24" i="113"/>
  <c r="S12" i="113"/>
  <c r="J12" i="113"/>
  <c r="H39" i="113"/>
  <c r="S31" i="113"/>
  <c r="J31" i="113"/>
  <c r="I35" i="113"/>
  <c r="J16" i="113"/>
  <c r="S16" i="113"/>
  <c r="J36" i="113"/>
  <c r="S36" i="113"/>
  <c r="I45" i="113"/>
  <c r="I20" i="113"/>
  <c r="AE32" i="113"/>
  <c r="AE24" i="113"/>
  <c r="J26" i="113"/>
  <c r="S22" i="113"/>
  <c r="J22" i="113" s="1"/>
  <c r="J43" i="113"/>
  <c r="I12" i="113"/>
  <c r="J25" i="113"/>
  <c r="W17" i="113"/>
  <c r="AM20" i="113"/>
  <c r="AD20" i="113" s="1"/>
  <c r="S52" i="113"/>
  <c r="I52" i="113"/>
  <c r="S63" i="113"/>
  <c r="I63" i="113"/>
  <c r="AJ52" i="113"/>
  <c r="Z52" i="113"/>
  <c r="S59" i="113"/>
  <c r="I59" i="113"/>
  <c r="AM18" i="113"/>
  <c r="AD18" i="113" s="1"/>
  <c r="AM16" i="113"/>
  <c r="AM34" i="113"/>
  <c r="AD34" i="113" s="1"/>
  <c r="AM38" i="113"/>
  <c r="AM40" i="113"/>
  <c r="AD40" i="113" s="1"/>
  <c r="AM26" i="113"/>
  <c r="AI55" i="113"/>
  <c r="Y55" i="113"/>
  <c r="AK67" i="113"/>
  <c r="AA67" i="113"/>
  <c r="R55" i="113"/>
  <c r="H55" i="113"/>
  <c r="AM10" i="113"/>
  <c r="AM31" i="113"/>
  <c r="AM44" i="113"/>
  <c r="AD44" i="113" s="1"/>
  <c r="AM45" i="113"/>
  <c r="AD45" i="113" s="1"/>
  <c r="W5" i="113"/>
  <c r="AI59" i="113"/>
  <c r="Y59" i="113"/>
  <c r="S9" i="113"/>
  <c r="J9" i="113" s="1"/>
  <c r="AM12" i="113"/>
  <c r="AD12" i="113" s="1"/>
  <c r="AM9" i="113"/>
  <c r="R67" i="113"/>
  <c r="H67" i="113"/>
  <c r="AL63" i="113"/>
  <c r="AB63" i="113"/>
  <c r="AM27" i="113"/>
  <c r="AB16" i="111"/>
  <c r="AC29" i="111"/>
  <c r="AB12" i="111"/>
  <c r="AC25" i="111"/>
  <c r="AB17" i="111"/>
  <c r="AB39" i="111"/>
  <c r="AC35" i="111"/>
  <c r="AC19" i="111"/>
  <c r="AC37" i="111"/>
  <c r="AB18" i="111"/>
  <c r="AB40" i="111"/>
  <c r="AB38" i="111"/>
  <c r="AB46" i="111"/>
  <c r="AC27" i="111"/>
  <c r="AC10" i="111"/>
  <c r="AB26" i="111"/>
  <c r="AB44" i="111"/>
  <c r="AB41" i="111"/>
  <c r="AB11" i="111"/>
  <c r="AC33" i="111"/>
  <c r="AB36" i="111"/>
  <c r="AB9" i="111"/>
  <c r="AB15" i="111"/>
  <c r="AB22" i="111"/>
  <c r="AB24" i="111"/>
  <c r="AB43" i="111"/>
  <c r="AB31" i="111"/>
  <c r="AB21" i="111"/>
  <c r="AB42" i="111"/>
  <c r="AB28" i="111"/>
  <c r="AB13" i="111"/>
  <c r="AB23" i="111"/>
  <c r="AB32" i="111"/>
  <c r="AB45" i="111"/>
  <c r="L5" i="111"/>
  <c r="AB20" i="111"/>
  <c r="AB34" i="111"/>
  <c r="AB14" i="111"/>
  <c r="AB30" i="111"/>
  <c r="D38" i="119" l="1"/>
  <c r="B38" i="119" s="1"/>
  <c r="L18" i="119"/>
  <c r="V18" i="119"/>
  <c r="M18" i="119" s="1"/>
  <c r="D43" i="119"/>
  <c r="B43" i="119" s="1"/>
  <c r="D36" i="119"/>
  <c r="B36" i="119" s="1"/>
  <c r="D20" i="119"/>
  <c r="B20" i="119" s="1"/>
  <c r="D10" i="119"/>
  <c r="B10" i="119" s="1"/>
  <c r="D41" i="119"/>
  <c r="B41" i="119" s="1"/>
  <c r="V40" i="119"/>
  <c r="M40" i="119" s="1"/>
  <c r="L40" i="119"/>
  <c r="D9" i="119"/>
  <c r="B9" i="119" s="1"/>
  <c r="V39" i="119"/>
  <c r="M39" i="119" s="1"/>
  <c r="L39" i="119"/>
  <c r="V34" i="119"/>
  <c r="M34" i="119" s="1"/>
  <c r="L34" i="119"/>
  <c r="D31" i="119"/>
  <c r="B31" i="119" s="1"/>
  <c r="D26" i="119"/>
  <c r="B26" i="119" s="1"/>
  <c r="V17" i="119"/>
  <c r="M17" i="119" s="1"/>
  <c r="L17" i="119"/>
  <c r="V21" i="119"/>
  <c r="M21" i="119" s="1"/>
  <c r="L21" i="119"/>
  <c r="D30" i="119"/>
  <c r="B30" i="119" s="1"/>
  <c r="V13" i="119"/>
  <c r="M13" i="119" s="1"/>
  <c r="L13" i="119"/>
  <c r="V29" i="119"/>
  <c r="M29" i="119" s="1"/>
  <c r="L29" i="119"/>
  <c r="D29" i="119" s="1"/>
  <c r="B29" i="119" s="1"/>
  <c r="V32" i="119"/>
  <c r="M32" i="119" s="1"/>
  <c r="L32" i="119"/>
  <c r="D14" i="119"/>
  <c r="B14" i="119" s="1"/>
  <c r="V46" i="119"/>
  <c r="M46" i="119" s="1"/>
  <c r="L46" i="119"/>
  <c r="D19" i="118"/>
  <c r="B19" i="118" s="1"/>
  <c r="D22" i="118"/>
  <c r="B22" i="118" s="1"/>
  <c r="D38" i="118"/>
  <c r="B38" i="118" s="1"/>
  <c r="D20" i="118"/>
  <c r="B20" i="118" s="1"/>
  <c r="B48" i="118"/>
  <c r="B47" i="118"/>
  <c r="D24" i="118"/>
  <c r="B24" i="118" s="1"/>
  <c r="V26" i="118"/>
  <c r="M26" i="118" s="1"/>
  <c r="D26" i="118" s="1"/>
  <c r="B26" i="118" s="1"/>
  <c r="L26" i="118"/>
  <c r="V25" i="118"/>
  <c r="M25" i="118" s="1"/>
  <c r="L25" i="118"/>
  <c r="D35" i="118"/>
  <c r="B35" i="118" s="1"/>
  <c r="V33" i="118"/>
  <c r="M33" i="118" s="1"/>
  <c r="L33" i="118"/>
  <c r="V23" i="118"/>
  <c r="M23" i="118" s="1"/>
  <c r="L23" i="118"/>
  <c r="D37" i="118"/>
  <c r="B37" i="118" s="1"/>
  <c r="D21" i="118"/>
  <c r="B21" i="118" s="1"/>
  <c r="D29" i="118"/>
  <c r="B29" i="118" s="1"/>
  <c r="D22" i="117"/>
  <c r="B22" i="117" s="1"/>
  <c r="D27" i="117"/>
  <c r="B27" i="117" s="1"/>
  <c r="D36" i="117"/>
  <c r="B36" i="117" s="1"/>
  <c r="D32" i="117"/>
  <c r="B32" i="117" s="1"/>
  <c r="D15" i="117"/>
  <c r="B15" i="117" s="1"/>
  <c r="D11" i="117"/>
  <c r="B11" i="117" s="1"/>
  <c r="D18" i="117"/>
  <c r="B18" i="117" s="1"/>
  <c r="D9" i="117"/>
  <c r="B9" i="117" s="1"/>
  <c r="V44" i="117"/>
  <c r="M44" i="117" s="1"/>
  <c r="L44" i="117"/>
  <c r="D44" i="117" s="1"/>
  <c r="B44" i="117" s="1"/>
  <c r="V34" i="117"/>
  <c r="M34" i="117" s="1"/>
  <c r="L34" i="117"/>
  <c r="V24" i="117"/>
  <c r="M24" i="117" s="1"/>
  <c r="L24" i="117"/>
  <c r="V26" i="117"/>
  <c r="M26" i="117" s="1"/>
  <c r="L26" i="117"/>
  <c r="V43" i="117"/>
  <c r="M43" i="117" s="1"/>
  <c r="L43" i="117"/>
  <c r="D39" i="117"/>
  <c r="B39" i="117" s="1"/>
  <c r="V46" i="117"/>
  <c r="M46" i="117" s="1"/>
  <c r="L46" i="117"/>
  <c r="D46" i="117" s="1"/>
  <c r="B46" i="117" s="1"/>
  <c r="U10" i="113"/>
  <c r="L10" i="113"/>
  <c r="T23" i="113"/>
  <c r="K23" i="113" s="1"/>
  <c r="T33" i="113"/>
  <c r="T14" i="113"/>
  <c r="T28" i="113"/>
  <c r="T29" i="113"/>
  <c r="K29" i="113" s="1"/>
  <c r="K36" i="113"/>
  <c r="T36" i="113"/>
  <c r="AF32" i="113"/>
  <c r="AF25" i="113"/>
  <c r="AF43" i="113"/>
  <c r="AF11" i="113"/>
  <c r="AF22" i="113"/>
  <c r="AD26" i="113"/>
  <c r="T30" i="113"/>
  <c r="K30" i="113"/>
  <c r="K10" i="113"/>
  <c r="J23" i="113"/>
  <c r="T42" i="113"/>
  <c r="K42" i="113" s="1"/>
  <c r="J33" i="113"/>
  <c r="T32" i="113"/>
  <c r="AD27" i="113"/>
  <c r="J29" i="113"/>
  <c r="U43" i="113"/>
  <c r="S18" i="113"/>
  <c r="T38" i="113"/>
  <c r="U27" i="113"/>
  <c r="L27" i="113" s="1"/>
  <c r="T16" i="113"/>
  <c r="AF17" i="113"/>
  <c r="AF35" i="113"/>
  <c r="AF46" i="113"/>
  <c r="AF14" i="113"/>
  <c r="E14" i="113" s="1"/>
  <c r="K31" i="113"/>
  <c r="T31" i="113"/>
  <c r="U40" i="113"/>
  <c r="L40" i="113" s="1"/>
  <c r="S39" i="113"/>
  <c r="K43" i="113"/>
  <c r="I18" i="113"/>
  <c r="K13" i="113"/>
  <c r="T13" i="113"/>
  <c r="K37" i="113"/>
  <c r="T37" i="113"/>
  <c r="AD10" i="113"/>
  <c r="J38" i="113"/>
  <c r="K27" i="113"/>
  <c r="AF15" i="113"/>
  <c r="E15" i="113" s="1"/>
  <c r="AF21" i="113"/>
  <c r="K22" i="113"/>
  <c r="T22" i="113"/>
  <c r="AF28" i="113"/>
  <c r="AF13" i="113"/>
  <c r="E13" i="113" s="1"/>
  <c r="AF42" i="113"/>
  <c r="L26" i="113"/>
  <c r="U26" i="113"/>
  <c r="U25" i="113"/>
  <c r="L25" i="113"/>
  <c r="T15" i="113"/>
  <c r="K15" i="113"/>
  <c r="J41" i="113"/>
  <c r="S41" i="113"/>
  <c r="AD16" i="113"/>
  <c r="AE38" i="113"/>
  <c r="E38" i="113" s="1"/>
  <c r="AD38" i="113"/>
  <c r="AF41" i="113"/>
  <c r="AF38" i="113"/>
  <c r="K45" i="113"/>
  <c r="T45" i="113"/>
  <c r="T24" i="113"/>
  <c r="T19" i="113"/>
  <c r="K19" i="113"/>
  <c r="K26" i="113"/>
  <c r="K25" i="113"/>
  <c r="I41" i="113"/>
  <c r="U17" i="113"/>
  <c r="L17" i="113" s="1"/>
  <c r="AD31" i="113"/>
  <c r="AF29" i="113"/>
  <c r="AF36" i="113"/>
  <c r="AF24" i="113"/>
  <c r="E24" i="113" s="1"/>
  <c r="AF37" i="113"/>
  <c r="E37" i="113" s="1"/>
  <c r="AF23" i="113"/>
  <c r="T12" i="113"/>
  <c r="J45" i="113"/>
  <c r="J24" i="113"/>
  <c r="K20" i="113"/>
  <c r="T20" i="113"/>
  <c r="T44" i="113"/>
  <c r="S34" i="113"/>
  <c r="J34" i="113"/>
  <c r="AE44" i="113"/>
  <c r="K17" i="113"/>
  <c r="J46" i="113"/>
  <c r="S46" i="113"/>
  <c r="AF39" i="113"/>
  <c r="AF18" i="113"/>
  <c r="AF40" i="113"/>
  <c r="AF33" i="113"/>
  <c r="AF19" i="113"/>
  <c r="AF30" i="113"/>
  <c r="E30" i="113" s="1"/>
  <c r="T35" i="113"/>
  <c r="K35" i="113"/>
  <c r="T11" i="113"/>
  <c r="K11" i="113" s="1"/>
  <c r="J21" i="113"/>
  <c r="S21" i="113"/>
  <c r="J14" i="113"/>
  <c r="J28" i="113"/>
  <c r="W18" i="113"/>
  <c r="AN9" i="113"/>
  <c r="AF9" i="113" s="1"/>
  <c r="AN40" i="113"/>
  <c r="AE40" i="113" s="1"/>
  <c r="AN38" i="113"/>
  <c r="AN18" i="113"/>
  <c r="T63" i="113"/>
  <c r="J63" i="113"/>
  <c r="AM63" i="113"/>
  <c r="AC63" i="113"/>
  <c r="E43" i="113"/>
  <c r="E46" i="113"/>
  <c r="AF67" i="113"/>
  <c r="AF63" i="113"/>
  <c r="E42" i="113"/>
  <c r="E32" i="113"/>
  <c r="E41" i="113"/>
  <c r="E39" i="113"/>
  <c r="E35" i="113"/>
  <c r="AF52" i="113"/>
  <c r="AF55" i="113"/>
  <c r="E25" i="113"/>
  <c r="E33" i="113"/>
  <c r="E28" i="113"/>
  <c r="E23" i="113"/>
  <c r="E21" i="113"/>
  <c r="E36" i="113"/>
  <c r="E29" i="113"/>
  <c r="E22" i="113"/>
  <c r="E11" i="113"/>
  <c r="E17" i="113"/>
  <c r="AF59" i="113"/>
  <c r="E19" i="113"/>
  <c r="AN45" i="113"/>
  <c r="AE45" i="113" s="1"/>
  <c r="AN44" i="113"/>
  <c r="AF44" i="113" s="1"/>
  <c r="AN10" i="113"/>
  <c r="AE10" i="113" s="1"/>
  <c r="AN20" i="113"/>
  <c r="AE20" i="113" s="1"/>
  <c r="AN34" i="113"/>
  <c r="AE34" i="113" s="1"/>
  <c r="AN12" i="113"/>
  <c r="AE12" i="113" s="1"/>
  <c r="AL67" i="113"/>
  <c r="AB67" i="113"/>
  <c r="AN16" i="113"/>
  <c r="AF16" i="113" s="1"/>
  <c r="AN31" i="113"/>
  <c r="AE31" i="113" s="1"/>
  <c r="S67" i="113"/>
  <c r="I67" i="113"/>
  <c r="AJ59" i="113"/>
  <c r="Z59" i="113"/>
  <c r="T59" i="113"/>
  <c r="J59" i="113"/>
  <c r="T9" i="113"/>
  <c r="AJ55" i="113"/>
  <c r="Z55" i="113"/>
  <c r="AN26" i="113"/>
  <c r="AF26" i="113" s="1"/>
  <c r="AK52" i="113"/>
  <c r="AA52" i="113"/>
  <c r="T52" i="113"/>
  <c r="J52" i="113"/>
  <c r="AN27" i="113"/>
  <c r="AE27" i="113" s="1"/>
  <c r="S55" i="113"/>
  <c r="I55" i="113"/>
  <c r="AC36" i="111"/>
  <c r="AC26" i="111"/>
  <c r="AC17" i="111"/>
  <c r="AC38" i="111"/>
  <c r="AC12" i="111"/>
  <c r="AC44" i="111"/>
  <c r="AC11" i="111"/>
  <c r="AC40" i="111"/>
  <c r="AC39" i="111"/>
  <c r="AC9" i="111"/>
  <c r="AC41" i="111"/>
  <c r="AC18" i="111"/>
  <c r="AC16" i="111"/>
  <c r="AC46" i="111"/>
  <c r="AC22" i="111"/>
  <c r="AC15" i="111"/>
  <c r="AC31" i="111"/>
  <c r="AC43" i="111"/>
  <c r="AC24" i="111"/>
  <c r="AC14" i="111"/>
  <c r="AC34" i="111"/>
  <c r="AC20" i="111"/>
  <c r="AC23" i="111"/>
  <c r="AC45" i="111"/>
  <c r="AC32" i="111"/>
  <c r="AC13" i="111"/>
  <c r="AC42" i="111"/>
  <c r="AC30" i="111"/>
  <c r="AC28" i="111"/>
  <c r="AC21" i="111"/>
  <c r="D34" i="119" l="1"/>
  <c r="B34" i="119" s="1"/>
  <c r="D18" i="119"/>
  <c r="B18" i="119" s="1"/>
  <c r="D17" i="119"/>
  <c r="B17" i="119" s="1"/>
  <c r="D13" i="119"/>
  <c r="B13" i="119" s="1"/>
  <c r="D21" i="119"/>
  <c r="B21" i="119" s="1"/>
  <c r="D32" i="119"/>
  <c r="B32" i="119" s="1"/>
  <c r="D39" i="119"/>
  <c r="B39" i="119" s="1"/>
  <c r="D40" i="119"/>
  <c r="B40" i="119" s="1"/>
  <c r="D46" i="119"/>
  <c r="B46" i="119" s="1"/>
  <c r="D23" i="118"/>
  <c r="B23" i="118" s="1"/>
  <c r="D33" i="118"/>
  <c r="B33" i="118" s="1"/>
  <c r="D25" i="118"/>
  <c r="B25" i="118" s="1"/>
  <c r="D24" i="117"/>
  <c r="B24" i="117" s="1"/>
  <c r="B48" i="117"/>
  <c r="B47" i="117"/>
  <c r="D43" i="117"/>
  <c r="B43" i="117" s="1"/>
  <c r="D34" i="117"/>
  <c r="B34" i="117" s="1"/>
  <c r="D26" i="117"/>
  <c r="B26" i="117" s="1"/>
  <c r="T18" i="113"/>
  <c r="U12" i="113"/>
  <c r="T21" i="113"/>
  <c r="T34" i="113"/>
  <c r="K12" i="113"/>
  <c r="AF12" i="113"/>
  <c r="U19" i="113"/>
  <c r="AF27" i="113"/>
  <c r="E27" i="113" s="1"/>
  <c r="V26" i="113"/>
  <c r="M26" i="113" s="1"/>
  <c r="AF45" i="113"/>
  <c r="E45" i="113" s="1"/>
  <c r="U16" i="113"/>
  <c r="L16" i="113"/>
  <c r="J18" i="113"/>
  <c r="U32" i="113"/>
  <c r="L32" i="113"/>
  <c r="U30" i="113"/>
  <c r="L30" i="113" s="1"/>
  <c r="L28" i="113"/>
  <c r="U28" i="113"/>
  <c r="AE16" i="113"/>
  <c r="U44" i="113"/>
  <c r="U24" i="113"/>
  <c r="L24" i="113" s="1"/>
  <c r="K39" i="113"/>
  <c r="T39" i="113"/>
  <c r="K16" i="113"/>
  <c r="V43" i="113"/>
  <c r="K32" i="113"/>
  <c r="AF20" i="113"/>
  <c r="K28" i="113"/>
  <c r="M10" i="113"/>
  <c r="V10" i="113"/>
  <c r="N10" i="113" s="1"/>
  <c r="AE26" i="113"/>
  <c r="E26" i="113" s="1"/>
  <c r="U29" i="113"/>
  <c r="K44" i="113"/>
  <c r="AF34" i="113"/>
  <c r="K24" i="113"/>
  <c r="T41" i="113"/>
  <c r="K41" i="113" s="1"/>
  <c r="AF10" i="113"/>
  <c r="J39" i="113"/>
  <c r="L43" i="113"/>
  <c r="L14" i="113"/>
  <c r="U14" i="113"/>
  <c r="AE18" i="113"/>
  <c r="E18" i="113" s="1"/>
  <c r="U11" i="113"/>
  <c r="L11" i="113"/>
  <c r="T46" i="113"/>
  <c r="L20" i="113"/>
  <c r="U20" i="113"/>
  <c r="V17" i="113"/>
  <c r="N17" i="113" s="1"/>
  <c r="U45" i="113"/>
  <c r="L45" i="113"/>
  <c r="U22" i="113"/>
  <c r="L37" i="113"/>
  <c r="U37" i="113"/>
  <c r="L36" i="113"/>
  <c r="U36" i="113"/>
  <c r="K14" i="113"/>
  <c r="U38" i="113"/>
  <c r="L38" i="113" s="1"/>
  <c r="U23" i="113"/>
  <c r="L23" i="113"/>
  <c r="V25" i="113"/>
  <c r="M25" i="113"/>
  <c r="V40" i="113"/>
  <c r="M40" i="113" s="1"/>
  <c r="M27" i="113"/>
  <c r="V27" i="113"/>
  <c r="U42" i="113"/>
  <c r="L42" i="113" s="1"/>
  <c r="U33" i="113"/>
  <c r="L33" i="113"/>
  <c r="AE9" i="113"/>
  <c r="L35" i="113"/>
  <c r="U35" i="113"/>
  <c r="K9" i="113"/>
  <c r="L15" i="113"/>
  <c r="U15" i="113"/>
  <c r="AF31" i="113"/>
  <c r="E31" i="113" s="1"/>
  <c r="L13" i="113"/>
  <c r="U13" i="113"/>
  <c r="L31" i="113"/>
  <c r="U31" i="113"/>
  <c r="K38" i="113"/>
  <c r="K33" i="113"/>
  <c r="W19" i="113"/>
  <c r="U52" i="113"/>
  <c r="K52" i="113"/>
  <c r="E12" i="113"/>
  <c r="E16" i="113"/>
  <c r="T67" i="113"/>
  <c r="J67" i="113"/>
  <c r="E20" i="113"/>
  <c r="E10" i="113"/>
  <c r="U59" i="113"/>
  <c r="K59" i="113"/>
  <c r="AL52" i="113"/>
  <c r="AB52" i="113"/>
  <c r="T55" i="113"/>
  <c r="J55" i="113"/>
  <c r="E9" i="113"/>
  <c r="E34" i="113"/>
  <c r="U63" i="113"/>
  <c r="K63" i="113"/>
  <c r="D10" i="113"/>
  <c r="AK55" i="113"/>
  <c r="AA55" i="113"/>
  <c r="AK59" i="113"/>
  <c r="AA59" i="113"/>
  <c r="U9" i="113"/>
  <c r="AM67" i="113"/>
  <c r="AC67" i="113"/>
  <c r="E40" i="113"/>
  <c r="AN63" i="113"/>
  <c r="AE63" i="113" s="1"/>
  <c r="AD63" i="113"/>
  <c r="E44" i="113"/>
  <c r="B48" i="119" l="1"/>
  <c r="B47" i="119"/>
  <c r="V15" i="113"/>
  <c r="N15" i="113" s="1"/>
  <c r="V33" i="113"/>
  <c r="V37" i="113"/>
  <c r="V20" i="113"/>
  <c r="N20" i="113" s="1"/>
  <c r="V14" i="113"/>
  <c r="N14" i="113" s="1"/>
  <c r="U21" i="113"/>
  <c r="V44" i="113"/>
  <c r="K21" i="113"/>
  <c r="V23" i="113"/>
  <c r="M23" i="113"/>
  <c r="V22" i="113"/>
  <c r="M22" i="113"/>
  <c r="U46" i="113"/>
  <c r="M29" i="113"/>
  <c r="V29" i="113"/>
  <c r="L44" i="113"/>
  <c r="V32" i="113"/>
  <c r="M32" i="113"/>
  <c r="V19" i="113"/>
  <c r="N19" i="113" s="1"/>
  <c r="M12" i="113"/>
  <c r="V12" i="113"/>
  <c r="N12" i="113" s="1"/>
  <c r="V30" i="113"/>
  <c r="M30" i="113"/>
  <c r="E63" i="113"/>
  <c r="V31" i="113"/>
  <c r="M31" i="113" s="1"/>
  <c r="V35" i="113"/>
  <c r="M35" i="113" s="1"/>
  <c r="L22" i="113"/>
  <c r="K46" i="113"/>
  <c r="L29" i="113"/>
  <c r="M43" i="113"/>
  <c r="L19" i="113"/>
  <c r="L12" i="113"/>
  <c r="B10" i="113"/>
  <c r="M38" i="113"/>
  <c r="V38" i="113"/>
  <c r="L18" i="113"/>
  <c r="U18" i="113"/>
  <c r="V24" i="113"/>
  <c r="M24" i="113"/>
  <c r="M42" i="113"/>
  <c r="V42" i="113"/>
  <c r="V13" i="113"/>
  <c r="N13" i="113" s="1"/>
  <c r="M13" i="113"/>
  <c r="D13" i="113" s="1"/>
  <c r="B13" i="113" s="1"/>
  <c r="L9" i="113"/>
  <c r="V45" i="113"/>
  <c r="M45" i="113"/>
  <c r="V11" i="113"/>
  <c r="N11" i="113" s="1"/>
  <c r="L39" i="113"/>
  <c r="U39" i="113"/>
  <c r="V28" i="113"/>
  <c r="M28" i="113" s="1"/>
  <c r="V16" i="113"/>
  <c r="N16" i="113" s="1"/>
  <c r="K18" i="113"/>
  <c r="L34" i="113"/>
  <c r="U34" i="113"/>
  <c r="M36" i="113"/>
  <c r="V36" i="113"/>
  <c r="M17" i="113"/>
  <c r="D17" i="113" s="1"/>
  <c r="B17" i="113" s="1"/>
  <c r="U41" i="113"/>
  <c r="L41" i="113"/>
  <c r="K34" i="113"/>
  <c r="W20" i="113"/>
  <c r="U67" i="113"/>
  <c r="K67" i="113"/>
  <c r="V63" i="113"/>
  <c r="L63" i="113"/>
  <c r="V9" i="113"/>
  <c r="N9" i="113" s="1"/>
  <c r="AL59" i="113"/>
  <c r="AB59" i="113"/>
  <c r="AM52" i="113"/>
  <c r="AC52" i="113"/>
  <c r="AL55" i="113"/>
  <c r="AB55" i="113"/>
  <c r="V52" i="113"/>
  <c r="L52" i="113"/>
  <c r="U55" i="113"/>
  <c r="K55" i="113"/>
  <c r="AN67" i="113"/>
  <c r="AE67" i="113" s="1"/>
  <c r="AD67" i="113"/>
  <c r="E67" i="113" s="1"/>
  <c r="V59" i="113"/>
  <c r="L59" i="113"/>
  <c r="D12" i="113" l="1"/>
  <c r="B12" i="113" s="1"/>
  <c r="V46" i="113"/>
  <c r="M46" i="113" s="1"/>
  <c r="M19" i="113"/>
  <c r="D19" i="113" s="1"/>
  <c r="B19" i="113" s="1"/>
  <c r="L46" i="113"/>
  <c r="M44" i="113"/>
  <c r="M37" i="113"/>
  <c r="M9" i="113"/>
  <c r="V21" i="113"/>
  <c r="N21" i="113" s="1"/>
  <c r="M21" i="113"/>
  <c r="V41" i="113"/>
  <c r="M41" i="113"/>
  <c r="M16" i="113"/>
  <c r="D16" i="113" s="1"/>
  <c r="B16" i="113" s="1"/>
  <c r="V18" i="113"/>
  <c r="N18" i="113" s="1"/>
  <c r="L21" i="113"/>
  <c r="M33" i="113"/>
  <c r="M11" i="113"/>
  <c r="D11" i="113" s="1"/>
  <c r="B11" i="113" s="1"/>
  <c r="V39" i="113"/>
  <c r="M39" i="113" s="1"/>
  <c r="M14" i="113"/>
  <c r="D14" i="113" s="1"/>
  <c r="B14" i="113" s="1"/>
  <c r="M15" i="113"/>
  <c r="D15" i="113" s="1"/>
  <c r="B15" i="113" s="1"/>
  <c r="V34" i="113"/>
  <c r="M34" i="113" s="1"/>
  <c r="M20" i="113"/>
  <c r="D20" i="113" s="1"/>
  <c r="B20" i="113" s="1"/>
  <c r="W21" i="113"/>
  <c r="AM55" i="113"/>
  <c r="AC55" i="113"/>
  <c r="W63" i="113"/>
  <c r="N63" i="113" s="1"/>
  <c r="M63" i="113"/>
  <c r="W59" i="113"/>
  <c r="N59" i="113" s="1"/>
  <c r="M59" i="113"/>
  <c r="W52" i="113"/>
  <c r="N52" i="113" s="1"/>
  <c r="M52" i="113"/>
  <c r="AM59" i="113"/>
  <c r="AC59" i="113"/>
  <c r="V55" i="113"/>
  <c r="L55" i="113"/>
  <c r="D9" i="113"/>
  <c r="B9" i="113" s="1"/>
  <c r="AN52" i="113"/>
  <c r="AE52" i="113" s="1"/>
  <c r="E52" i="113" s="1"/>
  <c r="AD52" i="113"/>
  <c r="V67" i="113"/>
  <c r="L67" i="113"/>
  <c r="M18" i="113" l="1"/>
  <c r="W22" i="113"/>
  <c r="N22" i="113" s="1"/>
  <c r="D21" i="113"/>
  <c r="B21" i="113" s="1"/>
  <c r="D18" i="113"/>
  <c r="B18" i="113" s="1"/>
  <c r="D59" i="113"/>
  <c r="AN59" i="113"/>
  <c r="AE59" i="113" s="1"/>
  <c r="AD59" i="113"/>
  <c r="D63" i="113"/>
  <c r="B63" i="113" s="1"/>
  <c r="D52" i="113"/>
  <c r="B52" i="113" s="1"/>
  <c r="W67" i="113"/>
  <c r="N67" i="113" s="1"/>
  <c r="M67" i="113"/>
  <c r="W55" i="113"/>
  <c r="N55" i="113" s="1"/>
  <c r="M55" i="113"/>
  <c r="AN55" i="113"/>
  <c r="AE55" i="113" s="1"/>
  <c r="AD55" i="113"/>
  <c r="E55" i="113" s="1"/>
  <c r="D55" i="113" l="1"/>
  <c r="B55" i="113" s="1"/>
  <c r="D22" i="113"/>
  <c r="B22" i="113" s="1"/>
  <c r="W23" i="113"/>
  <c r="N23" i="113" s="1"/>
  <c r="E59" i="113"/>
  <c r="B59" i="113" s="1"/>
  <c r="D67" i="113"/>
  <c r="B67" i="113" s="1"/>
  <c r="W24" i="113" l="1"/>
  <c r="N24" i="113" s="1"/>
  <c r="D23" i="113"/>
  <c r="B23" i="113" s="1"/>
  <c r="D24" i="113" l="1"/>
  <c r="B24" i="113" s="1"/>
  <c r="W25" i="113"/>
  <c r="N25" i="113" s="1"/>
  <c r="W26" i="113" l="1"/>
  <c r="N26" i="113" s="1"/>
  <c r="D25" i="113"/>
  <c r="B25" i="113" s="1"/>
  <c r="D26" i="113" l="1"/>
  <c r="B26" i="113" s="1"/>
  <c r="W27" i="113"/>
  <c r="N27" i="113" s="1"/>
  <c r="W28" i="113" l="1"/>
  <c r="N28" i="113" s="1"/>
  <c r="D27" i="113"/>
  <c r="B27" i="113" s="1"/>
  <c r="D28" i="113" l="1"/>
  <c r="B28" i="113" s="1"/>
  <c r="W29" i="113"/>
  <c r="N29" i="113" s="1"/>
  <c r="W30" i="113" l="1"/>
  <c r="N30" i="113" s="1"/>
  <c r="D29" i="113"/>
  <c r="B29" i="113" s="1"/>
  <c r="D30" i="113" l="1"/>
  <c r="B30" i="113" s="1"/>
  <c r="W31" i="113"/>
  <c r="N31" i="113" s="1"/>
  <c r="W32" i="113" l="1"/>
  <c r="N32" i="113" s="1"/>
  <c r="D31" i="113"/>
  <c r="B31" i="113" s="1"/>
  <c r="D32" i="113" l="1"/>
  <c r="B32" i="113" s="1"/>
  <c r="W33" i="113"/>
  <c r="N33" i="113" s="1"/>
  <c r="W34" i="113" l="1"/>
  <c r="N34" i="113" s="1"/>
  <c r="D33" i="113"/>
  <c r="B33" i="113" s="1"/>
  <c r="D34" i="113" l="1"/>
  <c r="B34" i="113" s="1"/>
  <c r="W35" i="113"/>
  <c r="N35" i="113" s="1"/>
  <c r="D35" i="113" l="1"/>
  <c r="B35" i="113" s="1"/>
  <c r="W36" i="113"/>
  <c r="N36" i="113" s="1"/>
  <c r="W37" i="113" l="1"/>
  <c r="N37" i="113" s="1"/>
  <c r="D36" i="113"/>
  <c r="B36" i="113" s="1"/>
  <c r="D37" i="113" l="1"/>
  <c r="B37" i="113" s="1"/>
  <c r="W38" i="113"/>
  <c r="N38" i="113" s="1"/>
  <c r="W39" i="113" l="1"/>
  <c r="N39" i="113" s="1"/>
  <c r="D38" i="113"/>
  <c r="B38" i="113" s="1"/>
  <c r="W40" i="113" l="1"/>
  <c r="N40" i="113" s="1"/>
  <c r="D39" i="113"/>
  <c r="B39" i="113" s="1"/>
  <c r="D40" i="113" l="1"/>
  <c r="B40" i="113" s="1"/>
  <c r="W41" i="113"/>
  <c r="N41" i="113" s="1"/>
  <c r="W42" i="113" l="1"/>
  <c r="N42" i="113" s="1"/>
  <c r="D41" i="113"/>
  <c r="B41" i="113" s="1"/>
  <c r="W43" i="113" l="1"/>
  <c r="N43" i="113" s="1"/>
  <c r="D42" i="113"/>
  <c r="B42" i="113" s="1"/>
  <c r="D43" i="113" l="1"/>
  <c r="B43" i="113" s="1"/>
  <c r="W44" i="113"/>
  <c r="N44" i="113" s="1"/>
  <c r="W45" i="113" l="1"/>
  <c r="N45" i="113" s="1"/>
  <c r="D44" i="113"/>
  <c r="B44" i="113" s="1"/>
  <c r="D45" i="113" l="1"/>
  <c r="B45" i="113" s="1"/>
  <c r="W46" i="113"/>
  <c r="N46" i="113" l="1"/>
  <c r="D46" i="113" s="1"/>
  <c r="B46" i="113" s="1"/>
  <c r="B48" i="113" l="1"/>
  <c r="B47" i="113"/>
  <c r="E19" i="110"/>
  <c r="G18" i="110" s="1"/>
  <c r="J15" i="110" s="1"/>
  <c r="J12" i="110"/>
  <c r="M53" i="109"/>
  <c r="M54" i="109"/>
  <c r="M55" i="109"/>
  <c r="M56" i="109"/>
  <c r="M57" i="109"/>
  <c r="M58" i="109"/>
  <c r="M59" i="109"/>
  <c r="M60" i="109"/>
  <c r="M52" i="109"/>
  <c r="M51" i="109"/>
  <c r="O23" i="109"/>
  <c r="N23" i="109"/>
  <c r="O22" i="109"/>
  <c r="N22" i="109"/>
  <c r="O21" i="109"/>
  <c r="N21" i="109"/>
  <c r="O20" i="109"/>
  <c r="N20" i="109"/>
  <c r="O19" i="109"/>
  <c r="N19" i="109"/>
  <c r="O18" i="109"/>
  <c r="N18" i="109"/>
  <c r="O17" i="109"/>
  <c r="N17" i="109"/>
  <c r="O16" i="109"/>
  <c r="N16" i="109"/>
  <c r="N15" i="109"/>
  <c r="G16" i="110" l="1"/>
  <c r="J13" i="110" s="1"/>
  <c r="G11" i="110"/>
  <c r="G14" i="110"/>
  <c r="J11" i="110" s="1"/>
  <c r="G17" i="110"/>
  <c r="J14" i="110" s="1"/>
  <c r="G10" i="110"/>
  <c r="J9" i="110" s="1"/>
  <c r="G13" i="110"/>
  <c r="F8" i="110"/>
  <c r="F9" i="110" s="1"/>
  <c r="F10" i="110" s="1"/>
  <c r="F11" i="110" s="1"/>
  <c r="F12" i="110" s="1"/>
  <c r="F13" i="110" s="1"/>
  <c r="F14" i="110" s="1"/>
  <c r="F15" i="110" s="1"/>
  <c r="F16" i="110" s="1"/>
  <c r="F17" i="110" s="1"/>
  <c r="F18" i="110" s="1"/>
  <c r="G9" i="110"/>
  <c r="G15" i="110"/>
  <c r="G8" i="110"/>
  <c r="G12" i="110"/>
  <c r="J10" i="110" l="1"/>
  <c r="C49" i="107" l="1"/>
  <c r="C48" i="107"/>
  <c r="A7" i="107"/>
  <c r="A8" i="107" s="1"/>
  <c r="A9" i="107" s="1"/>
  <c r="A10" i="107" s="1"/>
  <c r="A11" i="107" s="1"/>
  <c r="A12" i="107" s="1"/>
  <c r="A13" i="107" s="1"/>
  <c r="A14" i="107" s="1"/>
  <c r="A15" i="107" s="1"/>
  <c r="A16" i="107" s="1"/>
  <c r="A17" i="107" s="1"/>
  <c r="A18" i="107" s="1"/>
  <c r="A19" i="107" s="1"/>
  <c r="A20" i="107" s="1"/>
  <c r="A21" i="107" s="1"/>
  <c r="A22" i="107" s="1"/>
  <c r="A23" i="107" s="1"/>
  <c r="A24" i="107" s="1"/>
  <c r="A25" i="107" s="1"/>
  <c r="A26" i="107" s="1"/>
  <c r="A27" i="107" s="1"/>
  <c r="A28" i="107" s="1"/>
  <c r="A29" i="107" s="1"/>
  <c r="A30" i="107" s="1"/>
  <c r="A31" i="107" s="1"/>
  <c r="A32" i="107" s="1"/>
  <c r="A33" i="107" s="1"/>
  <c r="A34" i="107" s="1"/>
  <c r="A35" i="107" s="1"/>
  <c r="A36" i="107" s="1"/>
  <c r="A37" i="107" s="1"/>
  <c r="A38" i="107" s="1"/>
  <c r="A39" i="107" s="1"/>
  <c r="A40" i="107" s="1"/>
  <c r="A41" i="107" s="1"/>
  <c r="A42" i="107" s="1"/>
  <c r="A43" i="107" s="1"/>
  <c r="A44" i="107" s="1"/>
  <c r="A45" i="107" s="1"/>
  <c r="A46" i="107" s="1"/>
  <c r="W11" i="35"/>
  <c r="W12" i="35" s="1"/>
  <c r="W13" i="35" s="1"/>
  <c r="W14" i="35" s="1"/>
  <c r="W15" i="35" s="1"/>
  <c r="W16" i="35" s="1"/>
  <c r="W17" i="35" s="1"/>
  <c r="W18" i="35" s="1"/>
  <c r="W19" i="35" s="1"/>
  <c r="W20" i="35" s="1"/>
  <c r="W21" i="35" s="1"/>
  <c r="W22" i="35" s="1"/>
  <c r="W23" i="35" s="1"/>
  <c r="W24" i="35" s="1"/>
  <c r="W25" i="35" s="1"/>
  <c r="W26" i="35" s="1"/>
  <c r="W27" i="35" s="1"/>
  <c r="W28" i="35" s="1"/>
  <c r="W29" i="35" s="1"/>
  <c r="W30" i="35" s="1"/>
  <c r="W31" i="35" s="1"/>
  <c r="W32" i="35" s="1"/>
  <c r="W33" i="35" s="1"/>
  <c r="W34" i="35" s="1"/>
  <c r="W35" i="35" s="1"/>
  <c r="W36" i="35" s="1"/>
  <c r="W37" i="35" s="1"/>
  <c r="W38" i="35" s="1"/>
  <c r="W39" i="35" s="1"/>
  <c r="W40" i="35" s="1"/>
  <c r="W41" i="35" s="1"/>
  <c r="W42" i="35" s="1"/>
  <c r="W43" i="35" s="1"/>
  <c r="W44" i="35" s="1"/>
  <c r="W45" i="35" s="1"/>
  <c r="W46" i="35" s="1"/>
  <c r="W10" i="35"/>
  <c r="W10" i="57"/>
  <c r="W11" i="57" s="1"/>
  <c r="W12" i="57" s="1"/>
  <c r="W13" i="57" s="1"/>
  <c r="W14" i="57" s="1"/>
  <c r="W15" i="57" s="1"/>
  <c r="W16" i="57" s="1"/>
  <c r="W17" i="57" s="1"/>
  <c r="W18" i="57" s="1"/>
  <c r="W19" i="57" s="1"/>
  <c r="W20" i="57" s="1"/>
  <c r="W21" i="57" s="1"/>
  <c r="W22" i="57" s="1"/>
  <c r="W23" i="57" s="1"/>
  <c r="W24" i="57" s="1"/>
  <c r="W25" i="57" s="1"/>
  <c r="W26" i="57" s="1"/>
  <c r="W27" i="57" s="1"/>
  <c r="W28" i="57" s="1"/>
  <c r="W29" i="57" s="1"/>
  <c r="W30" i="57" s="1"/>
  <c r="W31" i="57" s="1"/>
  <c r="W32" i="57" s="1"/>
  <c r="W33" i="57" s="1"/>
  <c r="W34" i="57" s="1"/>
  <c r="W35" i="57" s="1"/>
  <c r="W36" i="57" s="1"/>
  <c r="W37" i="57" s="1"/>
  <c r="W38" i="57" s="1"/>
  <c r="W39" i="57" s="1"/>
  <c r="W40" i="57" s="1"/>
  <c r="W41" i="57" s="1"/>
  <c r="W42" i="57" s="1"/>
  <c r="W43" i="57" s="1"/>
  <c r="W44" i="57" s="1"/>
  <c r="W45" i="57" s="1"/>
  <c r="W9" i="57"/>
  <c r="AQ9" i="57"/>
  <c r="AR9" i="57"/>
  <c r="AS9" i="57"/>
  <c r="AT9" i="57"/>
  <c r="AU9" i="57"/>
  <c r="AV9" i="57"/>
  <c r="AW9" i="57"/>
  <c r="AX9" i="57"/>
  <c r="AQ10" i="57"/>
  <c r="AR10" i="57"/>
  <c r="AS10" i="57"/>
  <c r="AT10" i="57"/>
  <c r="AU10" i="57"/>
  <c r="AV10" i="57"/>
  <c r="AW10" i="57"/>
  <c r="AX10" i="57"/>
  <c r="AQ11" i="57"/>
  <c r="AR11" i="57"/>
  <c r="AS11" i="57"/>
  <c r="AT11" i="57"/>
  <c r="AU11" i="57"/>
  <c r="AV11" i="57"/>
  <c r="AW11" i="57"/>
  <c r="AX11" i="57"/>
  <c r="AQ12" i="57"/>
  <c r="AR12" i="57"/>
  <c r="AS12" i="57"/>
  <c r="AT12" i="57"/>
  <c r="AU12" i="57"/>
  <c r="AV12" i="57"/>
  <c r="AW12" i="57"/>
  <c r="AX12" i="57"/>
  <c r="AQ13" i="57"/>
  <c r="AR13" i="57"/>
  <c r="AS13" i="57"/>
  <c r="AT13" i="57"/>
  <c r="AU13" i="57"/>
  <c r="AV13" i="57"/>
  <c r="AW13" i="57"/>
  <c r="AX13" i="57"/>
  <c r="AQ14" i="57"/>
  <c r="AR14" i="57"/>
  <c r="AS14" i="57"/>
  <c r="AT14" i="57"/>
  <c r="AU14" i="57"/>
  <c r="AV14" i="57"/>
  <c r="AW14" i="57"/>
  <c r="AX14" i="57"/>
  <c r="AQ15" i="57"/>
  <c r="AR15" i="57"/>
  <c r="AS15" i="57"/>
  <c r="AT15" i="57"/>
  <c r="AU15" i="57"/>
  <c r="AV15" i="57"/>
  <c r="AW15" i="57"/>
  <c r="AX15" i="57"/>
  <c r="AQ16" i="57"/>
  <c r="AR16" i="57"/>
  <c r="AS16" i="57"/>
  <c r="AT16" i="57"/>
  <c r="AU16" i="57"/>
  <c r="AV16" i="57"/>
  <c r="AW16" i="57"/>
  <c r="AX16" i="57"/>
  <c r="AQ17" i="57"/>
  <c r="AR17" i="57"/>
  <c r="AS17" i="57"/>
  <c r="AT17" i="57"/>
  <c r="AU17" i="57"/>
  <c r="AV17" i="57"/>
  <c r="AW17" i="57"/>
  <c r="AX17" i="57"/>
  <c r="AQ18" i="57"/>
  <c r="AR18" i="57"/>
  <c r="AS18" i="57"/>
  <c r="AT18" i="57"/>
  <c r="AU18" i="57"/>
  <c r="AV18" i="57"/>
  <c r="AW18" i="57"/>
  <c r="AX18" i="57"/>
  <c r="AQ19" i="57"/>
  <c r="AR19" i="57"/>
  <c r="AS19" i="57"/>
  <c r="AT19" i="57"/>
  <c r="AU19" i="57"/>
  <c r="AV19" i="57"/>
  <c r="AW19" i="57"/>
  <c r="AX19" i="57"/>
  <c r="AQ20" i="57"/>
  <c r="AR20" i="57"/>
  <c r="AS20" i="57"/>
  <c r="AT20" i="57"/>
  <c r="AU20" i="57"/>
  <c r="AV20" i="57"/>
  <c r="AW20" i="57"/>
  <c r="AX20" i="57"/>
  <c r="AQ21" i="57"/>
  <c r="AR21" i="57"/>
  <c r="AS21" i="57"/>
  <c r="AT21" i="57"/>
  <c r="AU21" i="57"/>
  <c r="AV21" i="57"/>
  <c r="AW21" i="57"/>
  <c r="AX21" i="57"/>
  <c r="AQ22" i="57"/>
  <c r="AR22" i="57"/>
  <c r="AS22" i="57"/>
  <c r="AT22" i="57"/>
  <c r="AU22" i="57"/>
  <c r="AV22" i="57"/>
  <c r="AW22" i="57"/>
  <c r="AX22" i="57"/>
  <c r="AQ23" i="57"/>
  <c r="AR23" i="57"/>
  <c r="AS23" i="57"/>
  <c r="AT23" i="57"/>
  <c r="AU23" i="57"/>
  <c r="AV23" i="57"/>
  <c r="AW23" i="57"/>
  <c r="AX23" i="57"/>
  <c r="AQ24" i="57"/>
  <c r="AR24" i="57"/>
  <c r="AS24" i="57"/>
  <c r="AT24" i="57"/>
  <c r="AU24" i="57"/>
  <c r="AV24" i="57"/>
  <c r="AW24" i="57"/>
  <c r="AX24" i="57"/>
  <c r="AQ25" i="57"/>
  <c r="AR25" i="57"/>
  <c r="AS25" i="57"/>
  <c r="AT25" i="57"/>
  <c r="AU25" i="57"/>
  <c r="AV25" i="57"/>
  <c r="AW25" i="57"/>
  <c r="AX25" i="57"/>
  <c r="AQ26" i="57"/>
  <c r="AR26" i="57"/>
  <c r="AS26" i="57"/>
  <c r="AT26" i="57"/>
  <c r="AU26" i="57"/>
  <c r="AV26" i="57"/>
  <c r="AW26" i="57"/>
  <c r="AX26" i="57"/>
  <c r="AQ27" i="57"/>
  <c r="AR27" i="57"/>
  <c r="AS27" i="57"/>
  <c r="AT27" i="57"/>
  <c r="AU27" i="57"/>
  <c r="AV27" i="57"/>
  <c r="AW27" i="57"/>
  <c r="AX27" i="57"/>
  <c r="AQ28" i="57"/>
  <c r="AR28" i="57"/>
  <c r="AS28" i="57"/>
  <c r="AT28" i="57"/>
  <c r="AU28" i="57"/>
  <c r="AV28" i="57"/>
  <c r="AW28" i="57"/>
  <c r="AX28" i="57"/>
  <c r="AQ29" i="57"/>
  <c r="AR29" i="57"/>
  <c r="AS29" i="57"/>
  <c r="AT29" i="57"/>
  <c r="AU29" i="57"/>
  <c r="AV29" i="57"/>
  <c r="AW29" i="57"/>
  <c r="AX29" i="57"/>
  <c r="AQ30" i="57"/>
  <c r="AR30" i="57"/>
  <c r="AS30" i="57"/>
  <c r="AT30" i="57"/>
  <c r="AU30" i="57"/>
  <c r="AV30" i="57"/>
  <c r="AW30" i="57"/>
  <c r="AX30" i="57"/>
  <c r="AQ31" i="57"/>
  <c r="AR31" i="57"/>
  <c r="AS31" i="57"/>
  <c r="AT31" i="57"/>
  <c r="AU31" i="57"/>
  <c r="AV31" i="57"/>
  <c r="AW31" i="57"/>
  <c r="AX31" i="57"/>
  <c r="AQ32" i="57"/>
  <c r="AR32" i="57"/>
  <c r="AS32" i="57"/>
  <c r="AT32" i="57"/>
  <c r="AU32" i="57"/>
  <c r="AV32" i="57"/>
  <c r="AW32" i="57"/>
  <c r="AX32" i="57"/>
  <c r="AQ33" i="57"/>
  <c r="AR33" i="57"/>
  <c r="AS33" i="57"/>
  <c r="AT33" i="57"/>
  <c r="AU33" i="57"/>
  <c r="AV33" i="57"/>
  <c r="AW33" i="57"/>
  <c r="AX33" i="57"/>
  <c r="AQ34" i="57"/>
  <c r="AR34" i="57"/>
  <c r="AS34" i="57"/>
  <c r="AT34" i="57"/>
  <c r="AU34" i="57"/>
  <c r="AV34" i="57"/>
  <c r="AW34" i="57"/>
  <c r="AX34" i="57"/>
  <c r="AQ35" i="57"/>
  <c r="AR35" i="57"/>
  <c r="AS35" i="57"/>
  <c r="AT35" i="57"/>
  <c r="AU35" i="57"/>
  <c r="AV35" i="57"/>
  <c r="AW35" i="57"/>
  <c r="AX35" i="57"/>
  <c r="AQ36" i="57"/>
  <c r="AR36" i="57"/>
  <c r="AS36" i="57"/>
  <c r="AT36" i="57"/>
  <c r="AU36" i="57"/>
  <c r="AV36" i="57"/>
  <c r="AW36" i="57"/>
  <c r="AX36" i="57"/>
  <c r="AQ37" i="57"/>
  <c r="AR37" i="57"/>
  <c r="AS37" i="57"/>
  <c r="AT37" i="57"/>
  <c r="AU37" i="57"/>
  <c r="AV37" i="57"/>
  <c r="AW37" i="57"/>
  <c r="AX37" i="57"/>
  <c r="AQ38" i="57"/>
  <c r="AR38" i="57"/>
  <c r="AS38" i="57"/>
  <c r="AT38" i="57"/>
  <c r="AU38" i="57"/>
  <c r="AV38" i="57"/>
  <c r="AW38" i="57"/>
  <c r="AX38" i="57"/>
  <c r="AQ39" i="57"/>
  <c r="AR39" i="57"/>
  <c r="AS39" i="57"/>
  <c r="AT39" i="57"/>
  <c r="AU39" i="57"/>
  <c r="AV39" i="57"/>
  <c r="AW39" i="57"/>
  <c r="AX39" i="57"/>
  <c r="AQ40" i="57"/>
  <c r="AR40" i="57"/>
  <c r="AS40" i="57"/>
  <c r="AT40" i="57"/>
  <c r="AU40" i="57"/>
  <c r="AV40" i="57"/>
  <c r="AW40" i="57"/>
  <c r="AX40" i="57"/>
  <c r="AQ41" i="57"/>
  <c r="AR41" i="57"/>
  <c r="AS41" i="57"/>
  <c r="AT41" i="57"/>
  <c r="AU41" i="57"/>
  <c r="AV41" i="57"/>
  <c r="AW41" i="57"/>
  <c r="AX41" i="57"/>
  <c r="AQ42" i="57"/>
  <c r="AR42" i="57"/>
  <c r="AS42" i="57"/>
  <c r="AT42" i="57"/>
  <c r="AU42" i="57"/>
  <c r="AV42" i="57"/>
  <c r="AW42" i="57"/>
  <c r="AX42" i="57"/>
  <c r="AQ43" i="57"/>
  <c r="AR43" i="57"/>
  <c r="AS43" i="57"/>
  <c r="AT43" i="57"/>
  <c r="AU43" i="57"/>
  <c r="AV43" i="57"/>
  <c r="AW43" i="57"/>
  <c r="AX43" i="57"/>
  <c r="AQ44" i="57"/>
  <c r="AR44" i="57"/>
  <c r="AS44" i="57"/>
  <c r="AT44" i="57"/>
  <c r="AU44" i="57"/>
  <c r="AV44" i="57"/>
  <c r="AW44" i="57"/>
  <c r="AX44" i="57"/>
  <c r="AQ45" i="57"/>
  <c r="AR45" i="57"/>
  <c r="AS45" i="57"/>
  <c r="AT45" i="57"/>
  <c r="AU45" i="57"/>
  <c r="AV45" i="57"/>
  <c r="AW45" i="57"/>
  <c r="AX45" i="57"/>
  <c r="AV8" i="57"/>
  <c r="AW8" i="57"/>
  <c r="AX8" i="57"/>
  <c r="AU8" i="57"/>
  <c r="AR8" i="57"/>
  <c r="AS8" i="57"/>
  <c r="AT8" i="57"/>
  <c r="AQ8" i="57"/>
  <c r="AH9" i="57"/>
  <c r="AI9" i="57" s="1"/>
  <c r="AJ9" i="57" s="1"/>
  <c r="AK9" i="57" s="1"/>
  <c r="AL9" i="57" s="1"/>
  <c r="AM9" i="57" s="1"/>
  <c r="AN9" i="57" s="1"/>
  <c r="AH10" i="57"/>
  <c r="AI10" i="57" s="1"/>
  <c r="AJ10" i="57" s="1"/>
  <c r="AK10" i="57" s="1"/>
  <c r="AL10" i="57" s="1"/>
  <c r="AM10" i="57" s="1"/>
  <c r="AN10" i="57" s="1"/>
  <c r="AH11" i="57"/>
  <c r="AI11" i="57" s="1"/>
  <c r="AJ11" i="57" s="1"/>
  <c r="AK11" i="57" s="1"/>
  <c r="AL11" i="57" s="1"/>
  <c r="AM11" i="57" s="1"/>
  <c r="AN11" i="57" s="1"/>
  <c r="AH12" i="57"/>
  <c r="AI12" i="57" s="1"/>
  <c r="AJ12" i="57" s="1"/>
  <c r="AK12" i="57" s="1"/>
  <c r="AL12" i="57" s="1"/>
  <c r="AM12" i="57" s="1"/>
  <c r="AN12" i="57" s="1"/>
  <c r="AH13" i="57"/>
  <c r="AI13" i="57" s="1"/>
  <c r="AJ13" i="57" s="1"/>
  <c r="AK13" i="57" s="1"/>
  <c r="AL13" i="57" s="1"/>
  <c r="AM13" i="57" s="1"/>
  <c r="AN13" i="57" s="1"/>
  <c r="AH14" i="57"/>
  <c r="AI14" i="57" s="1"/>
  <c r="AJ14" i="57" s="1"/>
  <c r="AK14" i="57" s="1"/>
  <c r="AL14" i="57" s="1"/>
  <c r="AM14" i="57" s="1"/>
  <c r="AN14" i="57" s="1"/>
  <c r="AH15" i="57"/>
  <c r="AI15" i="57" s="1"/>
  <c r="AJ15" i="57" s="1"/>
  <c r="AK15" i="57" s="1"/>
  <c r="AL15" i="57" s="1"/>
  <c r="AM15" i="57" s="1"/>
  <c r="AN15" i="57" s="1"/>
  <c r="AH16" i="57"/>
  <c r="AI16" i="57"/>
  <c r="AJ16" i="57" s="1"/>
  <c r="AK16" i="57" s="1"/>
  <c r="AL16" i="57" s="1"/>
  <c r="AM16" i="57" s="1"/>
  <c r="AN16" i="57" s="1"/>
  <c r="AH17" i="57"/>
  <c r="AI17" i="57" s="1"/>
  <c r="AJ17" i="57" s="1"/>
  <c r="AK17" i="57" s="1"/>
  <c r="AL17" i="57" s="1"/>
  <c r="AM17" i="57" s="1"/>
  <c r="AN17" i="57" s="1"/>
  <c r="AH18" i="57"/>
  <c r="AI18" i="57" s="1"/>
  <c r="AJ18" i="57" s="1"/>
  <c r="AK18" i="57" s="1"/>
  <c r="AL18" i="57" s="1"/>
  <c r="AM18" i="57" s="1"/>
  <c r="AN18" i="57" s="1"/>
  <c r="AH19" i="57"/>
  <c r="AI19" i="57"/>
  <c r="AJ19" i="57" s="1"/>
  <c r="AK19" i="57" s="1"/>
  <c r="AL19" i="57" s="1"/>
  <c r="AM19" i="57" s="1"/>
  <c r="AN19" i="57" s="1"/>
  <c r="AH20" i="57"/>
  <c r="AI20" i="57"/>
  <c r="AJ20" i="57" s="1"/>
  <c r="AK20" i="57" s="1"/>
  <c r="AL20" i="57" s="1"/>
  <c r="AM20" i="57" s="1"/>
  <c r="AN20" i="57" s="1"/>
  <c r="AH21" i="57"/>
  <c r="AI21" i="57" s="1"/>
  <c r="AJ21" i="57" s="1"/>
  <c r="AK21" i="57" s="1"/>
  <c r="AL21" i="57" s="1"/>
  <c r="AM21" i="57" s="1"/>
  <c r="AN21" i="57" s="1"/>
  <c r="AH22" i="57"/>
  <c r="AI22" i="57"/>
  <c r="AJ22" i="57" s="1"/>
  <c r="AK22" i="57" s="1"/>
  <c r="AL22" i="57" s="1"/>
  <c r="AM22" i="57" s="1"/>
  <c r="AN22" i="57" s="1"/>
  <c r="AH23" i="57"/>
  <c r="AI23" i="57" s="1"/>
  <c r="AJ23" i="57" s="1"/>
  <c r="AK23" i="57" s="1"/>
  <c r="AL23" i="57" s="1"/>
  <c r="AM23" i="57" s="1"/>
  <c r="AN23" i="57" s="1"/>
  <c r="AH24" i="57"/>
  <c r="AI24" i="57" s="1"/>
  <c r="AJ24" i="57" s="1"/>
  <c r="AK24" i="57" s="1"/>
  <c r="AL24" i="57" s="1"/>
  <c r="AM24" i="57" s="1"/>
  <c r="AN24" i="57" s="1"/>
  <c r="AH25" i="57"/>
  <c r="AI25" i="57" s="1"/>
  <c r="AJ25" i="57" s="1"/>
  <c r="AK25" i="57" s="1"/>
  <c r="AL25" i="57" s="1"/>
  <c r="AM25" i="57" s="1"/>
  <c r="AN25" i="57" s="1"/>
  <c r="AH26" i="57"/>
  <c r="AI26" i="57" s="1"/>
  <c r="AJ26" i="57" s="1"/>
  <c r="AK26" i="57" s="1"/>
  <c r="AL26" i="57" s="1"/>
  <c r="AM26" i="57" s="1"/>
  <c r="AN26" i="57" s="1"/>
  <c r="AH27" i="57"/>
  <c r="AI27" i="57" s="1"/>
  <c r="AJ27" i="57" s="1"/>
  <c r="AK27" i="57" s="1"/>
  <c r="AL27" i="57" s="1"/>
  <c r="AM27" i="57" s="1"/>
  <c r="AN27" i="57" s="1"/>
  <c r="AH28" i="57"/>
  <c r="AI28" i="57" s="1"/>
  <c r="AJ28" i="57" s="1"/>
  <c r="AK28" i="57" s="1"/>
  <c r="AL28" i="57" s="1"/>
  <c r="AM28" i="57" s="1"/>
  <c r="AN28" i="57" s="1"/>
  <c r="AH29" i="57"/>
  <c r="AI29" i="57" s="1"/>
  <c r="AJ29" i="57" s="1"/>
  <c r="AK29" i="57" s="1"/>
  <c r="AL29" i="57" s="1"/>
  <c r="AM29" i="57" s="1"/>
  <c r="AN29" i="57" s="1"/>
  <c r="AH30" i="57"/>
  <c r="AI30" i="57" s="1"/>
  <c r="AJ30" i="57" s="1"/>
  <c r="AK30" i="57" s="1"/>
  <c r="AL30" i="57" s="1"/>
  <c r="AM30" i="57" s="1"/>
  <c r="AN30" i="57" s="1"/>
  <c r="AH31" i="57"/>
  <c r="AI31" i="57" s="1"/>
  <c r="AJ31" i="57" s="1"/>
  <c r="AK31" i="57" s="1"/>
  <c r="AL31" i="57" s="1"/>
  <c r="AM31" i="57" s="1"/>
  <c r="AN31" i="57" s="1"/>
  <c r="AH32" i="57"/>
  <c r="AI32" i="57"/>
  <c r="AJ32" i="57" s="1"/>
  <c r="AK32" i="57" s="1"/>
  <c r="AL32" i="57" s="1"/>
  <c r="AM32" i="57" s="1"/>
  <c r="AN32" i="57" s="1"/>
  <c r="AH33" i="57"/>
  <c r="AI33" i="57" s="1"/>
  <c r="AJ33" i="57" s="1"/>
  <c r="AK33" i="57" s="1"/>
  <c r="AL33" i="57" s="1"/>
  <c r="AM33" i="57" s="1"/>
  <c r="AN33" i="57" s="1"/>
  <c r="AH34" i="57"/>
  <c r="AI34" i="57" s="1"/>
  <c r="AJ34" i="57" s="1"/>
  <c r="AK34" i="57" s="1"/>
  <c r="AL34" i="57" s="1"/>
  <c r="AM34" i="57" s="1"/>
  <c r="AN34" i="57" s="1"/>
  <c r="AH35" i="57"/>
  <c r="AI35" i="57"/>
  <c r="AJ35" i="57" s="1"/>
  <c r="AK35" i="57" s="1"/>
  <c r="AL35" i="57" s="1"/>
  <c r="AM35" i="57" s="1"/>
  <c r="AN35" i="57" s="1"/>
  <c r="AH36" i="57"/>
  <c r="AI36" i="57"/>
  <c r="AJ36" i="57" s="1"/>
  <c r="AK36" i="57" s="1"/>
  <c r="AL36" i="57" s="1"/>
  <c r="AM36" i="57" s="1"/>
  <c r="AN36" i="57" s="1"/>
  <c r="AH37" i="57"/>
  <c r="AI37" i="57" s="1"/>
  <c r="AJ37" i="57" s="1"/>
  <c r="AK37" i="57" s="1"/>
  <c r="AL37" i="57" s="1"/>
  <c r="AM37" i="57" s="1"/>
  <c r="AN37" i="57" s="1"/>
  <c r="AH38" i="57"/>
  <c r="AI38" i="57"/>
  <c r="AJ38" i="57" s="1"/>
  <c r="AK38" i="57" s="1"/>
  <c r="AL38" i="57" s="1"/>
  <c r="AM38" i="57" s="1"/>
  <c r="AN38" i="57" s="1"/>
  <c r="AH39" i="57"/>
  <c r="AI39" i="57" s="1"/>
  <c r="AJ39" i="57" s="1"/>
  <c r="AK39" i="57" s="1"/>
  <c r="AL39" i="57" s="1"/>
  <c r="AM39" i="57" s="1"/>
  <c r="AN39" i="57" s="1"/>
  <c r="AH40" i="57"/>
  <c r="AI40" i="57" s="1"/>
  <c r="AJ40" i="57" s="1"/>
  <c r="AK40" i="57" s="1"/>
  <c r="AL40" i="57" s="1"/>
  <c r="AM40" i="57" s="1"/>
  <c r="AN40" i="57" s="1"/>
  <c r="AH41" i="57"/>
  <c r="AI41" i="57" s="1"/>
  <c r="AJ41" i="57" s="1"/>
  <c r="AK41" i="57" s="1"/>
  <c r="AL41" i="57" s="1"/>
  <c r="AM41" i="57" s="1"/>
  <c r="AN41" i="57" s="1"/>
  <c r="AH42" i="57"/>
  <c r="AI42" i="57" s="1"/>
  <c r="AJ42" i="57" s="1"/>
  <c r="AK42" i="57" s="1"/>
  <c r="AL42" i="57" s="1"/>
  <c r="AM42" i="57" s="1"/>
  <c r="AN42" i="57" s="1"/>
  <c r="AH43" i="57"/>
  <c r="AI43" i="57" s="1"/>
  <c r="AJ43" i="57" s="1"/>
  <c r="AK43" i="57" s="1"/>
  <c r="AL43" i="57" s="1"/>
  <c r="AM43" i="57" s="1"/>
  <c r="AN43" i="57" s="1"/>
  <c r="AH44" i="57"/>
  <c r="AI44" i="57" s="1"/>
  <c r="AJ44" i="57" s="1"/>
  <c r="AK44" i="57" s="1"/>
  <c r="AL44" i="57" s="1"/>
  <c r="AM44" i="57" s="1"/>
  <c r="AN44" i="57" s="1"/>
  <c r="AH45" i="57"/>
  <c r="AI45" i="57" s="1"/>
  <c r="AJ45" i="57" s="1"/>
  <c r="AK45" i="57" s="1"/>
  <c r="AL45" i="57" s="1"/>
  <c r="AM45" i="57" s="1"/>
  <c r="AN45" i="57" s="1"/>
  <c r="AH8" i="57"/>
  <c r="AI8" i="57" s="1"/>
  <c r="AJ8" i="57" s="1"/>
  <c r="AK8" i="57" s="1"/>
  <c r="AL8" i="57" s="1"/>
  <c r="AM8" i="57" s="1"/>
  <c r="AN8" i="57" s="1"/>
  <c r="P45" i="57" l="1"/>
  <c r="Q45" i="57" s="1"/>
  <c r="R45" i="57" s="1"/>
  <c r="S45" i="57" s="1"/>
  <c r="T45" i="57" s="1"/>
  <c r="U45" i="57" s="1"/>
  <c r="V45" i="57" s="1"/>
  <c r="P44" i="57"/>
  <c r="Q44" i="57" s="1"/>
  <c r="R44" i="57" s="1"/>
  <c r="S44" i="57" s="1"/>
  <c r="T44" i="57" s="1"/>
  <c r="U44" i="57" s="1"/>
  <c r="V44" i="57" s="1"/>
  <c r="P43" i="57"/>
  <c r="Q43" i="57" s="1"/>
  <c r="R43" i="57" s="1"/>
  <c r="S43" i="57" s="1"/>
  <c r="T43" i="57" s="1"/>
  <c r="U43" i="57" s="1"/>
  <c r="V43" i="57" s="1"/>
  <c r="P42" i="57"/>
  <c r="Q42" i="57" s="1"/>
  <c r="R42" i="57" s="1"/>
  <c r="S42" i="57" s="1"/>
  <c r="T42" i="57" s="1"/>
  <c r="U42" i="57" s="1"/>
  <c r="V42" i="57" s="1"/>
  <c r="P41" i="57"/>
  <c r="Q41" i="57" s="1"/>
  <c r="R41" i="57" s="1"/>
  <c r="S41" i="57" s="1"/>
  <c r="T41" i="57" s="1"/>
  <c r="U41" i="57" s="1"/>
  <c r="V41" i="57" s="1"/>
  <c r="P40" i="57"/>
  <c r="Q40" i="57" s="1"/>
  <c r="R40" i="57" s="1"/>
  <c r="S40" i="57" s="1"/>
  <c r="T40" i="57" s="1"/>
  <c r="U40" i="57" s="1"/>
  <c r="V40" i="57" s="1"/>
  <c r="P39" i="57"/>
  <c r="Q39" i="57" s="1"/>
  <c r="R39" i="57" s="1"/>
  <c r="S39" i="57" s="1"/>
  <c r="T39" i="57" s="1"/>
  <c r="U39" i="57" s="1"/>
  <c r="V39" i="57" s="1"/>
  <c r="P38" i="57"/>
  <c r="Q38" i="57" s="1"/>
  <c r="R38" i="57" s="1"/>
  <c r="S38" i="57" s="1"/>
  <c r="T38" i="57" s="1"/>
  <c r="U38" i="57" s="1"/>
  <c r="V38" i="57" s="1"/>
  <c r="P37" i="57"/>
  <c r="Q37" i="57" s="1"/>
  <c r="R37" i="57" s="1"/>
  <c r="S37" i="57" s="1"/>
  <c r="T37" i="57" s="1"/>
  <c r="U37" i="57" s="1"/>
  <c r="V37" i="57" s="1"/>
  <c r="P36" i="57"/>
  <c r="Q36" i="57" s="1"/>
  <c r="R36" i="57" s="1"/>
  <c r="S36" i="57" s="1"/>
  <c r="T36" i="57" s="1"/>
  <c r="U36" i="57" s="1"/>
  <c r="V36" i="57" s="1"/>
  <c r="P35" i="57"/>
  <c r="Q35" i="57" s="1"/>
  <c r="R35" i="57" s="1"/>
  <c r="S35" i="57" s="1"/>
  <c r="T35" i="57" s="1"/>
  <c r="U35" i="57" s="1"/>
  <c r="V35" i="57" s="1"/>
  <c r="P34" i="57"/>
  <c r="Q34" i="57" s="1"/>
  <c r="R34" i="57" s="1"/>
  <c r="S34" i="57" s="1"/>
  <c r="T34" i="57" s="1"/>
  <c r="U34" i="57" s="1"/>
  <c r="V34" i="57" s="1"/>
  <c r="P33" i="57"/>
  <c r="Q33" i="57" s="1"/>
  <c r="R33" i="57" s="1"/>
  <c r="S33" i="57" s="1"/>
  <c r="T33" i="57" s="1"/>
  <c r="U33" i="57" s="1"/>
  <c r="V33" i="57" s="1"/>
  <c r="P32" i="57"/>
  <c r="Q32" i="57" s="1"/>
  <c r="R32" i="57" s="1"/>
  <c r="S32" i="57" s="1"/>
  <c r="T32" i="57" s="1"/>
  <c r="U32" i="57" s="1"/>
  <c r="V32" i="57" s="1"/>
  <c r="P31" i="57"/>
  <c r="Q31" i="57" s="1"/>
  <c r="R31" i="57" s="1"/>
  <c r="S31" i="57" s="1"/>
  <c r="T31" i="57" s="1"/>
  <c r="U31" i="57" s="1"/>
  <c r="V31" i="57" s="1"/>
  <c r="P30" i="57"/>
  <c r="Q30" i="57" s="1"/>
  <c r="R30" i="57" s="1"/>
  <c r="S30" i="57" s="1"/>
  <c r="T30" i="57" s="1"/>
  <c r="U30" i="57" s="1"/>
  <c r="V30" i="57" s="1"/>
  <c r="P29" i="57"/>
  <c r="Q29" i="57" s="1"/>
  <c r="R29" i="57" s="1"/>
  <c r="S29" i="57" s="1"/>
  <c r="T29" i="57" s="1"/>
  <c r="U29" i="57" s="1"/>
  <c r="V29" i="57" s="1"/>
  <c r="P28" i="57"/>
  <c r="Q28" i="57" s="1"/>
  <c r="R28" i="57" s="1"/>
  <c r="S28" i="57" s="1"/>
  <c r="T28" i="57" s="1"/>
  <c r="U28" i="57" s="1"/>
  <c r="V28" i="57" s="1"/>
  <c r="P27" i="57"/>
  <c r="Q27" i="57" s="1"/>
  <c r="R27" i="57" s="1"/>
  <c r="S27" i="57" s="1"/>
  <c r="T27" i="57" s="1"/>
  <c r="U27" i="57" s="1"/>
  <c r="V27" i="57" s="1"/>
  <c r="P26" i="57"/>
  <c r="Q26" i="57" s="1"/>
  <c r="R26" i="57" s="1"/>
  <c r="S26" i="57" s="1"/>
  <c r="T26" i="57" s="1"/>
  <c r="U26" i="57" s="1"/>
  <c r="V26" i="57" s="1"/>
  <c r="P25" i="57"/>
  <c r="Q25" i="57" s="1"/>
  <c r="R25" i="57" s="1"/>
  <c r="S25" i="57" s="1"/>
  <c r="T25" i="57" s="1"/>
  <c r="U25" i="57" s="1"/>
  <c r="V25" i="57" s="1"/>
  <c r="P24" i="57"/>
  <c r="Q24" i="57" s="1"/>
  <c r="R24" i="57" s="1"/>
  <c r="S24" i="57" s="1"/>
  <c r="T24" i="57" s="1"/>
  <c r="U24" i="57" s="1"/>
  <c r="V24" i="57" s="1"/>
  <c r="P23" i="57"/>
  <c r="Q23" i="57" s="1"/>
  <c r="R23" i="57" s="1"/>
  <c r="S23" i="57" s="1"/>
  <c r="T23" i="57" s="1"/>
  <c r="U23" i="57" s="1"/>
  <c r="V23" i="57" s="1"/>
  <c r="P22" i="57"/>
  <c r="Q22" i="57" s="1"/>
  <c r="R22" i="57" s="1"/>
  <c r="S22" i="57" s="1"/>
  <c r="T22" i="57" s="1"/>
  <c r="U22" i="57" s="1"/>
  <c r="V22" i="57" s="1"/>
  <c r="P21" i="57"/>
  <c r="Q21" i="57" s="1"/>
  <c r="R21" i="57" s="1"/>
  <c r="S21" i="57" s="1"/>
  <c r="T21" i="57" s="1"/>
  <c r="U21" i="57" s="1"/>
  <c r="V21" i="57" s="1"/>
  <c r="P20" i="57"/>
  <c r="Q20" i="57" s="1"/>
  <c r="R20" i="57" s="1"/>
  <c r="S20" i="57" s="1"/>
  <c r="T20" i="57" s="1"/>
  <c r="U20" i="57" s="1"/>
  <c r="V20" i="57" s="1"/>
  <c r="P19" i="57"/>
  <c r="Q19" i="57" s="1"/>
  <c r="R19" i="57" s="1"/>
  <c r="S19" i="57" s="1"/>
  <c r="T19" i="57" s="1"/>
  <c r="U19" i="57" s="1"/>
  <c r="V19" i="57" s="1"/>
  <c r="P18" i="57"/>
  <c r="Q18" i="57" s="1"/>
  <c r="R18" i="57" s="1"/>
  <c r="S18" i="57" s="1"/>
  <c r="T18" i="57" s="1"/>
  <c r="U18" i="57" s="1"/>
  <c r="V18" i="57" s="1"/>
  <c r="P17" i="57"/>
  <c r="Q17" i="57" s="1"/>
  <c r="R17" i="57" s="1"/>
  <c r="S17" i="57" s="1"/>
  <c r="T17" i="57" s="1"/>
  <c r="U17" i="57" s="1"/>
  <c r="V17" i="57" s="1"/>
  <c r="P16" i="57"/>
  <c r="Q16" i="57" s="1"/>
  <c r="R16" i="57" s="1"/>
  <c r="S16" i="57" s="1"/>
  <c r="T16" i="57" s="1"/>
  <c r="U16" i="57" s="1"/>
  <c r="V16" i="57" s="1"/>
  <c r="P15" i="57"/>
  <c r="Q15" i="57" s="1"/>
  <c r="R15" i="57" s="1"/>
  <c r="S15" i="57" s="1"/>
  <c r="T15" i="57" s="1"/>
  <c r="U15" i="57" s="1"/>
  <c r="V15" i="57" s="1"/>
  <c r="P14" i="57"/>
  <c r="Q14" i="57" s="1"/>
  <c r="R14" i="57" s="1"/>
  <c r="S14" i="57" s="1"/>
  <c r="T14" i="57" s="1"/>
  <c r="U14" i="57" s="1"/>
  <c r="V14" i="57" s="1"/>
  <c r="P13" i="57"/>
  <c r="Q13" i="57" s="1"/>
  <c r="R13" i="57" s="1"/>
  <c r="S13" i="57" s="1"/>
  <c r="T13" i="57" s="1"/>
  <c r="U13" i="57" s="1"/>
  <c r="V13" i="57" s="1"/>
  <c r="P12" i="57"/>
  <c r="Q12" i="57" s="1"/>
  <c r="R12" i="57" s="1"/>
  <c r="S12" i="57" s="1"/>
  <c r="T12" i="57" s="1"/>
  <c r="U12" i="57" s="1"/>
  <c r="V12" i="57" s="1"/>
  <c r="P11" i="57"/>
  <c r="Q11" i="57" s="1"/>
  <c r="R11" i="57" s="1"/>
  <c r="S11" i="57" s="1"/>
  <c r="T11" i="57" s="1"/>
  <c r="U11" i="57" s="1"/>
  <c r="V11" i="57" s="1"/>
  <c r="P10" i="57"/>
  <c r="Q10" i="57" s="1"/>
  <c r="R10" i="57" s="1"/>
  <c r="S10" i="57" s="1"/>
  <c r="T10" i="57" s="1"/>
  <c r="U10" i="57" s="1"/>
  <c r="V10" i="57" s="1"/>
  <c r="P9" i="57"/>
  <c r="Q9" i="57" s="1"/>
  <c r="R9" i="57" s="1"/>
  <c r="S9" i="57" s="1"/>
  <c r="T9" i="57" s="1"/>
  <c r="U9" i="57" s="1"/>
  <c r="V9" i="57" s="1"/>
  <c r="P8" i="57"/>
  <c r="Q8" i="57"/>
  <c r="R8" i="57" s="1"/>
  <c r="S8" i="57" s="1"/>
  <c r="T8" i="57" s="1"/>
  <c r="U8" i="57" s="1"/>
  <c r="V8" i="57" s="1"/>
  <c r="G8" i="57"/>
  <c r="E7" i="106"/>
  <c r="E8" i="106"/>
  <c r="E9" i="106"/>
  <c r="E10" i="106"/>
  <c r="E11" i="106"/>
  <c r="E12" i="106"/>
  <c r="E13" i="106"/>
  <c r="E14" i="106"/>
  <c r="E15" i="106"/>
  <c r="E16" i="106"/>
  <c r="E17" i="106"/>
  <c r="E18" i="106"/>
  <c r="E19" i="106"/>
  <c r="E20" i="106"/>
  <c r="E21" i="106"/>
  <c r="E22" i="106"/>
  <c r="E23" i="106"/>
  <c r="E24" i="106"/>
  <c r="E25" i="106"/>
  <c r="E26" i="106"/>
  <c r="E27" i="106"/>
  <c r="E28" i="106"/>
  <c r="E29" i="106"/>
  <c r="E30" i="106"/>
  <c r="E31" i="106"/>
  <c r="E32" i="106"/>
  <c r="E33" i="106"/>
  <c r="E34" i="106"/>
  <c r="E35" i="106"/>
  <c r="E36" i="106"/>
  <c r="E37" i="106"/>
  <c r="E38" i="106"/>
  <c r="E39" i="106"/>
  <c r="E40" i="106"/>
  <c r="E41" i="106"/>
  <c r="E42" i="106"/>
  <c r="E43" i="106"/>
  <c r="E6" i="106"/>
  <c r="E48" i="106" s="1"/>
  <c r="A7" i="106"/>
  <c r="A8" i="106" s="1"/>
  <c r="A9" i="106" s="1"/>
  <c r="A10" i="106" s="1"/>
  <c r="A11" i="106" s="1"/>
  <c r="A12" i="106" s="1"/>
  <c r="A13" i="106" s="1"/>
  <c r="A14" i="106" s="1"/>
  <c r="A15" i="106" s="1"/>
  <c r="A16" i="106" s="1"/>
  <c r="A17" i="106" s="1"/>
  <c r="A18" i="106" s="1"/>
  <c r="A19" i="106" s="1"/>
  <c r="A20" i="106" s="1"/>
  <c r="A21" i="106" s="1"/>
  <c r="A22" i="106" s="1"/>
  <c r="A23" i="106" s="1"/>
  <c r="A24" i="106" s="1"/>
  <c r="A25" i="106" s="1"/>
  <c r="A26" i="106" s="1"/>
  <c r="A27" i="106" s="1"/>
  <c r="A28" i="106" s="1"/>
  <c r="A29" i="106" s="1"/>
  <c r="A30" i="106" s="1"/>
  <c r="A31" i="106" s="1"/>
  <c r="A32" i="106" s="1"/>
  <c r="A33" i="106" s="1"/>
  <c r="A34" i="106" s="1"/>
  <c r="A35" i="106" s="1"/>
  <c r="A36" i="106" s="1"/>
  <c r="A37" i="106" s="1"/>
  <c r="A38" i="106" s="1"/>
  <c r="A39" i="106" s="1"/>
  <c r="A40" i="106" s="1"/>
  <c r="A41" i="106" s="1"/>
  <c r="A42" i="106" s="1"/>
  <c r="A43" i="106" s="1"/>
  <c r="A44" i="106" s="1"/>
  <c r="A45" i="106" s="1"/>
  <c r="A46" i="106" s="1"/>
  <c r="G6" i="106"/>
  <c r="E49" i="106" l="1"/>
  <c r="G9" i="106"/>
  <c r="G12" i="106"/>
  <c r="G20" i="106"/>
  <c r="G28" i="106"/>
  <c r="G36" i="106"/>
  <c r="G7" i="106"/>
  <c r="G15" i="106"/>
  <c r="G23" i="106"/>
  <c r="G31" i="106"/>
  <c r="G39" i="106"/>
  <c r="G13" i="106"/>
  <c r="G21" i="106"/>
  <c r="G29" i="106"/>
  <c r="G37" i="106"/>
  <c r="G14" i="106"/>
  <c r="G22" i="106"/>
  <c r="G30" i="106"/>
  <c r="G38" i="106"/>
  <c r="G17" i="106"/>
  <c r="G25" i="106"/>
  <c r="G33" i="106"/>
  <c r="G41" i="106"/>
  <c r="G10" i="106"/>
  <c r="G18" i="106"/>
  <c r="G26" i="106"/>
  <c r="G34" i="106"/>
  <c r="G42" i="106"/>
  <c r="G8" i="106"/>
  <c r="G16" i="106"/>
  <c r="G24" i="106"/>
  <c r="G32" i="106"/>
  <c r="G40" i="106"/>
  <c r="G11" i="106"/>
  <c r="G19" i="106"/>
  <c r="G27" i="106"/>
  <c r="G35" i="106"/>
  <c r="G43" i="106"/>
  <c r="DC48" i="52" l="1"/>
  <c r="DD48" i="52" s="1"/>
  <c r="DE48" i="52" s="1"/>
  <c r="DF48" i="52" s="1"/>
  <c r="DG48" i="52" s="1"/>
  <c r="DH48" i="52" s="1"/>
  <c r="DI48" i="52" s="1"/>
  <c r="DJ48" i="52" s="1"/>
  <c r="DK48" i="52" s="1"/>
  <c r="DL48" i="52" s="1"/>
  <c r="DM48" i="52" s="1"/>
  <c r="DN48" i="52" s="1"/>
  <c r="DO48" i="52" s="1"/>
  <c r="DP48" i="52" s="1"/>
  <c r="DQ48" i="52" s="1"/>
  <c r="DR48" i="52" s="1"/>
  <c r="DS48" i="52" s="1"/>
  <c r="DT48" i="52" s="1"/>
  <c r="DU48" i="52" s="1"/>
  <c r="DV48" i="52" s="1"/>
  <c r="DW48" i="52" s="1"/>
  <c r="DX48" i="52" s="1"/>
  <c r="DY48" i="52" s="1"/>
  <c r="DZ48" i="52" s="1"/>
  <c r="EA48" i="52" s="1"/>
  <c r="EB48" i="52" s="1"/>
  <c r="EC48" i="52" s="1"/>
  <c r="ED48" i="52" s="1"/>
  <c r="EE48" i="52" s="1"/>
  <c r="EF48" i="52" s="1"/>
  <c r="EG48" i="52" s="1"/>
  <c r="EH48" i="52" s="1"/>
  <c r="EI48" i="52" s="1"/>
  <c r="EJ48" i="52" s="1"/>
  <c r="EK48" i="52" s="1"/>
  <c r="EL48" i="52" s="1"/>
  <c r="EM48" i="52" s="1"/>
  <c r="EN48" i="52" s="1"/>
  <c r="EO48" i="52" s="1"/>
  <c r="EP48" i="52" s="1"/>
  <c r="EQ48" i="52" s="1"/>
  <c r="ER48" i="52" s="1"/>
  <c r="ES48" i="52" s="1"/>
  <c r="ET48" i="52" s="1"/>
  <c r="EU48" i="52" s="1"/>
  <c r="EV48" i="52" s="1"/>
  <c r="EW48" i="52" s="1"/>
  <c r="EX48" i="52" s="1"/>
  <c r="EY48" i="52" s="1"/>
  <c r="EZ48" i="52" s="1"/>
  <c r="FA48" i="52" s="1"/>
  <c r="FB48" i="52" s="1"/>
  <c r="FC48" i="52" s="1"/>
  <c r="FD48" i="52" s="1"/>
  <c r="FE48" i="52" s="1"/>
  <c r="FF48" i="52" s="1"/>
  <c r="FG48" i="52" s="1"/>
  <c r="FH48" i="52" s="1"/>
  <c r="FI48" i="52" s="1"/>
  <c r="FJ48" i="52" s="1"/>
  <c r="FK48" i="52" s="1"/>
  <c r="FL48" i="52" s="1"/>
  <c r="FM48" i="52" s="1"/>
  <c r="FN48" i="52" s="1"/>
  <c r="FO48" i="52" s="1"/>
  <c r="FP48" i="52" s="1"/>
  <c r="FQ48" i="52" s="1"/>
  <c r="FR48" i="52" s="1"/>
  <c r="FS48" i="52" s="1"/>
  <c r="FT48" i="52" s="1"/>
  <c r="FU48" i="52" s="1"/>
  <c r="FV48" i="52" s="1"/>
  <c r="FW48" i="52" s="1"/>
  <c r="FX48" i="52" s="1"/>
  <c r="FY48" i="52" s="1"/>
  <c r="FZ48" i="52" s="1"/>
  <c r="GA48" i="52" s="1"/>
  <c r="GB48" i="52" s="1"/>
  <c r="GC48" i="52" s="1"/>
  <c r="GD48" i="52" s="1"/>
  <c r="GE48" i="52" s="1"/>
  <c r="GF48" i="52" s="1"/>
  <c r="GG48" i="52" s="1"/>
  <c r="GH48" i="52" s="1"/>
  <c r="GI48" i="52" s="1"/>
  <c r="GJ48" i="52" s="1"/>
  <c r="GK48" i="52" s="1"/>
  <c r="GL48" i="52" s="1"/>
  <c r="GM48" i="52" s="1"/>
  <c r="GN48" i="52" s="1"/>
  <c r="GO48" i="52" s="1"/>
  <c r="GP48" i="52" s="1"/>
  <c r="GQ48" i="52" s="1"/>
  <c r="GR48" i="52" s="1"/>
  <c r="GS48" i="52" s="1"/>
  <c r="GT48" i="52" s="1"/>
  <c r="GU48" i="52" s="1"/>
  <c r="GV48" i="52" s="1"/>
  <c r="GW48" i="52" s="1"/>
  <c r="F48" i="52"/>
  <c r="G48" i="52" s="1"/>
  <c r="H48" i="52" s="1"/>
  <c r="I48" i="52" s="1"/>
  <c r="J48" i="52" s="1"/>
  <c r="K48" i="52" s="1"/>
  <c r="L48" i="52" s="1"/>
  <c r="M48" i="52" s="1"/>
  <c r="N48" i="52" s="1"/>
  <c r="O48" i="52" s="1"/>
  <c r="P48" i="52" s="1"/>
  <c r="Q48" i="52" s="1"/>
  <c r="R48" i="52" s="1"/>
  <c r="S48" i="52" s="1"/>
  <c r="T48" i="52" s="1"/>
  <c r="U48" i="52" s="1"/>
  <c r="V48" i="52" s="1"/>
  <c r="W48" i="52" s="1"/>
  <c r="X48" i="52" s="1"/>
  <c r="Y48" i="52" s="1"/>
  <c r="Z48" i="52" s="1"/>
  <c r="AA48" i="52" s="1"/>
  <c r="AB48" i="52" s="1"/>
  <c r="AC48" i="52" s="1"/>
  <c r="AD48" i="52" s="1"/>
  <c r="AE48" i="52" s="1"/>
  <c r="AF48" i="52" s="1"/>
  <c r="AG48" i="52" s="1"/>
  <c r="AH48" i="52" s="1"/>
  <c r="AI48" i="52" s="1"/>
  <c r="AJ48" i="52" s="1"/>
  <c r="AK48" i="52" s="1"/>
  <c r="AL48" i="52" s="1"/>
  <c r="AM48" i="52" s="1"/>
  <c r="AN48" i="52" s="1"/>
  <c r="AO48" i="52" s="1"/>
  <c r="AP48" i="52" s="1"/>
  <c r="AQ48" i="52" s="1"/>
  <c r="AR48" i="52" s="1"/>
  <c r="AS48" i="52" s="1"/>
  <c r="AT48" i="52" s="1"/>
  <c r="AU48" i="52" s="1"/>
  <c r="AV48" i="52" s="1"/>
  <c r="AW48" i="52" s="1"/>
  <c r="AX48" i="52" s="1"/>
  <c r="AY48" i="52" s="1"/>
  <c r="AZ48" i="52" s="1"/>
  <c r="BA48" i="52" s="1"/>
  <c r="BB48" i="52" s="1"/>
  <c r="BC48" i="52" s="1"/>
  <c r="BD48" i="52" s="1"/>
  <c r="BE48" i="52" s="1"/>
  <c r="BF48" i="52" s="1"/>
  <c r="BG48" i="52" s="1"/>
  <c r="BH48" i="52" s="1"/>
  <c r="BI48" i="52" s="1"/>
  <c r="BJ48" i="52" s="1"/>
  <c r="BK48" i="52" s="1"/>
  <c r="BL48" i="52" s="1"/>
  <c r="BM48" i="52" s="1"/>
  <c r="BN48" i="52" s="1"/>
  <c r="BO48" i="52" s="1"/>
  <c r="BP48" i="52" s="1"/>
  <c r="BQ48" i="52" s="1"/>
  <c r="BR48" i="52" s="1"/>
  <c r="BS48" i="52" s="1"/>
  <c r="BT48" i="52" s="1"/>
  <c r="BU48" i="52" s="1"/>
  <c r="BV48" i="52" s="1"/>
  <c r="BW48" i="52" s="1"/>
  <c r="BX48" i="52" s="1"/>
  <c r="BY48" i="52" s="1"/>
  <c r="BZ48" i="52" s="1"/>
  <c r="CA48" i="52" s="1"/>
  <c r="CB48" i="52" s="1"/>
  <c r="CC48" i="52" s="1"/>
  <c r="CD48" i="52" s="1"/>
  <c r="CE48" i="52" s="1"/>
  <c r="CF48" i="52" s="1"/>
  <c r="CG48" i="52" s="1"/>
  <c r="CH48" i="52" s="1"/>
  <c r="CI48" i="52" s="1"/>
  <c r="CJ48" i="52" s="1"/>
  <c r="CK48" i="52" s="1"/>
  <c r="CL48" i="52" s="1"/>
  <c r="CM48" i="52" s="1"/>
  <c r="CN48" i="52" s="1"/>
  <c r="CO48" i="52" s="1"/>
  <c r="CP48" i="52" s="1"/>
  <c r="CQ48" i="52" s="1"/>
  <c r="CR48" i="52" s="1"/>
  <c r="CS48" i="52" s="1"/>
  <c r="CT48" i="52" s="1"/>
  <c r="CU48" i="52" s="1"/>
  <c r="CV48" i="52" s="1"/>
  <c r="CW48" i="52" s="1"/>
  <c r="CX48" i="52" s="1"/>
  <c r="CY48" i="52" s="1"/>
  <c r="CZ48" i="52" s="1"/>
  <c r="DC39" i="52"/>
  <c r="DD39" i="52" s="1"/>
  <c r="DE39" i="52" s="1"/>
  <c r="DF39" i="52" s="1"/>
  <c r="DG39" i="52" s="1"/>
  <c r="DH39" i="52" s="1"/>
  <c r="DI39" i="52" s="1"/>
  <c r="DJ39" i="52" s="1"/>
  <c r="DK39" i="52" s="1"/>
  <c r="DL39" i="52" s="1"/>
  <c r="DM39" i="52" s="1"/>
  <c r="DN39" i="52" s="1"/>
  <c r="DO39" i="52" s="1"/>
  <c r="DP39" i="52" s="1"/>
  <c r="DQ39" i="52" s="1"/>
  <c r="DR39" i="52" s="1"/>
  <c r="DS39" i="52" s="1"/>
  <c r="DT39" i="52" s="1"/>
  <c r="DU39" i="52" s="1"/>
  <c r="DV39" i="52" s="1"/>
  <c r="DW39" i="52" s="1"/>
  <c r="DX39" i="52" s="1"/>
  <c r="DY39" i="52" s="1"/>
  <c r="DZ39" i="52" s="1"/>
  <c r="EA39" i="52" s="1"/>
  <c r="EB39" i="52" s="1"/>
  <c r="EC39" i="52" s="1"/>
  <c r="ED39" i="52" s="1"/>
  <c r="EE39" i="52" s="1"/>
  <c r="EF39" i="52" s="1"/>
  <c r="EG39" i="52" s="1"/>
  <c r="EH39" i="52" s="1"/>
  <c r="EI39" i="52" s="1"/>
  <c r="EJ39" i="52" s="1"/>
  <c r="EK39" i="52" s="1"/>
  <c r="EL39" i="52" s="1"/>
  <c r="EM39" i="52" s="1"/>
  <c r="EN39" i="52" s="1"/>
  <c r="EO39" i="52" s="1"/>
  <c r="EP39" i="52" s="1"/>
  <c r="EQ39" i="52" s="1"/>
  <c r="ER39" i="52" s="1"/>
  <c r="ES39" i="52" s="1"/>
  <c r="ET39" i="52" s="1"/>
  <c r="EU39" i="52" s="1"/>
  <c r="EV39" i="52" s="1"/>
  <c r="EW39" i="52" s="1"/>
  <c r="EX39" i="52" s="1"/>
  <c r="EY39" i="52" s="1"/>
  <c r="EZ39" i="52" s="1"/>
  <c r="FA39" i="52" s="1"/>
  <c r="FB39" i="52" s="1"/>
  <c r="FC39" i="52" s="1"/>
  <c r="FD39" i="52" s="1"/>
  <c r="FE39" i="52" s="1"/>
  <c r="FF39" i="52" s="1"/>
  <c r="FG39" i="52" s="1"/>
  <c r="FH39" i="52" s="1"/>
  <c r="FI39" i="52" s="1"/>
  <c r="FJ39" i="52" s="1"/>
  <c r="FK39" i="52" s="1"/>
  <c r="FL39" i="52" s="1"/>
  <c r="FM39" i="52" s="1"/>
  <c r="FN39" i="52" s="1"/>
  <c r="FO39" i="52" s="1"/>
  <c r="FP39" i="52" s="1"/>
  <c r="FQ39" i="52" s="1"/>
  <c r="FR39" i="52" s="1"/>
  <c r="FS39" i="52" s="1"/>
  <c r="FT39" i="52" s="1"/>
  <c r="FU39" i="52" s="1"/>
  <c r="FV39" i="52" s="1"/>
  <c r="FW39" i="52" s="1"/>
  <c r="FX39" i="52" s="1"/>
  <c r="FY39" i="52" s="1"/>
  <c r="FZ39" i="52" s="1"/>
  <c r="GA39" i="52" s="1"/>
  <c r="GB39" i="52" s="1"/>
  <c r="GC39" i="52" s="1"/>
  <c r="GD39" i="52" s="1"/>
  <c r="GE39" i="52" s="1"/>
  <c r="GF39" i="52" s="1"/>
  <c r="GG39" i="52" s="1"/>
  <c r="GH39" i="52" s="1"/>
  <c r="GI39" i="52" s="1"/>
  <c r="GJ39" i="52" s="1"/>
  <c r="GK39" i="52" s="1"/>
  <c r="GL39" i="52" s="1"/>
  <c r="GM39" i="52" s="1"/>
  <c r="GN39" i="52" s="1"/>
  <c r="GO39" i="52" s="1"/>
  <c r="GP39" i="52" s="1"/>
  <c r="GQ39" i="52" s="1"/>
  <c r="GR39" i="52" s="1"/>
  <c r="GS39" i="52" s="1"/>
  <c r="GT39" i="52" s="1"/>
  <c r="GU39" i="52" s="1"/>
  <c r="GV39" i="52" s="1"/>
  <c r="GW39" i="52" s="1"/>
  <c r="F39" i="52"/>
  <c r="G39" i="52" s="1"/>
  <c r="H39" i="52" s="1"/>
  <c r="I39" i="52" s="1"/>
  <c r="J39" i="52" s="1"/>
  <c r="K39" i="52" s="1"/>
  <c r="L39" i="52" s="1"/>
  <c r="M39" i="52" s="1"/>
  <c r="N39" i="52" s="1"/>
  <c r="O39" i="52" s="1"/>
  <c r="P39" i="52" s="1"/>
  <c r="Q39" i="52" s="1"/>
  <c r="R39" i="52" s="1"/>
  <c r="S39" i="52" s="1"/>
  <c r="T39" i="52" s="1"/>
  <c r="U39" i="52" s="1"/>
  <c r="V39" i="52" s="1"/>
  <c r="W39" i="52" s="1"/>
  <c r="X39" i="52" s="1"/>
  <c r="Y39" i="52" s="1"/>
  <c r="Z39" i="52" s="1"/>
  <c r="AA39" i="52" s="1"/>
  <c r="AB39" i="52" s="1"/>
  <c r="AC39" i="52" s="1"/>
  <c r="AD39" i="52" s="1"/>
  <c r="AE39" i="52" s="1"/>
  <c r="AF39" i="52" s="1"/>
  <c r="AG39" i="52" s="1"/>
  <c r="AH39" i="52" s="1"/>
  <c r="AI39" i="52" s="1"/>
  <c r="AJ39" i="52" s="1"/>
  <c r="AK39" i="52" s="1"/>
  <c r="AL39" i="52" s="1"/>
  <c r="AM39" i="52" s="1"/>
  <c r="AN39" i="52" s="1"/>
  <c r="AO39" i="52" s="1"/>
  <c r="AP39" i="52" s="1"/>
  <c r="AQ39" i="52" s="1"/>
  <c r="AR39" i="52" s="1"/>
  <c r="AS39" i="52" s="1"/>
  <c r="AT39" i="52" s="1"/>
  <c r="AU39" i="52" s="1"/>
  <c r="AV39" i="52" s="1"/>
  <c r="AW39" i="52" s="1"/>
  <c r="AX39" i="52" s="1"/>
  <c r="AY39" i="52" s="1"/>
  <c r="AZ39" i="52" s="1"/>
  <c r="BA39" i="52" s="1"/>
  <c r="BB39" i="52" s="1"/>
  <c r="BC39" i="52" s="1"/>
  <c r="BD39" i="52" s="1"/>
  <c r="BE39" i="52" s="1"/>
  <c r="BF39" i="52" s="1"/>
  <c r="BG39" i="52" s="1"/>
  <c r="BH39" i="52" s="1"/>
  <c r="BI39" i="52" s="1"/>
  <c r="BJ39" i="52" s="1"/>
  <c r="BK39" i="52" s="1"/>
  <c r="BL39" i="52" s="1"/>
  <c r="BM39" i="52" s="1"/>
  <c r="BN39" i="52" s="1"/>
  <c r="BO39" i="52" s="1"/>
  <c r="BP39" i="52" s="1"/>
  <c r="BQ39" i="52" s="1"/>
  <c r="BR39" i="52" s="1"/>
  <c r="BS39" i="52" s="1"/>
  <c r="BT39" i="52" s="1"/>
  <c r="BU39" i="52" s="1"/>
  <c r="BV39" i="52" s="1"/>
  <c r="BW39" i="52" s="1"/>
  <c r="BX39" i="52" s="1"/>
  <c r="BY39" i="52" s="1"/>
  <c r="BZ39" i="52" s="1"/>
  <c r="CA39" i="52" s="1"/>
  <c r="CB39" i="52" s="1"/>
  <c r="CC39" i="52" s="1"/>
  <c r="CD39" i="52" s="1"/>
  <c r="CE39" i="52" s="1"/>
  <c r="CF39" i="52" s="1"/>
  <c r="CG39" i="52" s="1"/>
  <c r="CH39" i="52" s="1"/>
  <c r="CI39" i="52" s="1"/>
  <c r="CJ39" i="52" s="1"/>
  <c r="CK39" i="52" s="1"/>
  <c r="CL39" i="52" s="1"/>
  <c r="CM39" i="52" s="1"/>
  <c r="CN39" i="52" s="1"/>
  <c r="CO39" i="52" s="1"/>
  <c r="CP39" i="52" s="1"/>
  <c r="CQ39" i="52" s="1"/>
  <c r="CR39" i="52" s="1"/>
  <c r="CS39" i="52" s="1"/>
  <c r="CT39" i="52" s="1"/>
  <c r="CU39" i="52" s="1"/>
  <c r="CV39" i="52" s="1"/>
  <c r="CW39" i="52" s="1"/>
  <c r="CX39" i="52" s="1"/>
  <c r="CY39" i="52" s="1"/>
  <c r="CZ39" i="52" s="1"/>
  <c r="DC48" i="103"/>
  <c r="DD48" i="103" s="1"/>
  <c r="DE48" i="103" s="1"/>
  <c r="DF48" i="103" s="1"/>
  <c r="DG48" i="103" s="1"/>
  <c r="DH48" i="103" s="1"/>
  <c r="DI48" i="103" s="1"/>
  <c r="DJ48" i="103" s="1"/>
  <c r="DK48" i="103" s="1"/>
  <c r="DL48" i="103" s="1"/>
  <c r="DM48" i="103" s="1"/>
  <c r="DN48" i="103" s="1"/>
  <c r="DO48" i="103" s="1"/>
  <c r="DP48" i="103" s="1"/>
  <c r="DQ48" i="103" s="1"/>
  <c r="DR48" i="103" s="1"/>
  <c r="DS48" i="103" s="1"/>
  <c r="DT48" i="103" s="1"/>
  <c r="DU48" i="103" s="1"/>
  <c r="DV48" i="103" s="1"/>
  <c r="DW48" i="103" s="1"/>
  <c r="DX48" i="103" s="1"/>
  <c r="DY48" i="103" s="1"/>
  <c r="DZ48" i="103" s="1"/>
  <c r="EA48" i="103" s="1"/>
  <c r="EB48" i="103" s="1"/>
  <c r="EC48" i="103" s="1"/>
  <c r="ED48" i="103" s="1"/>
  <c r="EE48" i="103" s="1"/>
  <c r="EF48" i="103" s="1"/>
  <c r="EG48" i="103" s="1"/>
  <c r="EH48" i="103" s="1"/>
  <c r="EI48" i="103" s="1"/>
  <c r="EJ48" i="103" s="1"/>
  <c r="EK48" i="103" s="1"/>
  <c r="EL48" i="103" s="1"/>
  <c r="EM48" i="103" s="1"/>
  <c r="EN48" i="103" s="1"/>
  <c r="EO48" i="103" s="1"/>
  <c r="EP48" i="103" s="1"/>
  <c r="EQ48" i="103" s="1"/>
  <c r="ER48" i="103" s="1"/>
  <c r="ES48" i="103" s="1"/>
  <c r="ET48" i="103" s="1"/>
  <c r="EU48" i="103" s="1"/>
  <c r="EV48" i="103" s="1"/>
  <c r="EW48" i="103" s="1"/>
  <c r="EX48" i="103" s="1"/>
  <c r="EY48" i="103" s="1"/>
  <c r="EZ48" i="103" s="1"/>
  <c r="FA48" i="103" s="1"/>
  <c r="FB48" i="103" s="1"/>
  <c r="FC48" i="103" s="1"/>
  <c r="FD48" i="103" s="1"/>
  <c r="FE48" i="103" s="1"/>
  <c r="FF48" i="103" s="1"/>
  <c r="FG48" i="103" s="1"/>
  <c r="FH48" i="103" s="1"/>
  <c r="FI48" i="103" s="1"/>
  <c r="FJ48" i="103" s="1"/>
  <c r="FK48" i="103" s="1"/>
  <c r="FL48" i="103" s="1"/>
  <c r="FM48" i="103" s="1"/>
  <c r="FN48" i="103" s="1"/>
  <c r="FO48" i="103" s="1"/>
  <c r="FP48" i="103" s="1"/>
  <c r="FQ48" i="103" s="1"/>
  <c r="FR48" i="103" s="1"/>
  <c r="FS48" i="103" s="1"/>
  <c r="FT48" i="103" s="1"/>
  <c r="FU48" i="103" s="1"/>
  <c r="FV48" i="103" s="1"/>
  <c r="FW48" i="103" s="1"/>
  <c r="FX48" i="103" s="1"/>
  <c r="FY48" i="103" s="1"/>
  <c r="FZ48" i="103" s="1"/>
  <c r="GA48" i="103" s="1"/>
  <c r="GB48" i="103" s="1"/>
  <c r="GC48" i="103" s="1"/>
  <c r="GD48" i="103" s="1"/>
  <c r="GE48" i="103" s="1"/>
  <c r="GF48" i="103" s="1"/>
  <c r="GG48" i="103" s="1"/>
  <c r="GH48" i="103" s="1"/>
  <c r="GI48" i="103" s="1"/>
  <c r="GJ48" i="103" s="1"/>
  <c r="GK48" i="103" s="1"/>
  <c r="GL48" i="103" s="1"/>
  <c r="GM48" i="103" s="1"/>
  <c r="GN48" i="103" s="1"/>
  <c r="GO48" i="103" s="1"/>
  <c r="GP48" i="103" s="1"/>
  <c r="GQ48" i="103" s="1"/>
  <c r="GR48" i="103" s="1"/>
  <c r="GS48" i="103" s="1"/>
  <c r="GT48" i="103" s="1"/>
  <c r="GU48" i="103" s="1"/>
  <c r="GV48" i="103" s="1"/>
  <c r="GW48" i="103" s="1"/>
  <c r="F48" i="103"/>
  <c r="G48" i="103" s="1"/>
  <c r="H48" i="103" s="1"/>
  <c r="I48" i="103" s="1"/>
  <c r="J48" i="103" s="1"/>
  <c r="K48" i="103" s="1"/>
  <c r="L48" i="103" s="1"/>
  <c r="M48" i="103" s="1"/>
  <c r="N48" i="103" s="1"/>
  <c r="O48" i="103" s="1"/>
  <c r="P48" i="103" s="1"/>
  <c r="Q48" i="103" s="1"/>
  <c r="R48" i="103" s="1"/>
  <c r="S48" i="103" s="1"/>
  <c r="T48" i="103" s="1"/>
  <c r="U48" i="103" s="1"/>
  <c r="V48" i="103" s="1"/>
  <c r="W48" i="103" s="1"/>
  <c r="X48" i="103" s="1"/>
  <c r="Y48" i="103" s="1"/>
  <c r="Z48" i="103" s="1"/>
  <c r="AA48" i="103" s="1"/>
  <c r="AB48" i="103" s="1"/>
  <c r="AC48" i="103" s="1"/>
  <c r="AD48" i="103" s="1"/>
  <c r="AE48" i="103" s="1"/>
  <c r="AF48" i="103" s="1"/>
  <c r="AG48" i="103" s="1"/>
  <c r="AH48" i="103" s="1"/>
  <c r="AI48" i="103" s="1"/>
  <c r="AJ48" i="103" s="1"/>
  <c r="AK48" i="103" s="1"/>
  <c r="AL48" i="103" s="1"/>
  <c r="AM48" i="103" s="1"/>
  <c r="AN48" i="103" s="1"/>
  <c r="AO48" i="103" s="1"/>
  <c r="AP48" i="103" s="1"/>
  <c r="AQ48" i="103" s="1"/>
  <c r="AR48" i="103" s="1"/>
  <c r="AS48" i="103" s="1"/>
  <c r="AT48" i="103" s="1"/>
  <c r="AU48" i="103" s="1"/>
  <c r="AV48" i="103" s="1"/>
  <c r="AW48" i="103" s="1"/>
  <c r="AX48" i="103" s="1"/>
  <c r="AY48" i="103" s="1"/>
  <c r="AZ48" i="103" s="1"/>
  <c r="BA48" i="103" s="1"/>
  <c r="BB48" i="103" s="1"/>
  <c r="BC48" i="103" s="1"/>
  <c r="BD48" i="103" s="1"/>
  <c r="BE48" i="103" s="1"/>
  <c r="BF48" i="103" s="1"/>
  <c r="BG48" i="103" s="1"/>
  <c r="BH48" i="103" s="1"/>
  <c r="BI48" i="103" s="1"/>
  <c r="BJ48" i="103" s="1"/>
  <c r="BK48" i="103" s="1"/>
  <c r="BL48" i="103" s="1"/>
  <c r="BM48" i="103" s="1"/>
  <c r="BN48" i="103" s="1"/>
  <c r="BO48" i="103" s="1"/>
  <c r="BP48" i="103" s="1"/>
  <c r="BQ48" i="103" s="1"/>
  <c r="BR48" i="103" s="1"/>
  <c r="BS48" i="103" s="1"/>
  <c r="BT48" i="103" s="1"/>
  <c r="BU48" i="103" s="1"/>
  <c r="BV48" i="103" s="1"/>
  <c r="BW48" i="103" s="1"/>
  <c r="BX48" i="103" s="1"/>
  <c r="BY48" i="103" s="1"/>
  <c r="BZ48" i="103" s="1"/>
  <c r="CA48" i="103" s="1"/>
  <c r="CB48" i="103" s="1"/>
  <c r="CC48" i="103" s="1"/>
  <c r="CD48" i="103" s="1"/>
  <c r="CE48" i="103" s="1"/>
  <c r="CF48" i="103" s="1"/>
  <c r="CG48" i="103" s="1"/>
  <c r="CH48" i="103" s="1"/>
  <c r="CI48" i="103" s="1"/>
  <c r="CJ48" i="103" s="1"/>
  <c r="CK48" i="103" s="1"/>
  <c r="CL48" i="103" s="1"/>
  <c r="CM48" i="103" s="1"/>
  <c r="CN48" i="103" s="1"/>
  <c r="CO48" i="103" s="1"/>
  <c r="CP48" i="103" s="1"/>
  <c r="CQ48" i="103" s="1"/>
  <c r="CR48" i="103" s="1"/>
  <c r="CS48" i="103" s="1"/>
  <c r="CT48" i="103" s="1"/>
  <c r="CU48" i="103" s="1"/>
  <c r="CV48" i="103" s="1"/>
  <c r="CW48" i="103" s="1"/>
  <c r="CX48" i="103" s="1"/>
  <c r="CY48" i="103" s="1"/>
  <c r="CZ48" i="103" s="1"/>
  <c r="DC39" i="103"/>
  <c r="DD39" i="103" s="1"/>
  <c r="DE39" i="103" s="1"/>
  <c r="DF39" i="103" s="1"/>
  <c r="DG39" i="103" s="1"/>
  <c r="DH39" i="103" s="1"/>
  <c r="DI39" i="103" s="1"/>
  <c r="DJ39" i="103" s="1"/>
  <c r="DK39" i="103" s="1"/>
  <c r="DL39" i="103" s="1"/>
  <c r="DM39" i="103" s="1"/>
  <c r="DN39" i="103" s="1"/>
  <c r="DO39" i="103" s="1"/>
  <c r="DP39" i="103" s="1"/>
  <c r="DQ39" i="103" s="1"/>
  <c r="DR39" i="103" s="1"/>
  <c r="DS39" i="103" s="1"/>
  <c r="DT39" i="103" s="1"/>
  <c r="DU39" i="103" s="1"/>
  <c r="DV39" i="103" s="1"/>
  <c r="DW39" i="103" s="1"/>
  <c r="DX39" i="103" s="1"/>
  <c r="DY39" i="103" s="1"/>
  <c r="DZ39" i="103" s="1"/>
  <c r="EA39" i="103" s="1"/>
  <c r="EB39" i="103" s="1"/>
  <c r="EC39" i="103" s="1"/>
  <c r="ED39" i="103" s="1"/>
  <c r="EE39" i="103" s="1"/>
  <c r="EF39" i="103" s="1"/>
  <c r="EG39" i="103" s="1"/>
  <c r="EH39" i="103" s="1"/>
  <c r="EI39" i="103" s="1"/>
  <c r="EJ39" i="103" s="1"/>
  <c r="EK39" i="103" s="1"/>
  <c r="EL39" i="103" s="1"/>
  <c r="EM39" i="103" s="1"/>
  <c r="EN39" i="103" s="1"/>
  <c r="EO39" i="103" s="1"/>
  <c r="EP39" i="103" s="1"/>
  <c r="EQ39" i="103" s="1"/>
  <c r="ER39" i="103" s="1"/>
  <c r="ES39" i="103" s="1"/>
  <c r="ET39" i="103" s="1"/>
  <c r="EU39" i="103" s="1"/>
  <c r="EV39" i="103" s="1"/>
  <c r="EW39" i="103" s="1"/>
  <c r="EX39" i="103" s="1"/>
  <c r="EY39" i="103" s="1"/>
  <c r="EZ39" i="103" s="1"/>
  <c r="FA39" i="103" s="1"/>
  <c r="FB39" i="103" s="1"/>
  <c r="FC39" i="103" s="1"/>
  <c r="FD39" i="103" s="1"/>
  <c r="FE39" i="103" s="1"/>
  <c r="FF39" i="103" s="1"/>
  <c r="FG39" i="103" s="1"/>
  <c r="FH39" i="103" s="1"/>
  <c r="FI39" i="103" s="1"/>
  <c r="FJ39" i="103" s="1"/>
  <c r="FK39" i="103" s="1"/>
  <c r="FL39" i="103" s="1"/>
  <c r="FM39" i="103" s="1"/>
  <c r="FN39" i="103" s="1"/>
  <c r="FO39" i="103" s="1"/>
  <c r="FP39" i="103" s="1"/>
  <c r="FQ39" i="103" s="1"/>
  <c r="FR39" i="103" s="1"/>
  <c r="FS39" i="103" s="1"/>
  <c r="FT39" i="103" s="1"/>
  <c r="FU39" i="103" s="1"/>
  <c r="FV39" i="103" s="1"/>
  <c r="FW39" i="103" s="1"/>
  <c r="FX39" i="103" s="1"/>
  <c r="FY39" i="103" s="1"/>
  <c r="FZ39" i="103" s="1"/>
  <c r="GA39" i="103" s="1"/>
  <c r="GB39" i="103" s="1"/>
  <c r="GC39" i="103" s="1"/>
  <c r="GD39" i="103" s="1"/>
  <c r="GE39" i="103" s="1"/>
  <c r="GF39" i="103" s="1"/>
  <c r="GG39" i="103" s="1"/>
  <c r="GH39" i="103" s="1"/>
  <c r="GI39" i="103" s="1"/>
  <c r="GJ39" i="103" s="1"/>
  <c r="GK39" i="103" s="1"/>
  <c r="GL39" i="103" s="1"/>
  <c r="GM39" i="103" s="1"/>
  <c r="GN39" i="103" s="1"/>
  <c r="GO39" i="103" s="1"/>
  <c r="GP39" i="103" s="1"/>
  <c r="GQ39" i="103" s="1"/>
  <c r="GR39" i="103" s="1"/>
  <c r="GS39" i="103" s="1"/>
  <c r="GT39" i="103" s="1"/>
  <c r="GU39" i="103" s="1"/>
  <c r="GV39" i="103" s="1"/>
  <c r="GW39" i="103" s="1"/>
  <c r="F39" i="103"/>
  <c r="G39" i="103" s="1"/>
  <c r="H39" i="103" s="1"/>
  <c r="I39" i="103" s="1"/>
  <c r="J39" i="103" s="1"/>
  <c r="K39" i="103" s="1"/>
  <c r="L39" i="103" s="1"/>
  <c r="M39" i="103" s="1"/>
  <c r="N39" i="103" s="1"/>
  <c r="O39" i="103" s="1"/>
  <c r="P39" i="103" s="1"/>
  <c r="Q39" i="103" s="1"/>
  <c r="R39" i="103" s="1"/>
  <c r="S39" i="103" s="1"/>
  <c r="T39" i="103" s="1"/>
  <c r="U39" i="103" s="1"/>
  <c r="V39" i="103" s="1"/>
  <c r="W39" i="103" s="1"/>
  <c r="X39" i="103" s="1"/>
  <c r="Y39" i="103" s="1"/>
  <c r="Z39" i="103" s="1"/>
  <c r="AA39" i="103" s="1"/>
  <c r="AB39" i="103" s="1"/>
  <c r="AC39" i="103" s="1"/>
  <c r="AD39" i="103" s="1"/>
  <c r="AE39" i="103" s="1"/>
  <c r="AF39" i="103" s="1"/>
  <c r="AG39" i="103" s="1"/>
  <c r="AH39" i="103" s="1"/>
  <c r="AI39" i="103" s="1"/>
  <c r="AJ39" i="103" s="1"/>
  <c r="AK39" i="103" s="1"/>
  <c r="AL39" i="103" s="1"/>
  <c r="AM39" i="103" s="1"/>
  <c r="AN39" i="103" s="1"/>
  <c r="AO39" i="103" s="1"/>
  <c r="AP39" i="103" s="1"/>
  <c r="AQ39" i="103" s="1"/>
  <c r="AR39" i="103" s="1"/>
  <c r="AS39" i="103" s="1"/>
  <c r="AT39" i="103" s="1"/>
  <c r="AU39" i="103" s="1"/>
  <c r="AV39" i="103" s="1"/>
  <c r="AW39" i="103" s="1"/>
  <c r="AX39" i="103" s="1"/>
  <c r="AY39" i="103" s="1"/>
  <c r="AZ39" i="103" s="1"/>
  <c r="BA39" i="103" s="1"/>
  <c r="BB39" i="103" s="1"/>
  <c r="BC39" i="103" s="1"/>
  <c r="BD39" i="103" s="1"/>
  <c r="BE39" i="103" s="1"/>
  <c r="BF39" i="103" s="1"/>
  <c r="BG39" i="103" s="1"/>
  <c r="BH39" i="103" s="1"/>
  <c r="BI39" i="103" s="1"/>
  <c r="BJ39" i="103" s="1"/>
  <c r="BK39" i="103" s="1"/>
  <c r="BL39" i="103" s="1"/>
  <c r="BM39" i="103" s="1"/>
  <c r="BN39" i="103" s="1"/>
  <c r="BO39" i="103" s="1"/>
  <c r="BP39" i="103" s="1"/>
  <c r="BQ39" i="103" s="1"/>
  <c r="BR39" i="103" s="1"/>
  <c r="BS39" i="103" s="1"/>
  <c r="BT39" i="103" s="1"/>
  <c r="BU39" i="103" s="1"/>
  <c r="BV39" i="103" s="1"/>
  <c r="BW39" i="103" s="1"/>
  <c r="BX39" i="103" s="1"/>
  <c r="BY39" i="103" s="1"/>
  <c r="BZ39" i="103" s="1"/>
  <c r="CA39" i="103" s="1"/>
  <c r="CB39" i="103" s="1"/>
  <c r="CC39" i="103" s="1"/>
  <c r="CD39" i="103" s="1"/>
  <c r="CE39" i="103" s="1"/>
  <c r="CF39" i="103" s="1"/>
  <c r="CG39" i="103" s="1"/>
  <c r="CH39" i="103" s="1"/>
  <c r="CI39" i="103" s="1"/>
  <c r="CJ39" i="103" s="1"/>
  <c r="CK39" i="103" s="1"/>
  <c r="CL39" i="103" s="1"/>
  <c r="CM39" i="103" s="1"/>
  <c r="CN39" i="103" s="1"/>
  <c r="CO39" i="103" s="1"/>
  <c r="CP39" i="103" s="1"/>
  <c r="CQ39" i="103" s="1"/>
  <c r="CR39" i="103" s="1"/>
  <c r="CS39" i="103" s="1"/>
  <c r="CT39" i="103" s="1"/>
  <c r="CU39" i="103" s="1"/>
  <c r="CV39" i="103" s="1"/>
  <c r="CW39" i="103" s="1"/>
  <c r="CX39" i="103" s="1"/>
  <c r="CY39" i="103" s="1"/>
  <c r="CZ39" i="103" s="1"/>
  <c r="DC169" i="33"/>
  <c r="DD169" i="33" s="1"/>
  <c r="DE169" i="33" s="1"/>
  <c r="DF169" i="33" s="1"/>
  <c r="DG169" i="33" s="1"/>
  <c r="DH169" i="33" s="1"/>
  <c r="DI169" i="33" s="1"/>
  <c r="DJ169" i="33" s="1"/>
  <c r="DK169" i="33" s="1"/>
  <c r="DL169" i="33" s="1"/>
  <c r="DM169" i="33" s="1"/>
  <c r="DN169" i="33" s="1"/>
  <c r="DO169" i="33" s="1"/>
  <c r="DP169" i="33" s="1"/>
  <c r="DQ169" i="33" s="1"/>
  <c r="DR169" i="33" s="1"/>
  <c r="DS169" i="33" s="1"/>
  <c r="DT169" i="33" s="1"/>
  <c r="DU169" i="33" s="1"/>
  <c r="DV169" i="33" s="1"/>
  <c r="DW169" i="33" s="1"/>
  <c r="DX169" i="33" s="1"/>
  <c r="DY169" i="33" s="1"/>
  <c r="DZ169" i="33" s="1"/>
  <c r="EA169" i="33" s="1"/>
  <c r="EB169" i="33" s="1"/>
  <c r="EC169" i="33" s="1"/>
  <c r="ED169" i="33" s="1"/>
  <c r="EE169" i="33" s="1"/>
  <c r="EF169" i="33" s="1"/>
  <c r="EG169" i="33" s="1"/>
  <c r="EH169" i="33" s="1"/>
  <c r="EI169" i="33" s="1"/>
  <c r="EJ169" i="33" s="1"/>
  <c r="EK169" i="33" s="1"/>
  <c r="EL169" i="33" s="1"/>
  <c r="EM169" i="33" s="1"/>
  <c r="EN169" i="33" s="1"/>
  <c r="EO169" i="33" s="1"/>
  <c r="EP169" i="33" s="1"/>
  <c r="EQ169" i="33" s="1"/>
  <c r="ER169" i="33" s="1"/>
  <c r="ES169" i="33" s="1"/>
  <c r="ET169" i="33" s="1"/>
  <c r="EU169" i="33" s="1"/>
  <c r="EV169" i="33" s="1"/>
  <c r="EW169" i="33" s="1"/>
  <c r="EX169" i="33" s="1"/>
  <c r="EY169" i="33" s="1"/>
  <c r="EZ169" i="33" s="1"/>
  <c r="FA169" i="33" s="1"/>
  <c r="FB169" i="33" s="1"/>
  <c r="FC169" i="33" s="1"/>
  <c r="FD169" i="33" s="1"/>
  <c r="FE169" i="33" s="1"/>
  <c r="FF169" i="33" s="1"/>
  <c r="FG169" i="33" s="1"/>
  <c r="FH169" i="33" s="1"/>
  <c r="FI169" i="33" s="1"/>
  <c r="FJ169" i="33" s="1"/>
  <c r="FK169" i="33" s="1"/>
  <c r="FL169" i="33" s="1"/>
  <c r="FM169" i="33" s="1"/>
  <c r="FN169" i="33" s="1"/>
  <c r="FO169" i="33" s="1"/>
  <c r="FP169" i="33" s="1"/>
  <c r="FQ169" i="33" s="1"/>
  <c r="FR169" i="33" s="1"/>
  <c r="FS169" i="33" s="1"/>
  <c r="FT169" i="33" s="1"/>
  <c r="FU169" i="33" s="1"/>
  <c r="FV169" i="33" s="1"/>
  <c r="FW169" i="33" s="1"/>
  <c r="FX169" i="33" s="1"/>
  <c r="FY169" i="33" s="1"/>
  <c r="FZ169" i="33" s="1"/>
  <c r="GA169" i="33" s="1"/>
  <c r="GB169" i="33" s="1"/>
  <c r="GC169" i="33" s="1"/>
  <c r="GD169" i="33" s="1"/>
  <c r="GE169" i="33" s="1"/>
  <c r="GF169" i="33" s="1"/>
  <c r="GG169" i="33" s="1"/>
  <c r="GH169" i="33" s="1"/>
  <c r="GI169" i="33" s="1"/>
  <c r="GJ169" i="33" s="1"/>
  <c r="GK169" i="33" s="1"/>
  <c r="GL169" i="33" s="1"/>
  <c r="GM169" i="33" s="1"/>
  <c r="GN169" i="33" s="1"/>
  <c r="GO169" i="33" s="1"/>
  <c r="GP169" i="33" s="1"/>
  <c r="GQ169" i="33" s="1"/>
  <c r="GR169" i="33" s="1"/>
  <c r="GS169" i="33" s="1"/>
  <c r="GT169" i="33" s="1"/>
  <c r="GU169" i="33" s="1"/>
  <c r="GV169" i="33" s="1"/>
  <c r="GW169" i="33" s="1"/>
  <c r="F169" i="33"/>
  <c r="G169" i="33" s="1"/>
  <c r="H169" i="33" s="1"/>
  <c r="I169" i="33" s="1"/>
  <c r="J169" i="33" s="1"/>
  <c r="K169" i="33" s="1"/>
  <c r="L169" i="33" s="1"/>
  <c r="M169" i="33" s="1"/>
  <c r="N169" i="33" s="1"/>
  <c r="O169" i="33" s="1"/>
  <c r="P169" i="33" s="1"/>
  <c r="Q169" i="33" s="1"/>
  <c r="R169" i="33" s="1"/>
  <c r="S169" i="33" s="1"/>
  <c r="T169" i="33" s="1"/>
  <c r="U169" i="33" s="1"/>
  <c r="V169" i="33" s="1"/>
  <c r="W169" i="33" s="1"/>
  <c r="X169" i="33" s="1"/>
  <c r="Y169" i="33" s="1"/>
  <c r="Z169" i="33" s="1"/>
  <c r="AA169" i="33" s="1"/>
  <c r="AB169" i="33" s="1"/>
  <c r="AC169" i="33" s="1"/>
  <c r="AD169" i="33" s="1"/>
  <c r="AE169" i="33" s="1"/>
  <c r="AF169" i="33" s="1"/>
  <c r="AG169" i="33" s="1"/>
  <c r="AH169" i="33" s="1"/>
  <c r="AI169" i="33" s="1"/>
  <c r="AJ169" i="33" s="1"/>
  <c r="AK169" i="33" s="1"/>
  <c r="AL169" i="33" s="1"/>
  <c r="AM169" i="33" s="1"/>
  <c r="AN169" i="33" s="1"/>
  <c r="AO169" i="33" s="1"/>
  <c r="AP169" i="33" s="1"/>
  <c r="AQ169" i="33" s="1"/>
  <c r="AR169" i="33" s="1"/>
  <c r="AS169" i="33" s="1"/>
  <c r="AT169" i="33" s="1"/>
  <c r="AU169" i="33" s="1"/>
  <c r="AV169" i="33" s="1"/>
  <c r="AW169" i="33" s="1"/>
  <c r="AX169" i="33" s="1"/>
  <c r="AY169" i="33" s="1"/>
  <c r="AZ169" i="33" s="1"/>
  <c r="BA169" i="33" s="1"/>
  <c r="BB169" i="33" s="1"/>
  <c r="BC169" i="33" s="1"/>
  <c r="BD169" i="33" s="1"/>
  <c r="BE169" i="33" s="1"/>
  <c r="BF169" i="33" s="1"/>
  <c r="BG169" i="33" s="1"/>
  <c r="BH169" i="33" s="1"/>
  <c r="BI169" i="33" s="1"/>
  <c r="BJ169" i="33" s="1"/>
  <c r="BK169" i="33" s="1"/>
  <c r="BL169" i="33" s="1"/>
  <c r="BM169" i="33" s="1"/>
  <c r="BN169" i="33" s="1"/>
  <c r="BO169" i="33" s="1"/>
  <c r="BP169" i="33" s="1"/>
  <c r="BQ169" i="33" s="1"/>
  <c r="BR169" i="33" s="1"/>
  <c r="BS169" i="33" s="1"/>
  <c r="BT169" i="33" s="1"/>
  <c r="BU169" i="33" s="1"/>
  <c r="BV169" i="33" s="1"/>
  <c r="BW169" i="33" s="1"/>
  <c r="BX169" i="33" s="1"/>
  <c r="BY169" i="33" s="1"/>
  <c r="BZ169" i="33" s="1"/>
  <c r="CA169" i="33" s="1"/>
  <c r="CB169" i="33" s="1"/>
  <c r="CC169" i="33" s="1"/>
  <c r="CD169" i="33" s="1"/>
  <c r="CE169" i="33" s="1"/>
  <c r="CF169" i="33" s="1"/>
  <c r="CG169" i="33" s="1"/>
  <c r="CH169" i="33" s="1"/>
  <c r="CI169" i="33" s="1"/>
  <c r="CJ169" i="33" s="1"/>
  <c r="CK169" i="33" s="1"/>
  <c r="CL169" i="33" s="1"/>
  <c r="CM169" i="33" s="1"/>
  <c r="CN169" i="33" s="1"/>
  <c r="CO169" i="33" s="1"/>
  <c r="CP169" i="33" s="1"/>
  <c r="CQ169" i="33" s="1"/>
  <c r="CR169" i="33" s="1"/>
  <c r="CS169" i="33" s="1"/>
  <c r="CT169" i="33" s="1"/>
  <c r="CU169" i="33" s="1"/>
  <c r="CV169" i="33" s="1"/>
  <c r="CW169" i="33" s="1"/>
  <c r="CX169" i="33" s="1"/>
  <c r="CY169" i="33" s="1"/>
  <c r="CZ169" i="33" s="1"/>
  <c r="DC160" i="33"/>
  <c r="DD160" i="33" s="1"/>
  <c r="DE160" i="33" s="1"/>
  <c r="DF160" i="33" s="1"/>
  <c r="DG160" i="33" s="1"/>
  <c r="DH160" i="33" s="1"/>
  <c r="DI160" i="33" s="1"/>
  <c r="DJ160" i="33" s="1"/>
  <c r="DK160" i="33" s="1"/>
  <c r="DL160" i="33" s="1"/>
  <c r="DM160" i="33" s="1"/>
  <c r="DN160" i="33" s="1"/>
  <c r="DO160" i="33" s="1"/>
  <c r="DP160" i="33" s="1"/>
  <c r="DQ160" i="33" s="1"/>
  <c r="DR160" i="33" s="1"/>
  <c r="DS160" i="33" s="1"/>
  <c r="DT160" i="33" s="1"/>
  <c r="DU160" i="33" s="1"/>
  <c r="DV160" i="33" s="1"/>
  <c r="DW160" i="33" s="1"/>
  <c r="DX160" i="33" s="1"/>
  <c r="DY160" i="33" s="1"/>
  <c r="DZ160" i="33" s="1"/>
  <c r="EA160" i="33" s="1"/>
  <c r="EB160" i="33" s="1"/>
  <c r="EC160" i="33" s="1"/>
  <c r="ED160" i="33" s="1"/>
  <c r="EE160" i="33" s="1"/>
  <c r="EF160" i="33" s="1"/>
  <c r="EG160" i="33" s="1"/>
  <c r="EH160" i="33" s="1"/>
  <c r="EI160" i="33" s="1"/>
  <c r="EJ160" i="33" s="1"/>
  <c r="EK160" i="33" s="1"/>
  <c r="EL160" i="33" s="1"/>
  <c r="EM160" i="33" s="1"/>
  <c r="EN160" i="33" s="1"/>
  <c r="EO160" i="33" s="1"/>
  <c r="EP160" i="33" s="1"/>
  <c r="EQ160" i="33" s="1"/>
  <c r="ER160" i="33" s="1"/>
  <c r="ES160" i="33" s="1"/>
  <c r="ET160" i="33" s="1"/>
  <c r="EU160" i="33" s="1"/>
  <c r="EV160" i="33" s="1"/>
  <c r="EW160" i="33" s="1"/>
  <c r="EX160" i="33" s="1"/>
  <c r="EY160" i="33" s="1"/>
  <c r="EZ160" i="33" s="1"/>
  <c r="FA160" i="33" s="1"/>
  <c r="FB160" i="33" s="1"/>
  <c r="FC160" i="33" s="1"/>
  <c r="FD160" i="33" s="1"/>
  <c r="FE160" i="33" s="1"/>
  <c r="FF160" i="33" s="1"/>
  <c r="FG160" i="33" s="1"/>
  <c r="FH160" i="33" s="1"/>
  <c r="FI160" i="33" s="1"/>
  <c r="FJ160" i="33" s="1"/>
  <c r="FK160" i="33" s="1"/>
  <c r="FL160" i="33" s="1"/>
  <c r="FM160" i="33" s="1"/>
  <c r="FN160" i="33" s="1"/>
  <c r="FO160" i="33" s="1"/>
  <c r="FP160" i="33" s="1"/>
  <c r="FQ160" i="33" s="1"/>
  <c r="FR160" i="33" s="1"/>
  <c r="FS160" i="33" s="1"/>
  <c r="FT160" i="33" s="1"/>
  <c r="FU160" i="33" s="1"/>
  <c r="FV160" i="33" s="1"/>
  <c r="FW160" i="33" s="1"/>
  <c r="FX160" i="33" s="1"/>
  <c r="FY160" i="33" s="1"/>
  <c r="FZ160" i="33" s="1"/>
  <c r="GA160" i="33" s="1"/>
  <c r="GB160" i="33" s="1"/>
  <c r="GC160" i="33" s="1"/>
  <c r="GD160" i="33" s="1"/>
  <c r="GE160" i="33" s="1"/>
  <c r="GF160" i="33" s="1"/>
  <c r="GG160" i="33" s="1"/>
  <c r="GH160" i="33" s="1"/>
  <c r="GI160" i="33" s="1"/>
  <c r="GJ160" i="33" s="1"/>
  <c r="GK160" i="33" s="1"/>
  <c r="GL160" i="33" s="1"/>
  <c r="GM160" i="33" s="1"/>
  <c r="GN160" i="33" s="1"/>
  <c r="GO160" i="33" s="1"/>
  <c r="GP160" i="33" s="1"/>
  <c r="GQ160" i="33" s="1"/>
  <c r="GR160" i="33" s="1"/>
  <c r="GS160" i="33" s="1"/>
  <c r="GT160" i="33" s="1"/>
  <c r="GU160" i="33" s="1"/>
  <c r="GV160" i="33" s="1"/>
  <c r="GW160" i="33" s="1"/>
  <c r="F160" i="33"/>
  <c r="G160" i="33" s="1"/>
  <c r="H160" i="33" s="1"/>
  <c r="I160" i="33" s="1"/>
  <c r="J160" i="33" s="1"/>
  <c r="K160" i="33" s="1"/>
  <c r="L160" i="33" s="1"/>
  <c r="M160" i="33" s="1"/>
  <c r="N160" i="33" s="1"/>
  <c r="O160" i="33" s="1"/>
  <c r="P160" i="33" s="1"/>
  <c r="Q160" i="33" s="1"/>
  <c r="R160" i="33" s="1"/>
  <c r="S160" i="33" s="1"/>
  <c r="T160" i="33" s="1"/>
  <c r="U160" i="33" s="1"/>
  <c r="V160" i="33" s="1"/>
  <c r="W160" i="33" s="1"/>
  <c r="X160" i="33" s="1"/>
  <c r="Y160" i="33" s="1"/>
  <c r="Z160" i="33" s="1"/>
  <c r="AA160" i="33" s="1"/>
  <c r="AB160" i="33" s="1"/>
  <c r="AC160" i="33" s="1"/>
  <c r="AD160" i="33" s="1"/>
  <c r="AE160" i="33" s="1"/>
  <c r="AF160" i="33" s="1"/>
  <c r="AG160" i="33" s="1"/>
  <c r="AH160" i="33" s="1"/>
  <c r="AI160" i="33" s="1"/>
  <c r="AJ160" i="33" s="1"/>
  <c r="AK160" i="33" s="1"/>
  <c r="AL160" i="33" s="1"/>
  <c r="AM160" i="33" s="1"/>
  <c r="AN160" i="33" s="1"/>
  <c r="AO160" i="33" s="1"/>
  <c r="AP160" i="33" s="1"/>
  <c r="AQ160" i="33" s="1"/>
  <c r="AR160" i="33" s="1"/>
  <c r="AS160" i="33" s="1"/>
  <c r="AT160" i="33" s="1"/>
  <c r="AU160" i="33" s="1"/>
  <c r="AV160" i="33" s="1"/>
  <c r="AW160" i="33" s="1"/>
  <c r="AX160" i="33" s="1"/>
  <c r="AY160" i="33" s="1"/>
  <c r="AZ160" i="33" s="1"/>
  <c r="BA160" i="33" s="1"/>
  <c r="BB160" i="33" s="1"/>
  <c r="BC160" i="33" s="1"/>
  <c r="BD160" i="33" s="1"/>
  <c r="BE160" i="33" s="1"/>
  <c r="BF160" i="33" s="1"/>
  <c r="BG160" i="33" s="1"/>
  <c r="BH160" i="33" s="1"/>
  <c r="BI160" i="33" s="1"/>
  <c r="BJ160" i="33" s="1"/>
  <c r="BK160" i="33" s="1"/>
  <c r="BL160" i="33" s="1"/>
  <c r="BM160" i="33" s="1"/>
  <c r="BN160" i="33" s="1"/>
  <c r="BO160" i="33" s="1"/>
  <c r="BP160" i="33" s="1"/>
  <c r="BQ160" i="33" s="1"/>
  <c r="BR160" i="33" s="1"/>
  <c r="BS160" i="33" s="1"/>
  <c r="BT160" i="33" s="1"/>
  <c r="BU160" i="33" s="1"/>
  <c r="BV160" i="33" s="1"/>
  <c r="BW160" i="33" s="1"/>
  <c r="BX160" i="33" s="1"/>
  <c r="BY160" i="33" s="1"/>
  <c r="BZ160" i="33" s="1"/>
  <c r="CA160" i="33" s="1"/>
  <c r="CB160" i="33" s="1"/>
  <c r="CC160" i="33" s="1"/>
  <c r="CD160" i="33" s="1"/>
  <c r="CE160" i="33" s="1"/>
  <c r="CF160" i="33" s="1"/>
  <c r="CG160" i="33" s="1"/>
  <c r="CH160" i="33" s="1"/>
  <c r="CI160" i="33" s="1"/>
  <c r="CJ160" i="33" s="1"/>
  <c r="CK160" i="33" s="1"/>
  <c r="CL160" i="33" s="1"/>
  <c r="CM160" i="33" s="1"/>
  <c r="CN160" i="33" s="1"/>
  <c r="CO160" i="33" s="1"/>
  <c r="CP160" i="33" s="1"/>
  <c r="CQ160" i="33" s="1"/>
  <c r="CR160" i="33" s="1"/>
  <c r="CS160" i="33" s="1"/>
  <c r="CT160" i="33" s="1"/>
  <c r="CU160" i="33" s="1"/>
  <c r="CV160" i="33" s="1"/>
  <c r="CW160" i="33" s="1"/>
  <c r="CX160" i="33" s="1"/>
  <c r="CY160" i="33" s="1"/>
  <c r="CZ160" i="33" s="1"/>
  <c r="DM52" i="35"/>
  <c r="DC52" i="35"/>
  <c r="CT52" i="35"/>
  <c r="DN52" i="35" s="1"/>
  <c r="AZ10" i="35"/>
  <c r="BA10" i="35"/>
  <c r="BB10" i="35"/>
  <c r="BC10" i="35"/>
  <c r="BD10" i="35"/>
  <c r="BE10" i="35"/>
  <c r="BF10" i="35"/>
  <c r="BG10" i="35"/>
  <c r="AZ11" i="35"/>
  <c r="BA11" i="35"/>
  <c r="BB11" i="35"/>
  <c r="BC11" i="35"/>
  <c r="BD11" i="35"/>
  <c r="BE11" i="35"/>
  <c r="BF11" i="35"/>
  <c r="BG11" i="35"/>
  <c r="AZ12" i="35"/>
  <c r="BA12" i="35"/>
  <c r="BB12" i="35"/>
  <c r="BC12" i="35"/>
  <c r="BD12" i="35"/>
  <c r="BE12" i="35"/>
  <c r="BF12" i="35"/>
  <c r="BG12" i="35"/>
  <c r="AZ13" i="35"/>
  <c r="BA13" i="35"/>
  <c r="BB13" i="35"/>
  <c r="BC13" i="35"/>
  <c r="BD13" i="35"/>
  <c r="BE13" i="35"/>
  <c r="BF13" i="35"/>
  <c r="BG13" i="35"/>
  <c r="AZ14" i="35"/>
  <c r="BA14" i="35"/>
  <c r="BB14" i="35"/>
  <c r="BC14" i="35"/>
  <c r="BD14" i="35"/>
  <c r="BE14" i="35"/>
  <c r="BF14" i="35"/>
  <c r="BG14" i="35"/>
  <c r="AZ15" i="35"/>
  <c r="BA15" i="35"/>
  <c r="BB15" i="35"/>
  <c r="BC15" i="35"/>
  <c r="BD15" i="35"/>
  <c r="BE15" i="35"/>
  <c r="BF15" i="35"/>
  <c r="BG15" i="35"/>
  <c r="AZ16" i="35"/>
  <c r="BA16" i="35"/>
  <c r="BB16" i="35"/>
  <c r="BC16" i="35"/>
  <c r="BD16" i="35"/>
  <c r="BE16" i="35"/>
  <c r="BF16" i="35"/>
  <c r="BG16" i="35"/>
  <c r="AZ17" i="35"/>
  <c r="BA17" i="35"/>
  <c r="BB17" i="35"/>
  <c r="BC17" i="35"/>
  <c r="BD17" i="35"/>
  <c r="BE17" i="35"/>
  <c r="BF17" i="35"/>
  <c r="BG17" i="35"/>
  <c r="AZ18" i="35"/>
  <c r="BA18" i="35"/>
  <c r="BB18" i="35"/>
  <c r="BC18" i="35"/>
  <c r="BD18" i="35"/>
  <c r="BE18" i="35"/>
  <c r="BF18" i="35"/>
  <c r="BG18" i="35"/>
  <c r="AZ19" i="35"/>
  <c r="BA19" i="35"/>
  <c r="BB19" i="35"/>
  <c r="BC19" i="35"/>
  <c r="BD19" i="35"/>
  <c r="BE19" i="35"/>
  <c r="BF19" i="35"/>
  <c r="BG19" i="35"/>
  <c r="AZ20" i="35"/>
  <c r="BA20" i="35"/>
  <c r="BB20" i="35"/>
  <c r="BC20" i="35"/>
  <c r="BD20" i="35"/>
  <c r="BE20" i="35"/>
  <c r="BF20" i="35"/>
  <c r="BG20" i="35"/>
  <c r="AZ21" i="35"/>
  <c r="BA21" i="35"/>
  <c r="BB21" i="35"/>
  <c r="BC21" i="35"/>
  <c r="BD21" i="35"/>
  <c r="BE21" i="35"/>
  <c r="BF21" i="35"/>
  <c r="BG21" i="35"/>
  <c r="AZ22" i="35"/>
  <c r="BA22" i="35"/>
  <c r="BB22" i="35"/>
  <c r="BC22" i="35"/>
  <c r="BD22" i="35"/>
  <c r="BE22" i="35"/>
  <c r="BF22" i="35"/>
  <c r="BG22" i="35"/>
  <c r="AZ23" i="35"/>
  <c r="BA23" i="35"/>
  <c r="BB23" i="35"/>
  <c r="BC23" i="35"/>
  <c r="BD23" i="35"/>
  <c r="BE23" i="35"/>
  <c r="BF23" i="35"/>
  <c r="BG23" i="35"/>
  <c r="AZ24" i="35"/>
  <c r="BA24" i="35"/>
  <c r="BB24" i="35"/>
  <c r="BC24" i="35"/>
  <c r="BD24" i="35"/>
  <c r="BE24" i="35"/>
  <c r="BF24" i="35"/>
  <c r="BG24" i="35"/>
  <c r="AZ25" i="35"/>
  <c r="BA25" i="35"/>
  <c r="BB25" i="35"/>
  <c r="BC25" i="35"/>
  <c r="BD25" i="35"/>
  <c r="BE25" i="35"/>
  <c r="BF25" i="35"/>
  <c r="BG25" i="35"/>
  <c r="AZ26" i="35"/>
  <c r="BA26" i="35"/>
  <c r="BB26" i="35"/>
  <c r="BC26" i="35"/>
  <c r="BD26" i="35"/>
  <c r="BE26" i="35"/>
  <c r="BF26" i="35"/>
  <c r="BG26" i="35"/>
  <c r="AZ27" i="35"/>
  <c r="BA27" i="35"/>
  <c r="BB27" i="35"/>
  <c r="BC27" i="35"/>
  <c r="BD27" i="35"/>
  <c r="BE27" i="35"/>
  <c r="BF27" i="35"/>
  <c r="BG27" i="35"/>
  <c r="AZ28" i="35"/>
  <c r="BA28" i="35"/>
  <c r="BB28" i="35"/>
  <c r="BC28" i="35"/>
  <c r="BD28" i="35"/>
  <c r="BE28" i="35"/>
  <c r="BF28" i="35"/>
  <c r="BG28" i="35"/>
  <c r="AZ29" i="35"/>
  <c r="BA29" i="35"/>
  <c r="BB29" i="35"/>
  <c r="BC29" i="35"/>
  <c r="BD29" i="35"/>
  <c r="BE29" i="35"/>
  <c r="BF29" i="35"/>
  <c r="BG29" i="35"/>
  <c r="AZ30" i="35"/>
  <c r="BA30" i="35"/>
  <c r="BB30" i="35"/>
  <c r="BC30" i="35"/>
  <c r="BD30" i="35"/>
  <c r="BE30" i="35"/>
  <c r="BF30" i="35"/>
  <c r="BG30" i="35"/>
  <c r="AZ31" i="35"/>
  <c r="BA31" i="35"/>
  <c r="BB31" i="35"/>
  <c r="BC31" i="35"/>
  <c r="BD31" i="35"/>
  <c r="BE31" i="35"/>
  <c r="BF31" i="35"/>
  <c r="BG31" i="35"/>
  <c r="AZ32" i="35"/>
  <c r="BA32" i="35"/>
  <c r="BB32" i="35"/>
  <c r="BC32" i="35"/>
  <c r="BD32" i="35"/>
  <c r="BE32" i="35"/>
  <c r="BF32" i="35"/>
  <c r="BG32" i="35"/>
  <c r="AZ33" i="35"/>
  <c r="BA33" i="35"/>
  <c r="BB33" i="35"/>
  <c r="BC33" i="35"/>
  <c r="BD33" i="35"/>
  <c r="BE33" i="35"/>
  <c r="BF33" i="35"/>
  <c r="BG33" i="35"/>
  <c r="AZ34" i="35"/>
  <c r="BA34" i="35"/>
  <c r="BB34" i="35"/>
  <c r="BC34" i="35"/>
  <c r="BD34" i="35"/>
  <c r="BE34" i="35"/>
  <c r="BF34" i="35"/>
  <c r="BG34" i="35"/>
  <c r="AZ35" i="35"/>
  <c r="BA35" i="35"/>
  <c r="BB35" i="35"/>
  <c r="BC35" i="35"/>
  <c r="BD35" i="35"/>
  <c r="BE35" i="35"/>
  <c r="BF35" i="35"/>
  <c r="BG35" i="35"/>
  <c r="AZ36" i="35"/>
  <c r="BA36" i="35"/>
  <c r="BB36" i="35"/>
  <c r="BC36" i="35"/>
  <c r="BD36" i="35"/>
  <c r="BE36" i="35"/>
  <c r="BF36" i="35"/>
  <c r="BG36" i="35"/>
  <c r="AZ37" i="35"/>
  <c r="BA37" i="35"/>
  <c r="BB37" i="35"/>
  <c r="BC37" i="35"/>
  <c r="BD37" i="35"/>
  <c r="BE37" i="35"/>
  <c r="BF37" i="35"/>
  <c r="BG37" i="35"/>
  <c r="AZ38" i="35"/>
  <c r="BA38" i="35"/>
  <c r="BB38" i="35"/>
  <c r="BC38" i="35"/>
  <c r="BD38" i="35"/>
  <c r="BE38" i="35"/>
  <c r="BF38" i="35"/>
  <c r="BG38" i="35"/>
  <c r="AZ39" i="35"/>
  <c r="BA39" i="35"/>
  <c r="BB39" i="35"/>
  <c r="BC39" i="35"/>
  <c r="BD39" i="35"/>
  <c r="BE39" i="35"/>
  <c r="BF39" i="35"/>
  <c r="BG39" i="35"/>
  <c r="AZ40" i="35"/>
  <c r="BA40" i="35"/>
  <c r="BB40" i="35"/>
  <c r="BC40" i="35"/>
  <c r="BD40" i="35"/>
  <c r="BE40" i="35"/>
  <c r="BF40" i="35"/>
  <c r="BG40" i="35"/>
  <c r="AZ41" i="35"/>
  <c r="BA41" i="35"/>
  <c r="BB41" i="35"/>
  <c r="BC41" i="35"/>
  <c r="BD41" i="35"/>
  <c r="BE41" i="35"/>
  <c r="BF41" i="35"/>
  <c r="BG41" i="35"/>
  <c r="AZ42" i="35"/>
  <c r="BA42" i="35"/>
  <c r="BB42" i="35"/>
  <c r="BC42" i="35"/>
  <c r="BD42" i="35"/>
  <c r="BE42" i="35"/>
  <c r="BF42" i="35"/>
  <c r="BG42" i="35"/>
  <c r="AZ43" i="35"/>
  <c r="BA43" i="35"/>
  <c r="BB43" i="35"/>
  <c r="BC43" i="35"/>
  <c r="BD43" i="35"/>
  <c r="BE43" i="35"/>
  <c r="BF43" i="35"/>
  <c r="BG43" i="35"/>
  <c r="AZ44" i="35"/>
  <c r="BA44" i="35"/>
  <c r="BB44" i="35"/>
  <c r="BC44" i="35"/>
  <c r="BD44" i="35"/>
  <c r="BE44" i="35"/>
  <c r="BF44" i="35"/>
  <c r="BG44" i="35"/>
  <c r="AZ45" i="35"/>
  <c r="BA45" i="35"/>
  <c r="BB45" i="35"/>
  <c r="BC45" i="35"/>
  <c r="BD45" i="35"/>
  <c r="BE45" i="35"/>
  <c r="BF45" i="35"/>
  <c r="BG45" i="35"/>
  <c r="AZ46" i="35"/>
  <c r="BA46" i="35"/>
  <c r="BB46" i="35"/>
  <c r="BC46" i="35"/>
  <c r="BD46" i="35"/>
  <c r="BE46" i="35"/>
  <c r="BF46" i="35"/>
  <c r="BG46" i="35"/>
  <c r="BE9" i="35"/>
  <c r="BF9" i="35"/>
  <c r="BG9" i="35"/>
  <c r="BD9" i="35"/>
  <c r="BA9" i="35"/>
  <c r="BB9" i="35"/>
  <c r="BC9" i="35"/>
  <c r="AZ9" i="35"/>
  <c r="DN67" i="35"/>
  <c r="DM67" i="35"/>
  <c r="DC67" i="35"/>
  <c r="CT67" i="35"/>
  <c r="DM63" i="35"/>
  <c r="DC63" i="35"/>
  <c r="CT63" i="35"/>
  <c r="DN63" i="35" s="1"/>
  <c r="B19" i="53"/>
  <c r="B16" i="53"/>
  <c r="AH45" i="35" l="1"/>
  <c r="AI45" i="35" s="1"/>
  <c r="AJ45" i="35" s="1"/>
  <c r="AK45" i="35" s="1"/>
  <c r="AL45" i="35" s="1"/>
  <c r="AM45" i="35" s="1"/>
  <c r="AN45" i="35" s="1"/>
  <c r="AH41" i="35"/>
  <c r="AI41" i="35" s="1"/>
  <c r="AJ41" i="35" s="1"/>
  <c r="AK41" i="35" s="1"/>
  <c r="AL41" i="35" s="1"/>
  <c r="AM41" i="35" s="1"/>
  <c r="AN41" i="35" s="1"/>
  <c r="AH37" i="35"/>
  <c r="AI37" i="35" s="1"/>
  <c r="AJ37" i="35" s="1"/>
  <c r="AK37" i="35" s="1"/>
  <c r="AL37" i="35" s="1"/>
  <c r="AM37" i="35" s="1"/>
  <c r="AN37" i="35" s="1"/>
  <c r="AH33" i="35"/>
  <c r="AI33" i="35" s="1"/>
  <c r="AJ33" i="35" s="1"/>
  <c r="AK33" i="35" s="1"/>
  <c r="AL33" i="35" s="1"/>
  <c r="AM33" i="35" s="1"/>
  <c r="AN33" i="35" s="1"/>
  <c r="AH28" i="35"/>
  <c r="AI28" i="35" s="1"/>
  <c r="AJ28" i="35" s="1"/>
  <c r="AK28" i="35" s="1"/>
  <c r="AL28" i="35" s="1"/>
  <c r="AM28" i="35" s="1"/>
  <c r="AN28" i="35" s="1"/>
  <c r="AH46" i="35"/>
  <c r="AI46" i="35" s="1"/>
  <c r="AJ46" i="35" s="1"/>
  <c r="AK46" i="35" s="1"/>
  <c r="AL46" i="35" s="1"/>
  <c r="AM46" i="35" s="1"/>
  <c r="AN46" i="35" s="1"/>
  <c r="AH40" i="35"/>
  <c r="AI40" i="35" s="1"/>
  <c r="AJ40" i="35" s="1"/>
  <c r="AK40" i="35" s="1"/>
  <c r="AL40" i="35" s="1"/>
  <c r="AM40" i="35" s="1"/>
  <c r="AN40" i="35" s="1"/>
  <c r="AH35" i="35"/>
  <c r="AI35" i="35" s="1"/>
  <c r="AJ35" i="35" s="1"/>
  <c r="AK35" i="35" s="1"/>
  <c r="AL35" i="35" s="1"/>
  <c r="AM35" i="35" s="1"/>
  <c r="AN35" i="35" s="1"/>
  <c r="AH29" i="35"/>
  <c r="AI29" i="35" s="1"/>
  <c r="AJ29" i="35" s="1"/>
  <c r="AK29" i="35" s="1"/>
  <c r="AL29" i="35" s="1"/>
  <c r="AM29" i="35" s="1"/>
  <c r="AN29" i="35" s="1"/>
  <c r="AH39" i="35"/>
  <c r="AI39" i="35" s="1"/>
  <c r="AJ39" i="35" s="1"/>
  <c r="AK39" i="35" s="1"/>
  <c r="AL39" i="35" s="1"/>
  <c r="AM39" i="35" s="1"/>
  <c r="AN39" i="35" s="1"/>
  <c r="AH31" i="35"/>
  <c r="AI31" i="35" s="1"/>
  <c r="AJ31" i="35" s="1"/>
  <c r="AK31" i="35" s="1"/>
  <c r="AL31" i="35" s="1"/>
  <c r="AM31" i="35" s="1"/>
  <c r="AN31" i="35" s="1"/>
  <c r="AH42" i="35"/>
  <c r="AI42" i="35" s="1"/>
  <c r="AJ42" i="35" s="1"/>
  <c r="AK42" i="35" s="1"/>
  <c r="AL42" i="35" s="1"/>
  <c r="AM42" i="35" s="1"/>
  <c r="AN42" i="35" s="1"/>
  <c r="AH36" i="35"/>
  <c r="AI36" i="35" s="1"/>
  <c r="AJ36" i="35" s="1"/>
  <c r="AK36" i="35" s="1"/>
  <c r="AL36" i="35" s="1"/>
  <c r="AM36" i="35" s="1"/>
  <c r="AN36" i="35" s="1"/>
  <c r="AH30" i="35"/>
  <c r="AI30" i="35" s="1"/>
  <c r="AJ30" i="35" s="1"/>
  <c r="AK30" i="35" s="1"/>
  <c r="AL30" i="35" s="1"/>
  <c r="AM30" i="35" s="1"/>
  <c r="AN30" i="35" s="1"/>
  <c r="AH43" i="35"/>
  <c r="AI43" i="35" s="1"/>
  <c r="AJ43" i="35" s="1"/>
  <c r="AK43" i="35" s="1"/>
  <c r="AL43" i="35" s="1"/>
  <c r="AM43" i="35" s="1"/>
  <c r="AN43" i="35" s="1"/>
  <c r="AH38" i="35"/>
  <c r="AI38" i="35" s="1"/>
  <c r="AJ38" i="35" s="1"/>
  <c r="AK38" i="35" s="1"/>
  <c r="AL38" i="35" s="1"/>
  <c r="AM38" i="35" s="1"/>
  <c r="AN38" i="35" s="1"/>
  <c r="AH34" i="35"/>
  <c r="AI34" i="35" s="1"/>
  <c r="AJ34" i="35" s="1"/>
  <c r="AK34" i="35" s="1"/>
  <c r="AL34" i="35" s="1"/>
  <c r="AM34" i="35" s="1"/>
  <c r="AN34" i="35" s="1"/>
  <c r="AH32" i="35"/>
  <c r="AI32" i="35" s="1"/>
  <c r="AJ32" i="35" s="1"/>
  <c r="AK32" i="35" s="1"/>
  <c r="AL32" i="35" s="1"/>
  <c r="AM32" i="35" s="1"/>
  <c r="AN32" i="35" s="1"/>
  <c r="AH44" i="35"/>
  <c r="AI44" i="35" s="1"/>
  <c r="AJ44" i="35" s="1"/>
  <c r="AK44" i="35" s="1"/>
  <c r="AL44" i="35" s="1"/>
  <c r="AM44" i="35" s="1"/>
  <c r="AN44" i="35" s="1"/>
  <c r="AH27" i="35"/>
  <c r="AI27" i="35" s="1"/>
  <c r="AJ27" i="35" s="1"/>
  <c r="AK27" i="35" s="1"/>
  <c r="AL27" i="35" s="1"/>
  <c r="AM27" i="35" s="1"/>
  <c r="AN27" i="35" s="1"/>
  <c r="AH26" i="35"/>
  <c r="AI26" i="35" s="1"/>
  <c r="AJ26" i="35" s="1"/>
  <c r="AK26" i="35" s="1"/>
  <c r="AL26" i="35" s="1"/>
  <c r="AM26" i="35" s="1"/>
  <c r="AN26" i="35" s="1"/>
  <c r="AH25" i="35"/>
  <c r="AI25" i="35" s="1"/>
  <c r="AJ25" i="35" s="1"/>
  <c r="AK25" i="35" s="1"/>
  <c r="AL25" i="35" s="1"/>
  <c r="AM25" i="35" s="1"/>
  <c r="AN25" i="35" s="1"/>
  <c r="AH24" i="35"/>
  <c r="AI24" i="35" s="1"/>
  <c r="AJ24" i="35" s="1"/>
  <c r="AK24" i="35" s="1"/>
  <c r="AL24" i="35" s="1"/>
  <c r="AM24" i="35" s="1"/>
  <c r="AN24" i="35" s="1"/>
  <c r="AH23" i="35"/>
  <c r="AI23" i="35" s="1"/>
  <c r="AJ23" i="35" s="1"/>
  <c r="AK23" i="35" s="1"/>
  <c r="AL23" i="35" s="1"/>
  <c r="AM23" i="35" s="1"/>
  <c r="AN23" i="35" s="1"/>
  <c r="AH22" i="35"/>
  <c r="AI22" i="35" s="1"/>
  <c r="AJ22" i="35" s="1"/>
  <c r="AK22" i="35" s="1"/>
  <c r="AL22" i="35" s="1"/>
  <c r="AM22" i="35" s="1"/>
  <c r="AN22" i="35" s="1"/>
  <c r="AH21" i="35"/>
  <c r="AI21" i="35" s="1"/>
  <c r="AJ21" i="35" s="1"/>
  <c r="AK21" i="35" s="1"/>
  <c r="AL21" i="35" s="1"/>
  <c r="AM21" i="35" s="1"/>
  <c r="AN21" i="35" s="1"/>
  <c r="AH20" i="35"/>
  <c r="AI20" i="35" s="1"/>
  <c r="AJ20" i="35" s="1"/>
  <c r="AK20" i="35" s="1"/>
  <c r="AL20" i="35" s="1"/>
  <c r="AM20" i="35" s="1"/>
  <c r="AN20" i="35" s="1"/>
  <c r="AH19" i="35"/>
  <c r="AI19" i="35" s="1"/>
  <c r="AJ19" i="35" s="1"/>
  <c r="AK19" i="35" s="1"/>
  <c r="AL19" i="35" s="1"/>
  <c r="AM19" i="35" s="1"/>
  <c r="AN19" i="35" s="1"/>
  <c r="AH18" i="35"/>
  <c r="AI18" i="35" s="1"/>
  <c r="AJ18" i="35" s="1"/>
  <c r="AK18" i="35" s="1"/>
  <c r="AL18" i="35" s="1"/>
  <c r="AM18" i="35" s="1"/>
  <c r="AN18" i="35" s="1"/>
  <c r="AH17" i="35"/>
  <c r="AI17" i="35" s="1"/>
  <c r="AJ17" i="35" s="1"/>
  <c r="AK17" i="35" s="1"/>
  <c r="AL17" i="35" s="1"/>
  <c r="AM17" i="35" s="1"/>
  <c r="AN17" i="35" s="1"/>
  <c r="AH16" i="35"/>
  <c r="AI16" i="35" s="1"/>
  <c r="AJ16" i="35" s="1"/>
  <c r="AK16" i="35" s="1"/>
  <c r="AL16" i="35" s="1"/>
  <c r="AM16" i="35" s="1"/>
  <c r="AN16" i="35" s="1"/>
  <c r="AH15" i="35"/>
  <c r="AI15" i="35" s="1"/>
  <c r="AJ15" i="35" s="1"/>
  <c r="AK15" i="35" s="1"/>
  <c r="AL15" i="35" s="1"/>
  <c r="AM15" i="35" s="1"/>
  <c r="AN15" i="35" s="1"/>
  <c r="AH14" i="35"/>
  <c r="AI14" i="35" s="1"/>
  <c r="AJ14" i="35" s="1"/>
  <c r="AK14" i="35" s="1"/>
  <c r="AL14" i="35" s="1"/>
  <c r="AM14" i="35" s="1"/>
  <c r="AN14" i="35" s="1"/>
  <c r="AH13" i="35"/>
  <c r="AI13" i="35" s="1"/>
  <c r="AJ13" i="35" s="1"/>
  <c r="AK13" i="35" s="1"/>
  <c r="AL13" i="35" s="1"/>
  <c r="AM13" i="35" s="1"/>
  <c r="AN13" i="35" s="1"/>
  <c r="AH12" i="35"/>
  <c r="AI12" i="35" s="1"/>
  <c r="AJ12" i="35" s="1"/>
  <c r="AK12" i="35" s="1"/>
  <c r="AL12" i="35" s="1"/>
  <c r="AM12" i="35" s="1"/>
  <c r="AN12" i="35" s="1"/>
  <c r="AH11" i="35"/>
  <c r="AI11" i="35" s="1"/>
  <c r="AJ11" i="35" s="1"/>
  <c r="AK11" i="35" s="1"/>
  <c r="AL11" i="35" s="1"/>
  <c r="AM11" i="35" s="1"/>
  <c r="AN11" i="35" s="1"/>
  <c r="AH10" i="35"/>
  <c r="AI10" i="35" s="1"/>
  <c r="AJ10" i="35" s="1"/>
  <c r="AK10" i="35" s="1"/>
  <c r="AL10" i="35" s="1"/>
  <c r="AM10" i="35" s="1"/>
  <c r="AN10" i="35" s="1"/>
  <c r="AH9" i="35"/>
  <c r="Y9" i="35" s="1"/>
  <c r="AQ9" i="105"/>
  <c r="AR9" i="105"/>
  <c r="AS9" i="105"/>
  <c r="AX9" i="105" s="1"/>
  <c r="AT9" i="105"/>
  <c r="AU9" i="105"/>
  <c r="AV9" i="105"/>
  <c r="AW9" i="105"/>
  <c r="AQ10" i="105"/>
  <c r="AR10" i="105"/>
  <c r="AS10" i="105"/>
  <c r="AT10" i="105"/>
  <c r="AU10" i="105"/>
  <c r="AX10" i="105" s="1"/>
  <c r="AV10" i="105"/>
  <c r="AW10" i="105"/>
  <c r="AQ11" i="105"/>
  <c r="AR11" i="105"/>
  <c r="AS11" i="105"/>
  <c r="AX11" i="105" s="1"/>
  <c r="AT11" i="105"/>
  <c r="AU11" i="105"/>
  <c r="AV11" i="105"/>
  <c r="AW11" i="105"/>
  <c r="AQ12" i="105"/>
  <c r="AR12" i="105"/>
  <c r="AS12" i="105"/>
  <c r="AT12" i="105"/>
  <c r="AU12" i="105"/>
  <c r="AV12" i="105"/>
  <c r="AW12" i="105"/>
  <c r="AQ13" i="105"/>
  <c r="AX13" i="105" s="1"/>
  <c r="AR13" i="105"/>
  <c r="AS13" i="105"/>
  <c r="AT13" i="105"/>
  <c r="AU13" i="105"/>
  <c r="AV13" i="105"/>
  <c r="AW13" i="105"/>
  <c r="AQ14" i="105"/>
  <c r="AX14" i="105" s="1"/>
  <c r="AR14" i="105"/>
  <c r="AS14" i="105"/>
  <c r="AT14" i="105"/>
  <c r="AU14" i="105"/>
  <c r="AV14" i="105"/>
  <c r="AW14" i="105"/>
  <c r="AQ15" i="105"/>
  <c r="AR15" i="105"/>
  <c r="AS15" i="105"/>
  <c r="AT15" i="105"/>
  <c r="AU15" i="105"/>
  <c r="AV15" i="105"/>
  <c r="AW15" i="105"/>
  <c r="AQ16" i="105"/>
  <c r="AR16" i="105"/>
  <c r="AS16" i="105"/>
  <c r="AT16" i="105"/>
  <c r="AU16" i="105"/>
  <c r="AV16" i="105"/>
  <c r="AW16" i="105"/>
  <c r="AQ17" i="105"/>
  <c r="AR17" i="105"/>
  <c r="AS17" i="105"/>
  <c r="AX17" i="105" s="1"/>
  <c r="AT17" i="105"/>
  <c r="AU17" i="105"/>
  <c r="AV17" i="105"/>
  <c r="AW17" i="105"/>
  <c r="AQ18" i="105"/>
  <c r="AR18" i="105"/>
  <c r="AS18" i="105"/>
  <c r="AT18" i="105"/>
  <c r="AU18" i="105"/>
  <c r="AX18" i="105" s="1"/>
  <c r="AV18" i="105"/>
  <c r="AW18" i="105"/>
  <c r="AQ19" i="105"/>
  <c r="AR19" i="105"/>
  <c r="AS19" i="105"/>
  <c r="AX19" i="105" s="1"/>
  <c r="AT19" i="105"/>
  <c r="AU19" i="105"/>
  <c r="AV19" i="105"/>
  <c r="AW19" i="105"/>
  <c r="AQ20" i="105"/>
  <c r="AR20" i="105"/>
  <c r="AS20" i="105"/>
  <c r="AT20" i="105"/>
  <c r="AU20" i="105"/>
  <c r="AV20" i="105"/>
  <c r="AW20" i="105"/>
  <c r="AQ21" i="105"/>
  <c r="AX21" i="105" s="1"/>
  <c r="AR21" i="105"/>
  <c r="AS21" i="105"/>
  <c r="AT21" i="105"/>
  <c r="AU21" i="105"/>
  <c r="AV21" i="105"/>
  <c r="AW21" i="105"/>
  <c r="AQ22" i="105"/>
  <c r="AR22" i="105"/>
  <c r="AS22" i="105"/>
  <c r="AT22" i="105"/>
  <c r="AU22" i="105"/>
  <c r="AV22" i="105"/>
  <c r="AW22" i="105"/>
  <c r="AQ23" i="105"/>
  <c r="AR23" i="105"/>
  <c r="AS23" i="105"/>
  <c r="AT23" i="105"/>
  <c r="AU23" i="105"/>
  <c r="AV23" i="105"/>
  <c r="AW23" i="105"/>
  <c r="AQ24" i="105"/>
  <c r="AR24" i="105"/>
  <c r="AS24" i="105"/>
  <c r="AT24" i="105"/>
  <c r="AU24" i="105"/>
  <c r="AV24" i="105"/>
  <c r="AW24" i="105"/>
  <c r="AQ25" i="105"/>
  <c r="AR25" i="105"/>
  <c r="AS25" i="105"/>
  <c r="AX25" i="105" s="1"/>
  <c r="AT25" i="105"/>
  <c r="AU25" i="105"/>
  <c r="AV25" i="105"/>
  <c r="AW25" i="105"/>
  <c r="AQ26" i="105"/>
  <c r="AR26" i="105"/>
  <c r="AS26" i="105"/>
  <c r="AT26" i="105"/>
  <c r="AU26" i="105"/>
  <c r="AX26" i="105" s="1"/>
  <c r="AV26" i="105"/>
  <c r="AW26" i="105"/>
  <c r="AQ27" i="105"/>
  <c r="AR27" i="105"/>
  <c r="AS27" i="105"/>
  <c r="AT27" i="105"/>
  <c r="AU27" i="105"/>
  <c r="AV27" i="105"/>
  <c r="AW27" i="105"/>
  <c r="AQ28" i="105"/>
  <c r="AR28" i="105"/>
  <c r="AS28" i="105"/>
  <c r="AT28" i="105"/>
  <c r="AU28" i="105"/>
  <c r="AV28" i="105"/>
  <c r="AW28" i="105"/>
  <c r="AQ29" i="105"/>
  <c r="AX29" i="105" s="1"/>
  <c r="AR29" i="105"/>
  <c r="AS29" i="105"/>
  <c r="AT29" i="105"/>
  <c r="AU29" i="105"/>
  <c r="AV29" i="105"/>
  <c r="AW29" i="105"/>
  <c r="AQ30" i="105"/>
  <c r="AR30" i="105"/>
  <c r="AS30" i="105"/>
  <c r="AT30" i="105"/>
  <c r="AU30" i="105"/>
  <c r="AV30" i="105"/>
  <c r="AW30" i="105"/>
  <c r="AQ31" i="105"/>
  <c r="AR31" i="105"/>
  <c r="AS31" i="105"/>
  <c r="AT31" i="105"/>
  <c r="AU31" i="105"/>
  <c r="AV31" i="105"/>
  <c r="AW31" i="105"/>
  <c r="AQ32" i="105"/>
  <c r="AR32" i="105"/>
  <c r="AS32" i="105"/>
  <c r="AT32" i="105"/>
  <c r="AU32" i="105"/>
  <c r="AV32" i="105"/>
  <c r="AW32" i="105"/>
  <c r="AQ33" i="105"/>
  <c r="AR33" i="105"/>
  <c r="AS33" i="105"/>
  <c r="AX33" i="105" s="1"/>
  <c r="AT33" i="105"/>
  <c r="AU33" i="105"/>
  <c r="AV33" i="105"/>
  <c r="AW33" i="105"/>
  <c r="AQ34" i="105"/>
  <c r="AR34" i="105"/>
  <c r="AS34" i="105"/>
  <c r="AT34" i="105"/>
  <c r="AU34" i="105"/>
  <c r="AX34" i="105" s="1"/>
  <c r="AV34" i="105"/>
  <c r="AW34" i="105"/>
  <c r="AQ35" i="105"/>
  <c r="AR35" i="105"/>
  <c r="AS35" i="105"/>
  <c r="AT35" i="105"/>
  <c r="AU35" i="105"/>
  <c r="AV35" i="105"/>
  <c r="AW35" i="105"/>
  <c r="AQ36" i="105"/>
  <c r="AR36" i="105"/>
  <c r="AS36" i="105"/>
  <c r="AT36" i="105"/>
  <c r="AU36" i="105"/>
  <c r="AV36" i="105"/>
  <c r="AW36" i="105"/>
  <c r="AQ37" i="105"/>
  <c r="AX37" i="105" s="1"/>
  <c r="AR37" i="105"/>
  <c r="AS37" i="105"/>
  <c r="AT37" i="105"/>
  <c r="AU37" i="105"/>
  <c r="AV37" i="105"/>
  <c r="AW37" i="105"/>
  <c r="AQ38" i="105"/>
  <c r="AR38" i="105"/>
  <c r="AS38" i="105"/>
  <c r="AT38" i="105"/>
  <c r="AU38" i="105"/>
  <c r="AV38" i="105"/>
  <c r="AW38" i="105"/>
  <c r="AQ39" i="105"/>
  <c r="AX39" i="105" s="1"/>
  <c r="AR39" i="105"/>
  <c r="AS39" i="105"/>
  <c r="AT39" i="105"/>
  <c r="AU39" i="105"/>
  <c r="AV39" i="105"/>
  <c r="AW39" i="105"/>
  <c r="AQ40" i="105"/>
  <c r="AR40" i="105"/>
  <c r="AS40" i="105"/>
  <c r="AT40" i="105"/>
  <c r="AU40" i="105"/>
  <c r="AV40" i="105"/>
  <c r="AW40" i="105"/>
  <c r="AQ41" i="105"/>
  <c r="AR41" i="105"/>
  <c r="AS41" i="105"/>
  <c r="AX41" i="105" s="1"/>
  <c r="AT41" i="105"/>
  <c r="AU41" i="105"/>
  <c r="AV41" i="105"/>
  <c r="AW41" i="105"/>
  <c r="AQ42" i="105"/>
  <c r="AR42" i="105"/>
  <c r="AS42" i="105"/>
  <c r="AT42" i="105"/>
  <c r="AU42" i="105"/>
  <c r="AX42" i="105" s="1"/>
  <c r="AV42" i="105"/>
  <c r="AW42" i="105"/>
  <c r="AQ43" i="105"/>
  <c r="AR43" i="105"/>
  <c r="AS43" i="105"/>
  <c r="AT43" i="105"/>
  <c r="AU43" i="105"/>
  <c r="AV43" i="105"/>
  <c r="AW43" i="105"/>
  <c r="AQ44" i="105"/>
  <c r="AR44" i="105"/>
  <c r="AS44" i="105"/>
  <c r="AT44" i="105"/>
  <c r="AU44" i="105"/>
  <c r="AV44" i="105"/>
  <c r="AW44" i="105"/>
  <c r="AQ45" i="105"/>
  <c r="AX45" i="105" s="1"/>
  <c r="AR45" i="105"/>
  <c r="AS45" i="105"/>
  <c r="AT45" i="105"/>
  <c r="AU45" i="105"/>
  <c r="AV45" i="105"/>
  <c r="AW45" i="105"/>
  <c r="AW8" i="105"/>
  <c r="AV8" i="105"/>
  <c r="AU8" i="105"/>
  <c r="AT8" i="105"/>
  <c r="AS8" i="105"/>
  <c r="AR8" i="105"/>
  <c r="AQ8" i="105"/>
  <c r="BG45" i="105"/>
  <c r="BF45" i="105"/>
  <c r="BE45" i="105"/>
  <c r="BD45" i="105"/>
  <c r="BC45" i="105"/>
  <c r="BB45" i="105"/>
  <c r="BA45" i="105"/>
  <c r="AZ45" i="105"/>
  <c r="BG44" i="105"/>
  <c r="BF44" i="105"/>
  <c r="BE44" i="105"/>
  <c r="BD44" i="105"/>
  <c r="BC44" i="105"/>
  <c r="BB44" i="105"/>
  <c r="BA44" i="105"/>
  <c r="AZ44" i="105"/>
  <c r="BG43" i="105"/>
  <c r="BF43" i="105"/>
  <c r="BE43" i="105"/>
  <c r="BD43" i="105"/>
  <c r="BC43" i="105"/>
  <c r="BB43" i="105"/>
  <c r="BA43" i="105"/>
  <c r="AZ43" i="105"/>
  <c r="AH43" i="105" s="1"/>
  <c r="AI43" i="105" s="1"/>
  <c r="AJ43" i="105" s="1"/>
  <c r="AK43" i="105" s="1"/>
  <c r="AL43" i="105" s="1"/>
  <c r="AM43" i="105" s="1"/>
  <c r="AN43" i="105" s="1"/>
  <c r="BG42" i="105"/>
  <c r="BF42" i="105"/>
  <c r="BE42" i="105"/>
  <c r="BD42" i="105"/>
  <c r="BC42" i="105"/>
  <c r="BB42" i="105"/>
  <c r="BA42" i="105"/>
  <c r="AZ42" i="105"/>
  <c r="AH42" i="105" s="1"/>
  <c r="AI42" i="105" s="1"/>
  <c r="AJ42" i="105" s="1"/>
  <c r="AK42" i="105" s="1"/>
  <c r="AL42" i="105" s="1"/>
  <c r="AM42" i="105" s="1"/>
  <c r="AN42" i="105" s="1"/>
  <c r="BG41" i="105"/>
  <c r="BF41" i="105"/>
  <c r="BE41" i="105"/>
  <c r="BD41" i="105"/>
  <c r="BC41" i="105"/>
  <c r="BB41" i="105"/>
  <c r="BA41" i="105"/>
  <c r="AZ41" i="105"/>
  <c r="BG40" i="105"/>
  <c r="BF40" i="105"/>
  <c r="BE40" i="105"/>
  <c r="BD40" i="105"/>
  <c r="BC40" i="105"/>
  <c r="BB40" i="105"/>
  <c r="BA40" i="105"/>
  <c r="AZ40" i="105"/>
  <c r="BG39" i="105"/>
  <c r="BF39" i="105"/>
  <c r="BE39" i="105"/>
  <c r="BD39" i="105"/>
  <c r="BC39" i="105"/>
  <c r="BB39" i="105"/>
  <c r="BA39" i="105"/>
  <c r="AZ39" i="105"/>
  <c r="BG38" i="105"/>
  <c r="BF38" i="105"/>
  <c r="BE38" i="105"/>
  <c r="BD38" i="105"/>
  <c r="BC38" i="105"/>
  <c r="BB38" i="105"/>
  <c r="BA38" i="105"/>
  <c r="AZ38" i="105"/>
  <c r="BG37" i="105"/>
  <c r="BF37" i="105"/>
  <c r="BE37" i="105"/>
  <c r="BD37" i="105"/>
  <c r="BC37" i="105"/>
  <c r="BB37" i="105"/>
  <c r="BA37" i="105"/>
  <c r="AZ37" i="105"/>
  <c r="BG36" i="105"/>
  <c r="BF36" i="105"/>
  <c r="BE36" i="105"/>
  <c r="BD36" i="105"/>
  <c r="BC36" i="105"/>
  <c r="BB36" i="105"/>
  <c r="BA36" i="105"/>
  <c r="AZ36" i="105"/>
  <c r="BG35" i="105"/>
  <c r="BF35" i="105"/>
  <c r="BE35" i="105"/>
  <c r="BD35" i="105"/>
  <c r="BC35" i="105"/>
  <c r="BB35" i="105"/>
  <c r="BA35" i="105"/>
  <c r="AZ35" i="105"/>
  <c r="BG34" i="105"/>
  <c r="BF34" i="105"/>
  <c r="BE34" i="105"/>
  <c r="BD34" i="105"/>
  <c r="BC34" i="105"/>
  <c r="BB34" i="105"/>
  <c r="BA34" i="105"/>
  <c r="AZ34" i="105"/>
  <c r="BG33" i="105"/>
  <c r="BF33" i="105"/>
  <c r="BE33" i="105"/>
  <c r="BD33" i="105"/>
  <c r="BC33" i="105"/>
  <c r="BB33" i="105"/>
  <c r="BA33" i="105"/>
  <c r="AZ33" i="105"/>
  <c r="BG32" i="105"/>
  <c r="BF32" i="105"/>
  <c r="BE32" i="105"/>
  <c r="BD32" i="105"/>
  <c r="BC32" i="105"/>
  <c r="BB32" i="105"/>
  <c r="BA32" i="105"/>
  <c r="AZ32" i="105"/>
  <c r="BG31" i="105"/>
  <c r="BF31" i="105"/>
  <c r="BE31" i="105"/>
  <c r="BD31" i="105"/>
  <c r="BC31" i="105"/>
  <c r="BB31" i="105"/>
  <c r="BA31" i="105"/>
  <c r="AZ31" i="105"/>
  <c r="AH31" i="105" s="1"/>
  <c r="AI31" i="105" s="1"/>
  <c r="AJ31" i="105" s="1"/>
  <c r="AK31" i="105" s="1"/>
  <c r="AL31" i="105" s="1"/>
  <c r="AM31" i="105" s="1"/>
  <c r="AN31" i="105" s="1"/>
  <c r="BG30" i="105"/>
  <c r="BF30" i="105"/>
  <c r="BE30" i="105"/>
  <c r="BD30" i="105"/>
  <c r="BC30" i="105"/>
  <c r="BB30" i="105"/>
  <c r="BA30" i="105"/>
  <c r="AZ30" i="105"/>
  <c r="AH30" i="105" s="1"/>
  <c r="AI30" i="105" s="1"/>
  <c r="AJ30" i="105" s="1"/>
  <c r="AK30" i="105" s="1"/>
  <c r="AL30" i="105" s="1"/>
  <c r="AM30" i="105" s="1"/>
  <c r="AN30" i="105" s="1"/>
  <c r="BG29" i="105"/>
  <c r="BF29" i="105"/>
  <c r="BE29" i="105"/>
  <c r="BD29" i="105"/>
  <c r="BC29" i="105"/>
  <c r="BB29" i="105"/>
  <c r="BA29" i="105"/>
  <c r="AZ29" i="105"/>
  <c r="AH29" i="105" s="1"/>
  <c r="AI29" i="105" s="1"/>
  <c r="AJ29" i="105" s="1"/>
  <c r="AK29" i="105" s="1"/>
  <c r="AL29" i="105" s="1"/>
  <c r="AM29" i="105" s="1"/>
  <c r="AN29" i="105" s="1"/>
  <c r="BG28" i="105"/>
  <c r="BF28" i="105"/>
  <c r="BE28" i="105"/>
  <c r="BD28" i="105"/>
  <c r="BC28" i="105"/>
  <c r="BB28" i="105"/>
  <c r="BA28" i="105"/>
  <c r="AZ28" i="105"/>
  <c r="BG27" i="105"/>
  <c r="BF27" i="105"/>
  <c r="BE27" i="105"/>
  <c r="BD27" i="105"/>
  <c r="BC27" i="105"/>
  <c r="BB27" i="105"/>
  <c r="BA27" i="105"/>
  <c r="AZ27" i="105"/>
  <c r="AH27" i="105" s="1"/>
  <c r="AI27" i="105" s="1"/>
  <c r="AJ27" i="105" s="1"/>
  <c r="AK27" i="105" s="1"/>
  <c r="AL27" i="105" s="1"/>
  <c r="AM27" i="105" s="1"/>
  <c r="AN27" i="105" s="1"/>
  <c r="BG26" i="105"/>
  <c r="BF26" i="105"/>
  <c r="BE26" i="105"/>
  <c r="BD26" i="105"/>
  <c r="BC26" i="105"/>
  <c r="BB26" i="105"/>
  <c r="BA26" i="105"/>
  <c r="AZ26" i="105"/>
  <c r="AH26" i="105" s="1"/>
  <c r="AI26" i="105" s="1"/>
  <c r="AJ26" i="105" s="1"/>
  <c r="AK26" i="105" s="1"/>
  <c r="AL26" i="105" s="1"/>
  <c r="AM26" i="105" s="1"/>
  <c r="AN26" i="105" s="1"/>
  <c r="BG25" i="105"/>
  <c r="BF25" i="105"/>
  <c r="BE25" i="105"/>
  <c r="BD25" i="105"/>
  <c r="BC25" i="105"/>
  <c r="BB25" i="105"/>
  <c r="BA25" i="105"/>
  <c r="AZ25" i="105"/>
  <c r="BG24" i="105"/>
  <c r="BF24" i="105"/>
  <c r="BE24" i="105"/>
  <c r="BD24" i="105"/>
  <c r="BC24" i="105"/>
  <c r="BB24" i="105"/>
  <c r="BA24" i="105"/>
  <c r="AZ24" i="105"/>
  <c r="BG23" i="105"/>
  <c r="BF23" i="105"/>
  <c r="BE23" i="105"/>
  <c r="BD23" i="105"/>
  <c r="BC23" i="105"/>
  <c r="BB23" i="105"/>
  <c r="BA23" i="105"/>
  <c r="AZ23" i="105"/>
  <c r="BG22" i="105"/>
  <c r="BF22" i="105"/>
  <c r="BE22" i="105"/>
  <c r="BD22" i="105"/>
  <c r="BC22" i="105"/>
  <c r="BB22" i="105"/>
  <c r="BA22" i="105"/>
  <c r="AZ22" i="105"/>
  <c r="BG21" i="105"/>
  <c r="BF21" i="105"/>
  <c r="BE21" i="105"/>
  <c r="BD21" i="105"/>
  <c r="BC21" i="105"/>
  <c r="BB21" i="105"/>
  <c r="BA21" i="105"/>
  <c r="AZ21" i="105"/>
  <c r="BG20" i="105"/>
  <c r="BF20" i="105"/>
  <c r="BE20" i="105"/>
  <c r="BD20" i="105"/>
  <c r="BC20" i="105"/>
  <c r="BB20" i="105"/>
  <c r="BA20" i="105"/>
  <c r="AZ20" i="105"/>
  <c r="BG19" i="105"/>
  <c r="BF19" i="105"/>
  <c r="BE19" i="105"/>
  <c r="BD19" i="105"/>
  <c r="BC19" i="105"/>
  <c r="BB19" i="105"/>
  <c r="BA19" i="105"/>
  <c r="AZ19" i="105"/>
  <c r="BG18" i="105"/>
  <c r="BF18" i="105"/>
  <c r="BE18" i="105"/>
  <c r="BD18" i="105"/>
  <c r="BC18" i="105"/>
  <c r="BB18" i="105"/>
  <c r="BA18" i="105"/>
  <c r="AZ18" i="105"/>
  <c r="BG17" i="105"/>
  <c r="BF17" i="105"/>
  <c r="BE17" i="105"/>
  <c r="BD17" i="105"/>
  <c r="BC17" i="105"/>
  <c r="BB17" i="105"/>
  <c r="BA17" i="105"/>
  <c r="AZ17" i="105"/>
  <c r="BG16" i="105"/>
  <c r="BF16" i="105"/>
  <c r="BE16" i="105"/>
  <c r="BD16" i="105"/>
  <c r="BC16" i="105"/>
  <c r="BB16" i="105"/>
  <c r="BA16" i="105"/>
  <c r="AZ16" i="105"/>
  <c r="BG15" i="105"/>
  <c r="BF15" i="105"/>
  <c r="BE15" i="105"/>
  <c r="BD15" i="105"/>
  <c r="BC15" i="105"/>
  <c r="BB15" i="105"/>
  <c r="BA15" i="105"/>
  <c r="AZ15" i="105"/>
  <c r="BG14" i="105"/>
  <c r="BF14" i="105"/>
  <c r="BE14" i="105"/>
  <c r="BD14" i="105"/>
  <c r="BC14" i="105"/>
  <c r="BB14" i="105"/>
  <c r="BA14" i="105"/>
  <c r="AZ14" i="105"/>
  <c r="BG13" i="105"/>
  <c r="BF13" i="105"/>
  <c r="BE13" i="105"/>
  <c r="BD13" i="105"/>
  <c r="BC13" i="105"/>
  <c r="BB13" i="105"/>
  <c r="BA13" i="105"/>
  <c r="AZ13" i="105"/>
  <c r="BG12" i="105"/>
  <c r="BF12" i="105"/>
  <c r="BE12" i="105"/>
  <c r="BD12" i="105"/>
  <c r="BC12" i="105"/>
  <c r="BB12" i="105"/>
  <c r="BA12" i="105"/>
  <c r="AZ12" i="105"/>
  <c r="BG11" i="105"/>
  <c r="BF11" i="105"/>
  <c r="BE11" i="105"/>
  <c r="BD11" i="105"/>
  <c r="BC11" i="105"/>
  <c r="BB11" i="105"/>
  <c r="BA11" i="105"/>
  <c r="AZ11" i="105"/>
  <c r="AH11" i="105" s="1"/>
  <c r="AI11" i="105" s="1"/>
  <c r="AJ11" i="105" s="1"/>
  <c r="AK11" i="105" s="1"/>
  <c r="AL11" i="105" s="1"/>
  <c r="AM11" i="105" s="1"/>
  <c r="AN11" i="105" s="1"/>
  <c r="BG10" i="105"/>
  <c r="BF10" i="105"/>
  <c r="BE10" i="105"/>
  <c r="BD10" i="105"/>
  <c r="BC10" i="105"/>
  <c r="BB10" i="105"/>
  <c r="BA10" i="105"/>
  <c r="AZ10" i="105"/>
  <c r="BG9" i="105"/>
  <c r="BF9" i="105"/>
  <c r="BE9" i="105"/>
  <c r="BD9" i="105"/>
  <c r="BC9" i="105"/>
  <c r="BB9" i="105"/>
  <c r="BA9" i="105"/>
  <c r="AZ9" i="105"/>
  <c r="A9" i="105"/>
  <c r="A10" i="105" s="1"/>
  <c r="A11" i="105" s="1"/>
  <c r="A12" i="105" s="1"/>
  <c r="A13" i="105" s="1"/>
  <c r="A14" i="105" s="1"/>
  <c r="A15" i="105" s="1"/>
  <c r="A16" i="105" s="1"/>
  <c r="A17" i="105" s="1"/>
  <c r="A18" i="105" s="1"/>
  <c r="A19" i="105" s="1"/>
  <c r="A20" i="105" s="1"/>
  <c r="A21" i="105" s="1"/>
  <c r="A22" i="105" s="1"/>
  <c r="A23" i="105" s="1"/>
  <c r="A24" i="105" s="1"/>
  <c r="A25" i="105" s="1"/>
  <c r="A26" i="105" s="1"/>
  <c r="A27" i="105" s="1"/>
  <c r="A28" i="105" s="1"/>
  <c r="A29" i="105" s="1"/>
  <c r="A30" i="105" s="1"/>
  <c r="A31" i="105" s="1"/>
  <c r="A32" i="105" s="1"/>
  <c r="A33" i="105" s="1"/>
  <c r="A34" i="105" s="1"/>
  <c r="A35" i="105" s="1"/>
  <c r="A36" i="105" s="1"/>
  <c r="A37" i="105" s="1"/>
  <c r="A38" i="105" s="1"/>
  <c r="A39" i="105" s="1"/>
  <c r="A40" i="105" s="1"/>
  <c r="A41" i="105" s="1"/>
  <c r="A42" i="105" s="1"/>
  <c r="A43" i="105" s="1"/>
  <c r="A44" i="105" s="1"/>
  <c r="A45" i="105" s="1"/>
  <c r="BG8" i="105"/>
  <c r="BF8" i="105"/>
  <c r="BE8" i="105"/>
  <c r="BD8" i="105"/>
  <c r="BC8" i="105"/>
  <c r="BB8" i="105"/>
  <c r="BA8" i="105"/>
  <c r="AZ8" i="105"/>
  <c r="Q4" i="105"/>
  <c r="AH32" i="105" l="1"/>
  <c r="AH45" i="105"/>
  <c r="AI45" i="105" s="1"/>
  <c r="AJ45" i="105" s="1"/>
  <c r="AK45" i="105" s="1"/>
  <c r="AL45" i="105" s="1"/>
  <c r="AM45" i="105" s="1"/>
  <c r="AN45" i="105" s="1"/>
  <c r="P40" i="105"/>
  <c r="Q40" i="105" s="1"/>
  <c r="R40" i="105" s="1"/>
  <c r="S40" i="105" s="1"/>
  <c r="T40" i="105" s="1"/>
  <c r="U40" i="105" s="1"/>
  <c r="V40" i="105" s="1"/>
  <c r="AX40" i="105"/>
  <c r="AX32" i="105"/>
  <c r="P32" i="105" s="1"/>
  <c r="AX24" i="105"/>
  <c r="P24" i="105" s="1"/>
  <c r="AX16" i="105"/>
  <c r="P16" i="105" s="1"/>
  <c r="AH41" i="105"/>
  <c r="AI41" i="105" s="1"/>
  <c r="AJ41" i="105" s="1"/>
  <c r="AK41" i="105" s="1"/>
  <c r="AL41" i="105" s="1"/>
  <c r="AM41" i="105" s="1"/>
  <c r="AN41" i="105" s="1"/>
  <c r="AH33" i="105"/>
  <c r="AI33" i="105" s="1"/>
  <c r="AJ33" i="105" s="1"/>
  <c r="AK33" i="105" s="1"/>
  <c r="AL33" i="105" s="1"/>
  <c r="AM33" i="105" s="1"/>
  <c r="AN33" i="105" s="1"/>
  <c r="P41" i="105"/>
  <c r="P33" i="105"/>
  <c r="P25" i="105"/>
  <c r="Q25" i="105" s="1"/>
  <c r="R25" i="105" s="1"/>
  <c r="S25" i="105" s="1"/>
  <c r="T25" i="105" s="1"/>
  <c r="U25" i="105" s="1"/>
  <c r="V25" i="105" s="1"/>
  <c r="P17" i="105"/>
  <c r="Q17" i="105" s="1"/>
  <c r="R17" i="105" s="1"/>
  <c r="S17" i="105" s="1"/>
  <c r="T17" i="105" s="1"/>
  <c r="U17" i="105" s="1"/>
  <c r="V17" i="105" s="1"/>
  <c r="P9" i="105"/>
  <c r="Q9" i="105" s="1"/>
  <c r="R9" i="105" s="1"/>
  <c r="S9" i="105" s="1"/>
  <c r="T9" i="105" s="1"/>
  <c r="U9" i="105" s="1"/>
  <c r="V9" i="105" s="1"/>
  <c r="AX31" i="105"/>
  <c r="P31" i="105" s="1"/>
  <c r="AX23" i="105"/>
  <c r="P23" i="105" s="1"/>
  <c r="AX15" i="105"/>
  <c r="P15" i="105" s="1"/>
  <c r="P22" i="105"/>
  <c r="Q22" i="105" s="1"/>
  <c r="R22" i="105" s="1"/>
  <c r="S22" i="105" s="1"/>
  <c r="T22" i="105" s="1"/>
  <c r="U22" i="105" s="1"/>
  <c r="V22" i="105" s="1"/>
  <c r="AH44" i="105"/>
  <c r="AH15" i="105"/>
  <c r="AI15" i="105" s="1"/>
  <c r="AJ15" i="105" s="1"/>
  <c r="AK15" i="105" s="1"/>
  <c r="AL15" i="105" s="1"/>
  <c r="AM15" i="105" s="1"/>
  <c r="AN15" i="105" s="1"/>
  <c r="P42" i="105"/>
  <c r="Q42" i="105" s="1"/>
  <c r="R42" i="105" s="1"/>
  <c r="S42" i="105" s="1"/>
  <c r="T42" i="105" s="1"/>
  <c r="U42" i="105" s="1"/>
  <c r="V42" i="105" s="1"/>
  <c r="P34" i="105"/>
  <c r="Q34" i="105" s="1"/>
  <c r="R34" i="105" s="1"/>
  <c r="S34" i="105" s="1"/>
  <c r="T34" i="105" s="1"/>
  <c r="U34" i="105" s="1"/>
  <c r="V34" i="105" s="1"/>
  <c r="P26" i="105"/>
  <c r="Q26" i="105" s="1"/>
  <c r="R26" i="105" s="1"/>
  <c r="S26" i="105" s="1"/>
  <c r="T26" i="105" s="1"/>
  <c r="U26" i="105" s="1"/>
  <c r="V26" i="105" s="1"/>
  <c r="P18" i="105"/>
  <c r="Q18" i="105" s="1"/>
  <c r="R18" i="105" s="1"/>
  <c r="S18" i="105" s="1"/>
  <c r="T18" i="105" s="1"/>
  <c r="U18" i="105" s="1"/>
  <c r="V18" i="105" s="1"/>
  <c r="P10" i="105"/>
  <c r="AX8" i="105"/>
  <c r="P8" i="105" s="1"/>
  <c r="AX38" i="105"/>
  <c r="P38" i="105" s="1"/>
  <c r="AX30" i="105"/>
  <c r="P30" i="105" s="1"/>
  <c r="AX22" i="105"/>
  <c r="Y28" i="105"/>
  <c r="AH28" i="105"/>
  <c r="AI28" i="105" s="1"/>
  <c r="AJ28" i="105" s="1"/>
  <c r="AK28" i="105" s="1"/>
  <c r="AL28" i="105" s="1"/>
  <c r="AM28" i="105" s="1"/>
  <c r="AN28" i="105" s="1"/>
  <c r="P14" i="105"/>
  <c r="AH13" i="105"/>
  <c r="AI13" i="105" s="1"/>
  <c r="AJ13" i="105" s="1"/>
  <c r="AK13" i="105" s="1"/>
  <c r="AL13" i="105" s="1"/>
  <c r="AM13" i="105" s="1"/>
  <c r="AN13" i="105" s="1"/>
  <c r="P39" i="105"/>
  <c r="Q39" i="105" s="1"/>
  <c r="R39" i="105" s="1"/>
  <c r="S39" i="105" s="1"/>
  <c r="T39" i="105" s="1"/>
  <c r="U39" i="105" s="1"/>
  <c r="V39" i="105" s="1"/>
  <c r="AH14" i="105"/>
  <c r="AH34" i="105"/>
  <c r="AI34" i="105" s="1"/>
  <c r="AJ34" i="105" s="1"/>
  <c r="AK34" i="105" s="1"/>
  <c r="AL34" i="105" s="1"/>
  <c r="AM34" i="105" s="1"/>
  <c r="AN34" i="105" s="1"/>
  <c r="AH8" i="105"/>
  <c r="AI8" i="105" s="1"/>
  <c r="AJ8" i="105" s="1"/>
  <c r="AK8" i="105" s="1"/>
  <c r="AL8" i="105" s="1"/>
  <c r="AM8" i="105" s="1"/>
  <c r="AN8" i="105" s="1"/>
  <c r="AH16" i="105"/>
  <c r="AI16" i="105" s="1"/>
  <c r="AJ16" i="105" s="1"/>
  <c r="AK16" i="105" s="1"/>
  <c r="AL16" i="105" s="1"/>
  <c r="AM16" i="105" s="1"/>
  <c r="AN16" i="105" s="1"/>
  <c r="AH9" i="105"/>
  <c r="AI9" i="105" s="1"/>
  <c r="AJ9" i="105" s="1"/>
  <c r="AK9" i="105" s="1"/>
  <c r="AL9" i="105" s="1"/>
  <c r="AM9" i="105" s="1"/>
  <c r="AN9" i="105" s="1"/>
  <c r="P43" i="105"/>
  <c r="Q43" i="105" s="1"/>
  <c r="R43" i="105" s="1"/>
  <c r="S43" i="105" s="1"/>
  <c r="T43" i="105" s="1"/>
  <c r="U43" i="105" s="1"/>
  <c r="V43" i="105" s="1"/>
  <c r="P35" i="105"/>
  <c r="Q35" i="105" s="1"/>
  <c r="R35" i="105" s="1"/>
  <c r="S35" i="105" s="1"/>
  <c r="T35" i="105" s="1"/>
  <c r="U35" i="105" s="1"/>
  <c r="V35" i="105" s="1"/>
  <c r="P19" i="105"/>
  <c r="P11" i="105"/>
  <c r="AH12" i="105"/>
  <c r="AH35" i="105"/>
  <c r="AI35" i="105" s="1"/>
  <c r="AJ35" i="105" s="1"/>
  <c r="AK35" i="105" s="1"/>
  <c r="AL35" i="105" s="1"/>
  <c r="AM35" i="105" s="1"/>
  <c r="AN35" i="105" s="1"/>
  <c r="AH17" i="105"/>
  <c r="AI17" i="105" s="1"/>
  <c r="AJ17" i="105" s="1"/>
  <c r="AK17" i="105" s="1"/>
  <c r="AL17" i="105" s="1"/>
  <c r="AM17" i="105" s="1"/>
  <c r="AN17" i="105" s="1"/>
  <c r="AH18" i="105"/>
  <c r="AH36" i="105"/>
  <c r="AH19" i="105"/>
  <c r="AI19" i="105" s="1"/>
  <c r="AJ19" i="105" s="1"/>
  <c r="AK19" i="105" s="1"/>
  <c r="AL19" i="105" s="1"/>
  <c r="AM19" i="105" s="1"/>
  <c r="AN19" i="105" s="1"/>
  <c r="Y20" i="105"/>
  <c r="AH20" i="105"/>
  <c r="AI20" i="105" s="1"/>
  <c r="AJ20" i="105" s="1"/>
  <c r="AK20" i="105" s="1"/>
  <c r="AL20" i="105" s="1"/>
  <c r="AM20" i="105" s="1"/>
  <c r="AN20" i="105" s="1"/>
  <c r="AH21" i="105"/>
  <c r="AI21" i="105" s="1"/>
  <c r="AJ21" i="105" s="1"/>
  <c r="AK21" i="105" s="1"/>
  <c r="AL21" i="105" s="1"/>
  <c r="AM21" i="105" s="1"/>
  <c r="AN21" i="105" s="1"/>
  <c r="AH37" i="105"/>
  <c r="AI37" i="105" s="1"/>
  <c r="AJ37" i="105" s="1"/>
  <c r="AK37" i="105" s="1"/>
  <c r="AL37" i="105" s="1"/>
  <c r="AM37" i="105" s="1"/>
  <c r="AN37" i="105" s="1"/>
  <c r="AH38" i="105"/>
  <c r="AI38" i="105" s="1"/>
  <c r="AJ38" i="105" s="1"/>
  <c r="AK38" i="105" s="1"/>
  <c r="AL38" i="105" s="1"/>
  <c r="AM38" i="105" s="1"/>
  <c r="AN38" i="105" s="1"/>
  <c r="AH39" i="105"/>
  <c r="AI39" i="105" s="1"/>
  <c r="AJ39" i="105" s="1"/>
  <c r="AK39" i="105" s="1"/>
  <c r="AL39" i="105" s="1"/>
  <c r="AM39" i="105" s="1"/>
  <c r="AN39" i="105" s="1"/>
  <c r="P28" i="105"/>
  <c r="Q28" i="105" s="1"/>
  <c r="R28" i="105" s="1"/>
  <c r="S28" i="105" s="1"/>
  <c r="T28" i="105" s="1"/>
  <c r="U28" i="105" s="1"/>
  <c r="V28" i="105" s="1"/>
  <c r="P20" i="105"/>
  <c r="Q20" i="105" s="1"/>
  <c r="R20" i="105" s="1"/>
  <c r="S20" i="105" s="1"/>
  <c r="T20" i="105" s="1"/>
  <c r="U20" i="105" s="1"/>
  <c r="V20" i="105" s="1"/>
  <c r="P12" i="105"/>
  <c r="Q12" i="105" s="1"/>
  <c r="R12" i="105" s="1"/>
  <c r="S12" i="105" s="1"/>
  <c r="T12" i="105" s="1"/>
  <c r="U12" i="105" s="1"/>
  <c r="V12" i="105" s="1"/>
  <c r="AX44" i="105"/>
  <c r="P44" i="105" s="1"/>
  <c r="AX36" i="105"/>
  <c r="P36" i="105" s="1"/>
  <c r="AX28" i="105"/>
  <c r="AX20" i="105"/>
  <c r="AX12" i="105"/>
  <c r="AH10" i="105"/>
  <c r="AH22" i="105"/>
  <c r="AH23" i="105"/>
  <c r="AI23" i="105" s="1"/>
  <c r="AJ23" i="105" s="1"/>
  <c r="AK23" i="105" s="1"/>
  <c r="AL23" i="105" s="1"/>
  <c r="AM23" i="105" s="1"/>
  <c r="AN23" i="105" s="1"/>
  <c r="Y24" i="105"/>
  <c r="AH24" i="105"/>
  <c r="AI24" i="105" s="1"/>
  <c r="AJ24" i="105" s="1"/>
  <c r="AK24" i="105" s="1"/>
  <c r="AL24" i="105" s="1"/>
  <c r="AM24" i="105" s="1"/>
  <c r="AN24" i="105" s="1"/>
  <c r="AH25" i="105"/>
  <c r="AI25" i="105" s="1"/>
  <c r="AJ25" i="105" s="1"/>
  <c r="AK25" i="105" s="1"/>
  <c r="AL25" i="105" s="1"/>
  <c r="AM25" i="105" s="1"/>
  <c r="AN25" i="105" s="1"/>
  <c r="Y26" i="105"/>
  <c r="AH40" i="105"/>
  <c r="P45" i="105"/>
  <c r="P37" i="105"/>
  <c r="P29" i="105"/>
  <c r="Q29" i="105" s="1"/>
  <c r="R29" i="105" s="1"/>
  <c r="S29" i="105" s="1"/>
  <c r="T29" i="105" s="1"/>
  <c r="U29" i="105" s="1"/>
  <c r="V29" i="105" s="1"/>
  <c r="P21" i="105"/>
  <c r="Q21" i="105" s="1"/>
  <c r="R21" i="105" s="1"/>
  <c r="S21" i="105" s="1"/>
  <c r="T21" i="105" s="1"/>
  <c r="U21" i="105" s="1"/>
  <c r="V21" i="105" s="1"/>
  <c r="P13" i="105"/>
  <c r="Q13" i="105" s="1"/>
  <c r="R13" i="105" s="1"/>
  <c r="S13" i="105" s="1"/>
  <c r="T13" i="105" s="1"/>
  <c r="U13" i="105" s="1"/>
  <c r="V13" i="105" s="1"/>
  <c r="AX43" i="105"/>
  <c r="AX35" i="105"/>
  <c r="AX27" i="105"/>
  <c r="P27" i="105" s="1"/>
  <c r="AI9" i="35"/>
  <c r="AJ9" i="35" s="1"/>
  <c r="AK9" i="35" s="1"/>
  <c r="AL9" i="35" s="1"/>
  <c r="AM9" i="35" s="1"/>
  <c r="AN9" i="35" s="1"/>
  <c r="G26" i="105"/>
  <c r="Y9" i="105"/>
  <c r="Y8" i="105"/>
  <c r="Y11" i="105"/>
  <c r="G9" i="105"/>
  <c r="G25" i="105"/>
  <c r="Y25" i="105"/>
  <c r="Y45" i="105"/>
  <c r="R4" i="105"/>
  <c r="G12" i="105"/>
  <c r="G13" i="105"/>
  <c r="Y13" i="105"/>
  <c r="Z20" i="105"/>
  <c r="Z8" i="105"/>
  <c r="G20" i="105"/>
  <c r="G21" i="105"/>
  <c r="Z9" i="105"/>
  <c r="Z16" i="105"/>
  <c r="Z19" i="105"/>
  <c r="Z26" i="105"/>
  <c r="Z41" i="105"/>
  <c r="Z11" i="105"/>
  <c r="G17" i="105"/>
  <c r="H28" i="105"/>
  <c r="H26" i="105"/>
  <c r="Z42" i="105"/>
  <c r="Z30" i="105"/>
  <c r="Z27" i="105"/>
  <c r="Z45" i="105"/>
  <c r="Z28" i="105"/>
  <c r="H18" i="105"/>
  <c r="H25" i="105"/>
  <c r="Z25" i="105"/>
  <c r="Z13" i="105"/>
  <c r="H20" i="105"/>
  <c r="H12" i="105"/>
  <c r="Z15" i="105"/>
  <c r="G18" i="105"/>
  <c r="Y29" i="105"/>
  <c r="Y31" i="105"/>
  <c r="G34" i="105"/>
  <c r="Y34" i="105"/>
  <c r="Y43" i="105"/>
  <c r="Y30" i="105"/>
  <c r="Y39" i="105"/>
  <c r="G42" i="105"/>
  <c r="Y42" i="105"/>
  <c r="Y27" i="105"/>
  <c r="Y35" i="105"/>
  <c r="Q23" i="105" l="1"/>
  <c r="G23" i="105"/>
  <c r="Q24" i="105"/>
  <c r="G24" i="105"/>
  <c r="Q36" i="105"/>
  <c r="R36" i="105" s="1"/>
  <c r="S36" i="105" s="1"/>
  <c r="T36" i="105" s="1"/>
  <c r="U36" i="105" s="1"/>
  <c r="V36" i="105" s="1"/>
  <c r="G36" i="105"/>
  <c r="Q30" i="105"/>
  <c r="R30" i="105" s="1"/>
  <c r="S30" i="105" s="1"/>
  <c r="T30" i="105" s="1"/>
  <c r="U30" i="105" s="1"/>
  <c r="V30" i="105" s="1"/>
  <c r="G30" i="105"/>
  <c r="Q15" i="105"/>
  <c r="G15" i="105"/>
  <c r="Q27" i="105"/>
  <c r="R27" i="105" s="1"/>
  <c r="S27" i="105" s="1"/>
  <c r="T27" i="105" s="1"/>
  <c r="U27" i="105" s="1"/>
  <c r="V27" i="105" s="1"/>
  <c r="G27" i="105"/>
  <c r="Q16" i="105"/>
  <c r="G16" i="105"/>
  <c r="Q44" i="105"/>
  <c r="G44" i="105"/>
  <c r="Q38" i="105"/>
  <c r="R38" i="105" s="1"/>
  <c r="S38" i="105" s="1"/>
  <c r="T38" i="105" s="1"/>
  <c r="U38" i="105" s="1"/>
  <c r="V38" i="105" s="1"/>
  <c r="G38" i="105"/>
  <c r="Q31" i="105"/>
  <c r="R31" i="105" s="1"/>
  <c r="S31" i="105" s="1"/>
  <c r="T31" i="105" s="1"/>
  <c r="U31" i="105" s="1"/>
  <c r="V31" i="105" s="1"/>
  <c r="G31" i="105"/>
  <c r="Q32" i="105"/>
  <c r="G32" i="105"/>
  <c r="Q8" i="105"/>
  <c r="R8" i="105" s="1"/>
  <c r="S8" i="105" s="1"/>
  <c r="T8" i="105" s="1"/>
  <c r="U8" i="105" s="1"/>
  <c r="V8" i="105" s="1"/>
  <c r="G8" i="105"/>
  <c r="Z38" i="105"/>
  <c r="H21" i="105"/>
  <c r="Q37" i="105"/>
  <c r="G37" i="105"/>
  <c r="Y23" i="105"/>
  <c r="Y37" i="105"/>
  <c r="Q14" i="105"/>
  <c r="G14" i="105"/>
  <c r="Q41" i="105"/>
  <c r="G41" i="105"/>
  <c r="G35" i="105"/>
  <c r="Q45" i="105"/>
  <c r="G45" i="105"/>
  <c r="AI22" i="105"/>
  <c r="Y22" i="105"/>
  <c r="Y33" i="105"/>
  <c r="AI32" i="105"/>
  <c r="Y32" i="105"/>
  <c r="Y38" i="105"/>
  <c r="H35" i="105"/>
  <c r="AI40" i="105"/>
  <c r="Y40" i="105"/>
  <c r="AI10" i="105"/>
  <c r="Y10" i="105"/>
  <c r="AI12" i="105"/>
  <c r="Y12" i="105"/>
  <c r="Y16" i="105"/>
  <c r="Z24" i="105"/>
  <c r="AI36" i="105"/>
  <c r="Y36" i="105"/>
  <c r="Q10" i="105"/>
  <c r="G10" i="105"/>
  <c r="H22" i="105"/>
  <c r="G29" i="105"/>
  <c r="Q11" i="105"/>
  <c r="G11" i="105"/>
  <c r="Q33" i="105"/>
  <c r="G33" i="105"/>
  <c r="AI18" i="105"/>
  <c r="Y18" i="105"/>
  <c r="H29" i="105"/>
  <c r="Z23" i="105"/>
  <c r="Q19" i="105"/>
  <c r="G19" i="105"/>
  <c r="AI44" i="105"/>
  <c r="Y44" i="105"/>
  <c r="G43" i="105"/>
  <c r="H40" i="105"/>
  <c r="G22" i="105"/>
  <c r="G40" i="105"/>
  <c r="G39" i="105"/>
  <c r="Y17" i="105"/>
  <c r="Y21" i="105"/>
  <c r="G28" i="105"/>
  <c r="Y19" i="105"/>
  <c r="AI14" i="105"/>
  <c r="Y14" i="105"/>
  <c r="Y15" i="105"/>
  <c r="Y41" i="105"/>
  <c r="H17" i="105"/>
  <c r="H38" i="105"/>
  <c r="H36" i="105"/>
  <c r="H39" i="105"/>
  <c r="Z17" i="105"/>
  <c r="Z29" i="105"/>
  <c r="Z34" i="105"/>
  <c r="Z31" i="105"/>
  <c r="H43" i="105"/>
  <c r="H9" i="105"/>
  <c r="AA28" i="105"/>
  <c r="I43" i="105"/>
  <c r="I39" i="105"/>
  <c r="I35" i="105"/>
  <c r="I31" i="105"/>
  <c r="AA43" i="105"/>
  <c r="AA39" i="105"/>
  <c r="AA35" i="105"/>
  <c r="AA31" i="105"/>
  <c r="AA27" i="105"/>
  <c r="I42" i="105"/>
  <c r="I38" i="105"/>
  <c r="I34" i="105"/>
  <c r="I30" i="105"/>
  <c r="AA42" i="105"/>
  <c r="AA38" i="105"/>
  <c r="AA34" i="105"/>
  <c r="AA30" i="105"/>
  <c r="AA26" i="105"/>
  <c r="AA45" i="105"/>
  <c r="AA41" i="105"/>
  <c r="AA37" i="105"/>
  <c r="AA33" i="105"/>
  <c r="AA29" i="105"/>
  <c r="AA23" i="105"/>
  <c r="AA19" i="105"/>
  <c r="AA15" i="105"/>
  <c r="I40" i="105"/>
  <c r="I29" i="105"/>
  <c r="I27" i="105"/>
  <c r="I26" i="105"/>
  <c r="AA25" i="105"/>
  <c r="AA21" i="105"/>
  <c r="AA17" i="105"/>
  <c r="AA13" i="105"/>
  <c r="I20" i="105"/>
  <c r="I12" i="105"/>
  <c r="I28" i="105"/>
  <c r="AA24" i="105"/>
  <c r="AA20" i="105"/>
  <c r="AA16" i="105"/>
  <c r="AA11" i="105"/>
  <c r="I9" i="105"/>
  <c r="I13" i="105"/>
  <c r="I25" i="105"/>
  <c r="I22" i="105"/>
  <c r="AA9" i="105"/>
  <c r="I36" i="105"/>
  <c r="I17" i="105"/>
  <c r="AA8" i="105"/>
  <c r="S4" i="105"/>
  <c r="I21" i="105"/>
  <c r="I18" i="105"/>
  <c r="Z35" i="105"/>
  <c r="Z39" i="105"/>
  <c r="H42" i="105"/>
  <c r="Z37" i="105"/>
  <c r="Z43" i="105"/>
  <c r="Z21" i="105"/>
  <c r="H13" i="105"/>
  <c r="H27" i="105"/>
  <c r="Z33" i="105"/>
  <c r="H34" i="105"/>
  <c r="H31" i="105"/>
  <c r="AJ18" i="105" l="1"/>
  <c r="Z18" i="105"/>
  <c r="R44" i="105"/>
  <c r="H44" i="105"/>
  <c r="R33" i="105"/>
  <c r="H33" i="105"/>
  <c r="AJ36" i="105"/>
  <c r="Z36" i="105"/>
  <c r="AJ40" i="105"/>
  <c r="Z40" i="105"/>
  <c r="R32" i="105"/>
  <c r="H32" i="105"/>
  <c r="R16" i="105"/>
  <c r="H16" i="105"/>
  <c r="AJ44" i="105"/>
  <c r="Z44" i="105"/>
  <c r="R45" i="105"/>
  <c r="H45" i="105"/>
  <c r="AJ14" i="105"/>
  <c r="Z14" i="105"/>
  <c r="AJ10" i="105"/>
  <c r="Z10" i="105"/>
  <c r="R11" i="105"/>
  <c r="H11" i="105"/>
  <c r="R37" i="105"/>
  <c r="S37" i="105" s="1"/>
  <c r="T37" i="105" s="1"/>
  <c r="U37" i="105" s="1"/>
  <c r="V37" i="105" s="1"/>
  <c r="H37" i="105"/>
  <c r="R24" i="105"/>
  <c r="H24" i="105"/>
  <c r="R19" i="105"/>
  <c r="H19" i="105"/>
  <c r="R10" i="105"/>
  <c r="H10" i="105"/>
  <c r="R14" i="105"/>
  <c r="H14" i="105"/>
  <c r="H8" i="105"/>
  <c r="AJ22" i="105"/>
  <c r="Z22" i="105"/>
  <c r="H30" i="105"/>
  <c r="I8" i="105"/>
  <c r="AJ12" i="105"/>
  <c r="Z12" i="105"/>
  <c r="AJ32" i="105"/>
  <c r="Z32" i="105"/>
  <c r="R41" i="105"/>
  <c r="H41" i="105"/>
  <c r="R15" i="105"/>
  <c r="H15" i="105"/>
  <c r="R23" i="105"/>
  <c r="H23" i="105"/>
  <c r="J43" i="105"/>
  <c r="J39" i="105"/>
  <c r="J35" i="105"/>
  <c r="J31" i="105"/>
  <c r="J27" i="105"/>
  <c r="AB43" i="105"/>
  <c r="AB39" i="105"/>
  <c r="AB35" i="105"/>
  <c r="AB31" i="105"/>
  <c r="J42" i="105"/>
  <c r="J38" i="105"/>
  <c r="J34" i="105"/>
  <c r="J30" i="105"/>
  <c r="AB42" i="105"/>
  <c r="AB38" i="105"/>
  <c r="AB34" i="105"/>
  <c r="AB30" i="105"/>
  <c r="J37" i="105"/>
  <c r="J29" i="105"/>
  <c r="AB45" i="105"/>
  <c r="AB41" i="105"/>
  <c r="AB37" i="105"/>
  <c r="AB33" i="105"/>
  <c r="J40" i="105"/>
  <c r="J36" i="105"/>
  <c r="J28" i="105"/>
  <c r="AB28" i="105"/>
  <c r="J22" i="105"/>
  <c r="J18" i="105"/>
  <c r="J26" i="105"/>
  <c r="J25" i="105"/>
  <c r="J21" i="105"/>
  <c r="J17" i="105"/>
  <c r="AB29" i="105"/>
  <c r="J20" i="105"/>
  <c r="J12" i="105"/>
  <c r="AB24" i="105"/>
  <c r="AB20" i="105"/>
  <c r="AB16" i="105"/>
  <c r="AB26" i="105"/>
  <c r="J13" i="105"/>
  <c r="AB11" i="105"/>
  <c r="J9" i="105"/>
  <c r="AB9" i="105"/>
  <c r="AB21" i="105"/>
  <c r="AB19" i="105"/>
  <c r="J8" i="105"/>
  <c r="AB8" i="105"/>
  <c r="T4" i="105"/>
  <c r="AB25" i="105"/>
  <c r="AB23" i="105"/>
  <c r="AB15" i="105"/>
  <c r="AB27" i="105"/>
  <c r="AB17" i="105"/>
  <c r="AB13" i="105"/>
  <c r="S10" i="105" l="1"/>
  <c r="I10" i="105"/>
  <c r="S11" i="105"/>
  <c r="I11" i="105"/>
  <c r="AK44" i="105"/>
  <c r="AA44" i="105"/>
  <c r="AK36" i="105"/>
  <c r="AA36" i="105"/>
  <c r="AK12" i="105"/>
  <c r="AA12" i="105"/>
  <c r="S15" i="105"/>
  <c r="I15" i="105"/>
  <c r="S19" i="105"/>
  <c r="I19" i="105"/>
  <c r="AK10" i="105"/>
  <c r="AA10" i="105"/>
  <c r="S16" i="105"/>
  <c r="I16" i="105"/>
  <c r="S33" i="105"/>
  <c r="I33" i="105"/>
  <c r="S23" i="105"/>
  <c r="I23" i="105"/>
  <c r="S41" i="105"/>
  <c r="I41" i="105"/>
  <c r="AK22" i="105"/>
  <c r="AA22" i="105"/>
  <c r="S24" i="105"/>
  <c r="I24" i="105"/>
  <c r="AK14" i="105"/>
  <c r="AA14" i="105"/>
  <c r="S32" i="105"/>
  <c r="I32" i="105"/>
  <c r="S44" i="105"/>
  <c r="I44" i="105"/>
  <c r="I37" i="105"/>
  <c r="AK32" i="105"/>
  <c r="AA32" i="105"/>
  <c r="S14" i="105"/>
  <c r="I14" i="105"/>
  <c r="S45" i="105"/>
  <c r="I45" i="105"/>
  <c r="AK40" i="105"/>
  <c r="AA40" i="105"/>
  <c r="AK18" i="105"/>
  <c r="AA18" i="105"/>
  <c r="AC43" i="105"/>
  <c r="AC39" i="105"/>
  <c r="AC35" i="105"/>
  <c r="AC31" i="105"/>
  <c r="AC27" i="105"/>
  <c r="K42" i="105"/>
  <c r="K38" i="105"/>
  <c r="K34" i="105"/>
  <c r="K30" i="105"/>
  <c r="AC42" i="105"/>
  <c r="AC38" i="105"/>
  <c r="AC34" i="105"/>
  <c r="AC30" i="105"/>
  <c r="K37" i="105"/>
  <c r="K29" i="105"/>
  <c r="AC45" i="105"/>
  <c r="AC41" i="105"/>
  <c r="AC37" i="105"/>
  <c r="AC33" i="105"/>
  <c r="AC29" i="105"/>
  <c r="K40" i="105"/>
  <c r="K36" i="105"/>
  <c r="AC28" i="105"/>
  <c r="K43" i="105"/>
  <c r="K27" i="105"/>
  <c r="K26" i="105"/>
  <c r="K31" i="105"/>
  <c r="AC25" i="105"/>
  <c r="AC21" i="105"/>
  <c r="AC17" i="105"/>
  <c r="K35" i="105"/>
  <c r="AC24" i="105"/>
  <c r="AC20" i="105"/>
  <c r="AC16" i="105"/>
  <c r="K28" i="105"/>
  <c r="AC26" i="105"/>
  <c r="K39" i="105"/>
  <c r="AC23" i="105"/>
  <c r="AC19" i="105"/>
  <c r="AC15" i="105"/>
  <c r="AC11" i="105"/>
  <c r="AC9" i="105"/>
  <c r="K8" i="105"/>
  <c r="K25" i="105"/>
  <c r="K22" i="105"/>
  <c r="AC8" i="105"/>
  <c r="K13" i="105"/>
  <c r="K20" i="105"/>
  <c r="K17" i="105"/>
  <c r="U4" i="105"/>
  <c r="K12" i="105"/>
  <c r="K9" i="105"/>
  <c r="K21" i="105"/>
  <c r="K18" i="105"/>
  <c r="AC13" i="105"/>
  <c r="T41" i="105" l="1"/>
  <c r="J41" i="105"/>
  <c r="AL10" i="105"/>
  <c r="AB10" i="105"/>
  <c r="AL36" i="105"/>
  <c r="AB36" i="105"/>
  <c r="T45" i="105"/>
  <c r="J45" i="105"/>
  <c r="T14" i="105"/>
  <c r="J14" i="105"/>
  <c r="AL14" i="105"/>
  <c r="AB14" i="105"/>
  <c r="T23" i="105"/>
  <c r="J23" i="105"/>
  <c r="T19" i="105"/>
  <c r="J19" i="105"/>
  <c r="AL44" i="105"/>
  <c r="AB44" i="105"/>
  <c r="AL18" i="105"/>
  <c r="AB18" i="105"/>
  <c r="AL32" i="105"/>
  <c r="AB32" i="105"/>
  <c r="T32" i="105"/>
  <c r="J32" i="105"/>
  <c r="T24" i="105"/>
  <c r="J24" i="105"/>
  <c r="T33" i="105"/>
  <c r="J33" i="105"/>
  <c r="T15" i="105"/>
  <c r="J15" i="105"/>
  <c r="T11" i="105"/>
  <c r="J11" i="105"/>
  <c r="AL40" i="105"/>
  <c r="AB40" i="105"/>
  <c r="T44" i="105"/>
  <c r="J44" i="105"/>
  <c r="AL22" i="105"/>
  <c r="AB22" i="105"/>
  <c r="T16" i="105"/>
  <c r="J16" i="105"/>
  <c r="AL12" i="105"/>
  <c r="AB12" i="105"/>
  <c r="T10" i="105"/>
  <c r="J10" i="105"/>
  <c r="L42" i="105"/>
  <c r="L38" i="105"/>
  <c r="L34" i="105"/>
  <c r="L30" i="105"/>
  <c r="L26" i="105"/>
  <c r="AD42" i="105"/>
  <c r="AD38" i="105"/>
  <c r="AD34" i="105"/>
  <c r="AD30" i="105"/>
  <c r="L37" i="105"/>
  <c r="L29" i="105"/>
  <c r="AD45" i="105"/>
  <c r="AD41" i="105"/>
  <c r="AD37" i="105"/>
  <c r="AD33" i="105"/>
  <c r="AD29" i="105"/>
  <c r="L40" i="105"/>
  <c r="L36" i="105"/>
  <c r="L28" i="105"/>
  <c r="L43" i="105"/>
  <c r="L39" i="105"/>
  <c r="L35" i="105"/>
  <c r="L31" i="105"/>
  <c r="AD31" i="105"/>
  <c r="L25" i="105"/>
  <c r="L21" i="105"/>
  <c r="L17" i="105"/>
  <c r="AD35" i="105"/>
  <c r="L20" i="105"/>
  <c r="AD39" i="105"/>
  <c r="AD26" i="105"/>
  <c r="AD23" i="105"/>
  <c r="AD19" i="105"/>
  <c r="AD15" i="105"/>
  <c r="AD11" i="105"/>
  <c r="AD43" i="105"/>
  <c r="AD27" i="105"/>
  <c r="L22" i="105"/>
  <c r="L18" i="105"/>
  <c r="AD24" i="105"/>
  <c r="AD21" i="105"/>
  <c r="L8" i="105"/>
  <c r="AD8" i="105"/>
  <c r="AD28" i="105"/>
  <c r="AD16" i="105"/>
  <c r="V4" i="105"/>
  <c r="AD25" i="105"/>
  <c r="L12" i="105"/>
  <c r="AD17" i="105"/>
  <c r="AD13" i="105"/>
  <c r="AD20" i="105"/>
  <c r="AD9" i="105"/>
  <c r="L13" i="105"/>
  <c r="L9" i="105"/>
  <c r="L27" i="105"/>
  <c r="U16" i="105" l="1"/>
  <c r="K16" i="105"/>
  <c r="U11" i="105"/>
  <c r="K11" i="105"/>
  <c r="U32" i="105"/>
  <c r="K32" i="105"/>
  <c r="U19" i="105"/>
  <c r="K19" i="105"/>
  <c r="U45" i="105"/>
  <c r="K45" i="105"/>
  <c r="AM22" i="105"/>
  <c r="AC22" i="105"/>
  <c r="AM32" i="105"/>
  <c r="AC32" i="105"/>
  <c r="U23" i="105"/>
  <c r="K23" i="105"/>
  <c r="AM36" i="105"/>
  <c r="AC36" i="105"/>
  <c r="U15" i="105"/>
  <c r="K15" i="105"/>
  <c r="U10" i="105"/>
  <c r="K10" i="105"/>
  <c r="U44" i="105"/>
  <c r="K44" i="105"/>
  <c r="U33" i="105"/>
  <c r="K33" i="105"/>
  <c r="AM18" i="105"/>
  <c r="AC18" i="105"/>
  <c r="AM14" i="105"/>
  <c r="AC14" i="105"/>
  <c r="AM10" i="105"/>
  <c r="AC10" i="105"/>
  <c r="AM12" i="105"/>
  <c r="AC12" i="105"/>
  <c r="AM40" i="105"/>
  <c r="AC40" i="105"/>
  <c r="U24" i="105"/>
  <c r="K24" i="105"/>
  <c r="AM44" i="105"/>
  <c r="AC44" i="105"/>
  <c r="U14" i="105"/>
  <c r="K14" i="105"/>
  <c r="U41" i="105"/>
  <c r="K41" i="105"/>
  <c r="AE42" i="105"/>
  <c r="AE38" i="105"/>
  <c r="AE34" i="105"/>
  <c r="AE30" i="105"/>
  <c r="AE26" i="105"/>
  <c r="M37" i="105"/>
  <c r="AE45" i="105"/>
  <c r="AE41" i="105"/>
  <c r="AE37" i="105"/>
  <c r="AE33" i="105"/>
  <c r="AE29" i="105"/>
  <c r="M40" i="105"/>
  <c r="M36" i="105"/>
  <c r="M28" i="105"/>
  <c r="AE28" i="105"/>
  <c r="M43" i="105"/>
  <c r="M39" i="105"/>
  <c r="M35" i="105"/>
  <c r="M31" i="105"/>
  <c r="AE43" i="105"/>
  <c r="AE39" i="105"/>
  <c r="AE35" i="105"/>
  <c r="AE31" i="105"/>
  <c r="M34" i="105"/>
  <c r="M29" i="105"/>
  <c r="AE25" i="105"/>
  <c r="AE21" i="105"/>
  <c r="AE17" i="105"/>
  <c r="M38" i="105"/>
  <c r="AE24" i="105"/>
  <c r="AE20" i="105"/>
  <c r="AE16" i="105"/>
  <c r="M42" i="105"/>
  <c r="AE23" i="105"/>
  <c r="AE19" i="105"/>
  <c r="AE15" i="105"/>
  <c r="AE11" i="105"/>
  <c r="AE27" i="105"/>
  <c r="M22" i="105"/>
  <c r="M18" i="105"/>
  <c r="M30" i="105"/>
  <c r="M27" i="105"/>
  <c r="M25" i="105"/>
  <c r="AE8" i="105"/>
  <c r="W4" i="105"/>
  <c r="M20" i="105"/>
  <c r="M17" i="105"/>
  <c r="M12" i="105"/>
  <c r="M9" i="105"/>
  <c r="AE13" i="105"/>
  <c r="M13" i="105"/>
  <c r="M26" i="105"/>
  <c r="M21" i="105"/>
  <c r="AE9" i="105"/>
  <c r="M8" i="105"/>
  <c r="AN44" i="105" l="1"/>
  <c r="AE44" i="105" s="1"/>
  <c r="AD44" i="105"/>
  <c r="AN10" i="105"/>
  <c r="AE10" i="105" s="1"/>
  <c r="AD10" i="105"/>
  <c r="V44" i="105"/>
  <c r="M44" i="105" s="1"/>
  <c r="L44" i="105"/>
  <c r="V23" i="105"/>
  <c r="M23" i="105" s="1"/>
  <c r="L23" i="105"/>
  <c r="V19" i="105"/>
  <c r="M19" i="105" s="1"/>
  <c r="L19" i="105"/>
  <c r="V24" i="105"/>
  <c r="M24" i="105" s="1"/>
  <c r="L24" i="105"/>
  <c r="AN14" i="105"/>
  <c r="AE14" i="105" s="1"/>
  <c r="AD14" i="105"/>
  <c r="V10" i="105"/>
  <c r="M10" i="105" s="1"/>
  <c r="L10" i="105"/>
  <c r="AN32" i="105"/>
  <c r="AE32" i="105" s="1"/>
  <c r="AD32" i="105"/>
  <c r="V32" i="105"/>
  <c r="M32" i="105" s="1"/>
  <c r="L32" i="105"/>
  <c r="V41" i="105"/>
  <c r="M41" i="105" s="1"/>
  <c r="L41" i="105"/>
  <c r="AN40" i="105"/>
  <c r="AE40" i="105" s="1"/>
  <c r="AD40" i="105"/>
  <c r="AN18" i="105"/>
  <c r="AE18" i="105" s="1"/>
  <c r="AD18" i="105"/>
  <c r="V15" i="105"/>
  <c r="M15" i="105" s="1"/>
  <c r="L15" i="105"/>
  <c r="AN22" i="105"/>
  <c r="AE22" i="105" s="1"/>
  <c r="AD22" i="105"/>
  <c r="V11" i="105"/>
  <c r="M11" i="105" s="1"/>
  <c r="L11" i="105"/>
  <c r="V14" i="105"/>
  <c r="M14" i="105" s="1"/>
  <c r="L14" i="105"/>
  <c r="AN12" i="105"/>
  <c r="AE12" i="105" s="1"/>
  <c r="AD12" i="105"/>
  <c r="V33" i="105"/>
  <c r="M33" i="105" s="1"/>
  <c r="L33" i="105"/>
  <c r="AN36" i="105"/>
  <c r="AE36" i="105" s="1"/>
  <c r="AD36" i="105"/>
  <c r="V45" i="105"/>
  <c r="M45" i="105" s="1"/>
  <c r="L45" i="105"/>
  <c r="V16" i="105"/>
  <c r="M16" i="105" s="1"/>
  <c r="L16" i="105"/>
  <c r="N45" i="105"/>
  <c r="D45" i="105" s="1"/>
  <c r="N41" i="105"/>
  <c r="D41" i="105" s="1"/>
  <c r="N37" i="105"/>
  <c r="D37" i="105" s="1"/>
  <c r="N33" i="105"/>
  <c r="D33" i="105" s="1"/>
  <c r="N29" i="105"/>
  <c r="D29" i="105" s="1"/>
  <c r="AF45" i="105"/>
  <c r="E45" i="105" s="1"/>
  <c r="AF41" i="105"/>
  <c r="E41" i="105" s="1"/>
  <c r="AF37" i="105"/>
  <c r="E37" i="105" s="1"/>
  <c r="AF33" i="105"/>
  <c r="E33" i="105" s="1"/>
  <c r="N44" i="105"/>
  <c r="D44" i="105" s="1"/>
  <c r="N40" i="105"/>
  <c r="D40" i="105" s="1"/>
  <c r="N36" i="105"/>
  <c r="D36" i="105" s="1"/>
  <c r="N32" i="105"/>
  <c r="D32" i="105" s="1"/>
  <c r="N28" i="105"/>
  <c r="D28" i="105" s="1"/>
  <c r="AF44" i="105"/>
  <c r="E44" i="105" s="1"/>
  <c r="AF40" i="105"/>
  <c r="AF36" i="105"/>
  <c r="AF32" i="105"/>
  <c r="E32" i="105" s="1"/>
  <c r="AF28" i="105"/>
  <c r="E28" i="105" s="1"/>
  <c r="N43" i="105"/>
  <c r="D43" i="105" s="1"/>
  <c r="N39" i="105"/>
  <c r="D39" i="105" s="1"/>
  <c r="N35" i="105"/>
  <c r="D35" i="105" s="1"/>
  <c r="N31" i="105"/>
  <c r="D31" i="105" s="1"/>
  <c r="N27" i="105"/>
  <c r="D27" i="105" s="1"/>
  <c r="AF43" i="105"/>
  <c r="E43" i="105" s="1"/>
  <c r="AF39" i="105"/>
  <c r="E39" i="105" s="1"/>
  <c r="AF35" i="105"/>
  <c r="E35" i="105" s="1"/>
  <c r="AF31" i="105"/>
  <c r="E31" i="105" s="1"/>
  <c r="N42" i="105"/>
  <c r="D42" i="105" s="1"/>
  <c r="N38" i="105"/>
  <c r="D38" i="105" s="1"/>
  <c r="N34" i="105"/>
  <c r="D34" i="105" s="1"/>
  <c r="N30" i="105"/>
  <c r="D30" i="105" s="1"/>
  <c r="AF38" i="105"/>
  <c r="E38" i="105" s="1"/>
  <c r="B38" i="105" s="1"/>
  <c r="N24" i="105"/>
  <c r="D24" i="105" s="1"/>
  <c r="N20" i="105"/>
  <c r="D20" i="105" s="1"/>
  <c r="N16" i="105"/>
  <c r="D16" i="105" s="1"/>
  <c r="AF42" i="105"/>
  <c r="E42" i="105" s="1"/>
  <c r="B42" i="105" s="1"/>
  <c r="AF29" i="105"/>
  <c r="E29" i="105" s="1"/>
  <c r="N23" i="105"/>
  <c r="N19" i="105"/>
  <c r="D19" i="105" s="1"/>
  <c r="N15" i="105"/>
  <c r="D15" i="105" s="1"/>
  <c r="AF26" i="105"/>
  <c r="E26" i="105" s="1"/>
  <c r="AF30" i="105"/>
  <c r="E30" i="105" s="1"/>
  <c r="AF27" i="105"/>
  <c r="E27" i="105" s="1"/>
  <c r="N22" i="105"/>
  <c r="D22" i="105" s="1"/>
  <c r="N18" i="105"/>
  <c r="D18" i="105" s="1"/>
  <c r="N14" i="105"/>
  <c r="D14" i="105" s="1"/>
  <c r="AF22" i="105"/>
  <c r="E22" i="105" s="1"/>
  <c r="AF18" i="105"/>
  <c r="E18" i="105" s="1"/>
  <c r="B18" i="105" s="1"/>
  <c r="AF14" i="105"/>
  <c r="E14" i="105" s="1"/>
  <c r="AF10" i="105"/>
  <c r="E10" i="105" s="1"/>
  <c r="AF34" i="105"/>
  <c r="E34" i="105" s="1"/>
  <c r="N26" i="105"/>
  <c r="D26" i="105" s="1"/>
  <c r="N25" i="105"/>
  <c r="D25" i="105" s="1"/>
  <c r="N21" i="105"/>
  <c r="D21" i="105" s="1"/>
  <c r="N17" i="105"/>
  <c r="D17" i="105" s="1"/>
  <c r="N13" i="105"/>
  <c r="D13" i="105" s="1"/>
  <c r="N11" i="105"/>
  <c r="AF19" i="105"/>
  <c r="E19" i="105" s="1"/>
  <c r="AF16" i="105"/>
  <c r="E16" i="105" s="1"/>
  <c r="B16" i="105" s="1"/>
  <c r="AF12" i="105"/>
  <c r="E12" i="105" s="1"/>
  <c r="AF25" i="105"/>
  <c r="E25" i="105" s="1"/>
  <c r="N12" i="105"/>
  <c r="D12" i="105" s="1"/>
  <c r="N10" i="105"/>
  <c r="AF13" i="105"/>
  <c r="E13" i="105" s="1"/>
  <c r="N9" i="105"/>
  <c r="D9" i="105" s="1"/>
  <c r="AF23" i="105"/>
  <c r="E23" i="105" s="1"/>
  <c r="AF20" i="105"/>
  <c r="E20" i="105" s="1"/>
  <c r="B20" i="105" s="1"/>
  <c r="AF17" i="105"/>
  <c r="E17" i="105" s="1"/>
  <c r="AF8" i="105"/>
  <c r="E8" i="105" s="1"/>
  <c r="AF9" i="105"/>
  <c r="E9" i="105" s="1"/>
  <c r="AF15" i="105"/>
  <c r="E15" i="105" s="1"/>
  <c r="N8" i="105"/>
  <c r="D8" i="105" s="1"/>
  <c r="AF24" i="105"/>
  <c r="E24" i="105" s="1"/>
  <c r="B24" i="105" s="1"/>
  <c r="AF21" i="105"/>
  <c r="E21" i="105" s="1"/>
  <c r="AF11" i="105"/>
  <c r="E11" i="105" s="1"/>
  <c r="D11" i="105" l="1"/>
  <c r="B43" i="105"/>
  <c r="E36" i="105"/>
  <c r="B36" i="105" s="1"/>
  <c r="B33" i="105"/>
  <c r="D10" i="105"/>
  <c r="B10" i="105" s="1"/>
  <c r="B22" i="105"/>
  <c r="E40" i="105"/>
  <c r="B40" i="105" s="1"/>
  <c r="B37" i="105"/>
  <c r="D23" i="105"/>
  <c r="B29" i="105"/>
  <c r="B44" i="105"/>
  <c r="B41" i="105"/>
  <c r="B45" i="105"/>
  <c r="B13" i="105"/>
  <c r="B15" i="105"/>
  <c r="B9" i="105"/>
  <c r="B25" i="105"/>
  <c r="B11" i="105"/>
  <c r="B17" i="105"/>
  <c r="B12" i="105"/>
  <c r="B8" i="105"/>
  <c r="B46" i="105" s="1"/>
  <c r="B34" i="105"/>
  <c r="B27" i="105"/>
  <c r="B31" i="105"/>
  <c r="B23" i="105"/>
  <c r="B19" i="105"/>
  <c r="B30" i="105"/>
  <c r="B35" i="105"/>
  <c r="B28" i="105"/>
  <c r="B21" i="105"/>
  <c r="B14" i="105"/>
  <c r="B26" i="105"/>
  <c r="B39" i="105"/>
  <c r="B32" i="105"/>
  <c r="I49" i="104" l="1"/>
  <c r="I41" i="104"/>
  <c r="G35" i="63"/>
  <c r="G36" i="63"/>
  <c r="G37" i="63"/>
  <c r="G38" i="63"/>
  <c r="G39" i="63"/>
  <c r="G40" i="63"/>
  <c r="G41" i="63"/>
  <c r="G42" i="63"/>
  <c r="G43" i="63"/>
  <c r="G44" i="63"/>
  <c r="G45" i="63"/>
  <c r="G46" i="63"/>
  <c r="G47" i="63"/>
  <c r="G48" i="63"/>
  <c r="G49" i="63"/>
  <c r="G50" i="63"/>
  <c r="G51" i="63"/>
  <c r="G52" i="63"/>
  <c r="G53" i="63"/>
  <c r="G54" i="63"/>
  <c r="G55" i="63"/>
  <c r="G56" i="63"/>
  <c r="G57" i="63"/>
  <c r="G58" i="63"/>
  <c r="G59" i="63"/>
  <c r="G60" i="63"/>
  <c r="G61" i="63"/>
  <c r="G62" i="63"/>
  <c r="G63" i="63"/>
  <c r="G64" i="63"/>
  <c r="G65" i="63"/>
  <c r="G66" i="63"/>
  <c r="G67" i="63"/>
  <c r="G68" i="63"/>
  <c r="G69" i="63"/>
  <c r="G70" i="63"/>
  <c r="G33" i="63"/>
  <c r="G34" i="63"/>
  <c r="T6" i="101"/>
  <c r="DC30" i="103" l="1"/>
  <c r="DD30" i="103" s="1"/>
  <c r="DE30" i="103" s="1"/>
  <c r="DF30" i="103" s="1"/>
  <c r="DG30" i="103" s="1"/>
  <c r="DH30" i="103" s="1"/>
  <c r="DI30" i="103" s="1"/>
  <c r="DJ30" i="103" s="1"/>
  <c r="DK30" i="103" s="1"/>
  <c r="DL30" i="103" s="1"/>
  <c r="DM30" i="103" s="1"/>
  <c r="DN30" i="103" s="1"/>
  <c r="DO30" i="103" s="1"/>
  <c r="DP30" i="103" s="1"/>
  <c r="DQ30" i="103" s="1"/>
  <c r="DR30" i="103" s="1"/>
  <c r="DS30" i="103" s="1"/>
  <c r="DT30" i="103" s="1"/>
  <c r="DU30" i="103" s="1"/>
  <c r="DV30" i="103" s="1"/>
  <c r="DW30" i="103" s="1"/>
  <c r="DX30" i="103" s="1"/>
  <c r="DY30" i="103" s="1"/>
  <c r="DZ30" i="103" s="1"/>
  <c r="EA30" i="103" s="1"/>
  <c r="EB30" i="103" s="1"/>
  <c r="EC30" i="103" s="1"/>
  <c r="ED30" i="103" s="1"/>
  <c r="EE30" i="103" s="1"/>
  <c r="EF30" i="103" s="1"/>
  <c r="EG30" i="103" s="1"/>
  <c r="EH30" i="103" s="1"/>
  <c r="EI30" i="103" s="1"/>
  <c r="EJ30" i="103" s="1"/>
  <c r="EK30" i="103" s="1"/>
  <c r="EL30" i="103" s="1"/>
  <c r="EM30" i="103" s="1"/>
  <c r="EN30" i="103" s="1"/>
  <c r="EO30" i="103" s="1"/>
  <c r="EP30" i="103" s="1"/>
  <c r="EQ30" i="103" s="1"/>
  <c r="ER30" i="103" s="1"/>
  <c r="ES30" i="103" s="1"/>
  <c r="ET30" i="103" s="1"/>
  <c r="EU30" i="103" s="1"/>
  <c r="EV30" i="103" s="1"/>
  <c r="EW30" i="103" s="1"/>
  <c r="EX30" i="103" s="1"/>
  <c r="EY30" i="103" s="1"/>
  <c r="EZ30" i="103" s="1"/>
  <c r="FA30" i="103" s="1"/>
  <c r="FB30" i="103" s="1"/>
  <c r="FC30" i="103" s="1"/>
  <c r="FD30" i="103" s="1"/>
  <c r="FE30" i="103" s="1"/>
  <c r="FF30" i="103" s="1"/>
  <c r="FG30" i="103" s="1"/>
  <c r="FH30" i="103" s="1"/>
  <c r="FI30" i="103" s="1"/>
  <c r="FJ30" i="103" s="1"/>
  <c r="FK30" i="103" s="1"/>
  <c r="FL30" i="103" s="1"/>
  <c r="FM30" i="103" s="1"/>
  <c r="FN30" i="103" s="1"/>
  <c r="FO30" i="103" s="1"/>
  <c r="FP30" i="103" s="1"/>
  <c r="FQ30" i="103" s="1"/>
  <c r="FR30" i="103" s="1"/>
  <c r="FS30" i="103" s="1"/>
  <c r="FT30" i="103" s="1"/>
  <c r="FU30" i="103" s="1"/>
  <c r="FV30" i="103" s="1"/>
  <c r="FW30" i="103" s="1"/>
  <c r="FX30" i="103" s="1"/>
  <c r="FY30" i="103" s="1"/>
  <c r="FZ30" i="103" s="1"/>
  <c r="GA30" i="103" s="1"/>
  <c r="GB30" i="103" s="1"/>
  <c r="GC30" i="103" s="1"/>
  <c r="GD30" i="103" s="1"/>
  <c r="GE30" i="103" s="1"/>
  <c r="GF30" i="103" s="1"/>
  <c r="GG30" i="103" s="1"/>
  <c r="GH30" i="103" s="1"/>
  <c r="GI30" i="103" s="1"/>
  <c r="GJ30" i="103" s="1"/>
  <c r="GK30" i="103" s="1"/>
  <c r="GL30" i="103" s="1"/>
  <c r="GM30" i="103" s="1"/>
  <c r="GN30" i="103" s="1"/>
  <c r="GO30" i="103" s="1"/>
  <c r="GP30" i="103" s="1"/>
  <c r="GQ30" i="103" s="1"/>
  <c r="GR30" i="103" s="1"/>
  <c r="GS30" i="103" s="1"/>
  <c r="GT30" i="103" s="1"/>
  <c r="GU30" i="103" s="1"/>
  <c r="GV30" i="103" s="1"/>
  <c r="GW30" i="103" s="1"/>
  <c r="F30" i="103"/>
  <c r="G30" i="103" s="1"/>
  <c r="H30" i="103" s="1"/>
  <c r="I30" i="103" s="1"/>
  <c r="J30" i="103" s="1"/>
  <c r="K30" i="103" s="1"/>
  <c r="L30" i="103" s="1"/>
  <c r="M30" i="103" s="1"/>
  <c r="N30" i="103" s="1"/>
  <c r="O30" i="103" s="1"/>
  <c r="P30" i="103" s="1"/>
  <c r="Q30" i="103" s="1"/>
  <c r="R30" i="103" s="1"/>
  <c r="S30" i="103" s="1"/>
  <c r="T30" i="103" s="1"/>
  <c r="U30" i="103" s="1"/>
  <c r="V30" i="103" s="1"/>
  <c r="W30" i="103" s="1"/>
  <c r="X30" i="103" s="1"/>
  <c r="Y30" i="103" s="1"/>
  <c r="Z30" i="103" s="1"/>
  <c r="AA30" i="103" s="1"/>
  <c r="AB30" i="103" s="1"/>
  <c r="AC30" i="103" s="1"/>
  <c r="AD30" i="103" s="1"/>
  <c r="AE30" i="103" s="1"/>
  <c r="AF30" i="103" s="1"/>
  <c r="AG30" i="103" s="1"/>
  <c r="AH30" i="103" s="1"/>
  <c r="AI30" i="103" s="1"/>
  <c r="AJ30" i="103" s="1"/>
  <c r="AK30" i="103" s="1"/>
  <c r="AL30" i="103" s="1"/>
  <c r="AM30" i="103" s="1"/>
  <c r="AN30" i="103" s="1"/>
  <c r="AO30" i="103" s="1"/>
  <c r="AP30" i="103" s="1"/>
  <c r="AQ30" i="103" s="1"/>
  <c r="AR30" i="103" s="1"/>
  <c r="AS30" i="103" s="1"/>
  <c r="AT30" i="103" s="1"/>
  <c r="AU30" i="103" s="1"/>
  <c r="AV30" i="103" s="1"/>
  <c r="AW30" i="103" s="1"/>
  <c r="AX30" i="103" s="1"/>
  <c r="AY30" i="103" s="1"/>
  <c r="AZ30" i="103" s="1"/>
  <c r="BA30" i="103" s="1"/>
  <c r="BB30" i="103" s="1"/>
  <c r="BC30" i="103" s="1"/>
  <c r="BD30" i="103" s="1"/>
  <c r="BE30" i="103" s="1"/>
  <c r="BF30" i="103" s="1"/>
  <c r="BG30" i="103" s="1"/>
  <c r="BH30" i="103" s="1"/>
  <c r="BI30" i="103" s="1"/>
  <c r="BJ30" i="103" s="1"/>
  <c r="BK30" i="103" s="1"/>
  <c r="BL30" i="103" s="1"/>
  <c r="BM30" i="103" s="1"/>
  <c r="BN30" i="103" s="1"/>
  <c r="BO30" i="103" s="1"/>
  <c r="BP30" i="103" s="1"/>
  <c r="BQ30" i="103" s="1"/>
  <c r="BR30" i="103" s="1"/>
  <c r="BS30" i="103" s="1"/>
  <c r="BT30" i="103" s="1"/>
  <c r="BU30" i="103" s="1"/>
  <c r="BV30" i="103" s="1"/>
  <c r="BW30" i="103" s="1"/>
  <c r="BX30" i="103" s="1"/>
  <c r="BY30" i="103" s="1"/>
  <c r="BZ30" i="103" s="1"/>
  <c r="CA30" i="103" s="1"/>
  <c r="CB30" i="103" s="1"/>
  <c r="CC30" i="103" s="1"/>
  <c r="CD30" i="103" s="1"/>
  <c r="CE30" i="103" s="1"/>
  <c r="CF30" i="103" s="1"/>
  <c r="CG30" i="103" s="1"/>
  <c r="CH30" i="103" s="1"/>
  <c r="CI30" i="103" s="1"/>
  <c r="CJ30" i="103" s="1"/>
  <c r="CK30" i="103" s="1"/>
  <c r="CL30" i="103" s="1"/>
  <c r="CM30" i="103" s="1"/>
  <c r="CN30" i="103" s="1"/>
  <c r="CO30" i="103" s="1"/>
  <c r="CP30" i="103" s="1"/>
  <c r="CQ30" i="103" s="1"/>
  <c r="CR30" i="103" s="1"/>
  <c r="CS30" i="103" s="1"/>
  <c r="CT30" i="103" s="1"/>
  <c r="CU30" i="103" s="1"/>
  <c r="CV30" i="103" s="1"/>
  <c r="CW30" i="103" s="1"/>
  <c r="CX30" i="103" s="1"/>
  <c r="CY30" i="103" s="1"/>
  <c r="CZ30" i="103" s="1"/>
  <c r="DC21" i="103"/>
  <c r="DD21" i="103" s="1"/>
  <c r="DE21" i="103" s="1"/>
  <c r="DF21" i="103" s="1"/>
  <c r="DG21" i="103" s="1"/>
  <c r="DH21" i="103" s="1"/>
  <c r="DI21" i="103" s="1"/>
  <c r="DJ21" i="103" s="1"/>
  <c r="DK21" i="103" s="1"/>
  <c r="DL21" i="103" s="1"/>
  <c r="DM21" i="103" s="1"/>
  <c r="DN21" i="103" s="1"/>
  <c r="DO21" i="103" s="1"/>
  <c r="DP21" i="103" s="1"/>
  <c r="DQ21" i="103" s="1"/>
  <c r="DR21" i="103" s="1"/>
  <c r="DS21" i="103" s="1"/>
  <c r="DT21" i="103" s="1"/>
  <c r="DU21" i="103" s="1"/>
  <c r="DV21" i="103" s="1"/>
  <c r="DW21" i="103" s="1"/>
  <c r="DX21" i="103" s="1"/>
  <c r="DY21" i="103" s="1"/>
  <c r="DZ21" i="103" s="1"/>
  <c r="EA21" i="103" s="1"/>
  <c r="EB21" i="103" s="1"/>
  <c r="EC21" i="103" s="1"/>
  <c r="ED21" i="103" s="1"/>
  <c r="EE21" i="103" s="1"/>
  <c r="EF21" i="103" s="1"/>
  <c r="EG21" i="103" s="1"/>
  <c r="EH21" i="103" s="1"/>
  <c r="EI21" i="103" s="1"/>
  <c r="EJ21" i="103" s="1"/>
  <c r="EK21" i="103" s="1"/>
  <c r="EL21" i="103" s="1"/>
  <c r="EM21" i="103" s="1"/>
  <c r="EN21" i="103" s="1"/>
  <c r="EO21" i="103" s="1"/>
  <c r="EP21" i="103" s="1"/>
  <c r="EQ21" i="103" s="1"/>
  <c r="ER21" i="103" s="1"/>
  <c r="ES21" i="103" s="1"/>
  <c r="ET21" i="103" s="1"/>
  <c r="EU21" i="103" s="1"/>
  <c r="EV21" i="103" s="1"/>
  <c r="EW21" i="103" s="1"/>
  <c r="EX21" i="103" s="1"/>
  <c r="EY21" i="103" s="1"/>
  <c r="EZ21" i="103" s="1"/>
  <c r="FA21" i="103" s="1"/>
  <c r="FB21" i="103" s="1"/>
  <c r="FC21" i="103" s="1"/>
  <c r="FD21" i="103" s="1"/>
  <c r="FE21" i="103" s="1"/>
  <c r="FF21" i="103" s="1"/>
  <c r="FG21" i="103" s="1"/>
  <c r="FH21" i="103" s="1"/>
  <c r="FI21" i="103" s="1"/>
  <c r="FJ21" i="103" s="1"/>
  <c r="FK21" i="103" s="1"/>
  <c r="FL21" i="103" s="1"/>
  <c r="FM21" i="103" s="1"/>
  <c r="FN21" i="103" s="1"/>
  <c r="FO21" i="103" s="1"/>
  <c r="FP21" i="103" s="1"/>
  <c r="FQ21" i="103" s="1"/>
  <c r="FR21" i="103" s="1"/>
  <c r="FS21" i="103" s="1"/>
  <c r="FT21" i="103" s="1"/>
  <c r="FU21" i="103" s="1"/>
  <c r="FV21" i="103" s="1"/>
  <c r="FW21" i="103" s="1"/>
  <c r="FX21" i="103" s="1"/>
  <c r="FY21" i="103" s="1"/>
  <c r="FZ21" i="103" s="1"/>
  <c r="GA21" i="103" s="1"/>
  <c r="GB21" i="103" s="1"/>
  <c r="GC21" i="103" s="1"/>
  <c r="GD21" i="103" s="1"/>
  <c r="GE21" i="103" s="1"/>
  <c r="GF21" i="103" s="1"/>
  <c r="GG21" i="103" s="1"/>
  <c r="GH21" i="103" s="1"/>
  <c r="GI21" i="103" s="1"/>
  <c r="GJ21" i="103" s="1"/>
  <c r="GK21" i="103" s="1"/>
  <c r="GL21" i="103" s="1"/>
  <c r="GM21" i="103" s="1"/>
  <c r="GN21" i="103" s="1"/>
  <c r="GO21" i="103" s="1"/>
  <c r="GP21" i="103" s="1"/>
  <c r="GQ21" i="103" s="1"/>
  <c r="GR21" i="103" s="1"/>
  <c r="GS21" i="103" s="1"/>
  <c r="GT21" i="103" s="1"/>
  <c r="GU21" i="103" s="1"/>
  <c r="GV21" i="103" s="1"/>
  <c r="GW21" i="103" s="1"/>
  <c r="F21" i="103"/>
  <c r="G21" i="103" s="1"/>
  <c r="H21" i="103" s="1"/>
  <c r="I21" i="103" s="1"/>
  <c r="J21" i="103" s="1"/>
  <c r="K21" i="103" s="1"/>
  <c r="L21" i="103" s="1"/>
  <c r="M21" i="103" s="1"/>
  <c r="N21" i="103" s="1"/>
  <c r="O21" i="103" s="1"/>
  <c r="P21" i="103" s="1"/>
  <c r="Q21" i="103" s="1"/>
  <c r="R21" i="103" s="1"/>
  <c r="S21" i="103" s="1"/>
  <c r="T21" i="103" s="1"/>
  <c r="U21" i="103" s="1"/>
  <c r="V21" i="103" s="1"/>
  <c r="W21" i="103" s="1"/>
  <c r="X21" i="103" s="1"/>
  <c r="Y21" i="103" s="1"/>
  <c r="Z21" i="103" s="1"/>
  <c r="AA21" i="103" s="1"/>
  <c r="AB21" i="103" s="1"/>
  <c r="AC21" i="103" s="1"/>
  <c r="AD21" i="103" s="1"/>
  <c r="AE21" i="103" s="1"/>
  <c r="AF21" i="103" s="1"/>
  <c r="AG21" i="103" s="1"/>
  <c r="AH21" i="103" s="1"/>
  <c r="AI21" i="103" s="1"/>
  <c r="AJ21" i="103" s="1"/>
  <c r="AK21" i="103" s="1"/>
  <c r="AL21" i="103" s="1"/>
  <c r="AM21" i="103" s="1"/>
  <c r="AN21" i="103" s="1"/>
  <c r="AO21" i="103" s="1"/>
  <c r="AP21" i="103" s="1"/>
  <c r="AQ21" i="103" s="1"/>
  <c r="AR21" i="103" s="1"/>
  <c r="AS21" i="103" s="1"/>
  <c r="AT21" i="103" s="1"/>
  <c r="AU21" i="103" s="1"/>
  <c r="AV21" i="103" s="1"/>
  <c r="AW21" i="103" s="1"/>
  <c r="AX21" i="103" s="1"/>
  <c r="AY21" i="103" s="1"/>
  <c r="AZ21" i="103" s="1"/>
  <c r="BA21" i="103" s="1"/>
  <c r="BB21" i="103" s="1"/>
  <c r="BC21" i="103" s="1"/>
  <c r="BD21" i="103" s="1"/>
  <c r="BE21" i="103" s="1"/>
  <c r="BF21" i="103" s="1"/>
  <c r="BG21" i="103" s="1"/>
  <c r="BH21" i="103" s="1"/>
  <c r="BI21" i="103" s="1"/>
  <c r="BJ21" i="103" s="1"/>
  <c r="BK21" i="103" s="1"/>
  <c r="BL21" i="103" s="1"/>
  <c r="BM21" i="103" s="1"/>
  <c r="BN21" i="103" s="1"/>
  <c r="BO21" i="103" s="1"/>
  <c r="BP21" i="103" s="1"/>
  <c r="BQ21" i="103" s="1"/>
  <c r="BR21" i="103" s="1"/>
  <c r="BS21" i="103" s="1"/>
  <c r="BT21" i="103" s="1"/>
  <c r="BU21" i="103" s="1"/>
  <c r="BV21" i="103" s="1"/>
  <c r="BW21" i="103" s="1"/>
  <c r="BX21" i="103" s="1"/>
  <c r="BY21" i="103" s="1"/>
  <c r="BZ21" i="103" s="1"/>
  <c r="CA21" i="103" s="1"/>
  <c r="CB21" i="103" s="1"/>
  <c r="CC21" i="103" s="1"/>
  <c r="CD21" i="103" s="1"/>
  <c r="CE21" i="103" s="1"/>
  <c r="CF21" i="103" s="1"/>
  <c r="CG21" i="103" s="1"/>
  <c r="CH21" i="103" s="1"/>
  <c r="CI21" i="103" s="1"/>
  <c r="CJ21" i="103" s="1"/>
  <c r="CK21" i="103" s="1"/>
  <c r="CL21" i="103" s="1"/>
  <c r="CM21" i="103" s="1"/>
  <c r="CN21" i="103" s="1"/>
  <c r="CO21" i="103" s="1"/>
  <c r="CP21" i="103" s="1"/>
  <c r="CQ21" i="103" s="1"/>
  <c r="CR21" i="103" s="1"/>
  <c r="CS21" i="103" s="1"/>
  <c r="CT21" i="103" s="1"/>
  <c r="CU21" i="103" s="1"/>
  <c r="CV21" i="103" s="1"/>
  <c r="CW21" i="103" s="1"/>
  <c r="CX21" i="103" s="1"/>
  <c r="CY21" i="103" s="1"/>
  <c r="CZ21" i="103" s="1"/>
  <c r="DC11" i="103"/>
  <c r="DD11" i="103" s="1"/>
  <c r="DE11" i="103" s="1"/>
  <c r="DF11" i="103" s="1"/>
  <c r="DG11" i="103" s="1"/>
  <c r="DH11" i="103" s="1"/>
  <c r="DI11" i="103" s="1"/>
  <c r="DJ11" i="103" s="1"/>
  <c r="DK11" i="103" s="1"/>
  <c r="DL11" i="103" s="1"/>
  <c r="DM11" i="103" s="1"/>
  <c r="DN11" i="103" s="1"/>
  <c r="DO11" i="103" s="1"/>
  <c r="DP11" i="103" s="1"/>
  <c r="DQ11" i="103" s="1"/>
  <c r="DR11" i="103" s="1"/>
  <c r="DS11" i="103" s="1"/>
  <c r="DT11" i="103" s="1"/>
  <c r="DU11" i="103" s="1"/>
  <c r="DV11" i="103" s="1"/>
  <c r="DW11" i="103" s="1"/>
  <c r="DX11" i="103" s="1"/>
  <c r="DY11" i="103" s="1"/>
  <c r="DZ11" i="103" s="1"/>
  <c r="EA11" i="103" s="1"/>
  <c r="EB11" i="103" s="1"/>
  <c r="EC11" i="103" s="1"/>
  <c r="ED11" i="103" s="1"/>
  <c r="EE11" i="103" s="1"/>
  <c r="EF11" i="103" s="1"/>
  <c r="EG11" i="103" s="1"/>
  <c r="EH11" i="103" s="1"/>
  <c r="EI11" i="103" s="1"/>
  <c r="EJ11" i="103" s="1"/>
  <c r="EK11" i="103" s="1"/>
  <c r="EL11" i="103" s="1"/>
  <c r="EM11" i="103" s="1"/>
  <c r="EN11" i="103" s="1"/>
  <c r="EO11" i="103" s="1"/>
  <c r="EP11" i="103" s="1"/>
  <c r="EQ11" i="103" s="1"/>
  <c r="ER11" i="103" s="1"/>
  <c r="ES11" i="103" s="1"/>
  <c r="ET11" i="103" s="1"/>
  <c r="EU11" i="103" s="1"/>
  <c r="EV11" i="103" s="1"/>
  <c r="EW11" i="103" s="1"/>
  <c r="EX11" i="103" s="1"/>
  <c r="EY11" i="103" s="1"/>
  <c r="EZ11" i="103" s="1"/>
  <c r="FA11" i="103" s="1"/>
  <c r="FB11" i="103" s="1"/>
  <c r="FC11" i="103" s="1"/>
  <c r="FD11" i="103" s="1"/>
  <c r="FE11" i="103" s="1"/>
  <c r="FF11" i="103" s="1"/>
  <c r="FG11" i="103" s="1"/>
  <c r="FH11" i="103" s="1"/>
  <c r="FI11" i="103" s="1"/>
  <c r="FJ11" i="103" s="1"/>
  <c r="FK11" i="103" s="1"/>
  <c r="FL11" i="103" s="1"/>
  <c r="FM11" i="103" s="1"/>
  <c r="FN11" i="103" s="1"/>
  <c r="FO11" i="103" s="1"/>
  <c r="FP11" i="103" s="1"/>
  <c r="FQ11" i="103" s="1"/>
  <c r="FR11" i="103" s="1"/>
  <c r="FS11" i="103" s="1"/>
  <c r="FT11" i="103" s="1"/>
  <c r="FU11" i="103" s="1"/>
  <c r="FV11" i="103" s="1"/>
  <c r="FW11" i="103" s="1"/>
  <c r="FX11" i="103" s="1"/>
  <c r="FY11" i="103" s="1"/>
  <c r="FZ11" i="103" s="1"/>
  <c r="GA11" i="103" s="1"/>
  <c r="GB11" i="103" s="1"/>
  <c r="GC11" i="103" s="1"/>
  <c r="GD11" i="103" s="1"/>
  <c r="GE11" i="103" s="1"/>
  <c r="GF11" i="103" s="1"/>
  <c r="GG11" i="103" s="1"/>
  <c r="GH11" i="103" s="1"/>
  <c r="GI11" i="103" s="1"/>
  <c r="GJ11" i="103" s="1"/>
  <c r="GK11" i="103" s="1"/>
  <c r="GL11" i="103" s="1"/>
  <c r="GM11" i="103" s="1"/>
  <c r="GN11" i="103" s="1"/>
  <c r="GO11" i="103" s="1"/>
  <c r="GP11" i="103" s="1"/>
  <c r="GQ11" i="103" s="1"/>
  <c r="GR11" i="103" s="1"/>
  <c r="GS11" i="103" s="1"/>
  <c r="GT11" i="103" s="1"/>
  <c r="GU11" i="103" s="1"/>
  <c r="GV11" i="103" s="1"/>
  <c r="GW11" i="103" s="1"/>
  <c r="F11" i="103"/>
  <c r="G11" i="103" s="1"/>
  <c r="H11" i="103" s="1"/>
  <c r="I11" i="103" s="1"/>
  <c r="J11" i="103" s="1"/>
  <c r="K11" i="103" s="1"/>
  <c r="L11" i="103" s="1"/>
  <c r="M11" i="103" s="1"/>
  <c r="N11" i="103" s="1"/>
  <c r="O11" i="103" s="1"/>
  <c r="P11" i="103" s="1"/>
  <c r="Q11" i="103" s="1"/>
  <c r="R11" i="103" s="1"/>
  <c r="S11" i="103" s="1"/>
  <c r="T11" i="103" s="1"/>
  <c r="U11" i="103" s="1"/>
  <c r="V11" i="103" s="1"/>
  <c r="W11" i="103" s="1"/>
  <c r="X11" i="103" s="1"/>
  <c r="Y11" i="103" s="1"/>
  <c r="Z11" i="103" s="1"/>
  <c r="AA11" i="103" s="1"/>
  <c r="AB11" i="103" s="1"/>
  <c r="AC11" i="103" s="1"/>
  <c r="AD11" i="103" s="1"/>
  <c r="AE11" i="103" s="1"/>
  <c r="AF11" i="103" s="1"/>
  <c r="AG11" i="103" s="1"/>
  <c r="AH11" i="103" s="1"/>
  <c r="AI11" i="103" s="1"/>
  <c r="AJ11" i="103" s="1"/>
  <c r="AK11" i="103" s="1"/>
  <c r="AL11" i="103" s="1"/>
  <c r="AM11" i="103" s="1"/>
  <c r="AN11" i="103" s="1"/>
  <c r="AO11" i="103" s="1"/>
  <c r="AP11" i="103" s="1"/>
  <c r="AQ11" i="103" s="1"/>
  <c r="AR11" i="103" s="1"/>
  <c r="AS11" i="103" s="1"/>
  <c r="AT11" i="103" s="1"/>
  <c r="AU11" i="103" s="1"/>
  <c r="AV11" i="103" s="1"/>
  <c r="AW11" i="103" s="1"/>
  <c r="AX11" i="103" s="1"/>
  <c r="AY11" i="103" s="1"/>
  <c r="AZ11" i="103" s="1"/>
  <c r="BA11" i="103" s="1"/>
  <c r="BB11" i="103" s="1"/>
  <c r="BC11" i="103" s="1"/>
  <c r="BD11" i="103" s="1"/>
  <c r="BE11" i="103" s="1"/>
  <c r="BF11" i="103" s="1"/>
  <c r="BG11" i="103" s="1"/>
  <c r="BH11" i="103" s="1"/>
  <c r="BI11" i="103" s="1"/>
  <c r="BJ11" i="103" s="1"/>
  <c r="BK11" i="103" s="1"/>
  <c r="BL11" i="103" s="1"/>
  <c r="BM11" i="103" s="1"/>
  <c r="BN11" i="103" s="1"/>
  <c r="BO11" i="103" s="1"/>
  <c r="BP11" i="103" s="1"/>
  <c r="BQ11" i="103" s="1"/>
  <c r="BR11" i="103" s="1"/>
  <c r="BS11" i="103" s="1"/>
  <c r="BT11" i="103" s="1"/>
  <c r="BU11" i="103" s="1"/>
  <c r="BV11" i="103" s="1"/>
  <c r="BW11" i="103" s="1"/>
  <c r="BX11" i="103" s="1"/>
  <c r="BY11" i="103" s="1"/>
  <c r="BZ11" i="103" s="1"/>
  <c r="CA11" i="103" s="1"/>
  <c r="CB11" i="103" s="1"/>
  <c r="CC11" i="103" s="1"/>
  <c r="CD11" i="103" s="1"/>
  <c r="CE11" i="103" s="1"/>
  <c r="CF11" i="103" s="1"/>
  <c r="CG11" i="103" s="1"/>
  <c r="CH11" i="103" s="1"/>
  <c r="CI11" i="103" s="1"/>
  <c r="CJ11" i="103" s="1"/>
  <c r="CK11" i="103" s="1"/>
  <c r="CL11" i="103" s="1"/>
  <c r="CM11" i="103" s="1"/>
  <c r="CN11" i="103" s="1"/>
  <c r="CO11" i="103" s="1"/>
  <c r="CP11" i="103" s="1"/>
  <c r="CQ11" i="103" s="1"/>
  <c r="CR11" i="103" s="1"/>
  <c r="CS11" i="103" s="1"/>
  <c r="CT11" i="103" s="1"/>
  <c r="CU11" i="103" s="1"/>
  <c r="CV11" i="103" s="1"/>
  <c r="CW11" i="103" s="1"/>
  <c r="CX11" i="103" s="1"/>
  <c r="CY11" i="103" s="1"/>
  <c r="CZ11" i="103" s="1"/>
  <c r="AM6" i="103"/>
  <c r="AL6" i="103"/>
  <c r="AK6" i="103"/>
  <c r="AJ6" i="103"/>
  <c r="AI6" i="103"/>
  <c r="AH6" i="103"/>
  <c r="AG6" i="103"/>
  <c r="AF6" i="103"/>
  <c r="AD6" i="103"/>
  <c r="AC6" i="103"/>
  <c r="AB6" i="103"/>
  <c r="AA6" i="103"/>
  <c r="Z6" i="103"/>
  <c r="Y6" i="103"/>
  <c r="X6" i="103"/>
  <c r="W6" i="103"/>
  <c r="U6" i="103"/>
  <c r="GW12" i="103" s="1"/>
  <c r="T6" i="103"/>
  <c r="GS12" i="103" s="1"/>
  <c r="GT12" i="103" s="1"/>
  <c r="GU12" i="103" s="1"/>
  <c r="GV12" i="103" s="1"/>
  <c r="S6" i="103"/>
  <c r="GN12" i="103" s="1"/>
  <c r="GO12" i="103" s="1"/>
  <c r="GP12" i="103" s="1"/>
  <c r="GQ12" i="103" s="1"/>
  <c r="GR12" i="103" s="1"/>
  <c r="R6" i="103"/>
  <c r="GD12" i="103" s="1"/>
  <c r="GE12" i="103" s="1"/>
  <c r="GF12" i="103" s="1"/>
  <c r="GG12" i="103" s="1"/>
  <c r="GH12" i="103" s="1"/>
  <c r="GI12" i="103" s="1"/>
  <c r="GJ12" i="103" s="1"/>
  <c r="GK12" i="103" s="1"/>
  <c r="GL12" i="103" s="1"/>
  <c r="GM12" i="103" s="1"/>
  <c r="AT9" i="102"/>
  <c r="AT10" i="102"/>
  <c r="AT12" i="102"/>
  <c r="AS13" i="102"/>
  <c r="AT13" i="102"/>
  <c r="AT14" i="102"/>
  <c r="AT15" i="102"/>
  <c r="AT16" i="102"/>
  <c r="AT17" i="102"/>
  <c r="AT18" i="102"/>
  <c r="AT20" i="102"/>
  <c r="AS21" i="102"/>
  <c r="AT21" i="102"/>
  <c r="AT22" i="102"/>
  <c r="AT23" i="102"/>
  <c r="AT24" i="102"/>
  <c r="AT25" i="102"/>
  <c r="AT26" i="102"/>
  <c r="AS29" i="102"/>
  <c r="AT29" i="102"/>
  <c r="AT30" i="102"/>
  <c r="AT31" i="102"/>
  <c r="AT32" i="102"/>
  <c r="AT33" i="102"/>
  <c r="AT34" i="102"/>
  <c r="AS37" i="102"/>
  <c r="AT37" i="102"/>
  <c r="AT38" i="102"/>
  <c r="AT39" i="102"/>
  <c r="AT40" i="102"/>
  <c r="AT41" i="102"/>
  <c r="AT42" i="102"/>
  <c r="AQ45" i="102"/>
  <c r="AS45" i="102"/>
  <c r="AT45" i="102"/>
  <c r="AW45" i="102"/>
  <c r="K80" i="46"/>
  <c r="K81" i="46"/>
  <c r="K82" i="46"/>
  <c r="AS11" i="102" s="1"/>
  <c r="K83" i="46"/>
  <c r="K84" i="46"/>
  <c r="K85" i="46"/>
  <c r="K86" i="46"/>
  <c r="K87" i="46"/>
  <c r="K88" i="46"/>
  <c r="K89" i="46"/>
  <c r="AS18" i="102" s="1"/>
  <c r="K90" i="46"/>
  <c r="AS19" i="102" s="1"/>
  <c r="K91" i="46"/>
  <c r="K92" i="46"/>
  <c r="K93" i="46"/>
  <c r="K94" i="46"/>
  <c r="K95" i="46"/>
  <c r="K96" i="46"/>
  <c r="AR25" i="102" s="1"/>
  <c r="K97" i="46"/>
  <c r="AS26" i="102" s="1"/>
  <c r="K98" i="46"/>
  <c r="AR27" i="102" s="1"/>
  <c r="K99" i="46"/>
  <c r="K100" i="46"/>
  <c r="K101" i="46"/>
  <c r="K102" i="46"/>
  <c r="K103" i="46"/>
  <c r="AR32" i="102" s="1"/>
  <c r="K104" i="46"/>
  <c r="AR33" i="102" s="1"/>
  <c r="K105" i="46"/>
  <c r="AS34" i="102" s="1"/>
  <c r="K106" i="46"/>
  <c r="AR35" i="102" s="1"/>
  <c r="K107" i="46"/>
  <c r="K108" i="46"/>
  <c r="K109" i="46"/>
  <c r="K110" i="46"/>
  <c r="K111" i="46"/>
  <c r="AR40" i="102" s="1"/>
  <c r="K112" i="46"/>
  <c r="AR41" i="102" s="1"/>
  <c r="K113" i="46"/>
  <c r="AS42" i="102" s="1"/>
  <c r="K114" i="46"/>
  <c r="AR43" i="102" s="1"/>
  <c r="K115" i="46"/>
  <c r="K116" i="46"/>
  <c r="K117" i="46"/>
  <c r="K118" i="46"/>
  <c r="AQ9" i="102" s="1"/>
  <c r="K119" i="46"/>
  <c r="AQ10" i="102" s="1"/>
  <c r="K120" i="46"/>
  <c r="AQ11" i="102" s="1"/>
  <c r="K121" i="46"/>
  <c r="AQ12" i="102" s="1"/>
  <c r="K122" i="46"/>
  <c r="AQ13" i="102" s="1"/>
  <c r="K123" i="46"/>
  <c r="AQ14" i="102" s="1"/>
  <c r="K124" i="46"/>
  <c r="AQ15" i="102" s="1"/>
  <c r="K125" i="46"/>
  <c r="AQ16" i="102" s="1"/>
  <c r="K126" i="46"/>
  <c r="AQ17" i="102" s="1"/>
  <c r="K127" i="46"/>
  <c r="AQ18" i="102" s="1"/>
  <c r="K128" i="46"/>
  <c r="AQ19" i="102" s="1"/>
  <c r="K129" i="46"/>
  <c r="AQ20" i="102" s="1"/>
  <c r="K130" i="46"/>
  <c r="AQ21" i="102" s="1"/>
  <c r="K131" i="46"/>
  <c r="AQ22" i="102" s="1"/>
  <c r="K132" i="46"/>
  <c r="AQ23" i="102" s="1"/>
  <c r="K133" i="46"/>
  <c r="AQ24" i="102" s="1"/>
  <c r="K134" i="46"/>
  <c r="AQ25" i="102" s="1"/>
  <c r="K135" i="46"/>
  <c r="AQ26" i="102" s="1"/>
  <c r="K136" i="46"/>
  <c r="AQ27" i="102" s="1"/>
  <c r="K137" i="46"/>
  <c r="AQ28" i="102" s="1"/>
  <c r="K138" i="46"/>
  <c r="AQ29" i="102" s="1"/>
  <c r="K139" i="46"/>
  <c r="AQ30" i="102" s="1"/>
  <c r="K140" i="46"/>
  <c r="AQ31" i="102" s="1"/>
  <c r="K141" i="46"/>
  <c r="AQ32" i="102" s="1"/>
  <c r="K142" i="46"/>
  <c r="AQ33" i="102" s="1"/>
  <c r="K143" i="46"/>
  <c r="AQ34" i="102" s="1"/>
  <c r="K144" i="46"/>
  <c r="AQ35" i="102" s="1"/>
  <c r="K145" i="46"/>
  <c r="AQ36" i="102" s="1"/>
  <c r="K146" i="46"/>
  <c r="AQ37" i="102" s="1"/>
  <c r="K147" i="46"/>
  <c r="AQ38" i="102" s="1"/>
  <c r="K148" i="46"/>
  <c r="AQ39" i="102" s="1"/>
  <c r="K149" i="46"/>
  <c r="AQ40" i="102" s="1"/>
  <c r="K150" i="46"/>
  <c r="AQ41" i="102" s="1"/>
  <c r="K151" i="46"/>
  <c r="AQ42" i="102" s="1"/>
  <c r="K152" i="46"/>
  <c r="AQ43" i="102" s="1"/>
  <c r="K153" i="46"/>
  <c r="AQ44" i="102" s="1"/>
  <c r="K154" i="46"/>
  <c r="K155" i="46"/>
  <c r="K156" i="46"/>
  <c r="AR9" i="102" s="1"/>
  <c r="K157" i="46"/>
  <c r="AR10" i="102" s="1"/>
  <c r="K158" i="46"/>
  <c r="AR11" i="102" s="1"/>
  <c r="K159" i="46"/>
  <c r="AR12" i="102" s="1"/>
  <c r="K160" i="46"/>
  <c r="AR13" i="102" s="1"/>
  <c r="K161" i="46"/>
  <c r="AR14" i="102" s="1"/>
  <c r="K162" i="46"/>
  <c r="AR15" i="102" s="1"/>
  <c r="K163" i="46"/>
  <c r="AR16" i="102" s="1"/>
  <c r="K164" i="46"/>
  <c r="AR17" i="102" s="1"/>
  <c r="K165" i="46"/>
  <c r="AR18" i="102" s="1"/>
  <c r="K166" i="46"/>
  <c r="AR19" i="102" s="1"/>
  <c r="K167" i="46"/>
  <c r="AR20" i="102" s="1"/>
  <c r="K168" i="46"/>
  <c r="AR21" i="102" s="1"/>
  <c r="K169" i="46"/>
  <c r="AR22" i="102" s="1"/>
  <c r="K170" i="46"/>
  <c r="AR23" i="102" s="1"/>
  <c r="K171" i="46"/>
  <c r="AR24" i="102" s="1"/>
  <c r="K172" i="46"/>
  <c r="K173" i="46"/>
  <c r="AR26" i="102" s="1"/>
  <c r="K174" i="46"/>
  <c r="K175" i="46"/>
  <c r="AR28" i="102" s="1"/>
  <c r="K176" i="46"/>
  <c r="AR29" i="102" s="1"/>
  <c r="K177" i="46"/>
  <c r="AR30" i="102" s="1"/>
  <c r="K178" i="46"/>
  <c r="AR31" i="102" s="1"/>
  <c r="K179" i="46"/>
  <c r="K180" i="46"/>
  <c r="K181" i="46"/>
  <c r="AR34" i="102" s="1"/>
  <c r="K182" i="46"/>
  <c r="K183" i="46"/>
  <c r="AR36" i="102" s="1"/>
  <c r="K184" i="46"/>
  <c r="AR37" i="102" s="1"/>
  <c r="K185" i="46"/>
  <c r="AR38" i="102" s="1"/>
  <c r="K186" i="46"/>
  <c r="AR39" i="102" s="1"/>
  <c r="K187" i="46"/>
  <c r="K188" i="46"/>
  <c r="K189" i="46"/>
  <c r="AR42" i="102" s="1"/>
  <c r="K190" i="46"/>
  <c r="K191" i="46"/>
  <c r="AR44" i="102" s="1"/>
  <c r="K192" i="46"/>
  <c r="AR45" i="102" s="1"/>
  <c r="K193" i="46"/>
  <c r="AS8" i="102" s="1"/>
  <c r="K194" i="46"/>
  <c r="AS9" i="102" s="1"/>
  <c r="K195" i="46"/>
  <c r="AS10" i="102" s="1"/>
  <c r="K196" i="46"/>
  <c r="K197" i="46"/>
  <c r="AS12" i="102" s="1"/>
  <c r="K198" i="46"/>
  <c r="K199" i="46"/>
  <c r="AS14" i="102" s="1"/>
  <c r="K200" i="46"/>
  <c r="AS15" i="102" s="1"/>
  <c r="K201" i="46"/>
  <c r="AS16" i="102" s="1"/>
  <c r="K202" i="46"/>
  <c r="AS17" i="102" s="1"/>
  <c r="K203" i="46"/>
  <c r="K204" i="46"/>
  <c r="K205" i="46"/>
  <c r="AS20" i="102" s="1"/>
  <c r="K206" i="46"/>
  <c r="K207" i="46"/>
  <c r="AS22" i="102" s="1"/>
  <c r="K208" i="46"/>
  <c r="AS23" i="102" s="1"/>
  <c r="K209" i="46"/>
  <c r="AS24" i="102" s="1"/>
  <c r="K210" i="46"/>
  <c r="AS25" i="102" s="1"/>
  <c r="K211" i="46"/>
  <c r="K212" i="46"/>
  <c r="K213" i="46"/>
  <c r="AS28" i="102" s="1"/>
  <c r="K214" i="46"/>
  <c r="K215" i="46"/>
  <c r="AS30" i="102" s="1"/>
  <c r="K216" i="46"/>
  <c r="AS31" i="102" s="1"/>
  <c r="K217" i="46"/>
  <c r="AS32" i="102" s="1"/>
  <c r="K218" i="46"/>
  <c r="AS33" i="102" s="1"/>
  <c r="K219" i="46"/>
  <c r="K220" i="46"/>
  <c r="K221" i="46"/>
  <c r="AS36" i="102" s="1"/>
  <c r="K222" i="46"/>
  <c r="K223" i="46"/>
  <c r="AS38" i="102" s="1"/>
  <c r="K224" i="46"/>
  <c r="AS39" i="102" s="1"/>
  <c r="K225" i="46"/>
  <c r="AS40" i="102" s="1"/>
  <c r="K226" i="46"/>
  <c r="AS41" i="102" s="1"/>
  <c r="K227" i="46"/>
  <c r="K228" i="46"/>
  <c r="K229" i="46"/>
  <c r="AS44" i="102" s="1"/>
  <c r="K230" i="46"/>
  <c r="K231" i="46"/>
  <c r="AT8" i="102" s="1"/>
  <c r="K232" i="46"/>
  <c r="K233" i="46"/>
  <c r="K234" i="46"/>
  <c r="AT11" i="102" s="1"/>
  <c r="K235" i="46"/>
  <c r="K236" i="46"/>
  <c r="K237" i="46"/>
  <c r="K238" i="46"/>
  <c r="K239" i="46"/>
  <c r="K240" i="46"/>
  <c r="K241" i="46"/>
  <c r="K242" i="46"/>
  <c r="AT19" i="102" s="1"/>
  <c r="K243" i="46"/>
  <c r="K244" i="46"/>
  <c r="K245" i="46"/>
  <c r="K246" i="46"/>
  <c r="K247" i="46"/>
  <c r="K248" i="46"/>
  <c r="K249" i="46"/>
  <c r="K250" i="46"/>
  <c r="AT27" i="102" s="1"/>
  <c r="K251" i="46"/>
  <c r="AT28" i="102" s="1"/>
  <c r="K252" i="46"/>
  <c r="K253" i="46"/>
  <c r="K254" i="46"/>
  <c r="K255" i="46"/>
  <c r="K256" i="46"/>
  <c r="K257" i="46"/>
  <c r="K258" i="46"/>
  <c r="AT35" i="102" s="1"/>
  <c r="K259" i="46"/>
  <c r="AT36" i="102" s="1"/>
  <c r="K260" i="46"/>
  <c r="K261" i="46"/>
  <c r="K262" i="46"/>
  <c r="K263" i="46"/>
  <c r="K264" i="46"/>
  <c r="K265" i="46"/>
  <c r="K266" i="46"/>
  <c r="AT43" i="102" s="1"/>
  <c r="K267" i="46"/>
  <c r="AT44" i="102" s="1"/>
  <c r="K268" i="46"/>
  <c r="K269" i="46"/>
  <c r="K270" i="46"/>
  <c r="K271" i="46"/>
  <c r="K272" i="46"/>
  <c r="K273" i="46"/>
  <c r="K274" i="46"/>
  <c r="K275" i="46"/>
  <c r="K276" i="46"/>
  <c r="K277" i="46"/>
  <c r="K278" i="46"/>
  <c r="K279" i="46"/>
  <c r="K280" i="46"/>
  <c r="K281" i="46"/>
  <c r="K282" i="46"/>
  <c r="K283" i="46"/>
  <c r="K284" i="46"/>
  <c r="K285" i="46"/>
  <c r="K286" i="46"/>
  <c r="K287" i="46"/>
  <c r="K288" i="46"/>
  <c r="K289" i="46"/>
  <c r="K290" i="46"/>
  <c r="K291" i="46"/>
  <c r="K292" i="46"/>
  <c r="K293" i="46"/>
  <c r="K294" i="46"/>
  <c r="K295" i="46"/>
  <c r="K296" i="46"/>
  <c r="K297" i="46"/>
  <c r="K298" i="46"/>
  <c r="K299" i="46"/>
  <c r="K300" i="46"/>
  <c r="K301" i="46"/>
  <c r="K302" i="46"/>
  <c r="K303" i="46"/>
  <c r="K304" i="46"/>
  <c r="K305" i="46"/>
  <c r="K306" i="46"/>
  <c r="K307" i="46"/>
  <c r="AU8" i="102" s="1"/>
  <c r="K308" i="46"/>
  <c r="AU9" i="102" s="1"/>
  <c r="K309" i="46"/>
  <c r="AU10" i="102" s="1"/>
  <c r="K310" i="46"/>
  <c r="AU11" i="102" s="1"/>
  <c r="K311" i="46"/>
  <c r="AU12" i="102" s="1"/>
  <c r="K312" i="46"/>
  <c r="AU13" i="102" s="1"/>
  <c r="K313" i="46"/>
  <c r="AU14" i="102" s="1"/>
  <c r="K314" i="46"/>
  <c r="AU15" i="102" s="1"/>
  <c r="K315" i="46"/>
  <c r="AU16" i="102" s="1"/>
  <c r="K316" i="46"/>
  <c r="AU17" i="102" s="1"/>
  <c r="K317" i="46"/>
  <c r="AU18" i="102" s="1"/>
  <c r="K318" i="46"/>
  <c r="AU19" i="102" s="1"/>
  <c r="K319" i="46"/>
  <c r="AU20" i="102" s="1"/>
  <c r="K320" i="46"/>
  <c r="AU21" i="102" s="1"/>
  <c r="K321" i="46"/>
  <c r="AU22" i="102" s="1"/>
  <c r="K322" i="46"/>
  <c r="AU23" i="102" s="1"/>
  <c r="K323" i="46"/>
  <c r="AU24" i="102" s="1"/>
  <c r="K324" i="46"/>
  <c r="AU25" i="102" s="1"/>
  <c r="K325" i="46"/>
  <c r="AU26" i="102" s="1"/>
  <c r="K326" i="46"/>
  <c r="AU27" i="102" s="1"/>
  <c r="K327" i="46"/>
  <c r="AU28" i="102" s="1"/>
  <c r="K328" i="46"/>
  <c r="AU29" i="102" s="1"/>
  <c r="K329" i="46"/>
  <c r="AU30" i="102" s="1"/>
  <c r="K330" i="46"/>
  <c r="AU31" i="102" s="1"/>
  <c r="K331" i="46"/>
  <c r="AU32" i="102" s="1"/>
  <c r="K332" i="46"/>
  <c r="AU33" i="102" s="1"/>
  <c r="K333" i="46"/>
  <c r="AU34" i="102" s="1"/>
  <c r="K334" i="46"/>
  <c r="AU35" i="102" s="1"/>
  <c r="K335" i="46"/>
  <c r="AU36" i="102" s="1"/>
  <c r="K336" i="46"/>
  <c r="AU37" i="102" s="1"/>
  <c r="K337" i="46"/>
  <c r="AU38" i="102" s="1"/>
  <c r="K338" i="46"/>
  <c r="AU39" i="102" s="1"/>
  <c r="K339" i="46"/>
  <c r="AU40" i="102" s="1"/>
  <c r="K340" i="46"/>
  <c r="AU41" i="102" s="1"/>
  <c r="K341" i="46"/>
  <c r="AU42" i="102" s="1"/>
  <c r="K342" i="46"/>
  <c r="AU43" i="102" s="1"/>
  <c r="K343" i="46"/>
  <c r="AU44" i="102" s="1"/>
  <c r="K344" i="46"/>
  <c r="AU45" i="102" s="1"/>
  <c r="K345" i="46"/>
  <c r="AV8" i="102" s="1"/>
  <c r="K346" i="46"/>
  <c r="AV9" i="102" s="1"/>
  <c r="K347" i="46"/>
  <c r="AV10" i="102" s="1"/>
  <c r="K348" i="46"/>
  <c r="AV11" i="102" s="1"/>
  <c r="K349" i="46"/>
  <c r="AV12" i="102" s="1"/>
  <c r="K350" i="46"/>
  <c r="AV13" i="102" s="1"/>
  <c r="K351" i="46"/>
  <c r="AV14" i="102" s="1"/>
  <c r="K352" i="46"/>
  <c r="AV15" i="102" s="1"/>
  <c r="K353" i="46"/>
  <c r="AV16" i="102" s="1"/>
  <c r="K354" i="46"/>
  <c r="AV17" i="102" s="1"/>
  <c r="K355" i="46"/>
  <c r="AV18" i="102" s="1"/>
  <c r="K356" i="46"/>
  <c r="AV19" i="102" s="1"/>
  <c r="K357" i="46"/>
  <c r="AV20" i="102" s="1"/>
  <c r="K358" i="46"/>
  <c r="AV21" i="102" s="1"/>
  <c r="K359" i="46"/>
  <c r="AV22" i="102" s="1"/>
  <c r="K360" i="46"/>
  <c r="AV23" i="102" s="1"/>
  <c r="K361" i="46"/>
  <c r="AV24" i="102" s="1"/>
  <c r="K362" i="46"/>
  <c r="AV25" i="102" s="1"/>
  <c r="K363" i="46"/>
  <c r="AV26" i="102" s="1"/>
  <c r="K364" i="46"/>
  <c r="AV27" i="102" s="1"/>
  <c r="K365" i="46"/>
  <c r="AV28" i="102" s="1"/>
  <c r="K366" i="46"/>
  <c r="AV29" i="102" s="1"/>
  <c r="K367" i="46"/>
  <c r="AV30" i="102" s="1"/>
  <c r="K368" i="46"/>
  <c r="AV31" i="102" s="1"/>
  <c r="K369" i="46"/>
  <c r="AV32" i="102" s="1"/>
  <c r="K370" i="46"/>
  <c r="AV33" i="102" s="1"/>
  <c r="K371" i="46"/>
  <c r="AV34" i="102" s="1"/>
  <c r="K372" i="46"/>
  <c r="AV35" i="102" s="1"/>
  <c r="K373" i="46"/>
  <c r="AV36" i="102" s="1"/>
  <c r="K374" i="46"/>
  <c r="AV37" i="102" s="1"/>
  <c r="K375" i="46"/>
  <c r="AV38" i="102" s="1"/>
  <c r="K376" i="46"/>
  <c r="AV39" i="102" s="1"/>
  <c r="K377" i="46"/>
  <c r="AV40" i="102" s="1"/>
  <c r="K378" i="46"/>
  <c r="AV41" i="102" s="1"/>
  <c r="K379" i="46"/>
  <c r="AV42" i="102" s="1"/>
  <c r="K380" i="46"/>
  <c r="AV43" i="102" s="1"/>
  <c r="K381" i="46"/>
  <c r="AV44" i="102" s="1"/>
  <c r="K382" i="46"/>
  <c r="AV45" i="102" s="1"/>
  <c r="K383" i="46"/>
  <c r="AW8" i="102" s="1"/>
  <c r="K384" i="46"/>
  <c r="AW9" i="102" s="1"/>
  <c r="K385" i="46"/>
  <c r="AW10" i="102" s="1"/>
  <c r="K386" i="46"/>
  <c r="AW11" i="102" s="1"/>
  <c r="K387" i="46"/>
  <c r="AW12" i="102" s="1"/>
  <c r="K388" i="46"/>
  <c r="AW13" i="102" s="1"/>
  <c r="K389" i="46"/>
  <c r="AW14" i="102" s="1"/>
  <c r="K390" i="46"/>
  <c r="AW15" i="102" s="1"/>
  <c r="K391" i="46"/>
  <c r="AW16" i="102" s="1"/>
  <c r="K392" i="46"/>
  <c r="AW17" i="102" s="1"/>
  <c r="K393" i="46"/>
  <c r="AW18" i="102" s="1"/>
  <c r="K394" i="46"/>
  <c r="AW19" i="102" s="1"/>
  <c r="K395" i="46"/>
  <c r="AW20" i="102" s="1"/>
  <c r="K396" i="46"/>
  <c r="AW21" i="102" s="1"/>
  <c r="K397" i="46"/>
  <c r="AW22" i="102" s="1"/>
  <c r="K398" i="46"/>
  <c r="AW23" i="102" s="1"/>
  <c r="K399" i="46"/>
  <c r="AW24" i="102" s="1"/>
  <c r="K400" i="46"/>
  <c r="AW25" i="102" s="1"/>
  <c r="K401" i="46"/>
  <c r="AW26" i="102" s="1"/>
  <c r="K402" i="46"/>
  <c r="AW27" i="102" s="1"/>
  <c r="K403" i="46"/>
  <c r="AW28" i="102" s="1"/>
  <c r="K404" i="46"/>
  <c r="AW29" i="102" s="1"/>
  <c r="K405" i="46"/>
  <c r="AW30" i="102" s="1"/>
  <c r="K406" i="46"/>
  <c r="AW31" i="102" s="1"/>
  <c r="K407" i="46"/>
  <c r="AW32" i="102" s="1"/>
  <c r="K408" i="46"/>
  <c r="AW33" i="102" s="1"/>
  <c r="K409" i="46"/>
  <c r="AW34" i="102" s="1"/>
  <c r="K410" i="46"/>
  <c r="AW35" i="102" s="1"/>
  <c r="K411" i="46"/>
  <c r="AW36" i="102" s="1"/>
  <c r="K412" i="46"/>
  <c r="AW37" i="102" s="1"/>
  <c r="K413" i="46"/>
  <c r="AW38" i="102" s="1"/>
  <c r="K414" i="46"/>
  <c r="AW39" i="102" s="1"/>
  <c r="K415" i="46"/>
  <c r="AW40" i="102" s="1"/>
  <c r="K416" i="46"/>
  <c r="AW41" i="102" s="1"/>
  <c r="K417" i="46"/>
  <c r="AW42" i="102" s="1"/>
  <c r="K418" i="46"/>
  <c r="AW43" i="102" s="1"/>
  <c r="K419" i="46"/>
  <c r="AW44" i="102" s="1"/>
  <c r="K420" i="46"/>
  <c r="K421" i="46"/>
  <c r="K422" i="46"/>
  <c r="AX9" i="102" s="1"/>
  <c r="K423" i="46"/>
  <c r="AX10" i="102" s="1"/>
  <c r="K424" i="46"/>
  <c r="AX11" i="102" s="1"/>
  <c r="K425" i="46"/>
  <c r="AX12" i="102" s="1"/>
  <c r="K426" i="46"/>
  <c r="AX13" i="102" s="1"/>
  <c r="K427" i="46"/>
  <c r="AX14" i="102" s="1"/>
  <c r="K428" i="46"/>
  <c r="AX15" i="102" s="1"/>
  <c r="K429" i="46"/>
  <c r="AX16" i="102" s="1"/>
  <c r="K430" i="46"/>
  <c r="AX17" i="102" s="1"/>
  <c r="K431" i="46"/>
  <c r="AX18" i="102" s="1"/>
  <c r="K432" i="46"/>
  <c r="AX19" i="102" s="1"/>
  <c r="K433" i="46"/>
  <c r="AX20" i="102" s="1"/>
  <c r="K434" i="46"/>
  <c r="AX21" i="102" s="1"/>
  <c r="K435" i="46"/>
  <c r="AX22" i="102" s="1"/>
  <c r="K436" i="46"/>
  <c r="AX23" i="102" s="1"/>
  <c r="K437" i="46"/>
  <c r="AX24" i="102" s="1"/>
  <c r="K438" i="46"/>
  <c r="AX25" i="102" s="1"/>
  <c r="K439" i="46"/>
  <c r="AX26" i="102" s="1"/>
  <c r="K440" i="46"/>
  <c r="AX27" i="102" s="1"/>
  <c r="K441" i="46"/>
  <c r="AX28" i="102" s="1"/>
  <c r="K442" i="46"/>
  <c r="AX29" i="102" s="1"/>
  <c r="K443" i="46"/>
  <c r="AX30" i="102" s="1"/>
  <c r="K444" i="46"/>
  <c r="AX31" i="102" s="1"/>
  <c r="K445" i="46"/>
  <c r="AX32" i="102" s="1"/>
  <c r="K446" i="46"/>
  <c r="AX33" i="102" s="1"/>
  <c r="K447" i="46"/>
  <c r="AX34" i="102" s="1"/>
  <c r="K448" i="46"/>
  <c r="AX35" i="102" s="1"/>
  <c r="K449" i="46"/>
  <c r="AX36" i="102" s="1"/>
  <c r="K450" i="46"/>
  <c r="AX37" i="102" s="1"/>
  <c r="K451" i="46"/>
  <c r="AX38" i="102" s="1"/>
  <c r="K452" i="46"/>
  <c r="AX39" i="102" s="1"/>
  <c r="K453" i="46"/>
  <c r="AX40" i="102" s="1"/>
  <c r="K454" i="46"/>
  <c r="AX41" i="102" s="1"/>
  <c r="K455" i="46"/>
  <c r="AX42" i="102" s="1"/>
  <c r="K456" i="46"/>
  <c r="AX43" i="102" s="1"/>
  <c r="K457" i="46"/>
  <c r="AX44" i="102" s="1"/>
  <c r="K458" i="46"/>
  <c r="AX45" i="102" s="1"/>
  <c r="K79" i="46"/>
  <c r="AR8" i="102" s="1"/>
  <c r="BG45" i="102"/>
  <c r="BF45" i="102"/>
  <c r="BE45" i="102"/>
  <c r="BD45" i="102"/>
  <c r="BC45" i="102"/>
  <c r="BB45" i="102"/>
  <c r="BA45" i="102"/>
  <c r="AZ45" i="102"/>
  <c r="AH45" i="102" s="1"/>
  <c r="AI45" i="102" s="1"/>
  <c r="AJ45" i="102" s="1"/>
  <c r="AK45" i="102" s="1"/>
  <c r="AL45" i="102" s="1"/>
  <c r="AM45" i="102" s="1"/>
  <c r="AN45" i="102" s="1"/>
  <c r="BG44" i="102"/>
  <c r="BF44" i="102"/>
  <c r="BE44" i="102"/>
  <c r="BD44" i="102"/>
  <c r="BC44" i="102"/>
  <c r="BB44" i="102"/>
  <c r="BA44" i="102"/>
  <c r="AZ44" i="102"/>
  <c r="AH44" i="102" s="1"/>
  <c r="AI44" i="102" s="1"/>
  <c r="AJ44" i="102" s="1"/>
  <c r="AK44" i="102" s="1"/>
  <c r="AL44" i="102" s="1"/>
  <c r="AM44" i="102" s="1"/>
  <c r="AN44" i="102" s="1"/>
  <c r="BG43" i="102"/>
  <c r="BF43" i="102"/>
  <c r="BE43" i="102"/>
  <c r="BD43" i="102"/>
  <c r="BC43" i="102"/>
  <c r="BB43" i="102"/>
  <c r="BA43" i="102"/>
  <c r="AZ43" i="102"/>
  <c r="AH43" i="102" s="1"/>
  <c r="AI43" i="102" s="1"/>
  <c r="AJ43" i="102" s="1"/>
  <c r="AK43" i="102" s="1"/>
  <c r="AL43" i="102" s="1"/>
  <c r="AM43" i="102" s="1"/>
  <c r="AN43" i="102" s="1"/>
  <c r="BG42" i="102"/>
  <c r="BF42" i="102"/>
  <c r="BE42" i="102"/>
  <c r="BD42" i="102"/>
  <c r="BC42" i="102"/>
  <c r="BB42" i="102"/>
  <c r="BA42" i="102"/>
  <c r="AZ42" i="102"/>
  <c r="AH42" i="102" s="1"/>
  <c r="AI42" i="102" s="1"/>
  <c r="AJ42" i="102" s="1"/>
  <c r="AK42" i="102" s="1"/>
  <c r="AL42" i="102" s="1"/>
  <c r="AM42" i="102" s="1"/>
  <c r="AN42" i="102" s="1"/>
  <c r="BG41" i="102"/>
  <c r="BF41" i="102"/>
  <c r="BE41" i="102"/>
  <c r="BD41" i="102"/>
  <c r="BC41" i="102"/>
  <c r="BB41" i="102"/>
  <c r="BA41" i="102"/>
  <c r="AZ41" i="102"/>
  <c r="AH41" i="102" s="1"/>
  <c r="AI41" i="102" s="1"/>
  <c r="AJ41" i="102" s="1"/>
  <c r="AK41" i="102" s="1"/>
  <c r="AL41" i="102" s="1"/>
  <c r="AM41" i="102" s="1"/>
  <c r="AN41" i="102" s="1"/>
  <c r="BG40" i="102"/>
  <c r="BF40" i="102"/>
  <c r="BE40" i="102"/>
  <c r="BD40" i="102"/>
  <c r="BC40" i="102"/>
  <c r="BB40" i="102"/>
  <c r="BA40" i="102"/>
  <c r="AZ40" i="102"/>
  <c r="AH40" i="102" s="1"/>
  <c r="AI40" i="102" s="1"/>
  <c r="AJ40" i="102" s="1"/>
  <c r="AK40" i="102" s="1"/>
  <c r="AL40" i="102" s="1"/>
  <c r="AM40" i="102" s="1"/>
  <c r="AN40" i="102" s="1"/>
  <c r="BG39" i="102"/>
  <c r="BF39" i="102"/>
  <c r="BE39" i="102"/>
  <c r="BD39" i="102"/>
  <c r="BC39" i="102"/>
  <c r="BB39" i="102"/>
  <c r="BA39" i="102"/>
  <c r="AZ39" i="102"/>
  <c r="AH39" i="102" s="1"/>
  <c r="AI39" i="102" s="1"/>
  <c r="AJ39" i="102" s="1"/>
  <c r="AK39" i="102" s="1"/>
  <c r="AL39" i="102" s="1"/>
  <c r="AM39" i="102" s="1"/>
  <c r="AN39" i="102" s="1"/>
  <c r="BG38" i="102"/>
  <c r="BF38" i="102"/>
  <c r="BE38" i="102"/>
  <c r="BD38" i="102"/>
  <c r="BC38" i="102"/>
  <c r="BB38" i="102"/>
  <c r="BA38" i="102"/>
  <c r="AZ38" i="102"/>
  <c r="AH38" i="102" s="1"/>
  <c r="AI38" i="102" s="1"/>
  <c r="AJ38" i="102" s="1"/>
  <c r="AK38" i="102" s="1"/>
  <c r="AL38" i="102" s="1"/>
  <c r="AM38" i="102" s="1"/>
  <c r="AN38" i="102" s="1"/>
  <c r="BG37" i="102"/>
  <c r="BF37" i="102"/>
  <c r="BE37" i="102"/>
  <c r="BD37" i="102"/>
  <c r="BC37" i="102"/>
  <c r="BB37" i="102"/>
  <c r="BA37" i="102"/>
  <c r="AZ37" i="102"/>
  <c r="AH37" i="102" s="1"/>
  <c r="AI37" i="102" s="1"/>
  <c r="AJ37" i="102" s="1"/>
  <c r="AK37" i="102" s="1"/>
  <c r="AL37" i="102" s="1"/>
  <c r="AM37" i="102" s="1"/>
  <c r="AN37" i="102" s="1"/>
  <c r="BG36" i="102"/>
  <c r="BF36" i="102"/>
  <c r="BE36" i="102"/>
  <c r="BD36" i="102"/>
  <c r="BC36" i="102"/>
  <c r="BB36" i="102"/>
  <c r="BA36" i="102"/>
  <c r="AZ36" i="102"/>
  <c r="AH36" i="102" s="1"/>
  <c r="AI36" i="102" s="1"/>
  <c r="AJ36" i="102" s="1"/>
  <c r="AK36" i="102" s="1"/>
  <c r="AL36" i="102" s="1"/>
  <c r="AM36" i="102" s="1"/>
  <c r="AN36" i="102" s="1"/>
  <c r="BG35" i="102"/>
  <c r="BF35" i="102"/>
  <c r="BE35" i="102"/>
  <c r="BD35" i="102"/>
  <c r="BC35" i="102"/>
  <c r="BB35" i="102"/>
  <c r="BA35" i="102"/>
  <c r="AZ35" i="102"/>
  <c r="BG34" i="102"/>
  <c r="BF34" i="102"/>
  <c r="BE34" i="102"/>
  <c r="BD34" i="102"/>
  <c r="BC34" i="102"/>
  <c r="BB34" i="102"/>
  <c r="BA34" i="102"/>
  <c r="AZ34" i="102"/>
  <c r="AH34" i="102" s="1"/>
  <c r="AI34" i="102" s="1"/>
  <c r="AJ34" i="102" s="1"/>
  <c r="AK34" i="102" s="1"/>
  <c r="AL34" i="102" s="1"/>
  <c r="AM34" i="102" s="1"/>
  <c r="AN34" i="102" s="1"/>
  <c r="BG33" i="102"/>
  <c r="BF33" i="102"/>
  <c r="BE33" i="102"/>
  <c r="BD33" i="102"/>
  <c r="BC33" i="102"/>
  <c r="BB33" i="102"/>
  <c r="BA33" i="102"/>
  <c r="AZ33" i="102"/>
  <c r="AH33" i="102" s="1"/>
  <c r="AI33" i="102" s="1"/>
  <c r="AJ33" i="102" s="1"/>
  <c r="AK33" i="102" s="1"/>
  <c r="AL33" i="102" s="1"/>
  <c r="AM33" i="102" s="1"/>
  <c r="AN33" i="102" s="1"/>
  <c r="BG32" i="102"/>
  <c r="BF32" i="102"/>
  <c r="BE32" i="102"/>
  <c r="BD32" i="102"/>
  <c r="BC32" i="102"/>
  <c r="BB32" i="102"/>
  <c r="BA32" i="102"/>
  <c r="AZ32" i="102"/>
  <c r="AH32" i="102" s="1"/>
  <c r="AI32" i="102" s="1"/>
  <c r="AJ32" i="102" s="1"/>
  <c r="AK32" i="102" s="1"/>
  <c r="AL32" i="102" s="1"/>
  <c r="AM32" i="102" s="1"/>
  <c r="AN32" i="102" s="1"/>
  <c r="BG31" i="102"/>
  <c r="BF31" i="102"/>
  <c r="BE31" i="102"/>
  <c r="BD31" i="102"/>
  <c r="BC31" i="102"/>
  <c r="BB31" i="102"/>
  <c r="BA31" i="102"/>
  <c r="AZ31" i="102"/>
  <c r="AH31" i="102" s="1"/>
  <c r="AI31" i="102" s="1"/>
  <c r="AJ31" i="102" s="1"/>
  <c r="AK31" i="102" s="1"/>
  <c r="AL31" i="102" s="1"/>
  <c r="AM31" i="102" s="1"/>
  <c r="AN31" i="102" s="1"/>
  <c r="BG30" i="102"/>
  <c r="BF30" i="102"/>
  <c r="BE30" i="102"/>
  <c r="BD30" i="102"/>
  <c r="BC30" i="102"/>
  <c r="BB30" i="102"/>
  <c r="BA30" i="102"/>
  <c r="AZ30" i="102"/>
  <c r="AH30" i="102" s="1"/>
  <c r="AI30" i="102" s="1"/>
  <c r="AJ30" i="102" s="1"/>
  <c r="AK30" i="102" s="1"/>
  <c r="AL30" i="102" s="1"/>
  <c r="AM30" i="102" s="1"/>
  <c r="AN30" i="102" s="1"/>
  <c r="BG29" i="102"/>
  <c r="BF29" i="102"/>
  <c r="BE29" i="102"/>
  <c r="BD29" i="102"/>
  <c r="BC29" i="102"/>
  <c r="BB29" i="102"/>
  <c r="BA29" i="102"/>
  <c r="AZ29" i="102"/>
  <c r="BG28" i="102"/>
  <c r="BF28" i="102"/>
  <c r="BE28" i="102"/>
  <c r="BD28" i="102"/>
  <c r="BC28" i="102"/>
  <c r="BB28" i="102"/>
  <c r="BA28" i="102"/>
  <c r="AZ28" i="102"/>
  <c r="BG27" i="102"/>
  <c r="BF27" i="102"/>
  <c r="BE27" i="102"/>
  <c r="BD27" i="102"/>
  <c r="BC27" i="102"/>
  <c r="BB27" i="102"/>
  <c r="BA27" i="102"/>
  <c r="AZ27" i="102"/>
  <c r="BG26" i="102"/>
  <c r="BF26" i="102"/>
  <c r="BE26" i="102"/>
  <c r="BD26" i="102"/>
  <c r="BC26" i="102"/>
  <c r="BB26" i="102"/>
  <c r="BA26" i="102"/>
  <c r="AZ26" i="102"/>
  <c r="BG25" i="102"/>
  <c r="BF25" i="102"/>
  <c r="BE25" i="102"/>
  <c r="BD25" i="102"/>
  <c r="BC25" i="102"/>
  <c r="BB25" i="102"/>
  <c r="BA25" i="102"/>
  <c r="AZ25" i="102"/>
  <c r="BG24" i="102"/>
  <c r="BF24" i="102"/>
  <c r="BE24" i="102"/>
  <c r="BD24" i="102"/>
  <c r="BC24" i="102"/>
  <c r="BB24" i="102"/>
  <c r="BA24" i="102"/>
  <c r="AZ24" i="102"/>
  <c r="BG23" i="102"/>
  <c r="BF23" i="102"/>
  <c r="BE23" i="102"/>
  <c r="BD23" i="102"/>
  <c r="BC23" i="102"/>
  <c r="BB23" i="102"/>
  <c r="BA23" i="102"/>
  <c r="AZ23" i="102"/>
  <c r="BG22" i="102"/>
  <c r="BF22" i="102"/>
  <c r="BE22" i="102"/>
  <c r="BD22" i="102"/>
  <c r="BC22" i="102"/>
  <c r="BB22" i="102"/>
  <c r="BA22" i="102"/>
  <c r="AZ22" i="102"/>
  <c r="BG21" i="102"/>
  <c r="BF21" i="102"/>
  <c r="BE21" i="102"/>
  <c r="BD21" i="102"/>
  <c r="BC21" i="102"/>
  <c r="BB21" i="102"/>
  <c r="BA21" i="102"/>
  <c r="AZ21" i="102"/>
  <c r="BG20" i="102"/>
  <c r="BF20" i="102"/>
  <c r="BE20" i="102"/>
  <c r="BD20" i="102"/>
  <c r="BC20" i="102"/>
  <c r="BB20" i="102"/>
  <c r="BA20" i="102"/>
  <c r="AZ20" i="102"/>
  <c r="BG19" i="102"/>
  <c r="BF19" i="102"/>
  <c r="BE19" i="102"/>
  <c r="BD19" i="102"/>
  <c r="BC19" i="102"/>
  <c r="BB19" i="102"/>
  <c r="BA19" i="102"/>
  <c r="AZ19" i="102"/>
  <c r="BG18" i="102"/>
  <c r="BF18" i="102"/>
  <c r="BE18" i="102"/>
  <c r="BD18" i="102"/>
  <c r="BC18" i="102"/>
  <c r="BB18" i="102"/>
  <c r="BA18" i="102"/>
  <c r="AZ18" i="102"/>
  <c r="BG17" i="102"/>
  <c r="BF17" i="102"/>
  <c r="BE17" i="102"/>
  <c r="BD17" i="102"/>
  <c r="BC17" i="102"/>
  <c r="BB17" i="102"/>
  <c r="BA17" i="102"/>
  <c r="AZ17" i="102"/>
  <c r="BG16" i="102"/>
  <c r="BF16" i="102"/>
  <c r="BE16" i="102"/>
  <c r="BD16" i="102"/>
  <c r="BC16" i="102"/>
  <c r="BB16" i="102"/>
  <c r="BA16" i="102"/>
  <c r="AZ16" i="102"/>
  <c r="BG15" i="102"/>
  <c r="BF15" i="102"/>
  <c r="BE15" i="102"/>
  <c r="BD15" i="102"/>
  <c r="BC15" i="102"/>
  <c r="BB15" i="102"/>
  <c r="BA15" i="102"/>
  <c r="AZ15" i="102"/>
  <c r="AH15" i="102" s="1"/>
  <c r="AI15" i="102" s="1"/>
  <c r="AJ15" i="102" s="1"/>
  <c r="AK15" i="102" s="1"/>
  <c r="AL15" i="102" s="1"/>
  <c r="AM15" i="102" s="1"/>
  <c r="AN15" i="102" s="1"/>
  <c r="BG14" i="102"/>
  <c r="BF14" i="102"/>
  <c r="BE14" i="102"/>
  <c r="BD14" i="102"/>
  <c r="BC14" i="102"/>
  <c r="BB14" i="102"/>
  <c r="BA14" i="102"/>
  <c r="AZ14" i="102"/>
  <c r="AH14" i="102" s="1"/>
  <c r="AI14" i="102" s="1"/>
  <c r="AJ14" i="102" s="1"/>
  <c r="AK14" i="102" s="1"/>
  <c r="AL14" i="102" s="1"/>
  <c r="AM14" i="102" s="1"/>
  <c r="AN14" i="102" s="1"/>
  <c r="BG13" i="102"/>
  <c r="BF13" i="102"/>
  <c r="BE13" i="102"/>
  <c r="BD13" i="102"/>
  <c r="BC13" i="102"/>
  <c r="BB13" i="102"/>
  <c r="BA13" i="102"/>
  <c r="AZ13" i="102"/>
  <c r="AH13" i="102" s="1"/>
  <c r="AI13" i="102" s="1"/>
  <c r="AJ13" i="102" s="1"/>
  <c r="AK13" i="102" s="1"/>
  <c r="AL13" i="102" s="1"/>
  <c r="AM13" i="102" s="1"/>
  <c r="AN13" i="102" s="1"/>
  <c r="BG12" i="102"/>
  <c r="BF12" i="102"/>
  <c r="BE12" i="102"/>
  <c r="BD12" i="102"/>
  <c r="BC12" i="102"/>
  <c r="BB12" i="102"/>
  <c r="BA12" i="102"/>
  <c r="AZ12" i="102"/>
  <c r="BG11" i="102"/>
  <c r="BF11" i="102"/>
  <c r="BE11" i="102"/>
  <c r="BD11" i="102"/>
  <c r="BC11" i="102"/>
  <c r="BB11" i="102"/>
  <c r="BA11" i="102"/>
  <c r="AZ11" i="102"/>
  <c r="BG10" i="102"/>
  <c r="BF10" i="102"/>
  <c r="BE10" i="102"/>
  <c r="BD10" i="102"/>
  <c r="BC10" i="102"/>
  <c r="BB10" i="102"/>
  <c r="BA10" i="102"/>
  <c r="AZ10" i="102"/>
  <c r="BG9" i="102"/>
  <c r="BF9" i="102"/>
  <c r="BE9" i="102"/>
  <c r="BD9" i="102"/>
  <c r="BC9" i="102"/>
  <c r="BB9" i="102"/>
  <c r="BA9" i="102"/>
  <c r="AZ9" i="102"/>
  <c r="A9" i="102"/>
  <c r="A10" i="102" s="1"/>
  <c r="A11" i="102" s="1"/>
  <c r="A12" i="102" s="1"/>
  <c r="A13" i="102" s="1"/>
  <c r="A14" i="102" s="1"/>
  <c r="A15" i="102" s="1"/>
  <c r="A16" i="102" s="1"/>
  <c r="A17" i="102" s="1"/>
  <c r="A18" i="102" s="1"/>
  <c r="A19" i="102" s="1"/>
  <c r="A20" i="102" s="1"/>
  <c r="A21" i="102" s="1"/>
  <c r="A22" i="102" s="1"/>
  <c r="A23" i="102" s="1"/>
  <c r="A24" i="102" s="1"/>
  <c r="A25" i="102" s="1"/>
  <c r="A26" i="102" s="1"/>
  <c r="A27" i="102" s="1"/>
  <c r="A28" i="102" s="1"/>
  <c r="A29" i="102" s="1"/>
  <c r="A30" i="102" s="1"/>
  <c r="A31" i="102" s="1"/>
  <c r="A32" i="102" s="1"/>
  <c r="A33" i="102" s="1"/>
  <c r="A34" i="102" s="1"/>
  <c r="A35" i="102" s="1"/>
  <c r="A36" i="102" s="1"/>
  <c r="A37" i="102" s="1"/>
  <c r="A38" i="102" s="1"/>
  <c r="A39" i="102" s="1"/>
  <c r="A40" i="102" s="1"/>
  <c r="A41" i="102" s="1"/>
  <c r="A42" i="102" s="1"/>
  <c r="A43" i="102" s="1"/>
  <c r="A44" i="102" s="1"/>
  <c r="A45" i="102" s="1"/>
  <c r="BG8" i="102"/>
  <c r="BF8" i="102"/>
  <c r="BE8" i="102"/>
  <c r="BD8" i="102"/>
  <c r="BC8" i="102"/>
  <c r="BB8" i="102"/>
  <c r="BA8" i="102"/>
  <c r="AZ8" i="102"/>
  <c r="Q4" i="102"/>
  <c r="P20" i="102" l="1"/>
  <c r="P12" i="102"/>
  <c r="P27" i="102"/>
  <c r="Q27" i="102" s="1"/>
  <c r="R27" i="102" s="1"/>
  <c r="S27" i="102" s="1"/>
  <c r="T27" i="102" s="1"/>
  <c r="U27" i="102" s="1"/>
  <c r="V27" i="102" s="1"/>
  <c r="P19" i="102"/>
  <c r="Q19" i="102" s="1"/>
  <c r="R19" i="102" s="1"/>
  <c r="S19" i="102" s="1"/>
  <c r="T19" i="102" s="1"/>
  <c r="U19" i="102" s="1"/>
  <c r="V19" i="102" s="1"/>
  <c r="P11" i="102"/>
  <c r="Q11" i="102" s="1"/>
  <c r="R11" i="102" s="1"/>
  <c r="S11" i="102" s="1"/>
  <c r="T11" i="102" s="1"/>
  <c r="U11" i="102" s="1"/>
  <c r="V11" i="102" s="1"/>
  <c r="P42" i="102"/>
  <c r="Q42" i="102" s="1"/>
  <c r="R42" i="102" s="1"/>
  <c r="S42" i="102" s="1"/>
  <c r="T42" i="102" s="1"/>
  <c r="U42" i="102" s="1"/>
  <c r="V42" i="102" s="1"/>
  <c r="P34" i="102"/>
  <c r="Q34" i="102" s="1"/>
  <c r="R34" i="102" s="1"/>
  <c r="S34" i="102" s="1"/>
  <c r="T34" i="102" s="1"/>
  <c r="U34" i="102" s="1"/>
  <c r="V34" i="102" s="1"/>
  <c r="P26" i="102"/>
  <c r="P18" i="102"/>
  <c r="Q18" i="102" s="1"/>
  <c r="R18" i="102" s="1"/>
  <c r="S18" i="102" s="1"/>
  <c r="T18" i="102" s="1"/>
  <c r="U18" i="102" s="1"/>
  <c r="V18" i="102" s="1"/>
  <c r="P10" i="102"/>
  <c r="P28" i="102"/>
  <c r="P41" i="102"/>
  <c r="Q41" i="102" s="1"/>
  <c r="R41" i="102" s="1"/>
  <c r="S41" i="102" s="1"/>
  <c r="T41" i="102" s="1"/>
  <c r="U41" i="102" s="1"/>
  <c r="V41" i="102" s="1"/>
  <c r="P33" i="102"/>
  <c r="Q33" i="102" s="1"/>
  <c r="R33" i="102" s="1"/>
  <c r="S33" i="102" s="1"/>
  <c r="T33" i="102" s="1"/>
  <c r="U33" i="102" s="1"/>
  <c r="V33" i="102" s="1"/>
  <c r="P25" i="102"/>
  <c r="Q25" i="102" s="1"/>
  <c r="R25" i="102" s="1"/>
  <c r="S25" i="102" s="1"/>
  <c r="T25" i="102" s="1"/>
  <c r="U25" i="102" s="1"/>
  <c r="V25" i="102" s="1"/>
  <c r="P17" i="102"/>
  <c r="P9" i="102"/>
  <c r="P44" i="102"/>
  <c r="Q44" i="102" s="1"/>
  <c r="R44" i="102" s="1"/>
  <c r="S44" i="102" s="1"/>
  <c r="T44" i="102" s="1"/>
  <c r="U44" i="102" s="1"/>
  <c r="V44" i="102" s="1"/>
  <c r="P40" i="102"/>
  <c r="Q40" i="102" s="1"/>
  <c r="R40" i="102" s="1"/>
  <c r="S40" i="102" s="1"/>
  <c r="T40" i="102" s="1"/>
  <c r="U40" i="102" s="1"/>
  <c r="V40" i="102" s="1"/>
  <c r="P32" i="102"/>
  <c r="Q32" i="102" s="1"/>
  <c r="R32" i="102" s="1"/>
  <c r="S32" i="102" s="1"/>
  <c r="T32" i="102" s="1"/>
  <c r="U32" i="102" s="1"/>
  <c r="V32" i="102" s="1"/>
  <c r="P24" i="102"/>
  <c r="P16" i="102"/>
  <c r="P39" i="102"/>
  <c r="Q39" i="102" s="1"/>
  <c r="R39" i="102" s="1"/>
  <c r="S39" i="102" s="1"/>
  <c r="T39" i="102" s="1"/>
  <c r="U39" i="102" s="1"/>
  <c r="V39" i="102" s="1"/>
  <c r="P31" i="102"/>
  <c r="Q31" i="102" s="1"/>
  <c r="R31" i="102" s="1"/>
  <c r="S31" i="102" s="1"/>
  <c r="T31" i="102" s="1"/>
  <c r="U31" i="102" s="1"/>
  <c r="V31" i="102" s="1"/>
  <c r="P23" i="102"/>
  <c r="Q23" i="102" s="1"/>
  <c r="R23" i="102" s="1"/>
  <c r="S23" i="102" s="1"/>
  <c r="T23" i="102" s="1"/>
  <c r="U23" i="102" s="1"/>
  <c r="V23" i="102" s="1"/>
  <c r="P15" i="102"/>
  <c r="Q15" i="102" s="1"/>
  <c r="R15" i="102" s="1"/>
  <c r="S15" i="102" s="1"/>
  <c r="T15" i="102" s="1"/>
  <c r="U15" i="102" s="1"/>
  <c r="V15" i="102" s="1"/>
  <c r="P36" i="102"/>
  <c r="Q36" i="102" s="1"/>
  <c r="R36" i="102" s="1"/>
  <c r="S36" i="102" s="1"/>
  <c r="T36" i="102" s="1"/>
  <c r="U36" i="102" s="1"/>
  <c r="V36" i="102" s="1"/>
  <c r="P38" i="102"/>
  <c r="Q38" i="102" s="1"/>
  <c r="R38" i="102" s="1"/>
  <c r="S38" i="102" s="1"/>
  <c r="T38" i="102" s="1"/>
  <c r="U38" i="102" s="1"/>
  <c r="V38" i="102" s="1"/>
  <c r="P30" i="102"/>
  <c r="P22" i="102"/>
  <c r="Q22" i="102" s="1"/>
  <c r="R22" i="102" s="1"/>
  <c r="S22" i="102" s="1"/>
  <c r="T22" i="102" s="1"/>
  <c r="U22" i="102" s="1"/>
  <c r="V22" i="102" s="1"/>
  <c r="P14" i="102"/>
  <c r="Q14" i="102" s="1"/>
  <c r="R14" i="102" s="1"/>
  <c r="S14" i="102" s="1"/>
  <c r="T14" i="102" s="1"/>
  <c r="U14" i="102" s="1"/>
  <c r="V14" i="102" s="1"/>
  <c r="P37" i="102"/>
  <c r="Q37" i="102" s="1"/>
  <c r="R37" i="102" s="1"/>
  <c r="S37" i="102" s="1"/>
  <c r="T37" i="102" s="1"/>
  <c r="U37" i="102" s="1"/>
  <c r="V37" i="102" s="1"/>
  <c r="P29" i="102"/>
  <c r="Q29" i="102" s="1"/>
  <c r="R29" i="102" s="1"/>
  <c r="S29" i="102" s="1"/>
  <c r="T29" i="102" s="1"/>
  <c r="U29" i="102" s="1"/>
  <c r="V29" i="102" s="1"/>
  <c r="P21" i="102"/>
  <c r="P13" i="102"/>
  <c r="AH16" i="102"/>
  <c r="AI16" i="102" s="1"/>
  <c r="AJ16" i="102" s="1"/>
  <c r="AK16" i="102" s="1"/>
  <c r="AL16" i="102" s="1"/>
  <c r="AM16" i="102" s="1"/>
  <c r="AN16" i="102" s="1"/>
  <c r="AH17" i="102"/>
  <c r="AI17" i="102" s="1"/>
  <c r="AJ17" i="102" s="1"/>
  <c r="AK17" i="102" s="1"/>
  <c r="AL17" i="102" s="1"/>
  <c r="AM17" i="102" s="1"/>
  <c r="AN17" i="102" s="1"/>
  <c r="AH18" i="102"/>
  <c r="AI18" i="102" s="1"/>
  <c r="AJ18" i="102" s="1"/>
  <c r="AK18" i="102" s="1"/>
  <c r="AL18" i="102" s="1"/>
  <c r="AM18" i="102" s="1"/>
  <c r="AN18" i="102" s="1"/>
  <c r="AH19" i="102"/>
  <c r="AI19" i="102" s="1"/>
  <c r="AJ19" i="102" s="1"/>
  <c r="AK19" i="102" s="1"/>
  <c r="AL19" i="102" s="1"/>
  <c r="AM19" i="102" s="1"/>
  <c r="AN19" i="102" s="1"/>
  <c r="AS43" i="102"/>
  <c r="P43" i="102" s="1"/>
  <c r="AS35" i="102"/>
  <c r="P35" i="102" s="1"/>
  <c r="AS27" i="102"/>
  <c r="AH20" i="102"/>
  <c r="AI20" i="102" s="1"/>
  <c r="AJ20" i="102" s="1"/>
  <c r="AK20" i="102" s="1"/>
  <c r="AL20" i="102" s="1"/>
  <c r="AM20" i="102" s="1"/>
  <c r="AN20" i="102" s="1"/>
  <c r="P45" i="102"/>
  <c r="Q45" i="102" s="1"/>
  <c r="R45" i="102" s="1"/>
  <c r="S45" i="102" s="1"/>
  <c r="T45" i="102" s="1"/>
  <c r="U45" i="102" s="1"/>
  <c r="V45" i="102" s="1"/>
  <c r="AH22" i="102"/>
  <c r="AI22" i="102" s="1"/>
  <c r="AJ22" i="102" s="1"/>
  <c r="AK22" i="102" s="1"/>
  <c r="AL22" i="102" s="1"/>
  <c r="AM22" i="102" s="1"/>
  <c r="AN22" i="102" s="1"/>
  <c r="AQ8" i="102"/>
  <c r="AX8" i="102"/>
  <c r="Y9" i="102"/>
  <c r="AH9" i="102"/>
  <c r="AI9" i="102" s="1"/>
  <c r="AJ9" i="102" s="1"/>
  <c r="AK9" i="102" s="1"/>
  <c r="AL9" i="102" s="1"/>
  <c r="AM9" i="102" s="1"/>
  <c r="AN9" i="102" s="1"/>
  <c r="AH24" i="102"/>
  <c r="AI24" i="102" s="1"/>
  <c r="AJ24" i="102" s="1"/>
  <c r="AK24" i="102" s="1"/>
  <c r="AL24" i="102" s="1"/>
  <c r="AM24" i="102" s="1"/>
  <c r="AN24" i="102" s="1"/>
  <c r="AH25" i="102"/>
  <c r="AI25" i="102" s="1"/>
  <c r="AJ25" i="102" s="1"/>
  <c r="AK25" i="102" s="1"/>
  <c r="AL25" i="102" s="1"/>
  <c r="AM25" i="102" s="1"/>
  <c r="AN25" i="102" s="1"/>
  <c r="Y35" i="102"/>
  <c r="AH35" i="102"/>
  <c r="AI35" i="102" s="1"/>
  <c r="AJ35" i="102" s="1"/>
  <c r="AK35" i="102" s="1"/>
  <c r="AL35" i="102" s="1"/>
  <c r="AM35" i="102" s="1"/>
  <c r="AN35" i="102" s="1"/>
  <c r="AH8" i="102"/>
  <c r="AI8" i="102" s="1"/>
  <c r="AJ8" i="102" s="1"/>
  <c r="AK8" i="102" s="1"/>
  <c r="AL8" i="102" s="1"/>
  <c r="AM8" i="102" s="1"/>
  <c r="AN8" i="102" s="1"/>
  <c r="AH23" i="102"/>
  <c r="AI23" i="102" s="1"/>
  <c r="AJ23" i="102" s="1"/>
  <c r="AK23" i="102" s="1"/>
  <c r="AL23" i="102" s="1"/>
  <c r="AM23" i="102" s="1"/>
  <c r="AN23" i="102" s="1"/>
  <c r="AH10" i="102"/>
  <c r="AI10" i="102" s="1"/>
  <c r="AJ10" i="102" s="1"/>
  <c r="AK10" i="102" s="1"/>
  <c r="AL10" i="102" s="1"/>
  <c r="AM10" i="102" s="1"/>
  <c r="AN10" i="102" s="1"/>
  <c r="Y27" i="102"/>
  <c r="AH27" i="102"/>
  <c r="AI27" i="102" s="1"/>
  <c r="AJ27" i="102" s="1"/>
  <c r="AK27" i="102" s="1"/>
  <c r="AL27" i="102" s="1"/>
  <c r="AM27" i="102" s="1"/>
  <c r="AN27" i="102" s="1"/>
  <c r="AH21" i="102"/>
  <c r="AI21" i="102" s="1"/>
  <c r="AJ21" i="102" s="1"/>
  <c r="AK21" i="102" s="1"/>
  <c r="AL21" i="102" s="1"/>
  <c r="AM21" i="102" s="1"/>
  <c r="AN21" i="102" s="1"/>
  <c r="AH11" i="102"/>
  <c r="AI11" i="102" s="1"/>
  <c r="AJ11" i="102" s="1"/>
  <c r="AK11" i="102" s="1"/>
  <c r="AL11" i="102" s="1"/>
  <c r="AM11" i="102" s="1"/>
  <c r="AN11" i="102" s="1"/>
  <c r="AH26" i="102"/>
  <c r="AI26" i="102" s="1"/>
  <c r="AJ26" i="102" s="1"/>
  <c r="AK26" i="102" s="1"/>
  <c r="AL26" i="102" s="1"/>
  <c r="AM26" i="102" s="1"/>
  <c r="AN26" i="102" s="1"/>
  <c r="AH12" i="102"/>
  <c r="AI12" i="102" s="1"/>
  <c r="AJ12" i="102" s="1"/>
  <c r="AK12" i="102" s="1"/>
  <c r="AL12" i="102" s="1"/>
  <c r="AM12" i="102" s="1"/>
  <c r="AN12" i="102" s="1"/>
  <c r="Y28" i="102"/>
  <c r="AH28" i="102"/>
  <c r="AI28" i="102" s="1"/>
  <c r="AJ28" i="102" s="1"/>
  <c r="AK28" i="102" s="1"/>
  <c r="AL28" i="102" s="1"/>
  <c r="AM28" i="102" s="1"/>
  <c r="AN28" i="102" s="1"/>
  <c r="AH29" i="102"/>
  <c r="AI29" i="102" s="1"/>
  <c r="AJ29" i="102" s="1"/>
  <c r="AK29" i="102" s="1"/>
  <c r="AL29" i="102" s="1"/>
  <c r="AM29" i="102" s="1"/>
  <c r="AN29" i="102" s="1"/>
  <c r="N6" i="103"/>
  <c r="DB12" i="103" s="1"/>
  <c r="AF45" i="103"/>
  <c r="N45" i="103" s="1"/>
  <c r="DB49" i="103" s="1"/>
  <c r="DC49" i="103" s="1"/>
  <c r="DD49" i="103" s="1"/>
  <c r="DE49" i="103" s="1"/>
  <c r="DF49" i="103" s="1"/>
  <c r="DG49" i="103" s="1"/>
  <c r="DH49" i="103" s="1"/>
  <c r="DI49" i="103" s="1"/>
  <c r="DJ49" i="103" s="1"/>
  <c r="DK49" i="103" s="1"/>
  <c r="DL49" i="103" s="1"/>
  <c r="DM49" i="103" s="1"/>
  <c r="DN49" i="103" s="1"/>
  <c r="DO49" i="103" s="1"/>
  <c r="DP49" i="103" s="1"/>
  <c r="DQ49" i="103" s="1"/>
  <c r="DR49" i="103" s="1"/>
  <c r="DS49" i="103" s="1"/>
  <c r="DT49" i="103" s="1"/>
  <c r="DU49" i="103" s="1"/>
  <c r="AF36" i="103"/>
  <c r="N36" i="103" s="1"/>
  <c r="DB40" i="103" s="1"/>
  <c r="DC40" i="103" s="1"/>
  <c r="DD40" i="103" s="1"/>
  <c r="DE40" i="103" s="1"/>
  <c r="DF40" i="103" s="1"/>
  <c r="DG40" i="103" s="1"/>
  <c r="DH40" i="103" s="1"/>
  <c r="DI40" i="103" s="1"/>
  <c r="DJ40" i="103" s="1"/>
  <c r="DK40" i="103" s="1"/>
  <c r="DL40" i="103" s="1"/>
  <c r="DM40" i="103" s="1"/>
  <c r="DN40" i="103" s="1"/>
  <c r="DO40" i="103" s="1"/>
  <c r="DP40" i="103" s="1"/>
  <c r="DQ40" i="103" s="1"/>
  <c r="DR40" i="103" s="1"/>
  <c r="DS40" i="103" s="1"/>
  <c r="DT40" i="103" s="1"/>
  <c r="DU40" i="103" s="1"/>
  <c r="AG45" i="103"/>
  <c r="O45" i="103" s="1"/>
  <c r="DV49" i="103" s="1"/>
  <c r="DW49" i="103" s="1"/>
  <c r="DX49" i="103" s="1"/>
  <c r="DY49" i="103" s="1"/>
  <c r="DZ49" i="103" s="1"/>
  <c r="EA49" i="103" s="1"/>
  <c r="EB49" i="103" s="1"/>
  <c r="EC49" i="103" s="1"/>
  <c r="ED49" i="103" s="1"/>
  <c r="EE49" i="103" s="1"/>
  <c r="EF49" i="103" s="1"/>
  <c r="EG49" i="103" s="1"/>
  <c r="EH49" i="103" s="1"/>
  <c r="EI49" i="103" s="1"/>
  <c r="EJ49" i="103" s="1"/>
  <c r="EK49" i="103" s="1"/>
  <c r="EL49" i="103" s="1"/>
  <c r="EM49" i="103" s="1"/>
  <c r="EN49" i="103" s="1"/>
  <c r="EO49" i="103" s="1"/>
  <c r="AG36" i="103"/>
  <c r="O36" i="103" s="1"/>
  <c r="DV40" i="103" s="1"/>
  <c r="DW40" i="103" s="1"/>
  <c r="DX40" i="103" s="1"/>
  <c r="DY40" i="103" s="1"/>
  <c r="DZ40" i="103" s="1"/>
  <c r="EA40" i="103" s="1"/>
  <c r="EB40" i="103" s="1"/>
  <c r="EC40" i="103" s="1"/>
  <c r="ED40" i="103" s="1"/>
  <c r="EE40" i="103" s="1"/>
  <c r="EF40" i="103" s="1"/>
  <c r="EG40" i="103" s="1"/>
  <c r="EH40" i="103" s="1"/>
  <c r="EI40" i="103" s="1"/>
  <c r="EJ40" i="103" s="1"/>
  <c r="EK40" i="103" s="1"/>
  <c r="EL40" i="103" s="1"/>
  <c r="EM40" i="103" s="1"/>
  <c r="EN40" i="103" s="1"/>
  <c r="EO40" i="103" s="1"/>
  <c r="O6" i="103"/>
  <c r="DV12" i="103" s="1"/>
  <c r="DW12" i="103" s="1"/>
  <c r="DX12" i="103" s="1"/>
  <c r="DY12" i="103" s="1"/>
  <c r="DZ12" i="103" s="1"/>
  <c r="EA12" i="103" s="1"/>
  <c r="EB12" i="103" s="1"/>
  <c r="EC12" i="103" s="1"/>
  <c r="ED12" i="103" s="1"/>
  <c r="EE12" i="103" s="1"/>
  <c r="EF12" i="103" s="1"/>
  <c r="EG12" i="103" s="1"/>
  <c r="EH12" i="103" s="1"/>
  <c r="EI12" i="103" s="1"/>
  <c r="EJ12" i="103" s="1"/>
  <c r="EK12" i="103" s="1"/>
  <c r="EL12" i="103" s="1"/>
  <c r="EM12" i="103" s="1"/>
  <c r="EN12" i="103" s="1"/>
  <c r="EO12" i="103" s="1"/>
  <c r="AH45" i="103"/>
  <c r="P45" i="103" s="1"/>
  <c r="EP49" i="103" s="1"/>
  <c r="EQ49" i="103" s="1"/>
  <c r="ER49" i="103" s="1"/>
  <c r="ES49" i="103" s="1"/>
  <c r="ET49" i="103" s="1"/>
  <c r="EU49" i="103" s="1"/>
  <c r="EV49" i="103" s="1"/>
  <c r="EW49" i="103" s="1"/>
  <c r="EX49" i="103" s="1"/>
  <c r="EY49" i="103" s="1"/>
  <c r="EZ49" i="103" s="1"/>
  <c r="FA49" i="103" s="1"/>
  <c r="FB49" i="103" s="1"/>
  <c r="FC49" i="103" s="1"/>
  <c r="FD49" i="103" s="1"/>
  <c r="FE49" i="103" s="1"/>
  <c r="FF49" i="103" s="1"/>
  <c r="FG49" i="103" s="1"/>
  <c r="FH49" i="103" s="1"/>
  <c r="FI49" i="103" s="1"/>
  <c r="AH36" i="103"/>
  <c r="P36" i="103" s="1"/>
  <c r="EP40" i="103" s="1"/>
  <c r="EQ40" i="103" s="1"/>
  <c r="ER40" i="103" s="1"/>
  <c r="ES40" i="103" s="1"/>
  <c r="ET40" i="103" s="1"/>
  <c r="EU40" i="103" s="1"/>
  <c r="EV40" i="103" s="1"/>
  <c r="EW40" i="103" s="1"/>
  <c r="EX40" i="103" s="1"/>
  <c r="EY40" i="103" s="1"/>
  <c r="EZ40" i="103" s="1"/>
  <c r="FA40" i="103" s="1"/>
  <c r="FB40" i="103" s="1"/>
  <c r="FC40" i="103" s="1"/>
  <c r="FD40" i="103" s="1"/>
  <c r="FE40" i="103" s="1"/>
  <c r="FF40" i="103" s="1"/>
  <c r="FG40" i="103" s="1"/>
  <c r="FH40" i="103" s="1"/>
  <c r="FI40" i="103" s="1"/>
  <c r="P6" i="103"/>
  <c r="EP12" i="103" s="1"/>
  <c r="EQ12" i="103" s="1"/>
  <c r="ER12" i="103" s="1"/>
  <c r="ES12" i="103" s="1"/>
  <c r="ET12" i="103" s="1"/>
  <c r="EU12" i="103" s="1"/>
  <c r="EV12" i="103" s="1"/>
  <c r="EW12" i="103" s="1"/>
  <c r="EX12" i="103" s="1"/>
  <c r="EY12" i="103" s="1"/>
  <c r="EZ12" i="103" s="1"/>
  <c r="FA12" i="103" s="1"/>
  <c r="FB12" i="103" s="1"/>
  <c r="FC12" i="103" s="1"/>
  <c r="FD12" i="103" s="1"/>
  <c r="FE12" i="103" s="1"/>
  <c r="FF12" i="103" s="1"/>
  <c r="FG12" i="103" s="1"/>
  <c r="FH12" i="103" s="1"/>
  <c r="FI12" i="103" s="1"/>
  <c r="AI27" i="103"/>
  <c r="Q27" i="103" s="1"/>
  <c r="FJ31" i="103" s="1"/>
  <c r="FK31" i="103" s="1"/>
  <c r="FL31" i="103" s="1"/>
  <c r="FM31" i="103" s="1"/>
  <c r="FN31" i="103" s="1"/>
  <c r="FO31" i="103" s="1"/>
  <c r="FP31" i="103" s="1"/>
  <c r="FQ31" i="103" s="1"/>
  <c r="FR31" i="103" s="1"/>
  <c r="FS31" i="103" s="1"/>
  <c r="FT31" i="103" s="1"/>
  <c r="FU31" i="103" s="1"/>
  <c r="FV31" i="103" s="1"/>
  <c r="FW31" i="103" s="1"/>
  <c r="FX31" i="103" s="1"/>
  <c r="FY31" i="103" s="1"/>
  <c r="FZ31" i="103" s="1"/>
  <c r="GA31" i="103" s="1"/>
  <c r="GB31" i="103" s="1"/>
  <c r="GC31" i="103" s="1"/>
  <c r="AI45" i="103"/>
  <c r="Q45" i="103" s="1"/>
  <c r="FJ49" i="103" s="1"/>
  <c r="FK49" i="103" s="1"/>
  <c r="FL49" i="103" s="1"/>
  <c r="FM49" i="103" s="1"/>
  <c r="FN49" i="103" s="1"/>
  <c r="FO49" i="103" s="1"/>
  <c r="FP49" i="103" s="1"/>
  <c r="FQ49" i="103" s="1"/>
  <c r="FR49" i="103" s="1"/>
  <c r="FS49" i="103" s="1"/>
  <c r="FT49" i="103" s="1"/>
  <c r="FU49" i="103" s="1"/>
  <c r="FV49" i="103" s="1"/>
  <c r="FW49" i="103" s="1"/>
  <c r="FX49" i="103" s="1"/>
  <c r="FY49" i="103" s="1"/>
  <c r="FZ49" i="103" s="1"/>
  <c r="GA49" i="103" s="1"/>
  <c r="GB49" i="103" s="1"/>
  <c r="GC49" i="103" s="1"/>
  <c r="AI36" i="103"/>
  <c r="Q36" i="103" s="1"/>
  <c r="FJ40" i="103" s="1"/>
  <c r="FK40" i="103" s="1"/>
  <c r="FL40" i="103" s="1"/>
  <c r="FM40" i="103" s="1"/>
  <c r="FN40" i="103" s="1"/>
  <c r="FO40" i="103" s="1"/>
  <c r="FP40" i="103" s="1"/>
  <c r="FQ40" i="103" s="1"/>
  <c r="FR40" i="103" s="1"/>
  <c r="FS40" i="103" s="1"/>
  <c r="FT40" i="103" s="1"/>
  <c r="FU40" i="103" s="1"/>
  <c r="FV40" i="103" s="1"/>
  <c r="FW40" i="103" s="1"/>
  <c r="FX40" i="103" s="1"/>
  <c r="FY40" i="103" s="1"/>
  <c r="FZ40" i="103" s="1"/>
  <c r="GA40" i="103" s="1"/>
  <c r="GB40" i="103" s="1"/>
  <c r="GC40" i="103" s="1"/>
  <c r="AJ27" i="103"/>
  <c r="R27" i="103" s="1"/>
  <c r="GD31" i="103" s="1"/>
  <c r="GE31" i="103" s="1"/>
  <c r="GF31" i="103" s="1"/>
  <c r="GG31" i="103" s="1"/>
  <c r="GH31" i="103" s="1"/>
  <c r="GI31" i="103" s="1"/>
  <c r="GJ31" i="103" s="1"/>
  <c r="GK31" i="103" s="1"/>
  <c r="GL31" i="103" s="1"/>
  <c r="GM31" i="103" s="1"/>
  <c r="AJ45" i="103"/>
  <c r="R45" i="103" s="1"/>
  <c r="GD49" i="103" s="1"/>
  <c r="GE49" i="103" s="1"/>
  <c r="GF49" i="103" s="1"/>
  <c r="GG49" i="103" s="1"/>
  <c r="GH49" i="103" s="1"/>
  <c r="GI49" i="103" s="1"/>
  <c r="GJ49" i="103" s="1"/>
  <c r="GK49" i="103" s="1"/>
  <c r="GL49" i="103" s="1"/>
  <c r="GM49" i="103" s="1"/>
  <c r="AJ36" i="103"/>
  <c r="R36" i="103" s="1"/>
  <c r="GD40" i="103" s="1"/>
  <c r="GE40" i="103" s="1"/>
  <c r="GF40" i="103" s="1"/>
  <c r="GG40" i="103" s="1"/>
  <c r="GH40" i="103" s="1"/>
  <c r="GI40" i="103" s="1"/>
  <c r="GJ40" i="103" s="1"/>
  <c r="GK40" i="103" s="1"/>
  <c r="GL40" i="103" s="1"/>
  <c r="GM40" i="103" s="1"/>
  <c r="AK45" i="103"/>
  <c r="S45" i="103" s="1"/>
  <c r="GN49" i="103" s="1"/>
  <c r="GO49" i="103" s="1"/>
  <c r="GP49" i="103" s="1"/>
  <c r="GQ49" i="103" s="1"/>
  <c r="GR49" i="103" s="1"/>
  <c r="AK36" i="103"/>
  <c r="S36" i="103" s="1"/>
  <c r="GN40" i="103" s="1"/>
  <c r="GO40" i="103" s="1"/>
  <c r="GP40" i="103" s="1"/>
  <c r="GQ40" i="103" s="1"/>
  <c r="GR40" i="103" s="1"/>
  <c r="AL18" i="103"/>
  <c r="T18" i="103" s="1"/>
  <c r="GS22" i="103" s="1"/>
  <c r="GT22" i="103" s="1"/>
  <c r="GU22" i="103" s="1"/>
  <c r="GV22" i="103" s="1"/>
  <c r="AL45" i="103"/>
  <c r="T45" i="103" s="1"/>
  <c r="GS49" i="103" s="1"/>
  <c r="GT49" i="103" s="1"/>
  <c r="GU49" i="103" s="1"/>
  <c r="GV49" i="103" s="1"/>
  <c r="AL36" i="103"/>
  <c r="T36" i="103" s="1"/>
  <c r="GS40" i="103" s="1"/>
  <c r="GT40" i="103" s="1"/>
  <c r="GU40" i="103" s="1"/>
  <c r="GV40" i="103" s="1"/>
  <c r="AM27" i="103"/>
  <c r="U27" i="103" s="1"/>
  <c r="GW31" i="103" s="1"/>
  <c r="AM45" i="103"/>
  <c r="U45" i="103" s="1"/>
  <c r="GW49" i="103" s="1"/>
  <c r="AM36" i="103"/>
  <c r="U36" i="103" s="1"/>
  <c r="GW40" i="103" s="1"/>
  <c r="AA27" i="103"/>
  <c r="AA45" i="103"/>
  <c r="AA36" i="103"/>
  <c r="AB45" i="103"/>
  <c r="AB36" i="103"/>
  <c r="AT36" i="103" s="1"/>
  <c r="J36" i="103" s="1"/>
  <c r="CQ40" i="103" s="1"/>
  <c r="CR40" i="103" s="1"/>
  <c r="CS40" i="103" s="1"/>
  <c r="CT40" i="103" s="1"/>
  <c r="CU40" i="103" s="1"/>
  <c r="AC45" i="103"/>
  <c r="AC36" i="103"/>
  <c r="AD27" i="103"/>
  <c r="AD45" i="103"/>
  <c r="AD36" i="103"/>
  <c r="W45" i="103"/>
  <c r="AO45" i="103" s="1"/>
  <c r="E45" i="103" s="1"/>
  <c r="E49" i="103" s="1"/>
  <c r="W36" i="103"/>
  <c r="AO36" i="103" s="1"/>
  <c r="E36" i="103" s="1"/>
  <c r="E40" i="103" s="1"/>
  <c r="X45" i="103"/>
  <c r="AP45" i="103" s="1"/>
  <c r="F45" i="103" s="1"/>
  <c r="Y49" i="103" s="1"/>
  <c r="Z49" i="103" s="1"/>
  <c r="AA49" i="103" s="1"/>
  <c r="AB49" i="103" s="1"/>
  <c r="AC49" i="103" s="1"/>
  <c r="AD49" i="103" s="1"/>
  <c r="AE49" i="103" s="1"/>
  <c r="AF49" i="103" s="1"/>
  <c r="AG49" i="103" s="1"/>
  <c r="AH49" i="103" s="1"/>
  <c r="AI49" i="103" s="1"/>
  <c r="AJ49" i="103" s="1"/>
  <c r="AK49" i="103" s="1"/>
  <c r="AL49" i="103" s="1"/>
  <c r="AM49" i="103" s="1"/>
  <c r="AN49" i="103" s="1"/>
  <c r="AO49" i="103" s="1"/>
  <c r="AP49" i="103" s="1"/>
  <c r="AQ49" i="103" s="1"/>
  <c r="AR49" i="103" s="1"/>
  <c r="X36" i="103"/>
  <c r="AP36" i="103" s="1"/>
  <c r="F36" i="103" s="1"/>
  <c r="Y40" i="103" s="1"/>
  <c r="Z40" i="103" s="1"/>
  <c r="AA40" i="103" s="1"/>
  <c r="AB40" i="103" s="1"/>
  <c r="AC40" i="103" s="1"/>
  <c r="AD40" i="103" s="1"/>
  <c r="AE40" i="103" s="1"/>
  <c r="AF40" i="103" s="1"/>
  <c r="AG40" i="103" s="1"/>
  <c r="AH40" i="103" s="1"/>
  <c r="AI40" i="103" s="1"/>
  <c r="AJ40" i="103" s="1"/>
  <c r="AK40" i="103" s="1"/>
  <c r="AL40" i="103" s="1"/>
  <c r="AM40" i="103" s="1"/>
  <c r="AN40" i="103" s="1"/>
  <c r="AO40" i="103" s="1"/>
  <c r="AP40" i="103" s="1"/>
  <c r="AQ40" i="103" s="1"/>
  <c r="AR40" i="103" s="1"/>
  <c r="Y45" i="103"/>
  <c r="AQ45" i="103" s="1"/>
  <c r="G45" i="103" s="1"/>
  <c r="AS49" i="103" s="1"/>
  <c r="AT49" i="103" s="1"/>
  <c r="AU49" i="103" s="1"/>
  <c r="AV49" i="103" s="1"/>
  <c r="AW49" i="103" s="1"/>
  <c r="AX49" i="103" s="1"/>
  <c r="AY49" i="103" s="1"/>
  <c r="AZ49" i="103" s="1"/>
  <c r="BA49" i="103" s="1"/>
  <c r="BB49" i="103" s="1"/>
  <c r="BC49" i="103" s="1"/>
  <c r="BD49" i="103" s="1"/>
  <c r="BE49" i="103" s="1"/>
  <c r="BF49" i="103" s="1"/>
  <c r="BG49" i="103" s="1"/>
  <c r="BH49" i="103" s="1"/>
  <c r="BI49" i="103" s="1"/>
  <c r="BJ49" i="103" s="1"/>
  <c r="BK49" i="103" s="1"/>
  <c r="BL49" i="103" s="1"/>
  <c r="Y36" i="103"/>
  <c r="AQ36" i="103" s="1"/>
  <c r="G36" i="103" s="1"/>
  <c r="AS40" i="103" s="1"/>
  <c r="AT40" i="103" s="1"/>
  <c r="AU40" i="103" s="1"/>
  <c r="AV40" i="103" s="1"/>
  <c r="AW40" i="103" s="1"/>
  <c r="AX40" i="103" s="1"/>
  <c r="AY40" i="103" s="1"/>
  <c r="AZ40" i="103" s="1"/>
  <c r="BA40" i="103" s="1"/>
  <c r="BB40" i="103" s="1"/>
  <c r="BC40" i="103" s="1"/>
  <c r="BD40" i="103" s="1"/>
  <c r="BE40" i="103" s="1"/>
  <c r="BF40" i="103" s="1"/>
  <c r="BG40" i="103" s="1"/>
  <c r="BH40" i="103" s="1"/>
  <c r="BI40" i="103" s="1"/>
  <c r="BJ40" i="103" s="1"/>
  <c r="BK40" i="103" s="1"/>
  <c r="BL40" i="103" s="1"/>
  <c r="Z27" i="103"/>
  <c r="AR27" i="103" s="1"/>
  <c r="H27" i="103" s="1"/>
  <c r="BM31" i="103" s="1"/>
  <c r="BN31" i="103" s="1"/>
  <c r="BO31" i="103" s="1"/>
  <c r="BP31" i="103" s="1"/>
  <c r="BQ31" i="103" s="1"/>
  <c r="BR31" i="103" s="1"/>
  <c r="BS31" i="103" s="1"/>
  <c r="BT31" i="103" s="1"/>
  <c r="BU31" i="103" s="1"/>
  <c r="BV31" i="103" s="1"/>
  <c r="BW31" i="103" s="1"/>
  <c r="BX31" i="103" s="1"/>
  <c r="BY31" i="103" s="1"/>
  <c r="BZ31" i="103" s="1"/>
  <c r="CA31" i="103" s="1"/>
  <c r="CB31" i="103" s="1"/>
  <c r="CC31" i="103" s="1"/>
  <c r="CD31" i="103" s="1"/>
  <c r="CE31" i="103" s="1"/>
  <c r="CF31" i="103" s="1"/>
  <c r="Z45" i="103"/>
  <c r="Z36" i="103"/>
  <c r="AR36" i="103" s="1"/>
  <c r="H36" i="103" s="1"/>
  <c r="BM40" i="103" s="1"/>
  <c r="BN40" i="103" s="1"/>
  <c r="BO40" i="103" s="1"/>
  <c r="BP40" i="103" s="1"/>
  <c r="BQ40" i="103" s="1"/>
  <c r="BR40" i="103" s="1"/>
  <c r="BS40" i="103" s="1"/>
  <c r="BT40" i="103" s="1"/>
  <c r="BU40" i="103" s="1"/>
  <c r="BV40" i="103" s="1"/>
  <c r="BW40" i="103" s="1"/>
  <c r="BX40" i="103" s="1"/>
  <c r="BY40" i="103" s="1"/>
  <c r="BZ40" i="103" s="1"/>
  <c r="CA40" i="103" s="1"/>
  <c r="CB40" i="103" s="1"/>
  <c r="CC40" i="103" s="1"/>
  <c r="CD40" i="103" s="1"/>
  <c r="CE40" i="103" s="1"/>
  <c r="CF40" i="103" s="1"/>
  <c r="X27" i="103"/>
  <c r="X18" i="103"/>
  <c r="AG27" i="103"/>
  <c r="O27" i="103" s="1"/>
  <c r="DV31" i="103" s="1"/>
  <c r="DW31" i="103" s="1"/>
  <c r="DX31" i="103" s="1"/>
  <c r="DY31" i="103" s="1"/>
  <c r="DZ31" i="103" s="1"/>
  <c r="EA31" i="103" s="1"/>
  <c r="EB31" i="103" s="1"/>
  <c r="EC31" i="103" s="1"/>
  <c r="ED31" i="103" s="1"/>
  <c r="EE31" i="103" s="1"/>
  <c r="EF31" i="103" s="1"/>
  <c r="EG31" i="103" s="1"/>
  <c r="EH31" i="103" s="1"/>
  <c r="EI31" i="103" s="1"/>
  <c r="EJ31" i="103" s="1"/>
  <c r="EK31" i="103" s="1"/>
  <c r="EL31" i="103" s="1"/>
  <c r="EM31" i="103" s="1"/>
  <c r="EN31" i="103" s="1"/>
  <c r="EO31" i="103" s="1"/>
  <c r="AG18" i="103"/>
  <c r="O18" i="103" s="1"/>
  <c r="DV22" i="103" s="1"/>
  <c r="DW22" i="103" s="1"/>
  <c r="DX22" i="103" s="1"/>
  <c r="DY22" i="103" s="1"/>
  <c r="DZ22" i="103" s="1"/>
  <c r="EA22" i="103" s="1"/>
  <c r="EB22" i="103" s="1"/>
  <c r="EC22" i="103" s="1"/>
  <c r="ED22" i="103" s="1"/>
  <c r="EE22" i="103" s="1"/>
  <c r="EF22" i="103" s="1"/>
  <c r="EG22" i="103" s="1"/>
  <c r="EH22" i="103" s="1"/>
  <c r="EI22" i="103" s="1"/>
  <c r="EJ22" i="103" s="1"/>
  <c r="EK22" i="103" s="1"/>
  <c r="EL22" i="103" s="1"/>
  <c r="EM22" i="103" s="1"/>
  <c r="EN22" i="103" s="1"/>
  <c r="EO22" i="103" s="1"/>
  <c r="AP6" i="103"/>
  <c r="F6" i="103" s="1"/>
  <c r="Y12" i="103" s="1"/>
  <c r="Z12" i="103" s="1"/>
  <c r="AA12" i="103" s="1"/>
  <c r="AB12" i="103" s="1"/>
  <c r="AC12" i="103" s="1"/>
  <c r="AD12" i="103" s="1"/>
  <c r="AE12" i="103" s="1"/>
  <c r="AF12" i="103" s="1"/>
  <c r="AG12" i="103" s="1"/>
  <c r="AH12" i="103" s="1"/>
  <c r="AI12" i="103" s="1"/>
  <c r="AJ12" i="103" s="1"/>
  <c r="AK12" i="103" s="1"/>
  <c r="AL12" i="103" s="1"/>
  <c r="AM12" i="103" s="1"/>
  <c r="AN12" i="103" s="1"/>
  <c r="AO12" i="103" s="1"/>
  <c r="AP12" i="103" s="1"/>
  <c r="AQ12" i="103" s="1"/>
  <c r="AR12" i="103" s="1"/>
  <c r="Y27" i="103"/>
  <c r="Y18" i="103"/>
  <c r="AH27" i="103"/>
  <c r="P27" i="103" s="1"/>
  <c r="EP31" i="103" s="1"/>
  <c r="EQ31" i="103" s="1"/>
  <c r="ER31" i="103" s="1"/>
  <c r="ES31" i="103" s="1"/>
  <c r="ET31" i="103" s="1"/>
  <c r="EU31" i="103" s="1"/>
  <c r="EV31" i="103" s="1"/>
  <c r="EW31" i="103" s="1"/>
  <c r="EX31" i="103" s="1"/>
  <c r="EY31" i="103" s="1"/>
  <c r="EZ31" i="103" s="1"/>
  <c r="FA31" i="103" s="1"/>
  <c r="FB31" i="103" s="1"/>
  <c r="FC31" i="103" s="1"/>
  <c r="FD31" i="103" s="1"/>
  <c r="FE31" i="103" s="1"/>
  <c r="FF31" i="103" s="1"/>
  <c r="FG31" i="103" s="1"/>
  <c r="FH31" i="103" s="1"/>
  <c r="FI31" i="103" s="1"/>
  <c r="AH18" i="103"/>
  <c r="P18" i="103" s="1"/>
  <c r="EP22" i="103" s="1"/>
  <c r="EQ22" i="103" s="1"/>
  <c r="ER22" i="103" s="1"/>
  <c r="ES22" i="103" s="1"/>
  <c r="ET22" i="103" s="1"/>
  <c r="EU22" i="103" s="1"/>
  <c r="EV22" i="103" s="1"/>
  <c r="EW22" i="103" s="1"/>
  <c r="EX22" i="103" s="1"/>
  <c r="EY22" i="103" s="1"/>
  <c r="EZ22" i="103" s="1"/>
  <c r="FA22" i="103" s="1"/>
  <c r="FB22" i="103" s="1"/>
  <c r="FC22" i="103" s="1"/>
  <c r="FD22" i="103" s="1"/>
  <c r="FE22" i="103" s="1"/>
  <c r="FF22" i="103" s="1"/>
  <c r="FG22" i="103" s="1"/>
  <c r="FH22" i="103" s="1"/>
  <c r="FI22" i="103" s="1"/>
  <c r="AQ6" i="103"/>
  <c r="G6" i="103" s="1"/>
  <c r="AS12" i="103" s="1"/>
  <c r="AT12" i="103" s="1"/>
  <c r="AU12" i="103" s="1"/>
  <c r="AV12" i="103" s="1"/>
  <c r="AW12" i="103" s="1"/>
  <c r="AX12" i="103" s="1"/>
  <c r="AY12" i="103" s="1"/>
  <c r="AZ12" i="103" s="1"/>
  <c r="BA12" i="103" s="1"/>
  <c r="BB12" i="103" s="1"/>
  <c r="BC12" i="103" s="1"/>
  <c r="BD12" i="103" s="1"/>
  <c r="BE12" i="103" s="1"/>
  <c r="BF12" i="103" s="1"/>
  <c r="BG12" i="103" s="1"/>
  <c r="BH12" i="103" s="1"/>
  <c r="BI12" i="103" s="1"/>
  <c r="BJ12" i="103" s="1"/>
  <c r="BK12" i="103" s="1"/>
  <c r="BL12" i="103" s="1"/>
  <c r="AS27" i="103"/>
  <c r="I27" i="103" s="1"/>
  <c r="CG31" i="103" s="1"/>
  <c r="CH31" i="103" s="1"/>
  <c r="CI31" i="103" s="1"/>
  <c r="CJ31" i="103" s="1"/>
  <c r="CK31" i="103" s="1"/>
  <c r="CL31" i="103" s="1"/>
  <c r="CM31" i="103" s="1"/>
  <c r="CN31" i="103" s="1"/>
  <c r="CO31" i="103" s="1"/>
  <c r="CP31" i="103" s="1"/>
  <c r="AS6" i="103"/>
  <c r="I6" i="103" s="1"/>
  <c r="CG12" i="103" s="1"/>
  <c r="CH12" i="103" s="1"/>
  <c r="CI12" i="103" s="1"/>
  <c r="CJ12" i="103" s="1"/>
  <c r="CK12" i="103" s="1"/>
  <c r="CL12" i="103" s="1"/>
  <c r="CM12" i="103" s="1"/>
  <c r="CN12" i="103" s="1"/>
  <c r="CO12" i="103" s="1"/>
  <c r="CP12" i="103" s="1"/>
  <c r="AA18" i="103"/>
  <c r="AL27" i="103"/>
  <c r="T27" i="103" s="1"/>
  <c r="GS31" i="103" s="1"/>
  <c r="GT31" i="103" s="1"/>
  <c r="GU31" i="103" s="1"/>
  <c r="GV31" i="103" s="1"/>
  <c r="Q6" i="103"/>
  <c r="FJ12" i="103" s="1"/>
  <c r="FK12" i="103" s="1"/>
  <c r="FL12" i="103" s="1"/>
  <c r="FM12" i="103" s="1"/>
  <c r="FN12" i="103" s="1"/>
  <c r="FO12" i="103" s="1"/>
  <c r="FP12" i="103" s="1"/>
  <c r="FQ12" i="103" s="1"/>
  <c r="FR12" i="103" s="1"/>
  <c r="FS12" i="103" s="1"/>
  <c r="FT12" i="103" s="1"/>
  <c r="FU12" i="103" s="1"/>
  <c r="FV12" i="103" s="1"/>
  <c r="FW12" i="103" s="1"/>
  <c r="FX12" i="103" s="1"/>
  <c r="FY12" i="103" s="1"/>
  <c r="FZ12" i="103" s="1"/>
  <c r="GA12" i="103" s="1"/>
  <c r="GB12" i="103" s="1"/>
  <c r="GC12" i="103" s="1"/>
  <c r="AR6" i="103"/>
  <c r="H6" i="103" s="1"/>
  <c r="BM12" i="103" s="1"/>
  <c r="BN12" i="103" s="1"/>
  <c r="BO12" i="103" s="1"/>
  <c r="BP12" i="103" s="1"/>
  <c r="BQ12" i="103" s="1"/>
  <c r="BR12" i="103" s="1"/>
  <c r="BS12" i="103" s="1"/>
  <c r="BT12" i="103" s="1"/>
  <c r="BU12" i="103" s="1"/>
  <c r="BV12" i="103" s="1"/>
  <c r="BW12" i="103" s="1"/>
  <c r="BX12" i="103" s="1"/>
  <c r="BY12" i="103" s="1"/>
  <c r="BZ12" i="103" s="1"/>
  <c r="CA12" i="103" s="1"/>
  <c r="CB12" i="103" s="1"/>
  <c r="CC12" i="103" s="1"/>
  <c r="CD12" i="103" s="1"/>
  <c r="CE12" i="103" s="1"/>
  <c r="CF12" i="103" s="1"/>
  <c r="AB27" i="103"/>
  <c r="AB18" i="103"/>
  <c r="AK27" i="103"/>
  <c r="S27" i="103" s="1"/>
  <c r="GN31" i="103" s="1"/>
  <c r="GO31" i="103" s="1"/>
  <c r="GP31" i="103" s="1"/>
  <c r="GQ31" i="103" s="1"/>
  <c r="GR31" i="103" s="1"/>
  <c r="AK18" i="103"/>
  <c r="S18" i="103" s="1"/>
  <c r="GN22" i="103" s="1"/>
  <c r="GO22" i="103" s="1"/>
  <c r="GP22" i="103" s="1"/>
  <c r="GQ22" i="103" s="1"/>
  <c r="GR22" i="103" s="1"/>
  <c r="AT6" i="103"/>
  <c r="J6" i="103" s="1"/>
  <c r="CQ12" i="103" s="1"/>
  <c r="CR12" i="103" s="1"/>
  <c r="CS12" i="103" s="1"/>
  <c r="CT12" i="103" s="1"/>
  <c r="CU12" i="103" s="1"/>
  <c r="AD18" i="103"/>
  <c r="Z18" i="103"/>
  <c r="AC18" i="103"/>
  <c r="AC27" i="103"/>
  <c r="AU6" i="103"/>
  <c r="K6" i="103" s="1"/>
  <c r="CV12" i="103" s="1"/>
  <c r="CW12" i="103" s="1"/>
  <c r="CX12" i="103" s="1"/>
  <c r="CY12" i="103" s="1"/>
  <c r="DC12" i="103"/>
  <c r="DD12" i="103" s="1"/>
  <c r="DE12" i="103" s="1"/>
  <c r="DF12" i="103" s="1"/>
  <c r="DG12" i="103" s="1"/>
  <c r="DH12" i="103" s="1"/>
  <c r="DI12" i="103" s="1"/>
  <c r="DJ12" i="103" s="1"/>
  <c r="DK12" i="103" s="1"/>
  <c r="DL12" i="103" s="1"/>
  <c r="DM12" i="103" s="1"/>
  <c r="DN12" i="103" s="1"/>
  <c r="DO12" i="103" s="1"/>
  <c r="DP12" i="103" s="1"/>
  <c r="DQ12" i="103" s="1"/>
  <c r="DR12" i="103" s="1"/>
  <c r="DS12" i="103" s="1"/>
  <c r="DT12" i="103" s="1"/>
  <c r="DU12" i="103" s="1"/>
  <c r="AI18" i="103"/>
  <c r="Q18" i="103" s="1"/>
  <c r="FJ22" i="103" s="1"/>
  <c r="FK22" i="103" s="1"/>
  <c r="FL22" i="103" s="1"/>
  <c r="FM22" i="103" s="1"/>
  <c r="FN22" i="103" s="1"/>
  <c r="FO22" i="103" s="1"/>
  <c r="FP22" i="103" s="1"/>
  <c r="FQ22" i="103" s="1"/>
  <c r="FR22" i="103" s="1"/>
  <c r="FS22" i="103" s="1"/>
  <c r="FT22" i="103" s="1"/>
  <c r="FU22" i="103" s="1"/>
  <c r="FV22" i="103" s="1"/>
  <c r="FW22" i="103" s="1"/>
  <c r="FX22" i="103" s="1"/>
  <c r="FY22" i="103" s="1"/>
  <c r="FZ22" i="103" s="1"/>
  <c r="GA22" i="103" s="1"/>
  <c r="GB22" i="103" s="1"/>
  <c r="GC22" i="103" s="1"/>
  <c r="AV6" i="103"/>
  <c r="L6" i="103" s="1"/>
  <c r="CZ12" i="103" s="1"/>
  <c r="AJ18" i="103"/>
  <c r="R18" i="103" s="1"/>
  <c r="GD22" i="103" s="1"/>
  <c r="GE22" i="103" s="1"/>
  <c r="GF22" i="103" s="1"/>
  <c r="GG22" i="103" s="1"/>
  <c r="GH22" i="103" s="1"/>
  <c r="GI22" i="103" s="1"/>
  <c r="GJ22" i="103" s="1"/>
  <c r="GK22" i="103" s="1"/>
  <c r="GL22" i="103" s="1"/>
  <c r="GM22" i="103" s="1"/>
  <c r="W27" i="103"/>
  <c r="W18" i="103"/>
  <c r="AF18" i="103"/>
  <c r="N18" i="103" s="1"/>
  <c r="DB22" i="103" s="1"/>
  <c r="AF27" i="103"/>
  <c r="N27" i="103" s="1"/>
  <c r="DB31" i="103" s="1"/>
  <c r="AO6" i="103"/>
  <c r="E6" i="103" s="1"/>
  <c r="E12" i="103" s="1"/>
  <c r="AM18" i="103"/>
  <c r="U18" i="103" s="1"/>
  <c r="GW22" i="103" s="1"/>
  <c r="G15" i="102"/>
  <c r="G41" i="102"/>
  <c r="Y41" i="102"/>
  <c r="Y43" i="102"/>
  <c r="G45" i="102"/>
  <c r="Y45" i="102"/>
  <c r="Y15" i="102"/>
  <c r="Y22" i="102"/>
  <c r="G27" i="102"/>
  <c r="Y33" i="102"/>
  <c r="Y36" i="102"/>
  <c r="G11" i="102"/>
  <c r="G42" i="102"/>
  <c r="Y18" i="102"/>
  <c r="G19" i="102"/>
  <c r="Y20" i="102"/>
  <c r="Y21" i="102"/>
  <c r="Y30" i="102"/>
  <c r="Y39" i="102"/>
  <c r="Y23" i="102"/>
  <c r="Y25" i="102"/>
  <c r="Y29" i="102"/>
  <c r="Y32" i="102"/>
  <c r="Y37" i="102"/>
  <c r="G33" i="102"/>
  <c r="R4" i="102"/>
  <c r="AA31" i="102" s="1"/>
  <c r="Y24" i="102"/>
  <c r="G29" i="102"/>
  <c r="Y40" i="102"/>
  <c r="Y13" i="102"/>
  <c r="G23" i="102"/>
  <c r="I45" i="102"/>
  <c r="I33" i="102"/>
  <c r="I29" i="102"/>
  <c r="AA45" i="102"/>
  <c r="AA33" i="102"/>
  <c r="AA40" i="102"/>
  <c r="AA24" i="102"/>
  <c r="AA22" i="102"/>
  <c r="AA18" i="102"/>
  <c r="S4" i="102"/>
  <c r="H11" i="102"/>
  <c r="Y17" i="102"/>
  <c r="G22" i="102"/>
  <c r="Y10" i="102"/>
  <c r="AA17" i="102"/>
  <c r="Y26" i="102"/>
  <c r="AA10" i="102"/>
  <c r="Y16" i="102"/>
  <c r="G18" i="102"/>
  <c r="Z40" i="102"/>
  <c r="Z36" i="102"/>
  <c r="Z32" i="102"/>
  <c r="Z43" i="102"/>
  <c r="Z39" i="102"/>
  <c r="Z31" i="102"/>
  <c r="Z30" i="102"/>
  <c r="Z26" i="102"/>
  <c r="H41" i="102"/>
  <c r="H33" i="102"/>
  <c r="H29" i="102"/>
  <c r="Z45" i="102"/>
  <c r="Z41" i="102"/>
  <c r="Z37" i="102"/>
  <c r="Z33" i="102"/>
  <c r="Z29" i="102"/>
  <c r="Z25" i="102"/>
  <c r="Z17" i="102"/>
  <c r="Z24" i="102"/>
  <c r="Z27" i="102"/>
  <c r="Z15" i="102"/>
  <c r="Z11" i="102"/>
  <c r="H27" i="102"/>
  <c r="Z22" i="102"/>
  <c r="Z18" i="102"/>
  <c r="Z14" i="102"/>
  <c r="Y11" i="102"/>
  <c r="Y14" i="102"/>
  <c r="H15" i="102"/>
  <c r="AA15" i="102"/>
  <c r="AA25" i="102"/>
  <c r="AA19" i="102"/>
  <c r="G36" i="102"/>
  <c r="Y31" i="102"/>
  <c r="G40" i="102"/>
  <c r="Y42" i="102"/>
  <c r="G32" i="102"/>
  <c r="G31" i="102"/>
  <c r="G44" i="102"/>
  <c r="Y44" i="102"/>
  <c r="Y34" i="102"/>
  <c r="G38" i="102"/>
  <c r="Y38" i="102"/>
  <c r="Q43" i="102" l="1"/>
  <c r="R43" i="102" s="1"/>
  <c r="S43" i="102" s="1"/>
  <c r="T43" i="102" s="1"/>
  <c r="U43" i="102" s="1"/>
  <c r="V43" i="102" s="1"/>
  <c r="G43" i="102"/>
  <c r="Q35" i="102"/>
  <c r="G35" i="102"/>
  <c r="Z21" i="102"/>
  <c r="Y8" i="102"/>
  <c r="P8" i="102"/>
  <c r="Q16" i="102"/>
  <c r="G16" i="102"/>
  <c r="H37" i="102"/>
  <c r="G14" i="102"/>
  <c r="Q30" i="102"/>
  <c r="R30" i="102" s="1"/>
  <c r="S30" i="102" s="1"/>
  <c r="T30" i="102" s="1"/>
  <c r="U30" i="102" s="1"/>
  <c r="V30" i="102" s="1"/>
  <c r="G30" i="102"/>
  <c r="Q24" i="102"/>
  <c r="R24" i="102" s="1"/>
  <c r="S24" i="102" s="1"/>
  <c r="T24" i="102" s="1"/>
  <c r="U24" i="102" s="1"/>
  <c r="V24" i="102" s="1"/>
  <c r="G24" i="102"/>
  <c r="Q28" i="102"/>
  <c r="G28" i="102"/>
  <c r="G34" i="102"/>
  <c r="Z19" i="102"/>
  <c r="H45" i="102"/>
  <c r="AA30" i="102"/>
  <c r="G25" i="102"/>
  <c r="Y19" i="102"/>
  <c r="AR45" i="103"/>
  <c r="H45" i="103" s="1"/>
  <c r="BM49" i="103" s="1"/>
  <c r="BN49" i="103" s="1"/>
  <c r="BO49" i="103" s="1"/>
  <c r="BP49" i="103" s="1"/>
  <c r="BQ49" i="103" s="1"/>
  <c r="BR49" i="103" s="1"/>
  <c r="BS49" i="103" s="1"/>
  <c r="BT49" i="103" s="1"/>
  <c r="BU49" i="103" s="1"/>
  <c r="BV49" i="103" s="1"/>
  <c r="BW49" i="103" s="1"/>
  <c r="BX49" i="103" s="1"/>
  <c r="BY49" i="103" s="1"/>
  <c r="BZ49" i="103" s="1"/>
  <c r="CA49" i="103" s="1"/>
  <c r="CB49" i="103" s="1"/>
  <c r="CC49" i="103" s="1"/>
  <c r="CD49" i="103" s="1"/>
  <c r="CE49" i="103" s="1"/>
  <c r="CF49" i="103" s="1"/>
  <c r="Q13" i="102"/>
  <c r="R13" i="102" s="1"/>
  <c r="S13" i="102" s="1"/>
  <c r="T13" i="102" s="1"/>
  <c r="U13" i="102" s="1"/>
  <c r="V13" i="102" s="1"/>
  <c r="G13" i="102"/>
  <c r="Q10" i="102"/>
  <c r="G10" i="102"/>
  <c r="G37" i="102"/>
  <c r="Z23" i="102"/>
  <c r="Y12" i="102"/>
  <c r="AV45" i="103"/>
  <c r="L45" i="103" s="1"/>
  <c r="CZ49" i="103" s="1"/>
  <c r="Q21" i="102"/>
  <c r="R21" i="102" s="1"/>
  <c r="S21" i="102" s="1"/>
  <c r="T21" i="102" s="1"/>
  <c r="U21" i="102" s="1"/>
  <c r="V21" i="102" s="1"/>
  <c r="G21" i="102"/>
  <c r="G39" i="102"/>
  <c r="Z12" i="102"/>
  <c r="AV27" i="103"/>
  <c r="L27" i="103" s="1"/>
  <c r="CZ31" i="103" s="1"/>
  <c r="Q9" i="102"/>
  <c r="R9" i="102" s="1"/>
  <c r="S9" i="102" s="1"/>
  <c r="T9" i="102" s="1"/>
  <c r="U9" i="102" s="1"/>
  <c r="V9" i="102" s="1"/>
  <c r="G9" i="102"/>
  <c r="Q26" i="102"/>
  <c r="R26" i="102" s="1"/>
  <c r="G26" i="102"/>
  <c r="Q12" i="102"/>
  <c r="R12" i="102" s="1"/>
  <c r="S12" i="102" s="1"/>
  <c r="T12" i="102" s="1"/>
  <c r="U12" i="102" s="1"/>
  <c r="V12" i="102" s="1"/>
  <c r="G12" i="102"/>
  <c r="Q17" i="102"/>
  <c r="R17" i="102" s="1"/>
  <c r="S17" i="102" s="1"/>
  <c r="T17" i="102" s="1"/>
  <c r="U17" i="102" s="1"/>
  <c r="V17" i="102" s="1"/>
  <c r="G17" i="102"/>
  <c r="Q20" i="102"/>
  <c r="R20" i="102" s="1"/>
  <c r="S20" i="102" s="1"/>
  <c r="T20" i="102" s="1"/>
  <c r="U20" i="102" s="1"/>
  <c r="V20" i="102" s="1"/>
  <c r="G20" i="102"/>
  <c r="AU36" i="103"/>
  <c r="K36" i="103" s="1"/>
  <c r="CV40" i="103" s="1"/>
  <c r="CW40" i="103" s="1"/>
  <c r="CX40" i="103" s="1"/>
  <c r="CY40" i="103" s="1"/>
  <c r="AO18" i="103"/>
  <c r="E18" i="103" s="1"/>
  <c r="AU45" i="103"/>
  <c r="K45" i="103" s="1"/>
  <c r="CV49" i="103" s="1"/>
  <c r="CW49" i="103" s="1"/>
  <c r="CX49" i="103" s="1"/>
  <c r="CY49" i="103" s="1"/>
  <c r="AT45" i="103"/>
  <c r="J45" i="103" s="1"/>
  <c r="CQ49" i="103" s="1"/>
  <c r="CR49" i="103" s="1"/>
  <c r="CS49" i="103" s="1"/>
  <c r="CT49" i="103" s="1"/>
  <c r="CU49" i="103" s="1"/>
  <c r="AS36" i="103"/>
  <c r="I36" i="103" s="1"/>
  <c r="CG40" i="103" s="1"/>
  <c r="CH40" i="103" s="1"/>
  <c r="CI40" i="103" s="1"/>
  <c r="CJ40" i="103" s="1"/>
  <c r="CK40" i="103" s="1"/>
  <c r="CL40" i="103" s="1"/>
  <c r="CM40" i="103" s="1"/>
  <c r="CN40" i="103" s="1"/>
  <c r="CO40" i="103" s="1"/>
  <c r="CP40" i="103" s="1"/>
  <c r="AV36" i="103"/>
  <c r="L36" i="103" s="1"/>
  <c r="CZ40" i="103" s="1"/>
  <c r="AS45" i="103"/>
  <c r="I45" i="103" s="1"/>
  <c r="CG49" i="103" s="1"/>
  <c r="CH49" i="103" s="1"/>
  <c r="CI49" i="103" s="1"/>
  <c r="CJ49" i="103" s="1"/>
  <c r="CK49" i="103" s="1"/>
  <c r="CL49" i="103" s="1"/>
  <c r="CM49" i="103" s="1"/>
  <c r="CN49" i="103" s="1"/>
  <c r="CO49" i="103" s="1"/>
  <c r="CP49" i="103" s="1"/>
  <c r="F40" i="103"/>
  <c r="G40" i="103" s="1"/>
  <c r="H40" i="103" s="1"/>
  <c r="I40" i="103" s="1"/>
  <c r="J40" i="103" s="1"/>
  <c r="K40" i="103" s="1"/>
  <c r="L40" i="103" s="1"/>
  <c r="M40" i="103" s="1"/>
  <c r="N40" i="103" s="1"/>
  <c r="O40" i="103" s="1"/>
  <c r="P40" i="103" s="1"/>
  <c r="Q40" i="103" s="1"/>
  <c r="R40" i="103" s="1"/>
  <c r="S40" i="103" s="1"/>
  <c r="T40" i="103" s="1"/>
  <c r="U40" i="103" s="1"/>
  <c r="V40" i="103" s="1"/>
  <c r="W40" i="103" s="1"/>
  <c r="X40" i="103" s="1"/>
  <c r="F49" i="103"/>
  <c r="G49" i="103" s="1"/>
  <c r="H49" i="103" s="1"/>
  <c r="I49" i="103" s="1"/>
  <c r="J49" i="103" s="1"/>
  <c r="K49" i="103" s="1"/>
  <c r="L49" i="103" s="1"/>
  <c r="M49" i="103" s="1"/>
  <c r="N49" i="103" s="1"/>
  <c r="O49" i="103" s="1"/>
  <c r="P49" i="103" s="1"/>
  <c r="Q49" i="103" s="1"/>
  <c r="R49" i="103" s="1"/>
  <c r="S49" i="103" s="1"/>
  <c r="T49" i="103" s="1"/>
  <c r="U49" i="103" s="1"/>
  <c r="V49" i="103" s="1"/>
  <c r="W49" i="103" s="1"/>
  <c r="X49" i="103" s="1"/>
  <c r="B49" i="103"/>
  <c r="B45" i="103" s="1"/>
  <c r="G19" i="53" s="1"/>
  <c r="F12" i="103"/>
  <c r="G12" i="103" s="1"/>
  <c r="H12" i="103" s="1"/>
  <c r="I12" i="103" s="1"/>
  <c r="J12" i="103" s="1"/>
  <c r="K12" i="103" s="1"/>
  <c r="L12" i="103" s="1"/>
  <c r="M12" i="103" s="1"/>
  <c r="N12" i="103" s="1"/>
  <c r="O12" i="103" s="1"/>
  <c r="P12" i="103" s="1"/>
  <c r="Q12" i="103" s="1"/>
  <c r="R12" i="103" s="1"/>
  <c r="S12" i="103" s="1"/>
  <c r="T12" i="103" s="1"/>
  <c r="U12" i="103" s="1"/>
  <c r="V12" i="103" s="1"/>
  <c r="W12" i="103" s="1"/>
  <c r="X12" i="103" s="1"/>
  <c r="B12" i="103"/>
  <c r="B6" i="103" s="1"/>
  <c r="G7" i="53" s="1"/>
  <c r="AQ18" i="103"/>
  <c r="G18" i="103" s="1"/>
  <c r="AS22" i="103" s="1"/>
  <c r="AT22" i="103" s="1"/>
  <c r="AU22" i="103" s="1"/>
  <c r="AV22" i="103" s="1"/>
  <c r="AW22" i="103" s="1"/>
  <c r="AX22" i="103" s="1"/>
  <c r="AY22" i="103" s="1"/>
  <c r="AZ22" i="103" s="1"/>
  <c r="BA22" i="103" s="1"/>
  <c r="BB22" i="103" s="1"/>
  <c r="BC22" i="103" s="1"/>
  <c r="BD22" i="103" s="1"/>
  <c r="BE22" i="103" s="1"/>
  <c r="BF22" i="103" s="1"/>
  <c r="BG22" i="103" s="1"/>
  <c r="BH22" i="103" s="1"/>
  <c r="BI22" i="103" s="1"/>
  <c r="BJ22" i="103" s="1"/>
  <c r="BK22" i="103" s="1"/>
  <c r="BL22" i="103" s="1"/>
  <c r="E22" i="103"/>
  <c r="AS18" i="103"/>
  <c r="I18" i="103" s="1"/>
  <c r="CG22" i="103" s="1"/>
  <c r="CH22" i="103" s="1"/>
  <c r="CI22" i="103" s="1"/>
  <c r="CJ22" i="103" s="1"/>
  <c r="CK22" i="103" s="1"/>
  <c r="CL22" i="103" s="1"/>
  <c r="CM22" i="103" s="1"/>
  <c r="CN22" i="103" s="1"/>
  <c r="CO22" i="103" s="1"/>
  <c r="CP22" i="103" s="1"/>
  <c r="AQ27" i="103"/>
  <c r="G27" i="103" s="1"/>
  <c r="AS31" i="103"/>
  <c r="AT31" i="103" s="1"/>
  <c r="AU31" i="103" s="1"/>
  <c r="AV31" i="103" s="1"/>
  <c r="AW31" i="103" s="1"/>
  <c r="AX31" i="103" s="1"/>
  <c r="AY31" i="103" s="1"/>
  <c r="AZ31" i="103" s="1"/>
  <c r="BA31" i="103" s="1"/>
  <c r="BB31" i="103" s="1"/>
  <c r="BC31" i="103" s="1"/>
  <c r="BD31" i="103" s="1"/>
  <c r="BE31" i="103" s="1"/>
  <c r="BF31" i="103" s="1"/>
  <c r="BG31" i="103" s="1"/>
  <c r="BH31" i="103" s="1"/>
  <c r="BI31" i="103" s="1"/>
  <c r="BJ31" i="103" s="1"/>
  <c r="BK31" i="103" s="1"/>
  <c r="BL31" i="103" s="1"/>
  <c r="AO27" i="103"/>
  <c r="E27" i="103" s="1"/>
  <c r="E31" i="103" s="1"/>
  <c r="AU27" i="103"/>
  <c r="K27" i="103" s="1"/>
  <c r="CV31" i="103" s="1"/>
  <c r="CW31" i="103" s="1"/>
  <c r="CX31" i="103" s="1"/>
  <c r="CY31" i="103" s="1"/>
  <c r="AU18" i="103"/>
  <c r="K18" i="103" s="1"/>
  <c r="CV22" i="103" s="1"/>
  <c r="CW22" i="103" s="1"/>
  <c r="CX22" i="103" s="1"/>
  <c r="CY22" i="103" s="1"/>
  <c r="AT18" i="103"/>
  <c r="J18" i="103" s="1"/>
  <c r="CQ22" i="103"/>
  <c r="CR22" i="103" s="1"/>
  <c r="CS22" i="103" s="1"/>
  <c r="CT22" i="103" s="1"/>
  <c r="CU22" i="103" s="1"/>
  <c r="DC22" i="103"/>
  <c r="DD22" i="103" s="1"/>
  <c r="DE22" i="103" s="1"/>
  <c r="DF22" i="103" s="1"/>
  <c r="DG22" i="103" s="1"/>
  <c r="DH22" i="103" s="1"/>
  <c r="DI22" i="103" s="1"/>
  <c r="DJ22" i="103" s="1"/>
  <c r="DK22" i="103" s="1"/>
  <c r="DL22" i="103" s="1"/>
  <c r="DM22" i="103" s="1"/>
  <c r="DN22" i="103" s="1"/>
  <c r="DO22" i="103" s="1"/>
  <c r="DP22" i="103" s="1"/>
  <c r="DQ22" i="103" s="1"/>
  <c r="DR22" i="103" s="1"/>
  <c r="DS22" i="103" s="1"/>
  <c r="DT22" i="103" s="1"/>
  <c r="DU22" i="103" s="1"/>
  <c r="AR18" i="103"/>
  <c r="H18" i="103" s="1"/>
  <c r="BM22" i="103" s="1"/>
  <c r="BN22" i="103" s="1"/>
  <c r="BO22" i="103" s="1"/>
  <c r="BP22" i="103" s="1"/>
  <c r="BQ22" i="103" s="1"/>
  <c r="BR22" i="103" s="1"/>
  <c r="BS22" i="103" s="1"/>
  <c r="BT22" i="103" s="1"/>
  <c r="BU22" i="103" s="1"/>
  <c r="BV22" i="103" s="1"/>
  <c r="BW22" i="103" s="1"/>
  <c r="BX22" i="103" s="1"/>
  <c r="BY22" i="103" s="1"/>
  <c r="BZ22" i="103" s="1"/>
  <c r="CA22" i="103" s="1"/>
  <c r="CB22" i="103" s="1"/>
  <c r="CC22" i="103" s="1"/>
  <c r="CD22" i="103" s="1"/>
  <c r="CE22" i="103" s="1"/>
  <c r="CF22" i="103" s="1"/>
  <c r="AT27" i="103"/>
  <c r="J27" i="103" s="1"/>
  <c r="CQ31" i="103" s="1"/>
  <c r="CR31" i="103" s="1"/>
  <c r="CS31" i="103" s="1"/>
  <c r="CT31" i="103" s="1"/>
  <c r="CU31" i="103" s="1"/>
  <c r="AP18" i="103"/>
  <c r="F18" i="103" s="1"/>
  <c r="Y22" i="103" s="1"/>
  <c r="Z22" i="103" s="1"/>
  <c r="AA22" i="103" s="1"/>
  <c r="AB22" i="103" s="1"/>
  <c r="AC22" i="103" s="1"/>
  <c r="AD22" i="103" s="1"/>
  <c r="AE22" i="103" s="1"/>
  <c r="AF22" i="103" s="1"/>
  <c r="AG22" i="103" s="1"/>
  <c r="AH22" i="103" s="1"/>
  <c r="AI22" i="103" s="1"/>
  <c r="AJ22" i="103" s="1"/>
  <c r="AK22" i="103" s="1"/>
  <c r="AL22" i="103" s="1"/>
  <c r="AM22" i="103" s="1"/>
  <c r="AN22" i="103" s="1"/>
  <c r="AO22" i="103" s="1"/>
  <c r="AP22" i="103" s="1"/>
  <c r="AQ22" i="103" s="1"/>
  <c r="AR22" i="103" s="1"/>
  <c r="AP27" i="103"/>
  <c r="F27" i="103" s="1"/>
  <c r="Y31" i="103" s="1"/>
  <c r="Z31" i="103" s="1"/>
  <c r="AA31" i="103" s="1"/>
  <c r="AB31" i="103" s="1"/>
  <c r="AC31" i="103" s="1"/>
  <c r="AD31" i="103" s="1"/>
  <c r="AE31" i="103" s="1"/>
  <c r="AF31" i="103" s="1"/>
  <c r="AG31" i="103" s="1"/>
  <c r="AH31" i="103" s="1"/>
  <c r="AI31" i="103" s="1"/>
  <c r="AJ31" i="103" s="1"/>
  <c r="AK31" i="103" s="1"/>
  <c r="AL31" i="103" s="1"/>
  <c r="AM31" i="103" s="1"/>
  <c r="AN31" i="103" s="1"/>
  <c r="AO31" i="103" s="1"/>
  <c r="AP31" i="103" s="1"/>
  <c r="AQ31" i="103" s="1"/>
  <c r="AR31" i="103" s="1"/>
  <c r="AV18" i="103"/>
  <c r="L18" i="103" s="1"/>
  <c r="CZ22" i="103" s="1"/>
  <c r="DC31" i="103"/>
  <c r="DD31" i="103" s="1"/>
  <c r="DE31" i="103" s="1"/>
  <c r="DF31" i="103" s="1"/>
  <c r="DG31" i="103" s="1"/>
  <c r="DH31" i="103" s="1"/>
  <c r="DI31" i="103" s="1"/>
  <c r="DJ31" i="103" s="1"/>
  <c r="DK31" i="103" s="1"/>
  <c r="DL31" i="103" s="1"/>
  <c r="DM31" i="103" s="1"/>
  <c r="DN31" i="103" s="1"/>
  <c r="DO31" i="103" s="1"/>
  <c r="DP31" i="103" s="1"/>
  <c r="DQ31" i="103" s="1"/>
  <c r="DR31" i="103" s="1"/>
  <c r="DS31" i="103" s="1"/>
  <c r="DT31" i="103" s="1"/>
  <c r="DU31" i="103" s="1"/>
  <c r="H31" i="102"/>
  <c r="I11" i="102"/>
  <c r="I38" i="102"/>
  <c r="AA21" i="102"/>
  <c r="I21" i="102"/>
  <c r="AA43" i="102"/>
  <c r="Z42" i="102"/>
  <c r="Z35" i="102"/>
  <c r="Z44" i="102"/>
  <c r="Z9" i="102"/>
  <c r="AA20" i="102"/>
  <c r="H30" i="102"/>
  <c r="Z34" i="102"/>
  <c r="I42" i="102"/>
  <c r="Z20" i="102"/>
  <c r="H40" i="102"/>
  <c r="H42" i="102"/>
  <c r="AA23" i="102"/>
  <c r="I44" i="102"/>
  <c r="I37" i="102"/>
  <c r="AA35" i="102"/>
  <c r="H21" i="102"/>
  <c r="I36" i="102"/>
  <c r="H44" i="102"/>
  <c r="AA11" i="102"/>
  <c r="I15" i="102"/>
  <c r="I20" i="102"/>
  <c r="AA29" i="102"/>
  <c r="I41" i="102"/>
  <c r="AA39" i="102"/>
  <c r="H25" i="102"/>
  <c r="H20" i="102"/>
  <c r="I24" i="102"/>
  <c r="H26" i="102"/>
  <c r="H24" i="102"/>
  <c r="AA9" i="102"/>
  <c r="I25" i="102"/>
  <c r="I23" i="102"/>
  <c r="AA32" i="102"/>
  <c r="AA37" i="102"/>
  <c r="AA42" i="102"/>
  <c r="I27" i="102"/>
  <c r="AA14" i="102"/>
  <c r="AA27" i="102"/>
  <c r="AA36" i="102"/>
  <c r="AA41" i="102"/>
  <c r="I30" i="102"/>
  <c r="H19" i="102"/>
  <c r="Z13" i="102"/>
  <c r="H34" i="102"/>
  <c r="AA28" i="102"/>
  <c r="I14" i="102"/>
  <c r="I39" i="102"/>
  <c r="H14" i="102"/>
  <c r="H23" i="102"/>
  <c r="H38" i="102"/>
  <c r="H39" i="102"/>
  <c r="Z8" i="102"/>
  <c r="I18" i="102"/>
  <c r="I43" i="102"/>
  <c r="H18" i="102"/>
  <c r="H43" i="102"/>
  <c r="I22" i="102"/>
  <c r="AA44" i="102"/>
  <c r="AA34" i="102"/>
  <c r="Z10" i="102"/>
  <c r="H22" i="102"/>
  <c r="Z16" i="102"/>
  <c r="Z28" i="102"/>
  <c r="AA26" i="102"/>
  <c r="AA38" i="102"/>
  <c r="AA13" i="102"/>
  <c r="AA16" i="102"/>
  <c r="I32" i="102"/>
  <c r="H32" i="102"/>
  <c r="H13" i="102"/>
  <c r="AB43" i="102"/>
  <c r="AB39" i="102"/>
  <c r="AB35" i="102"/>
  <c r="AB31" i="102"/>
  <c r="AB27" i="102"/>
  <c r="J42" i="102"/>
  <c r="J38" i="102"/>
  <c r="J34" i="102"/>
  <c r="J30" i="102"/>
  <c r="AB42" i="102"/>
  <c r="AB38" i="102"/>
  <c r="AB34" i="102"/>
  <c r="AB30" i="102"/>
  <c r="J45" i="102"/>
  <c r="J41" i="102"/>
  <c r="J37" i="102"/>
  <c r="AB45" i="102"/>
  <c r="AB41" i="102"/>
  <c r="AB37" i="102"/>
  <c r="AB33" i="102"/>
  <c r="AB29" i="102"/>
  <c r="J44" i="102"/>
  <c r="J40" i="102"/>
  <c r="J36" i="102"/>
  <c r="J32" i="102"/>
  <c r="AB44" i="102"/>
  <c r="AB40" i="102"/>
  <c r="AB36" i="102"/>
  <c r="AB32" i="102"/>
  <c r="AB28" i="102"/>
  <c r="J43" i="102"/>
  <c r="J39" i="102"/>
  <c r="J31" i="102"/>
  <c r="AB24" i="102"/>
  <c r="AB20" i="102"/>
  <c r="AB16" i="102"/>
  <c r="J23" i="102"/>
  <c r="J33" i="102"/>
  <c r="AB23" i="102"/>
  <c r="AB19" i="102"/>
  <c r="AB15" i="102"/>
  <c r="AB26" i="102"/>
  <c r="J22" i="102"/>
  <c r="AB22" i="102"/>
  <c r="AB18" i="102"/>
  <c r="AB14" i="102"/>
  <c r="AB10" i="102"/>
  <c r="J27" i="102"/>
  <c r="J25" i="102"/>
  <c r="J21" i="102"/>
  <c r="AB25" i="102"/>
  <c r="AB21" i="102"/>
  <c r="AB17" i="102"/>
  <c r="AB13" i="102"/>
  <c r="AB9" i="102"/>
  <c r="J11" i="102"/>
  <c r="T4" i="102"/>
  <c r="J29" i="102"/>
  <c r="J20" i="102"/>
  <c r="J15" i="102"/>
  <c r="J24" i="102"/>
  <c r="J18" i="102"/>
  <c r="J14" i="102"/>
  <c r="AB11" i="102"/>
  <c r="H36" i="102"/>
  <c r="Z38" i="102"/>
  <c r="H9" i="102"/>
  <c r="H17" i="102"/>
  <c r="I40" i="102"/>
  <c r="I34" i="102"/>
  <c r="I31" i="102"/>
  <c r="S26" i="102" l="1"/>
  <c r="T26" i="102" s="1"/>
  <c r="U26" i="102" s="1"/>
  <c r="V26" i="102" s="1"/>
  <c r="I26" i="102"/>
  <c r="R28" i="102"/>
  <c r="H28" i="102"/>
  <c r="R16" i="102"/>
  <c r="H16" i="102"/>
  <c r="Q8" i="102"/>
  <c r="G8" i="102"/>
  <c r="H12" i="102"/>
  <c r="R10" i="102"/>
  <c r="H10" i="102"/>
  <c r="R35" i="102"/>
  <c r="H35" i="102"/>
  <c r="C49" i="103"/>
  <c r="C45" i="103" s="1"/>
  <c r="B40" i="103"/>
  <c r="B36" i="103" s="1"/>
  <c r="G16" i="53" s="1"/>
  <c r="M16" i="53" s="1"/>
  <c r="C40" i="103"/>
  <c r="C36" i="103" s="1"/>
  <c r="C12" i="103"/>
  <c r="C6" i="103" s="1"/>
  <c r="M19" i="53"/>
  <c r="F31" i="103"/>
  <c r="G31" i="103" s="1"/>
  <c r="H31" i="103" s="1"/>
  <c r="I31" i="103" s="1"/>
  <c r="J31" i="103" s="1"/>
  <c r="K31" i="103" s="1"/>
  <c r="L31" i="103" s="1"/>
  <c r="M31" i="103" s="1"/>
  <c r="N31" i="103" s="1"/>
  <c r="O31" i="103" s="1"/>
  <c r="P31" i="103" s="1"/>
  <c r="Q31" i="103" s="1"/>
  <c r="R31" i="103" s="1"/>
  <c r="S31" i="103" s="1"/>
  <c r="T31" i="103" s="1"/>
  <c r="U31" i="103" s="1"/>
  <c r="V31" i="103" s="1"/>
  <c r="W31" i="103" s="1"/>
  <c r="X31" i="103" s="1"/>
  <c r="F22" i="103"/>
  <c r="G22" i="103" s="1"/>
  <c r="H22" i="103" s="1"/>
  <c r="I22" i="103" s="1"/>
  <c r="J22" i="103" s="1"/>
  <c r="K22" i="103" s="1"/>
  <c r="L22" i="103" s="1"/>
  <c r="M22" i="103" s="1"/>
  <c r="N22" i="103" s="1"/>
  <c r="O22" i="103" s="1"/>
  <c r="P22" i="103" s="1"/>
  <c r="Q22" i="103" s="1"/>
  <c r="R22" i="103" s="1"/>
  <c r="S22" i="103" s="1"/>
  <c r="T22" i="103" s="1"/>
  <c r="U22" i="103" s="1"/>
  <c r="V22" i="103" s="1"/>
  <c r="W22" i="103" s="1"/>
  <c r="X22" i="103" s="1"/>
  <c r="J26" i="102"/>
  <c r="AB12" i="102"/>
  <c r="I19" i="102"/>
  <c r="AA12" i="102"/>
  <c r="I17" i="102"/>
  <c r="I13" i="102"/>
  <c r="I12" i="102"/>
  <c r="I9" i="102"/>
  <c r="AA8" i="102"/>
  <c r="K42" i="102"/>
  <c r="K38" i="102"/>
  <c r="K34" i="102"/>
  <c r="K30" i="102"/>
  <c r="AC42" i="102"/>
  <c r="AC38" i="102"/>
  <c r="AC34" i="102"/>
  <c r="AC30" i="102"/>
  <c r="K45" i="102"/>
  <c r="K41" i="102"/>
  <c r="K37" i="102"/>
  <c r="K33" i="102"/>
  <c r="K29" i="102"/>
  <c r="AC45" i="102"/>
  <c r="AC41" i="102"/>
  <c r="AC37" i="102"/>
  <c r="K44" i="102"/>
  <c r="K40" i="102"/>
  <c r="K36" i="102"/>
  <c r="K32" i="102"/>
  <c r="AC44" i="102"/>
  <c r="AC40" i="102"/>
  <c r="AC36" i="102"/>
  <c r="AC32" i="102"/>
  <c r="AC28" i="102"/>
  <c r="K43" i="102"/>
  <c r="K39" i="102"/>
  <c r="K31" i="102"/>
  <c r="AC43" i="102"/>
  <c r="AC39" i="102"/>
  <c r="AC35" i="102"/>
  <c r="AC31" i="102"/>
  <c r="AC29" i="102"/>
  <c r="K23" i="102"/>
  <c r="K15" i="102"/>
  <c r="AC27" i="102"/>
  <c r="AC23" i="102"/>
  <c r="AC26" i="102"/>
  <c r="K22" i="102"/>
  <c r="K18" i="102"/>
  <c r="K14" i="102"/>
  <c r="AC22" i="102"/>
  <c r="K27" i="102"/>
  <c r="K25" i="102"/>
  <c r="K21" i="102"/>
  <c r="AC33" i="102"/>
  <c r="AC25" i="102"/>
  <c r="AC21" i="102"/>
  <c r="AC17" i="102"/>
  <c r="AC13" i="102"/>
  <c r="K24" i="102"/>
  <c r="K20" i="102"/>
  <c r="AC14" i="102"/>
  <c r="AC24" i="102"/>
  <c r="AC20" i="102"/>
  <c r="K11" i="102"/>
  <c r="AC10" i="102"/>
  <c r="AC9" i="102"/>
  <c r="AC19" i="102"/>
  <c r="AC18" i="102"/>
  <c r="U4" i="102"/>
  <c r="AC11" i="102"/>
  <c r="AC12" i="102"/>
  <c r="AC16" i="102"/>
  <c r="AC15" i="102"/>
  <c r="R8" i="102" l="1"/>
  <c r="H8" i="102"/>
  <c r="S16" i="102"/>
  <c r="I16" i="102"/>
  <c r="S35" i="102"/>
  <c r="I35" i="102"/>
  <c r="S28" i="102"/>
  <c r="I28" i="102"/>
  <c r="K26" i="102"/>
  <c r="S10" i="102"/>
  <c r="I10" i="102"/>
  <c r="B31" i="103"/>
  <c r="B27" i="103" s="1"/>
  <c r="G13" i="53" s="1"/>
  <c r="M13" i="53" s="1"/>
  <c r="B22" i="103"/>
  <c r="B18" i="103" s="1"/>
  <c r="G10" i="53" s="1"/>
  <c r="M10" i="53" s="1"/>
  <c r="C31" i="103"/>
  <c r="C27" i="103" s="1"/>
  <c r="C22" i="103"/>
  <c r="C18" i="103" s="1"/>
  <c r="J19" i="102"/>
  <c r="J9" i="102"/>
  <c r="AB8" i="102"/>
  <c r="J17" i="102"/>
  <c r="J12" i="102"/>
  <c r="AD42" i="102"/>
  <c r="AD38" i="102"/>
  <c r="AD34" i="102"/>
  <c r="AD30" i="102"/>
  <c r="AD26" i="102"/>
  <c r="L45" i="102"/>
  <c r="L41" i="102"/>
  <c r="L37" i="102"/>
  <c r="L33" i="102"/>
  <c r="AD45" i="102"/>
  <c r="AD41" i="102"/>
  <c r="AD37" i="102"/>
  <c r="AD33" i="102"/>
  <c r="AD29" i="102"/>
  <c r="L44" i="102"/>
  <c r="L40" i="102"/>
  <c r="L36" i="102"/>
  <c r="AD44" i="102"/>
  <c r="AD40" i="102"/>
  <c r="AD36" i="102"/>
  <c r="AD32" i="102"/>
  <c r="AD28" i="102"/>
  <c r="L43" i="102"/>
  <c r="L39" i="102"/>
  <c r="L31" i="102"/>
  <c r="AD43" i="102"/>
  <c r="AD39" i="102"/>
  <c r="AD35" i="102"/>
  <c r="AD31" i="102"/>
  <c r="L42" i="102"/>
  <c r="L38" i="102"/>
  <c r="L34" i="102"/>
  <c r="L30" i="102"/>
  <c r="AD27" i="102"/>
  <c r="AD23" i="102"/>
  <c r="AD19" i="102"/>
  <c r="AD15" i="102"/>
  <c r="L32" i="102"/>
  <c r="L22" i="102"/>
  <c r="AD22" i="102"/>
  <c r="AD18" i="102"/>
  <c r="AD14" i="102"/>
  <c r="L27" i="102"/>
  <c r="L25" i="102"/>
  <c r="L21" i="102"/>
  <c r="AD25" i="102"/>
  <c r="AD21" i="102"/>
  <c r="AD17" i="102"/>
  <c r="AD13" i="102"/>
  <c r="AD9" i="102"/>
  <c r="L26" i="102"/>
  <c r="L24" i="102"/>
  <c r="L20" i="102"/>
  <c r="L29" i="102"/>
  <c r="AD24" i="102"/>
  <c r="AD20" i="102"/>
  <c r="AD16" i="102"/>
  <c r="AD12" i="102"/>
  <c r="L11" i="102"/>
  <c r="AD10" i="102"/>
  <c r="L23" i="102"/>
  <c r="L18" i="102"/>
  <c r="V4" i="102"/>
  <c r="L14" i="102"/>
  <c r="AD11" i="102"/>
  <c r="L15" i="102"/>
  <c r="J13" i="102"/>
  <c r="S8" i="102" l="1"/>
  <c r="I8" i="102"/>
  <c r="T28" i="102"/>
  <c r="J28" i="102"/>
  <c r="T35" i="102"/>
  <c r="J35" i="102"/>
  <c r="T16" i="102"/>
  <c r="J16" i="102"/>
  <c r="T10" i="102"/>
  <c r="J10" i="102"/>
  <c r="K19" i="102"/>
  <c r="M45" i="102"/>
  <c r="M41" i="102"/>
  <c r="M37" i="102"/>
  <c r="M33" i="102"/>
  <c r="M29" i="102"/>
  <c r="AE45" i="102"/>
  <c r="AE41" i="102"/>
  <c r="AE37" i="102"/>
  <c r="AE33" i="102"/>
  <c r="M44" i="102"/>
  <c r="M40" i="102"/>
  <c r="M36" i="102"/>
  <c r="M32" i="102"/>
  <c r="AE44" i="102"/>
  <c r="AE40" i="102"/>
  <c r="AE36" i="102"/>
  <c r="M43" i="102"/>
  <c r="M39" i="102"/>
  <c r="M31" i="102"/>
  <c r="M27" i="102"/>
  <c r="AE43" i="102"/>
  <c r="AE39" i="102"/>
  <c r="AE35" i="102"/>
  <c r="AE31" i="102"/>
  <c r="M42" i="102"/>
  <c r="M38" i="102"/>
  <c r="M34" i="102"/>
  <c r="M30" i="102"/>
  <c r="AE42" i="102"/>
  <c r="AE38" i="102"/>
  <c r="AE34" i="102"/>
  <c r="AE30" i="102"/>
  <c r="M22" i="102"/>
  <c r="M18" i="102"/>
  <c r="M14" i="102"/>
  <c r="AE26" i="102"/>
  <c r="AE22" i="102"/>
  <c r="M25" i="102"/>
  <c r="M21" i="102"/>
  <c r="AE25" i="102"/>
  <c r="AE21" i="102"/>
  <c r="M26" i="102"/>
  <c r="M24" i="102"/>
  <c r="M20" i="102"/>
  <c r="AE24" i="102"/>
  <c r="AE20" i="102"/>
  <c r="AE16" i="102"/>
  <c r="AE12" i="102"/>
  <c r="AE32" i="102"/>
  <c r="AE28" i="102"/>
  <c r="M23" i="102"/>
  <c r="M15" i="102"/>
  <c r="M11" i="102"/>
  <c r="AE23" i="102"/>
  <c r="W4" i="102"/>
  <c r="AE9" i="102"/>
  <c r="AE29" i="102"/>
  <c r="AE17" i="102"/>
  <c r="AE11" i="102"/>
  <c r="AE27" i="102"/>
  <c r="AE15" i="102"/>
  <c r="AE14" i="102"/>
  <c r="AE13" i="102"/>
  <c r="AE10" i="102"/>
  <c r="AE19" i="102"/>
  <c r="AE18" i="102"/>
  <c r="K17" i="102"/>
  <c r="K9" i="102"/>
  <c r="AC8" i="102"/>
  <c r="K13" i="102"/>
  <c r="K12" i="102"/>
  <c r="U16" i="102" l="1"/>
  <c r="K16" i="102"/>
  <c r="U35" i="102"/>
  <c r="K35" i="102"/>
  <c r="U28" i="102"/>
  <c r="K28" i="102"/>
  <c r="U10" i="102"/>
  <c r="K10" i="102"/>
  <c r="T8" i="102"/>
  <c r="J8" i="102"/>
  <c r="M19" i="102"/>
  <c r="L19" i="102"/>
  <c r="D36" i="102"/>
  <c r="M12" i="102"/>
  <c r="L12" i="102"/>
  <c r="M9" i="102"/>
  <c r="L9" i="102"/>
  <c r="M13" i="102"/>
  <c r="L13" i="102"/>
  <c r="AE8" i="102"/>
  <c r="AD8" i="102"/>
  <c r="M17" i="102"/>
  <c r="L17" i="102"/>
  <c r="AF45" i="102"/>
  <c r="E45" i="102" s="1"/>
  <c r="AF41" i="102"/>
  <c r="E41" i="102" s="1"/>
  <c r="AF37" i="102"/>
  <c r="E37" i="102" s="1"/>
  <c r="AF33" i="102"/>
  <c r="E33" i="102" s="1"/>
  <c r="AF29" i="102"/>
  <c r="E29" i="102" s="1"/>
  <c r="AF25" i="102"/>
  <c r="E25" i="102" s="1"/>
  <c r="N44" i="102"/>
  <c r="D44" i="102" s="1"/>
  <c r="N40" i="102"/>
  <c r="D40" i="102" s="1"/>
  <c r="N36" i="102"/>
  <c r="N32" i="102"/>
  <c r="D32" i="102" s="1"/>
  <c r="AF44" i="102"/>
  <c r="E44" i="102" s="1"/>
  <c r="AF40" i="102"/>
  <c r="E40" i="102" s="1"/>
  <c r="AF36" i="102"/>
  <c r="E36" i="102" s="1"/>
  <c r="AF32" i="102"/>
  <c r="E32" i="102" s="1"/>
  <c r="AF28" i="102"/>
  <c r="E28" i="102" s="1"/>
  <c r="N43" i="102"/>
  <c r="D43" i="102" s="1"/>
  <c r="N39" i="102"/>
  <c r="D39" i="102" s="1"/>
  <c r="N35" i="102"/>
  <c r="AF43" i="102"/>
  <c r="E43" i="102" s="1"/>
  <c r="AF39" i="102"/>
  <c r="E39" i="102" s="1"/>
  <c r="AF35" i="102"/>
  <c r="E35" i="102" s="1"/>
  <c r="AF31" i="102"/>
  <c r="E31" i="102" s="1"/>
  <c r="AF27" i="102"/>
  <c r="E27" i="102" s="1"/>
  <c r="N42" i="102"/>
  <c r="D42" i="102" s="1"/>
  <c r="N38" i="102"/>
  <c r="D38" i="102" s="1"/>
  <c r="N34" i="102"/>
  <c r="D34" i="102" s="1"/>
  <c r="N30" i="102"/>
  <c r="D30" i="102" s="1"/>
  <c r="AF42" i="102"/>
  <c r="E42" i="102" s="1"/>
  <c r="AF38" i="102"/>
  <c r="E38" i="102" s="1"/>
  <c r="AF34" i="102"/>
  <c r="E34" i="102" s="1"/>
  <c r="AF30" i="102"/>
  <c r="E30" i="102" s="1"/>
  <c r="N45" i="102"/>
  <c r="D45" i="102" s="1"/>
  <c r="N41" i="102"/>
  <c r="D41" i="102" s="1"/>
  <c r="N37" i="102"/>
  <c r="D37" i="102" s="1"/>
  <c r="N33" i="102"/>
  <c r="D33" i="102" s="1"/>
  <c r="AF26" i="102"/>
  <c r="E26" i="102" s="1"/>
  <c r="AF22" i="102"/>
  <c r="E22" i="102" s="1"/>
  <c r="AF18" i="102"/>
  <c r="E18" i="102" s="1"/>
  <c r="AF14" i="102"/>
  <c r="E14" i="102" s="1"/>
  <c r="N25" i="102"/>
  <c r="D25" i="102" s="1"/>
  <c r="N21" i="102"/>
  <c r="D21" i="102" s="1"/>
  <c r="N27" i="102"/>
  <c r="D27" i="102" s="1"/>
  <c r="AF21" i="102"/>
  <c r="E21" i="102" s="1"/>
  <c r="AF17" i="102"/>
  <c r="E17" i="102" s="1"/>
  <c r="N26" i="102"/>
  <c r="D26" i="102" s="1"/>
  <c r="N24" i="102"/>
  <c r="D24" i="102" s="1"/>
  <c r="N28" i="102"/>
  <c r="AF24" i="102"/>
  <c r="E24" i="102" s="1"/>
  <c r="AF20" i="102"/>
  <c r="E20" i="102" s="1"/>
  <c r="AF16" i="102"/>
  <c r="E16" i="102" s="1"/>
  <c r="AF12" i="102"/>
  <c r="E12" i="102" s="1"/>
  <c r="AF8" i="102"/>
  <c r="N31" i="102"/>
  <c r="D31" i="102" s="1"/>
  <c r="N29" i="102"/>
  <c r="D29" i="102" s="1"/>
  <c r="N23" i="102"/>
  <c r="D23" i="102" s="1"/>
  <c r="N19" i="102"/>
  <c r="D19" i="102" s="1"/>
  <c r="N15" i="102"/>
  <c r="D15" i="102" s="1"/>
  <c r="AF23" i="102"/>
  <c r="E23" i="102" s="1"/>
  <c r="AF19" i="102"/>
  <c r="E19" i="102" s="1"/>
  <c r="AF15" i="102"/>
  <c r="E15" i="102" s="1"/>
  <c r="AF11" i="102"/>
  <c r="E11" i="102" s="1"/>
  <c r="N22" i="102"/>
  <c r="D22" i="102" s="1"/>
  <c r="N17" i="102"/>
  <c r="AF9" i="102"/>
  <c r="E9" i="102" s="1"/>
  <c r="N10" i="102"/>
  <c r="N11" i="102"/>
  <c r="D11" i="102" s="1"/>
  <c r="N18" i="102"/>
  <c r="D18" i="102" s="1"/>
  <c r="N13" i="102"/>
  <c r="N14" i="102"/>
  <c r="D14" i="102" s="1"/>
  <c r="AF13" i="102"/>
  <c r="E13" i="102" s="1"/>
  <c r="N9" i="102"/>
  <c r="N12" i="102"/>
  <c r="N20" i="102"/>
  <c r="D20" i="102" s="1"/>
  <c r="N16" i="102"/>
  <c r="AF10" i="102"/>
  <c r="E10" i="102" s="1"/>
  <c r="N8" i="102"/>
  <c r="V10" i="102" l="1"/>
  <c r="M10" i="102" s="1"/>
  <c r="L10" i="102"/>
  <c r="V28" i="102"/>
  <c r="M28" i="102" s="1"/>
  <c r="L28" i="102"/>
  <c r="D28" i="102" s="1"/>
  <c r="B28" i="102" s="1"/>
  <c r="D10" i="102"/>
  <c r="B10" i="102" s="1"/>
  <c r="V35" i="102"/>
  <c r="M35" i="102" s="1"/>
  <c r="L35" i="102"/>
  <c r="D35" i="102" s="1"/>
  <c r="B35" i="102" s="1"/>
  <c r="B24" i="102"/>
  <c r="B27" i="102"/>
  <c r="U8" i="102"/>
  <c r="K8" i="102"/>
  <c r="V16" i="102"/>
  <c r="M16" i="102" s="1"/>
  <c r="D16" i="102" s="1"/>
  <c r="B16" i="102" s="1"/>
  <c r="L16" i="102"/>
  <c r="B11" i="102"/>
  <c r="B15" i="102"/>
  <c r="B39" i="102"/>
  <c r="B21" i="102"/>
  <c r="B37" i="102"/>
  <c r="D9" i="102"/>
  <c r="B9" i="102" s="1"/>
  <c r="B22" i="102"/>
  <c r="B19" i="102"/>
  <c r="B43" i="102"/>
  <c r="B38" i="102"/>
  <c r="B36" i="102"/>
  <c r="B29" i="102"/>
  <c r="B40" i="102"/>
  <c r="B44" i="102"/>
  <c r="B41" i="102"/>
  <c r="D17" i="102"/>
  <c r="B17" i="102" s="1"/>
  <c r="B45" i="102"/>
  <c r="B47" i="102" s="1"/>
  <c r="B42" i="102"/>
  <c r="B23" i="102"/>
  <c r="B20" i="102"/>
  <c r="D12" i="102"/>
  <c r="B12" i="102" s="1"/>
  <c r="B14" i="102"/>
  <c r="B30" i="102"/>
  <c r="B18" i="102"/>
  <c r="B34" i="102"/>
  <c r="B31" i="102"/>
  <c r="B32" i="102"/>
  <c r="B25" i="102"/>
  <c r="D13" i="102"/>
  <c r="B13" i="102" s="1"/>
  <c r="E8" i="102"/>
  <c r="B26" i="102"/>
  <c r="B33" i="102"/>
  <c r="V8" i="102" l="1"/>
  <c r="M8" i="102" s="1"/>
  <c r="L8" i="102"/>
  <c r="D8" i="102" s="1"/>
  <c r="B8" i="102" s="1"/>
  <c r="B46" i="102" s="1"/>
  <c r="F46" i="101" l="1"/>
  <c r="F45" i="101"/>
  <c r="M33" i="101"/>
  <c r="S33" i="101" s="1"/>
  <c r="M34" i="101"/>
  <c r="S34" i="101" s="1"/>
  <c r="M36" i="101"/>
  <c r="S36" i="101" s="1"/>
  <c r="M37" i="101"/>
  <c r="S37" i="101" s="1"/>
  <c r="I33" i="101"/>
  <c r="P33" i="101" s="1"/>
  <c r="Q33" i="101" s="1"/>
  <c r="I34" i="101"/>
  <c r="P34" i="101" s="1"/>
  <c r="Q34" i="101" s="1"/>
  <c r="I36" i="101"/>
  <c r="P36" i="101" s="1"/>
  <c r="Q36" i="101" s="1"/>
  <c r="I37" i="101"/>
  <c r="P37" i="101" s="1"/>
  <c r="Q37" i="101" s="1"/>
  <c r="J36" i="101" l="1"/>
  <c r="L36" i="101" s="1"/>
  <c r="R36" i="101" s="1"/>
  <c r="J37" i="101"/>
  <c r="J34" i="101"/>
  <c r="L34" i="101" s="1"/>
  <c r="J33" i="101"/>
  <c r="N36" i="101"/>
  <c r="R33" i="101" l="1"/>
  <c r="L33" i="101"/>
  <c r="L37" i="101"/>
  <c r="N37" i="101" s="1"/>
  <c r="N46" i="101" s="1"/>
  <c r="T36" i="101"/>
  <c r="T33" i="101"/>
  <c r="N33" i="101"/>
  <c r="N34" i="101"/>
  <c r="R34" i="101"/>
  <c r="P69" i="82"/>
  <c r="R37" i="101" l="1"/>
  <c r="N45" i="101"/>
  <c r="T37" i="101"/>
  <c r="T46" i="101" s="1"/>
  <c r="T34" i="101"/>
  <c r="T45" i="101" s="1"/>
  <c r="F36" i="86" l="1"/>
  <c r="G36" i="86"/>
  <c r="H36" i="86"/>
  <c r="F37" i="86"/>
  <c r="G37" i="86"/>
  <c r="H37" i="86"/>
  <c r="F38" i="86"/>
  <c r="G38" i="86"/>
  <c r="H38" i="86"/>
  <c r="F39" i="86"/>
  <c r="G39" i="86"/>
  <c r="H39" i="86"/>
  <c r="F40" i="86"/>
  <c r="G40" i="86"/>
  <c r="H40" i="86"/>
  <c r="F41" i="86"/>
  <c r="G41" i="86"/>
  <c r="H41" i="86"/>
  <c r="F42" i="86"/>
  <c r="G42" i="86"/>
  <c r="H42" i="86"/>
  <c r="F43" i="86"/>
  <c r="G43" i="86"/>
  <c r="H43" i="86"/>
  <c r="F44" i="86"/>
  <c r="G44" i="86"/>
  <c r="H44" i="86"/>
  <c r="F45" i="86"/>
  <c r="G45" i="86"/>
  <c r="H45" i="86"/>
  <c r="F46" i="86"/>
  <c r="G46" i="86"/>
  <c r="H46" i="86"/>
  <c r="F47" i="86"/>
  <c r="G47" i="86"/>
  <c r="H47" i="86"/>
  <c r="F48" i="86"/>
  <c r="G48" i="86"/>
  <c r="H48" i="86"/>
  <c r="F49" i="86"/>
  <c r="G49" i="86"/>
  <c r="H49" i="86"/>
  <c r="F50" i="86"/>
  <c r="G50" i="86"/>
  <c r="H50" i="86"/>
  <c r="F51" i="86"/>
  <c r="G51" i="86"/>
  <c r="H51" i="86"/>
  <c r="F52" i="86"/>
  <c r="G52" i="86"/>
  <c r="H52" i="86"/>
  <c r="F53" i="86"/>
  <c r="G53" i="86"/>
  <c r="H53" i="86"/>
  <c r="F54" i="86"/>
  <c r="G54" i="86"/>
  <c r="H54" i="86"/>
  <c r="F55" i="86"/>
  <c r="G55" i="86"/>
  <c r="H55" i="86"/>
  <c r="F56" i="86"/>
  <c r="G56" i="86"/>
  <c r="H56" i="86"/>
  <c r="F57" i="86"/>
  <c r="G57" i="86"/>
  <c r="H57" i="86"/>
  <c r="F58" i="86"/>
  <c r="G58" i="86"/>
  <c r="H58" i="86"/>
  <c r="F59" i="86"/>
  <c r="G59" i="86"/>
  <c r="H59" i="86"/>
  <c r="F60" i="86"/>
  <c r="G60" i="86"/>
  <c r="H60" i="86"/>
  <c r="F61" i="86"/>
  <c r="G61" i="86"/>
  <c r="H61" i="86"/>
  <c r="F62" i="86"/>
  <c r="G62" i="86"/>
  <c r="H62" i="86"/>
  <c r="F63" i="86"/>
  <c r="G63" i="86"/>
  <c r="H63" i="86"/>
  <c r="F64" i="86"/>
  <c r="G64" i="86"/>
  <c r="H64" i="86"/>
  <c r="F65" i="86"/>
  <c r="G65" i="86"/>
  <c r="H65" i="86"/>
  <c r="F66" i="86"/>
  <c r="G66" i="86"/>
  <c r="H66" i="86"/>
  <c r="F67" i="86"/>
  <c r="G67" i="86"/>
  <c r="H67" i="86"/>
  <c r="F68" i="86"/>
  <c r="G68" i="86"/>
  <c r="H68" i="86"/>
  <c r="F69" i="86"/>
  <c r="G69" i="86"/>
  <c r="H69" i="86"/>
  <c r="F70" i="86"/>
  <c r="G70" i="86"/>
  <c r="H70" i="86"/>
  <c r="F71" i="86"/>
  <c r="G71" i="86"/>
  <c r="H71" i="86"/>
  <c r="F72" i="86"/>
  <c r="F78" i="86" s="1"/>
  <c r="G72" i="86"/>
  <c r="G78" i="86" s="1"/>
  <c r="H72" i="86"/>
  <c r="H78" i="86" s="1"/>
  <c r="H35" i="86"/>
  <c r="G35" i="86"/>
  <c r="F35" i="86"/>
  <c r="F76" i="86" l="1"/>
  <c r="F77" i="86" s="1"/>
  <c r="G76" i="86"/>
  <c r="G77" i="86" s="1"/>
  <c r="H76" i="86"/>
  <c r="H77" i="86" s="1"/>
  <c r="B37" i="96" l="1"/>
  <c r="C43" i="96"/>
  <c r="B43" i="96"/>
  <c r="C36" i="96"/>
  <c r="B36" i="96"/>
  <c r="C41" i="96"/>
  <c r="K65" i="96"/>
  <c r="K73" i="96"/>
  <c r="K81" i="96"/>
  <c r="K89" i="96"/>
  <c r="K96" i="96"/>
  <c r="K97" i="96"/>
  <c r="K104" i="96"/>
  <c r="K105" i="96"/>
  <c r="K112" i="96"/>
  <c r="K113" i="96"/>
  <c r="K121" i="96"/>
  <c r="K129" i="96"/>
  <c r="K137" i="96"/>
  <c r="C45" i="96" s="1"/>
  <c r="K145" i="96"/>
  <c r="K153" i="96"/>
  <c r="K161" i="96"/>
  <c r="K169" i="96"/>
  <c r="K177" i="96"/>
  <c r="K185" i="96"/>
  <c r="K193" i="96"/>
  <c r="K201" i="96"/>
  <c r="K209" i="96"/>
  <c r="K217" i="96"/>
  <c r="K225" i="96"/>
  <c r="K233" i="96"/>
  <c r="K241" i="96"/>
  <c r="K249" i="96"/>
  <c r="K257" i="96"/>
  <c r="K265" i="96"/>
  <c r="K273" i="96"/>
  <c r="K281" i="96"/>
  <c r="K289" i="96"/>
  <c r="K297" i="96"/>
  <c r="K305" i="96"/>
  <c r="K329" i="96"/>
  <c r="K361" i="96"/>
  <c r="K392" i="96"/>
  <c r="K410" i="96"/>
  <c r="K433" i="96"/>
  <c r="R61" i="96"/>
  <c r="P62" i="96"/>
  <c r="K62" i="96" s="1"/>
  <c r="Q62" i="96"/>
  <c r="R62" i="96"/>
  <c r="P63" i="96"/>
  <c r="K63" i="96" s="1"/>
  <c r="Q63" i="96"/>
  <c r="R63" i="96"/>
  <c r="P64" i="96"/>
  <c r="Q64" i="96"/>
  <c r="R64" i="96"/>
  <c r="P65" i="96"/>
  <c r="Q65" i="96"/>
  <c r="R65" i="96"/>
  <c r="P66" i="96"/>
  <c r="Q66" i="96"/>
  <c r="R66" i="96"/>
  <c r="P67" i="96"/>
  <c r="K67" i="96" s="1"/>
  <c r="Q67" i="96"/>
  <c r="R67" i="96"/>
  <c r="P68" i="96"/>
  <c r="K68" i="96" s="1"/>
  <c r="Q68" i="96"/>
  <c r="R68" i="96"/>
  <c r="P69" i="96"/>
  <c r="Q69" i="96"/>
  <c r="R69" i="96"/>
  <c r="P70" i="96"/>
  <c r="K70" i="96" s="1"/>
  <c r="Q70" i="96"/>
  <c r="R70" i="96"/>
  <c r="P71" i="96"/>
  <c r="K71" i="96" s="1"/>
  <c r="Q71" i="96"/>
  <c r="R71" i="96"/>
  <c r="P72" i="96"/>
  <c r="Q72" i="96"/>
  <c r="R72" i="96"/>
  <c r="P73" i="96"/>
  <c r="Q73" i="96"/>
  <c r="R73" i="96"/>
  <c r="P74" i="96"/>
  <c r="Q74" i="96"/>
  <c r="R74" i="96"/>
  <c r="P75" i="96"/>
  <c r="K75" i="96" s="1"/>
  <c r="Q75" i="96"/>
  <c r="R75" i="96"/>
  <c r="P76" i="96"/>
  <c r="K76" i="96" s="1"/>
  <c r="Q76" i="96"/>
  <c r="R76" i="96"/>
  <c r="P77" i="96"/>
  <c r="Q77" i="96"/>
  <c r="R77" i="96"/>
  <c r="P78" i="96"/>
  <c r="K78" i="96" s="1"/>
  <c r="Q78" i="96"/>
  <c r="R78" i="96"/>
  <c r="P79" i="96"/>
  <c r="K79" i="96" s="1"/>
  <c r="Q79" i="96"/>
  <c r="R79" i="96"/>
  <c r="P80" i="96"/>
  <c r="Q80" i="96"/>
  <c r="R80" i="96"/>
  <c r="P81" i="96"/>
  <c r="Q81" i="96"/>
  <c r="R81" i="96"/>
  <c r="P82" i="96"/>
  <c r="Q82" i="96"/>
  <c r="R82" i="96"/>
  <c r="P83" i="96"/>
  <c r="K83" i="96" s="1"/>
  <c r="Q83" i="96"/>
  <c r="R83" i="96"/>
  <c r="P84" i="96"/>
  <c r="K84" i="96" s="1"/>
  <c r="Q84" i="96"/>
  <c r="R84" i="96"/>
  <c r="P85" i="96"/>
  <c r="Q85" i="96"/>
  <c r="R85" i="96"/>
  <c r="P86" i="96"/>
  <c r="K86" i="96" s="1"/>
  <c r="Q86" i="96"/>
  <c r="R86" i="96"/>
  <c r="P87" i="96"/>
  <c r="K87" i="96" s="1"/>
  <c r="Q87" i="96"/>
  <c r="R87" i="96"/>
  <c r="P88" i="96"/>
  <c r="K88" i="96" s="1"/>
  <c r="Q88" i="96"/>
  <c r="R88" i="96"/>
  <c r="P89" i="96"/>
  <c r="Q89" i="96"/>
  <c r="R89" i="96"/>
  <c r="P90" i="96"/>
  <c r="Q90" i="96"/>
  <c r="R90" i="96"/>
  <c r="P91" i="96"/>
  <c r="K91" i="96" s="1"/>
  <c r="Q91" i="96"/>
  <c r="R91" i="96"/>
  <c r="P92" i="96"/>
  <c r="K92" i="96" s="1"/>
  <c r="Q92" i="96"/>
  <c r="R92" i="96"/>
  <c r="P93" i="96"/>
  <c r="Q93" i="96"/>
  <c r="R93" i="96"/>
  <c r="P94" i="96"/>
  <c r="K94" i="96" s="1"/>
  <c r="Q94" i="96"/>
  <c r="R94" i="96"/>
  <c r="P95" i="96"/>
  <c r="K95" i="96" s="1"/>
  <c r="Q95" i="96"/>
  <c r="R95" i="96"/>
  <c r="P96" i="96"/>
  <c r="Q96" i="96"/>
  <c r="R96" i="96"/>
  <c r="P97" i="96"/>
  <c r="Q97" i="96"/>
  <c r="R97" i="96"/>
  <c r="P98" i="96"/>
  <c r="Q98" i="96"/>
  <c r="R98" i="96"/>
  <c r="P99" i="96"/>
  <c r="Q99" i="96"/>
  <c r="B42" i="96" s="1"/>
  <c r="R99" i="96"/>
  <c r="B44" i="96" s="1"/>
  <c r="P100" i="96"/>
  <c r="K100" i="96" s="1"/>
  <c r="Q100" i="96"/>
  <c r="R100" i="96"/>
  <c r="P101" i="96"/>
  <c r="Q101" i="96"/>
  <c r="R101" i="96"/>
  <c r="P102" i="96"/>
  <c r="K102" i="96" s="1"/>
  <c r="Q102" i="96"/>
  <c r="R102" i="96"/>
  <c r="P103" i="96"/>
  <c r="K103" i="96" s="1"/>
  <c r="Q103" i="96"/>
  <c r="R103" i="96"/>
  <c r="P104" i="96"/>
  <c r="Q104" i="96"/>
  <c r="R104" i="96"/>
  <c r="P105" i="96"/>
  <c r="Q105" i="96"/>
  <c r="R105" i="96"/>
  <c r="P106" i="96"/>
  <c r="Q106" i="96"/>
  <c r="R106" i="96"/>
  <c r="P107" i="96"/>
  <c r="K107" i="96" s="1"/>
  <c r="Q107" i="96"/>
  <c r="R107" i="96"/>
  <c r="P108" i="96"/>
  <c r="K108" i="96" s="1"/>
  <c r="Q108" i="96"/>
  <c r="R108" i="96"/>
  <c r="P109" i="96"/>
  <c r="Q109" i="96"/>
  <c r="R109" i="96"/>
  <c r="P110" i="96"/>
  <c r="K110" i="96" s="1"/>
  <c r="Q110" i="96"/>
  <c r="R110" i="96"/>
  <c r="P111" i="96"/>
  <c r="K111" i="96" s="1"/>
  <c r="Q111" i="96"/>
  <c r="R111" i="96"/>
  <c r="P112" i="96"/>
  <c r="Q112" i="96"/>
  <c r="R112" i="96"/>
  <c r="P113" i="96"/>
  <c r="Q113" i="96"/>
  <c r="R113" i="96"/>
  <c r="P114" i="96"/>
  <c r="Q114" i="96"/>
  <c r="R114" i="96"/>
  <c r="P115" i="96"/>
  <c r="K115" i="96" s="1"/>
  <c r="Q115" i="96"/>
  <c r="R115" i="96"/>
  <c r="P116" i="96"/>
  <c r="K116" i="96" s="1"/>
  <c r="Q116" i="96"/>
  <c r="R116" i="96"/>
  <c r="P117" i="96"/>
  <c r="Q117" i="96"/>
  <c r="R117" i="96"/>
  <c r="P118" i="96"/>
  <c r="K118" i="96" s="1"/>
  <c r="Q118" i="96"/>
  <c r="R118" i="96"/>
  <c r="P119" i="96"/>
  <c r="K119" i="96" s="1"/>
  <c r="Q119" i="96"/>
  <c r="R119" i="96"/>
  <c r="P120" i="96"/>
  <c r="K120" i="96" s="1"/>
  <c r="Q120" i="96"/>
  <c r="R120" i="96"/>
  <c r="P121" i="96"/>
  <c r="Q121" i="96"/>
  <c r="R121" i="96"/>
  <c r="P122" i="96"/>
  <c r="Q122" i="96"/>
  <c r="R122" i="96"/>
  <c r="P123" i="96"/>
  <c r="K123" i="96" s="1"/>
  <c r="Q123" i="96"/>
  <c r="R123" i="96"/>
  <c r="P124" i="96"/>
  <c r="K124" i="96" s="1"/>
  <c r="Q124" i="96"/>
  <c r="R124" i="96"/>
  <c r="P125" i="96"/>
  <c r="Q125" i="96"/>
  <c r="R125" i="96"/>
  <c r="P126" i="96"/>
  <c r="K126" i="96" s="1"/>
  <c r="Q126" i="96"/>
  <c r="R126" i="96"/>
  <c r="P127" i="96"/>
  <c r="K127" i="96" s="1"/>
  <c r="Q127" i="96"/>
  <c r="R127" i="96"/>
  <c r="P128" i="96"/>
  <c r="Q128" i="96"/>
  <c r="K128" i="96" s="1"/>
  <c r="R128" i="96"/>
  <c r="P129" i="96"/>
  <c r="Q129" i="96"/>
  <c r="R129" i="96"/>
  <c r="P130" i="96"/>
  <c r="Q130" i="96"/>
  <c r="R130" i="96"/>
  <c r="P131" i="96"/>
  <c r="K131" i="96" s="1"/>
  <c r="Q131" i="96"/>
  <c r="R131" i="96"/>
  <c r="P132" i="96"/>
  <c r="K132" i="96" s="1"/>
  <c r="Q132" i="96"/>
  <c r="R132" i="96"/>
  <c r="P133" i="96"/>
  <c r="Q133" i="96"/>
  <c r="R133" i="96"/>
  <c r="P134" i="96"/>
  <c r="K134" i="96" s="1"/>
  <c r="Q134" i="96"/>
  <c r="R134" i="96"/>
  <c r="P135" i="96"/>
  <c r="K135" i="96" s="1"/>
  <c r="Q135" i="96"/>
  <c r="R135" i="96"/>
  <c r="P136" i="96"/>
  <c r="B34" i="96" s="1"/>
  <c r="Q136" i="96"/>
  <c r="B35" i="96" s="1"/>
  <c r="B49" i="96" s="1"/>
  <c r="R136" i="96"/>
  <c r="P137" i="96"/>
  <c r="Q137" i="96"/>
  <c r="C42" i="96" s="1"/>
  <c r="R137" i="96"/>
  <c r="C44" i="96" s="1"/>
  <c r="P138" i="96"/>
  <c r="Q138" i="96"/>
  <c r="R138" i="96"/>
  <c r="P139" i="96"/>
  <c r="K139" i="96" s="1"/>
  <c r="Q139" i="96"/>
  <c r="R139" i="96"/>
  <c r="P140" i="96"/>
  <c r="K140" i="96" s="1"/>
  <c r="Q140" i="96"/>
  <c r="R140" i="96"/>
  <c r="P141" i="96"/>
  <c r="Q141" i="96"/>
  <c r="R141" i="96"/>
  <c r="P142" i="96"/>
  <c r="K142" i="96" s="1"/>
  <c r="Q142" i="96"/>
  <c r="R142" i="96"/>
  <c r="P143" i="96"/>
  <c r="K143" i="96" s="1"/>
  <c r="Q143" i="96"/>
  <c r="R143" i="96"/>
  <c r="P144" i="96"/>
  <c r="Q144" i="96"/>
  <c r="K144" i="96" s="1"/>
  <c r="R144" i="96"/>
  <c r="P145" i="96"/>
  <c r="Q145" i="96"/>
  <c r="R145" i="96"/>
  <c r="P146" i="96"/>
  <c r="Q146" i="96"/>
  <c r="R146" i="96"/>
  <c r="P147" i="96"/>
  <c r="K147" i="96" s="1"/>
  <c r="Q147" i="96"/>
  <c r="R147" i="96"/>
  <c r="P148" i="96"/>
  <c r="K148" i="96" s="1"/>
  <c r="Q148" i="96"/>
  <c r="R148" i="96"/>
  <c r="P149" i="96"/>
  <c r="Q149" i="96"/>
  <c r="R149" i="96"/>
  <c r="P150" i="96"/>
  <c r="K150" i="96" s="1"/>
  <c r="Q150" i="96"/>
  <c r="R150" i="96"/>
  <c r="P151" i="96"/>
  <c r="K151" i="96" s="1"/>
  <c r="Q151" i="96"/>
  <c r="R151" i="96"/>
  <c r="P152" i="96"/>
  <c r="K152" i="96" s="1"/>
  <c r="Q152" i="96"/>
  <c r="R152" i="96"/>
  <c r="P153" i="96"/>
  <c r="Q153" i="96"/>
  <c r="R153" i="96"/>
  <c r="P154" i="96"/>
  <c r="Q154" i="96"/>
  <c r="R154" i="96"/>
  <c r="P155" i="96"/>
  <c r="K155" i="96" s="1"/>
  <c r="Q155" i="96"/>
  <c r="R155" i="96"/>
  <c r="P156" i="96"/>
  <c r="K156" i="96" s="1"/>
  <c r="Q156" i="96"/>
  <c r="R156" i="96"/>
  <c r="P157" i="96"/>
  <c r="Q157" i="96"/>
  <c r="R157" i="96"/>
  <c r="P158" i="96"/>
  <c r="K158" i="96" s="1"/>
  <c r="Q158" i="96"/>
  <c r="R158" i="96"/>
  <c r="P159" i="96"/>
  <c r="K159" i="96" s="1"/>
  <c r="Q159" i="96"/>
  <c r="R159" i="96"/>
  <c r="P160" i="96"/>
  <c r="Q160" i="96"/>
  <c r="K160" i="96" s="1"/>
  <c r="R160" i="96"/>
  <c r="P161" i="96"/>
  <c r="Q161" i="96"/>
  <c r="R161" i="96"/>
  <c r="P162" i="96"/>
  <c r="Q162" i="96"/>
  <c r="R162" i="96"/>
  <c r="P163" i="96"/>
  <c r="K163" i="96" s="1"/>
  <c r="Q163" i="96"/>
  <c r="R163" i="96"/>
  <c r="P164" i="96"/>
  <c r="K164" i="96" s="1"/>
  <c r="Q164" i="96"/>
  <c r="R164" i="96"/>
  <c r="P165" i="96"/>
  <c r="Q165" i="96"/>
  <c r="R165" i="96"/>
  <c r="P166" i="96"/>
  <c r="K166" i="96" s="1"/>
  <c r="Q166" i="96"/>
  <c r="R166" i="96"/>
  <c r="P167" i="96"/>
  <c r="K167" i="96" s="1"/>
  <c r="Q167" i="96"/>
  <c r="R167" i="96"/>
  <c r="P168" i="96"/>
  <c r="K168" i="96" s="1"/>
  <c r="Q168" i="96"/>
  <c r="R168" i="96"/>
  <c r="P169" i="96"/>
  <c r="Q169" i="96"/>
  <c r="R169" i="96"/>
  <c r="P170" i="96"/>
  <c r="Q170" i="96"/>
  <c r="R170" i="96"/>
  <c r="P171" i="96"/>
  <c r="K171" i="96" s="1"/>
  <c r="Q171" i="96"/>
  <c r="R171" i="96"/>
  <c r="P172" i="96"/>
  <c r="K172" i="96" s="1"/>
  <c r="Q172" i="96"/>
  <c r="R172" i="96"/>
  <c r="P173" i="96"/>
  <c r="Q173" i="96"/>
  <c r="R173" i="96"/>
  <c r="P174" i="96"/>
  <c r="C34" i="96" s="1"/>
  <c r="Q174" i="96"/>
  <c r="C35" i="96" s="1"/>
  <c r="R174" i="96"/>
  <c r="C37" i="96" s="1"/>
  <c r="P175" i="96"/>
  <c r="K175" i="96" s="1"/>
  <c r="Q175" i="96"/>
  <c r="R175" i="96"/>
  <c r="P176" i="96"/>
  <c r="Q176" i="96"/>
  <c r="K176" i="96" s="1"/>
  <c r="R176" i="96"/>
  <c r="P177" i="96"/>
  <c r="Q177" i="96"/>
  <c r="R177" i="96"/>
  <c r="P178" i="96"/>
  <c r="Q178" i="96"/>
  <c r="R178" i="96"/>
  <c r="P179" i="96"/>
  <c r="K179" i="96" s="1"/>
  <c r="Q179" i="96"/>
  <c r="R179" i="96"/>
  <c r="P180" i="96"/>
  <c r="K180" i="96" s="1"/>
  <c r="Q180" i="96"/>
  <c r="R180" i="96"/>
  <c r="P181" i="96"/>
  <c r="Q181" i="96"/>
  <c r="R181" i="96"/>
  <c r="P182" i="96"/>
  <c r="K182" i="96" s="1"/>
  <c r="Q182" i="96"/>
  <c r="R182" i="96"/>
  <c r="P183" i="96"/>
  <c r="K183" i="96" s="1"/>
  <c r="Q183" i="96"/>
  <c r="R183" i="96"/>
  <c r="P184" i="96"/>
  <c r="K184" i="96" s="1"/>
  <c r="Q184" i="96"/>
  <c r="R184" i="96"/>
  <c r="P185" i="96"/>
  <c r="Q185" i="96"/>
  <c r="R185" i="96"/>
  <c r="P186" i="96"/>
  <c r="Q186" i="96"/>
  <c r="R186" i="96"/>
  <c r="P187" i="96"/>
  <c r="K187" i="96" s="1"/>
  <c r="Q187" i="96"/>
  <c r="R187" i="96"/>
  <c r="P188" i="96"/>
  <c r="K188" i="96" s="1"/>
  <c r="Q188" i="96"/>
  <c r="R188" i="96"/>
  <c r="P189" i="96"/>
  <c r="Q189" i="96"/>
  <c r="R189" i="96"/>
  <c r="P190" i="96"/>
  <c r="K190" i="96" s="1"/>
  <c r="Q190" i="96"/>
  <c r="R190" i="96"/>
  <c r="P191" i="96"/>
  <c r="K191" i="96" s="1"/>
  <c r="Q191" i="96"/>
  <c r="R191" i="96"/>
  <c r="P192" i="96"/>
  <c r="K192" i="96" s="1"/>
  <c r="Q192" i="96"/>
  <c r="R192" i="96"/>
  <c r="P193" i="96"/>
  <c r="Q193" i="96"/>
  <c r="R193" i="96"/>
  <c r="P194" i="96"/>
  <c r="Q194" i="96"/>
  <c r="R194" i="96"/>
  <c r="P195" i="96"/>
  <c r="K195" i="96" s="1"/>
  <c r="Q195" i="96"/>
  <c r="R195" i="96"/>
  <c r="P196" i="96"/>
  <c r="K196" i="96" s="1"/>
  <c r="Q196" i="96"/>
  <c r="R196" i="96"/>
  <c r="P197" i="96"/>
  <c r="Q197" i="96"/>
  <c r="R197" i="96"/>
  <c r="P198" i="96"/>
  <c r="K198" i="96" s="1"/>
  <c r="Q198" i="96"/>
  <c r="R198" i="96"/>
  <c r="P199" i="96"/>
  <c r="K199" i="96" s="1"/>
  <c r="Q199" i="96"/>
  <c r="R199" i="96"/>
  <c r="P200" i="96"/>
  <c r="K200" i="96" s="1"/>
  <c r="Q200" i="96"/>
  <c r="R200" i="96"/>
  <c r="P201" i="96"/>
  <c r="Q201" i="96"/>
  <c r="R201" i="96"/>
  <c r="P202" i="96"/>
  <c r="Q202" i="96"/>
  <c r="R202" i="96"/>
  <c r="P203" i="96"/>
  <c r="K203" i="96" s="1"/>
  <c r="Q203" i="96"/>
  <c r="R203" i="96"/>
  <c r="P204" i="96"/>
  <c r="K204" i="96" s="1"/>
  <c r="Q204" i="96"/>
  <c r="R204" i="96"/>
  <c r="P205" i="96"/>
  <c r="Q205" i="96"/>
  <c r="R205" i="96"/>
  <c r="P206" i="96"/>
  <c r="K206" i="96" s="1"/>
  <c r="Q206" i="96"/>
  <c r="R206" i="96"/>
  <c r="P207" i="96"/>
  <c r="K207" i="96" s="1"/>
  <c r="Q207" i="96"/>
  <c r="R207" i="96"/>
  <c r="P208" i="96"/>
  <c r="K208" i="96" s="1"/>
  <c r="Q208" i="96"/>
  <c r="R208" i="96"/>
  <c r="P209" i="96"/>
  <c r="Q209" i="96"/>
  <c r="R209" i="96"/>
  <c r="P210" i="96"/>
  <c r="Q210" i="96"/>
  <c r="R210" i="96"/>
  <c r="P211" i="96"/>
  <c r="K211" i="96" s="1"/>
  <c r="Q211" i="96"/>
  <c r="R211" i="96"/>
  <c r="P212" i="96"/>
  <c r="K212" i="96" s="1"/>
  <c r="Q212" i="96"/>
  <c r="R212" i="96"/>
  <c r="P213" i="96"/>
  <c r="Q213" i="96"/>
  <c r="R213" i="96"/>
  <c r="P214" i="96"/>
  <c r="K214" i="96" s="1"/>
  <c r="Q214" i="96"/>
  <c r="R214" i="96"/>
  <c r="P215" i="96"/>
  <c r="K215" i="96" s="1"/>
  <c r="Q215" i="96"/>
  <c r="R215" i="96"/>
  <c r="P216" i="96"/>
  <c r="K216" i="96" s="1"/>
  <c r="Q216" i="96"/>
  <c r="R216" i="96"/>
  <c r="P217" i="96"/>
  <c r="Q217" i="96"/>
  <c r="R217" i="96"/>
  <c r="P218" i="96"/>
  <c r="Q218" i="96"/>
  <c r="R218" i="96"/>
  <c r="P219" i="96"/>
  <c r="K219" i="96" s="1"/>
  <c r="Q219" i="96"/>
  <c r="R219" i="96"/>
  <c r="P220" i="96"/>
  <c r="K220" i="96" s="1"/>
  <c r="Q220" i="96"/>
  <c r="R220" i="96"/>
  <c r="P221" i="96"/>
  <c r="Q221" i="96"/>
  <c r="R221" i="96"/>
  <c r="P222" i="96"/>
  <c r="K222" i="96" s="1"/>
  <c r="Q222" i="96"/>
  <c r="R222" i="96"/>
  <c r="P223" i="96"/>
  <c r="K223" i="96" s="1"/>
  <c r="Q223" i="96"/>
  <c r="R223" i="96"/>
  <c r="P224" i="96"/>
  <c r="K224" i="96" s="1"/>
  <c r="Q224" i="96"/>
  <c r="R224" i="96"/>
  <c r="P225" i="96"/>
  <c r="Q225" i="96"/>
  <c r="R225" i="96"/>
  <c r="P226" i="96"/>
  <c r="Q226" i="96"/>
  <c r="R226" i="96"/>
  <c r="P227" i="96"/>
  <c r="K227" i="96" s="1"/>
  <c r="Q227" i="96"/>
  <c r="R227" i="96"/>
  <c r="P228" i="96"/>
  <c r="K228" i="96" s="1"/>
  <c r="Q228" i="96"/>
  <c r="R228" i="96"/>
  <c r="P229" i="96"/>
  <c r="Q229" i="96"/>
  <c r="R229" i="96"/>
  <c r="P230" i="96"/>
  <c r="K230" i="96" s="1"/>
  <c r="Q230" i="96"/>
  <c r="R230" i="96"/>
  <c r="P231" i="96"/>
  <c r="K231" i="96" s="1"/>
  <c r="Q231" i="96"/>
  <c r="R231" i="96"/>
  <c r="P232" i="96"/>
  <c r="K232" i="96" s="1"/>
  <c r="Q232" i="96"/>
  <c r="R232" i="96"/>
  <c r="P233" i="96"/>
  <c r="Q233" i="96"/>
  <c r="R233" i="96"/>
  <c r="P234" i="96"/>
  <c r="Q234" i="96"/>
  <c r="R234" i="96"/>
  <c r="P235" i="96"/>
  <c r="K235" i="96" s="1"/>
  <c r="Q235" i="96"/>
  <c r="R235" i="96"/>
  <c r="P236" i="96"/>
  <c r="K236" i="96" s="1"/>
  <c r="Q236" i="96"/>
  <c r="R236" i="96"/>
  <c r="P237" i="96"/>
  <c r="Q237" i="96"/>
  <c r="R237" i="96"/>
  <c r="P238" i="96"/>
  <c r="K238" i="96" s="1"/>
  <c r="Q238" i="96"/>
  <c r="R238" i="96"/>
  <c r="P239" i="96"/>
  <c r="K239" i="96" s="1"/>
  <c r="Q239" i="96"/>
  <c r="R239" i="96"/>
  <c r="P240" i="96"/>
  <c r="K240" i="96" s="1"/>
  <c r="Q240" i="96"/>
  <c r="R240" i="96"/>
  <c r="P241" i="96"/>
  <c r="Q241" i="96"/>
  <c r="R241" i="96"/>
  <c r="P242" i="96"/>
  <c r="Q242" i="96"/>
  <c r="R242" i="96"/>
  <c r="P243" i="96"/>
  <c r="K243" i="96" s="1"/>
  <c r="Q243" i="96"/>
  <c r="R243" i="96"/>
  <c r="P244" i="96"/>
  <c r="K244" i="96" s="1"/>
  <c r="Q244" i="96"/>
  <c r="R244" i="96"/>
  <c r="P245" i="96"/>
  <c r="Q245" i="96"/>
  <c r="R245" i="96"/>
  <c r="P246" i="96"/>
  <c r="K246" i="96" s="1"/>
  <c r="Q246" i="96"/>
  <c r="R246" i="96"/>
  <c r="P247" i="96"/>
  <c r="K247" i="96" s="1"/>
  <c r="Q247" i="96"/>
  <c r="R247" i="96"/>
  <c r="P248" i="96"/>
  <c r="K248" i="96" s="1"/>
  <c r="Q248" i="96"/>
  <c r="R248" i="96"/>
  <c r="P249" i="96"/>
  <c r="Q249" i="96"/>
  <c r="R249" i="96"/>
  <c r="P250" i="96"/>
  <c r="Q250" i="96"/>
  <c r="R250" i="96"/>
  <c r="P251" i="96"/>
  <c r="K251" i="96" s="1"/>
  <c r="Q251" i="96"/>
  <c r="R251" i="96"/>
  <c r="P252" i="96"/>
  <c r="K252" i="96" s="1"/>
  <c r="Q252" i="96"/>
  <c r="R252" i="96"/>
  <c r="P253" i="96"/>
  <c r="Q253" i="96"/>
  <c r="R253" i="96"/>
  <c r="P254" i="96"/>
  <c r="K254" i="96" s="1"/>
  <c r="Q254" i="96"/>
  <c r="R254" i="96"/>
  <c r="P255" i="96"/>
  <c r="K255" i="96" s="1"/>
  <c r="Q255" i="96"/>
  <c r="R255" i="96"/>
  <c r="P256" i="96"/>
  <c r="K256" i="96" s="1"/>
  <c r="Q256" i="96"/>
  <c r="R256" i="96"/>
  <c r="P257" i="96"/>
  <c r="Q257" i="96"/>
  <c r="R257" i="96"/>
  <c r="P258" i="96"/>
  <c r="Q258" i="96"/>
  <c r="R258" i="96"/>
  <c r="P259" i="96"/>
  <c r="K259" i="96" s="1"/>
  <c r="Q259" i="96"/>
  <c r="R259" i="96"/>
  <c r="P260" i="96"/>
  <c r="K260" i="96" s="1"/>
  <c r="Q260" i="96"/>
  <c r="R260" i="96"/>
  <c r="P261" i="96"/>
  <c r="Q261" i="96"/>
  <c r="R261" i="96"/>
  <c r="P262" i="96"/>
  <c r="K262" i="96" s="1"/>
  <c r="Q262" i="96"/>
  <c r="R262" i="96"/>
  <c r="P263" i="96"/>
  <c r="K263" i="96" s="1"/>
  <c r="Q263" i="96"/>
  <c r="R263" i="96"/>
  <c r="P264" i="96"/>
  <c r="K264" i="96" s="1"/>
  <c r="Q264" i="96"/>
  <c r="R264" i="96"/>
  <c r="P265" i="96"/>
  <c r="Q265" i="96"/>
  <c r="R265" i="96"/>
  <c r="P266" i="96"/>
  <c r="Q266" i="96"/>
  <c r="R266" i="96"/>
  <c r="P267" i="96"/>
  <c r="K267" i="96" s="1"/>
  <c r="Q267" i="96"/>
  <c r="R267" i="96"/>
  <c r="P268" i="96"/>
  <c r="K268" i="96" s="1"/>
  <c r="Q268" i="96"/>
  <c r="R268" i="96"/>
  <c r="P269" i="96"/>
  <c r="Q269" i="96"/>
  <c r="R269" i="96"/>
  <c r="P270" i="96"/>
  <c r="K270" i="96" s="1"/>
  <c r="Q270" i="96"/>
  <c r="R270" i="96"/>
  <c r="P271" i="96"/>
  <c r="K271" i="96" s="1"/>
  <c r="Q271" i="96"/>
  <c r="R271" i="96"/>
  <c r="P272" i="96"/>
  <c r="K272" i="96" s="1"/>
  <c r="Q272" i="96"/>
  <c r="R272" i="96"/>
  <c r="P273" i="96"/>
  <c r="Q273" i="96"/>
  <c r="R273" i="96"/>
  <c r="P274" i="96"/>
  <c r="Q274" i="96"/>
  <c r="R274" i="96"/>
  <c r="P275" i="96"/>
  <c r="K275" i="96" s="1"/>
  <c r="Q275" i="96"/>
  <c r="R275" i="96"/>
  <c r="P276" i="96"/>
  <c r="K276" i="96" s="1"/>
  <c r="Q276" i="96"/>
  <c r="R276" i="96"/>
  <c r="P277" i="96"/>
  <c r="Q277" i="96"/>
  <c r="R277" i="96"/>
  <c r="P278" i="96"/>
  <c r="K278" i="96" s="1"/>
  <c r="Q278" i="96"/>
  <c r="R278" i="96"/>
  <c r="P279" i="96"/>
  <c r="K279" i="96" s="1"/>
  <c r="Q279" i="96"/>
  <c r="R279" i="96"/>
  <c r="P280" i="96"/>
  <c r="K280" i="96" s="1"/>
  <c r="Q280" i="96"/>
  <c r="R280" i="96"/>
  <c r="P281" i="96"/>
  <c r="Q281" i="96"/>
  <c r="R281" i="96"/>
  <c r="P282" i="96"/>
  <c r="Q282" i="96"/>
  <c r="R282" i="96"/>
  <c r="P283" i="96"/>
  <c r="K283" i="96" s="1"/>
  <c r="Q283" i="96"/>
  <c r="R283" i="96"/>
  <c r="P284" i="96"/>
  <c r="K284" i="96" s="1"/>
  <c r="Q284" i="96"/>
  <c r="R284" i="96"/>
  <c r="P285" i="96"/>
  <c r="Q285" i="96"/>
  <c r="R285" i="96"/>
  <c r="P286" i="96"/>
  <c r="K286" i="96" s="1"/>
  <c r="Q286" i="96"/>
  <c r="R286" i="96"/>
  <c r="P287" i="96"/>
  <c r="K287" i="96" s="1"/>
  <c r="Q287" i="96"/>
  <c r="R287" i="96"/>
  <c r="P288" i="96"/>
  <c r="K288" i="96" s="1"/>
  <c r="Q288" i="96"/>
  <c r="R288" i="96"/>
  <c r="P289" i="96"/>
  <c r="Q289" i="96"/>
  <c r="R289" i="96"/>
  <c r="P290" i="96"/>
  <c r="Q290" i="96"/>
  <c r="R290" i="96"/>
  <c r="P291" i="96"/>
  <c r="K291" i="96" s="1"/>
  <c r="Q291" i="96"/>
  <c r="R291" i="96"/>
  <c r="P292" i="96"/>
  <c r="K292" i="96" s="1"/>
  <c r="Q292" i="96"/>
  <c r="R292" i="96"/>
  <c r="P293" i="96"/>
  <c r="Q293" i="96"/>
  <c r="R293" i="96"/>
  <c r="P294" i="96"/>
  <c r="K294" i="96" s="1"/>
  <c r="Q294" i="96"/>
  <c r="R294" i="96"/>
  <c r="P295" i="96"/>
  <c r="K295" i="96" s="1"/>
  <c r="Q295" i="96"/>
  <c r="R295" i="96"/>
  <c r="P296" i="96"/>
  <c r="K296" i="96" s="1"/>
  <c r="Q296" i="96"/>
  <c r="R296" i="96"/>
  <c r="P297" i="96"/>
  <c r="Q297" i="96"/>
  <c r="R297" i="96"/>
  <c r="P298" i="96"/>
  <c r="Q298" i="96"/>
  <c r="R298" i="96"/>
  <c r="P299" i="96"/>
  <c r="K299" i="96" s="1"/>
  <c r="Q299" i="96"/>
  <c r="R299" i="96"/>
  <c r="P300" i="96"/>
  <c r="K300" i="96" s="1"/>
  <c r="Q300" i="96"/>
  <c r="R300" i="96"/>
  <c r="P301" i="96"/>
  <c r="Q301" i="96"/>
  <c r="R301" i="96"/>
  <c r="P302" i="96"/>
  <c r="K302" i="96" s="1"/>
  <c r="Q302" i="96"/>
  <c r="R302" i="96"/>
  <c r="P303" i="96"/>
  <c r="K303" i="96" s="1"/>
  <c r="Q303" i="96"/>
  <c r="R303" i="96"/>
  <c r="P304" i="96"/>
  <c r="K304" i="96" s="1"/>
  <c r="Q304" i="96"/>
  <c r="R304" i="96"/>
  <c r="P305" i="96"/>
  <c r="Q305" i="96"/>
  <c r="R305" i="96"/>
  <c r="P306" i="96"/>
  <c r="Q306" i="96"/>
  <c r="R306" i="96"/>
  <c r="P307" i="96"/>
  <c r="K307" i="96" s="1"/>
  <c r="Q307" i="96"/>
  <c r="R307" i="96"/>
  <c r="P308" i="96"/>
  <c r="K308" i="96" s="1"/>
  <c r="Q308" i="96"/>
  <c r="R308" i="96"/>
  <c r="P309" i="96"/>
  <c r="Q309" i="96"/>
  <c r="R309" i="96"/>
  <c r="P310" i="96"/>
  <c r="K310" i="96" s="1"/>
  <c r="Q310" i="96"/>
  <c r="R310" i="96"/>
  <c r="P311" i="96"/>
  <c r="K311" i="96" s="1"/>
  <c r="Q311" i="96"/>
  <c r="R311" i="96"/>
  <c r="P312" i="96"/>
  <c r="K312" i="96" s="1"/>
  <c r="Q312" i="96"/>
  <c r="R312" i="96"/>
  <c r="P313" i="96"/>
  <c r="Q313" i="96"/>
  <c r="K313" i="96" s="1"/>
  <c r="R313" i="96"/>
  <c r="P314" i="96"/>
  <c r="Q314" i="96"/>
  <c r="R314" i="96"/>
  <c r="P315" i="96"/>
  <c r="K315" i="96" s="1"/>
  <c r="Q315" i="96"/>
  <c r="R315" i="96"/>
  <c r="P316" i="96"/>
  <c r="K316" i="96" s="1"/>
  <c r="Q316" i="96"/>
  <c r="R316" i="96"/>
  <c r="P317" i="96"/>
  <c r="Q317" i="96"/>
  <c r="R317" i="96"/>
  <c r="P318" i="96"/>
  <c r="K318" i="96" s="1"/>
  <c r="Q318" i="96"/>
  <c r="R318" i="96"/>
  <c r="P319" i="96"/>
  <c r="K319" i="96" s="1"/>
  <c r="Q319" i="96"/>
  <c r="R319" i="96"/>
  <c r="P320" i="96"/>
  <c r="K320" i="96" s="1"/>
  <c r="Q320" i="96"/>
  <c r="R320" i="96"/>
  <c r="P321" i="96"/>
  <c r="Q321" i="96"/>
  <c r="K321" i="96" s="1"/>
  <c r="R321" i="96"/>
  <c r="P322" i="96"/>
  <c r="Q322" i="96"/>
  <c r="R322" i="96"/>
  <c r="P323" i="96"/>
  <c r="K323" i="96" s="1"/>
  <c r="Q323" i="96"/>
  <c r="R323" i="96"/>
  <c r="P324" i="96"/>
  <c r="K324" i="96" s="1"/>
  <c r="Q324" i="96"/>
  <c r="R324" i="96"/>
  <c r="P325" i="96"/>
  <c r="Q325" i="96"/>
  <c r="R325" i="96"/>
  <c r="P326" i="96"/>
  <c r="Q326" i="96"/>
  <c r="R326" i="96"/>
  <c r="P327" i="96"/>
  <c r="K327" i="96" s="1"/>
  <c r="Q327" i="96"/>
  <c r="R327" i="96"/>
  <c r="P328" i="96"/>
  <c r="K328" i="96" s="1"/>
  <c r="Q328" i="96"/>
  <c r="R328" i="96"/>
  <c r="P329" i="96"/>
  <c r="Q329" i="96"/>
  <c r="R329" i="96"/>
  <c r="P330" i="96"/>
  <c r="Q330" i="96"/>
  <c r="R330" i="96"/>
  <c r="P331" i="96"/>
  <c r="K331" i="96" s="1"/>
  <c r="Q331" i="96"/>
  <c r="R331" i="96"/>
  <c r="P332" i="96"/>
  <c r="K332" i="96" s="1"/>
  <c r="Q332" i="96"/>
  <c r="R332" i="96"/>
  <c r="P333" i="96"/>
  <c r="Q333" i="96"/>
  <c r="R333" i="96"/>
  <c r="P334" i="96"/>
  <c r="Q334" i="96"/>
  <c r="R334" i="96"/>
  <c r="P335" i="96"/>
  <c r="K335" i="96" s="1"/>
  <c r="Q335" i="96"/>
  <c r="R335" i="96"/>
  <c r="P336" i="96"/>
  <c r="K336" i="96" s="1"/>
  <c r="Q336" i="96"/>
  <c r="R336" i="96"/>
  <c r="P337" i="96"/>
  <c r="Q337" i="96"/>
  <c r="K337" i="96" s="1"/>
  <c r="R337" i="96"/>
  <c r="P338" i="96"/>
  <c r="Q338" i="96"/>
  <c r="R338" i="96"/>
  <c r="P339" i="96"/>
  <c r="K339" i="96" s="1"/>
  <c r="Q339" i="96"/>
  <c r="R339" i="96"/>
  <c r="P340" i="96"/>
  <c r="K340" i="96" s="1"/>
  <c r="Q340" i="96"/>
  <c r="R340" i="96"/>
  <c r="P341" i="96"/>
  <c r="Q341" i="96"/>
  <c r="R341" i="96"/>
  <c r="P342" i="96"/>
  <c r="Q342" i="96"/>
  <c r="R342" i="96"/>
  <c r="P343" i="96"/>
  <c r="K343" i="96" s="1"/>
  <c r="Q343" i="96"/>
  <c r="R343" i="96"/>
  <c r="P344" i="96"/>
  <c r="K344" i="96" s="1"/>
  <c r="Q344" i="96"/>
  <c r="R344" i="96"/>
  <c r="P345" i="96"/>
  <c r="Q345" i="96"/>
  <c r="K345" i="96" s="1"/>
  <c r="R345" i="96"/>
  <c r="P346" i="96"/>
  <c r="Q346" i="96"/>
  <c r="R346" i="96"/>
  <c r="P347" i="96"/>
  <c r="K347" i="96" s="1"/>
  <c r="Q347" i="96"/>
  <c r="R347" i="96"/>
  <c r="P348" i="96"/>
  <c r="K348" i="96" s="1"/>
  <c r="Q348" i="96"/>
  <c r="R348" i="96"/>
  <c r="P349" i="96"/>
  <c r="Q349" i="96"/>
  <c r="R349" i="96"/>
  <c r="P350" i="96"/>
  <c r="Q350" i="96"/>
  <c r="R350" i="96"/>
  <c r="P351" i="96"/>
  <c r="K351" i="96" s="1"/>
  <c r="Q351" i="96"/>
  <c r="R351" i="96"/>
  <c r="P352" i="96"/>
  <c r="K352" i="96" s="1"/>
  <c r="Q352" i="96"/>
  <c r="R352" i="96"/>
  <c r="P353" i="96"/>
  <c r="Q353" i="96"/>
  <c r="K353" i="96" s="1"/>
  <c r="R353" i="96"/>
  <c r="P354" i="96"/>
  <c r="Q354" i="96"/>
  <c r="K354" i="96" s="1"/>
  <c r="R354" i="96"/>
  <c r="P355" i="96"/>
  <c r="K355" i="96" s="1"/>
  <c r="Q355" i="96"/>
  <c r="R355" i="96"/>
  <c r="P356" i="96"/>
  <c r="K356" i="96" s="1"/>
  <c r="Q356" i="96"/>
  <c r="R356" i="96"/>
  <c r="P357" i="96"/>
  <c r="Q357" i="96"/>
  <c r="R357" i="96"/>
  <c r="P358" i="96"/>
  <c r="Q358" i="96"/>
  <c r="R358" i="96"/>
  <c r="P359" i="96"/>
  <c r="K359" i="96" s="1"/>
  <c r="Q359" i="96"/>
  <c r="R359" i="96"/>
  <c r="P360" i="96"/>
  <c r="K360" i="96" s="1"/>
  <c r="Q360" i="96"/>
  <c r="R360" i="96"/>
  <c r="P361" i="96"/>
  <c r="Q361" i="96"/>
  <c r="R361" i="96"/>
  <c r="P362" i="96"/>
  <c r="Q362" i="96"/>
  <c r="K362" i="96" s="1"/>
  <c r="R362" i="96"/>
  <c r="P363" i="96"/>
  <c r="K363" i="96" s="1"/>
  <c r="Q363" i="96"/>
  <c r="R363" i="96"/>
  <c r="P364" i="96"/>
  <c r="K364" i="96" s="1"/>
  <c r="Q364" i="96"/>
  <c r="R364" i="96"/>
  <c r="P365" i="96"/>
  <c r="Q365" i="96"/>
  <c r="R365" i="96"/>
  <c r="P366" i="96"/>
  <c r="Q366" i="96"/>
  <c r="R366" i="96"/>
  <c r="P367" i="96"/>
  <c r="K367" i="96" s="1"/>
  <c r="Q367" i="96"/>
  <c r="R367" i="96"/>
  <c r="P368" i="96"/>
  <c r="K368" i="96" s="1"/>
  <c r="Q368" i="96"/>
  <c r="R368" i="96"/>
  <c r="P369" i="96"/>
  <c r="Q369" i="96"/>
  <c r="K369" i="96" s="1"/>
  <c r="R369" i="96"/>
  <c r="P370" i="96"/>
  <c r="Q370" i="96"/>
  <c r="K370" i="96" s="1"/>
  <c r="R370" i="96"/>
  <c r="P371" i="96"/>
  <c r="K371" i="96" s="1"/>
  <c r="Q371" i="96"/>
  <c r="R371" i="96"/>
  <c r="P372" i="96"/>
  <c r="K372" i="96" s="1"/>
  <c r="Q372" i="96"/>
  <c r="R372" i="96"/>
  <c r="P373" i="96"/>
  <c r="Q373" i="96"/>
  <c r="R373" i="96"/>
  <c r="P374" i="96"/>
  <c r="Q374" i="96"/>
  <c r="R374" i="96"/>
  <c r="P375" i="96"/>
  <c r="K375" i="96" s="1"/>
  <c r="Q375" i="96"/>
  <c r="R375" i="96"/>
  <c r="P376" i="96"/>
  <c r="K376" i="96" s="1"/>
  <c r="Q376" i="96"/>
  <c r="R376" i="96"/>
  <c r="P377" i="96"/>
  <c r="Q377" i="96"/>
  <c r="K377" i="96" s="1"/>
  <c r="R377" i="96"/>
  <c r="P378" i="96"/>
  <c r="Q378" i="96"/>
  <c r="K378" i="96" s="1"/>
  <c r="R378" i="96"/>
  <c r="P379" i="96"/>
  <c r="K379" i="96" s="1"/>
  <c r="Q379" i="96"/>
  <c r="R379" i="96"/>
  <c r="P380" i="96"/>
  <c r="K380" i="96" s="1"/>
  <c r="Q380" i="96"/>
  <c r="R380" i="96"/>
  <c r="P381" i="96"/>
  <c r="Q381" i="96"/>
  <c r="R381" i="96"/>
  <c r="P382" i="96"/>
  <c r="Q382" i="96"/>
  <c r="R382" i="96"/>
  <c r="P383" i="96"/>
  <c r="K383" i="96" s="1"/>
  <c r="Q383" i="96"/>
  <c r="R383" i="96"/>
  <c r="P384" i="96"/>
  <c r="K384" i="96" s="1"/>
  <c r="Q384" i="96"/>
  <c r="R384" i="96"/>
  <c r="P385" i="96"/>
  <c r="Q385" i="96"/>
  <c r="K385" i="96" s="1"/>
  <c r="R385" i="96"/>
  <c r="P386" i="96"/>
  <c r="Q386" i="96"/>
  <c r="K386" i="96" s="1"/>
  <c r="R386" i="96"/>
  <c r="P387" i="96"/>
  <c r="K387" i="96" s="1"/>
  <c r="Q387" i="96"/>
  <c r="R387" i="96"/>
  <c r="P388" i="96"/>
  <c r="K388" i="96" s="1"/>
  <c r="Q388" i="96"/>
  <c r="R388" i="96"/>
  <c r="P389" i="96"/>
  <c r="Q389" i="96"/>
  <c r="R389" i="96"/>
  <c r="P390" i="96"/>
  <c r="Q390" i="96"/>
  <c r="R390" i="96"/>
  <c r="P391" i="96"/>
  <c r="K391" i="96" s="1"/>
  <c r="Q391" i="96"/>
  <c r="R391" i="96"/>
  <c r="P392" i="96"/>
  <c r="Q392" i="96"/>
  <c r="R392" i="96"/>
  <c r="P393" i="96"/>
  <c r="Q393" i="96"/>
  <c r="K393" i="96" s="1"/>
  <c r="R393" i="96"/>
  <c r="P394" i="96"/>
  <c r="Q394" i="96"/>
  <c r="K394" i="96" s="1"/>
  <c r="R394" i="96"/>
  <c r="P395" i="96"/>
  <c r="K395" i="96" s="1"/>
  <c r="Q395" i="96"/>
  <c r="R395" i="96"/>
  <c r="P396" i="96"/>
  <c r="K396" i="96" s="1"/>
  <c r="Q396" i="96"/>
  <c r="R396" i="96"/>
  <c r="P397" i="96"/>
  <c r="Q397" i="96"/>
  <c r="R397" i="96"/>
  <c r="P398" i="96"/>
  <c r="Q398" i="96"/>
  <c r="R398" i="96"/>
  <c r="P399" i="96"/>
  <c r="K399" i="96" s="1"/>
  <c r="Q399" i="96"/>
  <c r="R399" i="96"/>
  <c r="P400" i="96"/>
  <c r="K400" i="96" s="1"/>
  <c r="Q400" i="96"/>
  <c r="R400" i="96"/>
  <c r="P401" i="96"/>
  <c r="Q401" i="96"/>
  <c r="K401" i="96" s="1"/>
  <c r="R401" i="96"/>
  <c r="P402" i="96"/>
  <c r="Q402" i="96"/>
  <c r="K402" i="96" s="1"/>
  <c r="R402" i="96"/>
  <c r="P403" i="96"/>
  <c r="K403" i="96" s="1"/>
  <c r="Q403" i="96"/>
  <c r="R403" i="96"/>
  <c r="P404" i="96"/>
  <c r="K404" i="96" s="1"/>
  <c r="Q404" i="96"/>
  <c r="R404" i="96"/>
  <c r="P405" i="96"/>
  <c r="Q405" i="96"/>
  <c r="R405" i="96"/>
  <c r="P406" i="96"/>
  <c r="Q406" i="96"/>
  <c r="R406" i="96"/>
  <c r="P407" i="96"/>
  <c r="K407" i="96" s="1"/>
  <c r="Q407" i="96"/>
  <c r="R407" i="96"/>
  <c r="P408" i="96"/>
  <c r="K408" i="96" s="1"/>
  <c r="Q408" i="96"/>
  <c r="R408" i="96"/>
  <c r="P409" i="96"/>
  <c r="Q409" i="96"/>
  <c r="K409" i="96" s="1"/>
  <c r="R409" i="96"/>
  <c r="P410" i="96"/>
  <c r="Q410" i="96"/>
  <c r="R410" i="96"/>
  <c r="P411" i="96"/>
  <c r="K411" i="96" s="1"/>
  <c r="Q411" i="96"/>
  <c r="R411" i="96"/>
  <c r="P412" i="96"/>
  <c r="K412" i="96" s="1"/>
  <c r="Q412" i="96"/>
  <c r="R412" i="96"/>
  <c r="P413" i="96"/>
  <c r="Q413" i="96"/>
  <c r="R413" i="96"/>
  <c r="P414" i="96"/>
  <c r="Q414" i="96"/>
  <c r="R414" i="96"/>
  <c r="P415" i="96"/>
  <c r="K415" i="96" s="1"/>
  <c r="Q415" i="96"/>
  <c r="R415" i="96"/>
  <c r="P416" i="96"/>
  <c r="K416" i="96" s="1"/>
  <c r="Q416" i="96"/>
  <c r="R416" i="96"/>
  <c r="P417" i="96"/>
  <c r="Q417" i="96"/>
  <c r="K417" i="96" s="1"/>
  <c r="R417" i="96"/>
  <c r="P418" i="96"/>
  <c r="Q418" i="96"/>
  <c r="K418" i="96" s="1"/>
  <c r="R418" i="96"/>
  <c r="P419" i="96"/>
  <c r="K419" i="96" s="1"/>
  <c r="Q419" i="96"/>
  <c r="R419" i="96"/>
  <c r="P420" i="96"/>
  <c r="K420" i="96" s="1"/>
  <c r="Q420" i="96"/>
  <c r="R420" i="96"/>
  <c r="P421" i="96"/>
  <c r="Q421" i="96"/>
  <c r="R421" i="96"/>
  <c r="P422" i="96"/>
  <c r="Q422" i="96"/>
  <c r="R422" i="96"/>
  <c r="P423" i="96"/>
  <c r="K423" i="96" s="1"/>
  <c r="Q423" i="96"/>
  <c r="R423" i="96"/>
  <c r="P424" i="96"/>
  <c r="K424" i="96" s="1"/>
  <c r="Q424" i="96"/>
  <c r="R424" i="96"/>
  <c r="P425" i="96"/>
  <c r="Q425" i="96"/>
  <c r="K425" i="96" s="1"/>
  <c r="R425" i="96"/>
  <c r="P426" i="96"/>
  <c r="Q426" i="96"/>
  <c r="K426" i="96" s="1"/>
  <c r="R426" i="96"/>
  <c r="P427" i="96"/>
  <c r="K427" i="96" s="1"/>
  <c r="Q427" i="96"/>
  <c r="R427" i="96"/>
  <c r="P428" i="96"/>
  <c r="K428" i="96" s="1"/>
  <c r="Q428" i="96"/>
  <c r="R428" i="96"/>
  <c r="P429" i="96"/>
  <c r="Q429" i="96"/>
  <c r="R429" i="96"/>
  <c r="P430" i="96"/>
  <c r="Q430" i="96"/>
  <c r="R430" i="96"/>
  <c r="P431" i="96"/>
  <c r="K431" i="96" s="1"/>
  <c r="Q431" i="96"/>
  <c r="R431" i="96"/>
  <c r="P432" i="96"/>
  <c r="K432" i="96" s="1"/>
  <c r="Q432" i="96"/>
  <c r="R432" i="96"/>
  <c r="P433" i="96"/>
  <c r="Q433" i="96"/>
  <c r="R433" i="96"/>
  <c r="P434" i="96"/>
  <c r="Q434" i="96"/>
  <c r="K434" i="96" s="1"/>
  <c r="R434" i="96"/>
  <c r="P435" i="96"/>
  <c r="K435" i="96" s="1"/>
  <c r="Q435" i="96"/>
  <c r="R435" i="96"/>
  <c r="P436" i="96"/>
  <c r="K436" i="96" s="1"/>
  <c r="Q436" i="96"/>
  <c r="R436" i="96"/>
  <c r="P437" i="96"/>
  <c r="Q437" i="96"/>
  <c r="R437" i="96"/>
  <c r="P438" i="96"/>
  <c r="Q438" i="96"/>
  <c r="R438" i="96"/>
  <c r="P439" i="96"/>
  <c r="K439" i="96" s="1"/>
  <c r="Q439" i="96"/>
  <c r="R439" i="96"/>
  <c r="P440" i="96"/>
  <c r="K440" i="96" s="1"/>
  <c r="Q440" i="96"/>
  <c r="R440" i="96"/>
  <c r="Q61" i="96"/>
  <c r="P61" i="96"/>
  <c r="K61" i="96" s="1"/>
  <c r="B51" i="96"/>
  <c r="C48" i="96"/>
  <c r="AQ9" i="92"/>
  <c r="AR9" i="92"/>
  <c r="AS9" i="92"/>
  <c r="AT9" i="92"/>
  <c r="AU9" i="92"/>
  <c r="AV9" i="92"/>
  <c r="AW9" i="92"/>
  <c r="AX9" i="92"/>
  <c r="AZ9" i="92"/>
  <c r="BA9" i="92"/>
  <c r="BB9" i="92"/>
  <c r="BC9" i="92"/>
  <c r="BD9" i="92"/>
  <c r="BE9" i="92"/>
  <c r="BF9" i="92"/>
  <c r="BG9" i="92"/>
  <c r="AQ10" i="92"/>
  <c r="AR10" i="92"/>
  <c r="AS10" i="92"/>
  <c r="AT10" i="92"/>
  <c r="AU10" i="92"/>
  <c r="AV10" i="92"/>
  <c r="AW10" i="92"/>
  <c r="AX10" i="92"/>
  <c r="AZ10" i="92"/>
  <c r="BA10" i="92"/>
  <c r="BB10" i="92"/>
  <c r="BC10" i="92"/>
  <c r="BD10" i="92"/>
  <c r="BE10" i="92"/>
  <c r="BF10" i="92"/>
  <c r="BG10" i="92"/>
  <c r="AQ11" i="92"/>
  <c r="AR11" i="92"/>
  <c r="AS11" i="92"/>
  <c r="AT11" i="92"/>
  <c r="AU11" i="92"/>
  <c r="AV11" i="92"/>
  <c r="AW11" i="92"/>
  <c r="AX11" i="92"/>
  <c r="AZ11" i="92"/>
  <c r="BA11" i="92"/>
  <c r="BB11" i="92"/>
  <c r="BC11" i="92"/>
  <c r="BD11" i="92"/>
  <c r="BE11" i="92"/>
  <c r="BF11" i="92"/>
  <c r="BG11" i="92"/>
  <c r="AQ12" i="92"/>
  <c r="AR12" i="92"/>
  <c r="AS12" i="92"/>
  <c r="AT12" i="92"/>
  <c r="AU12" i="92"/>
  <c r="AV12" i="92"/>
  <c r="AW12" i="92"/>
  <c r="AX12" i="92"/>
  <c r="AZ12" i="92"/>
  <c r="BA12" i="92"/>
  <c r="BB12" i="92"/>
  <c r="BC12" i="92"/>
  <c r="BD12" i="92"/>
  <c r="BE12" i="92"/>
  <c r="BF12" i="92"/>
  <c r="BG12" i="92"/>
  <c r="AQ13" i="92"/>
  <c r="AR13" i="92"/>
  <c r="AS13" i="92"/>
  <c r="AT13" i="92"/>
  <c r="AU13" i="92"/>
  <c r="AV13" i="92"/>
  <c r="AW13" i="92"/>
  <c r="AX13" i="92"/>
  <c r="AZ13" i="92"/>
  <c r="BA13" i="92"/>
  <c r="BB13" i="92"/>
  <c r="BC13" i="92"/>
  <c r="BD13" i="92"/>
  <c r="BE13" i="92"/>
  <c r="BF13" i="92"/>
  <c r="BG13" i="92"/>
  <c r="AQ14" i="92"/>
  <c r="AR14" i="92"/>
  <c r="AS14" i="92"/>
  <c r="AT14" i="92"/>
  <c r="AU14" i="92"/>
  <c r="AV14" i="92"/>
  <c r="AW14" i="92"/>
  <c r="AX14" i="92"/>
  <c r="AZ14" i="92"/>
  <c r="BA14" i="92"/>
  <c r="BB14" i="92"/>
  <c r="BC14" i="92"/>
  <c r="BD14" i="92"/>
  <c r="BE14" i="92"/>
  <c r="BF14" i="92"/>
  <c r="BG14" i="92"/>
  <c r="AQ15" i="92"/>
  <c r="AR15" i="92"/>
  <c r="AS15" i="92"/>
  <c r="AT15" i="92"/>
  <c r="AU15" i="92"/>
  <c r="AV15" i="92"/>
  <c r="AW15" i="92"/>
  <c r="AX15" i="92"/>
  <c r="AZ15" i="92"/>
  <c r="BA15" i="92"/>
  <c r="BB15" i="92"/>
  <c r="BC15" i="92"/>
  <c r="BD15" i="92"/>
  <c r="BE15" i="92"/>
  <c r="BF15" i="92"/>
  <c r="BG15" i="92"/>
  <c r="AQ16" i="92"/>
  <c r="AR16" i="92"/>
  <c r="AS16" i="92"/>
  <c r="AT16" i="92"/>
  <c r="AU16" i="92"/>
  <c r="AV16" i="92"/>
  <c r="AW16" i="92"/>
  <c r="AX16" i="92"/>
  <c r="AZ16" i="92"/>
  <c r="BA16" i="92"/>
  <c r="BB16" i="92"/>
  <c r="BC16" i="92"/>
  <c r="BD16" i="92"/>
  <c r="BE16" i="92"/>
  <c r="BF16" i="92"/>
  <c r="BG16" i="92"/>
  <c r="AQ17" i="92"/>
  <c r="AR17" i="92"/>
  <c r="AS17" i="92"/>
  <c r="AT17" i="92"/>
  <c r="AU17" i="92"/>
  <c r="AV17" i="92"/>
  <c r="AW17" i="92"/>
  <c r="AX17" i="92"/>
  <c r="AZ17" i="92"/>
  <c r="BA17" i="92"/>
  <c r="BB17" i="92"/>
  <c r="BC17" i="92"/>
  <c r="BD17" i="92"/>
  <c r="BE17" i="92"/>
  <c r="BF17" i="92"/>
  <c r="BG17" i="92"/>
  <c r="AQ18" i="92"/>
  <c r="AR18" i="92"/>
  <c r="AS18" i="92"/>
  <c r="AT18" i="92"/>
  <c r="AU18" i="92"/>
  <c r="AV18" i="92"/>
  <c r="AW18" i="92"/>
  <c r="AX18" i="92"/>
  <c r="AZ18" i="92"/>
  <c r="BA18" i="92"/>
  <c r="BB18" i="92"/>
  <c r="BC18" i="92"/>
  <c r="BD18" i="92"/>
  <c r="BE18" i="92"/>
  <c r="BF18" i="92"/>
  <c r="BG18" i="92"/>
  <c r="AQ19" i="92"/>
  <c r="AR19" i="92"/>
  <c r="AS19" i="92"/>
  <c r="AT19" i="92"/>
  <c r="AU19" i="92"/>
  <c r="AV19" i="92"/>
  <c r="AW19" i="92"/>
  <c r="AX19" i="92"/>
  <c r="AZ19" i="92"/>
  <c r="BA19" i="92"/>
  <c r="BB19" i="92"/>
  <c r="BC19" i="92"/>
  <c r="BD19" i="92"/>
  <c r="BE19" i="92"/>
  <c r="BF19" i="92"/>
  <c r="BG19" i="92"/>
  <c r="AQ20" i="92"/>
  <c r="AR20" i="92"/>
  <c r="AS20" i="92"/>
  <c r="AT20" i="92"/>
  <c r="AU20" i="92"/>
  <c r="AV20" i="92"/>
  <c r="AW20" i="92"/>
  <c r="AX20" i="92"/>
  <c r="AZ20" i="92"/>
  <c r="BA20" i="92"/>
  <c r="BB20" i="92"/>
  <c r="BC20" i="92"/>
  <c r="BD20" i="92"/>
  <c r="BE20" i="92"/>
  <c r="BF20" i="92"/>
  <c r="BG20" i="92"/>
  <c r="AQ21" i="92"/>
  <c r="AR21" i="92"/>
  <c r="AS21" i="92"/>
  <c r="AT21" i="92"/>
  <c r="AU21" i="92"/>
  <c r="AV21" i="92"/>
  <c r="AW21" i="92"/>
  <c r="AX21" i="92"/>
  <c r="AZ21" i="92"/>
  <c r="BA21" i="92"/>
  <c r="BB21" i="92"/>
  <c r="BC21" i="92"/>
  <c r="BD21" i="92"/>
  <c r="BE21" i="92"/>
  <c r="BF21" i="92"/>
  <c r="BG21" i="92"/>
  <c r="AQ22" i="92"/>
  <c r="AR22" i="92"/>
  <c r="AS22" i="92"/>
  <c r="AT22" i="92"/>
  <c r="AU22" i="92"/>
  <c r="AV22" i="92"/>
  <c r="AW22" i="92"/>
  <c r="AX22" i="92"/>
  <c r="AZ22" i="92"/>
  <c r="BA22" i="92"/>
  <c r="BB22" i="92"/>
  <c r="BC22" i="92"/>
  <c r="BD22" i="92"/>
  <c r="BE22" i="92"/>
  <c r="BF22" i="92"/>
  <c r="BG22" i="92"/>
  <c r="AQ23" i="92"/>
  <c r="AR23" i="92"/>
  <c r="AS23" i="92"/>
  <c r="AT23" i="92"/>
  <c r="AU23" i="92"/>
  <c r="AV23" i="92"/>
  <c r="AW23" i="92"/>
  <c r="AX23" i="92"/>
  <c r="AZ23" i="92"/>
  <c r="BA23" i="92"/>
  <c r="BB23" i="92"/>
  <c r="BC23" i="92"/>
  <c r="BD23" i="92"/>
  <c r="BE23" i="92"/>
  <c r="BF23" i="92"/>
  <c r="BG23" i="92"/>
  <c r="AQ24" i="92"/>
  <c r="AR24" i="92"/>
  <c r="AS24" i="92"/>
  <c r="AT24" i="92"/>
  <c r="AU24" i="92"/>
  <c r="AV24" i="92"/>
  <c r="AW24" i="92"/>
  <c r="AX24" i="92"/>
  <c r="AZ24" i="92"/>
  <c r="BA24" i="92"/>
  <c r="BB24" i="92"/>
  <c r="BC24" i="92"/>
  <c r="BD24" i="92"/>
  <c r="BE24" i="92"/>
  <c r="BF24" i="92"/>
  <c r="BG24" i="92"/>
  <c r="AQ25" i="92"/>
  <c r="AR25" i="92"/>
  <c r="AS25" i="92"/>
  <c r="AT25" i="92"/>
  <c r="AU25" i="92"/>
  <c r="AV25" i="92"/>
  <c r="AW25" i="92"/>
  <c r="AX25" i="92"/>
  <c r="AZ25" i="92"/>
  <c r="BA25" i="92"/>
  <c r="BB25" i="92"/>
  <c r="BC25" i="92"/>
  <c r="BD25" i="92"/>
  <c r="BE25" i="92"/>
  <c r="BF25" i="92"/>
  <c r="BG25" i="92"/>
  <c r="AQ26" i="92"/>
  <c r="AR26" i="92"/>
  <c r="AS26" i="92"/>
  <c r="AT26" i="92"/>
  <c r="AU26" i="92"/>
  <c r="AV26" i="92"/>
  <c r="AW26" i="92"/>
  <c r="AX26" i="92"/>
  <c r="AZ26" i="92"/>
  <c r="BA26" i="92"/>
  <c r="BB26" i="92"/>
  <c r="BC26" i="92"/>
  <c r="BD26" i="92"/>
  <c r="BE26" i="92"/>
  <c r="BF26" i="92"/>
  <c r="BG26" i="92"/>
  <c r="AQ27" i="92"/>
  <c r="AR27" i="92"/>
  <c r="AS27" i="92"/>
  <c r="AT27" i="92"/>
  <c r="AU27" i="92"/>
  <c r="AV27" i="92"/>
  <c r="AW27" i="92"/>
  <c r="AX27" i="92"/>
  <c r="AZ27" i="92"/>
  <c r="BA27" i="92"/>
  <c r="BB27" i="92"/>
  <c r="BC27" i="92"/>
  <c r="BD27" i="92"/>
  <c r="BE27" i="92"/>
  <c r="BF27" i="92"/>
  <c r="BG27" i="92"/>
  <c r="AQ28" i="92"/>
  <c r="AR28" i="92"/>
  <c r="AS28" i="92"/>
  <c r="AT28" i="92"/>
  <c r="AU28" i="92"/>
  <c r="AV28" i="92"/>
  <c r="AW28" i="92"/>
  <c r="AX28" i="92"/>
  <c r="AZ28" i="92"/>
  <c r="BA28" i="92"/>
  <c r="BB28" i="92"/>
  <c r="BC28" i="92"/>
  <c r="BD28" i="92"/>
  <c r="BE28" i="92"/>
  <c r="BF28" i="92"/>
  <c r="BG28" i="92"/>
  <c r="AQ29" i="92"/>
  <c r="AR29" i="92"/>
  <c r="AS29" i="92"/>
  <c r="AT29" i="92"/>
  <c r="AU29" i="92"/>
  <c r="AV29" i="92"/>
  <c r="AW29" i="92"/>
  <c r="AX29" i="92"/>
  <c r="AZ29" i="92"/>
  <c r="BA29" i="92"/>
  <c r="BB29" i="92"/>
  <c r="BC29" i="92"/>
  <c r="BD29" i="92"/>
  <c r="BE29" i="92"/>
  <c r="BF29" i="92"/>
  <c r="BG29" i="92"/>
  <c r="AQ30" i="92"/>
  <c r="AR30" i="92"/>
  <c r="AS30" i="92"/>
  <c r="AT30" i="92"/>
  <c r="AU30" i="92"/>
  <c r="AV30" i="92"/>
  <c r="AW30" i="92"/>
  <c r="AX30" i="92"/>
  <c r="AZ30" i="92"/>
  <c r="BA30" i="92"/>
  <c r="BB30" i="92"/>
  <c r="BC30" i="92"/>
  <c r="BD30" i="92"/>
  <c r="BE30" i="92"/>
  <c r="BF30" i="92"/>
  <c r="BG30" i="92"/>
  <c r="AQ31" i="92"/>
  <c r="AR31" i="92"/>
  <c r="AS31" i="92"/>
  <c r="AT31" i="92"/>
  <c r="AU31" i="92"/>
  <c r="AV31" i="92"/>
  <c r="AW31" i="92"/>
  <c r="AX31" i="92"/>
  <c r="AZ31" i="92"/>
  <c r="BA31" i="92"/>
  <c r="BB31" i="92"/>
  <c r="BC31" i="92"/>
  <c r="BD31" i="92"/>
  <c r="BE31" i="92"/>
  <c r="BF31" i="92"/>
  <c r="BG31" i="92"/>
  <c r="AQ32" i="92"/>
  <c r="AR32" i="92"/>
  <c r="AS32" i="92"/>
  <c r="AT32" i="92"/>
  <c r="AU32" i="92"/>
  <c r="AV32" i="92"/>
  <c r="AW32" i="92"/>
  <c r="AX32" i="92"/>
  <c r="AZ32" i="92"/>
  <c r="BA32" i="92"/>
  <c r="BB32" i="92"/>
  <c r="BC32" i="92"/>
  <c r="BD32" i="92"/>
  <c r="BE32" i="92"/>
  <c r="BF32" i="92"/>
  <c r="BG32" i="92"/>
  <c r="AQ33" i="92"/>
  <c r="AR33" i="92"/>
  <c r="AS33" i="92"/>
  <c r="AT33" i="92"/>
  <c r="AU33" i="92"/>
  <c r="AV33" i="92"/>
  <c r="AW33" i="92"/>
  <c r="AX33" i="92"/>
  <c r="AZ33" i="92"/>
  <c r="BA33" i="92"/>
  <c r="BB33" i="92"/>
  <c r="BC33" i="92"/>
  <c r="BD33" i="92"/>
  <c r="BE33" i="92"/>
  <c r="BF33" i="92"/>
  <c r="BG33" i="92"/>
  <c r="AQ34" i="92"/>
  <c r="AR34" i="92"/>
  <c r="AS34" i="92"/>
  <c r="AT34" i="92"/>
  <c r="AU34" i="92"/>
  <c r="AV34" i="92"/>
  <c r="AW34" i="92"/>
  <c r="AX34" i="92"/>
  <c r="AZ34" i="92"/>
  <c r="BA34" i="92"/>
  <c r="BB34" i="92"/>
  <c r="BC34" i="92"/>
  <c r="BD34" i="92"/>
  <c r="BE34" i="92"/>
  <c r="BF34" i="92"/>
  <c r="BG34" i="92"/>
  <c r="AQ35" i="92"/>
  <c r="AR35" i="92"/>
  <c r="AS35" i="92"/>
  <c r="AT35" i="92"/>
  <c r="AU35" i="92"/>
  <c r="AV35" i="92"/>
  <c r="AW35" i="92"/>
  <c r="AX35" i="92"/>
  <c r="AZ35" i="92"/>
  <c r="BA35" i="92"/>
  <c r="BB35" i="92"/>
  <c r="BC35" i="92"/>
  <c r="BD35" i="92"/>
  <c r="BE35" i="92"/>
  <c r="BF35" i="92"/>
  <c r="BG35" i="92"/>
  <c r="AQ36" i="92"/>
  <c r="AR36" i="92"/>
  <c r="AS36" i="92"/>
  <c r="AT36" i="92"/>
  <c r="AU36" i="92"/>
  <c r="AV36" i="92"/>
  <c r="AW36" i="92"/>
  <c r="AX36" i="92"/>
  <c r="AZ36" i="92"/>
  <c r="BA36" i="92"/>
  <c r="BB36" i="92"/>
  <c r="BC36" i="92"/>
  <c r="BD36" i="92"/>
  <c r="BE36" i="92"/>
  <c r="BF36" i="92"/>
  <c r="BG36" i="92"/>
  <c r="AQ37" i="92"/>
  <c r="AR37" i="92"/>
  <c r="AS37" i="92"/>
  <c r="AT37" i="92"/>
  <c r="AU37" i="92"/>
  <c r="AV37" i="92"/>
  <c r="AW37" i="92"/>
  <c r="AX37" i="92"/>
  <c r="AZ37" i="92"/>
  <c r="BA37" i="92"/>
  <c r="BB37" i="92"/>
  <c r="BC37" i="92"/>
  <c r="BD37" i="92"/>
  <c r="BE37" i="92"/>
  <c r="BF37" i="92"/>
  <c r="BG37" i="92"/>
  <c r="AQ38" i="92"/>
  <c r="AR38" i="92"/>
  <c r="AS38" i="92"/>
  <c r="AT38" i="92"/>
  <c r="AU38" i="92"/>
  <c r="AV38" i="92"/>
  <c r="AW38" i="92"/>
  <c r="AX38" i="92"/>
  <c r="AZ38" i="92"/>
  <c r="BA38" i="92"/>
  <c r="BB38" i="92"/>
  <c r="BC38" i="92"/>
  <c r="BD38" i="92"/>
  <c r="BE38" i="92"/>
  <c r="BF38" i="92"/>
  <c r="BG38" i="92"/>
  <c r="AQ39" i="92"/>
  <c r="AR39" i="92"/>
  <c r="AS39" i="92"/>
  <c r="AT39" i="92"/>
  <c r="AU39" i="92"/>
  <c r="AV39" i="92"/>
  <c r="AW39" i="92"/>
  <c r="AX39" i="92"/>
  <c r="AZ39" i="92"/>
  <c r="BA39" i="92"/>
  <c r="BB39" i="92"/>
  <c r="BC39" i="92"/>
  <c r="BD39" i="92"/>
  <c r="BE39" i="92"/>
  <c r="BF39" i="92"/>
  <c r="BG39" i="92"/>
  <c r="AQ40" i="92"/>
  <c r="AR40" i="92"/>
  <c r="AS40" i="92"/>
  <c r="AT40" i="92"/>
  <c r="AU40" i="92"/>
  <c r="AV40" i="92"/>
  <c r="AW40" i="92"/>
  <c r="AX40" i="92"/>
  <c r="AZ40" i="92"/>
  <c r="BA40" i="92"/>
  <c r="BB40" i="92"/>
  <c r="BC40" i="92"/>
  <c r="BD40" i="92"/>
  <c r="BE40" i="92"/>
  <c r="BF40" i="92"/>
  <c r="BG40" i="92"/>
  <c r="AQ41" i="92"/>
  <c r="AR41" i="92"/>
  <c r="AS41" i="92"/>
  <c r="AT41" i="92"/>
  <c r="AU41" i="92"/>
  <c r="AV41" i="92"/>
  <c r="AW41" i="92"/>
  <c r="AX41" i="92"/>
  <c r="AZ41" i="92"/>
  <c r="BA41" i="92"/>
  <c r="BB41" i="92"/>
  <c r="BC41" i="92"/>
  <c r="BD41" i="92"/>
  <c r="BE41" i="92"/>
  <c r="BF41" i="92"/>
  <c r="BG41" i="92"/>
  <c r="AQ42" i="92"/>
  <c r="AR42" i="92"/>
  <c r="AS42" i="92"/>
  <c r="AT42" i="92"/>
  <c r="AU42" i="92"/>
  <c r="AV42" i="92"/>
  <c r="AW42" i="92"/>
  <c r="AX42" i="92"/>
  <c r="AZ42" i="92"/>
  <c r="BA42" i="92"/>
  <c r="BB42" i="92"/>
  <c r="BC42" i="92"/>
  <c r="BD42" i="92"/>
  <c r="BE42" i="92"/>
  <c r="BF42" i="92"/>
  <c r="BG42" i="92"/>
  <c r="AQ43" i="92"/>
  <c r="AR43" i="92"/>
  <c r="AS43" i="92"/>
  <c r="AT43" i="92"/>
  <c r="AU43" i="92"/>
  <c r="AV43" i="92"/>
  <c r="AW43" i="92"/>
  <c r="AX43" i="92"/>
  <c r="AZ43" i="92"/>
  <c r="BA43" i="92"/>
  <c r="BB43" i="92"/>
  <c r="BC43" i="92"/>
  <c r="BD43" i="92"/>
  <c r="BE43" i="92"/>
  <c r="BF43" i="92"/>
  <c r="BG43" i="92"/>
  <c r="AQ44" i="92"/>
  <c r="AR44" i="92"/>
  <c r="AS44" i="92"/>
  <c r="AT44" i="92"/>
  <c r="AU44" i="92"/>
  <c r="AV44" i="92"/>
  <c r="AW44" i="92"/>
  <c r="AX44" i="92"/>
  <c r="AZ44" i="92"/>
  <c r="BA44" i="92"/>
  <c r="BB44" i="92"/>
  <c r="BC44" i="92"/>
  <c r="BD44" i="92"/>
  <c r="BE44" i="92"/>
  <c r="BF44" i="92"/>
  <c r="BG44" i="92"/>
  <c r="AQ45" i="92"/>
  <c r="AR45" i="92"/>
  <c r="AS45" i="92"/>
  <c r="AT45" i="92"/>
  <c r="AU45" i="92"/>
  <c r="AV45" i="92"/>
  <c r="AW45" i="92"/>
  <c r="AX45" i="92"/>
  <c r="AZ45" i="92"/>
  <c r="BA45" i="92"/>
  <c r="BB45" i="92"/>
  <c r="BC45" i="92"/>
  <c r="BD45" i="92"/>
  <c r="BE45" i="92"/>
  <c r="BF45" i="92"/>
  <c r="BG45" i="92"/>
  <c r="AX8" i="92"/>
  <c r="AW8" i="92"/>
  <c r="AV8" i="92"/>
  <c r="AU8" i="92"/>
  <c r="AT8" i="92"/>
  <c r="AS8" i="92"/>
  <c r="AR8" i="92"/>
  <c r="AQ8" i="92"/>
  <c r="BG8" i="92"/>
  <c r="BF8" i="92"/>
  <c r="BE8" i="92"/>
  <c r="BD8" i="92"/>
  <c r="BC8" i="92"/>
  <c r="BB8" i="92"/>
  <c r="BA8" i="92"/>
  <c r="AZ8" i="92"/>
  <c r="T31" i="46"/>
  <c r="U31" i="46"/>
  <c r="V31" i="46"/>
  <c r="W31" i="46"/>
  <c r="X31" i="46"/>
  <c r="Y31" i="46"/>
  <c r="Z31" i="46"/>
  <c r="AA31" i="46"/>
  <c r="A9" i="92"/>
  <c r="A10" i="92" s="1"/>
  <c r="A11" i="92" s="1"/>
  <c r="A12" i="92" s="1"/>
  <c r="A13" i="92" s="1"/>
  <c r="A14" i="92" s="1"/>
  <c r="A15" i="92" s="1"/>
  <c r="A16" i="92" s="1"/>
  <c r="A17" i="92" s="1"/>
  <c r="A18" i="92" s="1"/>
  <c r="A19" i="92" s="1"/>
  <c r="A20" i="92" s="1"/>
  <c r="A21" i="92" s="1"/>
  <c r="A22" i="92" s="1"/>
  <c r="A23" i="92" s="1"/>
  <c r="A24" i="92" s="1"/>
  <c r="A25" i="92" s="1"/>
  <c r="A26" i="92" s="1"/>
  <c r="A27" i="92" s="1"/>
  <c r="A28" i="92" s="1"/>
  <c r="A29" i="92" s="1"/>
  <c r="A30" i="92" s="1"/>
  <c r="A31" i="92" s="1"/>
  <c r="A32" i="92" s="1"/>
  <c r="A33" i="92" s="1"/>
  <c r="A34" i="92" s="1"/>
  <c r="A35" i="92" s="1"/>
  <c r="A36" i="92" s="1"/>
  <c r="A37" i="92" s="1"/>
  <c r="A38" i="92" s="1"/>
  <c r="A39" i="92" s="1"/>
  <c r="A40" i="92" s="1"/>
  <c r="A41" i="92" s="1"/>
  <c r="A42" i="92" s="1"/>
  <c r="A43" i="92" s="1"/>
  <c r="A44" i="92" s="1"/>
  <c r="A45" i="92" s="1"/>
  <c r="Q4" i="92"/>
  <c r="R4" i="92" s="1"/>
  <c r="K32" i="46"/>
  <c r="L32" i="46"/>
  <c r="M32" i="46"/>
  <c r="N32" i="46"/>
  <c r="O32" i="46"/>
  <c r="P32" i="46"/>
  <c r="Q32" i="46"/>
  <c r="R32" i="46"/>
  <c r="T32" i="46"/>
  <c r="U32" i="46"/>
  <c r="V32" i="46"/>
  <c r="W32" i="46"/>
  <c r="X32" i="46"/>
  <c r="Y32" i="46"/>
  <c r="Z32" i="46"/>
  <c r="AA32" i="46"/>
  <c r="AC32" i="46"/>
  <c r="AD32" i="46"/>
  <c r="AE32" i="46"/>
  <c r="AF32" i="46"/>
  <c r="AG32" i="46"/>
  <c r="AH32" i="46"/>
  <c r="AI32" i="46"/>
  <c r="AJ32" i="46"/>
  <c r="AL32" i="46"/>
  <c r="AM32" i="46"/>
  <c r="AN32" i="46"/>
  <c r="AO32" i="46"/>
  <c r="AP32" i="46"/>
  <c r="AQ32" i="46"/>
  <c r="AR32" i="46"/>
  <c r="AS32" i="46"/>
  <c r="K33" i="46"/>
  <c r="L33" i="46"/>
  <c r="M33" i="46"/>
  <c r="N33" i="46"/>
  <c r="O33" i="46"/>
  <c r="P33" i="46"/>
  <c r="Q33" i="46"/>
  <c r="R33" i="46"/>
  <c r="T33" i="46"/>
  <c r="U33" i="46"/>
  <c r="V33" i="46"/>
  <c r="W33" i="46"/>
  <c r="X33" i="46"/>
  <c r="Y33" i="46"/>
  <c r="Z33" i="46"/>
  <c r="AA33" i="46"/>
  <c r="AC33" i="46"/>
  <c r="AD33" i="46"/>
  <c r="AE33" i="46"/>
  <c r="AF33" i="46"/>
  <c r="AG33" i="46"/>
  <c r="AH33" i="46"/>
  <c r="AI33" i="46"/>
  <c r="AJ33" i="46"/>
  <c r="AL33" i="46"/>
  <c r="AM33" i="46"/>
  <c r="AN33" i="46"/>
  <c r="AO33" i="46"/>
  <c r="AP33" i="46"/>
  <c r="AQ33" i="46"/>
  <c r="AR33" i="46"/>
  <c r="AS33" i="46"/>
  <c r="K34" i="46"/>
  <c r="L34" i="46"/>
  <c r="M34" i="46"/>
  <c r="N34" i="46"/>
  <c r="O34" i="46"/>
  <c r="P34" i="46"/>
  <c r="Q34" i="46"/>
  <c r="R34" i="46"/>
  <c r="T34" i="46"/>
  <c r="U34" i="46"/>
  <c r="V34" i="46"/>
  <c r="W34" i="46"/>
  <c r="X34" i="46"/>
  <c r="Y34" i="46"/>
  <c r="Z34" i="46"/>
  <c r="AA34" i="46"/>
  <c r="AC34" i="46"/>
  <c r="AD34" i="46"/>
  <c r="AE34" i="46"/>
  <c r="AF34" i="46"/>
  <c r="AG34" i="46"/>
  <c r="AH34" i="46"/>
  <c r="AI34" i="46"/>
  <c r="AJ34" i="46"/>
  <c r="AL34" i="46"/>
  <c r="AM34" i="46"/>
  <c r="AN34" i="46"/>
  <c r="AO34" i="46"/>
  <c r="AP34" i="46"/>
  <c r="AQ34" i="46"/>
  <c r="AR34" i="46"/>
  <c r="AS34" i="46"/>
  <c r="K35" i="46"/>
  <c r="L35" i="46"/>
  <c r="M35" i="46"/>
  <c r="N35" i="46"/>
  <c r="O35" i="46"/>
  <c r="P35" i="46"/>
  <c r="Q35" i="46"/>
  <c r="R35" i="46"/>
  <c r="T35" i="46"/>
  <c r="U35" i="46"/>
  <c r="V35" i="46"/>
  <c r="W35" i="46"/>
  <c r="X35" i="46"/>
  <c r="Y35" i="46"/>
  <c r="Z35" i="46"/>
  <c r="AA35" i="46"/>
  <c r="AC35" i="46"/>
  <c r="AD35" i="46"/>
  <c r="AE35" i="46"/>
  <c r="AF35" i="46"/>
  <c r="AG35" i="46"/>
  <c r="AH35" i="46"/>
  <c r="AI35" i="46"/>
  <c r="AJ35" i="46"/>
  <c r="AL35" i="46"/>
  <c r="AM35" i="46"/>
  <c r="AN35" i="46"/>
  <c r="AO35" i="46"/>
  <c r="AP35" i="46"/>
  <c r="AQ35" i="46"/>
  <c r="AR35" i="46"/>
  <c r="AS35" i="46"/>
  <c r="K36" i="46"/>
  <c r="L36" i="46"/>
  <c r="M36" i="46"/>
  <c r="N36" i="46"/>
  <c r="O36" i="46"/>
  <c r="P36" i="46"/>
  <c r="Q36" i="46"/>
  <c r="R36" i="46"/>
  <c r="T36" i="46"/>
  <c r="U36" i="46"/>
  <c r="V36" i="46"/>
  <c r="W36" i="46"/>
  <c r="X36" i="46"/>
  <c r="Y36" i="46"/>
  <c r="Z36" i="46"/>
  <c r="AA36" i="46"/>
  <c r="AC36" i="46"/>
  <c r="AD36" i="46"/>
  <c r="AE36" i="46"/>
  <c r="AF36" i="46"/>
  <c r="AG36" i="46"/>
  <c r="AH36" i="46"/>
  <c r="AI36" i="46"/>
  <c r="AJ36" i="46"/>
  <c r="AL36" i="46"/>
  <c r="AM36" i="46"/>
  <c r="AN36" i="46"/>
  <c r="AO36" i="46"/>
  <c r="AP36" i="46"/>
  <c r="AQ36" i="46"/>
  <c r="AR36" i="46"/>
  <c r="AS36" i="46"/>
  <c r="K37" i="46"/>
  <c r="L37" i="46"/>
  <c r="M37" i="46"/>
  <c r="N37" i="46"/>
  <c r="O37" i="46"/>
  <c r="P37" i="46"/>
  <c r="Q37" i="46"/>
  <c r="R37" i="46"/>
  <c r="T37" i="46"/>
  <c r="U37" i="46"/>
  <c r="V37" i="46"/>
  <c r="W37" i="46"/>
  <c r="X37" i="46"/>
  <c r="Y37" i="46"/>
  <c r="Z37" i="46"/>
  <c r="AA37" i="46"/>
  <c r="AC37" i="46"/>
  <c r="AD37" i="46"/>
  <c r="AE37" i="46"/>
  <c r="AF37" i="46"/>
  <c r="AG37" i="46"/>
  <c r="AH37" i="46"/>
  <c r="AI37" i="46"/>
  <c r="AJ37" i="46"/>
  <c r="AL37" i="46"/>
  <c r="AM37" i="46"/>
  <c r="AN37" i="46"/>
  <c r="AO37" i="46"/>
  <c r="AP37" i="46"/>
  <c r="AQ37" i="46"/>
  <c r="AR37" i="46"/>
  <c r="AS37" i="46"/>
  <c r="K38" i="46"/>
  <c r="L38" i="46"/>
  <c r="M38" i="46"/>
  <c r="N38" i="46"/>
  <c r="O38" i="46"/>
  <c r="P38" i="46"/>
  <c r="Q38" i="46"/>
  <c r="R38" i="46"/>
  <c r="T38" i="46"/>
  <c r="U38" i="46"/>
  <c r="V38" i="46"/>
  <c r="W38" i="46"/>
  <c r="X38" i="46"/>
  <c r="Y38" i="46"/>
  <c r="Z38" i="46"/>
  <c r="AA38" i="46"/>
  <c r="AC38" i="46"/>
  <c r="AD38" i="46"/>
  <c r="AE38" i="46"/>
  <c r="AF38" i="46"/>
  <c r="AG38" i="46"/>
  <c r="AH38" i="46"/>
  <c r="AI38" i="46"/>
  <c r="AJ38" i="46"/>
  <c r="AL38" i="46"/>
  <c r="AM38" i="46"/>
  <c r="AN38" i="46"/>
  <c r="AO38" i="46"/>
  <c r="AP38" i="46"/>
  <c r="AQ38" i="46"/>
  <c r="AR38" i="46"/>
  <c r="AS38" i="46"/>
  <c r="K39" i="46"/>
  <c r="L39" i="46"/>
  <c r="M39" i="46"/>
  <c r="N39" i="46"/>
  <c r="O39" i="46"/>
  <c r="P39" i="46"/>
  <c r="Q39" i="46"/>
  <c r="R39" i="46"/>
  <c r="T39" i="46"/>
  <c r="U39" i="46"/>
  <c r="V39" i="46"/>
  <c r="W39" i="46"/>
  <c r="X39" i="46"/>
  <c r="Y39" i="46"/>
  <c r="Z39" i="46"/>
  <c r="AA39" i="46"/>
  <c r="AC39" i="46"/>
  <c r="AD39" i="46"/>
  <c r="AE39" i="46"/>
  <c r="AF39" i="46"/>
  <c r="AG39" i="46"/>
  <c r="AH39" i="46"/>
  <c r="AI39" i="46"/>
  <c r="AJ39" i="46"/>
  <c r="AL39" i="46"/>
  <c r="AM39" i="46"/>
  <c r="AN39" i="46"/>
  <c r="AO39" i="46"/>
  <c r="AP39" i="46"/>
  <c r="AQ39" i="46"/>
  <c r="AR39" i="46"/>
  <c r="AS39" i="46"/>
  <c r="K40" i="46"/>
  <c r="L40" i="46"/>
  <c r="M40" i="46"/>
  <c r="N40" i="46"/>
  <c r="O40" i="46"/>
  <c r="P40" i="46"/>
  <c r="Q40" i="46"/>
  <c r="R40" i="46"/>
  <c r="T40" i="46"/>
  <c r="U40" i="46"/>
  <c r="V40" i="46"/>
  <c r="W40" i="46"/>
  <c r="X40" i="46"/>
  <c r="Y40" i="46"/>
  <c r="Z40" i="46"/>
  <c r="AA40" i="46"/>
  <c r="AC40" i="46"/>
  <c r="AD40" i="46"/>
  <c r="AE40" i="46"/>
  <c r="AF40" i="46"/>
  <c r="AG40" i="46"/>
  <c r="AH40" i="46"/>
  <c r="AI40" i="46"/>
  <c r="AJ40" i="46"/>
  <c r="AL40" i="46"/>
  <c r="AM40" i="46"/>
  <c r="AN40" i="46"/>
  <c r="AO40" i="46"/>
  <c r="AP40" i="46"/>
  <c r="AQ40" i="46"/>
  <c r="AR40" i="46"/>
  <c r="AS40" i="46"/>
  <c r="K41" i="46"/>
  <c r="L41" i="46"/>
  <c r="M41" i="46"/>
  <c r="N41" i="46"/>
  <c r="O41" i="46"/>
  <c r="P41" i="46"/>
  <c r="Q41" i="46"/>
  <c r="R41" i="46"/>
  <c r="T41" i="46"/>
  <c r="U41" i="46"/>
  <c r="V41" i="46"/>
  <c r="W41" i="46"/>
  <c r="X41" i="46"/>
  <c r="Y41" i="46"/>
  <c r="Z41" i="46"/>
  <c r="AA41" i="46"/>
  <c r="AC41" i="46"/>
  <c r="AD41" i="46"/>
  <c r="AE41" i="46"/>
  <c r="AF41" i="46"/>
  <c r="AG41" i="46"/>
  <c r="AH41" i="46"/>
  <c r="AI41" i="46"/>
  <c r="AJ41" i="46"/>
  <c r="AL41" i="46"/>
  <c r="AM41" i="46"/>
  <c r="AN41" i="46"/>
  <c r="AO41" i="46"/>
  <c r="AP41" i="46"/>
  <c r="AQ41" i="46"/>
  <c r="AR41" i="46"/>
  <c r="AS41" i="46"/>
  <c r="K42" i="46"/>
  <c r="L42" i="46"/>
  <c r="M42" i="46"/>
  <c r="N42" i="46"/>
  <c r="O42" i="46"/>
  <c r="P42" i="46"/>
  <c r="Q42" i="46"/>
  <c r="R42" i="46"/>
  <c r="T42" i="46"/>
  <c r="U42" i="46"/>
  <c r="V42" i="46"/>
  <c r="W42" i="46"/>
  <c r="X42" i="46"/>
  <c r="Y42" i="46"/>
  <c r="Z42" i="46"/>
  <c r="AA42" i="46"/>
  <c r="AC42" i="46"/>
  <c r="AD42" i="46"/>
  <c r="AE42" i="46"/>
  <c r="AF42" i="46"/>
  <c r="AG42" i="46"/>
  <c r="AH42" i="46"/>
  <c r="AI42" i="46"/>
  <c r="AJ42" i="46"/>
  <c r="AL42" i="46"/>
  <c r="AM42" i="46"/>
  <c r="AN42" i="46"/>
  <c r="AO42" i="46"/>
  <c r="AP42" i="46"/>
  <c r="AQ42" i="46"/>
  <c r="AR42" i="46"/>
  <c r="AS42" i="46"/>
  <c r="K43" i="46"/>
  <c r="L43" i="46"/>
  <c r="M43" i="46"/>
  <c r="N43" i="46"/>
  <c r="O43" i="46"/>
  <c r="P43" i="46"/>
  <c r="Q43" i="46"/>
  <c r="R43" i="46"/>
  <c r="T43" i="46"/>
  <c r="U43" i="46"/>
  <c r="V43" i="46"/>
  <c r="W43" i="46"/>
  <c r="X43" i="46"/>
  <c r="Y43" i="46"/>
  <c r="Z43" i="46"/>
  <c r="AA43" i="46"/>
  <c r="AC43" i="46"/>
  <c r="AD43" i="46"/>
  <c r="AE43" i="46"/>
  <c r="AF43" i="46"/>
  <c r="AG43" i="46"/>
  <c r="AH43" i="46"/>
  <c r="AI43" i="46"/>
  <c r="AJ43" i="46"/>
  <c r="AL43" i="46"/>
  <c r="AM43" i="46"/>
  <c r="AN43" i="46"/>
  <c r="AO43" i="46"/>
  <c r="AP43" i="46"/>
  <c r="AQ43" i="46"/>
  <c r="AR43" i="46"/>
  <c r="AS43" i="46"/>
  <c r="K44" i="46"/>
  <c r="L44" i="46"/>
  <c r="M44" i="46"/>
  <c r="N44" i="46"/>
  <c r="O44" i="46"/>
  <c r="P44" i="46"/>
  <c r="Q44" i="46"/>
  <c r="R44" i="46"/>
  <c r="T44" i="46"/>
  <c r="U44" i="46"/>
  <c r="V44" i="46"/>
  <c r="W44" i="46"/>
  <c r="X44" i="46"/>
  <c r="Y44" i="46"/>
  <c r="Z44" i="46"/>
  <c r="AA44" i="46"/>
  <c r="AC44" i="46"/>
  <c r="AD44" i="46"/>
  <c r="AE44" i="46"/>
  <c r="AF44" i="46"/>
  <c r="AG44" i="46"/>
  <c r="AH44" i="46"/>
  <c r="AI44" i="46"/>
  <c r="AJ44" i="46"/>
  <c r="AL44" i="46"/>
  <c r="AM44" i="46"/>
  <c r="AN44" i="46"/>
  <c r="AO44" i="46"/>
  <c r="AP44" i="46"/>
  <c r="AQ44" i="46"/>
  <c r="AR44" i="46"/>
  <c r="AS44" i="46"/>
  <c r="K45" i="46"/>
  <c r="L45" i="46"/>
  <c r="M45" i="46"/>
  <c r="N45" i="46"/>
  <c r="O45" i="46"/>
  <c r="P45" i="46"/>
  <c r="Q45" i="46"/>
  <c r="R45" i="46"/>
  <c r="T45" i="46"/>
  <c r="U45" i="46"/>
  <c r="V45" i="46"/>
  <c r="W45" i="46"/>
  <c r="X45" i="46"/>
  <c r="Y45" i="46"/>
  <c r="Z45" i="46"/>
  <c r="AA45" i="46"/>
  <c r="AC45" i="46"/>
  <c r="AD45" i="46"/>
  <c r="AE45" i="46"/>
  <c r="AF45" i="46"/>
  <c r="AG45" i="46"/>
  <c r="AH45" i="46"/>
  <c r="AI45" i="46"/>
  <c r="AJ45" i="46"/>
  <c r="AL45" i="46"/>
  <c r="AM45" i="46"/>
  <c r="AN45" i="46"/>
  <c r="AO45" i="46"/>
  <c r="AP45" i="46"/>
  <c r="AQ45" i="46"/>
  <c r="AR45" i="46"/>
  <c r="AS45" i="46"/>
  <c r="K46" i="46"/>
  <c r="L46" i="46"/>
  <c r="M46" i="46"/>
  <c r="N46" i="46"/>
  <c r="O46" i="46"/>
  <c r="P46" i="46"/>
  <c r="Q46" i="46"/>
  <c r="R46" i="46"/>
  <c r="T46" i="46"/>
  <c r="U46" i="46"/>
  <c r="V46" i="46"/>
  <c r="W46" i="46"/>
  <c r="X46" i="46"/>
  <c r="Y46" i="46"/>
  <c r="Z46" i="46"/>
  <c r="AA46" i="46"/>
  <c r="AC46" i="46"/>
  <c r="AD46" i="46"/>
  <c r="AE46" i="46"/>
  <c r="AF46" i="46"/>
  <c r="AG46" i="46"/>
  <c r="AH46" i="46"/>
  <c r="AI46" i="46"/>
  <c r="AJ46" i="46"/>
  <c r="AL46" i="46"/>
  <c r="AM46" i="46"/>
  <c r="AN46" i="46"/>
  <c r="AO46" i="46"/>
  <c r="AP46" i="46"/>
  <c r="AQ46" i="46"/>
  <c r="AR46" i="46"/>
  <c r="AS46" i="46"/>
  <c r="K47" i="46"/>
  <c r="L47" i="46"/>
  <c r="M47" i="46"/>
  <c r="N47" i="46"/>
  <c r="O47" i="46"/>
  <c r="P47" i="46"/>
  <c r="Q47" i="46"/>
  <c r="R47" i="46"/>
  <c r="T47" i="46"/>
  <c r="U47" i="46"/>
  <c r="V47" i="46"/>
  <c r="W47" i="46"/>
  <c r="X47" i="46"/>
  <c r="Y47" i="46"/>
  <c r="Z47" i="46"/>
  <c r="AA47" i="46"/>
  <c r="AC47" i="46"/>
  <c r="AD47" i="46"/>
  <c r="AE47" i="46"/>
  <c r="AF47" i="46"/>
  <c r="AG47" i="46"/>
  <c r="AH47" i="46"/>
  <c r="AI47" i="46"/>
  <c r="AJ47" i="46"/>
  <c r="AL47" i="46"/>
  <c r="AM47" i="46"/>
  <c r="AN47" i="46"/>
  <c r="AO47" i="46"/>
  <c r="AP47" i="46"/>
  <c r="AQ47" i="46"/>
  <c r="AR47" i="46"/>
  <c r="AS47" i="46"/>
  <c r="K48" i="46"/>
  <c r="L48" i="46"/>
  <c r="M48" i="46"/>
  <c r="N48" i="46"/>
  <c r="O48" i="46"/>
  <c r="P48" i="46"/>
  <c r="Q48" i="46"/>
  <c r="R48" i="46"/>
  <c r="T48" i="46"/>
  <c r="U48" i="46"/>
  <c r="V48" i="46"/>
  <c r="W48" i="46"/>
  <c r="X48" i="46"/>
  <c r="Y48" i="46"/>
  <c r="Z48" i="46"/>
  <c r="AA48" i="46"/>
  <c r="AC48" i="46"/>
  <c r="AD48" i="46"/>
  <c r="AE48" i="46"/>
  <c r="AF48" i="46"/>
  <c r="AG48" i="46"/>
  <c r="AH48" i="46"/>
  <c r="AI48" i="46"/>
  <c r="AJ48" i="46"/>
  <c r="AL48" i="46"/>
  <c r="AM48" i="46"/>
  <c r="AN48" i="46"/>
  <c r="AO48" i="46"/>
  <c r="AP48" i="46"/>
  <c r="AQ48" i="46"/>
  <c r="AR48" i="46"/>
  <c r="AS48" i="46"/>
  <c r="K49" i="46"/>
  <c r="L49" i="46"/>
  <c r="M49" i="46"/>
  <c r="N49" i="46"/>
  <c r="O49" i="46"/>
  <c r="P49" i="46"/>
  <c r="Q49" i="46"/>
  <c r="R49" i="46"/>
  <c r="T49" i="46"/>
  <c r="U49" i="46"/>
  <c r="V49" i="46"/>
  <c r="W49" i="46"/>
  <c r="X49" i="46"/>
  <c r="Y49" i="46"/>
  <c r="Z49" i="46"/>
  <c r="AA49" i="46"/>
  <c r="AC49" i="46"/>
  <c r="AD49" i="46"/>
  <c r="AE49" i="46"/>
  <c r="AF49" i="46"/>
  <c r="AG49" i="46"/>
  <c r="AH49" i="46"/>
  <c r="AI49" i="46"/>
  <c r="AJ49" i="46"/>
  <c r="AL49" i="46"/>
  <c r="AM49" i="46"/>
  <c r="AN49" i="46"/>
  <c r="AO49" i="46"/>
  <c r="AP49" i="46"/>
  <c r="AQ49" i="46"/>
  <c r="AR49" i="46"/>
  <c r="AS49" i="46"/>
  <c r="K50" i="46"/>
  <c r="L50" i="46"/>
  <c r="M50" i="46"/>
  <c r="N50" i="46"/>
  <c r="O50" i="46"/>
  <c r="P50" i="46"/>
  <c r="Q50" i="46"/>
  <c r="R50" i="46"/>
  <c r="T50" i="46"/>
  <c r="U50" i="46"/>
  <c r="V50" i="46"/>
  <c r="W50" i="46"/>
  <c r="X50" i="46"/>
  <c r="Y50" i="46"/>
  <c r="Z50" i="46"/>
  <c r="AA50" i="46"/>
  <c r="AC50" i="46"/>
  <c r="AD50" i="46"/>
  <c r="AE50" i="46"/>
  <c r="AF50" i="46"/>
  <c r="AG50" i="46"/>
  <c r="AH50" i="46"/>
  <c r="AI50" i="46"/>
  <c r="AJ50" i="46"/>
  <c r="AL50" i="46"/>
  <c r="AM50" i="46"/>
  <c r="AN50" i="46"/>
  <c r="AO50" i="46"/>
  <c r="AP50" i="46"/>
  <c r="AQ50" i="46"/>
  <c r="AR50" i="46"/>
  <c r="AS50" i="46"/>
  <c r="K51" i="46"/>
  <c r="L51" i="46"/>
  <c r="M51" i="46"/>
  <c r="N51" i="46"/>
  <c r="O51" i="46"/>
  <c r="P51" i="46"/>
  <c r="Q51" i="46"/>
  <c r="R51" i="46"/>
  <c r="T51" i="46"/>
  <c r="U51" i="46"/>
  <c r="V51" i="46"/>
  <c r="W51" i="46"/>
  <c r="X51" i="46"/>
  <c r="Y51" i="46"/>
  <c r="Z51" i="46"/>
  <c r="AA51" i="46"/>
  <c r="AC51" i="46"/>
  <c r="AD51" i="46"/>
  <c r="AE51" i="46"/>
  <c r="AF51" i="46"/>
  <c r="AG51" i="46"/>
  <c r="AH51" i="46"/>
  <c r="AI51" i="46"/>
  <c r="AJ51" i="46"/>
  <c r="AL51" i="46"/>
  <c r="AM51" i="46"/>
  <c r="AN51" i="46"/>
  <c r="AO51" i="46"/>
  <c r="AP51" i="46"/>
  <c r="AQ51" i="46"/>
  <c r="AR51" i="46"/>
  <c r="AS51" i="46"/>
  <c r="K52" i="46"/>
  <c r="L52" i="46"/>
  <c r="M52" i="46"/>
  <c r="N52" i="46"/>
  <c r="O52" i="46"/>
  <c r="P52" i="46"/>
  <c r="Q52" i="46"/>
  <c r="R52" i="46"/>
  <c r="T52" i="46"/>
  <c r="U52" i="46"/>
  <c r="V52" i="46"/>
  <c r="W52" i="46"/>
  <c r="X52" i="46"/>
  <c r="Y52" i="46"/>
  <c r="Z52" i="46"/>
  <c r="AA52" i="46"/>
  <c r="AC52" i="46"/>
  <c r="AD52" i="46"/>
  <c r="AE52" i="46"/>
  <c r="AF52" i="46"/>
  <c r="AG52" i="46"/>
  <c r="AH52" i="46"/>
  <c r="AI52" i="46"/>
  <c r="AJ52" i="46"/>
  <c r="AL52" i="46"/>
  <c r="AM52" i="46"/>
  <c r="AN52" i="46"/>
  <c r="AO52" i="46"/>
  <c r="AP52" i="46"/>
  <c r="AQ52" i="46"/>
  <c r="AR52" i="46"/>
  <c r="AS52" i="46"/>
  <c r="K53" i="46"/>
  <c r="L53" i="46"/>
  <c r="M53" i="46"/>
  <c r="N53" i="46"/>
  <c r="O53" i="46"/>
  <c r="P53" i="46"/>
  <c r="Q53" i="46"/>
  <c r="R53" i="46"/>
  <c r="T53" i="46"/>
  <c r="U53" i="46"/>
  <c r="V53" i="46"/>
  <c r="W53" i="46"/>
  <c r="X53" i="46"/>
  <c r="Y53" i="46"/>
  <c r="Z53" i="46"/>
  <c r="AA53" i="46"/>
  <c r="AC53" i="46"/>
  <c r="AD53" i="46"/>
  <c r="AE53" i="46"/>
  <c r="AF53" i="46"/>
  <c r="AG53" i="46"/>
  <c r="AH53" i="46"/>
  <c r="AI53" i="46"/>
  <c r="AJ53" i="46"/>
  <c r="AL53" i="46"/>
  <c r="AM53" i="46"/>
  <c r="AN53" i="46"/>
  <c r="AO53" i="46"/>
  <c r="AP53" i="46"/>
  <c r="AQ53" i="46"/>
  <c r="AR53" i="46"/>
  <c r="AS53" i="46"/>
  <c r="K54" i="46"/>
  <c r="L54" i="46"/>
  <c r="M54" i="46"/>
  <c r="N54" i="46"/>
  <c r="O54" i="46"/>
  <c r="P54" i="46"/>
  <c r="Q54" i="46"/>
  <c r="R54" i="46"/>
  <c r="T54" i="46"/>
  <c r="U54" i="46"/>
  <c r="V54" i="46"/>
  <c r="W54" i="46"/>
  <c r="X54" i="46"/>
  <c r="Y54" i="46"/>
  <c r="Z54" i="46"/>
  <c r="AA54" i="46"/>
  <c r="AC54" i="46"/>
  <c r="AD54" i="46"/>
  <c r="AE54" i="46"/>
  <c r="AF54" i="46"/>
  <c r="AG54" i="46"/>
  <c r="AH54" i="46"/>
  <c r="AI54" i="46"/>
  <c r="AJ54" i="46"/>
  <c r="AL54" i="46"/>
  <c r="AM54" i="46"/>
  <c r="AN54" i="46"/>
  <c r="AO54" i="46"/>
  <c r="AP54" i="46"/>
  <c r="AQ54" i="46"/>
  <c r="AR54" i="46"/>
  <c r="AS54" i="46"/>
  <c r="K55" i="46"/>
  <c r="L55" i="46"/>
  <c r="M55" i="46"/>
  <c r="N55" i="46"/>
  <c r="O55" i="46"/>
  <c r="P55" i="46"/>
  <c r="Q55" i="46"/>
  <c r="R55" i="46"/>
  <c r="T55" i="46"/>
  <c r="U55" i="46"/>
  <c r="V55" i="46"/>
  <c r="W55" i="46"/>
  <c r="X55" i="46"/>
  <c r="Y55" i="46"/>
  <c r="Z55" i="46"/>
  <c r="AA55" i="46"/>
  <c r="AC55" i="46"/>
  <c r="AD55" i="46"/>
  <c r="AE55" i="46"/>
  <c r="AF55" i="46"/>
  <c r="AG55" i="46"/>
  <c r="AH55" i="46"/>
  <c r="AI55" i="46"/>
  <c r="AJ55" i="46"/>
  <c r="AL55" i="46"/>
  <c r="AM55" i="46"/>
  <c r="AN55" i="46"/>
  <c r="AO55" i="46"/>
  <c r="AP55" i="46"/>
  <c r="AQ55" i="46"/>
  <c r="AR55" i="46"/>
  <c r="AS55" i="46"/>
  <c r="K56" i="46"/>
  <c r="L56" i="46"/>
  <c r="M56" i="46"/>
  <c r="N56" i="46"/>
  <c r="O56" i="46"/>
  <c r="P56" i="46"/>
  <c r="Q56" i="46"/>
  <c r="R56" i="46"/>
  <c r="T56" i="46"/>
  <c r="U56" i="46"/>
  <c r="V56" i="46"/>
  <c r="W56" i="46"/>
  <c r="X56" i="46"/>
  <c r="Y56" i="46"/>
  <c r="Z56" i="46"/>
  <c r="AA56" i="46"/>
  <c r="AC56" i="46"/>
  <c r="AD56" i="46"/>
  <c r="AE56" i="46"/>
  <c r="AF56" i="46"/>
  <c r="AG56" i="46"/>
  <c r="AH56" i="46"/>
  <c r="AI56" i="46"/>
  <c r="AJ56" i="46"/>
  <c r="AL56" i="46"/>
  <c r="AM56" i="46"/>
  <c r="AN56" i="46"/>
  <c r="AO56" i="46"/>
  <c r="AP56" i="46"/>
  <c r="AQ56" i="46"/>
  <c r="AR56" i="46"/>
  <c r="AS56" i="46"/>
  <c r="K57" i="46"/>
  <c r="L57" i="46"/>
  <c r="M57" i="46"/>
  <c r="N57" i="46"/>
  <c r="O57" i="46"/>
  <c r="P57" i="46"/>
  <c r="Q57" i="46"/>
  <c r="R57" i="46"/>
  <c r="T57" i="46"/>
  <c r="U57" i="46"/>
  <c r="V57" i="46"/>
  <c r="W57" i="46"/>
  <c r="X57" i="46"/>
  <c r="Y57" i="46"/>
  <c r="Z57" i="46"/>
  <c r="AA57" i="46"/>
  <c r="AC57" i="46"/>
  <c r="AD57" i="46"/>
  <c r="AE57" i="46"/>
  <c r="AF57" i="46"/>
  <c r="AG57" i="46"/>
  <c r="AH57" i="46"/>
  <c r="AI57" i="46"/>
  <c r="AJ57" i="46"/>
  <c r="AL57" i="46"/>
  <c r="AM57" i="46"/>
  <c r="AN57" i="46"/>
  <c r="AO57" i="46"/>
  <c r="AP57" i="46"/>
  <c r="AQ57" i="46"/>
  <c r="AR57" i="46"/>
  <c r="AS57" i="46"/>
  <c r="K58" i="46"/>
  <c r="L58" i="46"/>
  <c r="M58" i="46"/>
  <c r="N58" i="46"/>
  <c r="O58" i="46"/>
  <c r="P58" i="46"/>
  <c r="Q58" i="46"/>
  <c r="R58" i="46"/>
  <c r="T58" i="46"/>
  <c r="U58" i="46"/>
  <c r="V58" i="46"/>
  <c r="W58" i="46"/>
  <c r="X58" i="46"/>
  <c r="Y58" i="46"/>
  <c r="Z58" i="46"/>
  <c r="AA58" i="46"/>
  <c r="AC58" i="46"/>
  <c r="AD58" i="46"/>
  <c r="AE58" i="46"/>
  <c r="AF58" i="46"/>
  <c r="AG58" i="46"/>
  <c r="AH58" i="46"/>
  <c r="AI58" i="46"/>
  <c r="AJ58" i="46"/>
  <c r="AL58" i="46"/>
  <c r="AM58" i="46"/>
  <c r="AN58" i="46"/>
  <c r="AO58" i="46"/>
  <c r="AP58" i="46"/>
  <c r="AQ58" i="46"/>
  <c r="AR58" i="46"/>
  <c r="AS58" i="46"/>
  <c r="K59" i="46"/>
  <c r="L59" i="46"/>
  <c r="M59" i="46"/>
  <c r="N59" i="46"/>
  <c r="O59" i="46"/>
  <c r="P59" i="46"/>
  <c r="Q59" i="46"/>
  <c r="R59" i="46"/>
  <c r="T59" i="46"/>
  <c r="U59" i="46"/>
  <c r="V59" i="46"/>
  <c r="W59" i="46"/>
  <c r="X59" i="46"/>
  <c r="Y59" i="46"/>
  <c r="Z59" i="46"/>
  <c r="AA59" i="46"/>
  <c r="AC59" i="46"/>
  <c r="AD59" i="46"/>
  <c r="AE59" i="46"/>
  <c r="AF59" i="46"/>
  <c r="AG59" i="46"/>
  <c r="AH59" i="46"/>
  <c r="AI59" i="46"/>
  <c r="AJ59" i="46"/>
  <c r="AL59" i="46"/>
  <c r="AM59" i="46"/>
  <c r="AN59" i="46"/>
  <c r="AO59" i="46"/>
  <c r="AP59" i="46"/>
  <c r="AQ59" i="46"/>
  <c r="AR59" i="46"/>
  <c r="AS59" i="46"/>
  <c r="K60" i="46"/>
  <c r="L60" i="46"/>
  <c r="M60" i="46"/>
  <c r="N60" i="46"/>
  <c r="O60" i="46"/>
  <c r="P60" i="46"/>
  <c r="Q60" i="46"/>
  <c r="R60" i="46"/>
  <c r="T60" i="46"/>
  <c r="U60" i="46"/>
  <c r="V60" i="46"/>
  <c r="W60" i="46"/>
  <c r="X60" i="46"/>
  <c r="Y60" i="46"/>
  <c r="Z60" i="46"/>
  <c r="AA60" i="46"/>
  <c r="AC60" i="46"/>
  <c r="AD60" i="46"/>
  <c r="AE60" i="46"/>
  <c r="AF60" i="46"/>
  <c r="AG60" i="46"/>
  <c r="AH60" i="46"/>
  <c r="AI60" i="46"/>
  <c r="AJ60" i="46"/>
  <c r="AL60" i="46"/>
  <c r="AM60" i="46"/>
  <c r="AN60" i="46"/>
  <c r="AO60" i="46"/>
  <c r="AP60" i="46"/>
  <c r="AQ60" i="46"/>
  <c r="AR60" i="46"/>
  <c r="AS60" i="46"/>
  <c r="K61" i="46"/>
  <c r="L61" i="46"/>
  <c r="M61" i="46"/>
  <c r="N61" i="46"/>
  <c r="O61" i="46"/>
  <c r="P61" i="46"/>
  <c r="Q61" i="46"/>
  <c r="R61" i="46"/>
  <c r="T61" i="46"/>
  <c r="U61" i="46"/>
  <c r="V61" i="46"/>
  <c r="W61" i="46"/>
  <c r="X61" i="46"/>
  <c r="Y61" i="46"/>
  <c r="Z61" i="46"/>
  <c r="AA61" i="46"/>
  <c r="AC61" i="46"/>
  <c r="AD61" i="46"/>
  <c r="AE61" i="46"/>
  <c r="AF61" i="46"/>
  <c r="AG61" i="46"/>
  <c r="AH61" i="46"/>
  <c r="AI61" i="46"/>
  <c r="AJ61" i="46"/>
  <c r="AL61" i="46"/>
  <c r="AM61" i="46"/>
  <c r="AN61" i="46"/>
  <c r="AO61" i="46"/>
  <c r="AP61" i="46"/>
  <c r="AQ61" i="46"/>
  <c r="AR61" i="46"/>
  <c r="AS61" i="46"/>
  <c r="K62" i="46"/>
  <c r="L62" i="46"/>
  <c r="M62" i="46"/>
  <c r="N62" i="46"/>
  <c r="O62" i="46"/>
  <c r="P62" i="46"/>
  <c r="Q62" i="46"/>
  <c r="R62" i="46"/>
  <c r="T62" i="46"/>
  <c r="U62" i="46"/>
  <c r="V62" i="46"/>
  <c r="W62" i="46"/>
  <c r="X62" i="46"/>
  <c r="Y62" i="46"/>
  <c r="Z62" i="46"/>
  <c r="AA62" i="46"/>
  <c r="AC62" i="46"/>
  <c r="AD62" i="46"/>
  <c r="AE62" i="46"/>
  <c r="AF62" i="46"/>
  <c r="AG62" i="46"/>
  <c r="AH62" i="46"/>
  <c r="AI62" i="46"/>
  <c r="AJ62" i="46"/>
  <c r="AL62" i="46"/>
  <c r="AM62" i="46"/>
  <c r="AN62" i="46"/>
  <c r="AO62" i="46"/>
  <c r="AP62" i="46"/>
  <c r="AQ62" i="46"/>
  <c r="AR62" i="46"/>
  <c r="AS62" i="46"/>
  <c r="K63" i="46"/>
  <c r="L63" i="46"/>
  <c r="M63" i="46"/>
  <c r="N63" i="46"/>
  <c r="O63" i="46"/>
  <c r="P63" i="46"/>
  <c r="Q63" i="46"/>
  <c r="R63" i="46"/>
  <c r="T63" i="46"/>
  <c r="U63" i="46"/>
  <c r="V63" i="46"/>
  <c r="W63" i="46"/>
  <c r="X63" i="46"/>
  <c r="Y63" i="46"/>
  <c r="Z63" i="46"/>
  <c r="AA63" i="46"/>
  <c r="AC63" i="46"/>
  <c r="AD63" i="46"/>
  <c r="AE63" i="46"/>
  <c r="AF63" i="46"/>
  <c r="AG63" i="46"/>
  <c r="AH63" i="46"/>
  <c r="AI63" i="46"/>
  <c r="AJ63" i="46"/>
  <c r="AL63" i="46"/>
  <c r="AM63" i="46"/>
  <c r="AN63" i="46"/>
  <c r="AO63" i="46"/>
  <c r="AP63" i="46"/>
  <c r="AQ63" i="46"/>
  <c r="AR63" i="46"/>
  <c r="AS63" i="46"/>
  <c r="K64" i="46"/>
  <c r="L64" i="46"/>
  <c r="M64" i="46"/>
  <c r="N64" i="46"/>
  <c r="O64" i="46"/>
  <c r="P64" i="46"/>
  <c r="Q64" i="46"/>
  <c r="R64" i="46"/>
  <c r="T64" i="46"/>
  <c r="U64" i="46"/>
  <c r="V64" i="46"/>
  <c r="W64" i="46"/>
  <c r="X64" i="46"/>
  <c r="Y64" i="46"/>
  <c r="Z64" i="46"/>
  <c r="AA64" i="46"/>
  <c r="AC64" i="46"/>
  <c r="AD64" i="46"/>
  <c r="AE64" i="46"/>
  <c r="AF64" i="46"/>
  <c r="AG64" i="46"/>
  <c r="AH64" i="46"/>
  <c r="AI64" i="46"/>
  <c r="AJ64" i="46"/>
  <c r="AL64" i="46"/>
  <c r="AM64" i="46"/>
  <c r="AN64" i="46"/>
  <c r="AO64" i="46"/>
  <c r="AP64" i="46"/>
  <c r="AQ64" i="46"/>
  <c r="AR64" i="46"/>
  <c r="AS64" i="46"/>
  <c r="K65" i="46"/>
  <c r="L65" i="46"/>
  <c r="M65" i="46"/>
  <c r="N65" i="46"/>
  <c r="O65" i="46"/>
  <c r="P65" i="46"/>
  <c r="Q65" i="46"/>
  <c r="R65" i="46"/>
  <c r="T65" i="46"/>
  <c r="U65" i="46"/>
  <c r="V65" i="46"/>
  <c r="W65" i="46"/>
  <c r="X65" i="46"/>
  <c r="Y65" i="46"/>
  <c r="Z65" i="46"/>
  <c r="AA65" i="46"/>
  <c r="AC65" i="46"/>
  <c r="AD65" i="46"/>
  <c r="AE65" i="46"/>
  <c r="AF65" i="46"/>
  <c r="AG65" i="46"/>
  <c r="AH65" i="46"/>
  <c r="AI65" i="46"/>
  <c r="AJ65" i="46"/>
  <c r="AL65" i="46"/>
  <c r="AM65" i="46"/>
  <c r="AN65" i="46"/>
  <c r="AO65" i="46"/>
  <c r="AP65" i="46"/>
  <c r="AQ65" i="46"/>
  <c r="AR65" i="46"/>
  <c r="AS65" i="46"/>
  <c r="K66" i="46"/>
  <c r="L66" i="46"/>
  <c r="M66" i="46"/>
  <c r="N66" i="46"/>
  <c r="O66" i="46"/>
  <c r="P66" i="46"/>
  <c r="Q66" i="46"/>
  <c r="R66" i="46"/>
  <c r="T66" i="46"/>
  <c r="U66" i="46"/>
  <c r="V66" i="46"/>
  <c r="W66" i="46"/>
  <c r="X66" i="46"/>
  <c r="Y66" i="46"/>
  <c r="Z66" i="46"/>
  <c r="AA66" i="46"/>
  <c r="AC66" i="46"/>
  <c r="AD66" i="46"/>
  <c r="AE66" i="46"/>
  <c r="AF66" i="46"/>
  <c r="AG66" i="46"/>
  <c r="AH66" i="46"/>
  <c r="AI66" i="46"/>
  <c r="AJ66" i="46"/>
  <c r="AL66" i="46"/>
  <c r="AM66" i="46"/>
  <c r="AN66" i="46"/>
  <c r="AO66" i="46"/>
  <c r="AP66" i="46"/>
  <c r="AQ66" i="46"/>
  <c r="AR66" i="46"/>
  <c r="AS66" i="46"/>
  <c r="K67" i="46"/>
  <c r="L67" i="46"/>
  <c r="M67" i="46"/>
  <c r="N67" i="46"/>
  <c r="O67" i="46"/>
  <c r="P67" i="46"/>
  <c r="Q67" i="46"/>
  <c r="R67" i="46"/>
  <c r="T67" i="46"/>
  <c r="U67" i="46"/>
  <c r="V67" i="46"/>
  <c r="W67" i="46"/>
  <c r="X67" i="46"/>
  <c r="Y67" i="46"/>
  <c r="Z67" i="46"/>
  <c r="AA67" i="46"/>
  <c r="AC67" i="46"/>
  <c r="AD67" i="46"/>
  <c r="AE67" i="46"/>
  <c r="AF67" i="46"/>
  <c r="AG67" i="46"/>
  <c r="AH67" i="46"/>
  <c r="AI67" i="46"/>
  <c r="AJ67" i="46"/>
  <c r="AL67" i="46"/>
  <c r="AM67" i="46"/>
  <c r="AN67" i="46"/>
  <c r="AO67" i="46"/>
  <c r="AP67" i="46"/>
  <c r="AQ67" i="46"/>
  <c r="AR67" i="46"/>
  <c r="AS67" i="46"/>
  <c r="K68" i="46"/>
  <c r="L68" i="46"/>
  <c r="M68" i="46"/>
  <c r="N68" i="46"/>
  <c r="O68" i="46"/>
  <c r="P68" i="46"/>
  <c r="Q68" i="46"/>
  <c r="R68" i="46"/>
  <c r="T68" i="46"/>
  <c r="U68" i="46"/>
  <c r="V68" i="46"/>
  <c r="W68" i="46"/>
  <c r="X68" i="46"/>
  <c r="Y68" i="46"/>
  <c r="Z68" i="46"/>
  <c r="AA68" i="46"/>
  <c r="AC68" i="46"/>
  <c r="AL32" i="72" s="1"/>
  <c r="AD68" i="46"/>
  <c r="AM32" i="72" s="1"/>
  <c r="AE68" i="46"/>
  <c r="AN32" i="72" s="1"/>
  <c r="AF68" i="46"/>
  <c r="AO32" i="72" s="1"/>
  <c r="AG68" i="46"/>
  <c r="AP32" i="72" s="1"/>
  <c r="AH68" i="46"/>
  <c r="AQ32" i="72" s="1"/>
  <c r="AI68" i="46"/>
  <c r="AR32" i="72" s="1"/>
  <c r="AJ68" i="46"/>
  <c r="AS32" i="72" s="1"/>
  <c r="AL68" i="46"/>
  <c r="AM68" i="46"/>
  <c r="AN68" i="46"/>
  <c r="AO68" i="46"/>
  <c r="AP68" i="46"/>
  <c r="AQ68" i="46"/>
  <c r="AR68" i="46"/>
  <c r="AS68" i="46"/>
  <c r="AJ31" i="46"/>
  <c r="AI31" i="46"/>
  <c r="AH31" i="46"/>
  <c r="AG31" i="46"/>
  <c r="AF31" i="46"/>
  <c r="AE31" i="46"/>
  <c r="AD31" i="46"/>
  <c r="AC31" i="46"/>
  <c r="AU32" i="46"/>
  <c r="AV32" i="46"/>
  <c r="AW32" i="46"/>
  <c r="AX32" i="46"/>
  <c r="AU33" i="46"/>
  <c r="AV33" i="46"/>
  <c r="AW33" i="46"/>
  <c r="AX33" i="46"/>
  <c r="AU34" i="46"/>
  <c r="AV34" i="46"/>
  <c r="AW34" i="46"/>
  <c r="AX34" i="46"/>
  <c r="AU35" i="46"/>
  <c r="AV35" i="46"/>
  <c r="AW35" i="46"/>
  <c r="AX35" i="46"/>
  <c r="AU36" i="46"/>
  <c r="AV36" i="46"/>
  <c r="AW36" i="46"/>
  <c r="AX36" i="46"/>
  <c r="AU37" i="46"/>
  <c r="AV37" i="46"/>
  <c r="AW37" i="46"/>
  <c r="AX37" i="46"/>
  <c r="AU38" i="46"/>
  <c r="AV38" i="46"/>
  <c r="AW38" i="46"/>
  <c r="AX38" i="46"/>
  <c r="AU39" i="46"/>
  <c r="AV39" i="46"/>
  <c r="AW39" i="46"/>
  <c r="AX39" i="46"/>
  <c r="AU40" i="46"/>
  <c r="AV40" i="46"/>
  <c r="AW40" i="46"/>
  <c r="AX40" i="46"/>
  <c r="AU41" i="46"/>
  <c r="AV41" i="46"/>
  <c r="AW41" i="46"/>
  <c r="AX41" i="46"/>
  <c r="AU42" i="46"/>
  <c r="AV42" i="46"/>
  <c r="AW42" i="46"/>
  <c r="AX42" i="46"/>
  <c r="AU43" i="46"/>
  <c r="AV43" i="46"/>
  <c r="AW43" i="46"/>
  <c r="AX43" i="46"/>
  <c r="AU44" i="46"/>
  <c r="AV44" i="46"/>
  <c r="AW44" i="46"/>
  <c r="AX44" i="46"/>
  <c r="AU45" i="46"/>
  <c r="AV45" i="46"/>
  <c r="AW45" i="46"/>
  <c r="AX45" i="46"/>
  <c r="AU46" i="46"/>
  <c r="AV46" i="46"/>
  <c r="AW46" i="46"/>
  <c r="AX46" i="46"/>
  <c r="AU47" i="46"/>
  <c r="AV47" i="46"/>
  <c r="AW47" i="46"/>
  <c r="AX47" i="46"/>
  <c r="AU48" i="46"/>
  <c r="AV48" i="46"/>
  <c r="AW48" i="46"/>
  <c r="AX48" i="46"/>
  <c r="AU49" i="46"/>
  <c r="AV49" i="46"/>
  <c r="AW49" i="46"/>
  <c r="AX49" i="46"/>
  <c r="AU50" i="46"/>
  <c r="AV50" i="46"/>
  <c r="AW50" i="46"/>
  <c r="AX50" i="46"/>
  <c r="AU51" i="46"/>
  <c r="AV51" i="46"/>
  <c r="AW51" i="46"/>
  <c r="AX51" i="46"/>
  <c r="AU52" i="46"/>
  <c r="AV52" i="46"/>
  <c r="AW52" i="46"/>
  <c r="AX52" i="46"/>
  <c r="AU53" i="46"/>
  <c r="AV53" i="46"/>
  <c r="AW53" i="46"/>
  <c r="AX53" i="46"/>
  <c r="AU54" i="46"/>
  <c r="AV54" i="46"/>
  <c r="AW54" i="46"/>
  <c r="AX54" i="46"/>
  <c r="AU55" i="46"/>
  <c r="AV55" i="46"/>
  <c r="AW55" i="46"/>
  <c r="AX55" i="46"/>
  <c r="AU56" i="46"/>
  <c r="AV56" i="46"/>
  <c r="AW56" i="46"/>
  <c r="AX56" i="46"/>
  <c r="AU57" i="46"/>
  <c r="AV57" i="46"/>
  <c r="AW57" i="46"/>
  <c r="AX57" i="46"/>
  <c r="AU58" i="46"/>
  <c r="AV58" i="46"/>
  <c r="AW58" i="46"/>
  <c r="AX58" i="46"/>
  <c r="AU59" i="46"/>
  <c r="AV59" i="46"/>
  <c r="AW59" i="46"/>
  <c r="AX59" i="46"/>
  <c r="AU60" i="46"/>
  <c r="AV60" i="46"/>
  <c r="AW60" i="46"/>
  <c r="AX60" i="46"/>
  <c r="AU61" i="46"/>
  <c r="AV61" i="46"/>
  <c r="AW61" i="46"/>
  <c r="AX61" i="46"/>
  <c r="AU62" i="46"/>
  <c r="AV62" i="46"/>
  <c r="AW62" i="46"/>
  <c r="AX62" i="46"/>
  <c r="AU63" i="46"/>
  <c r="AV63" i="46"/>
  <c r="AW63" i="46"/>
  <c r="AX63" i="46"/>
  <c r="AU64" i="46"/>
  <c r="AV64" i="46"/>
  <c r="AW64" i="46"/>
  <c r="AX64" i="46"/>
  <c r="AU65" i="46"/>
  <c r="AV65" i="46"/>
  <c r="AW65" i="46"/>
  <c r="AX65" i="46"/>
  <c r="AU66" i="46"/>
  <c r="AV66" i="46"/>
  <c r="AW66" i="46"/>
  <c r="AX66" i="46"/>
  <c r="AU67" i="46"/>
  <c r="AV67" i="46"/>
  <c r="AW67" i="46"/>
  <c r="AX67" i="46"/>
  <c r="AU68" i="46"/>
  <c r="AV68" i="46"/>
  <c r="AW68" i="46"/>
  <c r="AX68" i="46"/>
  <c r="AW31" i="46"/>
  <c r="AV31" i="46"/>
  <c r="AU31" i="46"/>
  <c r="R31" i="46"/>
  <c r="Q31" i="46"/>
  <c r="P31" i="46"/>
  <c r="O31" i="46"/>
  <c r="N31" i="46"/>
  <c r="M31" i="46"/>
  <c r="L31" i="46"/>
  <c r="K31" i="46"/>
  <c r="AS31" i="46"/>
  <c r="AR31" i="46"/>
  <c r="AQ31" i="46"/>
  <c r="AP31" i="46"/>
  <c r="AO31" i="46"/>
  <c r="AN31" i="46"/>
  <c r="AM31" i="46"/>
  <c r="AX31" i="46"/>
  <c r="AL31" i="46"/>
  <c r="BE32" i="67"/>
  <c r="BE33" i="67"/>
  <c r="BE34" i="67"/>
  <c r="BE35" i="67"/>
  <c r="BE36" i="67"/>
  <c r="BE37" i="67"/>
  <c r="BE38" i="67"/>
  <c r="BE39" i="67"/>
  <c r="BE40" i="67"/>
  <c r="BE41" i="67"/>
  <c r="BE42" i="67"/>
  <c r="BE43" i="67"/>
  <c r="BE44" i="67"/>
  <c r="BE45" i="67"/>
  <c r="BE46" i="67"/>
  <c r="BE47" i="67"/>
  <c r="BE48" i="67"/>
  <c r="BE49" i="67"/>
  <c r="BE50" i="67"/>
  <c r="BE51" i="67"/>
  <c r="BE52" i="67"/>
  <c r="BE53" i="67"/>
  <c r="BE54" i="67"/>
  <c r="BE55" i="67"/>
  <c r="BE56" i="67"/>
  <c r="BE57" i="67"/>
  <c r="BE58" i="67"/>
  <c r="BE59" i="67"/>
  <c r="BE60" i="67"/>
  <c r="BE61" i="67"/>
  <c r="BE62" i="67"/>
  <c r="BE63" i="67"/>
  <c r="BE64" i="67"/>
  <c r="BE65" i="67"/>
  <c r="BE66" i="67"/>
  <c r="BE67" i="67"/>
  <c r="BE68" i="67"/>
  <c r="BE31" i="67"/>
  <c r="T32" i="67"/>
  <c r="U32" i="67"/>
  <c r="V32" i="67"/>
  <c r="W32" i="67"/>
  <c r="X32" i="67"/>
  <c r="Y32" i="67"/>
  <c r="Z32" i="67"/>
  <c r="AA32" i="67"/>
  <c r="T33" i="67"/>
  <c r="U33" i="67"/>
  <c r="V33" i="67"/>
  <c r="W33" i="67"/>
  <c r="X33" i="67"/>
  <c r="Y33" i="67"/>
  <c r="Z33" i="67"/>
  <c r="AA33" i="67"/>
  <c r="T34" i="67"/>
  <c r="U34" i="67"/>
  <c r="V34" i="67"/>
  <c r="W34" i="67"/>
  <c r="X34" i="67"/>
  <c r="Y34" i="67"/>
  <c r="Z34" i="67"/>
  <c r="AA34" i="67"/>
  <c r="T35" i="67"/>
  <c r="U35" i="67"/>
  <c r="V35" i="67"/>
  <c r="W35" i="67"/>
  <c r="X35" i="67"/>
  <c r="Y35" i="67"/>
  <c r="Z35" i="67"/>
  <c r="AA35" i="67"/>
  <c r="T36" i="67"/>
  <c r="U36" i="67"/>
  <c r="V36" i="67"/>
  <c r="W36" i="67"/>
  <c r="X36" i="67"/>
  <c r="Y36" i="67"/>
  <c r="Z36" i="67"/>
  <c r="AA36" i="67"/>
  <c r="T37" i="67"/>
  <c r="U37" i="67"/>
  <c r="V37" i="67"/>
  <c r="W37" i="67"/>
  <c r="X37" i="67"/>
  <c r="Y37" i="67"/>
  <c r="Z37" i="67"/>
  <c r="AA37" i="67"/>
  <c r="T38" i="67"/>
  <c r="U38" i="67"/>
  <c r="V38" i="67"/>
  <c r="W38" i="67"/>
  <c r="X38" i="67"/>
  <c r="Y38" i="67"/>
  <c r="Z38" i="67"/>
  <c r="AA38" i="67"/>
  <c r="T39" i="67"/>
  <c r="U39" i="67"/>
  <c r="V39" i="67"/>
  <c r="W39" i="67"/>
  <c r="X39" i="67"/>
  <c r="Y39" i="67"/>
  <c r="Z39" i="67"/>
  <c r="AA39" i="67"/>
  <c r="T40" i="67"/>
  <c r="U40" i="67"/>
  <c r="V40" i="67"/>
  <c r="W40" i="67"/>
  <c r="X40" i="67"/>
  <c r="Y40" i="67"/>
  <c r="Z40" i="67"/>
  <c r="AA40" i="67"/>
  <c r="T41" i="67"/>
  <c r="U41" i="67"/>
  <c r="V41" i="67"/>
  <c r="W41" i="67"/>
  <c r="X41" i="67"/>
  <c r="Y41" i="67"/>
  <c r="Z41" i="67"/>
  <c r="AA41" i="67"/>
  <c r="T42" i="67"/>
  <c r="U42" i="67"/>
  <c r="V42" i="67"/>
  <c r="W42" i="67"/>
  <c r="X42" i="67"/>
  <c r="Y42" i="67"/>
  <c r="Z42" i="67"/>
  <c r="AA42" i="67"/>
  <c r="T43" i="67"/>
  <c r="U43" i="67"/>
  <c r="V43" i="67"/>
  <c r="W43" i="67"/>
  <c r="X43" i="67"/>
  <c r="Y43" i="67"/>
  <c r="Z43" i="67"/>
  <c r="AA43" i="67"/>
  <c r="T44" i="67"/>
  <c r="U44" i="67"/>
  <c r="V44" i="67"/>
  <c r="W44" i="67"/>
  <c r="X44" i="67"/>
  <c r="Y44" i="67"/>
  <c r="Z44" i="67"/>
  <c r="AA44" i="67"/>
  <c r="T45" i="67"/>
  <c r="U45" i="67"/>
  <c r="V45" i="67"/>
  <c r="W45" i="67"/>
  <c r="X45" i="67"/>
  <c r="Y45" i="67"/>
  <c r="Z45" i="67"/>
  <c r="AA45" i="67"/>
  <c r="T46" i="67"/>
  <c r="U46" i="67"/>
  <c r="V46" i="67"/>
  <c r="W46" i="67"/>
  <c r="X46" i="67"/>
  <c r="Y46" i="67"/>
  <c r="Z46" i="67"/>
  <c r="AA46" i="67"/>
  <c r="T47" i="67"/>
  <c r="U47" i="67"/>
  <c r="V47" i="67"/>
  <c r="W47" i="67"/>
  <c r="X47" i="67"/>
  <c r="Y47" i="67"/>
  <c r="Z47" i="67"/>
  <c r="AA47" i="67"/>
  <c r="T48" i="67"/>
  <c r="U48" i="67"/>
  <c r="V48" i="67"/>
  <c r="W48" i="67"/>
  <c r="X48" i="67"/>
  <c r="Y48" i="67"/>
  <c r="Z48" i="67"/>
  <c r="AA48" i="67"/>
  <c r="T49" i="67"/>
  <c r="U49" i="67"/>
  <c r="V49" i="67"/>
  <c r="W49" i="67"/>
  <c r="X49" i="67"/>
  <c r="Y49" i="67"/>
  <c r="Z49" i="67"/>
  <c r="AA49" i="67"/>
  <c r="T50" i="67"/>
  <c r="U50" i="67"/>
  <c r="V50" i="67"/>
  <c r="W50" i="67"/>
  <c r="X50" i="67"/>
  <c r="Y50" i="67"/>
  <c r="Z50" i="67"/>
  <c r="AA50" i="67"/>
  <c r="T51" i="67"/>
  <c r="U51" i="67"/>
  <c r="V51" i="67"/>
  <c r="W51" i="67"/>
  <c r="X51" i="67"/>
  <c r="Y51" i="67"/>
  <c r="Z51" i="67"/>
  <c r="AA51" i="67"/>
  <c r="T52" i="67"/>
  <c r="U52" i="67"/>
  <c r="V52" i="67"/>
  <c r="W52" i="67"/>
  <c r="X52" i="67"/>
  <c r="Y52" i="67"/>
  <c r="Z52" i="67"/>
  <c r="AA52" i="67"/>
  <c r="T53" i="67"/>
  <c r="U53" i="67"/>
  <c r="V53" i="67"/>
  <c r="W53" i="67"/>
  <c r="X53" i="67"/>
  <c r="Y53" i="67"/>
  <c r="Z53" i="67"/>
  <c r="AA53" i="67"/>
  <c r="T54" i="67"/>
  <c r="U54" i="67"/>
  <c r="V54" i="67"/>
  <c r="W54" i="67"/>
  <c r="X54" i="67"/>
  <c r="Y54" i="67"/>
  <c r="Z54" i="67"/>
  <c r="AA54" i="67"/>
  <c r="T55" i="67"/>
  <c r="U55" i="67"/>
  <c r="V55" i="67"/>
  <c r="W55" i="67"/>
  <c r="X55" i="67"/>
  <c r="Y55" i="67"/>
  <c r="Z55" i="67"/>
  <c r="AA55" i="67"/>
  <c r="T56" i="67"/>
  <c r="U56" i="67"/>
  <c r="V56" i="67"/>
  <c r="W56" i="67"/>
  <c r="X56" i="67"/>
  <c r="Y56" i="67"/>
  <c r="Z56" i="67"/>
  <c r="AA56" i="67"/>
  <c r="T57" i="67"/>
  <c r="U57" i="67"/>
  <c r="V57" i="67"/>
  <c r="W57" i="67"/>
  <c r="X57" i="67"/>
  <c r="Y57" i="67"/>
  <c r="Z57" i="67"/>
  <c r="AA57" i="67"/>
  <c r="T58" i="67"/>
  <c r="U58" i="67"/>
  <c r="V58" i="67"/>
  <c r="W58" i="67"/>
  <c r="X58" i="67"/>
  <c r="Y58" i="67"/>
  <c r="Z58" i="67"/>
  <c r="AA58" i="67"/>
  <c r="T59" i="67"/>
  <c r="U59" i="67"/>
  <c r="V59" i="67"/>
  <c r="W59" i="67"/>
  <c r="X59" i="67"/>
  <c r="Y59" i="67"/>
  <c r="Z59" i="67"/>
  <c r="AA59" i="67"/>
  <c r="T60" i="67"/>
  <c r="U60" i="67"/>
  <c r="V60" i="67"/>
  <c r="W60" i="67"/>
  <c r="X60" i="67"/>
  <c r="Y60" i="67"/>
  <c r="Z60" i="67"/>
  <c r="AA60" i="67"/>
  <c r="T61" i="67"/>
  <c r="U61" i="67"/>
  <c r="V61" i="67"/>
  <c r="W61" i="67"/>
  <c r="X61" i="67"/>
  <c r="Y61" i="67"/>
  <c r="Z61" i="67"/>
  <c r="AA61" i="67"/>
  <c r="T62" i="67"/>
  <c r="U62" i="67"/>
  <c r="V62" i="67"/>
  <c r="W62" i="67"/>
  <c r="X62" i="67"/>
  <c r="Y62" i="67"/>
  <c r="Z62" i="67"/>
  <c r="AA62" i="67"/>
  <c r="T63" i="67"/>
  <c r="U63" i="67"/>
  <c r="V63" i="67"/>
  <c r="W63" i="67"/>
  <c r="X63" i="67"/>
  <c r="Y63" i="67"/>
  <c r="Z63" i="67"/>
  <c r="AA63" i="67"/>
  <c r="T64" i="67"/>
  <c r="U64" i="67"/>
  <c r="V64" i="67"/>
  <c r="W64" i="67"/>
  <c r="X64" i="67"/>
  <c r="Y64" i="67"/>
  <c r="Z64" i="67"/>
  <c r="AA64" i="67"/>
  <c r="T65" i="67"/>
  <c r="U65" i="67"/>
  <c r="V65" i="67"/>
  <c r="W65" i="67"/>
  <c r="X65" i="67"/>
  <c r="Y65" i="67"/>
  <c r="Z65" i="67"/>
  <c r="AA65" i="67"/>
  <c r="T66" i="67"/>
  <c r="U66" i="67"/>
  <c r="V66" i="67"/>
  <c r="W66" i="67"/>
  <c r="X66" i="67"/>
  <c r="Y66" i="67"/>
  <c r="Z66" i="67"/>
  <c r="AA66" i="67"/>
  <c r="T67" i="67"/>
  <c r="U67" i="67"/>
  <c r="V67" i="67"/>
  <c r="W67" i="67"/>
  <c r="X67" i="67"/>
  <c r="Y67" i="67"/>
  <c r="Z67" i="67"/>
  <c r="AA67" i="67"/>
  <c r="T68" i="67"/>
  <c r="U68" i="67"/>
  <c r="V68" i="67"/>
  <c r="W68" i="67"/>
  <c r="X68" i="67"/>
  <c r="Y68" i="67"/>
  <c r="Z68" i="67"/>
  <c r="AA68" i="67"/>
  <c r="AA31" i="67"/>
  <c r="Z31" i="67"/>
  <c r="Y31" i="67"/>
  <c r="X31" i="67"/>
  <c r="W31" i="67"/>
  <c r="V31" i="67"/>
  <c r="U31" i="67"/>
  <c r="T31" i="67"/>
  <c r="C51" i="96" l="1"/>
  <c r="K136" i="96"/>
  <c r="B38" i="96" s="1"/>
  <c r="K438" i="96"/>
  <c r="K430" i="96"/>
  <c r="K422" i="96"/>
  <c r="K414" i="96"/>
  <c r="K406" i="96"/>
  <c r="K398" i="96"/>
  <c r="K390" i="96"/>
  <c r="K382" i="96"/>
  <c r="K374" i="96"/>
  <c r="K366" i="96"/>
  <c r="K358" i="96"/>
  <c r="K350" i="96"/>
  <c r="K342" i="96"/>
  <c r="K334" i="96"/>
  <c r="K326" i="96"/>
  <c r="B41" i="96"/>
  <c r="K99" i="96"/>
  <c r="B45" i="96" s="1"/>
  <c r="AH45" i="92"/>
  <c r="AI45" i="92" s="1"/>
  <c r="AJ45" i="92" s="1"/>
  <c r="AK45" i="92" s="1"/>
  <c r="AL45" i="92" s="1"/>
  <c r="AM45" i="92" s="1"/>
  <c r="AN45" i="92" s="1"/>
  <c r="P45" i="92"/>
  <c r="Q45" i="92" s="1"/>
  <c r="R45" i="92" s="1"/>
  <c r="S45" i="92" s="1"/>
  <c r="T45" i="92" s="1"/>
  <c r="U45" i="92" s="1"/>
  <c r="V45" i="92" s="1"/>
  <c r="AH44" i="92"/>
  <c r="AI44" i="92" s="1"/>
  <c r="AJ44" i="92" s="1"/>
  <c r="AK44" i="92" s="1"/>
  <c r="AL44" i="92" s="1"/>
  <c r="AM44" i="92" s="1"/>
  <c r="AN44" i="92" s="1"/>
  <c r="P44" i="92"/>
  <c r="Q44" i="92" s="1"/>
  <c r="R44" i="92" s="1"/>
  <c r="S44" i="92" s="1"/>
  <c r="T44" i="92" s="1"/>
  <c r="U44" i="92" s="1"/>
  <c r="V44" i="92" s="1"/>
  <c r="AH43" i="92"/>
  <c r="AI43" i="92" s="1"/>
  <c r="AJ43" i="92" s="1"/>
  <c r="AK43" i="92" s="1"/>
  <c r="AL43" i="92" s="1"/>
  <c r="AM43" i="92" s="1"/>
  <c r="AN43" i="92" s="1"/>
  <c r="P43" i="92"/>
  <c r="Q43" i="92" s="1"/>
  <c r="R43" i="92" s="1"/>
  <c r="S43" i="92" s="1"/>
  <c r="T43" i="92" s="1"/>
  <c r="U43" i="92" s="1"/>
  <c r="V43" i="92" s="1"/>
  <c r="AH42" i="92"/>
  <c r="AI42" i="92" s="1"/>
  <c r="AJ42" i="92" s="1"/>
  <c r="AK42" i="92" s="1"/>
  <c r="AL42" i="92" s="1"/>
  <c r="AM42" i="92" s="1"/>
  <c r="AN42" i="92" s="1"/>
  <c r="P42" i="92"/>
  <c r="Q42" i="92" s="1"/>
  <c r="R42" i="92" s="1"/>
  <c r="S42" i="92" s="1"/>
  <c r="T42" i="92" s="1"/>
  <c r="U42" i="92" s="1"/>
  <c r="V42" i="92" s="1"/>
  <c r="AH41" i="92"/>
  <c r="AI41" i="92" s="1"/>
  <c r="AJ41" i="92" s="1"/>
  <c r="AK41" i="92" s="1"/>
  <c r="AL41" i="92" s="1"/>
  <c r="AM41" i="92" s="1"/>
  <c r="AN41" i="92" s="1"/>
  <c r="P41" i="92"/>
  <c r="Q41" i="92" s="1"/>
  <c r="R41" i="92" s="1"/>
  <c r="S41" i="92" s="1"/>
  <c r="T41" i="92" s="1"/>
  <c r="U41" i="92" s="1"/>
  <c r="V41" i="92" s="1"/>
  <c r="AH40" i="92"/>
  <c r="AI40" i="92" s="1"/>
  <c r="AJ40" i="92" s="1"/>
  <c r="AK40" i="92" s="1"/>
  <c r="AL40" i="92" s="1"/>
  <c r="AM40" i="92" s="1"/>
  <c r="AN40" i="92" s="1"/>
  <c r="P40" i="92"/>
  <c r="Q40" i="92" s="1"/>
  <c r="R40" i="92" s="1"/>
  <c r="S40" i="92" s="1"/>
  <c r="T40" i="92" s="1"/>
  <c r="U40" i="92" s="1"/>
  <c r="V40" i="92" s="1"/>
  <c r="AH39" i="92"/>
  <c r="AI39" i="92" s="1"/>
  <c r="AJ39" i="92" s="1"/>
  <c r="AK39" i="92" s="1"/>
  <c r="AL39" i="92" s="1"/>
  <c r="AM39" i="92" s="1"/>
  <c r="AN39" i="92" s="1"/>
  <c r="P39" i="92"/>
  <c r="Q39" i="92" s="1"/>
  <c r="R39" i="92" s="1"/>
  <c r="S39" i="92" s="1"/>
  <c r="T39" i="92" s="1"/>
  <c r="U39" i="92" s="1"/>
  <c r="V39" i="92" s="1"/>
  <c r="AH38" i="92"/>
  <c r="AI38" i="92" s="1"/>
  <c r="AJ38" i="92" s="1"/>
  <c r="AK38" i="92" s="1"/>
  <c r="AL38" i="92" s="1"/>
  <c r="AM38" i="92" s="1"/>
  <c r="AN38" i="92" s="1"/>
  <c r="P38" i="92"/>
  <c r="Q38" i="92" s="1"/>
  <c r="R38" i="92" s="1"/>
  <c r="S38" i="92" s="1"/>
  <c r="T38" i="92" s="1"/>
  <c r="U38" i="92" s="1"/>
  <c r="V38" i="92" s="1"/>
  <c r="AH37" i="92"/>
  <c r="AI37" i="92" s="1"/>
  <c r="AJ37" i="92" s="1"/>
  <c r="AK37" i="92" s="1"/>
  <c r="AL37" i="92" s="1"/>
  <c r="AM37" i="92" s="1"/>
  <c r="AN37" i="92" s="1"/>
  <c r="P37" i="92"/>
  <c r="Q37" i="92" s="1"/>
  <c r="R37" i="92" s="1"/>
  <c r="S37" i="92" s="1"/>
  <c r="T37" i="92" s="1"/>
  <c r="U37" i="92" s="1"/>
  <c r="V37" i="92" s="1"/>
  <c r="Y36" i="92"/>
  <c r="AH36" i="92"/>
  <c r="AI36" i="92" s="1"/>
  <c r="AJ36" i="92" s="1"/>
  <c r="AK36" i="92" s="1"/>
  <c r="AL36" i="92" s="1"/>
  <c r="AM36" i="92" s="1"/>
  <c r="AN36" i="92" s="1"/>
  <c r="P36" i="92"/>
  <c r="Q36" i="92" s="1"/>
  <c r="R36" i="92" s="1"/>
  <c r="S36" i="92" s="1"/>
  <c r="T36" i="92" s="1"/>
  <c r="U36" i="92" s="1"/>
  <c r="V36" i="92" s="1"/>
  <c r="AH35" i="92"/>
  <c r="AI35" i="92" s="1"/>
  <c r="AJ35" i="92" s="1"/>
  <c r="AK35" i="92" s="1"/>
  <c r="AL35" i="92" s="1"/>
  <c r="AM35" i="92" s="1"/>
  <c r="AN35" i="92" s="1"/>
  <c r="P35" i="92"/>
  <c r="Q35" i="92" s="1"/>
  <c r="R35" i="92" s="1"/>
  <c r="S35" i="92" s="1"/>
  <c r="T35" i="92" s="1"/>
  <c r="U35" i="92" s="1"/>
  <c r="V35" i="92" s="1"/>
  <c r="AH34" i="92"/>
  <c r="AI34" i="92" s="1"/>
  <c r="AJ34" i="92" s="1"/>
  <c r="AK34" i="92" s="1"/>
  <c r="AL34" i="92" s="1"/>
  <c r="AM34" i="92" s="1"/>
  <c r="AN34" i="92" s="1"/>
  <c r="P34" i="92"/>
  <c r="Q34" i="92" s="1"/>
  <c r="R34" i="92" s="1"/>
  <c r="S34" i="92" s="1"/>
  <c r="T34" i="92" s="1"/>
  <c r="U34" i="92" s="1"/>
  <c r="V34" i="92" s="1"/>
  <c r="AH33" i="92"/>
  <c r="AI33" i="92" s="1"/>
  <c r="AJ33" i="92" s="1"/>
  <c r="AK33" i="92" s="1"/>
  <c r="AL33" i="92" s="1"/>
  <c r="AM33" i="92" s="1"/>
  <c r="AN33" i="92" s="1"/>
  <c r="P33" i="92"/>
  <c r="Q33" i="92" s="1"/>
  <c r="R33" i="92" s="1"/>
  <c r="S33" i="92" s="1"/>
  <c r="T33" i="92" s="1"/>
  <c r="U33" i="92" s="1"/>
  <c r="V33" i="92" s="1"/>
  <c r="AH32" i="92"/>
  <c r="AI32" i="92" s="1"/>
  <c r="AJ32" i="92" s="1"/>
  <c r="AK32" i="92" s="1"/>
  <c r="AL32" i="92" s="1"/>
  <c r="AM32" i="92" s="1"/>
  <c r="AN32" i="92" s="1"/>
  <c r="P32" i="92"/>
  <c r="Q32" i="92" s="1"/>
  <c r="R32" i="92" s="1"/>
  <c r="S32" i="92" s="1"/>
  <c r="T32" i="92" s="1"/>
  <c r="U32" i="92" s="1"/>
  <c r="V32" i="92" s="1"/>
  <c r="AH31" i="92"/>
  <c r="AI31" i="92" s="1"/>
  <c r="AJ31" i="92" s="1"/>
  <c r="AK31" i="92" s="1"/>
  <c r="AL31" i="92" s="1"/>
  <c r="AM31" i="92" s="1"/>
  <c r="AN31" i="92" s="1"/>
  <c r="P31" i="92"/>
  <c r="Q31" i="92" s="1"/>
  <c r="R31" i="92" s="1"/>
  <c r="S31" i="92" s="1"/>
  <c r="T31" i="92" s="1"/>
  <c r="U31" i="92" s="1"/>
  <c r="V31" i="92" s="1"/>
  <c r="AH30" i="92"/>
  <c r="AI30" i="92" s="1"/>
  <c r="AJ30" i="92" s="1"/>
  <c r="AK30" i="92" s="1"/>
  <c r="AL30" i="92" s="1"/>
  <c r="AM30" i="92" s="1"/>
  <c r="AN30" i="92" s="1"/>
  <c r="P30" i="92"/>
  <c r="Q30" i="92" s="1"/>
  <c r="R30" i="92" s="1"/>
  <c r="S30" i="92" s="1"/>
  <c r="T30" i="92" s="1"/>
  <c r="U30" i="92" s="1"/>
  <c r="V30" i="92" s="1"/>
  <c r="AH29" i="92"/>
  <c r="AI29" i="92" s="1"/>
  <c r="AJ29" i="92" s="1"/>
  <c r="AK29" i="92" s="1"/>
  <c r="AL29" i="92" s="1"/>
  <c r="AM29" i="92" s="1"/>
  <c r="AN29" i="92" s="1"/>
  <c r="P29" i="92"/>
  <c r="Q29" i="92" s="1"/>
  <c r="R29" i="92" s="1"/>
  <c r="S29" i="92" s="1"/>
  <c r="T29" i="92" s="1"/>
  <c r="U29" i="92" s="1"/>
  <c r="V29" i="92" s="1"/>
  <c r="AH28" i="92"/>
  <c r="AI28" i="92" s="1"/>
  <c r="AJ28" i="92" s="1"/>
  <c r="AK28" i="92" s="1"/>
  <c r="AL28" i="92" s="1"/>
  <c r="AM28" i="92" s="1"/>
  <c r="AN28" i="92" s="1"/>
  <c r="K80" i="96"/>
  <c r="K72" i="96"/>
  <c r="K64" i="96"/>
  <c r="AH8" i="92"/>
  <c r="AI8" i="92" s="1"/>
  <c r="AJ8" i="92" s="1"/>
  <c r="AK8" i="92" s="1"/>
  <c r="AL8" i="92" s="1"/>
  <c r="AM8" i="92" s="1"/>
  <c r="AN8" i="92" s="1"/>
  <c r="P8" i="92"/>
  <c r="Q8" i="92" s="1"/>
  <c r="R8" i="92" s="1"/>
  <c r="S8" i="92" s="1"/>
  <c r="T8" i="92" s="1"/>
  <c r="U8" i="92" s="1"/>
  <c r="V8" i="92" s="1"/>
  <c r="K437" i="96"/>
  <c r="K429" i="96"/>
  <c r="K421" i="96"/>
  <c r="K413" i="96"/>
  <c r="K405" i="96"/>
  <c r="K397" i="96"/>
  <c r="K389" i="96"/>
  <c r="K381" i="96"/>
  <c r="K373" i="96"/>
  <c r="K365" i="96"/>
  <c r="K357" i="96"/>
  <c r="K349" i="96"/>
  <c r="K346" i="96"/>
  <c r="K341" i="96"/>
  <c r="K338" i="96"/>
  <c r="K333" i="96"/>
  <c r="K330" i="96"/>
  <c r="K325" i="96"/>
  <c r="K322" i="96"/>
  <c r="K317" i="96"/>
  <c r="K314" i="96"/>
  <c r="K309" i="96"/>
  <c r="K306" i="96"/>
  <c r="K301" i="96"/>
  <c r="K298" i="96"/>
  <c r="K293" i="96"/>
  <c r="K290" i="96"/>
  <c r="K285" i="96"/>
  <c r="K282" i="96"/>
  <c r="K277" i="96"/>
  <c r="K274" i="96"/>
  <c r="K269" i="96"/>
  <c r="K266" i="96"/>
  <c r="K261" i="96"/>
  <c r="K258" i="96"/>
  <c r="K253" i="96"/>
  <c r="K250" i="96"/>
  <c r="K245" i="96"/>
  <c r="K242" i="96"/>
  <c r="K237" i="96"/>
  <c r="K234" i="96"/>
  <c r="K229" i="96"/>
  <c r="K226" i="96"/>
  <c r="K221" i="96"/>
  <c r="K218" i="96"/>
  <c r="K213" i="96"/>
  <c r="K210" i="96"/>
  <c r="K205" i="96"/>
  <c r="K202" i="96"/>
  <c r="K197" i="96"/>
  <c r="K194" i="96"/>
  <c r="K189" i="96"/>
  <c r="K186" i="96"/>
  <c r="K181" i="96"/>
  <c r="K178" i="96"/>
  <c r="K173" i="96"/>
  <c r="K170" i="96"/>
  <c r="K165" i="96"/>
  <c r="K162" i="96"/>
  <c r="K157" i="96"/>
  <c r="K154" i="96"/>
  <c r="K149" i="96"/>
  <c r="K146" i="96"/>
  <c r="K141" i="96"/>
  <c r="K138" i="96"/>
  <c r="K133" i="96"/>
  <c r="K130" i="96"/>
  <c r="K125" i="96"/>
  <c r="K122" i="96"/>
  <c r="K117" i="96"/>
  <c r="K114" i="96"/>
  <c r="K109" i="96"/>
  <c r="K106" i="96"/>
  <c r="K101" i="96"/>
  <c r="K98" i="96"/>
  <c r="K93" i="96"/>
  <c r="K90" i="96"/>
  <c r="K85" i="96"/>
  <c r="K82" i="96"/>
  <c r="K77" i="96"/>
  <c r="K74" i="96"/>
  <c r="K69" i="96"/>
  <c r="K66" i="96"/>
  <c r="K174" i="96"/>
  <c r="C38" i="96" s="1"/>
  <c r="C52" i="96" s="1"/>
  <c r="P28" i="92"/>
  <c r="Q28" i="92" s="1"/>
  <c r="R28" i="92" s="1"/>
  <c r="S28" i="92" s="1"/>
  <c r="T28" i="92" s="1"/>
  <c r="U28" i="92" s="1"/>
  <c r="V28" i="92" s="1"/>
  <c r="AH27" i="92"/>
  <c r="AI27" i="92" s="1"/>
  <c r="AJ27" i="92" s="1"/>
  <c r="AK27" i="92" s="1"/>
  <c r="AL27" i="92" s="1"/>
  <c r="AM27" i="92" s="1"/>
  <c r="AN27" i="92" s="1"/>
  <c r="P27" i="92"/>
  <c r="Q27" i="92" s="1"/>
  <c r="R27" i="92" s="1"/>
  <c r="S27" i="92" s="1"/>
  <c r="T27" i="92" s="1"/>
  <c r="U27" i="92" s="1"/>
  <c r="V27" i="92" s="1"/>
  <c r="AH26" i="92"/>
  <c r="AI26" i="92" s="1"/>
  <c r="AJ26" i="92" s="1"/>
  <c r="AK26" i="92" s="1"/>
  <c r="AL26" i="92" s="1"/>
  <c r="AM26" i="92" s="1"/>
  <c r="AN26" i="92" s="1"/>
  <c r="P26" i="92"/>
  <c r="Q26" i="92" s="1"/>
  <c r="R26" i="92" s="1"/>
  <c r="S26" i="92" s="1"/>
  <c r="T26" i="92" s="1"/>
  <c r="U26" i="92" s="1"/>
  <c r="V26" i="92" s="1"/>
  <c r="Y25" i="92"/>
  <c r="AH25" i="92"/>
  <c r="AI25" i="92" s="1"/>
  <c r="AJ25" i="92" s="1"/>
  <c r="AK25" i="92" s="1"/>
  <c r="AL25" i="92" s="1"/>
  <c r="AM25" i="92" s="1"/>
  <c r="AN25" i="92" s="1"/>
  <c r="P25" i="92"/>
  <c r="Q25" i="92" s="1"/>
  <c r="R25" i="92" s="1"/>
  <c r="S25" i="92" s="1"/>
  <c r="T25" i="92" s="1"/>
  <c r="U25" i="92" s="1"/>
  <c r="V25" i="92" s="1"/>
  <c r="Y24" i="92"/>
  <c r="AH24" i="92"/>
  <c r="AI24" i="92" s="1"/>
  <c r="AJ24" i="92" s="1"/>
  <c r="AK24" i="92" s="1"/>
  <c r="AL24" i="92" s="1"/>
  <c r="AM24" i="92" s="1"/>
  <c r="AN24" i="92" s="1"/>
  <c r="P24" i="92"/>
  <c r="Q24" i="92" s="1"/>
  <c r="R24" i="92" s="1"/>
  <c r="S24" i="92" s="1"/>
  <c r="T24" i="92" s="1"/>
  <c r="U24" i="92" s="1"/>
  <c r="V24" i="92" s="1"/>
  <c r="AH23" i="92"/>
  <c r="AI23" i="92" s="1"/>
  <c r="AJ23" i="92" s="1"/>
  <c r="AK23" i="92" s="1"/>
  <c r="AL23" i="92" s="1"/>
  <c r="AM23" i="92" s="1"/>
  <c r="AN23" i="92" s="1"/>
  <c r="P23" i="92"/>
  <c r="Q23" i="92" s="1"/>
  <c r="R23" i="92" s="1"/>
  <c r="S23" i="92" s="1"/>
  <c r="T23" i="92" s="1"/>
  <c r="U23" i="92" s="1"/>
  <c r="V23" i="92" s="1"/>
  <c r="Y22" i="92"/>
  <c r="AH22" i="92"/>
  <c r="AI22" i="92" s="1"/>
  <c r="AJ22" i="92" s="1"/>
  <c r="AK22" i="92" s="1"/>
  <c r="AL22" i="92" s="1"/>
  <c r="AM22" i="92" s="1"/>
  <c r="AN22" i="92" s="1"/>
  <c r="P22" i="92"/>
  <c r="Q22" i="92" s="1"/>
  <c r="R22" i="92" s="1"/>
  <c r="S22" i="92" s="1"/>
  <c r="T22" i="92" s="1"/>
  <c r="U22" i="92" s="1"/>
  <c r="V22" i="92" s="1"/>
  <c r="AH21" i="92"/>
  <c r="P21" i="92"/>
  <c r="Q21" i="92" s="1"/>
  <c r="R21" i="92" s="1"/>
  <c r="S21" i="92" s="1"/>
  <c r="T21" i="92" s="1"/>
  <c r="U21" i="92" s="1"/>
  <c r="V21" i="92" s="1"/>
  <c r="AH20" i="92"/>
  <c r="AI20" i="92" s="1"/>
  <c r="AJ20" i="92" s="1"/>
  <c r="AK20" i="92" s="1"/>
  <c r="AL20" i="92" s="1"/>
  <c r="AM20" i="92" s="1"/>
  <c r="AN20" i="92" s="1"/>
  <c r="P20" i="92"/>
  <c r="Q20" i="92" s="1"/>
  <c r="R20" i="92" s="1"/>
  <c r="S20" i="92" s="1"/>
  <c r="T20" i="92" s="1"/>
  <c r="U20" i="92" s="1"/>
  <c r="V20" i="92" s="1"/>
  <c r="AH19" i="92"/>
  <c r="AI19" i="92" s="1"/>
  <c r="AJ19" i="92" s="1"/>
  <c r="AK19" i="92" s="1"/>
  <c r="AL19" i="92" s="1"/>
  <c r="AM19" i="92" s="1"/>
  <c r="AN19" i="92" s="1"/>
  <c r="P19" i="92"/>
  <c r="Q19" i="92" s="1"/>
  <c r="R19" i="92" s="1"/>
  <c r="S19" i="92" s="1"/>
  <c r="T19" i="92" s="1"/>
  <c r="U19" i="92" s="1"/>
  <c r="V19" i="92" s="1"/>
  <c r="AH18" i="92"/>
  <c r="AI18" i="92" s="1"/>
  <c r="AJ18" i="92" s="1"/>
  <c r="AK18" i="92" s="1"/>
  <c r="AL18" i="92" s="1"/>
  <c r="AM18" i="92" s="1"/>
  <c r="AN18" i="92" s="1"/>
  <c r="P18" i="92"/>
  <c r="Q18" i="92" s="1"/>
  <c r="R18" i="92" s="1"/>
  <c r="S18" i="92" s="1"/>
  <c r="T18" i="92" s="1"/>
  <c r="U18" i="92" s="1"/>
  <c r="V18" i="92" s="1"/>
  <c r="Y17" i="92"/>
  <c r="AH17" i="92"/>
  <c r="AI17" i="92" s="1"/>
  <c r="AJ17" i="92" s="1"/>
  <c r="AK17" i="92" s="1"/>
  <c r="AL17" i="92" s="1"/>
  <c r="AM17" i="92" s="1"/>
  <c r="AN17" i="92" s="1"/>
  <c r="P17" i="92"/>
  <c r="Q17" i="92" s="1"/>
  <c r="R17" i="92" s="1"/>
  <c r="S17" i="92" s="1"/>
  <c r="T17" i="92" s="1"/>
  <c r="U17" i="92" s="1"/>
  <c r="V17" i="92" s="1"/>
  <c r="AH16" i="92"/>
  <c r="AI16" i="92" s="1"/>
  <c r="AJ16" i="92" s="1"/>
  <c r="AK16" i="92" s="1"/>
  <c r="AL16" i="92" s="1"/>
  <c r="AM16" i="92" s="1"/>
  <c r="AN16" i="92" s="1"/>
  <c r="P16" i="92"/>
  <c r="Q16" i="92" s="1"/>
  <c r="R16" i="92" s="1"/>
  <c r="S16" i="92" s="1"/>
  <c r="T16" i="92" s="1"/>
  <c r="U16" i="92" s="1"/>
  <c r="V16" i="92" s="1"/>
  <c r="AH15" i="92"/>
  <c r="AI15" i="92" s="1"/>
  <c r="AJ15" i="92" s="1"/>
  <c r="AK15" i="92" s="1"/>
  <c r="AL15" i="92" s="1"/>
  <c r="AM15" i="92" s="1"/>
  <c r="AN15" i="92" s="1"/>
  <c r="P15" i="92"/>
  <c r="Q15" i="92" s="1"/>
  <c r="R15" i="92" s="1"/>
  <c r="S15" i="92" s="1"/>
  <c r="T15" i="92" s="1"/>
  <c r="U15" i="92" s="1"/>
  <c r="V15" i="92" s="1"/>
  <c r="AH14" i="92"/>
  <c r="AI14" i="92" s="1"/>
  <c r="AJ14" i="92" s="1"/>
  <c r="AK14" i="92" s="1"/>
  <c r="AL14" i="92" s="1"/>
  <c r="AM14" i="92" s="1"/>
  <c r="AN14" i="92" s="1"/>
  <c r="P14" i="92"/>
  <c r="Q14" i="92" s="1"/>
  <c r="R14" i="92" s="1"/>
  <c r="S14" i="92" s="1"/>
  <c r="T14" i="92" s="1"/>
  <c r="U14" i="92" s="1"/>
  <c r="V14" i="92" s="1"/>
  <c r="AH13" i="92"/>
  <c r="AI13" i="92" s="1"/>
  <c r="AJ13" i="92" s="1"/>
  <c r="AK13" i="92" s="1"/>
  <c r="AL13" i="92" s="1"/>
  <c r="AM13" i="92" s="1"/>
  <c r="AN13" i="92" s="1"/>
  <c r="P13" i="92"/>
  <c r="Q13" i="92" s="1"/>
  <c r="R13" i="92" s="1"/>
  <c r="S13" i="92" s="1"/>
  <c r="T13" i="92" s="1"/>
  <c r="U13" i="92" s="1"/>
  <c r="V13" i="92" s="1"/>
  <c r="AH12" i="92"/>
  <c r="P12" i="92"/>
  <c r="Q12" i="92" s="1"/>
  <c r="R12" i="92" s="1"/>
  <c r="S12" i="92" s="1"/>
  <c r="T12" i="92" s="1"/>
  <c r="U12" i="92" s="1"/>
  <c r="V12" i="92" s="1"/>
  <c r="AH11" i="92"/>
  <c r="AI11" i="92" s="1"/>
  <c r="AJ11" i="92" s="1"/>
  <c r="AK11" i="92" s="1"/>
  <c r="AL11" i="92" s="1"/>
  <c r="AM11" i="92" s="1"/>
  <c r="AN11" i="92" s="1"/>
  <c r="P11" i="92"/>
  <c r="Q11" i="92" s="1"/>
  <c r="R11" i="92" s="1"/>
  <c r="S11" i="92" s="1"/>
  <c r="T11" i="92" s="1"/>
  <c r="U11" i="92" s="1"/>
  <c r="V11" i="92" s="1"/>
  <c r="AH10" i="92"/>
  <c r="AI10" i="92" s="1"/>
  <c r="AJ10" i="92" s="1"/>
  <c r="AK10" i="92" s="1"/>
  <c r="AL10" i="92" s="1"/>
  <c r="AM10" i="92" s="1"/>
  <c r="AN10" i="92" s="1"/>
  <c r="P10" i="92"/>
  <c r="Q10" i="92" s="1"/>
  <c r="R10" i="92" s="1"/>
  <c r="S10" i="92" s="1"/>
  <c r="T10" i="92" s="1"/>
  <c r="U10" i="92" s="1"/>
  <c r="V10" i="92" s="1"/>
  <c r="AH9" i="92"/>
  <c r="AI9" i="92" s="1"/>
  <c r="AJ9" i="92" s="1"/>
  <c r="AK9" i="92" s="1"/>
  <c r="AL9" i="92" s="1"/>
  <c r="AM9" i="92" s="1"/>
  <c r="AN9" i="92" s="1"/>
  <c r="P9" i="92"/>
  <c r="Q9" i="92" s="1"/>
  <c r="R9" i="92" s="1"/>
  <c r="S9" i="92" s="1"/>
  <c r="T9" i="92" s="1"/>
  <c r="U9" i="92" s="1"/>
  <c r="V9" i="92" s="1"/>
  <c r="AZ67" i="46"/>
  <c r="AZ63" i="46"/>
  <c r="AZ61" i="46"/>
  <c r="AZ55" i="46"/>
  <c r="AZ53" i="46"/>
  <c r="AZ47" i="46"/>
  <c r="AZ45" i="46"/>
  <c r="AZ39" i="46"/>
  <c r="AZ37" i="46"/>
  <c r="C68" i="46"/>
  <c r="E68" i="46"/>
  <c r="W32" i="72"/>
  <c r="F31" i="46"/>
  <c r="AF32" i="72"/>
  <c r="D65" i="46"/>
  <c r="D64" i="46"/>
  <c r="D63" i="46"/>
  <c r="D60" i="46"/>
  <c r="D59" i="46"/>
  <c r="D58" i="46"/>
  <c r="D57" i="46"/>
  <c r="D56" i="46"/>
  <c r="D55" i="46"/>
  <c r="E65" i="46"/>
  <c r="M32" i="72"/>
  <c r="D61" i="46"/>
  <c r="AZ68" i="46"/>
  <c r="AZ56" i="46"/>
  <c r="AZ46" i="46"/>
  <c r="AZ38" i="46"/>
  <c r="U32" i="72"/>
  <c r="C64" i="46"/>
  <c r="C63" i="46"/>
  <c r="C60" i="46"/>
  <c r="C57" i="46"/>
  <c r="C53" i="46"/>
  <c r="C50" i="46"/>
  <c r="C49" i="46"/>
  <c r="C48" i="46"/>
  <c r="E66" i="46"/>
  <c r="G31" i="46"/>
  <c r="D68" i="46"/>
  <c r="V32" i="72"/>
  <c r="D67" i="46"/>
  <c r="AZ64" i="46"/>
  <c r="AZ60" i="46"/>
  <c r="AZ50" i="46"/>
  <c r="AZ40" i="46"/>
  <c r="AZ32" i="46"/>
  <c r="C66" i="46"/>
  <c r="C61" i="46"/>
  <c r="C58" i="46"/>
  <c r="C52" i="46"/>
  <c r="C51" i="46"/>
  <c r="I31" i="46"/>
  <c r="K32" i="72"/>
  <c r="AC32" i="72"/>
  <c r="B68" i="46"/>
  <c r="T32" i="72"/>
  <c r="B67" i="46"/>
  <c r="B66" i="46"/>
  <c r="D62" i="46"/>
  <c r="H31" i="46"/>
  <c r="AZ52" i="46"/>
  <c r="C67" i="46"/>
  <c r="C62" i="46"/>
  <c r="C59" i="46"/>
  <c r="C56" i="46"/>
  <c r="C55" i="46"/>
  <c r="C54" i="46"/>
  <c r="B31" i="46"/>
  <c r="AZ31" i="46"/>
  <c r="R32" i="72"/>
  <c r="AE32" i="72"/>
  <c r="AZ66" i="46"/>
  <c r="AZ58" i="46"/>
  <c r="AZ48" i="46"/>
  <c r="AZ42" i="46"/>
  <c r="AZ36" i="46"/>
  <c r="L32" i="72"/>
  <c r="AD32" i="72"/>
  <c r="C65" i="46"/>
  <c r="C31" i="46"/>
  <c r="AZ65" i="46"/>
  <c r="AZ59" i="46"/>
  <c r="AZ57" i="46"/>
  <c r="N32" i="72"/>
  <c r="E67" i="46"/>
  <c r="D66" i="46"/>
  <c r="AZ62" i="46"/>
  <c r="AZ54" i="46"/>
  <c r="AZ44" i="46"/>
  <c r="AZ34" i="46"/>
  <c r="D31" i="46"/>
  <c r="E31" i="46"/>
  <c r="O32" i="72"/>
  <c r="AG32" i="72"/>
  <c r="F68" i="46"/>
  <c r="X32" i="72"/>
  <c r="F67" i="46"/>
  <c r="F66" i="46"/>
  <c r="F65" i="46"/>
  <c r="F64" i="46"/>
  <c r="F63" i="46"/>
  <c r="AZ51" i="46"/>
  <c r="AZ49" i="46"/>
  <c r="AZ43" i="46"/>
  <c r="AZ41" i="46"/>
  <c r="AZ35" i="46"/>
  <c r="AZ33" i="46"/>
  <c r="Q32" i="72"/>
  <c r="AI32" i="72"/>
  <c r="H68" i="46"/>
  <c r="Z32" i="72"/>
  <c r="H67" i="46"/>
  <c r="H66" i="46"/>
  <c r="H65" i="46"/>
  <c r="H64" i="46"/>
  <c r="H63" i="46"/>
  <c r="H62" i="46"/>
  <c r="H61" i="46"/>
  <c r="H60" i="46"/>
  <c r="H59" i="46"/>
  <c r="H58" i="46"/>
  <c r="H57" i="46"/>
  <c r="H56" i="46"/>
  <c r="H55" i="46"/>
  <c r="H54" i="46"/>
  <c r="H53" i="46"/>
  <c r="H52" i="46"/>
  <c r="H51" i="46"/>
  <c r="H50" i="46"/>
  <c r="H49" i="46"/>
  <c r="H48" i="46"/>
  <c r="H47" i="46"/>
  <c r="H46" i="46"/>
  <c r="H45" i="46"/>
  <c r="H44" i="46"/>
  <c r="H43" i="46"/>
  <c r="H42" i="46"/>
  <c r="H41" i="46"/>
  <c r="H40" i="46"/>
  <c r="H39" i="46"/>
  <c r="H38" i="46"/>
  <c r="H37" i="46"/>
  <c r="H36" i="46"/>
  <c r="H35" i="46"/>
  <c r="H34" i="46"/>
  <c r="H33" i="46"/>
  <c r="H32" i="46"/>
  <c r="P32" i="72"/>
  <c r="AH32" i="72"/>
  <c r="G68" i="46"/>
  <c r="Y32" i="72"/>
  <c r="G67" i="46"/>
  <c r="G66" i="46"/>
  <c r="G65" i="46"/>
  <c r="G64" i="46"/>
  <c r="G63" i="46"/>
  <c r="G62" i="46"/>
  <c r="G61" i="46"/>
  <c r="G60" i="46"/>
  <c r="G59" i="46"/>
  <c r="G58" i="46"/>
  <c r="G57" i="46"/>
  <c r="G56" i="46"/>
  <c r="G55" i="46"/>
  <c r="G54" i="46"/>
  <c r="G53" i="46"/>
  <c r="G52" i="46"/>
  <c r="G51" i="46"/>
  <c r="G50" i="46"/>
  <c r="G49" i="46"/>
  <c r="G48" i="46"/>
  <c r="G47" i="46"/>
  <c r="G46" i="46"/>
  <c r="G45" i="46"/>
  <c r="G44" i="46"/>
  <c r="G43" i="46"/>
  <c r="G42" i="46"/>
  <c r="G41" i="46"/>
  <c r="G40" i="46"/>
  <c r="G39" i="46"/>
  <c r="G38" i="46"/>
  <c r="G37" i="46"/>
  <c r="G36" i="46"/>
  <c r="G35" i="46"/>
  <c r="G34" i="46"/>
  <c r="G33" i="46"/>
  <c r="G32" i="46"/>
  <c r="F62" i="46"/>
  <c r="F61" i="46"/>
  <c r="F60" i="46"/>
  <c r="F59" i="46"/>
  <c r="F58" i="46"/>
  <c r="F57" i="46"/>
  <c r="F56" i="46"/>
  <c r="F55" i="46"/>
  <c r="F54" i="46"/>
  <c r="F53" i="46"/>
  <c r="F52" i="46"/>
  <c r="F51" i="46"/>
  <c r="F50" i="46"/>
  <c r="F49" i="46"/>
  <c r="F48" i="46"/>
  <c r="F47" i="46"/>
  <c r="F46" i="46"/>
  <c r="F45" i="46"/>
  <c r="F44" i="46"/>
  <c r="F43" i="46"/>
  <c r="F42" i="46"/>
  <c r="F41" i="46"/>
  <c r="F40" i="46"/>
  <c r="F39" i="46"/>
  <c r="F38" i="46"/>
  <c r="F37" i="46"/>
  <c r="F36" i="46"/>
  <c r="F35" i="46"/>
  <c r="F34" i="46"/>
  <c r="F33" i="46"/>
  <c r="F32" i="46"/>
  <c r="E64" i="46"/>
  <c r="E63" i="46"/>
  <c r="E62" i="46"/>
  <c r="E61" i="46"/>
  <c r="E60" i="46"/>
  <c r="E59" i="46"/>
  <c r="E58" i="46"/>
  <c r="E57" i="46"/>
  <c r="E56" i="46"/>
  <c r="E55" i="46"/>
  <c r="E54" i="46"/>
  <c r="E53" i="46"/>
  <c r="E52" i="46"/>
  <c r="E51" i="46"/>
  <c r="E50" i="46"/>
  <c r="E49" i="46"/>
  <c r="E48" i="46"/>
  <c r="E47" i="46"/>
  <c r="E46" i="46"/>
  <c r="E45" i="46"/>
  <c r="E44" i="46"/>
  <c r="E43" i="46"/>
  <c r="E42" i="46"/>
  <c r="E41" i="46"/>
  <c r="E40" i="46"/>
  <c r="E39" i="46"/>
  <c r="E38" i="46"/>
  <c r="E37" i="46"/>
  <c r="E36" i="46"/>
  <c r="E35" i="46"/>
  <c r="E34" i="46"/>
  <c r="E33" i="46"/>
  <c r="E32" i="46"/>
  <c r="D54" i="46"/>
  <c r="D53" i="46"/>
  <c r="D52" i="46"/>
  <c r="D51" i="46"/>
  <c r="D50" i="46"/>
  <c r="D49" i="46"/>
  <c r="D48" i="46"/>
  <c r="D47" i="46"/>
  <c r="D46" i="46"/>
  <c r="D45" i="46"/>
  <c r="D44" i="46"/>
  <c r="D43" i="46"/>
  <c r="D42" i="46"/>
  <c r="D41" i="46"/>
  <c r="D40" i="46"/>
  <c r="D39" i="46"/>
  <c r="D38" i="46"/>
  <c r="D37" i="46"/>
  <c r="D36" i="46"/>
  <c r="D35" i="46"/>
  <c r="D34" i="46"/>
  <c r="D33" i="46"/>
  <c r="D32" i="46"/>
  <c r="C47" i="46"/>
  <c r="C46" i="46"/>
  <c r="C45" i="46"/>
  <c r="C44" i="46"/>
  <c r="C43" i="46"/>
  <c r="C42" i="46"/>
  <c r="C41" i="46"/>
  <c r="C40" i="46"/>
  <c r="C39" i="46"/>
  <c r="C38" i="46"/>
  <c r="C37" i="46"/>
  <c r="C36" i="46"/>
  <c r="C35" i="46"/>
  <c r="C34" i="46"/>
  <c r="C33" i="46"/>
  <c r="C32" i="46"/>
  <c r="B65" i="46"/>
  <c r="B64" i="46"/>
  <c r="B63" i="46"/>
  <c r="B62" i="46"/>
  <c r="B61" i="46"/>
  <c r="B60" i="46"/>
  <c r="B59" i="46"/>
  <c r="B58" i="46"/>
  <c r="B57" i="46"/>
  <c r="B56" i="46"/>
  <c r="B55" i="46"/>
  <c r="B54" i="46"/>
  <c r="B53" i="46"/>
  <c r="B52" i="46"/>
  <c r="B51" i="46"/>
  <c r="B50" i="46"/>
  <c r="B49" i="46"/>
  <c r="B48" i="46"/>
  <c r="B47" i="46"/>
  <c r="B46" i="46"/>
  <c r="B45" i="46"/>
  <c r="B44" i="46"/>
  <c r="B43" i="46"/>
  <c r="B42" i="46"/>
  <c r="B41" i="46"/>
  <c r="B40" i="46"/>
  <c r="B39" i="46"/>
  <c r="B38" i="46"/>
  <c r="B37" i="46"/>
  <c r="B36" i="46"/>
  <c r="B35" i="46"/>
  <c r="B34" i="46"/>
  <c r="B33" i="46"/>
  <c r="B32" i="46"/>
  <c r="AJ32" i="72"/>
  <c r="I68" i="46"/>
  <c r="AA32" i="72"/>
  <c r="I67" i="46"/>
  <c r="I66" i="46"/>
  <c r="I65" i="46"/>
  <c r="I64" i="46"/>
  <c r="I63" i="46"/>
  <c r="I62" i="46"/>
  <c r="I61" i="46"/>
  <c r="I60" i="46"/>
  <c r="I59" i="46"/>
  <c r="I58" i="46"/>
  <c r="I57" i="46"/>
  <c r="I56" i="46"/>
  <c r="I55" i="46"/>
  <c r="I54" i="46"/>
  <c r="I53" i="46"/>
  <c r="I52" i="46"/>
  <c r="I51" i="46"/>
  <c r="I50" i="46"/>
  <c r="I49" i="46"/>
  <c r="I48" i="46"/>
  <c r="I47" i="46"/>
  <c r="I46" i="46"/>
  <c r="I45" i="46"/>
  <c r="I44" i="46"/>
  <c r="I43" i="46"/>
  <c r="I42" i="46"/>
  <c r="I41" i="46"/>
  <c r="I40" i="46"/>
  <c r="I39" i="46"/>
  <c r="I38" i="46"/>
  <c r="I37" i="46"/>
  <c r="I36" i="46"/>
  <c r="I35" i="46"/>
  <c r="I34" i="46"/>
  <c r="I33" i="46"/>
  <c r="I32" i="46"/>
  <c r="B48" i="96"/>
  <c r="B52" i="96"/>
  <c r="B50" i="96"/>
  <c r="C50" i="96"/>
  <c r="C49" i="96"/>
  <c r="Y9" i="92"/>
  <c r="Z8" i="92"/>
  <c r="Y38" i="92"/>
  <c r="Y37" i="92"/>
  <c r="G8" i="92"/>
  <c r="Y16" i="92"/>
  <c r="Y27" i="92"/>
  <c r="Y45" i="92"/>
  <c r="Y32" i="92"/>
  <c r="Y30" i="92"/>
  <c r="Y28" i="92"/>
  <c r="Y23" i="92"/>
  <c r="Y13" i="92"/>
  <c r="Y15" i="92"/>
  <c r="Y8" i="92"/>
  <c r="Y26" i="92"/>
  <c r="S4" i="92"/>
  <c r="Y18" i="92"/>
  <c r="Z17" i="92"/>
  <c r="Y11" i="92"/>
  <c r="AA38" i="92"/>
  <c r="AA14" i="92"/>
  <c r="Z38" i="92"/>
  <c r="Z23" i="92"/>
  <c r="Z15" i="92"/>
  <c r="Y19" i="92"/>
  <c r="Y20" i="92"/>
  <c r="Y29" i="92"/>
  <c r="Y31" i="92"/>
  <c r="Y34" i="92"/>
  <c r="Y35" i="92"/>
  <c r="Y33" i="92"/>
  <c r="Y44" i="92"/>
  <c r="Y41" i="92"/>
  <c r="Y42" i="92"/>
  <c r="Y43" i="92"/>
  <c r="Y40" i="92"/>
  <c r="B32" i="72"/>
  <c r="K68" i="67"/>
  <c r="F38" i="45"/>
  <c r="F37" i="45"/>
  <c r="F36" i="45"/>
  <c r="F35" i="45"/>
  <c r="F45" i="45"/>
  <c r="F44" i="45"/>
  <c r="F43" i="45"/>
  <c r="F42" i="45"/>
  <c r="F41" i="45"/>
  <c r="F34" i="45"/>
  <c r="K38" i="45"/>
  <c r="J38" i="45"/>
  <c r="I38" i="45"/>
  <c r="H38" i="45"/>
  <c r="K37" i="45"/>
  <c r="J37" i="45"/>
  <c r="I37" i="45"/>
  <c r="H37" i="45"/>
  <c r="K36" i="45"/>
  <c r="J36" i="45"/>
  <c r="I36" i="45"/>
  <c r="H36" i="45"/>
  <c r="K35" i="45"/>
  <c r="J35" i="45"/>
  <c r="I35" i="45"/>
  <c r="H35" i="45"/>
  <c r="K34" i="45"/>
  <c r="J34" i="45"/>
  <c r="I34" i="45"/>
  <c r="H34" i="45"/>
  <c r="E38" i="45"/>
  <c r="E37" i="45"/>
  <c r="E36" i="45"/>
  <c r="E35" i="45"/>
  <c r="E34" i="45"/>
  <c r="D38" i="45"/>
  <c r="D37" i="45"/>
  <c r="D36" i="45"/>
  <c r="D35" i="45"/>
  <c r="D34" i="45"/>
  <c r="C38" i="45"/>
  <c r="C37" i="45"/>
  <c r="C36" i="45"/>
  <c r="C35" i="45"/>
  <c r="C34" i="45"/>
  <c r="B38" i="45"/>
  <c r="B37" i="45"/>
  <c r="B36" i="45"/>
  <c r="B35" i="45"/>
  <c r="B34" i="45"/>
  <c r="D76" i="86"/>
  <c r="C76" i="86"/>
  <c r="B76" i="86"/>
  <c r="K35" i="85"/>
  <c r="M36" i="85"/>
  <c r="M61" i="82" s="1"/>
  <c r="L36" i="85"/>
  <c r="L61" i="82" s="1"/>
  <c r="J36" i="85"/>
  <c r="J61" i="82" s="1"/>
  <c r="I36" i="85"/>
  <c r="I61" i="82" s="1"/>
  <c r="H36" i="85"/>
  <c r="H61" i="82" s="1"/>
  <c r="G36" i="85"/>
  <c r="G61" i="82" s="1"/>
  <c r="F36" i="85"/>
  <c r="F61" i="82" s="1"/>
  <c r="F48" i="45" l="1"/>
  <c r="Y14" i="92"/>
  <c r="AI12" i="92"/>
  <c r="AJ12" i="92" s="1"/>
  <c r="AK12" i="92" s="1"/>
  <c r="AL12" i="92" s="1"/>
  <c r="AM12" i="92" s="1"/>
  <c r="AN12" i="92" s="1"/>
  <c r="Y12" i="92"/>
  <c r="Y10" i="92"/>
  <c r="Z10" i="92"/>
  <c r="Y39" i="92"/>
  <c r="AI21" i="92"/>
  <c r="AJ21" i="92" s="1"/>
  <c r="AK21" i="92" s="1"/>
  <c r="AL21" i="92" s="1"/>
  <c r="AM21" i="92" s="1"/>
  <c r="AN21" i="92" s="1"/>
  <c r="Y21" i="92"/>
  <c r="Z32" i="92"/>
  <c r="AA30" i="92"/>
  <c r="Z9" i="92"/>
  <c r="Z29" i="92"/>
  <c r="AA16" i="92"/>
  <c r="AA23" i="92"/>
  <c r="Z30" i="92"/>
  <c r="Z16" i="92"/>
  <c r="AA39" i="92"/>
  <c r="Z14" i="92"/>
  <c r="Z39" i="92"/>
  <c r="Z45" i="92"/>
  <c r="AA37" i="92"/>
  <c r="AA9" i="92"/>
  <c r="AA21" i="92"/>
  <c r="AA45" i="92"/>
  <c r="AA10" i="92"/>
  <c r="Z27" i="92"/>
  <c r="Z37" i="92"/>
  <c r="AA27" i="92"/>
  <c r="AA13" i="92"/>
  <c r="AA15" i="92"/>
  <c r="Z20" i="92"/>
  <c r="AA29" i="92"/>
  <c r="Z13" i="92"/>
  <c r="Z28" i="92"/>
  <c r="AA28" i="92"/>
  <c r="Z18" i="92"/>
  <c r="Z11" i="92"/>
  <c r="Z40" i="92"/>
  <c r="Z25" i="92"/>
  <c r="Z22" i="92"/>
  <c r="AA42" i="92"/>
  <c r="AA11" i="92"/>
  <c r="AA18" i="92"/>
  <c r="AA22" i="92"/>
  <c r="AA8" i="92"/>
  <c r="G38" i="92"/>
  <c r="G42" i="92"/>
  <c r="G14" i="92"/>
  <c r="G22" i="92"/>
  <c r="G30" i="92"/>
  <c r="G10" i="92"/>
  <c r="Z36" i="92"/>
  <c r="Z35" i="92"/>
  <c r="AA35" i="92"/>
  <c r="AA31" i="92"/>
  <c r="G43" i="92"/>
  <c r="G20" i="92"/>
  <c r="G16" i="92"/>
  <c r="AA19" i="92"/>
  <c r="AA24" i="92"/>
  <c r="AB45" i="92"/>
  <c r="AB40" i="92"/>
  <c r="AB44" i="92"/>
  <c r="AB43" i="92"/>
  <c r="AB35" i="92"/>
  <c r="AB38" i="92"/>
  <c r="AB41" i="92"/>
  <c r="AB42" i="92"/>
  <c r="AB37" i="92"/>
  <c r="AB33" i="92"/>
  <c r="AB28" i="92"/>
  <c r="AB31" i="92"/>
  <c r="AB36" i="92"/>
  <c r="AB34" i="92"/>
  <c r="AB26" i="92"/>
  <c r="AB29" i="92"/>
  <c r="AB32" i="92"/>
  <c r="AB27" i="92"/>
  <c r="AB18" i="92"/>
  <c r="AB21" i="92"/>
  <c r="AB13" i="92"/>
  <c r="AB30" i="92"/>
  <c r="AB16" i="92"/>
  <c r="AB19" i="92"/>
  <c r="AB11" i="92"/>
  <c r="AB22" i="92"/>
  <c r="AB14" i="92"/>
  <c r="AB17" i="92"/>
  <c r="AB25" i="92"/>
  <c r="AB24" i="92"/>
  <c r="AB20" i="92"/>
  <c r="AB23" i="92"/>
  <c r="AB10" i="92"/>
  <c r="AB8" i="92"/>
  <c r="AB15" i="92"/>
  <c r="T4" i="92"/>
  <c r="AB9" i="92"/>
  <c r="AA20" i="92"/>
  <c r="G40" i="92"/>
  <c r="Z19" i="92"/>
  <c r="Z26" i="92"/>
  <c r="Z43" i="92"/>
  <c r="Z42" i="92"/>
  <c r="AA17" i="92"/>
  <c r="AA26" i="92"/>
  <c r="AA25" i="92"/>
  <c r="AA43" i="92"/>
  <c r="G39" i="92"/>
  <c r="G44" i="92"/>
  <c r="G31" i="92"/>
  <c r="Z33" i="92"/>
  <c r="Z44" i="92"/>
  <c r="AA32" i="92"/>
  <c r="AA44" i="92"/>
  <c r="Z24" i="92"/>
  <c r="G9" i="92"/>
  <c r="G27" i="92"/>
  <c r="Z31" i="92"/>
  <c r="Z34" i="92"/>
  <c r="Z41" i="92"/>
  <c r="AA34" i="92"/>
  <c r="AA33" i="92"/>
  <c r="AA41" i="92"/>
  <c r="G17" i="92"/>
  <c r="AA36" i="92"/>
  <c r="AA40" i="92"/>
  <c r="F49" i="45"/>
  <c r="F51" i="45"/>
  <c r="F52" i="45"/>
  <c r="F50" i="45"/>
  <c r="K36" i="85"/>
  <c r="K61" i="82" s="1"/>
  <c r="Y71" i="82"/>
  <c r="Y75" i="82"/>
  <c r="Y76" i="82" s="1"/>
  <c r="P76" i="82" s="1"/>
  <c r="Q69" i="82"/>
  <c r="R69" i="82"/>
  <c r="S69" i="82"/>
  <c r="T68" i="82"/>
  <c r="T69" i="82" s="1"/>
  <c r="Q10" i="83"/>
  <c r="W73" i="82"/>
  <c r="W70" i="82" s="1"/>
  <c r="V73" i="82"/>
  <c r="V70" i="82" s="1"/>
  <c r="U73" i="82"/>
  <c r="U70" i="82" s="1"/>
  <c r="T73" i="82"/>
  <c r="T70" i="82" s="1"/>
  <c r="S73" i="82"/>
  <c r="S70" i="82" s="1"/>
  <c r="R73" i="82"/>
  <c r="R70" i="82" s="1"/>
  <c r="Q73" i="82"/>
  <c r="Q70" i="82" s="1"/>
  <c r="P73" i="82"/>
  <c r="P70" i="82" s="1"/>
  <c r="BR8" i="57"/>
  <c r="BS8" i="57"/>
  <c r="BT8" i="57"/>
  <c r="BU8" i="57"/>
  <c r="BV8" i="57"/>
  <c r="BW8" i="57"/>
  <c r="BX8" i="57"/>
  <c r="BY8" i="57"/>
  <c r="BR9" i="57"/>
  <c r="BS9" i="57"/>
  <c r="BT9" i="57"/>
  <c r="BU9" i="57"/>
  <c r="BV9" i="57"/>
  <c r="BW9" i="57"/>
  <c r="BX9" i="57"/>
  <c r="BY9" i="57"/>
  <c r="BR10" i="57"/>
  <c r="BS10" i="57"/>
  <c r="BT10" i="57"/>
  <c r="BU10" i="57"/>
  <c r="BV10" i="57"/>
  <c r="BW10" i="57"/>
  <c r="BX10" i="57"/>
  <c r="BY10" i="57"/>
  <c r="BR11" i="57"/>
  <c r="BS11" i="57"/>
  <c r="BT11" i="57"/>
  <c r="BU11" i="57"/>
  <c r="BV11" i="57"/>
  <c r="BW11" i="57"/>
  <c r="BX11" i="57"/>
  <c r="BY11" i="57"/>
  <c r="BR12" i="57"/>
  <c r="BS12" i="57"/>
  <c r="BT12" i="57"/>
  <c r="BU12" i="57"/>
  <c r="BV12" i="57"/>
  <c r="BW12" i="57"/>
  <c r="BX12" i="57"/>
  <c r="BY12" i="57"/>
  <c r="BR13" i="57"/>
  <c r="BS13" i="57"/>
  <c r="BT13" i="57"/>
  <c r="BU13" i="57"/>
  <c r="BV13" i="57"/>
  <c r="BW13" i="57"/>
  <c r="BX13" i="57"/>
  <c r="BY13" i="57"/>
  <c r="BR14" i="57"/>
  <c r="BS14" i="57"/>
  <c r="BT14" i="57"/>
  <c r="BU14" i="57"/>
  <c r="BV14" i="57"/>
  <c r="BW14" i="57"/>
  <c r="BX14" i="57"/>
  <c r="BY14" i="57"/>
  <c r="BR15" i="57"/>
  <c r="BS15" i="57"/>
  <c r="BT15" i="57"/>
  <c r="BU15" i="57"/>
  <c r="BV15" i="57"/>
  <c r="BW15" i="57"/>
  <c r="BX15" i="57"/>
  <c r="BY15" i="57"/>
  <c r="BR16" i="57"/>
  <c r="BS16" i="57"/>
  <c r="BT16" i="57"/>
  <c r="BU16" i="57"/>
  <c r="BV16" i="57"/>
  <c r="BW16" i="57"/>
  <c r="BX16" i="57"/>
  <c r="BY16" i="57"/>
  <c r="BR17" i="57"/>
  <c r="BS17" i="57"/>
  <c r="BT17" i="57"/>
  <c r="BU17" i="57"/>
  <c r="BV17" i="57"/>
  <c r="BW17" i="57"/>
  <c r="BX17" i="57"/>
  <c r="BY17" i="57"/>
  <c r="BR18" i="57"/>
  <c r="BS18" i="57"/>
  <c r="BT18" i="57"/>
  <c r="BU18" i="57"/>
  <c r="BV18" i="57"/>
  <c r="BW18" i="57"/>
  <c r="BX18" i="57"/>
  <c r="BY18" i="57"/>
  <c r="BR19" i="57"/>
  <c r="BS19" i="57"/>
  <c r="BT19" i="57"/>
  <c r="BU19" i="57"/>
  <c r="BV19" i="57"/>
  <c r="BW19" i="57"/>
  <c r="BX19" i="57"/>
  <c r="BY19" i="57"/>
  <c r="BR20" i="57"/>
  <c r="BS20" i="57"/>
  <c r="BT20" i="57"/>
  <c r="BU20" i="57"/>
  <c r="BV20" i="57"/>
  <c r="BW20" i="57"/>
  <c r="BX20" i="57"/>
  <c r="BY20" i="57"/>
  <c r="BR21" i="57"/>
  <c r="BS21" i="57"/>
  <c r="BT21" i="57"/>
  <c r="BU21" i="57"/>
  <c r="BV21" i="57"/>
  <c r="BW21" i="57"/>
  <c r="BX21" i="57"/>
  <c r="BY21" i="57"/>
  <c r="BR22" i="57"/>
  <c r="BS22" i="57"/>
  <c r="BT22" i="57"/>
  <c r="BU22" i="57"/>
  <c r="BV22" i="57"/>
  <c r="BW22" i="57"/>
  <c r="BX22" i="57"/>
  <c r="BY22" i="57"/>
  <c r="BR23" i="57"/>
  <c r="BS23" i="57"/>
  <c r="BT23" i="57"/>
  <c r="BU23" i="57"/>
  <c r="BV23" i="57"/>
  <c r="BW23" i="57"/>
  <c r="BX23" i="57"/>
  <c r="BY23" i="57"/>
  <c r="BR24" i="57"/>
  <c r="BS24" i="57"/>
  <c r="BT24" i="57"/>
  <c r="BU24" i="57"/>
  <c r="BV24" i="57"/>
  <c r="BW24" i="57"/>
  <c r="BX24" i="57"/>
  <c r="BY24" i="57"/>
  <c r="BR25" i="57"/>
  <c r="BS25" i="57"/>
  <c r="BT25" i="57"/>
  <c r="BU25" i="57"/>
  <c r="BV25" i="57"/>
  <c r="BW25" i="57"/>
  <c r="BX25" i="57"/>
  <c r="BY25" i="57"/>
  <c r="BR26" i="57"/>
  <c r="BS26" i="57"/>
  <c r="BT26" i="57"/>
  <c r="BU26" i="57"/>
  <c r="BV26" i="57"/>
  <c r="BW26" i="57"/>
  <c r="BX26" i="57"/>
  <c r="BY26" i="57"/>
  <c r="BR27" i="57"/>
  <c r="BS27" i="57"/>
  <c r="BT27" i="57"/>
  <c r="BU27" i="57"/>
  <c r="BV27" i="57"/>
  <c r="BW27" i="57"/>
  <c r="BX27" i="57"/>
  <c r="BY27" i="57"/>
  <c r="BR28" i="57"/>
  <c r="BS28" i="57"/>
  <c r="BT28" i="57"/>
  <c r="BU28" i="57"/>
  <c r="BV28" i="57"/>
  <c r="BW28" i="57"/>
  <c r="BX28" i="57"/>
  <c r="BY28" i="57"/>
  <c r="BR29" i="57"/>
  <c r="BS29" i="57"/>
  <c r="BT29" i="57"/>
  <c r="BU29" i="57"/>
  <c r="BV29" i="57"/>
  <c r="BW29" i="57"/>
  <c r="BX29" i="57"/>
  <c r="BY29" i="57"/>
  <c r="BR30" i="57"/>
  <c r="BS30" i="57"/>
  <c r="BT30" i="57"/>
  <c r="BU30" i="57"/>
  <c r="BV30" i="57"/>
  <c r="BW30" i="57"/>
  <c r="BX30" i="57"/>
  <c r="BY30" i="57"/>
  <c r="BR31" i="57"/>
  <c r="BS31" i="57"/>
  <c r="BT31" i="57"/>
  <c r="BU31" i="57"/>
  <c r="BV31" i="57"/>
  <c r="BW31" i="57"/>
  <c r="BX31" i="57"/>
  <c r="BY31" i="57"/>
  <c r="BR32" i="57"/>
  <c r="BS32" i="57"/>
  <c r="BT32" i="57"/>
  <c r="BU32" i="57"/>
  <c r="BV32" i="57"/>
  <c r="BW32" i="57"/>
  <c r="BX32" i="57"/>
  <c r="BY32" i="57"/>
  <c r="BR33" i="57"/>
  <c r="BS33" i="57"/>
  <c r="BT33" i="57"/>
  <c r="BU33" i="57"/>
  <c r="BV33" i="57"/>
  <c r="BW33" i="57"/>
  <c r="BX33" i="57"/>
  <c r="BY33" i="57"/>
  <c r="BR34" i="57"/>
  <c r="BS34" i="57"/>
  <c r="BT34" i="57"/>
  <c r="BU34" i="57"/>
  <c r="BV34" i="57"/>
  <c r="BW34" i="57"/>
  <c r="BX34" i="57"/>
  <c r="BY34" i="57"/>
  <c r="BR35" i="57"/>
  <c r="BS35" i="57"/>
  <c r="BT35" i="57"/>
  <c r="BU35" i="57"/>
  <c r="BV35" i="57"/>
  <c r="BW35" i="57"/>
  <c r="BX35" i="57"/>
  <c r="BY35" i="57"/>
  <c r="BR36" i="57"/>
  <c r="BS36" i="57"/>
  <c r="BT36" i="57"/>
  <c r="BU36" i="57"/>
  <c r="BV36" i="57"/>
  <c r="BW36" i="57"/>
  <c r="BX36" i="57"/>
  <c r="BY36" i="57"/>
  <c r="BR37" i="57"/>
  <c r="BS37" i="57"/>
  <c r="BT37" i="57"/>
  <c r="BU37" i="57"/>
  <c r="BV37" i="57"/>
  <c r="BW37" i="57"/>
  <c r="BX37" i="57"/>
  <c r="BY37" i="57"/>
  <c r="BR38" i="57"/>
  <c r="BS38" i="57"/>
  <c r="BT38" i="57"/>
  <c r="BU38" i="57"/>
  <c r="BV38" i="57"/>
  <c r="BW38" i="57"/>
  <c r="BX38" i="57"/>
  <c r="BY38" i="57"/>
  <c r="BR39" i="57"/>
  <c r="BS39" i="57"/>
  <c r="BT39" i="57"/>
  <c r="BU39" i="57"/>
  <c r="BV39" i="57"/>
  <c r="BW39" i="57"/>
  <c r="BX39" i="57"/>
  <c r="BY39" i="57"/>
  <c r="BR40" i="57"/>
  <c r="BS40" i="57"/>
  <c r="BT40" i="57"/>
  <c r="BU40" i="57"/>
  <c r="BV40" i="57"/>
  <c r="BW40" i="57"/>
  <c r="BX40" i="57"/>
  <c r="BY40" i="57"/>
  <c r="BR41" i="57"/>
  <c r="BS41" i="57"/>
  <c r="BT41" i="57"/>
  <c r="BU41" i="57"/>
  <c r="BV41" i="57"/>
  <c r="BW41" i="57"/>
  <c r="BX41" i="57"/>
  <c r="BY41" i="57"/>
  <c r="BR42" i="57"/>
  <c r="BS42" i="57"/>
  <c r="BT42" i="57"/>
  <c r="BU42" i="57"/>
  <c r="BV42" i="57"/>
  <c r="BW42" i="57"/>
  <c r="BX42" i="57"/>
  <c r="BY42" i="57"/>
  <c r="BR43" i="57"/>
  <c r="BS43" i="57"/>
  <c r="BT43" i="57"/>
  <c r="BU43" i="57"/>
  <c r="BV43" i="57"/>
  <c r="BW43" i="57"/>
  <c r="BX43" i="57"/>
  <c r="BY43" i="57"/>
  <c r="BR44" i="57"/>
  <c r="BS44" i="57"/>
  <c r="BT44" i="57"/>
  <c r="BU44" i="57"/>
  <c r="BV44" i="57"/>
  <c r="BW44" i="57"/>
  <c r="BX44" i="57"/>
  <c r="BY44" i="57"/>
  <c r="BR45" i="57"/>
  <c r="BS45" i="57"/>
  <c r="BT45" i="57"/>
  <c r="BU45" i="57"/>
  <c r="BV45" i="57"/>
  <c r="BW45" i="57"/>
  <c r="BX45" i="57"/>
  <c r="BY45" i="57"/>
  <c r="BI8" i="57"/>
  <c r="Z12" i="92" l="1"/>
  <c r="Z21" i="92"/>
  <c r="AB39" i="92"/>
  <c r="H38" i="92"/>
  <c r="H10" i="92"/>
  <c r="G24" i="92"/>
  <c r="H42" i="92"/>
  <c r="H44" i="92"/>
  <c r="H40" i="92"/>
  <c r="AC44" i="92"/>
  <c r="AC43" i="92"/>
  <c r="AC38" i="92"/>
  <c r="AC41" i="92"/>
  <c r="AC36" i="92"/>
  <c r="AC39" i="92"/>
  <c r="AC42" i="92"/>
  <c r="AC37" i="92"/>
  <c r="AC31" i="92"/>
  <c r="AC34" i="92"/>
  <c r="AC40" i="92"/>
  <c r="AC29" i="92"/>
  <c r="AC35" i="92"/>
  <c r="AC32" i="92"/>
  <c r="AC27" i="92"/>
  <c r="AC30" i="92"/>
  <c r="AC21" i="92"/>
  <c r="AC16" i="92"/>
  <c r="AC45" i="92"/>
  <c r="AC19" i="92"/>
  <c r="AC22" i="92"/>
  <c r="AC14" i="92"/>
  <c r="AC28" i="92"/>
  <c r="AC17" i="92"/>
  <c r="AC25" i="92"/>
  <c r="AC24" i="92"/>
  <c r="AC20" i="92"/>
  <c r="AC23" i="92"/>
  <c r="AC15" i="92"/>
  <c r="AC13" i="92"/>
  <c r="AC10" i="92"/>
  <c r="AC18" i="92"/>
  <c r="AC8" i="92"/>
  <c r="AC11" i="92"/>
  <c r="U4" i="92"/>
  <c r="AC33" i="92"/>
  <c r="AC9" i="92"/>
  <c r="AC26" i="92"/>
  <c r="H14" i="92"/>
  <c r="G21" i="92"/>
  <c r="H9" i="92"/>
  <c r="H31" i="92"/>
  <c r="H20" i="92"/>
  <c r="H43" i="92"/>
  <c r="H22" i="92"/>
  <c r="H16" i="92"/>
  <c r="G32" i="92"/>
  <c r="G41" i="92"/>
  <c r="H17" i="92"/>
  <c r="G34" i="92"/>
  <c r="G37" i="92"/>
  <c r="G29" i="92"/>
  <c r="AA12" i="92"/>
  <c r="G36" i="92"/>
  <c r="H27" i="92"/>
  <c r="H39" i="92"/>
  <c r="H30" i="92"/>
  <c r="Y69" i="82"/>
  <c r="S76" i="82"/>
  <c r="V76" i="82"/>
  <c r="U76" i="82"/>
  <c r="Q76" i="82"/>
  <c r="R76" i="82"/>
  <c r="W76" i="82"/>
  <c r="T76" i="82"/>
  <c r="H24" i="92" l="1"/>
  <c r="G28" i="92"/>
  <c r="G33" i="92"/>
  <c r="H8" i="92"/>
  <c r="I17" i="92"/>
  <c r="I44" i="92"/>
  <c r="I30" i="92"/>
  <c r="H21" i="92"/>
  <c r="I10" i="92"/>
  <c r="I27" i="92"/>
  <c r="I43" i="92"/>
  <c r="I31" i="92"/>
  <c r="I42" i="92"/>
  <c r="G11" i="92"/>
  <c r="G13" i="92"/>
  <c r="H41" i="92"/>
  <c r="I22" i="92"/>
  <c r="G26" i="92"/>
  <c r="I38" i="92"/>
  <c r="G12" i="92"/>
  <c r="G25" i="92"/>
  <c r="G15" i="92"/>
  <c r="I16" i="92"/>
  <c r="I9" i="92"/>
  <c r="I14" i="92"/>
  <c r="AB12" i="92"/>
  <c r="G19" i="92"/>
  <c r="H37" i="92"/>
  <c r="G45" i="92"/>
  <c r="I20" i="92"/>
  <c r="AD44" i="92"/>
  <c r="AD38" i="92"/>
  <c r="AD41" i="92"/>
  <c r="AD39" i="92"/>
  <c r="AD42" i="92"/>
  <c r="AD37" i="92"/>
  <c r="AD45" i="92"/>
  <c r="AD40" i="92"/>
  <c r="AD31" i="92"/>
  <c r="AD34" i="92"/>
  <c r="AD26" i="92"/>
  <c r="AD36" i="92"/>
  <c r="AD35" i="92"/>
  <c r="AD32" i="92"/>
  <c r="AD43" i="92"/>
  <c r="AD27" i="92"/>
  <c r="AD30" i="92"/>
  <c r="AD33" i="92"/>
  <c r="AD25" i="92"/>
  <c r="AD16" i="92"/>
  <c r="AD19" i="92"/>
  <c r="AD11" i="92"/>
  <c r="AD22" i="92"/>
  <c r="AD28" i="92"/>
  <c r="AD17" i="92"/>
  <c r="AD24" i="92"/>
  <c r="AD20" i="92"/>
  <c r="AD23" i="92"/>
  <c r="AD15" i="92"/>
  <c r="AD29" i="92"/>
  <c r="AD18" i="92"/>
  <c r="AD10" i="92"/>
  <c r="AD21" i="92"/>
  <c r="AD14" i="92"/>
  <c r="AD8" i="92"/>
  <c r="V4" i="92"/>
  <c r="AD9" i="92"/>
  <c r="AD13" i="92"/>
  <c r="I40" i="92"/>
  <c r="G23" i="92"/>
  <c r="I39" i="92"/>
  <c r="H36" i="92"/>
  <c r="H29" i="92"/>
  <c r="H34" i="92"/>
  <c r="G35" i="92"/>
  <c r="G18" i="92"/>
  <c r="H32" i="92"/>
  <c r="I32" i="92" l="1"/>
  <c r="J20" i="92"/>
  <c r="J22" i="92"/>
  <c r="I21" i="92"/>
  <c r="J17" i="92"/>
  <c r="I36" i="92"/>
  <c r="J40" i="92"/>
  <c r="I37" i="92"/>
  <c r="J14" i="92"/>
  <c r="H25" i="92"/>
  <c r="J43" i="92"/>
  <c r="J30" i="92"/>
  <c r="J27" i="92"/>
  <c r="I8" i="92"/>
  <c r="I24" i="92"/>
  <c r="I29" i="92"/>
  <c r="J39" i="92"/>
  <c r="H19" i="92"/>
  <c r="J9" i="92"/>
  <c r="I41" i="92"/>
  <c r="H11" i="92"/>
  <c r="J44" i="92"/>
  <c r="J10" i="92"/>
  <c r="I34" i="92"/>
  <c r="H12" i="92"/>
  <c r="H23" i="92"/>
  <c r="H45" i="92"/>
  <c r="J16" i="92"/>
  <c r="J38" i="92"/>
  <c r="H26" i="92"/>
  <c r="J42" i="92"/>
  <c r="H33" i="92"/>
  <c r="H13" i="92"/>
  <c r="J31" i="92"/>
  <c r="AE44" i="92"/>
  <c r="AE45" i="92"/>
  <c r="AE41" i="92"/>
  <c r="AE36" i="92"/>
  <c r="AE39" i="92"/>
  <c r="AE42" i="92"/>
  <c r="AE37" i="92"/>
  <c r="AE40" i="92"/>
  <c r="AE43" i="92"/>
  <c r="AE35" i="92"/>
  <c r="AE34" i="92"/>
  <c r="AE29" i="92"/>
  <c r="AE32" i="92"/>
  <c r="AE27" i="92"/>
  <c r="AE30" i="92"/>
  <c r="AE33" i="92"/>
  <c r="AE25" i="92"/>
  <c r="AE38" i="92"/>
  <c r="AE28" i="92"/>
  <c r="AE31" i="92"/>
  <c r="AE19" i="92"/>
  <c r="AE22" i="92"/>
  <c r="AE14" i="92"/>
  <c r="AE17" i="92"/>
  <c r="AE24" i="92"/>
  <c r="AE20" i="92"/>
  <c r="AE23" i="92"/>
  <c r="AE15" i="92"/>
  <c r="AE18" i="92"/>
  <c r="AE26" i="92"/>
  <c r="AE21" i="92"/>
  <c r="AE13" i="92"/>
  <c r="AE8" i="92"/>
  <c r="AE11" i="92"/>
  <c r="W4" i="92"/>
  <c r="AE9" i="92"/>
  <c r="AE16" i="92"/>
  <c r="AE10" i="92"/>
  <c r="AC12" i="92"/>
  <c r="H18" i="92"/>
  <c r="H35" i="92"/>
  <c r="H15" i="92"/>
  <c r="H28" i="92"/>
  <c r="I35" i="92" l="1"/>
  <c r="I13" i="92"/>
  <c r="I33" i="92"/>
  <c r="K42" i="92"/>
  <c r="K9" i="92"/>
  <c r="J29" i="92"/>
  <c r="K43" i="92"/>
  <c r="K14" i="92"/>
  <c r="K40" i="92"/>
  <c r="K39" i="92"/>
  <c r="I15" i="92"/>
  <c r="J34" i="92"/>
  <c r="I19" i="92"/>
  <c r="J24" i="92"/>
  <c r="J36" i="92"/>
  <c r="J21" i="92"/>
  <c r="J32" i="92"/>
  <c r="I45" i="92"/>
  <c r="I11" i="92"/>
  <c r="J37" i="92"/>
  <c r="K17" i="92"/>
  <c r="K16" i="92"/>
  <c r="K10" i="92"/>
  <c r="K27" i="92"/>
  <c r="I25" i="92"/>
  <c r="K20" i="92"/>
  <c r="I18" i="92"/>
  <c r="I28" i="92"/>
  <c r="I26" i="92"/>
  <c r="I12" i="92"/>
  <c r="AF45" i="92"/>
  <c r="E45" i="92" s="1"/>
  <c r="AF44" i="92"/>
  <c r="E44" i="92" s="1"/>
  <c r="AF39" i="92"/>
  <c r="E39" i="92" s="1"/>
  <c r="AF42" i="92"/>
  <c r="E42" i="92" s="1"/>
  <c r="AF37" i="92"/>
  <c r="E37" i="92" s="1"/>
  <c r="AF40" i="92"/>
  <c r="E40" i="92" s="1"/>
  <c r="AF43" i="92"/>
  <c r="AF38" i="92"/>
  <c r="E38" i="92" s="1"/>
  <c r="AF36" i="92"/>
  <c r="E36" i="92" s="1"/>
  <c r="AF32" i="92"/>
  <c r="E32" i="92" s="1"/>
  <c r="AF24" i="92"/>
  <c r="E24" i="92" s="1"/>
  <c r="AF35" i="92"/>
  <c r="E35" i="92" s="1"/>
  <c r="AF41" i="92"/>
  <c r="E41" i="92" s="1"/>
  <c r="AF30" i="92"/>
  <c r="E30" i="92" s="1"/>
  <c r="AF33" i="92"/>
  <c r="E33" i="92" s="1"/>
  <c r="AF28" i="92"/>
  <c r="E28" i="92" s="1"/>
  <c r="AF31" i="92"/>
  <c r="E31" i="92" s="1"/>
  <c r="AF22" i="92"/>
  <c r="E22" i="92" s="1"/>
  <c r="AF27" i="92"/>
  <c r="E27" i="92" s="1"/>
  <c r="AF17" i="92"/>
  <c r="E17" i="92" s="1"/>
  <c r="AF20" i="92"/>
  <c r="E20" i="92" s="1"/>
  <c r="AF23" i="92"/>
  <c r="E23" i="92" s="1"/>
  <c r="AF15" i="92"/>
  <c r="E15" i="92" s="1"/>
  <c r="AF25" i="92"/>
  <c r="E25" i="92" s="1"/>
  <c r="AF18" i="92"/>
  <c r="E18" i="92" s="1"/>
  <c r="AF29" i="92"/>
  <c r="E29" i="92" s="1"/>
  <c r="AF26" i="92"/>
  <c r="E26" i="92" s="1"/>
  <c r="AF21" i="92"/>
  <c r="E21" i="92" s="1"/>
  <c r="AF13" i="92"/>
  <c r="E13" i="92" s="1"/>
  <c r="AF16" i="92"/>
  <c r="E16" i="92" s="1"/>
  <c r="AF14" i="92"/>
  <c r="E14" i="92" s="1"/>
  <c r="AF19" i="92"/>
  <c r="E19" i="92" s="1"/>
  <c r="AF11" i="92"/>
  <c r="E11" i="92" s="1"/>
  <c r="AF9" i="92"/>
  <c r="E9" i="92" s="1"/>
  <c r="AF8" i="92"/>
  <c r="E8" i="92" s="1"/>
  <c r="AF34" i="92"/>
  <c r="E34" i="92" s="1"/>
  <c r="AF10" i="92"/>
  <c r="E10" i="92" s="1"/>
  <c r="AF12" i="92"/>
  <c r="J41" i="92"/>
  <c r="AE12" i="92"/>
  <c r="AD12" i="92"/>
  <c r="E43" i="92"/>
  <c r="K31" i="92"/>
  <c r="K38" i="92"/>
  <c r="I23" i="92"/>
  <c r="K44" i="92"/>
  <c r="J8" i="92"/>
  <c r="K30" i="92"/>
  <c r="K22" i="92"/>
  <c r="K41" i="92" l="1"/>
  <c r="J28" i="92"/>
  <c r="J18" i="92"/>
  <c r="K8" i="92"/>
  <c r="L38" i="92"/>
  <c r="E12" i="92"/>
  <c r="J11" i="92"/>
  <c r="K36" i="92"/>
  <c r="K34" i="92"/>
  <c r="J15" i="92"/>
  <c r="L14" i="92"/>
  <c r="J13" i="92"/>
  <c r="L22" i="92"/>
  <c r="L31" i="92"/>
  <c r="L20" i="92"/>
  <c r="L10" i="92"/>
  <c r="L43" i="92"/>
  <c r="J35" i="92"/>
  <c r="J12" i="92"/>
  <c r="L16" i="92"/>
  <c r="K24" i="92"/>
  <c r="K32" i="92"/>
  <c r="L39" i="92"/>
  <c r="L42" i="92"/>
  <c r="L44" i="92"/>
  <c r="J26" i="92"/>
  <c r="L17" i="92"/>
  <c r="J19" i="92"/>
  <c r="K29" i="92"/>
  <c r="J45" i="92"/>
  <c r="L30" i="92"/>
  <c r="J23" i="92"/>
  <c r="K21" i="92"/>
  <c r="L40" i="92"/>
  <c r="J33" i="92"/>
  <c r="K37" i="92"/>
  <c r="J25" i="92"/>
  <c r="L27" i="92"/>
  <c r="L9" i="92"/>
  <c r="K33" i="92" l="1"/>
  <c r="L29" i="92"/>
  <c r="L32" i="92"/>
  <c r="N22" i="92"/>
  <c r="M22" i="92"/>
  <c r="K15" i="92"/>
  <c r="K18" i="92"/>
  <c r="N42" i="92"/>
  <c r="M42" i="92"/>
  <c r="K25" i="92"/>
  <c r="K23" i="92"/>
  <c r="K19" i="92"/>
  <c r="N44" i="92"/>
  <c r="M44" i="92"/>
  <c r="N38" i="92"/>
  <c r="M38" i="92"/>
  <c r="K45" i="92"/>
  <c r="L24" i="92"/>
  <c r="K35" i="92"/>
  <c r="N20" i="92"/>
  <c r="M20" i="92"/>
  <c r="K13" i="92"/>
  <c r="L34" i="92"/>
  <c r="L41" i="92"/>
  <c r="N16" i="92"/>
  <c r="M16" i="92"/>
  <c r="N9" i="92"/>
  <c r="M9" i="92"/>
  <c r="N30" i="92"/>
  <c r="M30" i="92"/>
  <c r="N39" i="92"/>
  <c r="M39" i="92"/>
  <c r="K12" i="92"/>
  <c r="L8" i="92"/>
  <c r="N43" i="92"/>
  <c r="M43" i="92"/>
  <c r="K28" i="92"/>
  <c r="N27" i="92"/>
  <c r="M27" i="92"/>
  <c r="N40" i="92"/>
  <c r="M40" i="92"/>
  <c r="N17" i="92"/>
  <c r="M17" i="92"/>
  <c r="K26" i="92"/>
  <c r="N31" i="92"/>
  <c r="M31" i="92"/>
  <c r="N14" i="92"/>
  <c r="M14" i="92"/>
  <c r="L36" i="92"/>
  <c r="N10" i="92"/>
  <c r="M10" i="92"/>
  <c r="K11" i="92"/>
  <c r="L37" i="92"/>
  <c r="L21" i="92"/>
  <c r="D27" i="92" l="1"/>
  <c r="B27" i="92" s="1"/>
  <c r="B52" i="63" s="1"/>
  <c r="D30" i="92"/>
  <c r="B30" i="92" s="1"/>
  <c r="B55" i="63" s="1"/>
  <c r="D44" i="92"/>
  <c r="B44" i="92" s="1"/>
  <c r="B69" i="63" s="1"/>
  <c r="D42" i="92"/>
  <c r="B42" i="92" s="1"/>
  <c r="B67" i="63" s="1"/>
  <c r="D31" i="92"/>
  <c r="B31" i="92" s="1"/>
  <c r="B56" i="63" s="1"/>
  <c r="D9" i="92"/>
  <c r="B9" i="92" s="1"/>
  <c r="B34" i="63" s="1"/>
  <c r="D40" i="92"/>
  <c r="B40" i="92" s="1"/>
  <c r="B65" i="63" s="1"/>
  <c r="L12" i="92"/>
  <c r="D43" i="92"/>
  <c r="B43" i="92" s="1"/>
  <c r="B68" i="63" s="1"/>
  <c r="D39" i="92"/>
  <c r="B39" i="92" s="1"/>
  <c r="B64" i="63" s="1"/>
  <c r="D16" i="92"/>
  <c r="B16" i="92" s="1"/>
  <c r="B41" i="63" s="1"/>
  <c r="N34" i="92"/>
  <c r="M34" i="92"/>
  <c r="N36" i="92"/>
  <c r="M36" i="92"/>
  <c r="L13" i="92"/>
  <c r="N24" i="92"/>
  <c r="M24" i="92"/>
  <c r="L23" i="92"/>
  <c r="L15" i="92"/>
  <c r="L33" i="92"/>
  <c r="L19" i="92"/>
  <c r="L11" i="92"/>
  <c r="N8" i="92"/>
  <c r="M8" i="92"/>
  <c r="N32" i="92"/>
  <c r="M32" i="92"/>
  <c r="D17" i="92"/>
  <c r="B17" i="92" s="1"/>
  <c r="B42" i="63" s="1"/>
  <c r="L35" i="92"/>
  <c r="D14" i="92"/>
  <c r="B14" i="92" s="1"/>
  <c r="B39" i="63" s="1"/>
  <c r="D20" i="92"/>
  <c r="B20" i="92" s="1"/>
  <c r="B45" i="63" s="1"/>
  <c r="D22" i="92"/>
  <c r="B22" i="92" s="1"/>
  <c r="B47" i="63" s="1"/>
  <c r="N21" i="92"/>
  <c r="M21" i="92"/>
  <c r="D10" i="92"/>
  <c r="B10" i="92" s="1"/>
  <c r="B35" i="63" s="1"/>
  <c r="L28" i="92"/>
  <c r="N41" i="92"/>
  <c r="M41" i="92"/>
  <c r="D38" i="92"/>
  <c r="B38" i="92" s="1"/>
  <c r="B63" i="63" s="1"/>
  <c r="N29" i="92"/>
  <c r="M29" i="92"/>
  <c r="N37" i="92"/>
  <c r="M37" i="92"/>
  <c r="L26" i="92"/>
  <c r="L45" i="92"/>
  <c r="L25" i="92"/>
  <c r="L18" i="92"/>
  <c r="D36" i="92" l="1"/>
  <c r="B36" i="92" s="1"/>
  <c r="B61" i="63" s="1"/>
  <c r="D24" i="92"/>
  <c r="B24" i="92" s="1"/>
  <c r="B49" i="63" s="1"/>
  <c r="D34" i="92"/>
  <c r="B34" i="92" s="1"/>
  <c r="B59" i="63" s="1"/>
  <c r="N18" i="92"/>
  <c r="M18" i="92"/>
  <c r="D29" i="92"/>
  <c r="B29" i="92" s="1"/>
  <c r="B54" i="63" s="1"/>
  <c r="D8" i="92"/>
  <c r="B8" i="92" s="1"/>
  <c r="B33" i="63" s="1"/>
  <c r="N35" i="92"/>
  <c r="M35" i="92"/>
  <c r="N19" i="92"/>
  <c r="M19" i="92"/>
  <c r="N25" i="92"/>
  <c r="M25" i="92"/>
  <c r="N26" i="92"/>
  <c r="M26" i="92"/>
  <c r="N11" i="92"/>
  <c r="M11" i="92"/>
  <c r="N15" i="92"/>
  <c r="M15" i="92"/>
  <c r="N28" i="92"/>
  <c r="M28" i="92"/>
  <c r="N45" i="92"/>
  <c r="M45" i="92"/>
  <c r="D37" i="92"/>
  <c r="B37" i="92" s="1"/>
  <c r="B62" i="63" s="1"/>
  <c r="D21" i="92"/>
  <c r="B21" i="92" s="1"/>
  <c r="B46" i="63" s="1"/>
  <c r="D32" i="92"/>
  <c r="B32" i="92" s="1"/>
  <c r="B57" i="63" s="1"/>
  <c r="N33" i="92"/>
  <c r="M33" i="92"/>
  <c r="N23" i="92"/>
  <c r="M23" i="92"/>
  <c r="N13" i="92"/>
  <c r="M13" i="92"/>
  <c r="D41" i="92"/>
  <c r="B41" i="92" s="1"/>
  <c r="B66" i="63" s="1"/>
  <c r="N12" i="92"/>
  <c r="M12" i="92"/>
  <c r="D45" i="92" l="1"/>
  <c r="B45" i="92" s="1"/>
  <c r="D15" i="92"/>
  <c r="B15" i="92" s="1"/>
  <c r="B40" i="63" s="1"/>
  <c r="D13" i="92"/>
  <c r="B13" i="92" s="1"/>
  <c r="B38" i="63" s="1"/>
  <c r="D28" i="92"/>
  <c r="B28" i="92" s="1"/>
  <c r="B53" i="63" s="1"/>
  <c r="D11" i="92"/>
  <c r="B11" i="92" s="1"/>
  <c r="B36" i="63" s="1"/>
  <c r="D26" i="92"/>
  <c r="B26" i="92" s="1"/>
  <c r="B51" i="63" s="1"/>
  <c r="D33" i="92"/>
  <c r="B33" i="92" s="1"/>
  <c r="B58" i="63" s="1"/>
  <c r="D12" i="92"/>
  <c r="B12" i="92" s="1"/>
  <c r="B37" i="63" s="1"/>
  <c r="D35" i="92"/>
  <c r="B35" i="92" s="1"/>
  <c r="B60" i="63" s="1"/>
  <c r="D18" i="92"/>
  <c r="B18" i="92" s="1"/>
  <c r="B43" i="63" s="1"/>
  <c r="D23" i="92"/>
  <c r="B23" i="92" s="1"/>
  <c r="B48" i="63" s="1"/>
  <c r="D25" i="92"/>
  <c r="B25" i="92" s="1"/>
  <c r="B50" i="63" s="1"/>
  <c r="D19" i="92"/>
  <c r="B19" i="92" s="1"/>
  <c r="B44" i="63" s="1"/>
  <c r="B70" i="63" l="1"/>
  <c r="B76" i="63" s="1"/>
  <c r="H49" i="106" s="1"/>
  <c r="B47" i="92"/>
  <c r="B46" i="92"/>
  <c r="Q5" i="83" l="1"/>
  <c r="R6" i="83" s="1"/>
  <c r="P59" i="82"/>
  <c r="Q59" i="82"/>
  <c r="W56" i="82" l="1"/>
  <c r="V56" i="82"/>
  <c r="U56" i="82"/>
  <c r="T56" i="82"/>
  <c r="S56" i="82"/>
  <c r="R56" i="82"/>
  <c r="Q56" i="82"/>
  <c r="P56" i="82"/>
  <c r="R11" i="83"/>
  <c r="R12" i="83"/>
  <c r="R13" i="83"/>
  <c r="R14" i="83"/>
  <c r="R15" i="83"/>
  <c r="R16" i="83"/>
  <c r="R17" i="83"/>
  <c r="R18" i="83"/>
  <c r="R19" i="83"/>
  <c r="R20" i="83"/>
  <c r="R21" i="83"/>
  <c r="R22" i="83"/>
  <c r="R23" i="83"/>
  <c r="R24" i="83"/>
  <c r="R25" i="83"/>
  <c r="R26" i="83"/>
  <c r="R27" i="83"/>
  <c r="R28" i="83"/>
  <c r="R29" i="83"/>
  <c r="R30" i="83"/>
  <c r="R31" i="83"/>
  <c r="R32" i="83"/>
  <c r="R33" i="83"/>
  <c r="R34" i="83"/>
  <c r="R35" i="83"/>
  <c r="R36" i="83"/>
  <c r="R37" i="83"/>
  <c r="R38" i="83"/>
  <c r="R39" i="83"/>
  <c r="R40" i="83"/>
  <c r="R41" i="83"/>
  <c r="R42" i="83"/>
  <c r="R43" i="83"/>
  <c r="R44" i="83"/>
  <c r="R45" i="83"/>
  <c r="R46" i="83"/>
  <c r="R47" i="83"/>
  <c r="R48" i="83"/>
  <c r="R49" i="83"/>
  <c r="R50" i="83"/>
  <c r="R51" i="83"/>
  <c r="R52" i="83"/>
  <c r="R53" i="83"/>
  <c r="R54" i="83"/>
  <c r="R55" i="83"/>
  <c r="R56" i="83"/>
  <c r="R57" i="83"/>
  <c r="R58" i="83"/>
  <c r="R59" i="83"/>
  <c r="R60" i="83"/>
  <c r="R61" i="83"/>
  <c r="R62" i="83"/>
  <c r="R63" i="83"/>
  <c r="R64" i="83"/>
  <c r="R65" i="83"/>
  <c r="R66" i="83"/>
  <c r="R67" i="83"/>
  <c r="R68" i="83"/>
  <c r="R69" i="83"/>
  <c r="R70" i="83"/>
  <c r="R71" i="83"/>
  <c r="R72" i="83"/>
  <c r="R73" i="83"/>
  <c r="R74" i="83"/>
  <c r="R75" i="83"/>
  <c r="R76" i="83"/>
  <c r="R77" i="83"/>
  <c r="R78" i="83"/>
  <c r="R79" i="83"/>
  <c r="R80" i="83"/>
  <c r="R81" i="83"/>
  <c r="R82" i="83"/>
  <c r="R83" i="83"/>
  <c r="R84" i="83"/>
  <c r="R85" i="83"/>
  <c r="R86" i="83"/>
  <c r="R87" i="83"/>
  <c r="R88" i="83"/>
  <c r="R89" i="83"/>
  <c r="R90" i="83"/>
  <c r="R91" i="83"/>
  <c r="R92" i="83"/>
  <c r="R93" i="83"/>
  <c r="R94" i="83"/>
  <c r="R95" i="83"/>
  <c r="R96" i="83"/>
  <c r="R97" i="83"/>
  <c r="R98" i="83"/>
  <c r="R99" i="83"/>
  <c r="R100" i="83"/>
  <c r="R101" i="83"/>
  <c r="R102" i="83"/>
  <c r="R103" i="83"/>
  <c r="R104" i="83"/>
  <c r="R105" i="83"/>
  <c r="R106" i="83"/>
  <c r="R107" i="83"/>
  <c r="R108" i="83"/>
  <c r="R109" i="83"/>
  <c r="R110" i="83"/>
  <c r="R111" i="83"/>
  <c r="R112" i="83"/>
  <c r="R113" i="83"/>
  <c r="R114" i="83"/>
  <c r="R115" i="83"/>
  <c r="R116" i="83"/>
  <c r="R117" i="83"/>
  <c r="R118" i="83"/>
  <c r="R119" i="83"/>
  <c r="R120" i="83"/>
  <c r="R121" i="83"/>
  <c r="R122" i="83"/>
  <c r="R123" i="83"/>
  <c r="R124" i="83"/>
  <c r="R125" i="83"/>
  <c r="R126" i="83"/>
  <c r="R127" i="83"/>
  <c r="R128" i="83"/>
  <c r="R129" i="83"/>
  <c r="R130" i="83"/>
  <c r="R131" i="83"/>
  <c r="R132" i="83"/>
  <c r="R133" i="83"/>
  <c r="R134" i="83"/>
  <c r="R135" i="83"/>
  <c r="R136" i="83"/>
  <c r="R10" i="83"/>
  <c r="S11" i="83"/>
  <c r="T11" i="83" s="1"/>
  <c r="S12" i="83"/>
  <c r="T12" i="83" s="1"/>
  <c r="S13" i="83"/>
  <c r="T13" i="83" s="1"/>
  <c r="S14" i="83"/>
  <c r="T14" i="83" s="1"/>
  <c r="S15" i="83"/>
  <c r="T15" i="83" s="1"/>
  <c r="S16" i="83"/>
  <c r="T16" i="83" s="1"/>
  <c r="S17" i="83"/>
  <c r="T17" i="83" s="1"/>
  <c r="S18" i="83"/>
  <c r="T18" i="83" s="1"/>
  <c r="S19" i="83"/>
  <c r="T19" i="83" s="1"/>
  <c r="S20" i="83"/>
  <c r="T20" i="83" s="1"/>
  <c r="S21" i="83"/>
  <c r="T21" i="83" s="1"/>
  <c r="S22" i="83"/>
  <c r="T22" i="83" s="1"/>
  <c r="S23" i="83"/>
  <c r="T23" i="83" s="1"/>
  <c r="S24" i="83"/>
  <c r="T24" i="83" s="1"/>
  <c r="S25" i="83"/>
  <c r="T25" i="83" s="1"/>
  <c r="S26" i="83"/>
  <c r="T26" i="83" s="1"/>
  <c r="S27" i="83"/>
  <c r="T27" i="83" s="1"/>
  <c r="S28" i="83"/>
  <c r="T28" i="83" s="1"/>
  <c r="S29" i="83"/>
  <c r="T29" i="83" s="1"/>
  <c r="S30" i="83"/>
  <c r="T30" i="83" s="1"/>
  <c r="S31" i="83"/>
  <c r="T31" i="83" s="1"/>
  <c r="S32" i="83"/>
  <c r="T32" i="83" s="1"/>
  <c r="S33" i="83"/>
  <c r="T33" i="83" s="1"/>
  <c r="S34" i="83"/>
  <c r="T34" i="83" s="1"/>
  <c r="S35" i="83"/>
  <c r="T35" i="83" s="1"/>
  <c r="S36" i="83"/>
  <c r="T36" i="83" s="1"/>
  <c r="S37" i="83"/>
  <c r="T37" i="83" s="1"/>
  <c r="S38" i="83"/>
  <c r="T38" i="83" s="1"/>
  <c r="S39" i="83"/>
  <c r="T39" i="83" s="1"/>
  <c r="S40" i="83"/>
  <c r="T40" i="83" s="1"/>
  <c r="S41" i="83"/>
  <c r="T41" i="83" s="1"/>
  <c r="S42" i="83"/>
  <c r="T42" i="83" s="1"/>
  <c r="S43" i="83"/>
  <c r="T43" i="83" s="1"/>
  <c r="S44" i="83"/>
  <c r="T44" i="83" s="1"/>
  <c r="S45" i="83"/>
  <c r="T45" i="83" s="1"/>
  <c r="S46" i="83"/>
  <c r="T46" i="83" s="1"/>
  <c r="S47" i="83"/>
  <c r="T47" i="83" s="1"/>
  <c r="S48" i="83"/>
  <c r="T48" i="83" s="1"/>
  <c r="S49" i="83"/>
  <c r="T49" i="83" s="1"/>
  <c r="S50" i="83"/>
  <c r="T50" i="83" s="1"/>
  <c r="S51" i="83"/>
  <c r="T51" i="83" s="1"/>
  <c r="S52" i="83"/>
  <c r="T52" i="83" s="1"/>
  <c r="S53" i="83"/>
  <c r="T53" i="83" s="1"/>
  <c r="S54" i="83"/>
  <c r="T54" i="83" s="1"/>
  <c r="S55" i="83"/>
  <c r="T55" i="83" s="1"/>
  <c r="S56" i="83"/>
  <c r="T56" i="83" s="1"/>
  <c r="S57" i="83"/>
  <c r="T57" i="83" s="1"/>
  <c r="S58" i="83"/>
  <c r="T58" i="83" s="1"/>
  <c r="S59" i="83"/>
  <c r="T59" i="83" s="1"/>
  <c r="S60" i="83"/>
  <c r="T60" i="83" s="1"/>
  <c r="S61" i="83"/>
  <c r="T61" i="83" s="1"/>
  <c r="S62" i="83"/>
  <c r="T62" i="83" s="1"/>
  <c r="S63" i="83"/>
  <c r="T63" i="83" s="1"/>
  <c r="S64" i="83"/>
  <c r="T64" i="83" s="1"/>
  <c r="S65" i="83"/>
  <c r="T65" i="83" s="1"/>
  <c r="S66" i="83"/>
  <c r="T66" i="83" s="1"/>
  <c r="S67" i="83"/>
  <c r="T67" i="83" s="1"/>
  <c r="S68" i="83"/>
  <c r="T68" i="83" s="1"/>
  <c r="S69" i="83"/>
  <c r="T69" i="83" s="1"/>
  <c r="S70" i="83"/>
  <c r="T70" i="83" s="1"/>
  <c r="S71" i="83"/>
  <c r="T71" i="83" s="1"/>
  <c r="S72" i="83"/>
  <c r="T72" i="83" s="1"/>
  <c r="S73" i="83"/>
  <c r="T73" i="83" s="1"/>
  <c r="S74" i="83"/>
  <c r="T74" i="83" s="1"/>
  <c r="S75" i="83"/>
  <c r="T75" i="83" s="1"/>
  <c r="S76" i="83"/>
  <c r="T76" i="83" s="1"/>
  <c r="S77" i="83"/>
  <c r="T77" i="83" s="1"/>
  <c r="S78" i="83"/>
  <c r="T78" i="83" s="1"/>
  <c r="S79" i="83"/>
  <c r="T79" i="83" s="1"/>
  <c r="S80" i="83"/>
  <c r="T80" i="83" s="1"/>
  <c r="S81" i="83"/>
  <c r="T81" i="83" s="1"/>
  <c r="S82" i="83"/>
  <c r="T82" i="83" s="1"/>
  <c r="S83" i="83"/>
  <c r="T83" i="83" s="1"/>
  <c r="S84" i="83"/>
  <c r="T84" i="83" s="1"/>
  <c r="S85" i="83"/>
  <c r="T85" i="83" s="1"/>
  <c r="S86" i="83"/>
  <c r="T86" i="83" s="1"/>
  <c r="S87" i="83"/>
  <c r="T87" i="83" s="1"/>
  <c r="S88" i="83"/>
  <c r="T88" i="83" s="1"/>
  <c r="S89" i="83"/>
  <c r="T89" i="83" s="1"/>
  <c r="S90" i="83"/>
  <c r="T90" i="83" s="1"/>
  <c r="S91" i="83"/>
  <c r="T91" i="83" s="1"/>
  <c r="S92" i="83"/>
  <c r="T92" i="83" s="1"/>
  <c r="S93" i="83"/>
  <c r="T93" i="83" s="1"/>
  <c r="S94" i="83"/>
  <c r="T94" i="83" s="1"/>
  <c r="S95" i="83"/>
  <c r="T95" i="83" s="1"/>
  <c r="S96" i="83"/>
  <c r="T96" i="83" s="1"/>
  <c r="S97" i="83"/>
  <c r="T97" i="83" s="1"/>
  <c r="S98" i="83"/>
  <c r="T98" i="83" s="1"/>
  <c r="S99" i="83"/>
  <c r="T99" i="83" s="1"/>
  <c r="S100" i="83"/>
  <c r="T100" i="83" s="1"/>
  <c r="S101" i="83"/>
  <c r="T101" i="83" s="1"/>
  <c r="S102" i="83"/>
  <c r="T102" i="83" s="1"/>
  <c r="S103" i="83"/>
  <c r="T103" i="83" s="1"/>
  <c r="S104" i="83"/>
  <c r="T104" i="83" s="1"/>
  <c r="S105" i="83"/>
  <c r="T105" i="83" s="1"/>
  <c r="S106" i="83"/>
  <c r="T106" i="83" s="1"/>
  <c r="S107" i="83"/>
  <c r="T107" i="83" s="1"/>
  <c r="S108" i="83"/>
  <c r="T108" i="83" s="1"/>
  <c r="S109" i="83"/>
  <c r="T109" i="83" s="1"/>
  <c r="S110" i="83"/>
  <c r="T110" i="83" s="1"/>
  <c r="S111" i="83"/>
  <c r="T111" i="83" s="1"/>
  <c r="S112" i="83"/>
  <c r="T112" i="83" s="1"/>
  <c r="S113" i="83"/>
  <c r="T113" i="83" s="1"/>
  <c r="S114" i="83"/>
  <c r="T114" i="83" s="1"/>
  <c r="S115" i="83"/>
  <c r="T115" i="83" s="1"/>
  <c r="S116" i="83"/>
  <c r="T116" i="83" s="1"/>
  <c r="S117" i="83"/>
  <c r="T117" i="83" s="1"/>
  <c r="S118" i="83"/>
  <c r="T118" i="83" s="1"/>
  <c r="S119" i="83"/>
  <c r="T119" i="83" s="1"/>
  <c r="S120" i="83"/>
  <c r="T120" i="83" s="1"/>
  <c r="S121" i="83"/>
  <c r="T121" i="83" s="1"/>
  <c r="S122" i="83"/>
  <c r="T122" i="83" s="1"/>
  <c r="S123" i="83"/>
  <c r="T123" i="83" s="1"/>
  <c r="S124" i="83"/>
  <c r="T124" i="83" s="1"/>
  <c r="S125" i="83"/>
  <c r="T125" i="83" s="1"/>
  <c r="S126" i="83"/>
  <c r="T126" i="83" s="1"/>
  <c r="S127" i="83"/>
  <c r="T127" i="83" s="1"/>
  <c r="S128" i="83"/>
  <c r="T128" i="83" s="1"/>
  <c r="S129" i="83"/>
  <c r="T129" i="83" s="1"/>
  <c r="S130" i="83"/>
  <c r="T130" i="83" s="1"/>
  <c r="S131" i="83"/>
  <c r="T131" i="83" s="1"/>
  <c r="S132" i="83"/>
  <c r="T132" i="83" s="1"/>
  <c r="S133" i="83"/>
  <c r="T133" i="83" s="1"/>
  <c r="S134" i="83"/>
  <c r="T134" i="83" s="1"/>
  <c r="S135" i="83"/>
  <c r="T135" i="83" s="1"/>
  <c r="S136" i="83"/>
  <c r="T136" i="83" s="1"/>
  <c r="S10" i="83"/>
  <c r="Q11" i="83"/>
  <c r="Q12" i="83"/>
  <c r="Q13" i="83"/>
  <c r="Q14" i="83"/>
  <c r="Q15" i="83"/>
  <c r="Q16" i="83"/>
  <c r="Q17" i="83"/>
  <c r="Q18" i="83"/>
  <c r="Q19" i="83"/>
  <c r="Q20" i="83"/>
  <c r="Q21" i="83"/>
  <c r="Q22" i="83"/>
  <c r="Q23" i="83"/>
  <c r="Q24" i="83"/>
  <c r="Q25" i="83"/>
  <c r="Q26" i="83"/>
  <c r="Q27" i="83"/>
  <c r="Q28" i="83"/>
  <c r="Q29" i="83"/>
  <c r="Q30" i="83"/>
  <c r="Q31" i="83"/>
  <c r="Q32" i="83"/>
  <c r="Q33" i="83"/>
  <c r="Q34" i="83"/>
  <c r="Q35" i="83"/>
  <c r="Q36" i="83"/>
  <c r="Q37" i="83"/>
  <c r="Q38" i="83"/>
  <c r="Q39" i="83"/>
  <c r="Q40" i="83"/>
  <c r="Q41" i="83"/>
  <c r="Q42" i="83"/>
  <c r="Q43" i="83"/>
  <c r="Q44" i="83"/>
  <c r="Q45" i="83"/>
  <c r="Q46" i="83"/>
  <c r="Q47" i="83"/>
  <c r="Q48" i="83"/>
  <c r="Q49" i="83"/>
  <c r="Q50" i="83"/>
  <c r="Q51" i="83"/>
  <c r="Q52" i="83"/>
  <c r="Q53" i="83"/>
  <c r="Q54" i="83"/>
  <c r="Q55" i="83"/>
  <c r="Q56" i="83"/>
  <c r="Q57" i="83"/>
  <c r="Q58" i="83"/>
  <c r="Q59" i="83"/>
  <c r="Q60" i="83"/>
  <c r="Q61" i="83"/>
  <c r="Q62" i="83"/>
  <c r="Q63" i="83"/>
  <c r="Q64" i="83"/>
  <c r="Q65" i="83"/>
  <c r="Q66" i="83"/>
  <c r="Q67" i="83"/>
  <c r="Q68" i="83"/>
  <c r="Q69" i="83"/>
  <c r="Q70" i="83"/>
  <c r="Q71" i="83"/>
  <c r="Q72" i="83"/>
  <c r="Q73" i="83"/>
  <c r="Q74" i="83"/>
  <c r="Q75" i="83"/>
  <c r="Q76" i="83"/>
  <c r="Q77" i="83"/>
  <c r="Q78" i="83"/>
  <c r="Q79" i="83"/>
  <c r="Q80" i="83"/>
  <c r="Q81" i="83"/>
  <c r="Q82" i="83"/>
  <c r="Q83" i="83"/>
  <c r="Q84" i="83"/>
  <c r="Q85" i="83"/>
  <c r="Q86" i="83"/>
  <c r="Q87" i="83"/>
  <c r="Q88" i="83"/>
  <c r="Q89" i="83"/>
  <c r="Q90" i="83"/>
  <c r="Q91" i="83"/>
  <c r="Q92" i="83"/>
  <c r="Q93" i="83"/>
  <c r="Q94" i="83"/>
  <c r="Q95" i="83"/>
  <c r="Q96" i="83"/>
  <c r="Q97" i="83"/>
  <c r="Q98" i="83"/>
  <c r="Q99" i="83"/>
  <c r="Q100" i="83"/>
  <c r="Q101" i="83"/>
  <c r="Q102" i="83"/>
  <c r="Q103" i="83"/>
  <c r="Q104" i="83"/>
  <c r="Q105" i="83"/>
  <c r="Q106" i="83"/>
  <c r="Q107" i="83"/>
  <c r="Q108" i="83"/>
  <c r="Q109" i="83"/>
  <c r="Q110" i="83"/>
  <c r="Q111" i="83"/>
  <c r="Q112" i="83"/>
  <c r="Q113" i="83"/>
  <c r="Q114" i="83"/>
  <c r="Q115" i="83"/>
  <c r="Q116" i="83"/>
  <c r="Q117" i="83"/>
  <c r="Q118" i="83"/>
  <c r="Q119" i="83"/>
  <c r="Q120" i="83"/>
  <c r="Q121" i="83"/>
  <c r="Q122" i="83"/>
  <c r="Q123" i="83"/>
  <c r="Q124" i="83"/>
  <c r="Q125" i="83"/>
  <c r="Q126" i="83"/>
  <c r="Q127" i="83"/>
  <c r="Q128" i="83"/>
  <c r="Q129" i="83"/>
  <c r="Q130" i="83"/>
  <c r="Q131" i="83"/>
  <c r="Q132" i="83"/>
  <c r="Q133" i="83"/>
  <c r="Q134" i="83"/>
  <c r="Q135" i="83"/>
  <c r="Q136" i="83"/>
  <c r="U77" i="82" l="1"/>
  <c r="U65" i="82" s="1"/>
  <c r="U72" i="82"/>
  <c r="U64" i="82" s="1"/>
  <c r="P77" i="82"/>
  <c r="P65" i="82" s="1"/>
  <c r="P72" i="82"/>
  <c r="P64" i="82" s="1"/>
  <c r="P57" i="82" s="1"/>
  <c r="P54" i="82"/>
  <c r="T10" i="83"/>
  <c r="P55" i="82"/>
  <c r="S77" i="82"/>
  <c r="S65" i="82" s="1"/>
  <c r="S72" i="82"/>
  <c r="S64" i="82" s="1"/>
  <c r="Q72" i="82"/>
  <c r="Q64" i="82" s="1"/>
  <c r="Q77" i="82"/>
  <c r="Q65" i="82" s="1"/>
  <c r="T77" i="82"/>
  <c r="T65" i="82" s="1"/>
  <c r="T72" i="82"/>
  <c r="T64" i="82" s="1"/>
  <c r="R72" i="82"/>
  <c r="R64" i="82" s="1"/>
  <c r="R77" i="82"/>
  <c r="R65" i="82" s="1"/>
  <c r="V77" i="82"/>
  <c r="V65" i="82" s="1"/>
  <c r="V72" i="82"/>
  <c r="V64" i="82" s="1"/>
  <c r="W54" i="82"/>
  <c r="W72" i="82"/>
  <c r="W64" i="82" s="1"/>
  <c r="W77" i="82"/>
  <c r="W65" i="82" s="1"/>
  <c r="R55" i="82"/>
  <c r="T55" i="82"/>
  <c r="V55" i="82"/>
  <c r="S55" i="82"/>
  <c r="Q55" i="82"/>
  <c r="W55" i="82"/>
  <c r="U54" i="82"/>
  <c r="U55" i="82"/>
  <c r="R54" i="82"/>
  <c r="T54" i="82"/>
  <c r="V54" i="82"/>
  <c r="S54" i="82"/>
  <c r="Q54" i="82"/>
  <c r="W57" i="82"/>
  <c r="W53" i="82"/>
  <c r="V53" i="82"/>
  <c r="U53" i="82"/>
  <c r="T53" i="82"/>
  <c r="S53" i="82"/>
  <c r="R53" i="82"/>
  <c r="Q53" i="82"/>
  <c r="P53" i="82"/>
  <c r="M56" i="82" l="1"/>
  <c r="M55" i="82"/>
  <c r="L56" i="82"/>
  <c r="L55" i="82"/>
  <c r="G55" i="82"/>
  <c r="G56" i="82"/>
  <c r="H56" i="82"/>
  <c r="H55" i="82"/>
  <c r="I56" i="82"/>
  <c r="I55" i="82"/>
  <c r="J56" i="82"/>
  <c r="J55" i="82"/>
  <c r="K56" i="82"/>
  <c r="K55" i="82"/>
  <c r="F56" i="82"/>
  <c r="F55" i="82"/>
  <c r="U57" i="82"/>
  <c r="K57" i="82" s="1"/>
  <c r="U58" i="82"/>
  <c r="W58" i="82"/>
  <c r="Q57" i="82"/>
  <c r="G57" i="82" s="1"/>
  <c r="Q58" i="82"/>
  <c r="R57" i="82"/>
  <c r="R58" i="82"/>
  <c r="S57" i="82"/>
  <c r="I57" i="82" s="1"/>
  <c r="S58" i="82"/>
  <c r="V57" i="82"/>
  <c r="V58" i="82"/>
  <c r="T57" i="82"/>
  <c r="J57" i="82" s="1"/>
  <c r="T58" i="82"/>
  <c r="F57" i="82"/>
  <c r="P58" i="82"/>
  <c r="J54" i="82"/>
  <c r="M54" i="82"/>
  <c r="L54" i="82"/>
  <c r="G54" i="82"/>
  <c r="H54" i="82"/>
  <c r="I54" i="82"/>
  <c r="K54" i="82"/>
  <c r="F54" i="82"/>
  <c r="D33" i="63"/>
  <c r="Y8" i="57"/>
  <c r="X36" i="39"/>
  <c r="X37" i="39"/>
  <c r="X38" i="39"/>
  <c r="X39" i="39"/>
  <c r="X40" i="39"/>
  <c r="X41" i="39"/>
  <c r="X42" i="39"/>
  <c r="X43" i="39"/>
  <c r="X44" i="39"/>
  <c r="X45" i="39"/>
  <c r="X46" i="39"/>
  <c r="X47" i="39"/>
  <c r="X48" i="39"/>
  <c r="X49" i="39"/>
  <c r="X50" i="39"/>
  <c r="X51" i="39"/>
  <c r="X52" i="39"/>
  <c r="X53" i="39"/>
  <c r="X54" i="39"/>
  <c r="X55" i="39"/>
  <c r="X56" i="39"/>
  <c r="X57" i="39"/>
  <c r="X58" i="39"/>
  <c r="X59" i="39"/>
  <c r="X60" i="39"/>
  <c r="X61" i="39"/>
  <c r="X62" i="39"/>
  <c r="X63" i="39"/>
  <c r="X64" i="39"/>
  <c r="X65" i="39"/>
  <c r="X66" i="39"/>
  <c r="X67" i="39"/>
  <c r="X68" i="39"/>
  <c r="X69" i="39"/>
  <c r="X70" i="39"/>
  <c r="X71" i="39"/>
  <c r="X72" i="39"/>
  <c r="X73" i="39"/>
  <c r="X74" i="39"/>
  <c r="X75" i="39"/>
  <c r="X76" i="39"/>
  <c r="X77" i="39"/>
  <c r="X78" i="39"/>
  <c r="X79" i="39"/>
  <c r="X80" i="39"/>
  <c r="X81" i="39"/>
  <c r="X82" i="39"/>
  <c r="X83" i="39"/>
  <c r="X84" i="39"/>
  <c r="X85" i="39"/>
  <c r="X86" i="39"/>
  <c r="X87" i="39"/>
  <c r="X88" i="39"/>
  <c r="X89" i="39"/>
  <c r="X90" i="39"/>
  <c r="X35" i="39"/>
  <c r="Q55" i="39"/>
  <c r="R55" i="39"/>
  <c r="Q56" i="39"/>
  <c r="R56" i="39"/>
  <c r="Q57" i="39"/>
  <c r="R57" i="39"/>
  <c r="Q58" i="39"/>
  <c r="R58" i="39"/>
  <c r="Q59" i="39"/>
  <c r="R59" i="39"/>
  <c r="Q60" i="39"/>
  <c r="R60" i="39"/>
  <c r="Q61" i="39"/>
  <c r="R61" i="39"/>
  <c r="Q62" i="39"/>
  <c r="R62" i="39"/>
  <c r="Q63" i="39"/>
  <c r="R63" i="39"/>
  <c r="Q64" i="39"/>
  <c r="R64" i="39"/>
  <c r="Q65" i="39"/>
  <c r="R65" i="39"/>
  <c r="Q66" i="39"/>
  <c r="R66" i="39"/>
  <c r="Q67" i="39"/>
  <c r="R67" i="39"/>
  <c r="Q68" i="39"/>
  <c r="R68" i="39"/>
  <c r="Q69" i="39"/>
  <c r="R69" i="39"/>
  <c r="Q70" i="39"/>
  <c r="R70" i="39"/>
  <c r="Q71" i="39"/>
  <c r="R71" i="39"/>
  <c r="Q72" i="39"/>
  <c r="R72" i="39"/>
  <c r="Q73" i="39"/>
  <c r="R73" i="39"/>
  <c r="Q74" i="39"/>
  <c r="R74" i="39"/>
  <c r="Q75" i="39"/>
  <c r="R75" i="39"/>
  <c r="Q76" i="39"/>
  <c r="R76" i="39"/>
  <c r="Q77" i="39"/>
  <c r="R77" i="39"/>
  <c r="Q78" i="39"/>
  <c r="R78" i="39"/>
  <c r="Q79" i="39"/>
  <c r="R79" i="39"/>
  <c r="Q80" i="39"/>
  <c r="R80" i="39"/>
  <c r="Q81" i="39"/>
  <c r="R81" i="39"/>
  <c r="Q82" i="39"/>
  <c r="R82" i="39"/>
  <c r="Q83" i="39"/>
  <c r="R83" i="39"/>
  <c r="Q84" i="39"/>
  <c r="R84" i="39"/>
  <c r="Q85" i="39"/>
  <c r="R85" i="39"/>
  <c r="Q86" i="39"/>
  <c r="R86" i="39"/>
  <c r="Q87" i="39"/>
  <c r="R87" i="39"/>
  <c r="Q88" i="39"/>
  <c r="R88" i="39"/>
  <c r="Q89" i="39"/>
  <c r="R89" i="39"/>
  <c r="Q90" i="39"/>
  <c r="R90" i="39"/>
  <c r="Q91" i="39"/>
  <c r="R91" i="39"/>
  <c r="R54" i="39"/>
  <c r="Q54" i="39"/>
  <c r="E40" i="70"/>
  <c r="J40" i="70" s="1"/>
  <c r="E39" i="70"/>
  <c r="J39" i="70" s="1"/>
  <c r="C45" i="70"/>
  <c r="H45" i="70" s="1"/>
  <c r="C44" i="70"/>
  <c r="H44" i="70" s="1"/>
  <c r="B45" i="70"/>
  <c r="G45" i="70" s="1"/>
  <c r="B44" i="70"/>
  <c r="G44" i="70" s="1"/>
  <c r="H40" i="70"/>
  <c r="G40" i="70"/>
  <c r="D40" i="70"/>
  <c r="H39" i="70"/>
  <c r="G39" i="70"/>
  <c r="D39" i="70"/>
  <c r="I39" i="70" s="1"/>
  <c r="BF32" i="67"/>
  <c r="BF33" i="67"/>
  <c r="BF34" i="67"/>
  <c r="BF35" i="67"/>
  <c r="BF36" i="67"/>
  <c r="BF37" i="67"/>
  <c r="BF38" i="67"/>
  <c r="BF39" i="67"/>
  <c r="BF40" i="67"/>
  <c r="BF41" i="67"/>
  <c r="BF42" i="67"/>
  <c r="BF43" i="67"/>
  <c r="BF44" i="67"/>
  <c r="BF45" i="67"/>
  <c r="BF46" i="67"/>
  <c r="BF47" i="67"/>
  <c r="BF48" i="67"/>
  <c r="BF49" i="67"/>
  <c r="BF50" i="67"/>
  <c r="BF51" i="67"/>
  <c r="BF52" i="67"/>
  <c r="BF53" i="67"/>
  <c r="BF54" i="67"/>
  <c r="BF55" i="67"/>
  <c r="BF56" i="67"/>
  <c r="BF57" i="67"/>
  <c r="BF58" i="67"/>
  <c r="BF59" i="67"/>
  <c r="BF60" i="67"/>
  <c r="BF61" i="67"/>
  <c r="BF62" i="67"/>
  <c r="BF63" i="67"/>
  <c r="BF64" i="67"/>
  <c r="BF65" i="67"/>
  <c r="BF66" i="67"/>
  <c r="BF67" i="67"/>
  <c r="BF68" i="67"/>
  <c r="BF31" i="67"/>
  <c r="BD68" i="67"/>
  <c r="BB68" i="67"/>
  <c r="BA68" i="67"/>
  <c r="AZ68" i="67"/>
  <c r="AY68" i="67"/>
  <c r="AX68" i="67"/>
  <c r="AW68" i="67"/>
  <c r="AV68" i="67"/>
  <c r="AU68" i="67"/>
  <c r="AS68" i="67"/>
  <c r="AR68" i="67"/>
  <c r="AQ68" i="67"/>
  <c r="AP68" i="67"/>
  <c r="AO68" i="67"/>
  <c r="AN68" i="67"/>
  <c r="AM68" i="67"/>
  <c r="AL68" i="67"/>
  <c r="AJ68" i="67"/>
  <c r="AI68" i="67"/>
  <c r="AH68" i="67"/>
  <c r="AG68" i="67"/>
  <c r="AF68" i="67"/>
  <c r="AE68" i="67"/>
  <c r="AD68" i="67"/>
  <c r="AC68" i="67"/>
  <c r="R68" i="67"/>
  <c r="Q68" i="67"/>
  <c r="P68" i="67"/>
  <c r="O68" i="67"/>
  <c r="N68" i="67"/>
  <c r="M68" i="67"/>
  <c r="L68" i="67"/>
  <c r="BD67" i="67"/>
  <c r="BB67" i="67"/>
  <c r="BA67" i="67"/>
  <c r="AZ67" i="67"/>
  <c r="AY67" i="67"/>
  <c r="AX67" i="67"/>
  <c r="AW67" i="67"/>
  <c r="AV67" i="67"/>
  <c r="AU67" i="67"/>
  <c r="AS67" i="67"/>
  <c r="AR67" i="67"/>
  <c r="AQ67" i="67"/>
  <c r="AP67" i="67"/>
  <c r="AO67" i="67"/>
  <c r="AN67" i="67"/>
  <c r="AM67" i="67"/>
  <c r="AL67" i="67"/>
  <c r="AJ67" i="67"/>
  <c r="AI67" i="67"/>
  <c r="AH67" i="67"/>
  <c r="AG67" i="67"/>
  <c r="AF67" i="67"/>
  <c r="AE67" i="67"/>
  <c r="AD67" i="67"/>
  <c r="AC67" i="67"/>
  <c r="R67" i="67"/>
  <c r="Q67" i="67"/>
  <c r="P67" i="67"/>
  <c r="O67" i="67"/>
  <c r="N67" i="67"/>
  <c r="M67" i="67"/>
  <c r="L67" i="67"/>
  <c r="K67" i="67"/>
  <c r="BD66" i="67"/>
  <c r="BB66" i="67"/>
  <c r="BA66" i="67"/>
  <c r="AZ66" i="67"/>
  <c r="AY66" i="67"/>
  <c r="AX66" i="67"/>
  <c r="AW66" i="67"/>
  <c r="AV66" i="67"/>
  <c r="AU66" i="67"/>
  <c r="AS66" i="67"/>
  <c r="AR66" i="67"/>
  <c r="AQ66" i="67"/>
  <c r="AP66" i="67"/>
  <c r="AO66" i="67"/>
  <c r="AN66" i="67"/>
  <c r="AM66" i="67"/>
  <c r="AL66" i="67"/>
  <c r="AJ66" i="67"/>
  <c r="AI66" i="67"/>
  <c r="AH66" i="67"/>
  <c r="AG66" i="67"/>
  <c r="AF66" i="67"/>
  <c r="AE66" i="67"/>
  <c r="AD66" i="67"/>
  <c r="AC66" i="67"/>
  <c r="R66" i="67"/>
  <c r="Q66" i="67"/>
  <c r="P66" i="67"/>
  <c r="O66" i="67"/>
  <c r="N66" i="67"/>
  <c r="M66" i="67"/>
  <c r="L66" i="67"/>
  <c r="K66" i="67"/>
  <c r="BD65" i="67"/>
  <c r="BB65" i="67"/>
  <c r="BA65" i="67"/>
  <c r="AZ65" i="67"/>
  <c r="AY65" i="67"/>
  <c r="AX65" i="67"/>
  <c r="AW65" i="67"/>
  <c r="AV65" i="67"/>
  <c r="AU65" i="67"/>
  <c r="AS65" i="67"/>
  <c r="AR65" i="67"/>
  <c r="AQ65" i="67"/>
  <c r="AP65" i="67"/>
  <c r="AO65" i="67"/>
  <c r="AN65" i="67"/>
  <c r="AM65" i="67"/>
  <c r="AL65" i="67"/>
  <c r="AJ65" i="67"/>
  <c r="AI65" i="67"/>
  <c r="AH65" i="67"/>
  <c r="AG65" i="67"/>
  <c r="AF65" i="67"/>
  <c r="AE65" i="67"/>
  <c r="AD65" i="67"/>
  <c r="AC65" i="67"/>
  <c r="R65" i="67"/>
  <c r="Q65" i="67"/>
  <c r="P65" i="67"/>
  <c r="O65" i="67"/>
  <c r="N65" i="67"/>
  <c r="M65" i="67"/>
  <c r="L65" i="67"/>
  <c r="K65" i="67"/>
  <c r="BD64" i="67"/>
  <c r="BB64" i="67"/>
  <c r="BA64" i="67"/>
  <c r="AZ64" i="67"/>
  <c r="AY64" i="67"/>
  <c r="AX64" i="67"/>
  <c r="AW64" i="67"/>
  <c r="AV64" i="67"/>
  <c r="AU64" i="67"/>
  <c r="AS64" i="67"/>
  <c r="AR64" i="67"/>
  <c r="AQ64" i="67"/>
  <c r="AP64" i="67"/>
  <c r="AO64" i="67"/>
  <c r="AN64" i="67"/>
  <c r="AM64" i="67"/>
  <c r="AL64" i="67"/>
  <c r="AJ64" i="67"/>
  <c r="AI64" i="67"/>
  <c r="AH64" i="67"/>
  <c r="AG64" i="67"/>
  <c r="AF64" i="67"/>
  <c r="AE64" i="67"/>
  <c r="AD64" i="67"/>
  <c r="AC64" i="67"/>
  <c r="R64" i="67"/>
  <c r="Q64" i="67"/>
  <c r="P64" i="67"/>
  <c r="O64" i="67"/>
  <c r="N64" i="67"/>
  <c r="M64" i="67"/>
  <c r="L64" i="67"/>
  <c r="K64" i="67"/>
  <c r="BD63" i="67"/>
  <c r="BB63" i="67"/>
  <c r="BA63" i="67"/>
  <c r="AZ63" i="67"/>
  <c r="AY63" i="67"/>
  <c r="AX63" i="67"/>
  <c r="AW63" i="67"/>
  <c r="AV63" i="67"/>
  <c r="AU63" i="67"/>
  <c r="AS63" i="67"/>
  <c r="AR63" i="67"/>
  <c r="AQ63" i="67"/>
  <c r="AP63" i="67"/>
  <c r="AO63" i="67"/>
  <c r="AN63" i="67"/>
  <c r="AM63" i="67"/>
  <c r="AL63" i="67"/>
  <c r="AJ63" i="67"/>
  <c r="AI63" i="67"/>
  <c r="AH63" i="67"/>
  <c r="AG63" i="67"/>
  <c r="AF63" i="67"/>
  <c r="AE63" i="67"/>
  <c r="AD63" i="67"/>
  <c r="AC63" i="67"/>
  <c r="R63" i="67"/>
  <c r="Q63" i="67"/>
  <c r="P63" i="67"/>
  <c r="O63" i="67"/>
  <c r="N63" i="67"/>
  <c r="M63" i="67"/>
  <c r="L63" i="67"/>
  <c r="K63" i="67"/>
  <c r="BD62" i="67"/>
  <c r="BB62" i="67"/>
  <c r="BA62" i="67"/>
  <c r="AZ62" i="67"/>
  <c r="AY62" i="67"/>
  <c r="AX62" i="67"/>
  <c r="AW62" i="67"/>
  <c r="AV62" i="67"/>
  <c r="AU62" i="67"/>
  <c r="AS62" i="67"/>
  <c r="AR62" i="67"/>
  <c r="AQ62" i="67"/>
  <c r="AP62" i="67"/>
  <c r="AO62" i="67"/>
  <c r="AN62" i="67"/>
  <c r="AM62" i="67"/>
  <c r="AL62" i="67"/>
  <c r="AJ62" i="67"/>
  <c r="AI62" i="67"/>
  <c r="AH62" i="67"/>
  <c r="AG62" i="67"/>
  <c r="AF62" i="67"/>
  <c r="AE62" i="67"/>
  <c r="AD62" i="67"/>
  <c r="AC62" i="67"/>
  <c r="R62" i="67"/>
  <c r="Q62" i="67"/>
  <c r="P62" i="67"/>
  <c r="O62" i="67"/>
  <c r="N62" i="67"/>
  <c r="M62" i="67"/>
  <c r="L62" i="67"/>
  <c r="K62" i="67"/>
  <c r="BD61" i="67"/>
  <c r="BB61" i="67"/>
  <c r="BA61" i="67"/>
  <c r="AZ61" i="67"/>
  <c r="AY61" i="67"/>
  <c r="AX61" i="67"/>
  <c r="AW61" i="67"/>
  <c r="AV61" i="67"/>
  <c r="AU61" i="67"/>
  <c r="AS61" i="67"/>
  <c r="AR61" i="67"/>
  <c r="AQ61" i="67"/>
  <c r="AP61" i="67"/>
  <c r="AO61" i="67"/>
  <c r="AN61" i="67"/>
  <c r="AM61" i="67"/>
  <c r="AL61" i="67"/>
  <c r="AJ61" i="67"/>
  <c r="AI61" i="67"/>
  <c r="AH61" i="67"/>
  <c r="AG61" i="67"/>
  <c r="AF61" i="67"/>
  <c r="AE61" i="67"/>
  <c r="AD61" i="67"/>
  <c r="AC61" i="67"/>
  <c r="R61" i="67"/>
  <c r="Q61" i="67"/>
  <c r="P61" i="67"/>
  <c r="O61" i="67"/>
  <c r="N61" i="67"/>
  <c r="M61" i="67"/>
  <c r="L61" i="67"/>
  <c r="K61" i="67"/>
  <c r="BD60" i="67"/>
  <c r="BB60" i="67"/>
  <c r="BA60" i="67"/>
  <c r="AZ60" i="67"/>
  <c r="AY60" i="67"/>
  <c r="AX60" i="67"/>
  <c r="AW60" i="67"/>
  <c r="AV60" i="67"/>
  <c r="AU60" i="67"/>
  <c r="AS60" i="67"/>
  <c r="AR60" i="67"/>
  <c r="AQ60" i="67"/>
  <c r="AP60" i="67"/>
  <c r="AO60" i="67"/>
  <c r="AN60" i="67"/>
  <c r="AM60" i="67"/>
  <c r="AL60" i="67"/>
  <c r="AJ60" i="67"/>
  <c r="AI60" i="67"/>
  <c r="AH60" i="67"/>
  <c r="AG60" i="67"/>
  <c r="AF60" i="67"/>
  <c r="AE60" i="67"/>
  <c r="AD60" i="67"/>
  <c r="AC60" i="67"/>
  <c r="R60" i="67"/>
  <c r="Q60" i="67"/>
  <c r="P60" i="67"/>
  <c r="O60" i="67"/>
  <c r="N60" i="67"/>
  <c r="M60" i="67"/>
  <c r="L60" i="67"/>
  <c r="K60" i="67"/>
  <c r="BD59" i="67"/>
  <c r="BB59" i="67"/>
  <c r="BA59" i="67"/>
  <c r="AZ59" i="67"/>
  <c r="AY59" i="67"/>
  <c r="AX59" i="67"/>
  <c r="AW59" i="67"/>
  <c r="AV59" i="67"/>
  <c r="AU59" i="67"/>
  <c r="AS59" i="67"/>
  <c r="AR59" i="67"/>
  <c r="AQ59" i="67"/>
  <c r="AP59" i="67"/>
  <c r="AO59" i="67"/>
  <c r="AN59" i="67"/>
  <c r="AM59" i="67"/>
  <c r="AL59" i="67"/>
  <c r="AJ59" i="67"/>
  <c r="AI59" i="67"/>
  <c r="AH59" i="67"/>
  <c r="AG59" i="67"/>
  <c r="AF59" i="67"/>
  <c r="AE59" i="67"/>
  <c r="AD59" i="67"/>
  <c r="AC59" i="67"/>
  <c r="R59" i="67"/>
  <c r="Q59" i="67"/>
  <c r="P59" i="67"/>
  <c r="O59" i="67"/>
  <c r="N59" i="67"/>
  <c r="M59" i="67"/>
  <c r="L59" i="67"/>
  <c r="K59" i="67"/>
  <c r="BD58" i="67"/>
  <c r="BB58" i="67"/>
  <c r="BA58" i="67"/>
  <c r="AZ58" i="67"/>
  <c r="AY58" i="67"/>
  <c r="AX58" i="67"/>
  <c r="AW58" i="67"/>
  <c r="AV58" i="67"/>
  <c r="AU58" i="67"/>
  <c r="AS58" i="67"/>
  <c r="AR58" i="67"/>
  <c r="AQ58" i="67"/>
  <c r="AP58" i="67"/>
  <c r="AO58" i="67"/>
  <c r="AN58" i="67"/>
  <c r="AM58" i="67"/>
  <c r="AL58" i="67"/>
  <c r="AJ58" i="67"/>
  <c r="AI58" i="67"/>
  <c r="AH58" i="67"/>
  <c r="AG58" i="67"/>
  <c r="AF58" i="67"/>
  <c r="AE58" i="67"/>
  <c r="AD58" i="67"/>
  <c r="AC58" i="67"/>
  <c r="R58" i="67"/>
  <c r="Q58" i="67"/>
  <c r="P58" i="67"/>
  <c r="O58" i="67"/>
  <c r="N58" i="67"/>
  <c r="M58" i="67"/>
  <c r="L58" i="67"/>
  <c r="K58" i="67"/>
  <c r="BD57" i="67"/>
  <c r="BB57" i="67"/>
  <c r="BA57" i="67"/>
  <c r="AZ57" i="67"/>
  <c r="AY57" i="67"/>
  <c r="AX57" i="67"/>
  <c r="AW57" i="67"/>
  <c r="AV57" i="67"/>
  <c r="AU57" i="67"/>
  <c r="AS57" i="67"/>
  <c r="AR57" i="67"/>
  <c r="AQ57" i="67"/>
  <c r="AP57" i="67"/>
  <c r="AO57" i="67"/>
  <c r="AN57" i="67"/>
  <c r="AM57" i="67"/>
  <c r="AL57" i="67"/>
  <c r="AJ57" i="67"/>
  <c r="AI57" i="67"/>
  <c r="AH57" i="67"/>
  <c r="AG57" i="67"/>
  <c r="AF57" i="67"/>
  <c r="AE57" i="67"/>
  <c r="AD57" i="67"/>
  <c r="AC57" i="67"/>
  <c r="R57" i="67"/>
  <c r="Q57" i="67"/>
  <c r="P57" i="67"/>
  <c r="O57" i="67"/>
  <c r="N57" i="67"/>
  <c r="M57" i="67"/>
  <c r="L57" i="67"/>
  <c r="K57" i="67"/>
  <c r="BD56" i="67"/>
  <c r="BB56" i="67"/>
  <c r="BA56" i="67"/>
  <c r="AZ56" i="67"/>
  <c r="AY56" i="67"/>
  <c r="AX56" i="67"/>
  <c r="AW56" i="67"/>
  <c r="AV56" i="67"/>
  <c r="AU56" i="67"/>
  <c r="AS56" i="67"/>
  <c r="AR56" i="67"/>
  <c r="AQ56" i="67"/>
  <c r="AP56" i="67"/>
  <c r="AO56" i="67"/>
  <c r="AN56" i="67"/>
  <c r="AM56" i="67"/>
  <c r="AL56" i="67"/>
  <c r="AJ56" i="67"/>
  <c r="AI56" i="67"/>
  <c r="AH56" i="67"/>
  <c r="AG56" i="67"/>
  <c r="AF56" i="67"/>
  <c r="AE56" i="67"/>
  <c r="AD56" i="67"/>
  <c r="AC56" i="67"/>
  <c r="R56" i="67"/>
  <c r="Q56" i="67"/>
  <c r="P56" i="67"/>
  <c r="O56" i="67"/>
  <c r="N56" i="67"/>
  <c r="M56" i="67"/>
  <c r="L56" i="67"/>
  <c r="K56" i="67"/>
  <c r="BD55" i="67"/>
  <c r="BB55" i="67"/>
  <c r="BA55" i="67"/>
  <c r="AZ55" i="67"/>
  <c r="AY55" i="67"/>
  <c r="AX55" i="67"/>
  <c r="AW55" i="67"/>
  <c r="AV55" i="67"/>
  <c r="AU55" i="67"/>
  <c r="AS55" i="67"/>
  <c r="AR55" i="67"/>
  <c r="AQ55" i="67"/>
  <c r="AP55" i="67"/>
  <c r="AO55" i="67"/>
  <c r="AN55" i="67"/>
  <c r="AM55" i="67"/>
  <c r="AL55" i="67"/>
  <c r="AJ55" i="67"/>
  <c r="AI55" i="67"/>
  <c r="AH55" i="67"/>
  <c r="AG55" i="67"/>
  <c r="AF55" i="67"/>
  <c r="AE55" i="67"/>
  <c r="AD55" i="67"/>
  <c r="AC55" i="67"/>
  <c r="R55" i="67"/>
  <c r="Q55" i="67"/>
  <c r="P55" i="67"/>
  <c r="O55" i="67"/>
  <c r="N55" i="67"/>
  <c r="M55" i="67"/>
  <c r="L55" i="67"/>
  <c r="K55" i="67"/>
  <c r="BD54" i="67"/>
  <c r="BB54" i="67"/>
  <c r="BA54" i="67"/>
  <c r="AZ54" i="67"/>
  <c r="AY54" i="67"/>
  <c r="AX54" i="67"/>
  <c r="AW54" i="67"/>
  <c r="AV54" i="67"/>
  <c r="AU54" i="67"/>
  <c r="AS54" i="67"/>
  <c r="AR54" i="67"/>
  <c r="AQ54" i="67"/>
  <c r="AP54" i="67"/>
  <c r="AO54" i="67"/>
  <c r="AN54" i="67"/>
  <c r="AM54" i="67"/>
  <c r="AL54" i="67"/>
  <c r="AJ54" i="67"/>
  <c r="AI54" i="67"/>
  <c r="AH54" i="67"/>
  <c r="AG54" i="67"/>
  <c r="AF54" i="67"/>
  <c r="AE54" i="67"/>
  <c r="AD54" i="67"/>
  <c r="AC54" i="67"/>
  <c r="R54" i="67"/>
  <c r="Q54" i="67"/>
  <c r="P54" i="67"/>
  <c r="O54" i="67"/>
  <c r="N54" i="67"/>
  <c r="M54" i="67"/>
  <c r="L54" i="67"/>
  <c r="K54" i="67"/>
  <c r="BD53" i="67"/>
  <c r="BB53" i="67"/>
  <c r="BA53" i="67"/>
  <c r="AZ53" i="67"/>
  <c r="AY53" i="67"/>
  <c r="AX53" i="67"/>
  <c r="AW53" i="67"/>
  <c r="AV53" i="67"/>
  <c r="AU53" i="67"/>
  <c r="AS53" i="67"/>
  <c r="AR53" i="67"/>
  <c r="AQ53" i="67"/>
  <c r="AP53" i="67"/>
  <c r="AO53" i="67"/>
  <c r="AN53" i="67"/>
  <c r="AM53" i="67"/>
  <c r="AL53" i="67"/>
  <c r="AJ53" i="67"/>
  <c r="AI53" i="67"/>
  <c r="AH53" i="67"/>
  <c r="AG53" i="67"/>
  <c r="AF53" i="67"/>
  <c r="AE53" i="67"/>
  <c r="AD53" i="67"/>
  <c r="AC53" i="67"/>
  <c r="R53" i="67"/>
  <c r="Q53" i="67"/>
  <c r="P53" i="67"/>
  <c r="O53" i="67"/>
  <c r="N53" i="67"/>
  <c r="M53" i="67"/>
  <c r="L53" i="67"/>
  <c r="K53" i="67"/>
  <c r="BD52" i="67"/>
  <c r="BB52" i="67"/>
  <c r="BA52" i="67"/>
  <c r="AZ52" i="67"/>
  <c r="AY52" i="67"/>
  <c r="AX52" i="67"/>
  <c r="AW52" i="67"/>
  <c r="AV52" i="67"/>
  <c r="AU52" i="67"/>
  <c r="AS52" i="67"/>
  <c r="AR52" i="67"/>
  <c r="AQ52" i="67"/>
  <c r="AP52" i="67"/>
  <c r="AO52" i="67"/>
  <c r="AN52" i="67"/>
  <c r="AM52" i="67"/>
  <c r="AL52" i="67"/>
  <c r="AJ52" i="67"/>
  <c r="AI52" i="67"/>
  <c r="AH52" i="67"/>
  <c r="AG52" i="67"/>
  <c r="AF52" i="67"/>
  <c r="AE52" i="67"/>
  <c r="AD52" i="67"/>
  <c r="AC52" i="67"/>
  <c r="R52" i="67"/>
  <c r="Q52" i="67"/>
  <c r="P52" i="67"/>
  <c r="O52" i="67"/>
  <c r="N52" i="67"/>
  <c r="M52" i="67"/>
  <c r="L52" i="67"/>
  <c r="K52" i="67"/>
  <c r="BD51" i="67"/>
  <c r="BB51" i="67"/>
  <c r="BA51" i="67"/>
  <c r="AZ51" i="67"/>
  <c r="AY51" i="67"/>
  <c r="AX51" i="67"/>
  <c r="AW51" i="67"/>
  <c r="AV51" i="67"/>
  <c r="AU51" i="67"/>
  <c r="AS51" i="67"/>
  <c r="AR51" i="67"/>
  <c r="AQ51" i="67"/>
  <c r="AP51" i="67"/>
  <c r="AO51" i="67"/>
  <c r="AN51" i="67"/>
  <c r="AM51" i="67"/>
  <c r="AL51" i="67"/>
  <c r="AJ51" i="67"/>
  <c r="AI51" i="67"/>
  <c r="AH51" i="67"/>
  <c r="AG51" i="67"/>
  <c r="AF51" i="67"/>
  <c r="AE51" i="67"/>
  <c r="AD51" i="67"/>
  <c r="AC51" i="67"/>
  <c r="R51" i="67"/>
  <c r="Q51" i="67"/>
  <c r="P51" i="67"/>
  <c r="O51" i="67"/>
  <c r="N51" i="67"/>
  <c r="M51" i="67"/>
  <c r="L51" i="67"/>
  <c r="K51" i="67"/>
  <c r="BD50" i="67"/>
  <c r="BB50" i="67"/>
  <c r="BA50" i="67"/>
  <c r="AZ50" i="67"/>
  <c r="AY50" i="67"/>
  <c r="AX50" i="67"/>
  <c r="AW50" i="67"/>
  <c r="AV50" i="67"/>
  <c r="AU50" i="67"/>
  <c r="AS50" i="67"/>
  <c r="AR50" i="67"/>
  <c r="AQ50" i="67"/>
  <c r="AP50" i="67"/>
  <c r="AO50" i="67"/>
  <c r="AN50" i="67"/>
  <c r="AM50" i="67"/>
  <c r="AL50" i="67"/>
  <c r="AJ50" i="67"/>
  <c r="AI50" i="67"/>
  <c r="AH50" i="67"/>
  <c r="AG50" i="67"/>
  <c r="AF50" i="67"/>
  <c r="AE50" i="67"/>
  <c r="AD50" i="67"/>
  <c r="AC50" i="67"/>
  <c r="R50" i="67"/>
  <c r="Q50" i="67"/>
  <c r="P50" i="67"/>
  <c r="O50" i="67"/>
  <c r="N50" i="67"/>
  <c r="M50" i="67"/>
  <c r="L50" i="67"/>
  <c r="K50" i="67"/>
  <c r="BD49" i="67"/>
  <c r="BB49" i="67"/>
  <c r="BA49" i="67"/>
  <c r="AZ49" i="67"/>
  <c r="AY49" i="67"/>
  <c r="AX49" i="67"/>
  <c r="AW49" i="67"/>
  <c r="AV49" i="67"/>
  <c r="AU49" i="67"/>
  <c r="AS49" i="67"/>
  <c r="AR49" i="67"/>
  <c r="AQ49" i="67"/>
  <c r="AP49" i="67"/>
  <c r="AO49" i="67"/>
  <c r="AN49" i="67"/>
  <c r="AM49" i="67"/>
  <c r="AL49" i="67"/>
  <c r="AJ49" i="67"/>
  <c r="AI49" i="67"/>
  <c r="AH49" i="67"/>
  <c r="AG49" i="67"/>
  <c r="AF49" i="67"/>
  <c r="AE49" i="67"/>
  <c r="AD49" i="67"/>
  <c r="AC49" i="67"/>
  <c r="R49" i="67"/>
  <c r="Q49" i="67"/>
  <c r="P49" i="67"/>
  <c r="O49" i="67"/>
  <c r="N49" i="67"/>
  <c r="M49" i="67"/>
  <c r="L49" i="67"/>
  <c r="K49" i="67"/>
  <c r="BD48" i="67"/>
  <c r="BB48" i="67"/>
  <c r="BA48" i="67"/>
  <c r="AZ48" i="67"/>
  <c r="AY48" i="67"/>
  <c r="AX48" i="67"/>
  <c r="AW48" i="67"/>
  <c r="AV48" i="67"/>
  <c r="AU48" i="67"/>
  <c r="AS48" i="67"/>
  <c r="AR48" i="67"/>
  <c r="AQ48" i="67"/>
  <c r="AP48" i="67"/>
  <c r="AO48" i="67"/>
  <c r="AN48" i="67"/>
  <c r="AM48" i="67"/>
  <c r="AL48" i="67"/>
  <c r="AJ48" i="67"/>
  <c r="AI48" i="67"/>
  <c r="AH48" i="67"/>
  <c r="AG48" i="67"/>
  <c r="AF48" i="67"/>
  <c r="AE48" i="67"/>
  <c r="AD48" i="67"/>
  <c r="AC48" i="67"/>
  <c r="R48" i="67"/>
  <c r="Q48" i="67"/>
  <c r="P48" i="67"/>
  <c r="O48" i="67"/>
  <c r="N48" i="67"/>
  <c r="M48" i="67"/>
  <c r="L48" i="67"/>
  <c r="K48" i="67"/>
  <c r="BD47" i="67"/>
  <c r="BB47" i="67"/>
  <c r="BA47" i="67"/>
  <c r="AZ47" i="67"/>
  <c r="AY47" i="67"/>
  <c r="AX47" i="67"/>
  <c r="AW47" i="67"/>
  <c r="AV47" i="67"/>
  <c r="AU47" i="67"/>
  <c r="AS47" i="67"/>
  <c r="AR47" i="67"/>
  <c r="AQ47" i="67"/>
  <c r="AP47" i="67"/>
  <c r="AO47" i="67"/>
  <c r="AN47" i="67"/>
  <c r="AM47" i="67"/>
  <c r="AL47" i="67"/>
  <c r="AJ47" i="67"/>
  <c r="AI47" i="67"/>
  <c r="AH47" i="67"/>
  <c r="AG47" i="67"/>
  <c r="AF47" i="67"/>
  <c r="AE47" i="67"/>
  <c r="AD47" i="67"/>
  <c r="AC47" i="67"/>
  <c r="R47" i="67"/>
  <c r="Q47" i="67"/>
  <c r="P47" i="67"/>
  <c r="O47" i="67"/>
  <c r="N47" i="67"/>
  <c r="M47" i="67"/>
  <c r="L47" i="67"/>
  <c r="K47" i="67"/>
  <c r="BD46" i="67"/>
  <c r="BB46" i="67"/>
  <c r="BA46" i="67"/>
  <c r="AZ46" i="67"/>
  <c r="AY46" i="67"/>
  <c r="AX46" i="67"/>
  <c r="AW46" i="67"/>
  <c r="AV46" i="67"/>
  <c r="AU46" i="67"/>
  <c r="AS46" i="67"/>
  <c r="AR46" i="67"/>
  <c r="AQ46" i="67"/>
  <c r="AP46" i="67"/>
  <c r="AO46" i="67"/>
  <c r="AN46" i="67"/>
  <c r="AM46" i="67"/>
  <c r="AL46" i="67"/>
  <c r="AJ46" i="67"/>
  <c r="AI46" i="67"/>
  <c r="AH46" i="67"/>
  <c r="AG46" i="67"/>
  <c r="AF46" i="67"/>
  <c r="AE46" i="67"/>
  <c r="AD46" i="67"/>
  <c r="AC46" i="67"/>
  <c r="R46" i="67"/>
  <c r="Q46" i="67"/>
  <c r="P46" i="67"/>
  <c r="O46" i="67"/>
  <c r="N46" i="67"/>
  <c r="M46" i="67"/>
  <c r="L46" i="67"/>
  <c r="K46" i="67"/>
  <c r="BD45" i="67"/>
  <c r="BB45" i="67"/>
  <c r="BA45" i="67"/>
  <c r="AZ45" i="67"/>
  <c r="AY45" i="67"/>
  <c r="AX45" i="67"/>
  <c r="AW45" i="67"/>
  <c r="AV45" i="67"/>
  <c r="AU45" i="67"/>
  <c r="AS45" i="67"/>
  <c r="AR45" i="67"/>
  <c r="AQ45" i="67"/>
  <c r="AP45" i="67"/>
  <c r="AO45" i="67"/>
  <c r="AN45" i="67"/>
  <c r="AM45" i="67"/>
  <c r="AL45" i="67"/>
  <c r="AJ45" i="67"/>
  <c r="AI45" i="67"/>
  <c r="AH45" i="67"/>
  <c r="AG45" i="67"/>
  <c r="AF45" i="67"/>
  <c r="AE45" i="67"/>
  <c r="AD45" i="67"/>
  <c r="AC45" i="67"/>
  <c r="R45" i="67"/>
  <c r="Q45" i="67"/>
  <c r="P45" i="67"/>
  <c r="O45" i="67"/>
  <c r="N45" i="67"/>
  <c r="M45" i="67"/>
  <c r="L45" i="67"/>
  <c r="K45" i="67"/>
  <c r="BD44" i="67"/>
  <c r="BB44" i="67"/>
  <c r="BA44" i="67"/>
  <c r="AZ44" i="67"/>
  <c r="AY44" i="67"/>
  <c r="AX44" i="67"/>
  <c r="AW44" i="67"/>
  <c r="AV44" i="67"/>
  <c r="AU44" i="67"/>
  <c r="AS44" i="67"/>
  <c r="AR44" i="67"/>
  <c r="AQ44" i="67"/>
  <c r="AP44" i="67"/>
  <c r="AO44" i="67"/>
  <c r="AN44" i="67"/>
  <c r="AM44" i="67"/>
  <c r="AL44" i="67"/>
  <c r="AJ44" i="67"/>
  <c r="AI44" i="67"/>
  <c r="AH44" i="67"/>
  <c r="AG44" i="67"/>
  <c r="AF44" i="67"/>
  <c r="AE44" i="67"/>
  <c r="AD44" i="67"/>
  <c r="AC44" i="67"/>
  <c r="R44" i="67"/>
  <c r="Q44" i="67"/>
  <c r="P44" i="67"/>
  <c r="O44" i="67"/>
  <c r="N44" i="67"/>
  <c r="M44" i="67"/>
  <c r="L44" i="67"/>
  <c r="K44" i="67"/>
  <c r="BD43" i="67"/>
  <c r="BB43" i="67"/>
  <c r="BA43" i="67"/>
  <c r="AZ43" i="67"/>
  <c r="AY43" i="67"/>
  <c r="AX43" i="67"/>
  <c r="AW43" i="67"/>
  <c r="AV43" i="67"/>
  <c r="AU43" i="67"/>
  <c r="AS43" i="67"/>
  <c r="AR43" i="67"/>
  <c r="AQ43" i="67"/>
  <c r="AP43" i="67"/>
  <c r="AO43" i="67"/>
  <c r="AN43" i="67"/>
  <c r="AM43" i="67"/>
  <c r="AL43" i="67"/>
  <c r="AJ43" i="67"/>
  <c r="AI43" i="67"/>
  <c r="AH43" i="67"/>
  <c r="AG43" i="67"/>
  <c r="AF43" i="67"/>
  <c r="AE43" i="67"/>
  <c r="AD43" i="67"/>
  <c r="AC43" i="67"/>
  <c r="R43" i="67"/>
  <c r="Q43" i="67"/>
  <c r="P43" i="67"/>
  <c r="O43" i="67"/>
  <c r="N43" i="67"/>
  <c r="M43" i="67"/>
  <c r="L43" i="67"/>
  <c r="K43" i="67"/>
  <c r="BD42" i="67"/>
  <c r="BB42" i="67"/>
  <c r="BA42" i="67"/>
  <c r="AZ42" i="67"/>
  <c r="AY42" i="67"/>
  <c r="AX42" i="67"/>
  <c r="AW42" i="67"/>
  <c r="AV42" i="67"/>
  <c r="AU42" i="67"/>
  <c r="AS42" i="67"/>
  <c r="AR42" i="67"/>
  <c r="AQ42" i="67"/>
  <c r="AP42" i="67"/>
  <c r="AO42" i="67"/>
  <c r="AN42" i="67"/>
  <c r="AM42" i="67"/>
  <c r="AL42" i="67"/>
  <c r="AJ42" i="67"/>
  <c r="AI42" i="67"/>
  <c r="AH42" i="67"/>
  <c r="AG42" i="67"/>
  <c r="AF42" i="67"/>
  <c r="AE42" i="67"/>
  <c r="AD42" i="67"/>
  <c r="AC42" i="67"/>
  <c r="R42" i="67"/>
  <c r="Q42" i="67"/>
  <c r="P42" i="67"/>
  <c r="O42" i="67"/>
  <c r="N42" i="67"/>
  <c r="M42" i="67"/>
  <c r="L42" i="67"/>
  <c r="K42" i="67"/>
  <c r="BD41" i="67"/>
  <c r="BB41" i="67"/>
  <c r="BA41" i="67"/>
  <c r="AZ41" i="67"/>
  <c r="AY41" i="67"/>
  <c r="AX41" i="67"/>
  <c r="AW41" i="67"/>
  <c r="AV41" i="67"/>
  <c r="AU41" i="67"/>
  <c r="AS41" i="67"/>
  <c r="AR41" i="67"/>
  <c r="AQ41" i="67"/>
  <c r="AP41" i="67"/>
  <c r="AO41" i="67"/>
  <c r="AN41" i="67"/>
  <c r="AM41" i="67"/>
  <c r="AL41" i="67"/>
  <c r="AJ41" i="67"/>
  <c r="AI41" i="67"/>
  <c r="AH41" i="67"/>
  <c r="AG41" i="67"/>
  <c r="AF41" i="67"/>
  <c r="AE41" i="67"/>
  <c r="AD41" i="67"/>
  <c r="AC41" i="67"/>
  <c r="R41" i="67"/>
  <c r="Q41" i="67"/>
  <c r="P41" i="67"/>
  <c r="O41" i="67"/>
  <c r="N41" i="67"/>
  <c r="M41" i="67"/>
  <c r="L41" i="67"/>
  <c r="K41" i="67"/>
  <c r="BD40" i="67"/>
  <c r="BB40" i="67"/>
  <c r="BA40" i="67"/>
  <c r="AZ40" i="67"/>
  <c r="AY40" i="67"/>
  <c r="AX40" i="67"/>
  <c r="AW40" i="67"/>
  <c r="AV40" i="67"/>
  <c r="AU40" i="67"/>
  <c r="AS40" i="67"/>
  <c r="AR40" i="67"/>
  <c r="AQ40" i="67"/>
  <c r="AP40" i="67"/>
  <c r="AO40" i="67"/>
  <c r="AN40" i="67"/>
  <c r="AM40" i="67"/>
  <c r="AL40" i="67"/>
  <c r="AJ40" i="67"/>
  <c r="AI40" i="67"/>
  <c r="AH40" i="67"/>
  <c r="AG40" i="67"/>
  <c r="AF40" i="67"/>
  <c r="AE40" i="67"/>
  <c r="AD40" i="67"/>
  <c r="AC40" i="67"/>
  <c r="R40" i="67"/>
  <c r="Q40" i="67"/>
  <c r="P40" i="67"/>
  <c r="O40" i="67"/>
  <c r="N40" i="67"/>
  <c r="M40" i="67"/>
  <c r="L40" i="67"/>
  <c r="K40" i="67"/>
  <c r="BD39" i="67"/>
  <c r="BB39" i="67"/>
  <c r="BA39" i="67"/>
  <c r="AZ39" i="67"/>
  <c r="AY39" i="67"/>
  <c r="AX39" i="67"/>
  <c r="AW39" i="67"/>
  <c r="AV39" i="67"/>
  <c r="AU39" i="67"/>
  <c r="AS39" i="67"/>
  <c r="AR39" i="67"/>
  <c r="AQ39" i="67"/>
  <c r="AP39" i="67"/>
  <c r="AO39" i="67"/>
  <c r="AN39" i="67"/>
  <c r="AM39" i="67"/>
  <c r="AL39" i="67"/>
  <c r="AJ39" i="67"/>
  <c r="AI39" i="67"/>
  <c r="AH39" i="67"/>
  <c r="AG39" i="67"/>
  <c r="AF39" i="67"/>
  <c r="AE39" i="67"/>
  <c r="AD39" i="67"/>
  <c r="AC39" i="67"/>
  <c r="R39" i="67"/>
  <c r="Q39" i="67"/>
  <c r="P39" i="67"/>
  <c r="O39" i="67"/>
  <c r="N39" i="67"/>
  <c r="M39" i="67"/>
  <c r="L39" i="67"/>
  <c r="K39" i="67"/>
  <c r="BD38" i="67"/>
  <c r="BB38" i="67"/>
  <c r="BA38" i="67"/>
  <c r="AZ38" i="67"/>
  <c r="AY38" i="67"/>
  <c r="AX38" i="67"/>
  <c r="AW38" i="67"/>
  <c r="AV38" i="67"/>
  <c r="AU38" i="67"/>
  <c r="AS38" i="67"/>
  <c r="AR38" i="67"/>
  <c r="AQ38" i="67"/>
  <c r="AP38" i="67"/>
  <c r="AO38" i="67"/>
  <c r="AN38" i="67"/>
  <c r="AM38" i="67"/>
  <c r="AL38" i="67"/>
  <c r="AJ38" i="67"/>
  <c r="AI38" i="67"/>
  <c r="AH38" i="67"/>
  <c r="AG38" i="67"/>
  <c r="AF38" i="67"/>
  <c r="AE38" i="67"/>
  <c r="AD38" i="67"/>
  <c r="AC38" i="67"/>
  <c r="R38" i="67"/>
  <c r="Q38" i="67"/>
  <c r="P38" i="67"/>
  <c r="O38" i="67"/>
  <c r="N38" i="67"/>
  <c r="M38" i="67"/>
  <c r="L38" i="67"/>
  <c r="K38" i="67"/>
  <c r="BD37" i="67"/>
  <c r="BB37" i="67"/>
  <c r="BA37" i="67"/>
  <c r="AZ37" i="67"/>
  <c r="AY37" i="67"/>
  <c r="AX37" i="67"/>
  <c r="AW37" i="67"/>
  <c r="AV37" i="67"/>
  <c r="AU37" i="67"/>
  <c r="AS37" i="67"/>
  <c r="AR37" i="67"/>
  <c r="AQ37" i="67"/>
  <c r="AP37" i="67"/>
  <c r="AO37" i="67"/>
  <c r="AN37" i="67"/>
  <c r="AM37" i="67"/>
  <c r="AL37" i="67"/>
  <c r="AJ37" i="67"/>
  <c r="AI37" i="67"/>
  <c r="AH37" i="67"/>
  <c r="AG37" i="67"/>
  <c r="AF37" i="67"/>
  <c r="AE37" i="67"/>
  <c r="AD37" i="67"/>
  <c r="AC37" i="67"/>
  <c r="R37" i="67"/>
  <c r="Q37" i="67"/>
  <c r="P37" i="67"/>
  <c r="O37" i="67"/>
  <c r="N37" i="67"/>
  <c r="M37" i="67"/>
  <c r="L37" i="67"/>
  <c r="K37" i="67"/>
  <c r="BD36" i="67"/>
  <c r="BB36" i="67"/>
  <c r="BA36" i="67"/>
  <c r="AZ36" i="67"/>
  <c r="AY36" i="67"/>
  <c r="AX36" i="67"/>
  <c r="AW36" i="67"/>
  <c r="AV36" i="67"/>
  <c r="AU36" i="67"/>
  <c r="AS36" i="67"/>
  <c r="AR36" i="67"/>
  <c r="AQ36" i="67"/>
  <c r="AP36" i="67"/>
  <c r="AO36" i="67"/>
  <c r="AN36" i="67"/>
  <c r="AM36" i="67"/>
  <c r="AL36" i="67"/>
  <c r="AJ36" i="67"/>
  <c r="AI36" i="67"/>
  <c r="AH36" i="67"/>
  <c r="AG36" i="67"/>
  <c r="AF36" i="67"/>
  <c r="AE36" i="67"/>
  <c r="AD36" i="67"/>
  <c r="AC36" i="67"/>
  <c r="R36" i="67"/>
  <c r="Q36" i="67"/>
  <c r="P36" i="67"/>
  <c r="O36" i="67"/>
  <c r="N36" i="67"/>
  <c r="M36" i="67"/>
  <c r="L36" i="67"/>
  <c r="K36" i="67"/>
  <c r="BD35" i="67"/>
  <c r="BB35" i="67"/>
  <c r="BA35" i="67"/>
  <c r="AZ35" i="67"/>
  <c r="AY35" i="67"/>
  <c r="AX35" i="67"/>
  <c r="AW35" i="67"/>
  <c r="AV35" i="67"/>
  <c r="AU35" i="67"/>
  <c r="AS35" i="67"/>
  <c r="AR35" i="67"/>
  <c r="AQ35" i="67"/>
  <c r="AP35" i="67"/>
  <c r="AO35" i="67"/>
  <c r="AN35" i="67"/>
  <c r="AM35" i="67"/>
  <c r="AL35" i="67"/>
  <c r="AJ35" i="67"/>
  <c r="AI35" i="67"/>
  <c r="AH35" i="67"/>
  <c r="AG35" i="67"/>
  <c r="AF35" i="67"/>
  <c r="AE35" i="67"/>
  <c r="AD35" i="67"/>
  <c r="AC35" i="67"/>
  <c r="R35" i="67"/>
  <c r="Q35" i="67"/>
  <c r="P35" i="67"/>
  <c r="O35" i="67"/>
  <c r="N35" i="67"/>
  <c r="M35" i="67"/>
  <c r="L35" i="67"/>
  <c r="K35" i="67"/>
  <c r="BD34" i="67"/>
  <c r="BB34" i="67"/>
  <c r="BA34" i="67"/>
  <c r="AZ34" i="67"/>
  <c r="AY34" i="67"/>
  <c r="AX34" i="67"/>
  <c r="AW34" i="67"/>
  <c r="AV34" i="67"/>
  <c r="AU34" i="67"/>
  <c r="AS34" i="67"/>
  <c r="AR34" i="67"/>
  <c r="AQ34" i="67"/>
  <c r="AP34" i="67"/>
  <c r="AO34" i="67"/>
  <c r="AN34" i="67"/>
  <c r="AM34" i="67"/>
  <c r="AL34" i="67"/>
  <c r="AJ34" i="67"/>
  <c r="AI34" i="67"/>
  <c r="AH34" i="67"/>
  <c r="AG34" i="67"/>
  <c r="AF34" i="67"/>
  <c r="AE34" i="67"/>
  <c r="AD34" i="67"/>
  <c r="AC34" i="67"/>
  <c r="R34" i="67"/>
  <c r="Q34" i="67"/>
  <c r="P34" i="67"/>
  <c r="O34" i="67"/>
  <c r="N34" i="67"/>
  <c r="M34" i="67"/>
  <c r="L34" i="67"/>
  <c r="K34" i="67"/>
  <c r="BD33" i="67"/>
  <c r="BB33" i="67"/>
  <c r="BA33" i="67"/>
  <c r="AZ33" i="67"/>
  <c r="AY33" i="67"/>
  <c r="AX33" i="67"/>
  <c r="AW33" i="67"/>
  <c r="AV33" i="67"/>
  <c r="AU33" i="67"/>
  <c r="AS33" i="67"/>
  <c r="AR33" i="67"/>
  <c r="AQ33" i="67"/>
  <c r="AP33" i="67"/>
  <c r="AO33" i="67"/>
  <c r="AN33" i="67"/>
  <c r="AM33" i="67"/>
  <c r="AL33" i="67"/>
  <c r="AJ33" i="67"/>
  <c r="AI33" i="67"/>
  <c r="AH33" i="67"/>
  <c r="AG33" i="67"/>
  <c r="AF33" i="67"/>
  <c r="AE33" i="67"/>
  <c r="AD33" i="67"/>
  <c r="AC33" i="67"/>
  <c r="R33" i="67"/>
  <c r="Q33" i="67"/>
  <c r="P33" i="67"/>
  <c r="O33" i="67"/>
  <c r="N33" i="67"/>
  <c r="M33" i="67"/>
  <c r="L33" i="67"/>
  <c r="K33" i="67"/>
  <c r="BD32" i="67"/>
  <c r="BB32" i="67"/>
  <c r="BA32" i="67"/>
  <c r="AZ32" i="67"/>
  <c r="AY32" i="67"/>
  <c r="AX32" i="67"/>
  <c r="AW32" i="67"/>
  <c r="AV32" i="67"/>
  <c r="AU32" i="67"/>
  <c r="AS32" i="67"/>
  <c r="AR32" i="67"/>
  <c r="AQ32" i="67"/>
  <c r="AP32" i="67"/>
  <c r="AO32" i="67"/>
  <c r="AN32" i="67"/>
  <c r="AM32" i="67"/>
  <c r="AL32" i="67"/>
  <c r="AJ32" i="67"/>
  <c r="AI32" i="67"/>
  <c r="AH32" i="67"/>
  <c r="AG32" i="67"/>
  <c r="AF32" i="67"/>
  <c r="AE32" i="67"/>
  <c r="AD32" i="67"/>
  <c r="AC32" i="67"/>
  <c r="R32" i="67"/>
  <c r="Q32" i="67"/>
  <c r="P32" i="67"/>
  <c r="O32" i="67"/>
  <c r="N32" i="67"/>
  <c r="M32" i="67"/>
  <c r="L32" i="67"/>
  <c r="K32" i="67"/>
  <c r="BD31" i="67"/>
  <c r="BB31" i="67"/>
  <c r="BA31" i="67"/>
  <c r="AZ31" i="67"/>
  <c r="AY31" i="67"/>
  <c r="AX31" i="67"/>
  <c r="AW31" i="67"/>
  <c r="AV31" i="67"/>
  <c r="AU31" i="67"/>
  <c r="AS31" i="67"/>
  <c r="AR31" i="67"/>
  <c r="AQ31" i="67"/>
  <c r="AP31" i="67"/>
  <c r="AO31" i="67"/>
  <c r="AN31" i="67"/>
  <c r="AM31" i="67"/>
  <c r="AL31" i="67"/>
  <c r="AJ31" i="67"/>
  <c r="AI31" i="67"/>
  <c r="AH31" i="67"/>
  <c r="AG31" i="67"/>
  <c r="AF31" i="67"/>
  <c r="AE31" i="67"/>
  <c r="AD31" i="67"/>
  <c r="AC31" i="67"/>
  <c r="R31" i="67"/>
  <c r="Q31" i="67"/>
  <c r="P31" i="67"/>
  <c r="O31" i="67"/>
  <c r="N31" i="67"/>
  <c r="M31" i="67"/>
  <c r="L31" i="67"/>
  <c r="K31" i="67"/>
  <c r="DC55" i="35"/>
  <c r="DC59" i="35"/>
  <c r="DM59" i="35"/>
  <c r="DM55" i="35"/>
  <c r="DN46" i="35"/>
  <c r="DM46" i="35"/>
  <c r="DL46" i="35"/>
  <c r="DK46" i="35"/>
  <c r="DJ46" i="35"/>
  <c r="DI46" i="35"/>
  <c r="DH46" i="35"/>
  <c r="DG46" i="35"/>
  <c r="DF46" i="35"/>
  <c r="DB46" i="35"/>
  <c r="DA46" i="35"/>
  <c r="CZ46" i="35"/>
  <c r="CY46" i="35"/>
  <c r="CX46" i="35"/>
  <c r="CW46" i="35"/>
  <c r="CV46" i="35"/>
  <c r="CU46" i="35"/>
  <c r="DN45" i="35"/>
  <c r="DM45" i="35"/>
  <c r="DL45" i="35"/>
  <c r="DK45" i="35"/>
  <c r="DJ45" i="35"/>
  <c r="DI45" i="35"/>
  <c r="DH45" i="35"/>
  <c r="DG45" i="35"/>
  <c r="DF45" i="35"/>
  <c r="DB45" i="35"/>
  <c r="DA45" i="35"/>
  <c r="CZ45" i="35"/>
  <c r="CY45" i="35"/>
  <c r="CX45" i="35"/>
  <c r="CW45" i="35"/>
  <c r="CV45" i="35"/>
  <c r="CU45" i="35"/>
  <c r="DN44" i="35"/>
  <c r="DM44" i="35"/>
  <c r="DL44" i="35"/>
  <c r="DK44" i="35"/>
  <c r="DJ44" i="35"/>
  <c r="DI44" i="35"/>
  <c r="DH44" i="35"/>
  <c r="DG44" i="35"/>
  <c r="DF44" i="35"/>
  <c r="DB44" i="35"/>
  <c r="DB52" i="35" s="1"/>
  <c r="DA44" i="35"/>
  <c r="DA52" i="35" s="1"/>
  <c r="CZ44" i="35"/>
  <c r="CZ52" i="35" s="1"/>
  <c r="CY44" i="35"/>
  <c r="CY52" i="35" s="1"/>
  <c r="CX44" i="35"/>
  <c r="CX52" i="35" s="1"/>
  <c r="CW44" i="35"/>
  <c r="CW52" i="35" s="1"/>
  <c r="CV44" i="35"/>
  <c r="CV52" i="35" s="1"/>
  <c r="CU44" i="35"/>
  <c r="CU52" i="35" s="1"/>
  <c r="DN43" i="35"/>
  <c r="DM43" i="35"/>
  <c r="DL43" i="35"/>
  <c r="DK43" i="35"/>
  <c r="DJ43" i="35"/>
  <c r="DI43" i="35"/>
  <c r="DH43" i="35"/>
  <c r="DG43" i="35"/>
  <c r="DF43" i="35"/>
  <c r="DB43" i="35"/>
  <c r="DA43" i="35"/>
  <c r="CZ43" i="35"/>
  <c r="CY43" i="35"/>
  <c r="CX43" i="35"/>
  <c r="CW43" i="35"/>
  <c r="CV43" i="35"/>
  <c r="CU43" i="35"/>
  <c r="DN42" i="35"/>
  <c r="DM42" i="35"/>
  <c r="DL42" i="35"/>
  <c r="DK42" i="35"/>
  <c r="DJ42" i="35"/>
  <c r="DI42" i="35"/>
  <c r="DH42" i="35"/>
  <c r="DG42" i="35"/>
  <c r="DF42" i="35"/>
  <c r="DB42" i="35"/>
  <c r="DA42" i="35"/>
  <c r="CZ42" i="35"/>
  <c r="CY42" i="35"/>
  <c r="CX42" i="35"/>
  <c r="CW42" i="35"/>
  <c r="CV42" i="35"/>
  <c r="CU42" i="35"/>
  <c r="DN41" i="35"/>
  <c r="DM41" i="35"/>
  <c r="DL41" i="35"/>
  <c r="DK41" i="35"/>
  <c r="DJ41" i="35"/>
  <c r="DI41" i="35"/>
  <c r="DH41" i="35"/>
  <c r="DG41" i="35"/>
  <c r="DF41" i="35"/>
  <c r="DB41" i="35"/>
  <c r="DA41" i="35"/>
  <c r="CZ41" i="35"/>
  <c r="CY41" i="35"/>
  <c r="CX41" i="35"/>
  <c r="CW41" i="35"/>
  <c r="CV41" i="35"/>
  <c r="CU41" i="35"/>
  <c r="DN40" i="35"/>
  <c r="DM40" i="35"/>
  <c r="DL40" i="35"/>
  <c r="DK40" i="35"/>
  <c r="DJ40" i="35"/>
  <c r="DI40" i="35"/>
  <c r="DH40" i="35"/>
  <c r="DG40" i="35"/>
  <c r="DF40" i="35"/>
  <c r="DB40" i="35"/>
  <c r="DA40" i="35"/>
  <c r="CZ40" i="35"/>
  <c r="CY40" i="35"/>
  <c r="CX40" i="35"/>
  <c r="CW40" i="35"/>
  <c r="CV40" i="35"/>
  <c r="CU40" i="35"/>
  <c r="DN39" i="35"/>
  <c r="DM39" i="35"/>
  <c r="DL39" i="35"/>
  <c r="DK39" i="35"/>
  <c r="DJ39" i="35"/>
  <c r="DI39" i="35"/>
  <c r="DH39" i="35"/>
  <c r="DG39" i="35"/>
  <c r="DF39" i="35"/>
  <c r="DB39" i="35"/>
  <c r="DA39" i="35"/>
  <c r="CZ39" i="35"/>
  <c r="CY39" i="35"/>
  <c r="CX39" i="35"/>
  <c r="CW39" i="35"/>
  <c r="CV39" i="35"/>
  <c r="CU39" i="35"/>
  <c r="DN38" i="35"/>
  <c r="DM38" i="35"/>
  <c r="DL38" i="35"/>
  <c r="DK38" i="35"/>
  <c r="DJ38" i="35"/>
  <c r="DI38" i="35"/>
  <c r="DH38" i="35"/>
  <c r="DG38" i="35"/>
  <c r="DF38" i="35"/>
  <c r="DB38" i="35"/>
  <c r="DA38" i="35"/>
  <c r="CZ38" i="35"/>
  <c r="CY38" i="35"/>
  <c r="CX38" i="35"/>
  <c r="CW38" i="35"/>
  <c r="CV38" i="35"/>
  <c r="CU38" i="35"/>
  <c r="DN37" i="35"/>
  <c r="DM37" i="35"/>
  <c r="DL37" i="35"/>
  <c r="DK37" i="35"/>
  <c r="DJ37" i="35"/>
  <c r="DI37" i="35"/>
  <c r="DH37" i="35"/>
  <c r="DG37" i="35"/>
  <c r="DF37" i="35"/>
  <c r="DB37" i="35"/>
  <c r="DA37" i="35"/>
  <c r="CZ37" i="35"/>
  <c r="CY37" i="35"/>
  <c r="CX37" i="35"/>
  <c r="CW37" i="35"/>
  <c r="CV37" i="35"/>
  <c r="CU37" i="35"/>
  <c r="DN36" i="35"/>
  <c r="DM36" i="35"/>
  <c r="DL36" i="35"/>
  <c r="DK36" i="35"/>
  <c r="DJ36" i="35"/>
  <c r="DI36" i="35"/>
  <c r="DH36" i="35"/>
  <c r="DG36" i="35"/>
  <c r="DF36" i="35"/>
  <c r="DB36" i="35"/>
  <c r="DA36" i="35"/>
  <c r="CZ36" i="35"/>
  <c r="CY36" i="35"/>
  <c r="CX36" i="35"/>
  <c r="CW36" i="35"/>
  <c r="CV36" i="35"/>
  <c r="CU36" i="35"/>
  <c r="DN35" i="35"/>
  <c r="DM35" i="35"/>
  <c r="DL35" i="35"/>
  <c r="DK35" i="35"/>
  <c r="DJ35" i="35"/>
  <c r="DI35" i="35"/>
  <c r="DH35" i="35"/>
  <c r="DG35" i="35"/>
  <c r="DF35" i="35"/>
  <c r="DB35" i="35"/>
  <c r="DA35" i="35"/>
  <c r="CZ35" i="35"/>
  <c r="CY35" i="35"/>
  <c r="CX35" i="35"/>
  <c r="CW35" i="35"/>
  <c r="CV35" i="35"/>
  <c r="CU35" i="35"/>
  <c r="DN34" i="35"/>
  <c r="DM34" i="35"/>
  <c r="DL34" i="35"/>
  <c r="DK34" i="35"/>
  <c r="DJ34" i="35"/>
  <c r="DI34" i="35"/>
  <c r="DH34" i="35"/>
  <c r="DG34" i="35"/>
  <c r="DF34" i="35"/>
  <c r="DB34" i="35"/>
  <c r="DA34" i="35"/>
  <c r="CZ34" i="35"/>
  <c r="CY34" i="35"/>
  <c r="CX34" i="35"/>
  <c r="CW34" i="35"/>
  <c r="CV34" i="35"/>
  <c r="CU34" i="35"/>
  <c r="DN33" i="35"/>
  <c r="DM33" i="35"/>
  <c r="DL33" i="35"/>
  <c r="DK33" i="35"/>
  <c r="DJ33" i="35"/>
  <c r="DI33" i="35"/>
  <c r="DH33" i="35"/>
  <c r="DG33" i="35"/>
  <c r="DF33" i="35"/>
  <c r="DB33" i="35"/>
  <c r="DA33" i="35"/>
  <c r="CZ33" i="35"/>
  <c r="CY33" i="35"/>
  <c r="CX33" i="35"/>
  <c r="CW33" i="35"/>
  <c r="CV33" i="35"/>
  <c r="CU33" i="35"/>
  <c r="DN32" i="35"/>
  <c r="DM32" i="35"/>
  <c r="DL32" i="35"/>
  <c r="DK32" i="35"/>
  <c r="DJ32" i="35"/>
  <c r="DI32" i="35"/>
  <c r="DH32" i="35"/>
  <c r="DG32" i="35"/>
  <c r="DF32" i="35"/>
  <c r="DB32" i="35"/>
  <c r="DA32" i="35"/>
  <c r="CZ32" i="35"/>
  <c r="CY32" i="35"/>
  <c r="CX32" i="35"/>
  <c r="CW32" i="35"/>
  <c r="CV32" i="35"/>
  <c r="CU32" i="35"/>
  <c r="DN31" i="35"/>
  <c r="DM31" i="35"/>
  <c r="DL31" i="35"/>
  <c r="DK31" i="35"/>
  <c r="DJ31" i="35"/>
  <c r="DI31" i="35"/>
  <c r="DH31" i="35"/>
  <c r="DG31" i="35"/>
  <c r="DF31" i="35"/>
  <c r="DB31" i="35"/>
  <c r="DA31" i="35"/>
  <c r="CZ31" i="35"/>
  <c r="CY31" i="35"/>
  <c r="CX31" i="35"/>
  <c r="CW31" i="35"/>
  <c r="CV31" i="35"/>
  <c r="CU31" i="35"/>
  <c r="DN30" i="35"/>
  <c r="DM30" i="35"/>
  <c r="DL30" i="35"/>
  <c r="DK30" i="35"/>
  <c r="DJ30" i="35"/>
  <c r="DI30" i="35"/>
  <c r="DH30" i="35"/>
  <c r="DG30" i="35"/>
  <c r="DF30" i="35"/>
  <c r="DB30" i="35"/>
  <c r="DA30" i="35"/>
  <c r="CZ30" i="35"/>
  <c r="CY30" i="35"/>
  <c r="CX30" i="35"/>
  <c r="CW30" i="35"/>
  <c r="CV30" i="35"/>
  <c r="CU30" i="35"/>
  <c r="DN29" i="35"/>
  <c r="DM29" i="35"/>
  <c r="DL29" i="35"/>
  <c r="DK29" i="35"/>
  <c r="DJ29" i="35"/>
  <c r="DI29" i="35"/>
  <c r="DH29" i="35"/>
  <c r="DG29" i="35"/>
  <c r="DF29" i="35"/>
  <c r="DB29" i="35"/>
  <c r="DA29" i="35"/>
  <c r="CZ29" i="35"/>
  <c r="CY29" i="35"/>
  <c r="CX29" i="35"/>
  <c r="CW29" i="35"/>
  <c r="CV29" i="35"/>
  <c r="CU29" i="35"/>
  <c r="DN28" i="35"/>
  <c r="DM28" i="35"/>
  <c r="DL28" i="35"/>
  <c r="DK28" i="35"/>
  <c r="DJ28" i="35"/>
  <c r="DI28" i="35"/>
  <c r="DH28" i="35"/>
  <c r="DG28" i="35"/>
  <c r="DF28" i="35"/>
  <c r="DB28" i="35"/>
  <c r="DA28" i="35"/>
  <c r="CZ28" i="35"/>
  <c r="CY28" i="35"/>
  <c r="CX28" i="35"/>
  <c r="CW28" i="35"/>
  <c r="CV28" i="35"/>
  <c r="CU28" i="35"/>
  <c r="DN27" i="35"/>
  <c r="DM27" i="35"/>
  <c r="DL27" i="35"/>
  <c r="DK27" i="35"/>
  <c r="DJ27" i="35"/>
  <c r="DI27" i="35"/>
  <c r="DH27" i="35"/>
  <c r="DG27" i="35"/>
  <c r="DF27" i="35"/>
  <c r="DB27" i="35"/>
  <c r="DA27" i="35"/>
  <c r="CZ27" i="35"/>
  <c r="CY27" i="35"/>
  <c r="CX27" i="35"/>
  <c r="CW27" i="35"/>
  <c r="CV27" i="35"/>
  <c r="CU27" i="35"/>
  <c r="DN26" i="35"/>
  <c r="DM26" i="35"/>
  <c r="DL26" i="35"/>
  <c r="DK26" i="35"/>
  <c r="DJ26" i="35"/>
  <c r="DI26" i="35"/>
  <c r="DH26" i="35"/>
  <c r="DG26" i="35"/>
  <c r="DF26" i="35"/>
  <c r="DB26" i="35"/>
  <c r="DA26" i="35"/>
  <c r="CZ26" i="35"/>
  <c r="CY26" i="35"/>
  <c r="CX26" i="35"/>
  <c r="CW26" i="35"/>
  <c r="CV26" i="35"/>
  <c r="CU26" i="35"/>
  <c r="DN25" i="35"/>
  <c r="DM25" i="35"/>
  <c r="DL25" i="35"/>
  <c r="DK25" i="35"/>
  <c r="DJ25" i="35"/>
  <c r="DI25" i="35"/>
  <c r="DH25" i="35"/>
  <c r="DG25" i="35"/>
  <c r="DF25" i="35"/>
  <c r="DB25" i="35"/>
  <c r="DA25" i="35"/>
  <c r="CZ25" i="35"/>
  <c r="CY25" i="35"/>
  <c r="CX25" i="35"/>
  <c r="CW25" i="35"/>
  <c r="CV25" i="35"/>
  <c r="CU25" i="35"/>
  <c r="DN24" i="35"/>
  <c r="DM24" i="35"/>
  <c r="DL24" i="35"/>
  <c r="DK24" i="35"/>
  <c r="DJ24" i="35"/>
  <c r="DI24" i="35"/>
  <c r="DH24" i="35"/>
  <c r="DG24" i="35"/>
  <c r="DF24" i="35"/>
  <c r="DB24" i="35"/>
  <c r="DA24" i="35"/>
  <c r="CZ24" i="35"/>
  <c r="CY24" i="35"/>
  <c r="CX24" i="35"/>
  <c r="CW24" i="35"/>
  <c r="CV24" i="35"/>
  <c r="CU24" i="35"/>
  <c r="DN23" i="35"/>
  <c r="DM23" i="35"/>
  <c r="DL23" i="35"/>
  <c r="DK23" i="35"/>
  <c r="DJ23" i="35"/>
  <c r="DI23" i="35"/>
  <c r="DH23" i="35"/>
  <c r="DG23" i="35"/>
  <c r="DF23" i="35"/>
  <c r="DB23" i="35"/>
  <c r="DA23" i="35"/>
  <c r="CZ23" i="35"/>
  <c r="CY23" i="35"/>
  <c r="CX23" i="35"/>
  <c r="CW23" i="35"/>
  <c r="CV23" i="35"/>
  <c r="CU23" i="35"/>
  <c r="DN22" i="35"/>
  <c r="DM22" i="35"/>
  <c r="DL22" i="35"/>
  <c r="DK22" i="35"/>
  <c r="DJ22" i="35"/>
  <c r="DI22" i="35"/>
  <c r="DH22" i="35"/>
  <c r="DG22" i="35"/>
  <c r="DF22" i="35"/>
  <c r="DB22" i="35"/>
  <c r="DA22" i="35"/>
  <c r="CZ22" i="35"/>
  <c r="CY22" i="35"/>
  <c r="CX22" i="35"/>
  <c r="CW22" i="35"/>
  <c r="CV22" i="35"/>
  <c r="CU22" i="35"/>
  <c r="DN21" i="35"/>
  <c r="DM21" i="35"/>
  <c r="DL21" i="35"/>
  <c r="DK21" i="35"/>
  <c r="DJ21" i="35"/>
  <c r="DI21" i="35"/>
  <c r="DH21" i="35"/>
  <c r="DG21" i="35"/>
  <c r="DF21" i="35"/>
  <c r="DB21" i="35"/>
  <c r="DA21" i="35"/>
  <c r="CZ21" i="35"/>
  <c r="CY21" i="35"/>
  <c r="CX21" i="35"/>
  <c r="CW21" i="35"/>
  <c r="CV21" i="35"/>
  <c r="CU21" i="35"/>
  <c r="DN20" i="35"/>
  <c r="DM20" i="35"/>
  <c r="DL20" i="35"/>
  <c r="DK20" i="35"/>
  <c r="DJ20" i="35"/>
  <c r="DI20" i="35"/>
  <c r="DH20" i="35"/>
  <c r="DG20" i="35"/>
  <c r="DF20" i="35"/>
  <c r="DB20" i="35"/>
  <c r="DA20" i="35"/>
  <c r="CZ20" i="35"/>
  <c r="CY20" i="35"/>
  <c r="CX20" i="35"/>
  <c r="CW20" i="35"/>
  <c r="CV20" i="35"/>
  <c r="CU20" i="35"/>
  <c r="DN19" i="35"/>
  <c r="DM19" i="35"/>
  <c r="DL19" i="35"/>
  <c r="DK19" i="35"/>
  <c r="DJ19" i="35"/>
  <c r="DI19" i="35"/>
  <c r="DH19" i="35"/>
  <c r="DG19" i="35"/>
  <c r="DF19" i="35"/>
  <c r="DB19" i="35"/>
  <c r="DA19" i="35"/>
  <c r="CZ19" i="35"/>
  <c r="CY19" i="35"/>
  <c r="CX19" i="35"/>
  <c r="CW19" i="35"/>
  <c r="CV19" i="35"/>
  <c r="CU19" i="35"/>
  <c r="DN18" i="35"/>
  <c r="DM18" i="35"/>
  <c r="DL18" i="35"/>
  <c r="DK18" i="35"/>
  <c r="DJ18" i="35"/>
  <c r="DI18" i="35"/>
  <c r="DH18" i="35"/>
  <c r="DG18" i="35"/>
  <c r="DF18" i="35"/>
  <c r="DB18" i="35"/>
  <c r="DA18" i="35"/>
  <c r="CZ18" i="35"/>
  <c r="CY18" i="35"/>
  <c r="CX18" i="35"/>
  <c r="CW18" i="35"/>
  <c r="CV18" i="35"/>
  <c r="CU18" i="35"/>
  <c r="DN17" i="35"/>
  <c r="DM17" i="35"/>
  <c r="DL17" i="35"/>
  <c r="DK17" i="35"/>
  <c r="DJ17" i="35"/>
  <c r="DI17" i="35"/>
  <c r="DH17" i="35"/>
  <c r="DG17" i="35"/>
  <c r="DF17" i="35"/>
  <c r="DB17" i="35"/>
  <c r="DA17" i="35"/>
  <c r="CZ17" i="35"/>
  <c r="CY17" i="35"/>
  <c r="CX17" i="35"/>
  <c r="CW17" i="35"/>
  <c r="CV17" i="35"/>
  <c r="CU17" i="35"/>
  <c r="DN16" i="35"/>
  <c r="DM16" i="35"/>
  <c r="DL16" i="35"/>
  <c r="DK16" i="35"/>
  <c r="DJ16" i="35"/>
  <c r="DI16" i="35"/>
  <c r="DH16" i="35"/>
  <c r="DG16" i="35"/>
  <c r="DF16" i="35"/>
  <c r="DB16" i="35"/>
  <c r="DA16" i="35"/>
  <c r="CZ16" i="35"/>
  <c r="CY16" i="35"/>
  <c r="CX16" i="35"/>
  <c r="CW16" i="35"/>
  <c r="CV16" i="35"/>
  <c r="CU16" i="35"/>
  <c r="DN15" i="35"/>
  <c r="DM15" i="35"/>
  <c r="DL15" i="35"/>
  <c r="DK15" i="35"/>
  <c r="DJ15" i="35"/>
  <c r="DI15" i="35"/>
  <c r="DH15" i="35"/>
  <c r="DG15" i="35"/>
  <c r="DF15" i="35"/>
  <c r="DB15" i="35"/>
  <c r="DA15" i="35"/>
  <c r="CZ15" i="35"/>
  <c r="CY15" i="35"/>
  <c r="CX15" i="35"/>
  <c r="CW15" i="35"/>
  <c r="CV15" i="35"/>
  <c r="CU15" i="35"/>
  <c r="DN14" i="35"/>
  <c r="DM14" i="35"/>
  <c r="DL14" i="35"/>
  <c r="DK14" i="35"/>
  <c r="DJ14" i="35"/>
  <c r="DI14" i="35"/>
  <c r="DH14" i="35"/>
  <c r="DG14" i="35"/>
  <c r="DF14" i="35"/>
  <c r="DB14" i="35"/>
  <c r="DA14" i="35"/>
  <c r="CZ14" i="35"/>
  <c r="CY14" i="35"/>
  <c r="CX14" i="35"/>
  <c r="CW14" i="35"/>
  <c r="CV14" i="35"/>
  <c r="CU14" i="35"/>
  <c r="DN13" i="35"/>
  <c r="DM13" i="35"/>
  <c r="DL13" i="35"/>
  <c r="DK13" i="35"/>
  <c r="DJ13" i="35"/>
  <c r="DI13" i="35"/>
  <c r="DH13" i="35"/>
  <c r="DG13" i="35"/>
  <c r="DF13" i="35"/>
  <c r="DB13" i="35"/>
  <c r="DA13" i="35"/>
  <c r="CZ13" i="35"/>
  <c r="CY13" i="35"/>
  <c r="CX13" i="35"/>
  <c r="CW13" i="35"/>
  <c r="CV13" i="35"/>
  <c r="CU13" i="35"/>
  <c r="DN12" i="35"/>
  <c r="DM12" i="35"/>
  <c r="DL12" i="35"/>
  <c r="DK12" i="35"/>
  <c r="DJ12" i="35"/>
  <c r="DI12" i="35"/>
  <c r="DH12" i="35"/>
  <c r="DG12" i="35"/>
  <c r="DF12" i="35"/>
  <c r="DB12" i="35"/>
  <c r="DA12" i="35"/>
  <c r="CZ12" i="35"/>
  <c r="CY12" i="35"/>
  <c r="CX12" i="35"/>
  <c r="CW12" i="35"/>
  <c r="CV12" i="35"/>
  <c r="CU12" i="35"/>
  <c r="DN11" i="35"/>
  <c r="DM11" i="35"/>
  <c r="DL11" i="35"/>
  <c r="DK11" i="35"/>
  <c r="DJ11" i="35"/>
  <c r="DI11" i="35"/>
  <c r="DH11" i="35"/>
  <c r="DG11" i="35"/>
  <c r="DF11" i="35"/>
  <c r="DB11" i="35"/>
  <c r="DA11" i="35"/>
  <c r="CZ11" i="35"/>
  <c r="CY11" i="35"/>
  <c r="CX11" i="35"/>
  <c r="CW11" i="35"/>
  <c r="CV11" i="35"/>
  <c r="CU11" i="35"/>
  <c r="DN10" i="35"/>
  <c r="DM10" i="35"/>
  <c r="DL10" i="35"/>
  <c r="DK10" i="35"/>
  <c r="DJ10" i="35"/>
  <c r="DI10" i="35"/>
  <c r="DH10" i="35"/>
  <c r="DG10" i="35"/>
  <c r="DF10" i="35"/>
  <c r="DB10" i="35"/>
  <c r="DA10" i="35"/>
  <c r="CZ10" i="35"/>
  <c r="CY10" i="35"/>
  <c r="CX10" i="35"/>
  <c r="CW10" i="35"/>
  <c r="CV10" i="35"/>
  <c r="CU10" i="35"/>
  <c r="DN9" i="35"/>
  <c r="DM9" i="35"/>
  <c r="DL9" i="35"/>
  <c r="DK9" i="35"/>
  <c r="DJ9" i="35"/>
  <c r="DI9" i="35"/>
  <c r="DH9" i="35"/>
  <c r="DG9" i="35"/>
  <c r="DF9" i="35"/>
  <c r="DB9" i="35"/>
  <c r="DA9" i="35"/>
  <c r="CZ9" i="35"/>
  <c r="CY9" i="35"/>
  <c r="CX9" i="35"/>
  <c r="CW9" i="35"/>
  <c r="CV9" i="35"/>
  <c r="CU9" i="35"/>
  <c r="A34" i="63"/>
  <c r="A35" i="63" s="1"/>
  <c r="A36" i="63" s="1"/>
  <c r="A37" i="63" s="1"/>
  <c r="A38" i="63" s="1"/>
  <c r="A39" i="63" s="1"/>
  <c r="A40" i="63" s="1"/>
  <c r="A41" i="63" s="1"/>
  <c r="A42" i="63" s="1"/>
  <c r="A43" i="63" s="1"/>
  <c r="A44" i="63" s="1"/>
  <c r="A45" i="63" s="1"/>
  <c r="A46" i="63" s="1"/>
  <c r="A47" i="63" s="1"/>
  <c r="A48" i="63" s="1"/>
  <c r="A49" i="63" s="1"/>
  <c r="A50" i="63" s="1"/>
  <c r="A51" i="63" s="1"/>
  <c r="A52" i="63" s="1"/>
  <c r="A53" i="63" s="1"/>
  <c r="A54" i="63" s="1"/>
  <c r="A55" i="63" s="1"/>
  <c r="A56" i="63" s="1"/>
  <c r="A57" i="63" s="1"/>
  <c r="A58" i="63" s="1"/>
  <c r="A59" i="63" s="1"/>
  <c r="A60" i="63" s="1"/>
  <c r="A61" i="63" s="1"/>
  <c r="A62" i="63" s="1"/>
  <c r="A63" i="63" s="1"/>
  <c r="A64" i="63" s="1"/>
  <c r="A65" i="63" s="1"/>
  <c r="A66" i="63" s="1"/>
  <c r="A67" i="63" s="1"/>
  <c r="A68" i="63" s="1"/>
  <c r="A69" i="63" s="1"/>
  <c r="A70" i="63" s="1"/>
  <c r="A71" i="63" s="1"/>
  <c r="A72" i="63" s="1"/>
  <c r="A73" i="63" s="1"/>
  <c r="CA8" i="57"/>
  <c r="CB8" i="57"/>
  <c r="CC8" i="57"/>
  <c r="CD8" i="57"/>
  <c r="CE8" i="57"/>
  <c r="CF8" i="57"/>
  <c r="CG8" i="57"/>
  <c r="CH8" i="57"/>
  <c r="CA9" i="57"/>
  <c r="CB9" i="57"/>
  <c r="CC9" i="57"/>
  <c r="CD9" i="57"/>
  <c r="CE9" i="57"/>
  <c r="CF9" i="57"/>
  <c r="CG9" i="57"/>
  <c r="CH9" i="57"/>
  <c r="CA10" i="57"/>
  <c r="CB10" i="57"/>
  <c r="CC10" i="57"/>
  <c r="CD10" i="57"/>
  <c r="CE10" i="57"/>
  <c r="CF10" i="57"/>
  <c r="CG10" i="57"/>
  <c r="CH10" i="57"/>
  <c r="CA11" i="57"/>
  <c r="CB11" i="57"/>
  <c r="CC11" i="57"/>
  <c r="CD11" i="57"/>
  <c r="CE11" i="57"/>
  <c r="CF11" i="57"/>
  <c r="CG11" i="57"/>
  <c r="CH11" i="57"/>
  <c r="CA12" i="57"/>
  <c r="CB12" i="57"/>
  <c r="CC12" i="57"/>
  <c r="CD12" i="57"/>
  <c r="CE12" i="57"/>
  <c r="CF12" i="57"/>
  <c r="CG12" i="57"/>
  <c r="CH12" i="57"/>
  <c r="CA13" i="57"/>
  <c r="CB13" i="57"/>
  <c r="CC13" i="57"/>
  <c r="CD13" i="57"/>
  <c r="CE13" i="57"/>
  <c r="CF13" i="57"/>
  <c r="CG13" i="57"/>
  <c r="CH13" i="57"/>
  <c r="CA14" i="57"/>
  <c r="CB14" i="57"/>
  <c r="CC14" i="57"/>
  <c r="CD14" i="57"/>
  <c r="CE14" i="57"/>
  <c r="CF14" i="57"/>
  <c r="CG14" i="57"/>
  <c r="CH14" i="57"/>
  <c r="CA15" i="57"/>
  <c r="CB15" i="57"/>
  <c r="CC15" i="57"/>
  <c r="CD15" i="57"/>
  <c r="CE15" i="57"/>
  <c r="CF15" i="57"/>
  <c r="CG15" i="57"/>
  <c r="CH15" i="57"/>
  <c r="CA16" i="57"/>
  <c r="CB16" i="57"/>
  <c r="CC16" i="57"/>
  <c r="CD16" i="57"/>
  <c r="CE16" i="57"/>
  <c r="CF16" i="57"/>
  <c r="CG16" i="57"/>
  <c r="CH16" i="57"/>
  <c r="CA17" i="57"/>
  <c r="CB17" i="57"/>
  <c r="CC17" i="57"/>
  <c r="CD17" i="57"/>
  <c r="CE17" i="57"/>
  <c r="CF17" i="57"/>
  <c r="CG17" i="57"/>
  <c r="CH17" i="57"/>
  <c r="CA18" i="57"/>
  <c r="CB18" i="57"/>
  <c r="CC18" i="57"/>
  <c r="CD18" i="57"/>
  <c r="CE18" i="57"/>
  <c r="CF18" i="57"/>
  <c r="CG18" i="57"/>
  <c r="CH18" i="57"/>
  <c r="CA19" i="57"/>
  <c r="CB19" i="57"/>
  <c r="CC19" i="57"/>
  <c r="CD19" i="57"/>
  <c r="CE19" i="57"/>
  <c r="CF19" i="57"/>
  <c r="CG19" i="57"/>
  <c r="CH19" i="57"/>
  <c r="CA20" i="57"/>
  <c r="CB20" i="57"/>
  <c r="CC20" i="57"/>
  <c r="CD20" i="57"/>
  <c r="CE20" i="57"/>
  <c r="CF20" i="57"/>
  <c r="CG20" i="57"/>
  <c r="CH20" i="57"/>
  <c r="CA21" i="57"/>
  <c r="CB21" i="57"/>
  <c r="CC21" i="57"/>
  <c r="CD21" i="57"/>
  <c r="CE21" i="57"/>
  <c r="CF21" i="57"/>
  <c r="CG21" i="57"/>
  <c r="CH21" i="57"/>
  <c r="CA22" i="57"/>
  <c r="CB22" i="57"/>
  <c r="CC22" i="57"/>
  <c r="CD22" i="57"/>
  <c r="CE22" i="57"/>
  <c r="CF22" i="57"/>
  <c r="CG22" i="57"/>
  <c r="CH22" i="57"/>
  <c r="CA23" i="57"/>
  <c r="CB23" i="57"/>
  <c r="CC23" i="57"/>
  <c r="CD23" i="57"/>
  <c r="CE23" i="57"/>
  <c r="CF23" i="57"/>
  <c r="CG23" i="57"/>
  <c r="CH23" i="57"/>
  <c r="CA24" i="57"/>
  <c r="CB24" i="57"/>
  <c r="CC24" i="57"/>
  <c r="CD24" i="57"/>
  <c r="CE24" i="57"/>
  <c r="CF24" i="57"/>
  <c r="CG24" i="57"/>
  <c r="CH24" i="57"/>
  <c r="CA25" i="57"/>
  <c r="CB25" i="57"/>
  <c r="CC25" i="57"/>
  <c r="CD25" i="57"/>
  <c r="CE25" i="57"/>
  <c r="CF25" i="57"/>
  <c r="CG25" i="57"/>
  <c r="CH25" i="57"/>
  <c r="CA26" i="57"/>
  <c r="CB26" i="57"/>
  <c r="CC26" i="57"/>
  <c r="CD26" i="57"/>
  <c r="CE26" i="57"/>
  <c r="CF26" i="57"/>
  <c r="CG26" i="57"/>
  <c r="CH26" i="57"/>
  <c r="CA27" i="57"/>
  <c r="CB27" i="57"/>
  <c r="CC27" i="57"/>
  <c r="CD27" i="57"/>
  <c r="CE27" i="57"/>
  <c r="CF27" i="57"/>
  <c r="CG27" i="57"/>
  <c r="CH27" i="57"/>
  <c r="CA28" i="57"/>
  <c r="CB28" i="57"/>
  <c r="CC28" i="57"/>
  <c r="CD28" i="57"/>
  <c r="CE28" i="57"/>
  <c r="CF28" i="57"/>
  <c r="CG28" i="57"/>
  <c r="CH28" i="57"/>
  <c r="CA29" i="57"/>
  <c r="CB29" i="57"/>
  <c r="CC29" i="57"/>
  <c r="CD29" i="57"/>
  <c r="CE29" i="57"/>
  <c r="CF29" i="57"/>
  <c r="CG29" i="57"/>
  <c r="CH29" i="57"/>
  <c r="CA30" i="57"/>
  <c r="CB30" i="57"/>
  <c r="CC30" i="57"/>
  <c r="CD30" i="57"/>
  <c r="CE30" i="57"/>
  <c r="CF30" i="57"/>
  <c r="CG30" i="57"/>
  <c r="CH30" i="57"/>
  <c r="CA31" i="57"/>
  <c r="CB31" i="57"/>
  <c r="CC31" i="57"/>
  <c r="CD31" i="57"/>
  <c r="CE31" i="57"/>
  <c r="CF31" i="57"/>
  <c r="CG31" i="57"/>
  <c r="CH31" i="57"/>
  <c r="CA32" i="57"/>
  <c r="CB32" i="57"/>
  <c r="CC32" i="57"/>
  <c r="CD32" i="57"/>
  <c r="CE32" i="57"/>
  <c r="CF32" i="57"/>
  <c r="CG32" i="57"/>
  <c r="CH32" i="57"/>
  <c r="CA33" i="57"/>
  <c r="CB33" i="57"/>
  <c r="CC33" i="57"/>
  <c r="CD33" i="57"/>
  <c r="CE33" i="57"/>
  <c r="CF33" i="57"/>
  <c r="CG33" i="57"/>
  <c r="CH33" i="57"/>
  <c r="CA34" i="57"/>
  <c r="CB34" i="57"/>
  <c r="CC34" i="57"/>
  <c r="CD34" i="57"/>
  <c r="CE34" i="57"/>
  <c r="CF34" i="57"/>
  <c r="CG34" i="57"/>
  <c r="CH34" i="57"/>
  <c r="CA35" i="57"/>
  <c r="CB35" i="57"/>
  <c r="CC35" i="57"/>
  <c r="CD35" i="57"/>
  <c r="CE35" i="57"/>
  <c r="CF35" i="57"/>
  <c r="CG35" i="57"/>
  <c r="CH35" i="57"/>
  <c r="CA36" i="57"/>
  <c r="CB36" i="57"/>
  <c r="CC36" i="57"/>
  <c r="CD36" i="57"/>
  <c r="CE36" i="57"/>
  <c r="CF36" i="57"/>
  <c r="CG36" i="57"/>
  <c r="CH36" i="57"/>
  <c r="CA37" i="57"/>
  <c r="CB37" i="57"/>
  <c r="CC37" i="57"/>
  <c r="CD37" i="57"/>
  <c r="CE37" i="57"/>
  <c r="CF37" i="57"/>
  <c r="CG37" i="57"/>
  <c r="CH37" i="57"/>
  <c r="CA38" i="57"/>
  <c r="CB38" i="57"/>
  <c r="CC38" i="57"/>
  <c r="CD38" i="57"/>
  <c r="CE38" i="57"/>
  <c r="CF38" i="57"/>
  <c r="CG38" i="57"/>
  <c r="CH38" i="57"/>
  <c r="CA39" i="57"/>
  <c r="CB39" i="57"/>
  <c r="CC39" i="57"/>
  <c r="CD39" i="57"/>
  <c r="CE39" i="57"/>
  <c r="CF39" i="57"/>
  <c r="CG39" i="57"/>
  <c r="CH39" i="57"/>
  <c r="CA40" i="57"/>
  <c r="CB40" i="57"/>
  <c r="CC40" i="57"/>
  <c r="CD40" i="57"/>
  <c r="CE40" i="57"/>
  <c r="CF40" i="57"/>
  <c r="CG40" i="57"/>
  <c r="CH40" i="57"/>
  <c r="CA41" i="57"/>
  <c r="CB41" i="57"/>
  <c r="CC41" i="57"/>
  <c r="CD41" i="57"/>
  <c r="CE41" i="57"/>
  <c r="CF41" i="57"/>
  <c r="CG41" i="57"/>
  <c r="CH41" i="57"/>
  <c r="CA42" i="57"/>
  <c r="CB42" i="57"/>
  <c r="CC42" i="57"/>
  <c r="CD42" i="57"/>
  <c r="CE42" i="57"/>
  <c r="CF42" i="57"/>
  <c r="CG42" i="57"/>
  <c r="CH42" i="57"/>
  <c r="CA43" i="57"/>
  <c r="CB43" i="57"/>
  <c r="CC43" i="57"/>
  <c r="CD43" i="57"/>
  <c r="CE43" i="57"/>
  <c r="CF43" i="57"/>
  <c r="CG43" i="57"/>
  <c r="CH43" i="57"/>
  <c r="CA44" i="57"/>
  <c r="CB44" i="57"/>
  <c r="CC44" i="57"/>
  <c r="CD44" i="57"/>
  <c r="CE44" i="57"/>
  <c r="CF44" i="57"/>
  <c r="CG44" i="57"/>
  <c r="CH44" i="57"/>
  <c r="CU45" i="57"/>
  <c r="CV45" i="57"/>
  <c r="CW45" i="57"/>
  <c r="CX45" i="57"/>
  <c r="CH45" i="57"/>
  <c r="CG45" i="57"/>
  <c r="CF45" i="57"/>
  <c r="CE45" i="57"/>
  <c r="CD45" i="57"/>
  <c r="CC45" i="57"/>
  <c r="CB45" i="57"/>
  <c r="CA45" i="57"/>
  <c r="DF9" i="57"/>
  <c r="DG9" i="57"/>
  <c r="DH9" i="57"/>
  <c r="DI9" i="57"/>
  <c r="DF10" i="57"/>
  <c r="DG10" i="57"/>
  <c r="DH10" i="57"/>
  <c r="DI10" i="57"/>
  <c r="DF11" i="57"/>
  <c r="DG11" i="57"/>
  <c r="DH11" i="57"/>
  <c r="DI11" i="57"/>
  <c r="DF12" i="57"/>
  <c r="DG12" i="57"/>
  <c r="DH12" i="57"/>
  <c r="DI12" i="57"/>
  <c r="DF13" i="57"/>
  <c r="DG13" i="57"/>
  <c r="DH13" i="57"/>
  <c r="DI13" i="57"/>
  <c r="DF14" i="57"/>
  <c r="DG14" i="57"/>
  <c r="DH14" i="57"/>
  <c r="DI14" i="57"/>
  <c r="DF15" i="57"/>
  <c r="DG15" i="57"/>
  <c r="DH15" i="57"/>
  <c r="DI15" i="57"/>
  <c r="DF16" i="57"/>
  <c r="DG16" i="57"/>
  <c r="DH16" i="57"/>
  <c r="DI16" i="57"/>
  <c r="DF17" i="57"/>
  <c r="DG17" i="57"/>
  <c r="DH17" i="57"/>
  <c r="DI17" i="57"/>
  <c r="DF18" i="57"/>
  <c r="DG18" i="57"/>
  <c r="DH18" i="57"/>
  <c r="DI18" i="57"/>
  <c r="DF19" i="57"/>
  <c r="DG19" i="57"/>
  <c r="DH19" i="57"/>
  <c r="DI19" i="57"/>
  <c r="DF20" i="57"/>
  <c r="DG20" i="57"/>
  <c r="DH20" i="57"/>
  <c r="DI20" i="57"/>
  <c r="DF21" i="57"/>
  <c r="DG21" i="57"/>
  <c r="DH21" i="57"/>
  <c r="DI21" i="57"/>
  <c r="DF22" i="57"/>
  <c r="DG22" i="57"/>
  <c r="DH22" i="57"/>
  <c r="DI22" i="57"/>
  <c r="DF23" i="57"/>
  <c r="DG23" i="57"/>
  <c r="DH23" i="57"/>
  <c r="DI23" i="57"/>
  <c r="DF24" i="57"/>
  <c r="DG24" i="57"/>
  <c r="DH24" i="57"/>
  <c r="DI24" i="57"/>
  <c r="DF25" i="57"/>
  <c r="DG25" i="57"/>
  <c r="DH25" i="57"/>
  <c r="DI25" i="57"/>
  <c r="DF26" i="57"/>
  <c r="DG26" i="57"/>
  <c r="DH26" i="57"/>
  <c r="DI26" i="57"/>
  <c r="DF27" i="57"/>
  <c r="DG27" i="57"/>
  <c r="DH27" i="57"/>
  <c r="DI27" i="57"/>
  <c r="DF28" i="57"/>
  <c r="DG28" i="57"/>
  <c r="DH28" i="57"/>
  <c r="DI28" i="57"/>
  <c r="DF29" i="57"/>
  <c r="DG29" i="57"/>
  <c r="DH29" i="57"/>
  <c r="DI29" i="57"/>
  <c r="DF30" i="57"/>
  <c r="DG30" i="57"/>
  <c r="DH30" i="57"/>
  <c r="DI30" i="57"/>
  <c r="DF31" i="57"/>
  <c r="DG31" i="57"/>
  <c r="DH31" i="57"/>
  <c r="DI31" i="57"/>
  <c r="DF32" i="57"/>
  <c r="DG32" i="57"/>
  <c r="DH32" i="57"/>
  <c r="DI32" i="57"/>
  <c r="DF33" i="57"/>
  <c r="DG33" i="57"/>
  <c r="DH33" i="57"/>
  <c r="DI33" i="57"/>
  <c r="DF34" i="57"/>
  <c r="DG34" i="57"/>
  <c r="DH34" i="57"/>
  <c r="DI34" i="57"/>
  <c r="DF35" i="57"/>
  <c r="DG35" i="57"/>
  <c r="DH35" i="57"/>
  <c r="DI35" i="57"/>
  <c r="DF36" i="57"/>
  <c r="DG36" i="57"/>
  <c r="DH36" i="57"/>
  <c r="DI36" i="57"/>
  <c r="DF37" i="57"/>
  <c r="DG37" i="57"/>
  <c r="DH37" i="57"/>
  <c r="DI37" i="57"/>
  <c r="DF38" i="57"/>
  <c r="DG38" i="57"/>
  <c r="DH38" i="57"/>
  <c r="DI38" i="57"/>
  <c r="DF39" i="57"/>
  <c r="DG39" i="57"/>
  <c r="DH39" i="57"/>
  <c r="DI39" i="57"/>
  <c r="DF40" i="57"/>
  <c r="DG40" i="57"/>
  <c r="DH40" i="57"/>
  <c r="DI40" i="57"/>
  <c r="DF41" i="57"/>
  <c r="DG41" i="57"/>
  <c r="DH41" i="57"/>
  <c r="DI41" i="57"/>
  <c r="DF42" i="57"/>
  <c r="DG42" i="57"/>
  <c r="DH42" i="57"/>
  <c r="DI42" i="57"/>
  <c r="DF43" i="57"/>
  <c r="DG43" i="57"/>
  <c r="DH43" i="57"/>
  <c r="DI43" i="57"/>
  <c r="DF44" i="57"/>
  <c r="DG44" i="57"/>
  <c r="DH44" i="57"/>
  <c r="DI44" i="57"/>
  <c r="DF45" i="57"/>
  <c r="DG45" i="57"/>
  <c r="DH45" i="57"/>
  <c r="DI45" i="57"/>
  <c r="DI8" i="57"/>
  <c r="DH8" i="57"/>
  <c r="DG8" i="57"/>
  <c r="DF8" i="57"/>
  <c r="CU8" i="57"/>
  <c r="DJ9" i="57"/>
  <c r="DK9" i="57"/>
  <c r="DL9" i="57"/>
  <c r="DM9" i="57"/>
  <c r="DN9" i="57"/>
  <c r="DJ10" i="57"/>
  <c r="DK10" i="57"/>
  <c r="DL10" i="57"/>
  <c r="DM10" i="57"/>
  <c r="DN10" i="57"/>
  <c r="DJ11" i="57"/>
  <c r="DK11" i="57"/>
  <c r="DL11" i="57"/>
  <c r="DM11" i="57"/>
  <c r="DN11" i="57"/>
  <c r="DJ12" i="57"/>
  <c r="DK12" i="57"/>
  <c r="DL12" i="57"/>
  <c r="DM12" i="57"/>
  <c r="DN12" i="57"/>
  <c r="DJ13" i="57"/>
  <c r="DK13" i="57"/>
  <c r="DL13" i="57"/>
  <c r="DM13" i="57"/>
  <c r="DN13" i="57"/>
  <c r="DJ14" i="57"/>
  <c r="DK14" i="57"/>
  <c r="DL14" i="57"/>
  <c r="DM14" i="57"/>
  <c r="DN14" i="57"/>
  <c r="DJ15" i="57"/>
  <c r="DK15" i="57"/>
  <c r="DL15" i="57"/>
  <c r="DM15" i="57"/>
  <c r="DN15" i="57"/>
  <c r="DJ16" i="57"/>
  <c r="DK16" i="57"/>
  <c r="DL16" i="57"/>
  <c r="DM16" i="57"/>
  <c r="DN16" i="57"/>
  <c r="DJ17" i="57"/>
  <c r="DK17" i="57"/>
  <c r="DL17" i="57"/>
  <c r="DM17" i="57"/>
  <c r="DN17" i="57"/>
  <c r="DJ18" i="57"/>
  <c r="DK18" i="57"/>
  <c r="DL18" i="57"/>
  <c r="DM18" i="57"/>
  <c r="DN18" i="57"/>
  <c r="DJ19" i="57"/>
  <c r="DK19" i="57"/>
  <c r="DL19" i="57"/>
  <c r="DM19" i="57"/>
  <c r="DN19" i="57"/>
  <c r="DJ20" i="57"/>
  <c r="DK20" i="57"/>
  <c r="DL20" i="57"/>
  <c r="DM20" i="57"/>
  <c r="DN20" i="57"/>
  <c r="DJ21" i="57"/>
  <c r="DK21" i="57"/>
  <c r="DL21" i="57"/>
  <c r="DM21" i="57"/>
  <c r="DN21" i="57"/>
  <c r="DJ22" i="57"/>
  <c r="DK22" i="57"/>
  <c r="DL22" i="57"/>
  <c r="DM22" i="57"/>
  <c r="DN22" i="57"/>
  <c r="DJ23" i="57"/>
  <c r="DK23" i="57"/>
  <c r="DL23" i="57"/>
  <c r="DM23" i="57"/>
  <c r="DN23" i="57"/>
  <c r="DJ24" i="57"/>
  <c r="DK24" i="57"/>
  <c r="DL24" i="57"/>
  <c r="DM24" i="57"/>
  <c r="DN24" i="57"/>
  <c r="DJ25" i="57"/>
  <c r="DK25" i="57"/>
  <c r="DL25" i="57"/>
  <c r="DM25" i="57"/>
  <c r="DN25" i="57"/>
  <c r="DJ26" i="57"/>
  <c r="DK26" i="57"/>
  <c r="DL26" i="57"/>
  <c r="DM26" i="57"/>
  <c r="DN26" i="57"/>
  <c r="DJ27" i="57"/>
  <c r="DK27" i="57"/>
  <c r="DL27" i="57"/>
  <c r="DM27" i="57"/>
  <c r="DN27" i="57"/>
  <c r="DJ28" i="57"/>
  <c r="DK28" i="57"/>
  <c r="DL28" i="57"/>
  <c r="DM28" i="57"/>
  <c r="DN28" i="57"/>
  <c r="DJ29" i="57"/>
  <c r="DK29" i="57"/>
  <c r="DL29" i="57"/>
  <c r="DM29" i="57"/>
  <c r="DN29" i="57"/>
  <c r="DJ30" i="57"/>
  <c r="DK30" i="57"/>
  <c r="DL30" i="57"/>
  <c r="DM30" i="57"/>
  <c r="DN30" i="57"/>
  <c r="DJ31" i="57"/>
  <c r="DK31" i="57"/>
  <c r="DL31" i="57"/>
  <c r="DM31" i="57"/>
  <c r="DN31" i="57"/>
  <c r="DJ32" i="57"/>
  <c r="DK32" i="57"/>
  <c r="DL32" i="57"/>
  <c r="DM32" i="57"/>
  <c r="DN32" i="57"/>
  <c r="DJ33" i="57"/>
  <c r="DK33" i="57"/>
  <c r="DL33" i="57"/>
  <c r="DM33" i="57"/>
  <c r="DN33" i="57"/>
  <c r="DJ34" i="57"/>
  <c r="DK34" i="57"/>
  <c r="DL34" i="57"/>
  <c r="DM34" i="57"/>
  <c r="DN34" i="57"/>
  <c r="DJ35" i="57"/>
  <c r="DK35" i="57"/>
  <c r="DL35" i="57"/>
  <c r="DM35" i="57"/>
  <c r="DN35" i="57"/>
  <c r="DJ36" i="57"/>
  <c r="DK36" i="57"/>
  <c r="DL36" i="57"/>
  <c r="DM36" i="57"/>
  <c r="DN36" i="57"/>
  <c r="DJ37" i="57"/>
  <c r="DK37" i="57"/>
  <c r="DL37" i="57"/>
  <c r="DM37" i="57"/>
  <c r="DN37" i="57"/>
  <c r="DJ38" i="57"/>
  <c r="DK38" i="57"/>
  <c r="DL38" i="57"/>
  <c r="DM38" i="57"/>
  <c r="DN38" i="57"/>
  <c r="DJ39" i="57"/>
  <c r="DK39" i="57"/>
  <c r="DL39" i="57"/>
  <c r="DM39" i="57"/>
  <c r="DN39" i="57"/>
  <c r="DJ40" i="57"/>
  <c r="DK40" i="57"/>
  <c r="DL40" i="57"/>
  <c r="DM40" i="57"/>
  <c r="DN40" i="57"/>
  <c r="DJ41" i="57"/>
  <c r="DK41" i="57"/>
  <c r="DL41" i="57"/>
  <c r="DM41" i="57"/>
  <c r="DN41" i="57"/>
  <c r="DJ42" i="57"/>
  <c r="DK42" i="57"/>
  <c r="DL42" i="57"/>
  <c r="DM42" i="57"/>
  <c r="DN42" i="57"/>
  <c r="DJ43" i="57"/>
  <c r="DK43" i="57"/>
  <c r="DL43" i="57"/>
  <c r="DM43" i="57"/>
  <c r="DN43" i="57"/>
  <c r="DJ44" i="57"/>
  <c r="DK44" i="57"/>
  <c r="DL44" i="57"/>
  <c r="DM44" i="57"/>
  <c r="DN44" i="57"/>
  <c r="DJ45" i="57"/>
  <c r="DK45" i="57"/>
  <c r="DL45" i="57"/>
  <c r="DM45" i="57"/>
  <c r="DN45" i="57"/>
  <c r="DM8" i="57"/>
  <c r="DL8" i="57"/>
  <c r="DK8" i="57"/>
  <c r="DJ8" i="57"/>
  <c r="DN8" i="57"/>
  <c r="CU9" i="57"/>
  <c r="CV9" i="57"/>
  <c r="CW9" i="57"/>
  <c r="CX9" i="57"/>
  <c r="CU10" i="57"/>
  <c r="CV10" i="57"/>
  <c r="CW10" i="57"/>
  <c r="CX10" i="57"/>
  <c r="CU11" i="57"/>
  <c r="CV11" i="57"/>
  <c r="CW11" i="57"/>
  <c r="CX11" i="57"/>
  <c r="CU12" i="57"/>
  <c r="CV12" i="57"/>
  <c r="CW12" i="57"/>
  <c r="CX12" i="57"/>
  <c r="CU13" i="57"/>
  <c r="CV13" i="57"/>
  <c r="CW13" i="57"/>
  <c r="CX13" i="57"/>
  <c r="CU14" i="57"/>
  <c r="CV14" i="57"/>
  <c r="CW14" i="57"/>
  <c r="CX14" i="57"/>
  <c r="CU15" i="57"/>
  <c r="CV15" i="57"/>
  <c r="CW15" i="57"/>
  <c r="CX15" i="57"/>
  <c r="CU16" i="57"/>
  <c r="CV16" i="57"/>
  <c r="CW16" i="57"/>
  <c r="CX16" i="57"/>
  <c r="CU17" i="57"/>
  <c r="CV17" i="57"/>
  <c r="CW17" i="57"/>
  <c r="CX17" i="57"/>
  <c r="CU18" i="57"/>
  <c r="CV18" i="57"/>
  <c r="CW18" i="57"/>
  <c r="CX18" i="57"/>
  <c r="CU19" i="57"/>
  <c r="CV19" i="57"/>
  <c r="CW19" i="57"/>
  <c r="CX19" i="57"/>
  <c r="CU20" i="57"/>
  <c r="CV20" i="57"/>
  <c r="CW20" i="57"/>
  <c r="CX20" i="57"/>
  <c r="CU21" i="57"/>
  <c r="CV21" i="57"/>
  <c r="CW21" i="57"/>
  <c r="CX21" i="57"/>
  <c r="CU22" i="57"/>
  <c r="CV22" i="57"/>
  <c r="CW22" i="57"/>
  <c r="CX22" i="57"/>
  <c r="CU23" i="57"/>
  <c r="CV23" i="57"/>
  <c r="CW23" i="57"/>
  <c r="CX23" i="57"/>
  <c r="CU24" i="57"/>
  <c r="CV24" i="57"/>
  <c r="CW24" i="57"/>
  <c r="CX24" i="57"/>
  <c r="CU25" i="57"/>
  <c r="CV25" i="57"/>
  <c r="CW25" i="57"/>
  <c r="CX25" i="57"/>
  <c r="CU26" i="57"/>
  <c r="CV26" i="57"/>
  <c r="CW26" i="57"/>
  <c r="CX26" i="57"/>
  <c r="CU27" i="57"/>
  <c r="CV27" i="57"/>
  <c r="CW27" i="57"/>
  <c r="CX27" i="57"/>
  <c r="CU28" i="57"/>
  <c r="CV28" i="57"/>
  <c r="CW28" i="57"/>
  <c r="CX28" i="57"/>
  <c r="CU29" i="57"/>
  <c r="CV29" i="57"/>
  <c r="CW29" i="57"/>
  <c r="CX29" i="57"/>
  <c r="CU30" i="57"/>
  <c r="CV30" i="57"/>
  <c r="CW30" i="57"/>
  <c r="CX30" i="57"/>
  <c r="CU31" i="57"/>
  <c r="CV31" i="57"/>
  <c r="CW31" i="57"/>
  <c r="CX31" i="57"/>
  <c r="CU32" i="57"/>
  <c r="CV32" i="57"/>
  <c r="CW32" i="57"/>
  <c r="CX32" i="57"/>
  <c r="CU33" i="57"/>
  <c r="CV33" i="57"/>
  <c r="CW33" i="57"/>
  <c r="CX33" i="57"/>
  <c r="CU34" i="57"/>
  <c r="CV34" i="57"/>
  <c r="CW34" i="57"/>
  <c r="CX34" i="57"/>
  <c r="CU35" i="57"/>
  <c r="CV35" i="57"/>
  <c r="CW35" i="57"/>
  <c r="CX35" i="57"/>
  <c r="CU36" i="57"/>
  <c r="CV36" i="57"/>
  <c r="CW36" i="57"/>
  <c r="CX36" i="57"/>
  <c r="CU37" i="57"/>
  <c r="CV37" i="57"/>
  <c r="CW37" i="57"/>
  <c r="CX37" i="57"/>
  <c r="CU38" i="57"/>
  <c r="CV38" i="57"/>
  <c r="CW38" i="57"/>
  <c r="CX38" i="57"/>
  <c r="CU39" i="57"/>
  <c r="CV39" i="57"/>
  <c r="CW39" i="57"/>
  <c r="CX39" i="57"/>
  <c r="CU40" i="57"/>
  <c r="CV40" i="57"/>
  <c r="CW40" i="57"/>
  <c r="CX40" i="57"/>
  <c r="CU41" i="57"/>
  <c r="CV41" i="57"/>
  <c r="CW41" i="57"/>
  <c r="CX41" i="57"/>
  <c r="CU42" i="57"/>
  <c r="CV42" i="57"/>
  <c r="CW42" i="57"/>
  <c r="CX42" i="57"/>
  <c r="CU43" i="57"/>
  <c r="CV43" i="57"/>
  <c r="CW43" i="57"/>
  <c r="CX43" i="57"/>
  <c r="CU44" i="57"/>
  <c r="CV44" i="57"/>
  <c r="CW44" i="57"/>
  <c r="CX44" i="57"/>
  <c r="CX8" i="57"/>
  <c r="CW8" i="57"/>
  <c r="CV8" i="57"/>
  <c r="CY9" i="57"/>
  <c r="CZ9" i="57"/>
  <c r="DA9" i="57"/>
  <c r="DB9" i="57"/>
  <c r="CY10" i="57"/>
  <c r="CZ10" i="57"/>
  <c r="DA10" i="57"/>
  <c r="DB10" i="57"/>
  <c r="CY11" i="57"/>
  <c r="CZ11" i="57"/>
  <c r="DA11" i="57"/>
  <c r="DB11" i="57"/>
  <c r="CY12" i="57"/>
  <c r="CZ12" i="57"/>
  <c r="DA12" i="57"/>
  <c r="DB12" i="57"/>
  <c r="CY13" i="57"/>
  <c r="CZ13" i="57"/>
  <c r="DA13" i="57"/>
  <c r="DB13" i="57"/>
  <c r="CY14" i="57"/>
  <c r="CZ14" i="57"/>
  <c r="DA14" i="57"/>
  <c r="DB14" i="57"/>
  <c r="CY15" i="57"/>
  <c r="CZ15" i="57"/>
  <c r="DA15" i="57"/>
  <c r="DB15" i="57"/>
  <c r="CY16" i="57"/>
  <c r="CZ16" i="57"/>
  <c r="DA16" i="57"/>
  <c r="DB16" i="57"/>
  <c r="CY17" i="57"/>
  <c r="CZ17" i="57"/>
  <c r="DA17" i="57"/>
  <c r="DB17" i="57"/>
  <c r="CY18" i="57"/>
  <c r="CZ18" i="57"/>
  <c r="DA18" i="57"/>
  <c r="DB18" i="57"/>
  <c r="CY19" i="57"/>
  <c r="CZ19" i="57"/>
  <c r="DA19" i="57"/>
  <c r="DB19" i="57"/>
  <c r="CY20" i="57"/>
  <c r="CZ20" i="57"/>
  <c r="DA20" i="57"/>
  <c r="DB20" i="57"/>
  <c r="CY21" i="57"/>
  <c r="CZ21" i="57"/>
  <c r="DA21" i="57"/>
  <c r="DB21" i="57"/>
  <c r="CY22" i="57"/>
  <c r="CZ22" i="57"/>
  <c r="DA22" i="57"/>
  <c r="DB22" i="57"/>
  <c r="CY23" i="57"/>
  <c r="CZ23" i="57"/>
  <c r="DA23" i="57"/>
  <c r="DB23" i="57"/>
  <c r="CY24" i="57"/>
  <c r="CZ24" i="57"/>
  <c r="DA24" i="57"/>
  <c r="DB24" i="57"/>
  <c r="CY25" i="57"/>
  <c r="CZ25" i="57"/>
  <c r="DA25" i="57"/>
  <c r="DB25" i="57"/>
  <c r="CY26" i="57"/>
  <c r="CZ26" i="57"/>
  <c r="DA26" i="57"/>
  <c r="DB26" i="57"/>
  <c r="CY27" i="57"/>
  <c r="CZ27" i="57"/>
  <c r="DA27" i="57"/>
  <c r="DB27" i="57"/>
  <c r="CY28" i="57"/>
  <c r="CZ28" i="57"/>
  <c r="DA28" i="57"/>
  <c r="DB28" i="57"/>
  <c r="CY29" i="57"/>
  <c r="CZ29" i="57"/>
  <c r="DA29" i="57"/>
  <c r="DB29" i="57"/>
  <c r="CY30" i="57"/>
  <c r="CZ30" i="57"/>
  <c r="DA30" i="57"/>
  <c r="DB30" i="57"/>
  <c r="CY31" i="57"/>
  <c r="CZ31" i="57"/>
  <c r="DA31" i="57"/>
  <c r="DB31" i="57"/>
  <c r="CY32" i="57"/>
  <c r="CZ32" i="57"/>
  <c r="DA32" i="57"/>
  <c r="DB32" i="57"/>
  <c r="CY33" i="57"/>
  <c r="CZ33" i="57"/>
  <c r="DA33" i="57"/>
  <c r="DB33" i="57"/>
  <c r="CY34" i="57"/>
  <c r="CZ34" i="57"/>
  <c r="DA34" i="57"/>
  <c r="DB34" i="57"/>
  <c r="CY35" i="57"/>
  <c r="CZ35" i="57"/>
  <c r="DA35" i="57"/>
  <c r="DB35" i="57"/>
  <c r="CY36" i="57"/>
  <c r="CZ36" i="57"/>
  <c r="DA36" i="57"/>
  <c r="DB36" i="57"/>
  <c r="CY37" i="57"/>
  <c r="CZ37" i="57"/>
  <c r="DA37" i="57"/>
  <c r="DB37" i="57"/>
  <c r="CY38" i="57"/>
  <c r="CZ38" i="57"/>
  <c r="DA38" i="57"/>
  <c r="DB38" i="57"/>
  <c r="CY39" i="57"/>
  <c r="CZ39" i="57"/>
  <c r="DA39" i="57"/>
  <c r="DB39" i="57"/>
  <c r="CY40" i="57"/>
  <c r="CZ40" i="57"/>
  <c r="DA40" i="57"/>
  <c r="DB40" i="57"/>
  <c r="CY41" i="57"/>
  <c r="CZ41" i="57"/>
  <c r="DA41" i="57"/>
  <c r="DB41" i="57"/>
  <c r="CY42" i="57"/>
  <c r="CZ42" i="57"/>
  <c r="DA42" i="57"/>
  <c r="DB42" i="57"/>
  <c r="CY43" i="57"/>
  <c r="CZ43" i="57"/>
  <c r="DA43" i="57"/>
  <c r="DB43" i="57"/>
  <c r="CY44" i="57"/>
  <c r="CZ44" i="57"/>
  <c r="DA44" i="57"/>
  <c r="DB44" i="57"/>
  <c r="CY45" i="57"/>
  <c r="CZ45" i="57"/>
  <c r="DA45" i="57"/>
  <c r="DB45" i="57"/>
  <c r="DB8" i="57"/>
  <c r="DA8" i="57"/>
  <c r="CZ8" i="57"/>
  <c r="CY8" i="57"/>
  <c r="BP45" i="57"/>
  <c r="BO45" i="57"/>
  <c r="BN45" i="57"/>
  <c r="BM45" i="57"/>
  <c r="BL45" i="57"/>
  <c r="BK45" i="57"/>
  <c r="BJ45" i="57"/>
  <c r="BI45" i="57"/>
  <c r="Y45" i="57"/>
  <c r="BP44" i="57"/>
  <c r="BO44" i="57"/>
  <c r="BN44" i="57"/>
  <c r="BM44" i="57"/>
  <c r="BL44" i="57"/>
  <c r="BK44" i="57"/>
  <c r="BJ44" i="57"/>
  <c r="BI44" i="57"/>
  <c r="BP43" i="57"/>
  <c r="BO43" i="57"/>
  <c r="BN43" i="57"/>
  <c r="BM43" i="57"/>
  <c r="BL43" i="57"/>
  <c r="BK43" i="57"/>
  <c r="BJ43" i="57"/>
  <c r="BI43" i="57"/>
  <c r="Y43" i="57"/>
  <c r="BP42" i="57"/>
  <c r="BO42" i="57"/>
  <c r="BN42" i="57"/>
  <c r="BM42" i="57"/>
  <c r="BL42" i="57"/>
  <c r="BK42" i="57"/>
  <c r="BJ42" i="57"/>
  <c r="BI42" i="57"/>
  <c r="BP41" i="57"/>
  <c r="BO41" i="57"/>
  <c r="BN41" i="57"/>
  <c r="BM41" i="57"/>
  <c r="BL41" i="57"/>
  <c r="BK41" i="57"/>
  <c r="BJ41" i="57"/>
  <c r="BI41" i="57"/>
  <c r="BP40" i="57"/>
  <c r="BO40" i="57"/>
  <c r="BN40" i="57"/>
  <c r="BM40" i="57"/>
  <c r="BL40" i="57"/>
  <c r="BK40" i="57"/>
  <c r="BJ40" i="57"/>
  <c r="BI40" i="57"/>
  <c r="BP39" i="57"/>
  <c r="BO39" i="57"/>
  <c r="BN39" i="57"/>
  <c r="BM39" i="57"/>
  <c r="BL39" i="57"/>
  <c r="BK39" i="57"/>
  <c r="BJ39" i="57"/>
  <c r="BI39" i="57"/>
  <c r="BP38" i="57"/>
  <c r="BO38" i="57"/>
  <c r="BN38" i="57"/>
  <c r="BM38" i="57"/>
  <c r="BL38" i="57"/>
  <c r="BK38" i="57"/>
  <c r="BJ38" i="57"/>
  <c r="BI38" i="57"/>
  <c r="Y38" i="57"/>
  <c r="BP37" i="57"/>
  <c r="BO37" i="57"/>
  <c r="BN37" i="57"/>
  <c r="BM37" i="57"/>
  <c r="BL37" i="57"/>
  <c r="BK37" i="57"/>
  <c r="BJ37" i="57"/>
  <c r="BI37" i="57"/>
  <c r="BP36" i="57"/>
  <c r="BO36" i="57"/>
  <c r="BN36" i="57"/>
  <c r="BM36" i="57"/>
  <c r="BL36" i="57"/>
  <c r="BK36" i="57"/>
  <c r="BJ36" i="57"/>
  <c r="BI36" i="57"/>
  <c r="BP35" i="57"/>
  <c r="BO35" i="57"/>
  <c r="BN35" i="57"/>
  <c r="BM35" i="57"/>
  <c r="BL35" i="57"/>
  <c r="BK35" i="57"/>
  <c r="BJ35" i="57"/>
  <c r="BI35" i="57"/>
  <c r="BP34" i="57"/>
  <c r="BO34" i="57"/>
  <c r="BN34" i="57"/>
  <c r="BM34" i="57"/>
  <c r="BL34" i="57"/>
  <c r="BK34" i="57"/>
  <c r="BJ34" i="57"/>
  <c r="BI34" i="57"/>
  <c r="Y34" i="57"/>
  <c r="BP33" i="57"/>
  <c r="BO33" i="57"/>
  <c r="BN33" i="57"/>
  <c r="BM33" i="57"/>
  <c r="BL33" i="57"/>
  <c r="BK33" i="57"/>
  <c r="BJ33" i="57"/>
  <c r="BI33" i="57"/>
  <c r="BP32" i="57"/>
  <c r="BO32" i="57"/>
  <c r="BN32" i="57"/>
  <c r="BM32" i="57"/>
  <c r="BL32" i="57"/>
  <c r="BK32" i="57"/>
  <c r="BJ32" i="57"/>
  <c r="BI32" i="57"/>
  <c r="BP31" i="57"/>
  <c r="BO31" i="57"/>
  <c r="BN31" i="57"/>
  <c r="BM31" i="57"/>
  <c r="BL31" i="57"/>
  <c r="BK31" i="57"/>
  <c r="BJ31" i="57"/>
  <c r="BI31" i="57"/>
  <c r="BP30" i="57"/>
  <c r="BO30" i="57"/>
  <c r="BN30" i="57"/>
  <c r="BM30" i="57"/>
  <c r="BL30" i="57"/>
  <c r="BK30" i="57"/>
  <c r="BJ30" i="57"/>
  <c r="BI30" i="57"/>
  <c r="BP29" i="57"/>
  <c r="BO29" i="57"/>
  <c r="BN29" i="57"/>
  <c r="BM29" i="57"/>
  <c r="BL29" i="57"/>
  <c r="BK29" i="57"/>
  <c r="BJ29" i="57"/>
  <c r="BI29" i="57"/>
  <c r="BP28" i="57"/>
  <c r="BO28" i="57"/>
  <c r="BN28" i="57"/>
  <c r="BM28" i="57"/>
  <c r="BL28" i="57"/>
  <c r="BK28" i="57"/>
  <c r="BJ28" i="57"/>
  <c r="BI28" i="57"/>
  <c r="BP27" i="57"/>
  <c r="BO27" i="57"/>
  <c r="BN27" i="57"/>
  <c r="BM27" i="57"/>
  <c r="BL27" i="57"/>
  <c r="BK27" i="57"/>
  <c r="BJ27" i="57"/>
  <c r="BI27" i="57"/>
  <c r="BP26" i="57"/>
  <c r="BO26" i="57"/>
  <c r="BN26" i="57"/>
  <c r="BM26" i="57"/>
  <c r="BL26" i="57"/>
  <c r="BK26" i="57"/>
  <c r="BJ26" i="57"/>
  <c r="BI26" i="57"/>
  <c r="Y26" i="57"/>
  <c r="BP25" i="57"/>
  <c r="BO25" i="57"/>
  <c r="BN25" i="57"/>
  <c r="BM25" i="57"/>
  <c r="BL25" i="57"/>
  <c r="BK25" i="57"/>
  <c r="BJ25" i="57"/>
  <c r="BI25" i="57"/>
  <c r="BP24" i="57"/>
  <c r="BO24" i="57"/>
  <c r="BN24" i="57"/>
  <c r="BM24" i="57"/>
  <c r="BL24" i="57"/>
  <c r="BK24" i="57"/>
  <c r="BJ24" i="57"/>
  <c r="BI24" i="57"/>
  <c r="BP23" i="57"/>
  <c r="BO23" i="57"/>
  <c r="BN23" i="57"/>
  <c r="BM23" i="57"/>
  <c r="BL23" i="57"/>
  <c r="BK23" i="57"/>
  <c r="BJ23" i="57"/>
  <c r="BI23" i="57"/>
  <c r="BP22" i="57"/>
  <c r="BO22" i="57"/>
  <c r="BN22" i="57"/>
  <c r="BM22" i="57"/>
  <c r="BL22" i="57"/>
  <c r="BK22" i="57"/>
  <c r="BJ22" i="57"/>
  <c r="BI22" i="57"/>
  <c r="Y22" i="57"/>
  <c r="BP21" i="57"/>
  <c r="BO21" i="57"/>
  <c r="BN21" i="57"/>
  <c r="BM21" i="57"/>
  <c r="BL21" i="57"/>
  <c r="BK21" i="57"/>
  <c r="BJ21" i="57"/>
  <c r="BI21" i="57"/>
  <c r="BP20" i="57"/>
  <c r="BO20" i="57"/>
  <c r="BN20" i="57"/>
  <c r="BM20" i="57"/>
  <c r="BL20" i="57"/>
  <c r="BK20" i="57"/>
  <c r="BJ20" i="57"/>
  <c r="BI20" i="57"/>
  <c r="BP19" i="57"/>
  <c r="BO19" i="57"/>
  <c r="BN19" i="57"/>
  <c r="BM19" i="57"/>
  <c r="BL19" i="57"/>
  <c r="BK19" i="57"/>
  <c r="BJ19" i="57"/>
  <c r="BI19" i="57"/>
  <c r="BP18" i="57"/>
  <c r="BO18" i="57"/>
  <c r="BN18" i="57"/>
  <c r="BM18" i="57"/>
  <c r="BL18" i="57"/>
  <c r="BK18" i="57"/>
  <c r="BJ18" i="57"/>
  <c r="BI18" i="57"/>
  <c r="BP17" i="57"/>
  <c r="BO17" i="57"/>
  <c r="BN17" i="57"/>
  <c r="BM17" i="57"/>
  <c r="BL17" i="57"/>
  <c r="BK17" i="57"/>
  <c r="BJ17" i="57"/>
  <c r="BI17" i="57"/>
  <c r="BP16" i="57"/>
  <c r="BO16" i="57"/>
  <c r="BN16" i="57"/>
  <c r="BM16" i="57"/>
  <c r="BL16" i="57"/>
  <c r="BK16" i="57"/>
  <c r="BJ16" i="57"/>
  <c r="BI16" i="57"/>
  <c r="BP15" i="57"/>
  <c r="BO15" i="57"/>
  <c r="BN15" i="57"/>
  <c r="BM15" i="57"/>
  <c r="BL15" i="57"/>
  <c r="BK15" i="57"/>
  <c r="BJ15" i="57"/>
  <c r="BI15" i="57"/>
  <c r="BP14" i="57"/>
  <c r="BO14" i="57"/>
  <c r="BN14" i="57"/>
  <c r="BM14" i="57"/>
  <c r="BL14" i="57"/>
  <c r="BK14" i="57"/>
  <c r="BJ14" i="57"/>
  <c r="BI14" i="57"/>
  <c r="BP13" i="57"/>
  <c r="BO13" i="57"/>
  <c r="BN13" i="57"/>
  <c r="BM13" i="57"/>
  <c r="BL13" i="57"/>
  <c r="BK13" i="57"/>
  <c r="BJ13" i="57"/>
  <c r="BI13" i="57"/>
  <c r="BP12" i="57"/>
  <c r="BO12" i="57"/>
  <c r="BN12" i="57"/>
  <c r="BM12" i="57"/>
  <c r="BL12" i="57"/>
  <c r="BK12" i="57"/>
  <c r="BJ12" i="57"/>
  <c r="BI12" i="57"/>
  <c r="BP11" i="57"/>
  <c r="BO11" i="57"/>
  <c r="BN11" i="57"/>
  <c r="BM11" i="57"/>
  <c r="BL11" i="57"/>
  <c r="BK11" i="57"/>
  <c r="BJ11" i="57"/>
  <c r="BI11" i="57"/>
  <c r="BP10" i="57"/>
  <c r="BO10" i="57"/>
  <c r="BN10" i="57"/>
  <c r="BM10" i="57"/>
  <c r="BL10" i="57"/>
  <c r="BK10" i="57"/>
  <c r="BJ10" i="57"/>
  <c r="BI10" i="57"/>
  <c r="BP9" i="57"/>
  <c r="BO9" i="57"/>
  <c r="BN9" i="57"/>
  <c r="BM9" i="57"/>
  <c r="BL9" i="57"/>
  <c r="BK9" i="57"/>
  <c r="BJ9" i="57"/>
  <c r="BI9" i="57"/>
  <c r="A9" i="57"/>
  <c r="BP8" i="57"/>
  <c r="BO8" i="57"/>
  <c r="BN8" i="57"/>
  <c r="BM8" i="57"/>
  <c r="BL8" i="57"/>
  <c r="BK8" i="57"/>
  <c r="BJ8" i="57"/>
  <c r="Q4" i="57"/>
  <c r="H8" i="57" s="1"/>
  <c r="CR2" i="57"/>
  <c r="Y89" i="39" l="1"/>
  <c r="Y90" i="39"/>
  <c r="CX67" i="35"/>
  <c r="CX63" i="35"/>
  <c r="CY67" i="35"/>
  <c r="CY63" i="35"/>
  <c r="CZ67" i="35"/>
  <c r="CZ63" i="35"/>
  <c r="DA67" i="35"/>
  <c r="DA63" i="35"/>
  <c r="DB67" i="35"/>
  <c r="DB63" i="35"/>
  <c r="CU67" i="35"/>
  <c r="CU63" i="35"/>
  <c r="CV67" i="35"/>
  <c r="CV63" i="35"/>
  <c r="CW67" i="35"/>
  <c r="CW63" i="35"/>
  <c r="BH31" i="67"/>
  <c r="B36" i="67"/>
  <c r="CJ8" i="57"/>
  <c r="CK8" i="57"/>
  <c r="A10" i="57"/>
  <c r="J58" i="82"/>
  <c r="L58" i="82"/>
  <c r="M58" i="82"/>
  <c r="H58" i="82"/>
  <c r="H57" i="82"/>
  <c r="M57" i="82"/>
  <c r="K58" i="82"/>
  <c r="I58" i="82"/>
  <c r="G58" i="82"/>
  <c r="L57" i="82"/>
  <c r="F58" i="82"/>
  <c r="K59" i="82"/>
  <c r="I59" i="82"/>
  <c r="J59" i="82"/>
  <c r="H59" i="82"/>
  <c r="G59" i="82"/>
  <c r="M59" i="82"/>
  <c r="L59" i="82"/>
  <c r="F59" i="82"/>
  <c r="I68" i="67"/>
  <c r="C32" i="72"/>
  <c r="H32" i="72"/>
  <c r="I32" i="72"/>
  <c r="E68" i="67"/>
  <c r="G32" i="72"/>
  <c r="Y58" i="39"/>
  <c r="Y50" i="39"/>
  <c r="Y42" i="39"/>
  <c r="Y74" i="39"/>
  <c r="Y82" i="39"/>
  <c r="Y81" i="39"/>
  <c r="Y73" i="39"/>
  <c r="Y65" i="39"/>
  <c r="Y57" i="39"/>
  <c r="Y49" i="39"/>
  <c r="Y41" i="39"/>
  <c r="Y86" i="39"/>
  <c r="Y78" i="39"/>
  <c r="Y70" i="39"/>
  <c r="Y62" i="39"/>
  <c r="Y54" i="39"/>
  <c r="Y46" i="39"/>
  <c r="Y38" i="39"/>
  <c r="Y66" i="39"/>
  <c r="Y85" i="39"/>
  <c r="Y45" i="39"/>
  <c r="Y83" i="39"/>
  <c r="Y84" i="39"/>
  <c r="Y76" i="39"/>
  <c r="Y68" i="39"/>
  <c r="Y60" i="39"/>
  <c r="Y52" i="39"/>
  <c r="Y44" i="39"/>
  <c r="Y75" i="39"/>
  <c r="Y67" i="39"/>
  <c r="Y59" i="39"/>
  <c r="Y51" i="39"/>
  <c r="Y88" i="39"/>
  <c r="Y80" i="39"/>
  <c r="Y72" i="39"/>
  <c r="Y64" i="39"/>
  <c r="Y56" i="39"/>
  <c r="Y48" i="39"/>
  <c r="Y40" i="39"/>
  <c r="Y43" i="39"/>
  <c r="Y77" i="39"/>
  <c r="Y69" i="39"/>
  <c r="Y61" i="39"/>
  <c r="Y53" i="39"/>
  <c r="Y37" i="39"/>
  <c r="Y87" i="39"/>
  <c r="Y79" i="39"/>
  <c r="Y71" i="39"/>
  <c r="Y63" i="39"/>
  <c r="Y55" i="39"/>
  <c r="Y47" i="39"/>
  <c r="Y39" i="39"/>
  <c r="C68" i="67"/>
  <c r="B68" i="67"/>
  <c r="D68" i="67"/>
  <c r="F68" i="67"/>
  <c r="G68" i="67"/>
  <c r="H68" i="67"/>
  <c r="D32" i="72"/>
  <c r="F32" i="72"/>
  <c r="E34" i="72"/>
  <c r="I34" i="72"/>
  <c r="C34" i="72"/>
  <c r="I33" i="72"/>
  <c r="H33" i="72"/>
  <c r="H34" i="72"/>
  <c r="G33" i="72"/>
  <c r="G34" i="72"/>
  <c r="F33" i="72"/>
  <c r="F34" i="72"/>
  <c r="E33" i="72"/>
  <c r="D33" i="72"/>
  <c r="D34" i="72"/>
  <c r="E32" i="72"/>
  <c r="B33" i="72"/>
  <c r="P46" i="70"/>
  <c r="L46" i="70"/>
  <c r="R41" i="70"/>
  <c r="P41" i="70"/>
  <c r="N41" i="70"/>
  <c r="L41" i="70"/>
  <c r="E45" i="70"/>
  <c r="J45" i="70" s="1"/>
  <c r="E44" i="70"/>
  <c r="J44" i="70" s="1"/>
  <c r="D44" i="70"/>
  <c r="I44" i="70" s="1"/>
  <c r="D45" i="70"/>
  <c r="I40" i="70"/>
  <c r="D40" i="67"/>
  <c r="B38" i="67"/>
  <c r="B46" i="67"/>
  <c r="B40" i="67"/>
  <c r="B35" i="67"/>
  <c r="B47" i="67"/>
  <c r="B31" i="67"/>
  <c r="C40" i="67"/>
  <c r="D47" i="67"/>
  <c r="D34" i="67"/>
  <c r="D35" i="67"/>
  <c r="E38" i="67"/>
  <c r="D37" i="67"/>
  <c r="F37" i="67"/>
  <c r="F38" i="67"/>
  <c r="F32" i="67"/>
  <c r="F56" i="67"/>
  <c r="B33" i="67"/>
  <c r="E58" i="67"/>
  <c r="E35" i="67"/>
  <c r="E37" i="67"/>
  <c r="E59" i="67"/>
  <c r="E61" i="67"/>
  <c r="C52" i="67"/>
  <c r="C33" i="67"/>
  <c r="C37" i="67"/>
  <c r="C42" i="67"/>
  <c r="D31" i="67"/>
  <c r="C43" i="67"/>
  <c r="G55" i="67"/>
  <c r="G50" i="67"/>
  <c r="G38" i="67"/>
  <c r="F43" i="67"/>
  <c r="C36" i="67"/>
  <c r="B41" i="67"/>
  <c r="G34" i="67"/>
  <c r="H67" i="67"/>
  <c r="H57" i="67"/>
  <c r="H34" i="67"/>
  <c r="G32" i="67"/>
  <c r="G48" i="67"/>
  <c r="G56" i="67"/>
  <c r="I39" i="67"/>
  <c r="I66" i="67"/>
  <c r="G44" i="67"/>
  <c r="G67" i="67"/>
  <c r="C41" i="67"/>
  <c r="G58" i="67"/>
  <c r="F40" i="67"/>
  <c r="E34" i="67"/>
  <c r="C64" i="67"/>
  <c r="I67" i="67"/>
  <c r="I64" i="67"/>
  <c r="I63" i="67"/>
  <c r="I61" i="67"/>
  <c r="I57" i="67"/>
  <c r="I51" i="67"/>
  <c r="I48" i="67"/>
  <c r="I45" i="67"/>
  <c r="I43" i="67"/>
  <c r="I42" i="67"/>
  <c r="I38" i="67"/>
  <c r="I35" i="67"/>
  <c r="I33" i="67"/>
  <c r="H58" i="67"/>
  <c r="I32" i="67"/>
  <c r="I36" i="67"/>
  <c r="H38" i="67"/>
  <c r="I34" i="67"/>
  <c r="H66" i="67"/>
  <c r="E53" i="67"/>
  <c r="I53" i="67"/>
  <c r="H37" i="67"/>
  <c r="I56" i="67"/>
  <c r="H33" i="67"/>
  <c r="H42" i="67"/>
  <c r="H54" i="67"/>
  <c r="E33" i="67"/>
  <c r="G40" i="67"/>
  <c r="G39" i="67"/>
  <c r="H40" i="67"/>
  <c r="H49" i="67"/>
  <c r="D38" i="67"/>
  <c r="E41" i="67"/>
  <c r="I58" i="67"/>
  <c r="D36" i="67"/>
  <c r="BH36" i="67"/>
  <c r="E52" i="67"/>
  <c r="C48" i="67"/>
  <c r="G41" i="67"/>
  <c r="C54" i="67"/>
  <c r="C44" i="67"/>
  <c r="I60" i="67"/>
  <c r="F41" i="67"/>
  <c r="I31" i="67"/>
  <c r="F34" i="67"/>
  <c r="H41" i="67"/>
  <c r="D42" i="67"/>
  <c r="G49" i="67"/>
  <c r="H64" i="67"/>
  <c r="I40" i="67"/>
  <c r="G51" i="67"/>
  <c r="G54" i="67"/>
  <c r="D41" i="67"/>
  <c r="I55" i="67"/>
  <c r="E40" i="67"/>
  <c r="H46" i="67"/>
  <c r="D62" i="67"/>
  <c r="E51" i="67"/>
  <c r="D66" i="67"/>
  <c r="I49" i="67"/>
  <c r="I59" i="67"/>
  <c r="I41" i="67"/>
  <c r="I44" i="67"/>
  <c r="H51" i="67"/>
  <c r="H63" i="67"/>
  <c r="H39" i="67"/>
  <c r="E31" i="67"/>
  <c r="C53" i="67"/>
  <c r="C50" i="67"/>
  <c r="F64" i="67"/>
  <c r="E47" i="67"/>
  <c r="E54" i="67"/>
  <c r="F65" i="67"/>
  <c r="F67" i="67"/>
  <c r="H32" i="67"/>
  <c r="H47" i="67"/>
  <c r="H50" i="67"/>
  <c r="B58" i="67"/>
  <c r="D59" i="67"/>
  <c r="C62" i="67"/>
  <c r="F47" i="67"/>
  <c r="F60" i="67"/>
  <c r="I65" i="67"/>
  <c r="G59" i="67"/>
  <c r="C60" i="67"/>
  <c r="C61" i="67"/>
  <c r="F50" i="67"/>
  <c r="F62" i="67"/>
  <c r="F44" i="67"/>
  <c r="G62" i="67"/>
  <c r="E63" i="67"/>
  <c r="B64" i="67"/>
  <c r="B32" i="67"/>
  <c r="F35" i="67"/>
  <c r="C45" i="67"/>
  <c r="G31" i="67"/>
  <c r="C39" i="67"/>
  <c r="G52" i="67"/>
  <c r="H62" i="67"/>
  <c r="E66" i="67"/>
  <c r="G35" i="67"/>
  <c r="H36" i="67"/>
  <c r="F42" i="67"/>
  <c r="C47" i="67"/>
  <c r="H52" i="67"/>
  <c r="F59" i="67"/>
  <c r="F66" i="67"/>
  <c r="I50" i="67"/>
  <c r="I54" i="67"/>
  <c r="E44" i="67"/>
  <c r="D56" i="67"/>
  <c r="I46" i="67"/>
  <c r="F51" i="67"/>
  <c r="B43" i="67"/>
  <c r="F46" i="67"/>
  <c r="G47" i="67"/>
  <c r="H56" i="67"/>
  <c r="E62" i="67"/>
  <c r="D64" i="67"/>
  <c r="G64" i="67"/>
  <c r="I47" i="67"/>
  <c r="F31" i="67"/>
  <c r="G37" i="67"/>
  <c r="F45" i="67"/>
  <c r="B49" i="67"/>
  <c r="C51" i="67"/>
  <c r="G53" i="67"/>
  <c r="B55" i="67"/>
  <c r="E43" i="67"/>
  <c r="I62" i="67"/>
  <c r="C32" i="67"/>
  <c r="G36" i="67"/>
  <c r="F55" i="67"/>
  <c r="C57" i="67"/>
  <c r="C58" i="67"/>
  <c r="G60" i="67"/>
  <c r="E36" i="67"/>
  <c r="B44" i="67"/>
  <c r="BH67" i="67"/>
  <c r="E32" i="67"/>
  <c r="D39" i="67"/>
  <c r="F39" i="67"/>
  <c r="D44" i="67"/>
  <c r="B48" i="67"/>
  <c r="D50" i="67"/>
  <c r="B54" i="67"/>
  <c r="E57" i="67"/>
  <c r="D58" i="67"/>
  <c r="B67" i="67"/>
  <c r="I37" i="67"/>
  <c r="B50" i="67"/>
  <c r="I52" i="67"/>
  <c r="E64" i="67"/>
  <c r="BH42" i="67"/>
  <c r="E46" i="67"/>
  <c r="C66" i="67"/>
  <c r="B39" i="67"/>
  <c r="G42" i="67"/>
  <c r="H45" i="67"/>
  <c r="D49" i="67"/>
  <c r="D55" i="67"/>
  <c r="H59" i="67"/>
  <c r="G66" i="67"/>
  <c r="F36" i="67"/>
  <c r="F53" i="67"/>
  <c r="G61" i="67"/>
  <c r="C65" i="67"/>
  <c r="C67" i="67"/>
  <c r="G33" i="67"/>
  <c r="B34" i="67"/>
  <c r="BH37" i="67"/>
  <c r="C38" i="67"/>
  <c r="D43" i="67"/>
  <c r="BH45" i="67"/>
  <c r="C49" i="67"/>
  <c r="D60" i="67"/>
  <c r="D65" i="67"/>
  <c r="E67" i="67"/>
  <c r="F58" i="67"/>
  <c r="E48" i="67"/>
  <c r="B52" i="67"/>
  <c r="B56" i="67"/>
  <c r="F52" i="67"/>
  <c r="G65" i="67"/>
  <c r="F54" i="67"/>
  <c r="B53" i="67"/>
  <c r="E56" i="67"/>
  <c r="F57" i="67"/>
  <c r="H31" i="67"/>
  <c r="G63" i="67"/>
  <c r="D45" i="67"/>
  <c r="B61" i="67"/>
  <c r="B63" i="67"/>
  <c r="G46" i="67"/>
  <c r="H55" i="67"/>
  <c r="BH38" i="67"/>
  <c r="D53" i="67"/>
  <c r="F63" i="67"/>
  <c r="BH64" i="67"/>
  <c r="D32" i="67"/>
  <c r="D33" i="67"/>
  <c r="C35" i="67"/>
  <c r="G43" i="67"/>
  <c r="B45" i="67"/>
  <c r="C46" i="67"/>
  <c r="D46" i="67"/>
  <c r="D48" i="67"/>
  <c r="E49" i="67"/>
  <c r="B51" i="67"/>
  <c r="B57" i="67"/>
  <c r="B59" i="67"/>
  <c r="D61" i="67"/>
  <c r="E65" i="67"/>
  <c r="BH51" i="67"/>
  <c r="BH43" i="67"/>
  <c r="F48" i="67"/>
  <c r="BH50" i="67"/>
  <c r="C55" i="67"/>
  <c r="D57" i="67"/>
  <c r="B60" i="67"/>
  <c r="F61" i="67"/>
  <c r="H53" i="67"/>
  <c r="E45" i="67"/>
  <c r="BH52" i="67"/>
  <c r="E42" i="67"/>
  <c r="H44" i="67"/>
  <c r="H60" i="67"/>
  <c r="BH32" i="67"/>
  <c r="BH48" i="67"/>
  <c r="C56" i="67"/>
  <c r="E60" i="67"/>
  <c r="C63" i="67"/>
  <c r="D63" i="67"/>
  <c r="BH63" i="67"/>
  <c r="B65" i="67"/>
  <c r="BH35" i="67"/>
  <c r="F33" i="67"/>
  <c r="C34" i="67"/>
  <c r="H35" i="67"/>
  <c r="B37" i="67"/>
  <c r="E39" i="67"/>
  <c r="G45" i="67"/>
  <c r="H48" i="67"/>
  <c r="F49" i="67"/>
  <c r="E50" i="67"/>
  <c r="D54" i="67"/>
  <c r="H65" i="67"/>
  <c r="D67" i="67"/>
  <c r="BH47" i="67"/>
  <c r="BH59" i="67"/>
  <c r="B62" i="67"/>
  <c r="C31" i="67"/>
  <c r="B42" i="67"/>
  <c r="D52" i="67"/>
  <c r="B66" i="67"/>
  <c r="BH44" i="67"/>
  <c r="H43" i="67"/>
  <c r="E55" i="67"/>
  <c r="G57" i="67"/>
  <c r="C59" i="67"/>
  <c r="BH33" i="67"/>
  <c r="BH39" i="67"/>
  <c r="D51" i="67"/>
  <c r="BH40" i="67"/>
  <c r="BH46" i="67"/>
  <c r="BH54" i="67"/>
  <c r="H61" i="67"/>
  <c r="BH34" i="67"/>
  <c r="BH41" i="67"/>
  <c r="BH56" i="67"/>
  <c r="BH60" i="67"/>
  <c r="BH68" i="67"/>
  <c r="BH58" i="67"/>
  <c r="BH66" i="67"/>
  <c r="BH49" i="67"/>
  <c r="BH57" i="67"/>
  <c r="BH65" i="67"/>
  <c r="BH55" i="67"/>
  <c r="BH62" i="67"/>
  <c r="BH53" i="67"/>
  <c r="BH61" i="67"/>
  <c r="DB59" i="35"/>
  <c r="DA59" i="35"/>
  <c r="CW55" i="35"/>
  <c r="CZ59" i="35"/>
  <c r="CV55" i="35"/>
  <c r="CY59" i="35"/>
  <c r="CU55" i="35"/>
  <c r="CX59" i="35"/>
  <c r="DB55" i="35"/>
  <c r="CW59" i="35"/>
  <c r="DA55" i="35"/>
  <c r="CX55" i="35"/>
  <c r="CV59" i="35"/>
  <c r="CZ55" i="35"/>
  <c r="CU59" i="35"/>
  <c r="CY55" i="35"/>
  <c r="CJ45" i="57"/>
  <c r="CQ44" i="57"/>
  <c r="CQ43" i="57"/>
  <c r="CQ42" i="57"/>
  <c r="CQ41" i="57"/>
  <c r="CQ40" i="57"/>
  <c r="CQ39" i="57"/>
  <c r="CQ38" i="57"/>
  <c r="CQ37" i="57"/>
  <c r="CQ36" i="57"/>
  <c r="CQ35" i="57"/>
  <c r="CQ34" i="57"/>
  <c r="CQ33" i="57"/>
  <c r="CQ32" i="57"/>
  <c r="CQ31" i="57"/>
  <c r="CQ30" i="57"/>
  <c r="CQ29" i="57"/>
  <c r="CQ28" i="57"/>
  <c r="CQ27" i="57"/>
  <c r="CQ26" i="57"/>
  <c r="CQ25" i="57"/>
  <c r="CQ24" i="57"/>
  <c r="CQ23" i="57"/>
  <c r="CQ22" i="57"/>
  <c r="CQ21" i="57"/>
  <c r="CQ20" i="57"/>
  <c r="CQ19" i="57"/>
  <c r="CQ18" i="57"/>
  <c r="CQ17" i="57"/>
  <c r="CQ16" i="57"/>
  <c r="CQ15" i="57"/>
  <c r="CQ14" i="57"/>
  <c r="CQ13" i="57"/>
  <c r="CQ12" i="57"/>
  <c r="CQ11" i="57"/>
  <c r="CQ10" i="57"/>
  <c r="CQ9" i="57"/>
  <c r="CQ8" i="57"/>
  <c r="CP44" i="57"/>
  <c r="CP43" i="57"/>
  <c r="CP42" i="57"/>
  <c r="CP41" i="57"/>
  <c r="CP40" i="57"/>
  <c r="CP39" i="57"/>
  <c r="CP38" i="57"/>
  <c r="CP37" i="57"/>
  <c r="CP36" i="57"/>
  <c r="CP35" i="57"/>
  <c r="CP34" i="57"/>
  <c r="CP33" i="57"/>
  <c r="CP32" i="57"/>
  <c r="CP31" i="57"/>
  <c r="CP30" i="57"/>
  <c r="CP29" i="57"/>
  <c r="CP28" i="57"/>
  <c r="CP27" i="57"/>
  <c r="CP26" i="57"/>
  <c r="CP25" i="57"/>
  <c r="CP24" i="57"/>
  <c r="CP23" i="57"/>
  <c r="CP22" i="57"/>
  <c r="CP21" i="57"/>
  <c r="CP20" i="57"/>
  <c r="CP19" i="57"/>
  <c r="CP18" i="57"/>
  <c r="CP17" i="57"/>
  <c r="CP16" i="57"/>
  <c r="CP15" i="57"/>
  <c r="CP14" i="57"/>
  <c r="CP13" i="57"/>
  <c r="CP12" i="57"/>
  <c r="CP11" i="57"/>
  <c r="CP10" i="57"/>
  <c r="CP9" i="57"/>
  <c r="CP8" i="57"/>
  <c r="CO44" i="57"/>
  <c r="CO43" i="57"/>
  <c r="CO42" i="57"/>
  <c r="CO41" i="57"/>
  <c r="CO40" i="57"/>
  <c r="CO39" i="57"/>
  <c r="CO38" i="57"/>
  <c r="CO37" i="57"/>
  <c r="CO36" i="57"/>
  <c r="CO35" i="57"/>
  <c r="CO34" i="57"/>
  <c r="CO33" i="57"/>
  <c r="CO32" i="57"/>
  <c r="CO31" i="57"/>
  <c r="CO30" i="57"/>
  <c r="CO29" i="57"/>
  <c r="CO28" i="57"/>
  <c r="CO27" i="57"/>
  <c r="CO26" i="57"/>
  <c r="CO25" i="57"/>
  <c r="CO24" i="57"/>
  <c r="CO23" i="57"/>
  <c r="CO22" i="57"/>
  <c r="CO21" i="57"/>
  <c r="CO20" i="57"/>
  <c r="CO19" i="57"/>
  <c r="CO18" i="57"/>
  <c r="CO17" i="57"/>
  <c r="CO16" i="57"/>
  <c r="CO15" i="57"/>
  <c r="CO14" i="57"/>
  <c r="CO13" i="57"/>
  <c r="CO12" i="57"/>
  <c r="CO11" i="57"/>
  <c r="CO10" i="57"/>
  <c r="CO9" i="57"/>
  <c r="CO8" i="57"/>
  <c r="CN44" i="57"/>
  <c r="CN43" i="57"/>
  <c r="CN42" i="57"/>
  <c r="CN41" i="57"/>
  <c r="CN40" i="57"/>
  <c r="CN39" i="57"/>
  <c r="CN38" i="57"/>
  <c r="CN37" i="57"/>
  <c r="CN36" i="57"/>
  <c r="CN35" i="57"/>
  <c r="CN34" i="57"/>
  <c r="CN33" i="57"/>
  <c r="CN32" i="57"/>
  <c r="CN31" i="57"/>
  <c r="CN30" i="57"/>
  <c r="CN29" i="57"/>
  <c r="CN28" i="57"/>
  <c r="CN27" i="57"/>
  <c r="CN26" i="57"/>
  <c r="CN25" i="57"/>
  <c r="CN24" i="57"/>
  <c r="CN23" i="57"/>
  <c r="CN22" i="57"/>
  <c r="CN21" i="57"/>
  <c r="CN20" i="57"/>
  <c r="CN19" i="57"/>
  <c r="CN18" i="57"/>
  <c r="CN17" i="57"/>
  <c r="CN16" i="57"/>
  <c r="CN15" i="57"/>
  <c r="CN14" i="57"/>
  <c r="CN13" i="57"/>
  <c r="CN12" i="57"/>
  <c r="CN11" i="57"/>
  <c r="CN10" i="57"/>
  <c r="CN9" i="57"/>
  <c r="CN8" i="57"/>
  <c r="CM44" i="57"/>
  <c r="CM43" i="57"/>
  <c r="CM42" i="57"/>
  <c r="CM41" i="57"/>
  <c r="CM40" i="57"/>
  <c r="CM39" i="57"/>
  <c r="CM38" i="57"/>
  <c r="CM37" i="57"/>
  <c r="CM36" i="57"/>
  <c r="CM35" i="57"/>
  <c r="CM34" i="57"/>
  <c r="CM33" i="57"/>
  <c r="CM32" i="57"/>
  <c r="CM31" i="57"/>
  <c r="CM30" i="57"/>
  <c r="CM29" i="57"/>
  <c r="CM28" i="57"/>
  <c r="CM27" i="57"/>
  <c r="CM26" i="57"/>
  <c r="CM25" i="57"/>
  <c r="CM24" i="57"/>
  <c r="CM23" i="57"/>
  <c r="CM22" i="57"/>
  <c r="CM21" i="57"/>
  <c r="CM20" i="57"/>
  <c r="CM19" i="57"/>
  <c r="CM18" i="57"/>
  <c r="CM17" i="57"/>
  <c r="CM16" i="57"/>
  <c r="CM15" i="57"/>
  <c r="CM14" i="57"/>
  <c r="CM13" i="57"/>
  <c r="CM12" i="57"/>
  <c r="CM11" i="57"/>
  <c r="CM10" i="57"/>
  <c r="CM9" i="57"/>
  <c r="CM8" i="57"/>
  <c r="CL44" i="57"/>
  <c r="CL43" i="57"/>
  <c r="CL42" i="57"/>
  <c r="CL41" i="57"/>
  <c r="CL40" i="57"/>
  <c r="CL39" i="57"/>
  <c r="CL38" i="57"/>
  <c r="CL37" i="57"/>
  <c r="CL36" i="57"/>
  <c r="CL35" i="57"/>
  <c r="CL34" i="57"/>
  <c r="CL33" i="57"/>
  <c r="CL32" i="57"/>
  <c r="CL31" i="57"/>
  <c r="CL30" i="57"/>
  <c r="CL29" i="57"/>
  <c r="CL28" i="57"/>
  <c r="CL27" i="57"/>
  <c r="CL26" i="57"/>
  <c r="CL25" i="57"/>
  <c r="CL24" i="57"/>
  <c r="CL23" i="57"/>
  <c r="CL22" i="57"/>
  <c r="CL21" i="57"/>
  <c r="CL20" i="57"/>
  <c r="CL19" i="57"/>
  <c r="CL18" i="57"/>
  <c r="CL17" i="57"/>
  <c r="CL16" i="57"/>
  <c r="CL15" i="57"/>
  <c r="CL14" i="57"/>
  <c r="CL13" i="57"/>
  <c r="CL12" i="57"/>
  <c r="CL11" i="57"/>
  <c r="CL10" i="57"/>
  <c r="CL9" i="57"/>
  <c r="CL8" i="57"/>
  <c r="CK44" i="57"/>
  <c r="CK43" i="57"/>
  <c r="CK42" i="57"/>
  <c r="CK41" i="57"/>
  <c r="CK40" i="57"/>
  <c r="CK39" i="57"/>
  <c r="CK38" i="57"/>
  <c r="CK37" i="57"/>
  <c r="CK36" i="57"/>
  <c r="CK35" i="57"/>
  <c r="CK34" i="57"/>
  <c r="CK33" i="57"/>
  <c r="CK32" i="57"/>
  <c r="CK31" i="57"/>
  <c r="CK30" i="57"/>
  <c r="CK29" i="57"/>
  <c r="CK28" i="57"/>
  <c r="CK27" i="57"/>
  <c r="CK26" i="57"/>
  <c r="CK25" i="57"/>
  <c r="CK24" i="57"/>
  <c r="CK23" i="57"/>
  <c r="CK22" i="57"/>
  <c r="CK21" i="57"/>
  <c r="CK20" i="57"/>
  <c r="CK19" i="57"/>
  <c r="CK18" i="57"/>
  <c r="CK17" i="57"/>
  <c r="CK16" i="57"/>
  <c r="CK15" i="57"/>
  <c r="CK14" i="57"/>
  <c r="CK13" i="57"/>
  <c r="CK12" i="57"/>
  <c r="CK11" i="57"/>
  <c r="CK10" i="57"/>
  <c r="CK9" i="57"/>
  <c r="CJ44" i="57"/>
  <c r="CJ43" i="57"/>
  <c r="CJ42" i="57"/>
  <c r="CJ41" i="57"/>
  <c r="CJ40" i="57"/>
  <c r="CJ39" i="57"/>
  <c r="CJ38" i="57"/>
  <c r="CJ37" i="57"/>
  <c r="CJ36" i="57"/>
  <c r="CJ35" i="57"/>
  <c r="CJ34" i="57"/>
  <c r="CJ33" i="57"/>
  <c r="CJ32" i="57"/>
  <c r="CJ31" i="57"/>
  <c r="CJ30" i="57"/>
  <c r="CJ29" i="57"/>
  <c r="CJ28" i="57"/>
  <c r="CJ27" i="57"/>
  <c r="CJ26" i="57"/>
  <c r="CJ25" i="57"/>
  <c r="CJ24" i="57"/>
  <c r="CJ23" i="57"/>
  <c r="CJ22" i="57"/>
  <c r="CJ21" i="57"/>
  <c r="CJ20" i="57"/>
  <c r="CJ19" i="57"/>
  <c r="CJ18" i="57"/>
  <c r="CJ17" i="57"/>
  <c r="CJ16" i="57"/>
  <c r="CJ15" i="57"/>
  <c r="CJ14" i="57"/>
  <c r="CJ13" i="57"/>
  <c r="CJ12" i="57"/>
  <c r="CJ11" i="57"/>
  <c r="CJ10" i="57"/>
  <c r="CJ9" i="57"/>
  <c r="CO45" i="57"/>
  <c r="CM45" i="57"/>
  <c r="CP45" i="57"/>
  <c r="CQ45" i="57"/>
  <c r="CK45" i="57"/>
  <c r="CL45" i="57"/>
  <c r="CN45" i="57"/>
  <c r="Y11" i="57"/>
  <c r="Y36" i="57"/>
  <c r="Y23" i="57"/>
  <c r="Y18" i="57"/>
  <c r="Y39" i="57"/>
  <c r="Y44" i="57"/>
  <c r="Y42" i="57"/>
  <c r="Y25" i="57"/>
  <c r="Y28" i="57"/>
  <c r="Y31" i="57"/>
  <c r="Y16" i="57"/>
  <c r="Y24" i="57"/>
  <c r="Y30" i="57"/>
  <c r="Y17" i="57"/>
  <c r="Y40" i="57"/>
  <c r="Y9" i="57"/>
  <c r="Y13" i="57"/>
  <c r="Y20" i="57"/>
  <c r="Y21" i="57"/>
  <c r="Y32" i="57"/>
  <c r="Y37" i="57"/>
  <c r="Y41" i="57"/>
  <c r="Y14" i="57"/>
  <c r="Y12" i="57"/>
  <c r="Y15" i="57"/>
  <c r="Z9" i="57"/>
  <c r="Z44" i="57"/>
  <c r="Z42" i="57"/>
  <c r="Z41" i="57"/>
  <c r="Z35" i="57"/>
  <c r="Z32" i="57"/>
  <c r="Z39" i="57"/>
  <c r="Z36" i="57"/>
  <c r="Z33" i="57"/>
  <c r="Z40" i="57"/>
  <c r="Z37" i="57"/>
  <c r="Z28" i="57"/>
  <c r="Z25" i="57"/>
  <c r="Z19" i="57"/>
  <c r="Z17" i="57"/>
  <c r="Z15" i="57"/>
  <c r="Z13" i="57"/>
  <c r="Z11" i="57"/>
  <c r="Z29" i="57"/>
  <c r="Z23" i="57"/>
  <c r="Z20" i="57"/>
  <c r="Z30" i="57"/>
  <c r="Z18" i="57"/>
  <c r="Z16" i="57"/>
  <c r="Z14" i="57"/>
  <c r="Z12" i="57"/>
  <c r="Z10" i="57"/>
  <c r="Z24" i="57"/>
  <c r="Z21" i="57"/>
  <c r="Y27" i="57"/>
  <c r="Z31" i="57"/>
  <c r="R4" i="57"/>
  <c r="Y10" i="57"/>
  <c r="Y29" i="57"/>
  <c r="Y19" i="57"/>
  <c r="Y33" i="57"/>
  <c r="Y35" i="57"/>
  <c r="CR8" i="57" l="1"/>
  <c r="A11" i="57"/>
  <c r="C33" i="72"/>
  <c r="F73" i="67"/>
  <c r="N46" i="70"/>
  <c r="N48" i="70" s="1"/>
  <c r="N49" i="70" s="1"/>
  <c r="R46" i="70"/>
  <c r="M41" i="70"/>
  <c r="Q41" i="70"/>
  <c r="I45" i="70"/>
  <c r="M46" i="70" s="1"/>
  <c r="D73" i="67"/>
  <c r="I73" i="67"/>
  <c r="H73" i="67"/>
  <c r="C73" i="67"/>
  <c r="E73" i="67"/>
  <c r="B73" i="67"/>
  <c r="G73" i="67"/>
  <c r="BH73" i="67"/>
  <c r="CR45" i="57"/>
  <c r="G45" i="57" s="1"/>
  <c r="CR19" i="57"/>
  <c r="G19" i="57" s="1"/>
  <c r="CR10" i="57"/>
  <c r="CR12" i="57"/>
  <c r="CR41" i="57"/>
  <c r="CR37" i="57"/>
  <c r="CR31" i="57"/>
  <c r="CR40" i="57"/>
  <c r="CR22" i="57"/>
  <c r="CR44" i="57"/>
  <c r="CR36" i="57"/>
  <c r="CR13" i="57"/>
  <c r="CR16" i="57"/>
  <c r="G16" i="57" s="1"/>
  <c r="CR38" i="57"/>
  <c r="CR15" i="57"/>
  <c r="CR32" i="57"/>
  <c r="CR34" i="57"/>
  <c r="CR42" i="57"/>
  <c r="CR18" i="57"/>
  <c r="CR11" i="57"/>
  <c r="G11" i="57" s="1"/>
  <c r="Z34" i="57"/>
  <c r="CR35" i="57"/>
  <c r="Z8" i="57"/>
  <c r="Z43" i="57"/>
  <c r="CR21" i="57"/>
  <c r="CR33" i="57"/>
  <c r="CR20" i="57"/>
  <c r="G20" i="57" s="1"/>
  <c r="CR24" i="57"/>
  <c r="CR27" i="57"/>
  <c r="CR25" i="57"/>
  <c r="G25" i="57" s="1"/>
  <c r="CR17" i="57"/>
  <c r="Z26" i="57"/>
  <c r="CR30" i="57"/>
  <c r="G30" i="57" s="1"/>
  <c r="CR26" i="57"/>
  <c r="CR23" i="57"/>
  <c r="G23" i="57" s="1"/>
  <c r="CR14" i="57"/>
  <c r="CR29" i="57"/>
  <c r="G29" i="57" s="1"/>
  <c r="Z22" i="57"/>
  <c r="CR39" i="57"/>
  <c r="CR9" i="57"/>
  <c r="CR28" i="57"/>
  <c r="Z38" i="57"/>
  <c r="Z27" i="57"/>
  <c r="Z45" i="57"/>
  <c r="AA45" i="57"/>
  <c r="AA44" i="57"/>
  <c r="AA42" i="57"/>
  <c r="AA43" i="57"/>
  <c r="AA41" i="57"/>
  <c r="AA38" i="57"/>
  <c r="AA35" i="57"/>
  <c r="AA32" i="57"/>
  <c r="AA39" i="57"/>
  <c r="AA36" i="57"/>
  <c r="AA33" i="57"/>
  <c r="AA40" i="57"/>
  <c r="AA37" i="57"/>
  <c r="AA34" i="57"/>
  <c r="AA22" i="57"/>
  <c r="AA19" i="57"/>
  <c r="AA17" i="57"/>
  <c r="AA15" i="57"/>
  <c r="AA13" i="57"/>
  <c r="AA11" i="57"/>
  <c r="AA29" i="57"/>
  <c r="AA26" i="57"/>
  <c r="AA23" i="57"/>
  <c r="AA20" i="57"/>
  <c r="AA30" i="57"/>
  <c r="AA27" i="57"/>
  <c r="AA18" i="57"/>
  <c r="AA16" i="57"/>
  <c r="AA14" i="57"/>
  <c r="AA12" i="57"/>
  <c r="AA24" i="57"/>
  <c r="AA21" i="57"/>
  <c r="AA31" i="57"/>
  <c r="AA8" i="57"/>
  <c r="AA9" i="57"/>
  <c r="AA28" i="57"/>
  <c r="S4" i="57"/>
  <c r="AA25" i="57"/>
  <c r="AA10" i="57"/>
  <c r="CR43" i="57"/>
  <c r="DC30" i="52"/>
  <c r="DD30" i="52" s="1"/>
  <c r="DE30" i="52" s="1"/>
  <c r="DF30" i="52" s="1"/>
  <c r="DG30" i="52" s="1"/>
  <c r="DH30" i="52" s="1"/>
  <c r="DI30" i="52" s="1"/>
  <c r="DJ30" i="52" s="1"/>
  <c r="DK30" i="52" s="1"/>
  <c r="DL30" i="52" s="1"/>
  <c r="DM30" i="52" s="1"/>
  <c r="DN30" i="52" s="1"/>
  <c r="DO30" i="52" s="1"/>
  <c r="DP30" i="52" s="1"/>
  <c r="DQ30" i="52" s="1"/>
  <c r="DR30" i="52" s="1"/>
  <c r="DS30" i="52" s="1"/>
  <c r="DT30" i="52" s="1"/>
  <c r="DU30" i="52" s="1"/>
  <c r="DV30" i="52" s="1"/>
  <c r="DW30" i="52" s="1"/>
  <c r="DX30" i="52" s="1"/>
  <c r="DY30" i="52" s="1"/>
  <c r="DZ30" i="52" s="1"/>
  <c r="EA30" i="52" s="1"/>
  <c r="EB30" i="52" s="1"/>
  <c r="EC30" i="52" s="1"/>
  <c r="ED30" i="52" s="1"/>
  <c r="EE30" i="52" s="1"/>
  <c r="EF30" i="52" s="1"/>
  <c r="EG30" i="52" s="1"/>
  <c r="EH30" i="52" s="1"/>
  <c r="EI30" i="52" s="1"/>
  <c r="EJ30" i="52" s="1"/>
  <c r="EK30" i="52" s="1"/>
  <c r="EL30" i="52" s="1"/>
  <c r="EM30" i="52" s="1"/>
  <c r="EN30" i="52" s="1"/>
  <c r="EO30" i="52" s="1"/>
  <c r="EP30" i="52" s="1"/>
  <c r="EQ30" i="52" s="1"/>
  <c r="ER30" i="52" s="1"/>
  <c r="ES30" i="52" s="1"/>
  <c r="ET30" i="52" s="1"/>
  <c r="EU30" i="52" s="1"/>
  <c r="EV30" i="52" s="1"/>
  <c r="EW30" i="52" s="1"/>
  <c r="EX30" i="52" s="1"/>
  <c r="EY30" i="52" s="1"/>
  <c r="EZ30" i="52" s="1"/>
  <c r="FA30" i="52" s="1"/>
  <c r="FB30" i="52" s="1"/>
  <c r="FC30" i="52" s="1"/>
  <c r="FD30" i="52" s="1"/>
  <c r="FE30" i="52" s="1"/>
  <c r="FF30" i="52" s="1"/>
  <c r="FG30" i="52" s="1"/>
  <c r="FH30" i="52" s="1"/>
  <c r="FI30" i="52" s="1"/>
  <c r="FJ30" i="52" s="1"/>
  <c r="FK30" i="52" s="1"/>
  <c r="FL30" i="52" s="1"/>
  <c r="FM30" i="52" s="1"/>
  <c r="FN30" i="52" s="1"/>
  <c r="FO30" i="52" s="1"/>
  <c r="FP30" i="52" s="1"/>
  <c r="FQ30" i="52" s="1"/>
  <c r="FR30" i="52" s="1"/>
  <c r="FS30" i="52" s="1"/>
  <c r="FT30" i="52" s="1"/>
  <c r="FU30" i="52" s="1"/>
  <c r="FV30" i="52" s="1"/>
  <c r="FW30" i="52" s="1"/>
  <c r="FX30" i="52" s="1"/>
  <c r="FY30" i="52" s="1"/>
  <c r="FZ30" i="52" s="1"/>
  <c r="GA30" i="52" s="1"/>
  <c r="GB30" i="52" s="1"/>
  <c r="GC30" i="52" s="1"/>
  <c r="GD30" i="52" s="1"/>
  <c r="GE30" i="52" s="1"/>
  <c r="GF30" i="52" s="1"/>
  <c r="GG30" i="52" s="1"/>
  <c r="GH30" i="52" s="1"/>
  <c r="GI30" i="52" s="1"/>
  <c r="GJ30" i="52" s="1"/>
  <c r="GK30" i="52" s="1"/>
  <c r="GL30" i="52" s="1"/>
  <c r="GM30" i="52" s="1"/>
  <c r="GN30" i="52" s="1"/>
  <c r="GO30" i="52" s="1"/>
  <c r="GP30" i="52" s="1"/>
  <c r="GQ30" i="52" s="1"/>
  <c r="GR30" i="52" s="1"/>
  <c r="GS30" i="52" s="1"/>
  <c r="GT30" i="52" s="1"/>
  <c r="GU30" i="52" s="1"/>
  <c r="GV30" i="52" s="1"/>
  <c r="GW30" i="52" s="1"/>
  <c r="F30" i="52"/>
  <c r="G30" i="52" s="1"/>
  <c r="H30" i="52" s="1"/>
  <c r="I30" i="52" s="1"/>
  <c r="J30" i="52" s="1"/>
  <c r="K30" i="52" s="1"/>
  <c r="L30" i="52" s="1"/>
  <c r="M30" i="52" s="1"/>
  <c r="N30" i="52" s="1"/>
  <c r="O30" i="52" s="1"/>
  <c r="P30" i="52" s="1"/>
  <c r="Q30" i="52" s="1"/>
  <c r="R30" i="52" s="1"/>
  <c r="S30" i="52" s="1"/>
  <c r="T30" i="52" s="1"/>
  <c r="U30" i="52" s="1"/>
  <c r="V30" i="52" s="1"/>
  <c r="W30" i="52" s="1"/>
  <c r="X30" i="52" s="1"/>
  <c r="Y30" i="52" s="1"/>
  <c r="Z30" i="52" s="1"/>
  <c r="AA30" i="52" s="1"/>
  <c r="AB30" i="52" s="1"/>
  <c r="AC30" i="52" s="1"/>
  <c r="AD30" i="52" s="1"/>
  <c r="AE30" i="52" s="1"/>
  <c r="AF30" i="52" s="1"/>
  <c r="AG30" i="52" s="1"/>
  <c r="AH30" i="52" s="1"/>
  <c r="AI30" i="52" s="1"/>
  <c r="AJ30" i="52" s="1"/>
  <c r="AK30" i="52" s="1"/>
  <c r="AL30" i="52" s="1"/>
  <c r="AM30" i="52" s="1"/>
  <c r="AN30" i="52" s="1"/>
  <c r="AO30" i="52" s="1"/>
  <c r="AP30" i="52" s="1"/>
  <c r="AQ30" i="52" s="1"/>
  <c r="AR30" i="52" s="1"/>
  <c r="AS30" i="52" s="1"/>
  <c r="AT30" i="52" s="1"/>
  <c r="AU30" i="52" s="1"/>
  <c r="AV30" i="52" s="1"/>
  <c r="AW30" i="52" s="1"/>
  <c r="AX30" i="52" s="1"/>
  <c r="AY30" i="52" s="1"/>
  <c r="AZ30" i="52" s="1"/>
  <c r="BA30" i="52" s="1"/>
  <c r="BB30" i="52" s="1"/>
  <c r="BC30" i="52" s="1"/>
  <c r="BD30" i="52" s="1"/>
  <c r="BE30" i="52" s="1"/>
  <c r="BF30" i="52" s="1"/>
  <c r="BG30" i="52" s="1"/>
  <c r="BH30" i="52" s="1"/>
  <c r="BI30" i="52" s="1"/>
  <c r="BJ30" i="52" s="1"/>
  <c r="BK30" i="52" s="1"/>
  <c r="BL30" i="52" s="1"/>
  <c r="BM30" i="52" s="1"/>
  <c r="BN30" i="52" s="1"/>
  <c r="BO30" i="52" s="1"/>
  <c r="BP30" i="52" s="1"/>
  <c r="BQ30" i="52" s="1"/>
  <c r="BR30" i="52" s="1"/>
  <c r="BS30" i="52" s="1"/>
  <c r="BT30" i="52" s="1"/>
  <c r="BU30" i="52" s="1"/>
  <c r="BV30" i="52" s="1"/>
  <c r="BW30" i="52" s="1"/>
  <c r="BX30" i="52" s="1"/>
  <c r="BY30" i="52" s="1"/>
  <c r="BZ30" i="52" s="1"/>
  <c r="CA30" i="52" s="1"/>
  <c r="CB30" i="52" s="1"/>
  <c r="CC30" i="52" s="1"/>
  <c r="CD30" i="52" s="1"/>
  <c r="CE30" i="52" s="1"/>
  <c r="CF30" i="52" s="1"/>
  <c r="CG30" i="52" s="1"/>
  <c r="CH30" i="52" s="1"/>
  <c r="CI30" i="52" s="1"/>
  <c r="CJ30" i="52" s="1"/>
  <c r="CK30" i="52" s="1"/>
  <c r="CL30" i="52" s="1"/>
  <c r="CM30" i="52" s="1"/>
  <c r="CN30" i="52" s="1"/>
  <c r="CO30" i="52" s="1"/>
  <c r="CP30" i="52" s="1"/>
  <c r="CQ30" i="52" s="1"/>
  <c r="CR30" i="52" s="1"/>
  <c r="CS30" i="52" s="1"/>
  <c r="CT30" i="52" s="1"/>
  <c r="CU30" i="52" s="1"/>
  <c r="CV30" i="52" s="1"/>
  <c r="CW30" i="52" s="1"/>
  <c r="CX30" i="52" s="1"/>
  <c r="CY30" i="52" s="1"/>
  <c r="CZ30" i="52" s="1"/>
  <c r="DC21" i="52"/>
  <c r="DD21" i="52" s="1"/>
  <c r="DE21" i="52" s="1"/>
  <c r="DF21" i="52" s="1"/>
  <c r="DG21" i="52" s="1"/>
  <c r="DH21" i="52" s="1"/>
  <c r="DI21" i="52" s="1"/>
  <c r="DJ21" i="52" s="1"/>
  <c r="DK21" i="52" s="1"/>
  <c r="DL21" i="52" s="1"/>
  <c r="DM21" i="52" s="1"/>
  <c r="DN21" i="52" s="1"/>
  <c r="DO21" i="52" s="1"/>
  <c r="DP21" i="52" s="1"/>
  <c r="DQ21" i="52" s="1"/>
  <c r="DR21" i="52" s="1"/>
  <c r="DS21" i="52" s="1"/>
  <c r="DT21" i="52" s="1"/>
  <c r="DU21" i="52" s="1"/>
  <c r="DV21" i="52" s="1"/>
  <c r="DW21" i="52" s="1"/>
  <c r="DX21" i="52" s="1"/>
  <c r="DY21" i="52" s="1"/>
  <c r="DZ21" i="52" s="1"/>
  <c r="EA21" i="52" s="1"/>
  <c r="EB21" i="52" s="1"/>
  <c r="EC21" i="52" s="1"/>
  <c r="ED21" i="52" s="1"/>
  <c r="EE21" i="52" s="1"/>
  <c r="EF21" i="52" s="1"/>
  <c r="EG21" i="52" s="1"/>
  <c r="EH21" i="52" s="1"/>
  <c r="EI21" i="52" s="1"/>
  <c r="EJ21" i="52" s="1"/>
  <c r="EK21" i="52" s="1"/>
  <c r="EL21" i="52" s="1"/>
  <c r="EM21" i="52" s="1"/>
  <c r="EN21" i="52" s="1"/>
  <c r="EO21" i="52" s="1"/>
  <c r="EP21" i="52" s="1"/>
  <c r="EQ21" i="52" s="1"/>
  <c r="ER21" i="52" s="1"/>
  <c r="ES21" i="52" s="1"/>
  <c r="ET21" i="52" s="1"/>
  <c r="EU21" i="52" s="1"/>
  <c r="EV21" i="52" s="1"/>
  <c r="EW21" i="52" s="1"/>
  <c r="EX21" i="52" s="1"/>
  <c r="EY21" i="52" s="1"/>
  <c r="EZ21" i="52" s="1"/>
  <c r="FA21" i="52" s="1"/>
  <c r="FB21" i="52" s="1"/>
  <c r="FC21" i="52" s="1"/>
  <c r="FD21" i="52" s="1"/>
  <c r="FE21" i="52" s="1"/>
  <c r="FF21" i="52" s="1"/>
  <c r="FG21" i="52" s="1"/>
  <c r="FH21" i="52" s="1"/>
  <c r="FI21" i="52" s="1"/>
  <c r="FJ21" i="52" s="1"/>
  <c r="FK21" i="52" s="1"/>
  <c r="FL21" i="52" s="1"/>
  <c r="FM21" i="52" s="1"/>
  <c r="FN21" i="52" s="1"/>
  <c r="FO21" i="52" s="1"/>
  <c r="FP21" i="52" s="1"/>
  <c r="FQ21" i="52" s="1"/>
  <c r="FR21" i="52" s="1"/>
  <c r="FS21" i="52" s="1"/>
  <c r="FT21" i="52" s="1"/>
  <c r="FU21" i="52" s="1"/>
  <c r="FV21" i="52" s="1"/>
  <c r="FW21" i="52" s="1"/>
  <c r="FX21" i="52" s="1"/>
  <c r="FY21" i="52" s="1"/>
  <c r="FZ21" i="52" s="1"/>
  <c r="GA21" i="52" s="1"/>
  <c r="GB21" i="52" s="1"/>
  <c r="GC21" i="52" s="1"/>
  <c r="GD21" i="52" s="1"/>
  <c r="GE21" i="52" s="1"/>
  <c r="GF21" i="52" s="1"/>
  <c r="GG21" i="52" s="1"/>
  <c r="GH21" i="52" s="1"/>
  <c r="GI21" i="52" s="1"/>
  <c r="GJ21" i="52" s="1"/>
  <c r="GK21" i="52" s="1"/>
  <c r="GL21" i="52" s="1"/>
  <c r="GM21" i="52" s="1"/>
  <c r="GN21" i="52" s="1"/>
  <c r="GO21" i="52" s="1"/>
  <c r="GP21" i="52" s="1"/>
  <c r="GQ21" i="52" s="1"/>
  <c r="GR21" i="52" s="1"/>
  <c r="GS21" i="52" s="1"/>
  <c r="GT21" i="52" s="1"/>
  <c r="GU21" i="52" s="1"/>
  <c r="GV21" i="52" s="1"/>
  <c r="GW21" i="52" s="1"/>
  <c r="F21" i="52"/>
  <c r="G21" i="52" s="1"/>
  <c r="H21" i="52" s="1"/>
  <c r="I21" i="52" s="1"/>
  <c r="J21" i="52" s="1"/>
  <c r="K21" i="52" s="1"/>
  <c r="L21" i="52" s="1"/>
  <c r="M21" i="52" s="1"/>
  <c r="N21" i="52" s="1"/>
  <c r="O21" i="52" s="1"/>
  <c r="P21" i="52" s="1"/>
  <c r="Q21" i="52" s="1"/>
  <c r="R21" i="52" s="1"/>
  <c r="S21" i="52" s="1"/>
  <c r="T21" i="52" s="1"/>
  <c r="U21" i="52" s="1"/>
  <c r="V21" i="52" s="1"/>
  <c r="W21" i="52" s="1"/>
  <c r="X21" i="52" s="1"/>
  <c r="Y21" i="52" s="1"/>
  <c r="Z21" i="52" s="1"/>
  <c r="AA21" i="52" s="1"/>
  <c r="AB21" i="52" s="1"/>
  <c r="AC21" i="52" s="1"/>
  <c r="AD21" i="52" s="1"/>
  <c r="AE21" i="52" s="1"/>
  <c r="AF21" i="52" s="1"/>
  <c r="AG21" i="52" s="1"/>
  <c r="AH21" i="52" s="1"/>
  <c r="AI21" i="52" s="1"/>
  <c r="AJ21" i="52" s="1"/>
  <c r="AK21" i="52" s="1"/>
  <c r="AL21" i="52" s="1"/>
  <c r="AM21" i="52" s="1"/>
  <c r="AN21" i="52" s="1"/>
  <c r="AO21" i="52" s="1"/>
  <c r="AP21" i="52" s="1"/>
  <c r="AQ21" i="52" s="1"/>
  <c r="AR21" i="52" s="1"/>
  <c r="AS21" i="52" s="1"/>
  <c r="AT21" i="52" s="1"/>
  <c r="AU21" i="52" s="1"/>
  <c r="AV21" i="52" s="1"/>
  <c r="AW21" i="52" s="1"/>
  <c r="AX21" i="52" s="1"/>
  <c r="AY21" i="52" s="1"/>
  <c r="AZ21" i="52" s="1"/>
  <c r="BA21" i="52" s="1"/>
  <c r="BB21" i="52" s="1"/>
  <c r="BC21" i="52" s="1"/>
  <c r="BD21" i="52" s="1"/>
  <c r="BE21" i="52" s="1"/>
  <c r="BF21" i="52" s="1"/>
  <c r="BG21" i="52" s="1"/>
  <c r="BH21" i="52" s="1"/>
  <c r="BI21" i="52" s="1"/>
  <c r="BJ21" i="52" s="1"/>
  <c r="BK21" i="52" s="1"/>
  <c r="BL21" i="52" s="1"/>
  <c r="BM21" i="52" s="1"/>
  <c r="BN21" i="52" s="1"/>
  <c r="BO21" i="52" s="1"/>
  <c r="BP21" i="52" s="1"/>
  <c r="BQ21" i="52" s="1"/>
  <c r="BR21" i="52" s="1"/>
  <c r="BS21" i="52" s="1"/>
  <c r="BT21" i="52" s="1"/>
  <c r="BU21" i="52" s="1"/>
  <c r="BV21" i="52" s="1"/>
  <c r="BW21" i="52" s="1"/>
  <c r="BX21" i="52" s="1"/>
  <c r="BY21" i="52" s="1"/>
  <c r="BZ21" i="52" s="1"/>
  <c r="CA21" i="52" s="1"/>
  <c r="CB21" i="52" s="1"/>
  <c r="CC21" i="52" s="1"/>
  <c r="CD21" i="52" s="1"/>
  <c r="CE21" i="52" s="1"/>
  <c r="CF21" i="52" s="1"/>
  <c r="CG21" i="52" s="1"/>
  <c r="CH21" i="52" s="1"/>
  <c r="CI21" i="52" s="1"/>
  <c r="CJ21" i="52" s="1"/>
  <c r="CK21" i="52" s="1"/>
  <c r="CL21" i="52" s="1"/>
  <c r="CM21" i="52" s="1"/>
  <c r="CN21" i="52" s="1"/>
  <c r="CO21" i="52" s="1"/>
  <c r="CP21" i="52" s="1"/>
  <c r="CQ21" i="52" s="1"/>
  <c r="CR21" i="52" s="1"/>
  <c r="CS21" i="52" s="1"/>
  <c r="CT21" i="52" s="1"/>
  <c r="CU21" i="52" s="1"/>
  <c r="CV21" i="52" s="1"/>
  <c r="CW21" i="52" s="1"/>
  <c r="CX21" i="52" s="1"/>
  <c r="CY21" i="52" s="1"/>
  <c r="CZ21" i="52" s="1"/>
  <c r="DC151" i="33"/>
  <c r="DD151" i="33" s="1"/>
  <c r="DE151" i="33" s="1"/>
  <c r="DF151" i="33" s="1"/>
  <c r="DG151" i="33" s="1"/>
  <c r="DH151" i="33" s="1"/>
  <c r="DI151" i="33" s="1"/>
  <c r="DJ151" i="33" s="1"/>
  <c r="DK151" i="33" s="1"/>
  <c r="DL151" i="33" s="1"/>
  <c r="DM151" i="33" s="1"/>
  <c r="DN151" i="33" s="1"/>
  <c r="DO151" i="33" s="1"/>
  <c r="DP151" i="33" s="1"/>
  <c r="DQ151" i="33" s="1"/>
  <c r="DR151" i="33" s="1"/>
  <c r="DS151" i="33" s="1"/>
  <c r="DT151" i="33" s="1"/>
  <c r="DU151" i="33" s="1"/>
  <c r="DV151" i="33" s="1"/>
  <c r="DW151" i="33" s="1"/>
  <c r="DX151" i="33" s="1"/>
  <c r="DY151" i="33" s="1"/>
  <c r="DZ151" i="33" s="1"/>
  <c r="EA151" i="33" s="1"/>
  <c r="EB151" i="33" s="1"/>
  <c r="EC151" i="33" s="1"/>
  <c r="ED151" i="33" s="1"/>
  <c r="EE151" i="33" s="1"/>
  <c r="EF151" i="33" s="1"/>
  <c r="EG151" i="33" s="1"/>
  <c r="EH151" i="33" s="1"/>
  <c r="EI151" i="33" s="1"/>
  <c r="EJ151" i="33" s="1"/>
  <c r="EK151" i="33" s="1"/>
  <c r="EL151" i="33" s="1"/>
  <c r="EM151" i="33" s="1"/>
  <c r="EN151" i="33" s="1"/>
  <c r="EO151" i="33" s="1"/>
  <c r="EP151" i="33" s="1"/>
  <c r="EQ151" i="33" s="1"/>
  <c r="ER151" i="33" s="1"/>
  <c r="ES151" i="33" s="1"/>
  <c r="ET151" i="33" s="1"/>
  <c r="EU151" i="33" s="1"/>
  <c r="EV151" i="33" s="1"/>
  <c r="EW151" i="33" s="1"/>
  <c r="EX151" i="33" s="1"/>
  <c r="EY151" i="33" s="1"/>
  <c r="EZ151" i="33" s="1"/>
  <c r="FA151" i="33" s="1"/>
  <c r="FB151" i="33" s="1"/>
  <c r="FC151" i="33" s="1"/>
  <c r="FD151" i="33" s="1"/>
  <c r="FE151" i="33" s="1"/>
  <c r="FF151" i="33" s="1"/>
  <c r="FG151" i="33" s="1"/>
  <c r="FH151" i="33" s="1"/>
  <c r="FI151" i="33" s="1"/>
  <c r="FJ151" i="33" s="1"/>
  <c r="FK151" i="33" s="1"/>
  <c r="FL151" i="33" s="1"/>
  <c r="FM151" i="33" s="1"/>
  <c r="FN151" i="33" s="1"/>
  <c r="FO151" i="33" s="1"/>
  <c r="FP151" i="33" s="1"/>
  <c r="FQ151" i="33" s="1"/>
  <c r="FR151" i="33" s="1"/>
  <c r="FS151" i="33" s="1"/>
  <c r="FT151" i="33" s="1"/>
  <c r="FU151" i="33" s="1"/>
  <c r="FV151" i="33" s="1"/>
  <c r="FW151" i="33" s="1"/>
  <c r="FX151" i="33" s="1"/>
  <c r="FY151" i="33" s="1"/>
  <c r="FZ151" i="33" s="1"/>
  <c r="GA151" i="33" s="1"/>
  <c r="GB151" i="33" s="1"/>
  <c r="GC151" i="33" s="1"/>
  <c r="GD151" i="33" s="1"/>
  <c r="GE151" i="33" s="1"/>
  <c r="GF151" i="33" s="1"/>
  <c r="GG151" i="33" s="1"/>
  <c r="GH151" i="33" s="1"/>
  <c r="GI151" i="33" s="1"/>
  <c r="GJ151" i="33" s="1"/>
  <c r="GK151" i="33" s="1"/>
  <c r="GL151" i="33" s="1"/>
  <c r="GM151" i="33" s="1"/>
  <c r="GN151" i="33" s="1"/>
  <c r="GO151" i="33" s="1"/>
  <c r="GP151" i="33" s="1"/>
  <c r="GQ151" i="33" s="1"/>
  <c r="GR151" i="33" s="1"/>
  <c r="GS151" i="33" s="1"/>
  <c r="GT151" i="33" s="1"/>
  <c r="GU151" i="33" s="1"/>
  <c r="GV151" i="33" s="1"/>
  <c r="GW151" i="33" s="1"/>
  <c r="F151" i="33"/>
  <c r="G151" i="33" s="1"/>
  <c r="H151" i="33" s="1"/>
  <c r="I151" i="33" s="1"/>
  <c r="J151" i="33" s="1"/>
  <c r="K151" i="33" s="1"/>
  <c r="L151" i="33" s="1"/>
  <c r="M151" i="33" s="1"/>
  <c r="N151" i="33" s="1"/>
  <c r="O151" i="33" s="1"/>
  <c r="P151" i="33" s="1"/>
  <c r="Q151" i="33" s="1"/>
  <c r="R151" i="33" s="1"/>
  <c r="S151" i="33" s="1"/>
  <c r="T151" i="33" s="1"/>
  <c r="U151" i="33" s="1"/>
  <c r="V151" i="33" s="1"/>
  <c r="W151" i="33" s="1"/>
  <c r="X151" i="33" s="1"/>
  <c r="Y151" i="33" s="1"/>
  <c r="Z151" i="33" s="1"/>
  <c r="AA151" i="33" s="1"/>
  <c r="AB151" i="33" s="1"/>
  <c r="AC151" i="33" s="1"/>
  <c r="AD151" i="33" s="1"/>
  <c r="AE151" i="33" s="1"/>
  <c r="AF151" i="33" s="1"/>
  <c r="AG151" i="33" s="1"/>
  <c r="AH151" i="33" s="1"/>
  <c r="AI151" i="33" s="1"/>
  <c r="AJ151" i="33" s="1"/>
  <c r="AK151" i="33" s="1"/>
  <c r="AL151" i="33" s="1"/>
  <c r="AM151" i="33" s="1"/>
  <c r="AN151" i="33" s="1"/>
  <c r="AO151" i="33" s="1"/>
  <c r="AP151" i="33" s="1"/>
  <c r="AQ151" i="33" s="1"/>
  <c r="AR151" i="33" s="1"/>
  <c r="AS151" i="33" s="1"/>
  <c r="AT151" i="33" s="1"/>
  <c r="AU151" i="33" s="1"/>
  <c r="AV151" i="33" s="1"/>
  <c r="AW151" i="33" s="1"/>
  <c r="AX151" i="33" s="1"/>
  <c r="AY151" i="33" s="1"/>
  <c r="AZ151" i="33" s="1"/>
  <c r="BA151" i="33" s="1"/>
  <c r="BB151" i="33" s="1"/>
  <c r="BC151" i="33" s="1"/>
  <c r="BD151" i="33" s="1"/>
  <c r="BE151" i="33" s="1"/>
  <c r="BF151" i="33" s="1"/>
  <c r="BG151" i="33" s="1"/>
  <c r="BH151" i="33" s="1"/>
  <c r="BI151" i="33" s="1"/>
  <c r="BJ151" i="33" s="1"/>
  <c r="BK151" i="33" s="1"/>
  <c r="BL151" i="33" s="1"/>
  <c r="BM151" i="33" s="1"/>
  <c r="BN151" i="33" s="1"/>
  <c r="BO151" i="33" s="1"/>
  <c r="BP151" i="33" s="1"/>
  <c r="BQ151" i="33" s="1"/>
  <c r="BR151" i="33" s="1"/>
  <c r="BS151" i="33" s="1"/>
  <c r="BT151" i="33" s="1"/>
  <c r="BU151" i="33" s="1"/>
  <c r="BV151" i="33" s="1"/>
  <c r="BW151" i="33" s="1"/>
  <c r="BX151" i="33" s="1"/>
  <c r="BY151" i="33" s="1"/>
  <c r="BZ151" i="33" s="1"/>
  <c r="CA151" i="33" s="1"/>
  <c r="CB151" i="33" s="1"/>
  <c r="CC151" i="33" s="1"/>
  <c r="CD151" i="33" s="1"/>
  <c r="CE151" i="33" s="1"/>
  <c r="CF151" i="33" s="1"/>
  <c r="CG151" i="33" s="1"/>
  <c r="CH151" i="33" s="1"/>
  <c r="CI151" i="33" s="1"/>
  <c r="CJ151" i="33" s="1"/>
  <c r="CK151" i="33" s="1"/>
  <c r="CL151" i="33" s="1"/>
  <c r="CM151" i="33" s="1"/>
  <c r="CN151" i="33" s="1"/>
  <c r="CO151" i="33" s="1"/>
  <c r="CP151" i="33" s="1"/>
  <c r="CQ151" i="33" s="1"/>
  <c r="CR151" i="33" s="1"/>
  <c r="CS151" i="33" s="1"/>
  <c r="CT151" i="33" s="1"/>
  <c r="CU151" i="33" s="1"/>
  <c r="CV151" i="33" s="1"/>
  <c r="CW151" i="33" s="1"/>
  <c r="CX151" i="33" s="1"/>
  <c r="CY151" i="33" s="1"/>
  <c r="CZ151" i="33" s="1"/>
  <c r="DC142" i="33"/>
  <c r="DD142" i="33" s="1"/>
  <c r="DE142" i="33" s="1"/>
  <c r="DF142" i="33" s="1"/>
  <c r="DG142" i="33" s="1"/>
  <c r="DH142" i="33" s="1"/>
  <c r="DI142" i="33" s="1"/>
  <c r="DJ142" i="33" s="1"/>
  <c r="DK142" i="33" s="1"/>
  <c r="DL142" i="33" s="1"/>
  <c r="DM142" i="33" s="1"/>
  <c r="DN142" i="33" s="1"/>
  <c r="DO142" i="33" s="1"/>
  <c r="DP142" i="33" s="1"/>
  <c r="DQ142" i="33" s="1"/>
  <c r="DR142" i="33" s="1"/>
  <c r="DS142" i="33" s="1"/>
  <c r="DT142" i="33" s="1"/>
  <c r="DU142" i="33" s="1"/>
  <c r="DV142" i="33" s="1"/>
  <c r="DW142" i="33" s="1"/>
  <c r="DX142" i="33" s="1"/>
  <c r="DY142" i="33" s="1"/>
  <c r="DZ142" i="33" s="1"/>
  <c r="EA142" i="33" s="1"/>
  <c r="EB142" i="33" s="1"/>
  <c r="EC142" i="33" s="1"/>
  <c r="ED142" i="33" s="1"/>
  <c r="EE142" i="33" s="1"/>
  <c r="EF142" i="33" s="1"/>
  <c r="EG142" i="33" s="1"/>
  <c r="EH142" i="33" s="1"/>
  <c r="EI142" i="33" s="1"/>
  <c r="EJ142" i="33" s="1"/>
  <c r="EK142" i="33" s="1"/>
  <c r="EL142" i="33" s="1"/>
  <c r="EM142" i="33" s="1"/>
  <c r="EN142" i="33" s="1"/>
  <c r="EO142" i="33" s="1"/>
  <c r="EP142" i="33" s="1"/>
  <c r="EQ142" i="33" s="1"/>
  <c r="ER142" i="33" s="1"/>
  <c r="ES142" i="33" s="1"/>
  <c r="ET142" i="33" s="1"/>
  <c r="EU142" i="33" s="1"/>
  <c r="EV142" i="33" s="1"/>
  <c r="EW142" i="33" s="1"/>
  <c r="EX142" i="33" s="1"/>
  <c r="EY142" i="33" s="1"/>
  <c r="EZ142" i="33" s="1"/>
  <c r="FA142" i="33" s="1"/>
  <c r="FB142" i="33" s="1"/>
  <c r="FC142" i="33" s="1"/>
  <c r="FD142" i="33" s="1"/>
  <c r="FE142" i="33" s="1"/>
  <c r="FF142" i="33" s="1"/>
  <c r="FG142" i="33" s="1"/>
  <c r="FH142" i="33" s="1"/>
  <c r="FI142" i="33" s="1"/>
  <c r="FJ142" i="33" s="1"/>
  <c r="FK142" i="33" s="1"/>
  <c r="FL142" i="33" s="1"/>
  <c r="FM142" i="33" s="1"/>
  <c r="FN142" i="33" s="1"/>
  <c r="FO142" i="33" s="1"/>
  <c r="FP142" i="33" s="1"/>
  <c r="FQ142" i="33" s="1"/>
  <c r="FR142" i="33" s="1"/>
  <c r="FS142" i="33" s="1"/>
  <c r="FT142" i="33" s="1"/>
  <c r="FU142" i="33" s="1"/>
  <c r="FV142" i="33" s="1"/>
  <c r="FW142" i="33" s="1"/>
  <c r="FX142" i="33" s="1"/>
  <c r="FY142" i="33" s="1"/>
  <c r="FZ142" i="33" s="1"/>
  <c r="GA142" i="33" s="1"/>
  <c r="GB142" i="33" s="1"/>
  <c r="GC142" i="33" s="1"/>
  <c r="GD142" i="33" s="1"/>
  <c r="GE142" i="33" s="1"/>
  <c r="GF142" i="33" s="1"/>
  <c r="GG142" i="33" s="1"/>
  <c r="GH142" i="33" s="1"/>
  <c r="GI142" i="33" s="1"/>
  <c r="GJ142" i="33" s="1"/>
  <c r="GK142" i="33" s="1"/>
  <c r="GL142" i="33" s="1"/>
  <c r="GM142" i="33" s="1"/>
  <c r="GN142" i="33" s="1"/>
  <c r="GO142" i="33" s="1"/>
  <c r="GP142" i="33" s="1"/>
  <c r="GQ142" i="33" s="1"/>
  <c r="GR142" i="33" s="1"/>
  <c r="GS142" i="33" s="1"/>
  <c r="GT142" i="33" s="1"/>
  <c r="GU142" i="33" s="1"/>
  <c r="GV142" i="33" s="1"/>
  <c r="GW142" i="33" s="1"/>
  <c r="F142" i="33"/>
  <c r="G142" i="33" s="1"/>
  <c r="H142" i="33" s="1"/>
  <c r="I142" i="33" s="1"/>
  <c r="J142" i="33" s="1"/>
  <c r="K142" i="33" s="1"/>
  <c r="L142" i="33" s="1"/>
  <c r="M142" i="33" s="1"/>
  <c r="N142" i="33" s="1"/>
  <c r="O142" i="33" s="1"/>
  <c r="P142" i="33" s="1"/>
  <c r="Q142" i="33" s="1"/>
  <c r="R142" i="33" s="1"/>
  <c r="S142" i="33" s="1"/>
  <c r="T142" i="33" s="1"/>
  <c r="U142" i="33" s="1"/>
  <c r="V142" i="33" s="1"/>
  <c r="W142" i="33" s="1"/>
  <c r="X142" i="33" s="1"/>
  <c r="Y142" i="33" s="1"/>
  <c r="Z142" i="33" s="1"/>
  <c r="AA142" i="33" s="1"/>
  <c r="AB142" i="33" s="1"/>
  <c r="AC142" i="33" s="1"/>
  <c r="AD142" i="33" s="1"/>
  <c r="AE142" i="33" s="1"/>
  <c r="AF142" i="33" s="1"/>
  <c r="AG142" i="33" s="1"/>
  <c r="AH142" i="33" s="1"/>
  <c r="AI142" i="33" s="1"/>
  <c r="AJ142" i="33" s="1"/>
  <c r="AK142" i="33" s="1"/>
  <c r="AL142" i="33" s="1"/>
  <c r="AM142" i="33" s="1"/>
  <c r="AN142" i="33" s="1"/>
  <c r="AO142" i="33" s="1"/>
  <c r="AP142" i="33" s="1"/>
  <c r="AQ142" i="33" s="1"/>
  <c r="AR142" i="33" s="1"/>
  <c r="AS142" i="33" s="1"/>
  <c r="AT142" i="33" s="1"/>
  <c r="AU142" i="33" s="1"/>
  <c r="AV142" i="33" s="1"/>
  <c r="AW142" i="33" s="1"/>
  <c r="AX142" i="33" s="1"/>
  <c r="AY142" i="33" s="1"/>
  <c r="AZ142" i="33" s="1"/>
  <c r="BA142" i="33" s="1"/>
  <c r="BB142" i="33" s="1"/>
  <c r="BC142" i="33" s="1"/>
  <c r="BD142" i="33" s="1"/>
  <c r="BE142" i="33" s="1"/>
  <c r="BF142" i="33" s="1"/>
  <c r="BG142" i="33" s="1"/>
  <c r="BH142" i="33" s="1"/>
  <c r="BI142" i="33" s="1"/>
  <c r="BJ142" i="33" s="1"/>
  <c r="BK142" i="33" s="1"/>
  <c r="BL142" i="33" s="1"/>
  <c r="BM142" i="33" s="1"/>
  <c r="BN142" i="33" s="1"/>
  <c r="BO142" i="33" s="1"/>
  <c r="BP142" i="33" s="1"/>
  <c r="BQ142" i="33" s="1"/>
  <c r="BR142" i="33" s="1"/>
  <c r="BS142" i="33" s="1"/>
  <c r="BT142" i="33" s="1"/>
  <c r="BU142" i="33" s="1"/>
  <c r="BV142" i="33" s="1"/>
  <c r="BW142" i="33" s="1"/>
  <c r="BX142" i="33" s="1"/>
  <c r="BY142" i="33" s="1"/>
  <c r="BZ142" i="33" s="1"/>
  <c r="CA142" i="33" s="1"/>
  <c r="CB142" i="33" s="1"/>
  <c r="CC142" i="33" s="1"/>
  <c r="CD142" i="33" s="1"/>
  <c r="CE142" i="33" s="1"/>
  <c r="CF142" i="33" s="1"/>
  <c r="CG142" i="33" s="1"/>
  <c r="CH142" i="33" s="1"/>
  <c r="CI142" i="33" s="1"/>
  <c r="CJ142" i="33" s="1"/>
  <c r="CK142" i="33" s="1"/>
  <c r="CL142" i="33" s="1"/>
  <c r="CM142" i="33" s="1"/>
  <c r="CN142" i="33" s="1"/>
  <c r="CO142" i="33" s="1"/>
  <c r="CP142" i="33" s="1"/>
  <c r="CQ142" i="33" s="1"/>
  <c r="CR142" i="33" s="1"/>
  <c r="CS142" i="33" s="1"/>
  <c r="CT142" i="33" s="1"/>
  <c r="CU142" i="33" s="1"/>
  <c r="CV142" i="33" s="1"/>
  <c r="CW142" i="33" s="1"/>
  <c r="CX142" i="33" s="1"/>
  <c r="CY142" i="33" s="1"/>
  <c r="CZ142" i="33" s="1"/>
  <c r="CT59" i="35"/>
  <c r="DN59" i="35" s="1"/>
  <c r="CT55" i="35"/>
  <c r="DN55" i="35" s="1"/>
  <c r="B13" i="53"/>
  <c r="B10" i="53"/>
  <c r="A12" i="57" l="1"/>
  <c r="M48" i="70"/>
  <c r="M49" i="70" s="1"/>
  <c r="Q46" i="70"/>
  <c r="Q48" i="70" s="1"/>
  <c r="Q49" i="70" s="1"/>
  <c r="L48" i="70"/>
  <c r="L49" i="70" s="1"/>
  <c r="P48" i="70"/>
  <c r="P49" i="70" s="1"/>
  <c r="R48" i="70"/>
  <c r="R49" i="70" s="1"/>
  <c r="H45" i="57"/>
  <c r="G12" i="57"/>
  <c r="G41" i="57"/>
  <c r="H16" i="57"/>
  <c r="G40" i="57"/>
  <c r="H19" i="57"/>
  <c r="G44" i="57"/>
  <c r="G37" i="57"/>
  <c r="G10" i="57"/>
  <c r="G22" i="57"/>
  <c r="G31" i="57"/>
  <c r="G36" i="57"/>
  <c r="G42" i="57"/>
  <c r="G34" i="57"/>
  <c r="G13" i="57"/>
  <c r="G15" i="57"/>
  <c r="G38" i="57"/>
  <c r="G35" i="57"/>
  <c r="G14" i="57"/>
  <c r="G18" i="57"/>
  <c r="H20" i="57"/>
  <c r="H33" i="57"/>
  <c r="G24" i="57"/>
  <c r="G27" i="57"/>
  <c r="H25" i="57"/>
  <c r="H30" i="57"/>
  <c r="H23" i="57"/>
  <c r="G9" i="57"/>
  <c r="G26" i="57"/>
  <c r="G39" i="57"/>
  <c r="G28" i="57"/>
  <c r="AB45" i="57"/>
  <c r="AB32" i="57"/>
  <c r="AB44" i="57"/>
  <c r="AB39" i="57"/>
  <c r="AB36" i="57"/>
  <c r="AB33" i="57"/>
  <c r="AB40" i="57"/>
  <c r="AB37" i="57"/>
  <c r="AB42" i="57"/>
  <c r="AB34" i="57"/>
  <c r="AB29" i="57"/>
  <c r="AB35" i="57"/>
  <c r="AB26" i="57"/>
  <c r="AB23" i="57"/>
  <c r="AB38" i="57"/>
  <c r="AB20" i="57"/>
  <c r="AB30" i="57"/>
  <c r="AB27" i="57"/>
  <c r="AB18" i="57"/>
  <c r="AB16" i="57"/>
  <c r="AB14" i="57"/>
  <c r="AB12" i="57"/>
  <c r="AB41" i="57"/>
  <c r="AB24" i="57"/>
  <c r="AB21" i="57"/>
  <c r="AB31" i="57"/>
  <c r="AB28" i="57"/>
  <c r="AB25" i="57"/>
  <c r="T4" i="57"/>
  <c r="AB43" i="57"/>
  <c r="AB19" i="57"/>
  <c r="AB13" i="57"/>
  <c r="AB9" i="57"/>
  <c r="AB22" i="57"/>
  <c r="AB17" i="57"/>
  <c r="AB11" i="57"/>
  <c r="AB8" i="57"/>
  <c r="AB15" i="57"/>
  <c r="AB10" i="57"/>
  <c r="A13" i="57" l="1"/>
  <c r="I40" i="57"/>
  <c r="J16" i="57"/>
  <c r="H10" i="57"/>
  <c r="I31" i="57"/>
  <c r="H35" i="57"/>
  <c r="H42" i="57"/>
  <c r="H38" i="57"/>
  <c r="I20" i="57"/>
  <c r="G33" i="57"/>
  <c r="H11" i="57"/>
  <c r="I14" i="57"/>
  <c r="G32" i="57"/>
  <c r="H27" i="57"/>
  <c r="G21" i="57"/>
  <c r="I25" i="57"/>
  <c r="G43" i="57"/>
  <c r="G17" i="57"/>
  <c r="I30" i="57"/>
  <c r="H29" i="57"/>
  <c r="H9" i="57"/>
  <c r="I23" i="57"/>
  <c r="AC45" i="57"/>
  <c r="AC43" i="57"/>
  <c r="AC44" i="57"/>
  <c r="AC42" i="57"/>
  <c r="AC39" i="57"/>
  <c r="AC37" i="57"/>
  <c r="AC35" i="57"/>
  <c r="AC33" i="57"/>
  <c r="AC31" i="57"/>
  <c r="AC29" i="57"/>
  <c r="AC27" i="57"/>
  <c r="AC25" i="57"/>
  <c r="AC23" i="57"/>
  <c r="AC21" i="57"/>
  <c r="AC19" i="57"/>
  <c r="AC36" i="57"/>
  <c r="AC40" i="57"/>
  <c r="AC34" i="57"/>
  <c r="AC41" i="57"/>
  <c r="AC38" i="57"/>
  <c r="AC26" i="57"/>
  <c r="AC32" i="57"/>
  <c r="AC20" i="57"/>
  <c r="AC30" i="57"/>
  <c r="AC18" i="57"/>
  <c r="AC16" i="57"/>
  <c r="AC14" i="57"/>
  <c r="AC12" i="57"/>
  <c r="AC10" i="57"/>
  <c r="AC24" i="57"/>
  <c r="AC28" i="57"/>
  <c r="AC22" i="57"/>
  <c r="AC17" i="57"/>
  <c r="AC15" i="57"/>
  <c r="AC13" i="57"/>
  <c r="AC11" i="57"/>
  <c r="U4" i="57"/>
  <c r="AC9" i="57"/>
  <c r="AC8" i="57"/>
  <c r="H17" i="57"/>
  <c r="H28" i="57"/>
  <c r="H43" i="57"/>
  <c r="A14" i="57" l="1"/>
  <c r="H41" i="57"/>
  <c r="H40" i="57"/>
  <c r="H12" i="57"/>
  <c r="I19" i="57"/>
  <c r="I45" i="57"/>
  <c r="H22" i="57"/>
  <c r="I44" i="57"/>
  <c r="H37" i="57"/>
  <c r="I16" i="57"/>
  <c r="H44" i="57"/>
  <c r="I33" i="57"/>
  <c r="H24" i="57"/>
  <c r="I36" i="57"/>
  <c r="I35" i="57"/>
  <c r="H31" i="57"/>
  <c r="H36" i="57"/>
  <c r="H34" i="57"/>
  <c r="J14" i="57"/>
  <c r="H18" i="57"/>
  <c r="H15" i="57"/>
  <c r="I11" i="57"/>
  <c r="H26" i="57"/>
  <c r="J15" i="57"/>
  <c r="I15" i="57"/>
  <c r="H13" i="57"/>
  <c r="H21" i="57"/>
  <c r="I13" i="57"/>
  <c r="H14" i="57"/>
  <c r="H32" i="57"/>
  <c r="I29" i="57"/>
  <c r="I26" i="57"/>
  <c r="H39" i="57"/>
  <c r="J33" i="57"/>
  <c r="I22" i="57"/>
  <c r="J11" i="57"/>
  <c r="I17" i="57"/>
  <c r="I43" i="57"/>
  <c r="I12" i="57"/>
  <c r="J45" i="57"/>
  <c r="J26" i="57"/>
  <c r="I37" i="57"/>
  <c r="J44" i="57"/>
  <c r="I18" i="57"/>
  <c r="J36" i="57"/>
  <c r="J13" i="57"/>
  <c r="I28" i="57"/>
  <c r="I41" i="57"/>
  <c r="J29" i="57"/>
  <c r="I34" i="57"/>
  <c r="I24" i="57"/>
  <c r="J19" i="57"/>
  <c r="AD45" i="57"/>
  <c r="AD43" i="57"/>
  <c r="AD41" i="57"/>
  <c r="AD44" i="57"/>
  <c r="AD42" i="57"/>
  <c r="AD39" i="57"/>
  <c r="AD36" i="57"/>
  <c r="AD33" i="57"/>
  <c r="AD40" i="57"/>
  <c r="AD37" i="57"/>
  <c r="AD34" i="57"/>
  <c r="AD38" i="57"/>
  <c r="AD35" i="57"/>
  <c r="AD32" i="57"/>
  <c r="AD23" i="57"/>
  <c r="AD20" i="57"/>
  <c r="AD30" i="57"/>
  <c r="AD18" i="57"/>
  <c r="AD16" i="57"/>
  <c r="AD14" i="57"/>
  <c r="AD12" i="57"/>
  <c r="AD10" i="57"/>
  <c r="AD27" i="57"/>
  <c r="AD24" i="57"/>
  <c r="AD21" i="57"/>
  <c r="AD31" i="57"/>
  <c r="AD28" i="57"/>
  <c r="AD25" i="57"/>
  <c r="AD22" i="57"/>
  <c r="AD17" i="57"/>
  <c r="AD15" i="57"/>
  <c r="AD13" i="57"/>
  <c r="AD11" i="57"/>
  <c r="AD19" i="57"/>
  <c r="AD29" i="57"/>
  <c r="AD9" i="57"/>
  <c r="AD8" i="57"/>
  <c r="AD26" i="57"/>
  <c r="V4" i="57"/>
  <c r="I21" i="57"/>
  <c r="A15" i="57" l="1"/>
  <c r="J31" i="57"/>
  <c r="I42" i="57"/>
  <c r="J40" i="57"/>
  <c r="I10" i="57"/>
  <c r="J10" i="57"/>
  <c r="J30" i="57"/>
  <c r="I38" i="57"/>
  <c r="I9" i="57"/>
  <c r="J20" i="57"/>
  <c r="K14" i="57"/>
  <c r="J25" i="57"/>
  <c r="J27" i="57"/>
  <c r="I27" i="57"/>
  <c r="J23" i="57"/>
  <c r="I32" i="57"/>
  <c r="I39" i="57"/>
  <c r="AE43" i="57"/>
  <c r="AE41" i="57"/>
  <c r="AE45" i="57"/>
  <c r="AE44" i="57"/>
  <c r="AE33" i="57"/>
  <c r="AE40" i="57"/>
  <c r="AE37" i="57"/>
  <c r="AE34" i="57"/>
  <c r="AE42" i="57"/>
  <c r="AE38" i="57"/>
  <c r="AE35" i="57"/>
  <c r="AE32" i="57"/>
  <c r="AE36" i="57"/>
  <c r="AE30" i="57"/>
  <c r="AE18" i="57"/>
  <c r="AE16" i="57"/>
  <c r="AE14" i="57"/>
  <c r="AE12" i="57"/>
  <c r="AE10" i="57"/>
  <c r="AE27" i="57"/>
  <c r="AE24" i="57"/>
  <c r="AE21" i="57"/>
  <c r="AE31" i="57"/>
  <c r="AE28" i="57"/>
  <c r="AE25" i="57"/>
  <c r="AE22" i="57"/>
  <c r="AE17" i="57"/>
  <c r="AE15" i="57"/>
  <c r="AE13" i="57"/>
  <c r="AE19" i="57"/>
  <c r="AE39" i="57"/>
  <c r="AE29" i="57"/>
  <c r="AE26" i="57"/>
  <c r="AE9" i="57"/>
  <c r="AE20" i="57"/>
  <c r="AE11" i="57"/>
  <c r="AE8" i="57"/>
  <c r="AE23" i="57"/>
  <c r="W4" i="57"/>
  <c r="K40" i="57"/>
  <c r="J18" i="57"/>
  <c r="K16" i="57"/>
  <c r="K20" i="57"/>
  <c r="J17" i="57"/>
  <c r="J22" i="57"/>
  <c r="J9" i="57"/>
  <c r="K26" i="57"/>
  <c r="J12" i="57"/>
  <c r="K27" i="57"/>
  <c r="K10" i="57"/>
  <c r="J43" i="57"/>
  <c r="K31" i="57"/>
  <c r="K33" i="57"/>
  <c r="J34" i="57"/>
  <c r="J24" i="57"/>
  <c r="K44" i="57"/>
  <c r="J42" i="57"/>
  <c r="J28" i="57"/>
  <c r="K13" i="57"/>
  <c r="J37" i="57"/>
  <c r="K45" i="57"/>
  <c r="K11" i="57"/>
  <c r="J21" i="57"/>
  <c r="K19" i="57"/>
  <c r="K29" i="57"/>
  <c r="J41" i="57"/>
  <c r="K25" i="57"/>
  <c r="K30" i="57"/>
  <c r="K23" i="57"/>
  <c r="K36" i="57"/>
  <c r="J38" i="57"/>
  <c r="A16" i="57" l="1"/>
  <c r="J8" i="57"/>
  <c r="I8" i="57"/>
  <c r="K35" i="57"/>
  <c r="J35" i="57"/>
  <c r="K15" i="57"/>
  <c r="J32" i="57"/>
  <c r="J39" i="57"/>
  <c r="L33" i="57"/>
  <c r="K22" i="57"/>
  <c r="K38" i="57"/>
  <c r="K21" i="57"/>
  <c r="K12" i="57"/>
  <c r="L11" i="57"/>
  <c r="L44" i="57"/>
  <c r="K34" i="57"/>
  <c r="L27" i="57"/>
  <c r="L26" i="57"/>
  <c r="K42" i="57"/>
  <c r="K41" i="57"/>
  <c r="L19" i="57"/>
  <c r="L31" i="57"/>
  <c r="K17" i="57"/>
  <c r="K18" i="57"/>
  <c r="L36" i="57"/>
  <c r="L30" i="57"/>
  <c r="L13" i="57"/>
  <c r="K24" i="57"/>
  <c r="L29" i="57"/>
  <c r="L35" i="57"/>
  <c r="L20" i="57"/>
  <c r="L23" i="57"/>
  <c r="L25" i="57"/>
  <c r="L45" i="57"/>
  <c r="K28" i="57"/>
  <c r="K43" i="57"/>
  <c r="L10" i="57"/>
  <c r="L15" i="57"/>
  <c r="K37" i="57"/>
  <c r="K9" i="57"/>
  <c r="K8" i="57"/>
  <c r="L16" i="57"/>
  <c r="L40" i="57"/>
  <c r="AF45" i="57"/>
  <c r="E45" i="57" s="1"/>
  <c r="AF40" i="57"/>
  <c r="E40" i="57" s="1"/>
  <c r="AF37" i="57"/>
  <c r="E37" i="57" s="1"/>
  <c r="AF34" i="57"/>
  <c r="E34" i="57" s="1"/>
  <c r="AF42" i="57"/>
  <c r="E42" i="57" s="1"/>
  <c r="AF38" i="57"/>
  <c r="E38" i="57" s="1"/>
  <c r="AF35" i="57"/>
  <c r="E35" i="57" s="1"/>
  <c r="AF32" i="57"/>
  <c r="E32" i="57" s="1"/>
  <c r="AF41" i="57"/>
  <c r="E41" i="57" s="1"/>
  <c r="AF43" i="57"/>
  <c r="E43" i="57" s="1"/>
  <c r="AF39" i="57"/>
  <c r="E39" i="57" s="1"/>
  <c r="AF36" i="57"/>
  <c r="E36" i="57" s="1"/>
  <c r="AF27" i="57"/>
  <c r="E27" i="57" s="1"/>
  <c r="AF24" i="57"/>
  <c r="E24" i="57" s="1"/>
  <c r="AF21" i="57"/>
  <c r="E21" i="57" s="1"/>
  <c r="AF31" i="57"/>
  <c r="E31" i="57" s="1"/>
  <c r="AF28" i="57"/>
  <c r="E28" i="57" s="1"/>
  <c r="AF33" i="57"/>
  <c r="E33" i="57" s="1"/>
  <c r="AF25" i="57"/>
  <c r="E25" i="57" s="1"/>
  <c r="AF22" i="57"/>
  <c r="E22" i="57" s="1"/>
  <c r="AF17" i="57"/>
  <c r="E17" i="57" s="1"/>
  <c r="AF15" i="57"/>
  <c r="E15" i="57" s="1"/>
  <c r="AF13" i="57"/>
  <c r="E13" i="57" s="1"/>
  <c r="AF11" i="57"/>
  <c r="E11" i="57" s="1"/>
  <c r="AF19" i="57"/>
  <c r="E19" i="57" s="1"/>
  <c r="AF29" i="57"/>
  <c r="E29" i="57" s="1"/>
  <c r="AF26" i="57"/>
  <c r="E26" i="57" s="1"/>
  <c r="AF44" i="57"/>
  <c r="E44" i="57" s="1"/>
  <c r="AF23" i="57"/>
  <c r="E23" i="57" s="1"/>
  <c r="AF20" i="57"/>
  <c r="E20" i="57" s="1"/>
  <c r="AF14" i="57"/>
  <c r="E14" i="57" s="1"/>
  <c r="AF8" i="57"/>
  <c r="E8" i="57" s="1"/>
  <c r="AF30" i="57"/>
  <c r="E30" i="57" s="1"/>
  <c r="AF9" i="57"/>
  <c r="E9" i="57" s="1"/>
  <c r="AF18" i="57"/>
  <c r="E18" i="57" s="1"/>
  <c r="AF12" i="57"/>
  <c r="E12" i="57" s="1"/>
  <c r="AF16" i="57"/>
  <c r="E16" i="57" s="1"/>
  <c r="AF10" i="57"/>
  <c r="E10" i="57" s="1"/>
  <c r="A17" i="57" l="1"/>
  <c r="L14" i="57"/>
  <c r="K32" i="57"/>
  <c r="K39" i="57"/>
  <c r="L43" i="57"/>
  <c r="L42" i="57"/>
  <c r="L8" i="57"/>
  <c r="L9" i="57"/>
  <c r="N25" i="57"/>
  <c r="M25" i="57"/>
  <c r="N20" i="57"/>
  <c r="M20" i="57"/>
  <c r="N13" i="57"/>
  <c r="M13" i="57"/>
  <c r="L18" i="57"/>
  <c r="N31" i="57"/>
  <c r="M31" i="57"/>
  <c r="N27" i="57"/>
  <c r="M27" i="57"/>
  <c r="N44" i="57"/>
  <c r="M44" i="57"/>
  <c r="N14" i="57"/>
  <c r="M14" i="57"/>
  <c r="L38" i="57"/>
  <c r="N29" i="57"/>
  <c r="M29" i="57"/>
  <c r="N23" i="57"/>
  <c r="M23" i="57"/>
  <c r="N35" i="57"/>
  <c r="M35" i="57"/>
  <c r="L17" i="57"/>
  <c r="N33" i="57"/>
  <c r="M33" i="57"/>
  <c r="N40" i="57"/>
  <c r="M40" i="57"/>
  <c r="N15" i="57"/>
  <c r="M15" i="57"/>
  <c r="L28" i="57"/>
  <c r="N19" i="57"/>
  <c r="M19" i="57"/>
  <c r="N30" i="57"/>
  <c r="M30" i="57"/>
  <c r="N26" i="57"/>
  <c r="M26" i="57"/>
  <c r="L34" i="57"/>
  <c r="N11" i="57"/>
  <c r="M11" i="57"/>
  <c r="L21" i="57"/>
  <c r="L22" i="57"/>
  <c r="N16" i="57"/>
  <c r="M16" i="57"/>
  <c r="N10" i="57"/>
  <c r="M10" i="57"/>
  <c r="N45" i="57"/>
  <c r="M45" i="57"/>
  <c r="L41" i="57"/>
  <c r="L37" i="57"/>
  <c r="L24" i="57"/>
  <c r="N36" i="57"/>
  <c r="M36" i="57"/>
  <c r="L12" i="57"/>
  <c r="A18" i="57" l="1"/>
  <c r="D16" i="57"/>
  <c r="L32" i="57"/>
  <c r="D10" i="57"/>
  <c r="D11" i="57"/>
  <c r="L39" i="57"/>
  <c r="D31" i="57"/>
  <c r="D20" i="57"/>
  <c r="D30" i="57"/>
  <c r="D36" i="57"/>
  <c r="D19" i="57"/>
  <c r="D35" i="57"/>
  <c r="D29" i="57"/>
  <c r="D40" i="57"/>
  <c r="D44" i="57"/>
  <c r="D33" i="57"/>
  <c r="N22" i="57"/>
  <c r="M22" i="57"/>
  <c r="N28" i="57"/>
  <c r="M28" i="57"/>
  <c r="N12" i="57"/>
  <c r="M12" i="57"/>
  <c r="N37" i="57"/>
  <c r="M37" i="57"/>
  <c r="D23" i="57"/>
  <c r="N18" i="57"/>
  <c r="M18" i="57"/>
  <c r="D25" i="57"/>
  <c r="N43" i="57"/>
  <c r="M43" i="57"/>
  <c r="N17" i="57"/>
  <c r="M17" i="57"/>
  <c r="N42" i="57"/>
  <c r="M42" i="57"/>
  <c r="D13" i="57"/>
  <c r="N41" i="57"/>
  <c r="M41" i="57"/>
  <c r="N21" i="57"/>
  <c r="M21" i="57"/>
  <c r="D26" i="57"/>
  <c r="N38" i="57"/>
  <c r="M38" i="57"/>
  <c r="D27" i="57"/>
  <c r="N9" i="57"/>
  <c r="M9" i="57"/>
  <c r="N24" i="57"/>
  <c r="M24" i="57"/>
  <c r="N34" i="57"/>
  <c r="M34" i="57"/>
  <c r="D15" i="57"/>
  <c r="D14" i="57"/>
  <c r="N8" i="57"/>
  <c r="M8" i="57"/>
  <c r="D45" i="57"/>
  <c r="B36" i="57" l="1"/>
  <c r="B30" i="57"/>
  <c r="B27" i="57"/>
  <c r="B45" i="57"/>
  <c r="B47" i="57" s="1"/>
  <c r="B26" i="57"/>
  <c r="B33" i="57"/>
  <c r="B20" i="57"/>
  <c r="B13" i="57"/>
  <c r="B23" i="57"/>
  <c r="B44" i="57"/>
  <c r="B31" i="57"/>
  <c r="B40" i="57"/>
  <c r="B29" i="57"/>
  <c r="B16" i="57"/>
  <c r="B25" i="57"/>
  <c r="B35" i="57"/>
  <c r="B11" i="57"/>
  <c r="B15" i="57"/>
  <c r="B14" i="57"/>
  <c r="B19" i="57"/>
  <c r="B10" i="57"/>
  <c r="A19" i="57"/>
  <c r="N32" i="57"/>
  <c r="M32" i="57"/>
  <c r="N39" i="57"/>
  <c r="M39" i="57"/>
  <c r="D8" i="57"/>
  <c r="D41" i="57"/>
  <c r="D9" i="57"/>
  <c r="D42" i="57"/>
  <c r="D17" i="57"/>
  <c r="D37" i="57"/>
  <c r="D38" i="57"/>
  <c r="D34" i="57"/>
  <c r="D12" i="57"/>
  <c r="D21" i="57"/>
  <c r="D24" i="57"/>
  <c r="D43" i="57"/>
  <c r="D28" i="57"/>
  <c r="D18" i="57"/>
  <c r="D22" i="57"/>
  <c r="B41" i="57" l="1"/>
  <c r="B42" i="57"/>
  <c r="B22" i="57"/>
  <c r="B24" i="57"/>
  <c r="B38" i="57"/>
  <c r="B9" i="57"/>
  <c r="A20" i="57"/>
  <c r="B18" i="57"/>
  <c r="B43" i="57"/>
  <c r="B17" i="57"/>
  <c r="B34" i="57"/>
  <c r="B21" i="57"/>
  <c r="B37" i="57"/>
  <c r="B8" i="57"/>
  <c r="B46" i="57" s="1"/>
  <c r="B28" i="57"/>
  <c r="B12" i="57"/>
  <c r="D51" i="63"/>
  <c r="D32" i="57"/>
  <c r="D39" i="57"/>
  <c r="A21" i="57" l="1"/>
  <c r="B39" i="57"/>
  <c r="B32" i="57"/>
  <c r="D52" i="63"/>
  <c r="D58" i="63"/>
  <c r="D55" i="63"/>
  <c r="D35" i="63"/>
  <c r="D49" i="63"/>
  <c r="D54" i="63"/>
  <c r="D36" i="63"/>
  <c r="D70" i="63"/>
  <c r="D48" i="63"/>
  <c r="D60" i="63"/>
  <c r="D64" i="63"/>
  <c r="D50" i="63"/>
  <c r="D57" i="63"/>
  <c r="D59" i="63"/>
  <c r="D62" i="63"/>
  <c r="D69" i="63"/>
  <c r="D46" i="63"/>
  <c r="D68" i="63"/>
  <c r="D67" i="63"/>
  <c r="D56" i="63"/>
  <c r="B75" i="63"/>
  <c r="H48" i="106" s="1"/>
  <c r="D42" i="63"/>
  <c r="D61" i="63"/>
  <c r="D63" i="63"/>
  <c r="D66" i="63"/>
  <c r="D45" i="63"/>
  <c r="D37" i="63"/>
  <c r="D39" i="63"/>
  <c r="D43" i="63"/>
  <c r="D65" i="63"/>
  <c r="D53" i="63"/>
  <c r="D47" i="63"/>
  <c r="D41" i="63"/>
  <c r="D44" i="63"/>
  <c r="D40" i="63"/>
  <c r="D38" i="63"/>
  <c r="D34" i="63"/>
  <c r="A22" i="57" l="1"/>
  <c r="A23" i="57" l="1"/>
  <c r="A24" i="57" l="1"/>
  <c r="A25" i="57" l="1"/>
  <c r="A26" i="57" l="1"/>
  <c r="A27" i="57" l="1"/>
  <c r="A28" i="57" l="1"/>
  <c r="A29" i="57" l="1"/>
  <c r="A30" i="57" l="1"/>
  <c r="A31" i="57" l="1"/>
  <c r="A32" i="57" l="1"/>
  <c r="A33" i="57" l="1"/>
  <c r="A34" i="57" l="1"/>
  <c r="A35" i="57" l="1"/>
  <c r="A36" i="57" l="1"/>
  <c r="A37" i="57" l="1"/>
  <c r="A38" i="57" l="1"/>
  <c r="A39" i="57" l="1"/>
  <c r="A40" i="57" l="1"/>
  <c r="A41" i="57" l="1"/>
  <c r="A42" i="57" l="1"/>
  <c r="A43" i="57" l="1"/>
  <c r="A44" i="57" l="1"/>
  <c r="A45" i="57" l="1"/>
  <c r="F33" i="36" l="1"/>
  <c r="E33" i="36"/>
  <c r="AX33" i="33"/>
  <c r="AZ72" i="33"/>
  <c r="BA72" i="33"/>
  <c r="BB72" i="33"/>
  <c r="BC72" i="33"/>
  <c r="BD72" i="33"/>
  <c r="BE72" i="33"/>
  <c r="BF72" i="33"/>
  <c r="BG72" i="33"/>
  <c r="AG88" i="33"/>
  <c r="AP88" i="33" s="1"/>
  <c r="W88" i="33"/>
  <c r="N88" i="33"/>
  <c r="E88" i="33"/>
  <c r="W87" i="33"/>
  <c r="DC11" i="52"/>
  <c r="DD11" i="52" s="1"/>
  <c r="DE11" i="52" s="1"/>
  <c r="DF11" i="52" s="1"/>
  <c r="DG11" i="52" s="1"/>
  <c r="DH11" i="52" s="1"/>
  <c r="DI11" i="52" s="1"/>
  <c r="DJ11" i="52" s="1"/>
  <c r="DK11" i="52" s="1"/>
  <c r="DL11" i="52" s="1"/>
  <c r="DM11" i="52" s="1"/>
  <c r="DN11" i="52" s="1"/>
  <c r="DO11" i="52" s="1"/>
  <c r="DP11" i="52" s="1"/>
  <c r="DQ11" i="52" s="1"/>
  <c r="DR11" i="52" s="1"/>
  <c r="DS11" i="52" s="1"/>
  <c r="DT11" i="52" s="1"/>
  <c r="DU11" i="52" s="1"/>
  <c r="DV11" i="52" s="1"/>
  <c r="DW11" i="52" s="1"/>
  <c r="DX11" i="52" s="1"/>
  <c r="DY11" i="52" s="1"/>
  <c r="DZ11" i="52" s="1"/>
  <c r="EA11" i="52" s="1"/>
  <c r="EB11" i="52" s="1"/>
  <c r="EC11" i="52" s="1"/>
  <c r="ED11" i="52" s="1"/>
  <c r="EE11" i="52" s="1"/>
  <c r="EF11" i="52" s="1"/>
  <c r="EG11" i="52" s="1"/>
  <c r="EH11" i="52" s="1"/>
  <c r="EI11" i="52" s="1"/>
  <c r="EJ11" i="52" s="1"/>
  <c r="EK11" i="52" s="1"/>
  <c r="EL11" i="52" s="1"/>
  <c r="EM11" i="52" s="1"/>
  <c r="EN11" i="52" s="1"/>
  <c r="EO11" i="52" s="1"/>
  <c r="EP11" i="52" s="1"/>
  <c r="EQ11" i="52" s="1"/>
  <c r="ER11" i="52" s="1"/>
  <c r="ES11" i="52" s="1"/>
  <c r="ET11" i="52" s="1"/>
  <c r="EU11" i="52" s="1"/>
  <c r="EV11" i="52" s="1"/>
  <c r="EW11" i="52" s="1"/>
  <c r="EX11" i="52" s="1"/>
  <c r="EY11" i="52" s="1"/>
  <c r="EZ11" i="52" s="1"/>
  <c r="FA11" i="52" s="1"/>
  <c r="FB11" i="52" s="1"/>
  <c r="FC11" i="52" s="1"/>
  <c r="FD11" i="52" s="1"/>
  <c r="FE11" i="52" s="1"/>
  <c r="FF11" i="52" s="1"/>
  <c r="FG11" i="52" s="1"/>
  <c r="FH11" i="52" s="1"/>
  <c r="FI11" i="52" s="1"/>
  <c r="FJ11" i="52" s="1"/>
  <c r="FK11" i="52" s="1"/>
  <c r="FL11" i="52" s="1"/>
  <c r="FM11" i="52" s="1"/>
  <c r="FN11" i="52" s="1"/>
  <c r="FO11" i="52" s="1"/>
  <c r="FP11" i="52" s="1"/>
  <c r="FQ11" i="52" s="1"/>
  <c r="FR11" i="52" s="1"/>
  <c r="FS11" i="52" s="1"/>
  <c r="FT11" i="52" s="1"/>
  <c r="FU11" i="52" s="1"/>
  <c r="FV11" i="52" s="1"/>
  <c r="FW11" i="52" s="1"/>
  <c r="FX11" i="52" s="1"/>
  <c r="FY11" i="52" s="1"/>
  <c r="FZ11" i="52" s="1"/>
  <c r="GA11" i="52" s="1"/>
  <c r="GB11" i="52" s="1"/>
  <c r="GC11" i="52" s="1"/>
  <c r="GD11" i="52" s="1"/>
  <c r="GE11" i="52" s="1"/>
  <c r="GF11" i="52" s="1"/>
  <c r="GG11" i="52" s="1"/>
  <c r="GH11" i="52" s="1"/>
  <c r="GI11" i="52" s="1"/>
  <c r="GJ11" i="52" s="1"/>
  <c r="GK11" i="52" s="1"/>
  <c r="GL11" i="52" s="1"/>
  <c r="GM11" i="52" s="1"/>
  <c r="GN11" i="52" s="1"/>
  <c r="GO11" i="52" s="1"/>
  <c r="GP11" i="52" s="1"/>
  <c r="GQ11" i="52" s="1"/>
  <c r="GR11" i="52" s="1"/>
  <c r="GS11" i="52" s="1"/>
  <c r="GT11" i="52" s="1"/>
  <c r="GU11" i="52" s="1"/>
  <c r="GV11" i="52" s="1"/>
  <c r="GW11" i="52" s="1"/>
  <c r="F11" i="52"/>
  <c r="G11" i="52" s="1"/>
  <c r="H11" i="52" s="1"/>
  <c r="I11" i="52" s="1"/>
  <c r="J11" i="52" s="1"/>
  <c r="K11" i="52" s="1"/>
  <c r="L11" i="52" s="1"/>
  <c r="M11" i="52" s="1"/>
  <c r="N11" i="52" s="1"/>
  <c r="O11" i="52" s="1"/>
  <c r="P11" i="52" s="1"/>
  <c r="Q11" i="52" s="1"/>
  <c r="R11" i="52" s="1"/>
  <c r="S11" i="52" s="1"/>
  <c r="T11" i="52" s="1"/>
  <c r="U11" i="52" s="1"/>
  <c r="V11" i="52" s="1"/>
  <c r="W11" i="52" s="1"/>
  <c r="X11" i="52" s="1"/>
  <c r="Y11" i="52" s="1"/>
  <c r="Z11" i="52" s="1"/>
  <c r="AA11" i="52" s="1"/>
  <c r="AB11" i="52" s="1"/>
  <c r="AC11" i="52" s="1"/>
  <c r="AD11" i="52" s="1"/>
  <c r="AE11" i="52" s="1"/>
  <c r="AF11" i="52" s="1"/>
  <c r="AG11" i="52" s="1"/>
  <c r="AH11" i="52" s="1"/>
  <c r="AI11" i="52" s="1"/>
  <c r="AJ11" i="52" s="1"/>
  <c r="AK11" i="52" s="1"/>
  <c r="AL11" i="52" s="1"/>
  <c r="AM11" i="52" s="1"/>
  <c r="AN11" i="52" s="1"/>
  <c r="AO11" i="52" s="1"/>
  <c r="AP11" i="52" s="1"/>
  <c r="AQ11" i="52" s="1"/>
  <c r="AR11" i="52" s="1"/>
  <c r="AS11" i="52" s="1"/>
  <c r="AT11" i="52" s="1"/>
  <c r="AU11" i="52" s="1"/>
  <c r="AV11" i="52" s="1"/>
  <c r="AW11" i="52" s="1"/>
  <c r="AX11" i="52" s="1"/>
  <c r="AY11" i="52" s="1"/>
  <c r="AZ11" i="52" s="1"/>
  <c r="BA11" i="52" s="1"/>
  <c r="BB11" i="52" s="1"/>
  <c r="BC11" i="52" s="1"/>
  <c r="BD11" i="52" s="1"/>
  <c r="BE11" i="52" s="1"/>
  <c r="BF11" i="52" s="1"/>
  <c r="BG11" i="52" s="1"/>
  <c r="BH11" i="52" s="1"/>
  <c r="BI11" i="52" s="1"/>
  <c r="BJ11" i="52" s="1"/>
  <c r="BK11" i="52" s="1"/>
  <c r="BL11" i="52" s="1"/>
  <c r="BM11" i="52" s="1"/>
  <c r="BN11" i="52" s="1"/>
  <c r="BO11" i="52" s="1"/>
  <c r="BP11" i="52" s="1"/>
  <c r="BQ11" i="52" s="1"/>
  <c r="BR11" i="52" s="1"/>
  <c r="BS11" i="52" s="1"/>
  <c r="BT11" i="52" s="1"/>
  <c r="BU11" i="52" s="1"/>
  <c r="BV11" i="52" s="1"/>
  <c r="BW11" i="52" s="1"/>
  <c r="BX11" i="52" s="1"/>
  <c r="BY11" i="52" s="1"/>
  <c r="BZ11" i="52" s="1"/>
  <c r="CA11" i="52" s="1"/>
  <c r="CB11" i="52" s="1"/>
  <c r="CC11" i="52" s="1"/>
  <c r="CD11" i="52" s="1"/>
  <c r="CE11" i="52" s="1"/>
  <c r="CF11" i="52" s="1"/>
  <c r="CG11" i="52" s="1"/>
  <c r="CH11" i="52" s="1"/>
  <c r="CI11" i="52" s="1"/>
  <c r="CJ11" i="52" s="1"/>
  <c r="CK11" i="52" s="1"/>
  <c r="CL11" i="52" s="1"/>
  <c r="CM11" i="52" s="1"/>
  <c r="CN11" i="52" s="1"/>
  <c r="CO11" i="52" s="1"/>
  <c r="CP11" i="52" s="1"/>
  <c r="CQ11" i="52" s="1"/>
  <c r="CR11" i="52" s="1"/>
  <c r="CS11" i="52" s="1"/>
  <c r="CT11" i="52" s="1"/>
  <c r="CU11" i="52" s="1"/>
  <c r="CV11" i="52" s="1"/>
  <c r="CW11" i="52" s="1"/>
  <c r="CX11" i="52" s="1"/>
  <c r="CY11" i="52" s="1"/>
  <c r="CZ11" i="52" s="1"/>
  <c r="DC92" i="33"/>
  <c r="DD92" i="33" s="1"/>
  <c r="DE92" i="33" s="1"/>
  <c r="DF92" i="33" s="1"/>
  <c r="DG92" i="33" s="1"/>
  <c r="DH92" i="33" s="1"/>
  <c r="DI92" i="33" s="1"/>
  <c r="DJ92" i="33" s="1"/>
  <c r="DK92" i="33" s="1"/>
  <c r="DL92" i="33" s="1"/>
  <c r="DM92" i="33" s="1"/>
  <c r="DN92" i="33" s="1"/>
  <c r="DO92" i="33" s="1"/>
  <c r="DP92" i="33" s="1"/>
  <c r="DQ92" i="33" s="1"/>
  <c r="DR92" i="33" s="1"/>
  <c r="DS92" i="33" s="1"/>
  <c r="DT92" i="33" s="1"/>
  <c r="DU92" i="33" s="1"/>
  <c r="DV92" i="33" s="1"/>
  <c r="DW92" i="33" s="1"/>
  <c r="DX92" i="33" s="1"/>
  <c r="DY92" i="33" s="1"/>
  <c r="DZ92" i="33" s="1"/>
  <c r="EA92" i="33" s="1"/>
  <c r="EB92" i="33" s="1"/>
  <c r="EC92" i="33" s="1"/>
  <c r="ED92" i="33" s="1"/>
  <c r="EE92" i="33" s="1"/>
  <c r="EF92" i="33" s="1"/>
  <c r="EG92" i="33" s="1"/>
  <c r="EH92" i="33" s="1"/>
  <c r="EI92" i="33" s="1"/>
  <c r="EJ92" i="33" s="1"/>
  <c r="EK92" i="33" s="1"/>
  <c r="EL92" i="33" s="1"/>
  <c r="EM92" i="33" s="1"/>
  <c r="EN92" i="33" s="1"/>
  <c r="EO92" i="33" s="1"/>
  <c r="EP92" i="33" s="1"/>
  <c r="EQ92" i="33" s="1"/>
  <c r="ER92" i="33" s="1"/>
  <c r="ES92" i="33" s="1"/>
  <c r="ET92" i="33" s="1"/>
  <c r="EU92" i="33" s="1"/>
  <c r="EV92" i="33" s="1"/>
  <c r="EW92" i="33" s="1"/>
  <c r="EX92" i="33" s="1"/>
  <c r="EY92" i="33" s="1"/>
  <c r="EZ92" i="33" s="1"/>
  <c r="FA92" i="33" s="1"/>
  <c r="FB92" i="33" s="1"/>
  <c r="FC92" i="33" s="1"/>
  <c r="FD92" i="33" s="1"/>
  <c r="FE92" i="33" s="1"/>
  <c r="FF92" i="33" s="1"/>
  <c r="FG92" i="33" s="1"/>
  <c r="FH92" i="33" s="1"/>
  <c r="FI92" i="33" s="1"/>
  <c r="FJ92" i="33" s="1"/>
  <c r="FK92" i="33" s="1"/>
  <c r="FL92" i="33" s="1"/>
  <c r="FM92" i="33" s="1"/>
  <c r="FN92" i="33" s="1"/>
  <c r="FO92" i="33" s="1"/>
  <c r="FP92" i="33" s="1"/>
  <c r="FQ92" i="33" s="1"/>
  <c r="FR92" i="33" s="1"/>
  <c r="FS92" i="33" s="1"/>
  <c r="FT92" i="33" s="1"/>
  <c r="FU92" i="33" s="1"/>
  <c r="FV92" i="33" s="1"/>
  <c r="FW92" i="33" s="1"/>
  <c r="FX92" i="33" s="1"/>
  <c r="FY92" i="33" s="1"/>
  <c r="FZ92" i="33" s="1"/>
  <c r="GA92" i="33" s="1"/>
  <c r="GB92" i="33" s="1"/>
  <c r="GC92" i="33" s="1"/>
  <c r="GD92" i="33" s="1"/>
  <c r="GE92" i="33" s="1"/>
  <c r="GF92" i="33" s="1"/>
  <c r="GG92" i="33" s="1"/>
  <c r="GH92" i="33" s="1"/>
  <c r="GI92" i="33" s="1"/>
  <c r="GJ92" i="33" s="1"/>
  <c r="GK92" i="33" s="1"/>
  <c r="GL92" i="33" s="1"/>
  <c r="GM92" i="33" s="1"/>
  <c r="GN92" i="33" s="1"/>
  <c r="GO92" i="33" s="1"/>
  <c r="GP92" i="33" s="1"/>
  <c r="GQ92" i="33" s="1"/>
  <c r="GR92" i="33" s="1"/>
  <c r="GS92" i="33" s="1"/>
  <c r="GT92" i="33" s="1"/>
  <c r="GU92" i="33" s="1"/>
  <c r="GV92" i="33" s="1"/>
  <c r="GW92" i="33" s="1"/>
  <c r="F92" i="33"/>
  <c r="G92" i="33" s="1"/>
  <c r="H92" i="33" s="1"/>
  <c r="I92" i="33" s="1"/>
  <c r="J92" i="33" s="1"/>
  <c r="K92" i="33" s="1"/>
  <c r="L92" i="33" s="1"/>
  <c r="M92" i="33" s="1"/>
  <c r="N92" i="33" s="1"/>
  <c r="O92" i="33" s="1"/>
  <c r="P92" i="33" s="1"/>
  <c r="Q92" i="33" s="1"/>
  <c r="R92" i="33" s="1"/>
  <c r="S92" i="33" s="1"/>
  <c r="T92" i="33" s="1"/>
  <c r="U92" i="33" s="1"/>
  <c r="V92" i="33" s="1"/>
  <c r="W92" i="33" s="1"/>
  <c r="X92" i="33" s="1"/>
  <c r="Y92" i="33" s="1"/>
  <c r="Z92" i="33" s="1"/>
  <c r="AA92" i="33" s="1"/>
  <c r="AB92" i="33" s="1"/>
  <c r="AC92" i="33" s="1"/>
  <c r="AD92" i="33" s="1"/>
  <c r="AE92" i="33" s="1"/>
  <c r="AF92" i="33" s="1"/>
  <c r="AG92" i="33" s="1"/>
  <c r="AH92" i="33" s="1"/>
  <c r="AI92" i="33" s="1"/>
  <c r="AJ92" i="33" s="1"/>
  <c r="AK92" i="33" s="1"/>
  <c r="AL92" i="33" s="1"/>
  <c r="AM92" i="33" s="1"/>
  <c r="AN92" i="33" s="1"/>
  <c r="AO92" i="33" s="1"/>
  <c r="AP92" i="33" s="1"/>
  <c r="AQ92" i="33" s="1"/>
  <c r="AR92" i="33" s="1"/>
  <c r="AS92" i="33" s="1"/>
  <c r="AT92" i="33" s="1"/>
  <c r="AU92" i="33" s="1"/>
  <c r="AV92" i="33" s="1"/>
  <c r="AW92" i="33" s="1"/>
  <c r="AX92" i="33" s="1"/>
  <c r="AY92" i="33" s="1"/>
  <c r="AZ92" i="33" s="1"/>
  <c r="BA92" i="33" s="1"/>
  <c r="BB92" i="33" s="1"/>
  <c r="BC92" i="33" s="1"/>
  <c r="BD92" i="33" s="1"/>
  <c r="BE92" i="33" s="1"/>
  <c r="BF92" i="33" s="1"/>
  <c r="BG92" i="33" s="1"/>
  <c r="BH92" i="33" s="1"/>
  <c r="BI92" i="33" s="1"/>
  <c r="BJ92" i="33" s="1"/>
  <c r="BK92" i="33" s="1"/>
  <c r="BL92" i="33" s="1"/>
  <c r="BM92" i="33" s="1"/>
  <c r="BN92" i="33" s="1"/>
  <c r="BO92" i="33" s="1"/>
  <c r="BP92" i="33" s="1"/>
  <c r="BQ92" i="33" s="1"/>
  <c r="BR92" i="33" s="1"/>
  <c r="BS92" i="33" s="1"/>
  <c r="BT92" i="33" s="1"/>
  <c r="BU92" i="33" s="1"/>
  <c r="BV92" i="33" s="1"/>
  <c r="BW92" i="33" s="1"/>
  <c r="BX92" i="33" s="1"/>
  <c r="BY92" i="33" s="1"/>
  <c r="BZ92" i="33" s="1"/>
  <c r="CA92" i="33" s="1"/>
  <c r="CB92" i="33" s="1"/>
  <c r="CC92" i="33" s="1"/>
  <c r="CD92" i="33" s="1"/>
  <c r="CE92" i="33" s="1"/>
  <c r="CF92" i="33" s="1"/>
  <c r="CG92" i="33" s="1"/>
  <c r="CH92" i="33" s="1"/>
  <c r="CI92" i="33" s="1"/>
  <c r="CJ92" i="33" s="1"/>
  <c r="CK92" i="33" s="1"/>
  <c r="CL92" i="33" s="1"/>
  <c r="CM92" i="33" s="1"/>
  <c r="CN92" i="33" s="1"/>
  <c r="CO92" i="33" s="1"/>
  <c r="CP92" i="33" s="1"/>
  <c r="CQ92" i="33" s="1"/>
  <c r="CR92" i="33" s="1"/>
  <c r="CS92" i="33" s="1"/>
  <c r="CT92" i="33" s="1"/>
  <c r="CU92" i="33" s="1"/>
  <c r="CV92" i="33" s="1"/>
  <c r="CW92" i="33" s="1"/>
  <c r="CX92" i="33" s="1"/>
  <c r="CY92" i="33" s="1"/>
  <c r="CZ92" i="33" s="1"/>
  <c r="AM6" i="52"/>
  <c r="AL6" i="52"/>
  <c r="AK6" i="52"/>
  <c r="AJ6" i="52"/>
  <c r="AI6" i="52"/>
  <c r="AH6" i="52"/>
  <c r="AG6" i="52"/>
  <c r="AF6" i="52"/>
  <c r="AD6" i="52"/>
  <c r="AC6" i="52"/>
  <c r="AB6" i="52"/>
  <c r="AA6" i="52"/>
  <c r="Z6" i="52"/>
  <c r="Y6" i="52"/>
  <c r="X6" i="52"/>
  <c r="W6" i="52"/>
  <c r="E39" i="43"/>
  <c r="F39" i="43"/>
  <c r="E40" i="43"/>
  <c r="F40" i="43"/>
  <c r="E41" i="43"/>
  <c r="F41" i="43"/>
  <c r="E42" i="43"/>
  <c r="F42" i="43"/>
  <c r="E43" i="43"/>
  <c r="F43" i="43"/>
  <c r="E44" i="43"/>
  <c r="F44" i="43"/>
  <c r="E45" i="43"/>
  <c r="F45" i="43"/>
  <c r="E46" i="43"/>
  <c r="F46" i="43"/>
  <c r="E47" i="43"/>
  <c r="F47" i="43"/>
  <c r="E48" i="43"/>
  <c r="F48" i="43"/>
  <c r="E49" i="43"/>
  <c r="F49" i="43"/>
  <c r="E50" i="43"/>
  <c r="F50" i="43"/>
  <c r="E51" i="43"/>
  <c r="F51" i="43"/>
  <c r="E52" i="43"/>
  <c r="F52" i="43"/>
  <c r="E53" i="43"/>
  <c r="F53" i="43"/>
  <c r="E54" i="43"/>
  <c r="F54" i="43"/>
  <c r="E55" i="43"/>
  <c r="F55" i="43"/>
  <c r="E56" i="43"/>
  <c r="F56" i="43"/>
  <c r="E57" i="43"/>
  <c r="F57" i="43"/>
  <c r="E58" i="43"/>
  <c r="F58" i="43"/>
  <c r="E59" i="43"/>
  <c r="F59" i="43"/>
  <c r="E60" i="43"/>
  <c r="F60" i="43"/>
  <c r="E61" i="43"/>
  <c r="F61" i="43"/>
  <c r="E62" i="43"/>
  <c r="F62" i="43"/>
  <c r="E63" i="43"/>
  <c r="F63" i="43"/>
  <c r="E64" i="43"/>
  <c r="F64" i="43"/>
  <c r="E65" i="43"/>
  <c r="F65" i="43"/>
  <c r="E66" i="43"/>
  <c r="F66" i="43"/>
  <c r="E67" i="43"/>
  <c r="F67" i="43"/>
  <c r="E68" i="43"/>
  <c r="F68" i="43"/>
  <c r="E69" i="43"/>
  <c r="F69" i="43"/>
  <c r="E70" i="43"/>
  <c r="F70" i="43"/>
  <c r="E71" i="43"/>
  <c r="F71" i="43"/>
  <c r="E72" i="43"/>
  <c r="F72" i="43"/>
  <c r="E73" i="43"/>
  <c r="F73" i="43"/>
  <c r="E74" i="43"/>
  <c r="F74" i="43"/>
  <c r="E75" i="43"/>
  <c r="F75" i="43"/>
  <c r="F38" i="43"/>
  <c r="E38" i="43"/>
  <c r="C39" i="43"/>
  <c r="C40" i="43"/>
  <c r="C41" i="43"/>
  <c r="C42" i="43"/>
  <c r="C43" i="43"/>
  <c r="C44" i="43"/>
  <c r="C45" i="43"/>
  <c r="C46" i="43"/>
  <c r="C47" i="43"/>
  <c r="C48" i="43"/>
  <c r="C49" i="43"/>
  <c r="C50" i="43"/>
  <c r="C51" i="43"/>
  <c r="C52" i="43"/>
  <c r="C53" i="43"/>
  <c r="C54" i="43"/>
  <c r="C55" i="43"/>
  <c r="C56" i="43"/>
  <c r="C57" i="43"/>
  <c r="C58" i="43"/>
  <c r="C59" i="43"/>
  <c r="C60" i="43"/>
  <c r="C61" i="43"/>
  <c r="C62" i="43"/>
  <c r="C63" i="43"/>
  <c r="C64" i="43"/>
  <c r="C65" i="43"/>
  <c r="C66" i="43"/>
  <c r="C67" i="43"/>
  <c r="C68" i="43"/>
  <c r="C69" i="43"/>
  <c r="C70" i="43"/>
  <c r="C71" i="43"/>
  <c r="C72" i="43"/>
  <c r="C73" i="43"/>
  <c r="C74" i="43"/>
  <c r="C75" i="43"/>
  <c r="C38" i="43"/>
  <c r="B75" i="43"/>
  <c r="B39" i="43"/>
  <c r="B40" i="43"/>
  <c r="B41" i="43"/>
  <c r="B42" i="43"/>
  <c r="B43" i="43"/>
  <c r="B44" i="43"/>
  <c r="B45" i="43"/>
  <c r="B46" i="43"/>
  <c r="B47" i="43"/>
  <c r="B48" i="43"/>
  <c r="B49" i="43"/>
  <c r="B50" i="43"/>
  <c r="B51" i="43"/>
  <c r="B52" i="43"/>
  <c r="B53" i="43"/>
  <c r="B54" i="43"/>
  <c r="B55" i="43"/>
  <c r="B56" i="43"/>
  <c r="B57" i="43"/>
  <c r="B58" i="43"/>
  <c r="B59" i="43"/>
  <c r="B60" i="43"/>
  <c r="B61" i="43"/>
  <c r="B62" i="43"/>
  <c r="B63" i="43"/>
  <c r="B64" i="43"/>
  <c r="B65" i="43"/>
  <c r="B66" i="43"/>
  <c r="B67" i="43"/>
  <c r="B68" i="43"/>
  <c r="B69" i="43"/>
  <c r="B70" i="43"/>
  <c r="B71" i="43"/>
  <c r="B72" i="43"/>
  <c r="B73" i="43"/>
  <c r="B74" i="43"/>
  <c r="B38" i="43"/>
  <c r="K45" i="45"/>
  <c r="K52" i="45" s="1"/>
  <c r="J45" i="45"/>
  <c r="J52" i="45" s="1"/>
  <c r="I45" i="45"/>
  <c r="I52" i="45" s="1"/>
  <c r="H45" i="45"/>
  <c r="H52" i="45" s="1"/>
  <c r="E45" i="45"/>
  <c r="E52" i="45" s="1"/>
  <c r="D45" i="45"/>
  <c r="D52" i="45" s="1"/>
  <c r="C45" i="45"/>
  <c r="C52" i="45" s="1"/>
  <c r="B45" i="45"/>
  <c r="K44" i="45"/>
  <c r="K51" i="45" s="1"/>
  <c r="J44" i="45"/>
  <c r="J51" i="45" s="1"/>
  <c r="I44" i="45"/>
  <c r="I51" i="45" s="1"/>
  <c r="H44" i="45"/>
  <c r="H51" i="45" s="1"/>
  <c r="E44" i="45"/>
  <c r="E51" i="45" s="1"/>
  <c r="D44" i="45"/>
  <c r="D51" i="45" s="1"/>
  <c r="C44" i="45"/>
  <c r="C51" i="45" s="1"/>
  <c r="B44" i="45"/>
  <c r="B51" i="45" s="1"/>
  <c r="K43" i="45"/>
  <c r="K50" i="45" s="1"/>
  <c r="J43" i="45"/>
  <c r="J50" i="45" s="1"/>
  <c r="I43" i="45"/>
  <c r="I50" i="45" s="1"/>
  <c r="H43" i="45"/>
  <c r="H50" i="45" s="1"/>
  <c r="E43" i="45"/>
  <c r="E50" i="45" s="1"/>
  <c r="D43" i="45"/>
  <c r="D50" i="45" s="1"/>
  <c r="C43" i="45"/>
  <c r="C50" i="45" s="1"/>
  <c r="B43" i="45"/>
  <c r="B50" i="45" s="1"/>
  <c r="K42" i="45"/>
  <c r="K49" i="45" s="1"/>
  <c r="J42" i="45"/>
  <c r="J49" i="45" s="1"/>
  <c r="I42" i="45"/>
  <c r="I49" i="45" s="1"/>
  <c r="H42" i="45"/>
  <c r="H49" i="45" s="1"/>
  <c r="E42" i="45"/>
  <c r="E49" i="45" s="1"/>
  <c r="D42" i="45"/>
  <c r="D49" i="45" s="1"/>
  <c r="C42" i="45"/>
  <c r="C49" i="45" s="1"/>
  <c r="B42" i="45"/>
  <c r="B49" i="45" s="1"/>
  <c r="K41" i="45"/>
  <c r="K48" i="45" s="1"/>
  <c r="J41" i="45"/>
  <c r="J48" i="45" s="1"/>
  <c r="I41" i="45"/>
  <c r="I48" i="45" s="1"/>
  <c r="H41" i="45"/>
  <c r="H48" i="45" s="1"/>
  <c r="E41" i="45"/>
  <c r="E48" i="45" s="1"/>
  <c r="D41" i="45"/>
  <c r="D48" i="45" s="1"/>
  <c r="C41" i="45"/>
  <c r="C48" i="45" s="1"/>
  <c r="B41" i="45"/>
  <c r="B48" i="45" s="1"/>
  <c r="AJ45" i="52" l="1"/>
  <c r="R45" i="52" s="1"/>
  <c r="GD49" i="52" s="1"/>
  <c r="GE49" i="52" s="1"/>
  <c r="GF49" i="52" s="1"/>
  <c r="GG49" i="52" s="1"/>
  <c r="GH49" i="52" s="1"/>
  <c r="GI49" i="52" s="1"/>
  <c r="GJ49" i="52" s="1"/>
  <c r="GK49" i="52" s="1"/>
  <c r="GL49" i="52" s="1"/>
  <c r="GM49" i="52" s="1"/>
  <c r="AJ36" i="52"/>
  <c r="R36" i="52" s="1"/>
  <c r="GD40" i="52" s="1"/>
  <c r="GE40" i="52" s="1"/>
  <c r="GF40" i="52" s="1"/>
  <c r="GG40" i="52" s="1"/>
  <c r="GH40" i="52" s="1"/>
  <c r="GI40" i="52" s="1"/>
  <c r="GJ40" i="52" s="1"/>
  <c r="GK40" i="52" s="1"/>
  <c r="GL40" i="52" s="1"/>
  <c r="GM40" i="52" s="1"/>
  <c r="AK45" i="52"/>
  <c r="S45" i="52" s="1"/>
  <c r="GN49" i="52" s="1"/>
  <c r="GO49" i="52" s="1"/>
  <c r="GP49" i="52" s="1"/>
  <c r="GQ49" i="52" s="1"/>
  <c r="GR49" i="52" s="1"/>
  <c r="AK36" i="52"/>
  <c r="S36" i="52" s="1"/>
  <c r="GN40" i="52" s="1"/>
  <c r="GO40" i="52" s="1"/>
  <c r="GP40" i="52" s="1"/>
  <c r="GQ40" i="52" s="1"/>
  <c r="GR40" i="52" s="1"/>
  <c r="AL45" i="52"/>
  <c r="T45" i="52" s="1"/>
  <c r="GS49" i="52" s="1"/>
  <c r="GT49" i="52" s="1"/>
  <c r="GU49" i="52" s="1"/>
  <c r="GV49" i="52" s="1"/>
  <c r="AL36" i="52"/>
  <c r="T36" i="52" s="1"/>
  <c r="GS40" i="52" s="1"/>
  <c r="GT40" i="52" s="1"/>
  <c r="GU40" i="52" s="1"/>
  <c r="GV40" i="52" s="1"/>
  <c r="AM36" i="52"/>
  <c r="U36" i="52" s="1"/>
  <c r="GW40" i="52" s="1"/>
  <c r="AM45" i="52"/>
  <c r="U45" i="52" s="1"/>
  <c r="GW49" i="52" s="1"/>
  <c r="AF36" i="52"/>
  <c r="N36" i="52" s="1"/>
  <c r="DB40" i="52" s="1"/>
  <c r="DC40" i="52" s="1"/>
  <c r="DD40" i="52" s="1"/>
  <c r="DE40" i="52" s="1"/>
  <c r="DF40" i="52" s="1"/>
  <c r="DG40" i="52" s="1"/>
  <c r="DH40" i="52" s="1"/>
  <c r="DI40" i="52" s="1"/>
  <c r="DJ40" i="52" s="1"/>
  <c r="DK40" i="52" s="1"/>
  <c r="DL40" i="52" s="1"/>
  <c r="DM40" i="52" s="1"/>
  <c r="DN40" i="52" s="1"/>
  <c r="DO40" i="52" s="1"/>
  <c r="DP40" i="52" s="1"/>
  <c r="DQ40" i="52" s="1"/>
  <c r="DR40" i="52" s="1"/>
  <c r="DS40" i="52" s="1"/>
  <c r="DT40" i="52" s="1"/>
  <c r="DU40" i="52" s="1"/>
  <c r="AF45" i="52"/>
  <c r="N45" i="52" s="1"/>
  <c r="DB49" i="52" s="1"/>
  <c r="DC49" i="52" s="1"/>
  <c r="DD49" i="52" s="1"/>
  <c r="DE49" i="52" s="1"/>
  <c r="DF49" i="52" s="1"/>
  <c r="DG49" i="52" s="1"/>
  <c r="DH49" i="52" s="1"/>
  <c r="DI49" i="52" s="1"/>
  <c r="DJ49" i="52" s="1"/>
  <c r="DK49" i="52" s="1"/>
  <c r="DL49" i="52" s="1"/>
  <c r="DM49" i="52" s="1"/>
  <c r="DN49" i="52" s="1"/>
  <c r="DO49" i="52" s="1"/>
  <c r="DP49" i="52" s="1"/>
  <c r="DQ49" i="52" s="1"/>
  <c r="DR49" i="52" s="1"/>
  <c r="DS49" i="52" s="1"/>
  <c r="DT49" i="52" s="1"/>
  <c r="DU49" i="52" s="1"/>
  <c r="AG45" i="52"/>
  <c r="O45" i="52" s="1"/>
  <c r="DV49" i="52" s="1"/>
  <c r="DW49" i="52" s="1"/>
  <c r="DX49" i="52" s="1"/>
  <c r="DY49" i="52" s="1"/>
  <c r="DZ49" i="52" s="1"/>
  <c r="EA49" i="52" s="1"/>
  <c r="EB49" i="52" s="1"/>
  <c r="EC49" i="52" s="1"/>
  <c r="ED49" i="52" s="1"/>
  <c r="EE49" i="52" s="1"/>
  <c r="EF49" i="52" s="1"/>
  <c r="EG49" i="52" s="1"/>
  <c r="EH49" i="52" s="1"/>
  <c r="EI49" i="52" s="1"/>
  <c r="EJ49" i="52" s="1"/>
  <c r="EK49" i="52" s="1"/>
  <c r="EL49" i="52" s="1"/>
  <c r="EM49" i="52" s="1"/>
  <c r="EN49" i="52" s="1"/>
  <c r="EO49" i="52" s="1"/>
  <c r="AG36" i="52"/>
  <c r="O36" i="52" s="1"/>
  <c r="DV40" i="52" s="1"/>
  <c r="DW40" i="52" s="1"/>
  <c r="DX40" i="52" s="1"/>
  <c r="DY40" i="52" s="1"/>
  <c r="DZ40" i="52" s="1"/>
  <c r="EA40" i="52" s="1"/>
  <c r="EB40" i="52" s="1"/>
  <c r="EC40" i="52" s="1"/>
  <c r="ED40" i="52" s="1"/>
  <c r="EE40" i="52" s="1"/>
  <c r="EF40" i="52" s="1"/>
  <c r="EG40" i="52" s="1"/>
  <c r="EH40" i="52" s="1"/>
  <c r="EI40" i="52" s="1"/>
  <c r="EJ40" i="52" s="1"/>
  <c r="EK40" i="52" s="1"/>
  <c r="EL40" i="52" s="1"/>
  <c r="EM40" i="52" s="1"/>
  <c r="EN40" i="52" s="1"/>
  <c r="EO40" i="52" s="1"/>
  <c r="AH45" i="52"/>
  <c r="P45" i="52" s="1"/>
  <c r="EP49" i="52" s="1"/>
  <c r="EQ49" i="52" s="1"/>
  <c r="ER49" i="52" s="1"/>
  <c r="ES49" i="52" s="1"/>
  <c r="ET49" i="52" s="1"/>
  <c r="EU49" i="52" s="1"/>
  <c r="EV49" i="52" s="1"/>
  <c r="EW49" i="52" s="1"/>
  <c r="EX49" i="52" s="1"/>
  <c r="EY49" i="52" s="1"/>
  <c r="EZ49" i="52" s="1"/>
  <c r="FA49" i="52" s="1"/>
  <c r="FB49" i="52" s="1"/>
  <c r="FC49" i="52" s="1"/>
  <c r="FD49" i="52" s="1"/>
  <c r="FE49" i="52" s="1"/>
  <c r="FF49" i="52" s="1"/>
  <c r="FG49" i="52" s="1"/>
  <c r="FH49" i="52" s="1"/>
  <c r="FI49" i="52" s="1"/>
  <c r="AH36" i="52"/>
  <c r="P36" i="52" s="1"/>
  <c r="EP40" i="52" s="1"/>
  <c r="EQ40" i="52" s="1"/>
  <c r="ER40" i="52" s="1"/>
  <c r="ES40" i="52" s="1"/>
  <c r="ET40" i="52" s="1"/>
  <c r="EU40" i="52" s="1"/>
  <c r="EV40" i="52" s="1"/>
  <c r="EW40" i="52" s="1"/>
  <c r="EX40" i="52" s="1"/>
  <c r="EY40" i="52" s="1"/>
  <c r="EZ40" i="52" s="1"/>
  <c r="FA40" i="52" s="1"/>
  <c r="FB40" i="52" s="1"/>
  <c r="FC40" i="52" s="1"/>
  <c r="FD40" i="52" s="1"/>
  <c r="FE40" i="52" s="1"/>
  <c r="FF40" i="52" s="1"/>
  <c r="FG40" i="52" s="1"/>
  <c r="FH40" i="52" s="1"/>
  <c r="FI40" i="52" s="1"/>
  <c r="AI45" i="52"/>
  <c r="Q45" i="52" s="1"/>
  <c r="FJ49" i="52" s="1"/>
  <c r="FK49" i="52" s="1"/>
  <c r="FL49" i="52" s="1"/>
  <c r="FM49" i="52" s="1"/>
  <c r="FN49" i="52" s="1"/>
  <c r="FO49" i="52" s="1"/>
  <c r="FP49" i="52" s="1"/>
  <c r="FQ49" i="52" s="1"/>
  <c r="FR49" i="52" s="1"/>
  <c r="FS49" i="52" s="1"/>
  <c r="FT49" i="52" s="1"/>
  <c r="FU49" i="52" s="1"/>
  <c r="FV49" i="52" s="1"/>
  <c r="FW49" i="52" s="1"/>
  <c r="FX49" i="52" s="1"/>
  <c r="FY49" i="52" s="1"/>
  <c r="FZ49" i="52" s="1"/>
  <c r="GA49" i="52" s="1"/>
  <c r="GB49" i="52" s="1"/>
  <c r="GC49" i="52" s="1"/>
  <c r="AI36" i="52"/>
  <c r="Q36" i="52" s="1"/>
  <c r="FJ40" i="52" s="1"/>
  <c r="FK40" i="52" s="1"/>
  <c r="FL40" i="52" s="1"/>
  <c r="FM40" i="52" s="1"/>
  <c r="FN40" i="52" s="1"/>
  <c r="FO40" i="52" s="1"/>
  <c r="FP40" i="52" s="1"/>
  <c r="FQ40" i="52" s="1"/>
  <c r="FR40" i="52" s="1"/>
  <c r="FS40" i="52" s="1"/>
  <c r="FT40" i="52" s="1"/>
  <c r="FU40" i="52" s="1"/>
  <c r="FV40" i="52" s="1"/>
  <c r="FW40" i="52" s="1"/>
  <c r="FX40" i="52" s="1"/>
  <c r="FY40" i="52" s="1"/>
  <c r="FZ40" i="52" s="1"/>
  <c r="GA40" i="52" s="1"/>
  <c r="GB40" i="52" s="1"/>
  <c r="GC40" i="52" s="1"/>
  <c r="AA45" i="52"/>
  <c r="AA36" i="52"/>
  <c r="AB45" i="52"/>
  <c r="AB36" i="52"/>
  <c r="AC45" i="52"/>
  <c r="AC36" i="52"/>
  <c r="AD45" i="52"/>
  <c r="AD36" i="52"/>
  <c r="W45" i="52"/>
  <c r="W36" i="52"/>
  <c r="X45" i="52"/>
  <c r="X36" i="52"/>
  <c r="Y45" i="52"/>
  <c r="Y36" i="52"/>
  <c r="Z45" i="52"/>
  <c r="Z36" i="52"/>
  <c r="B73" i="46"/>
  <c r="B52" i="45"/>
  <c r="I73" i="46"/>
  <c r="D73" i="46"/>
  <c r="E73" i="46"/>
  <c r="H73" i="46"/>
  <c r="F73" i="46"/>
  <c r="G73" i="46"/>
  <c r="C73" i="46"/>
  <c r="X27" i="52"/>
  <c r="Y27" i="52"/>
  <c r="Z27" i="52"/>
  <c r="AA27" i="52"/>
  <c r="AB27" i="52"/>
  <c r="AC27" i="52"/>
  <c r="AD27" i="52"/>
  <c r="W27" i="52"/>
  <c r="X18" i="52"/>
  <c r="Y18" i="52"/>
  <c r="Z18" i="52"/>
  <c r="AA18" i="52"/>
  <c r="AB18" i="52"/>
  <c r="AC18" i="52"/>
  <c r="AD18" i="52"/>
  <c r="W18" i="52"/>
  <c r="AG27" i="52"/>
  <c r="O27" i="52" s="1"/>
  <c r="DV31" i="52" s="1"/>
  <c r="DW31" i="52" s="1"/>
  <c r="DX31" i="52" s="1"/>
  <c r="DY31" i="52" s="1"/>
  <c r="DZ31" i="52" s="1"/>
  <c r="EA31" i="52" s="1"/>
  <c r="EB31" i="52" s="1"/>
  <c r="EC31" i="52" s="1"/>
  <c r="ED31" i="52" s="1"/>
  <c r="EE31" i="52" s="1"/>
  <c r="EF31" i="52" s="1"/>
  <c r="EG31" i="52" s="1"/>
  <c r="EH31" i="52" s="1"/>
  <c r="EI31" i="52" s="1"/>
  <c r="EJ31" i="52" s="1"/>
  <c r="EK31" i="52" s="1"/>
  <c r="EL31" i="52" s="1"/>
  <c r="EM31" i="52" s="1"/>
  <c r="EN31" i="52" s="1"/>
  <c r="EO31" i="52" s="1"/>
  <c r="AH27" i="52"/>
  <c r="P27" i="52" s="1"/>
  <c r="EP31" i="52" s="1"/>
  <c r="EQ31" i="52" s="1"/>
  <c r="ER31" i="52" s="1"/>
  <c r="ES31" i="52" s="1"/>
  <c r="ET31" i="52" s="1"/>
  <c r="EU31" i="52" s="1"/>
  <c r="EV31" i="52" s="1"/>
  <c r="EW31" i="52" s="1"/>
  <c r="EX31" i="52" s="1"/>
  <c r="EY31" i="52" s="1"/>
  <c r="EZ31" i="52" s="1"/>
  <c r="FA31" i="52" s="1"/>
  <c r="FB31" i="52" s="1"/>
  <c r="FC31" i="52" s="1"/>
  <c r="FD31" i="52" s="1"/>
  <c r="FE31" i="52" s="1"/>
  <c r="FF31" i="52" s="1"/>
  <c r="FG31" i="52" s="1"/>
  <c r="FH31" i="52" s="1"/>
  <c r="FI31" i="52" s="1"/>
  <c r="AF27" i="52"/>
  <c r="N27" i="52" s="1"/>
  <c r="DB31" i="52" s="1"/>
  <c r="AI27" i="52"/>
  <c r="Q27" i="52" s="1"/>
  <c r="FJ31" i="52" s="1"/>
  <c r="FK31" i="52" s="1"/>
  <c r="FL31" i="52" s="1"/>
  <c r="FM31" i="52" s="1"/>
  <c r="FN31" i="52" s="1"/>
  <c r="FO31" i="52" s="1"/>
  <c r="FP31" i="52" s="1"/>
  <c r="FQ31" i="52" s="1"/>
  <c r="FR31" i="52" s="1"/>
  <c r="FS31" i="52" s="1"/>
  <c r="FT31" i="52" s="1"/>
  <c r="FU31" i="52" s="1"/>
  <c r="FV31" i="52" s="1"/>
  <c r="FW31" i="52" s="1"/>
  <c r="FX31" i="52" s="1"/>
  <c r="FY31" i="52" s="1"/>
  <c r="FZ31" i="52" s="1"/>
  <c r="GA31" i="52" s="1"/>
  <c r="GB31" i="52" s="1"/>
  <c r="GC31" i="52" s="1"/>
  <c r="AJ27" i="52"/>
  <c r="R27" i="52" s="1"/>
  <c r="GD31" i="52" s="1"/>
  <c r="GE31" i="52" s="1"/>
  <c r="GF31" i="52" s="1"/>
  <c r="GG31" i="52" s="1"/>
  <c r="GH31" i="52" s="1"/>
  <c r="GI31" i="52" s="1"/>
  <c r="GJ31" i="52" s="1"/>
  <c r="GK31" i="52" s="1"/>
  <c r="GL31" i="52" s="1"/>
  <c r="GM31" i="52" s="1"/>
  <c r="AM27" i="52"/>
  <c r="U27" i="52" s="1"/>
  <c r="GW31" i="52" s="1"/>
  <c r="AK27" i="52"/>
  <c r="S27" i="52" s="1"/>
  <c r="GN31" i="52" s="1"/>
  <c r="GO31" i="52" s="1"/>
  <c r="GP31" i="52" s="1"/>
  <c r="GQ31" i="52" s="1"/>
  <c r="GR31" i="52" s="1"/>
  <c r="AL27" i="52"/>
  <c r="T27" i="52" s="1"/>
  <c r="GS31" i="52" s="1"/>
  <c r="GT31" i="52" s="1"/>
  <c r="GU31" i="52" s="1"/>
  <c r="GV31" i="52" s="1"/>
  <c r="AM18" i="52"/>
  <c r="U18" i="52" s="1"/>
  <c r="GW22" i="52" s="1"/>
  <c r="AF18" i="52"/>
  <c r="N18" i="52" s="1"/>
  <c r="DB22" i="52" s="1"/>
  <c r="AG18" i="52"/>
  <c r="O18" i="52" s="1"/>
  <c r="DV22" i="52" s="1"/>
  <c r="DW22" i="52" s="1"/>
  <c r="DX22" i="52" s="1"/>
  <c r="DY22" i="52" s="1"/>
  <c r="DZ22" i="52" s="1"/>
  <c r="EA22" i="52" s="1"/>
  <c r="EB22" i="52" s="1"/>
  <c r="EC22" i="52" s="1"/>
  <c r="ED22" i="52" s="1"/>
  <c r="EE22" i="52" s="1"/>
  <c r="EF22" i="52" s="1"/>
  <c r="EG22" i="52" s="1"/>
  <c r="EH22" i="52" s="1"/>
  <c r="EI22" i="52" s="1"/>
  <c r="EJ22" i="52" s="1"/>
  <c r="EK22" i="52" s="1"/>
  <c r="EL22" i="52" s="1"/>
  <c r="EM22" i="52" s="1"/>
  <c r="EN22" i="52" s="1"/>
  <c r="EO22" i="52" s="1"/>
  <c r="AH18" i="52"/>
  <c r="P18" i="52" s="1"/>
  <c r="EP22" i="52" s="1"/>
  <c r="EQ22" i="52" s="1"/>
  <c r="ER22" i="52" s="1"/>
  <c r="ES22" i="52" s="1"/>
  <c r="ET22" i="52" s="1"/>
  <c r="EU22" i="52" s="1"/>
  <c r="EV22" i="52" s="1"/>
  <c r="EW22" i="52" s="1"/>
  <c r="EX22" i="52" s="1"/>
  <c r="EY22" i="52" s="1"/>
  <c r="EZ22" i="52" s="1"/>
  <c r="FA22" i="52" s="1"/>
  <c r="FB22" i="52" s="1"/>
  <c r="FC22" i="52" s="1"/>
  <c r="FD22" i="52" s="1"/>
  <c r="FE22" i="52" s="1"/>
  <c r="FF22" i="52" s="1"/>
  <c r="FG22" i="52" s="1"/>
  <c r="FH22" i="52" s="1"/>
  <c r="FI22" i="52" s="1"/>
  <c r="AI18" i="52"/>
  <c r="Q18" i="52" s="1"/>
  <c r="FJ22" i="52" s="1"/>
  <c r="FK22" i="52" s="1"/>
  <c r="FL22" i="52" s="1"/>
  <c r="FM22" i="52" s="1"/>
  <c r="FN22" i="52" s="1"/>
  <c r="FO22" i="52" s="1"/>
  <c r="FP22" i="52" s="1"/>
  <c r="FQ22" i="52" s="1"/>
  <c r="FR22" i="52" s="1"/>
  <c r="FS22" i="52" s="1"/>
  <c r="FT22" i="52" s="1"/>
  <c r="FU22" i="52" s="1"/>
  <c r="FV22" i="52" s="1"/>
  <c r="FW22" i="52" s="1"/>
  <c r="FX22" i="52" s="1"/>
  <c r="FY22" i="52" s="1"/>
  <c r="FZ22" i="52" s="1"/>
  <c r="GA22" i="52" s="1"/>
  <c r="GB22" i="52" s="1"/>
  <c r="GC22" i="52" s="1"/>
  <c r="AJ18" i="52"/>
  <c r="R18" i="52" s="1"/>
  <c r="GD22" i="52" s="1"/>
  <c r="GE22" i="52" s="1"/>
  <c r="GF22" i="52" s="1"/>
  <c r="GG22" i="52" s="1"/>
  <c r="GH22" i="52" s="1"/>
  <c r="GI22" i="52" s="1"/>
  <c r="GJ22" i="52" s="1"/>
  <c r="GK22" i="52" s="1"/>
  <c r="GL22" i="52" s="1"/>
  <c r="GM22" i="52" s="1"/>
  <c r="AK18" i="52"/>
  <c r="S18" i="52" s="1"/>
  <c r="GN22" i="52" s="1"/>
  <c r="GO22" i="52" s="1"/>
  <c r="GP22" i="52" s="1"/>
  <c r="GQ22" i="52" s="1"/>
  <c r="GR22" i="52" s="1"/>
  <c r="AL18" i="52"/>
  <c r="T18" i="52" s="1"/>
  <c r="GS22" i="52" s="1"/>
  <c r="GT22" i="52" s="1"/>
  <c r="GU22" i="52" s="1"/>
  <c r="GV22" i="52" s="1"/>
  <c r="O6" i="52"/>
  <c r="P6" i="52"/>
  <c r="Q6" i="52"/>
  <c r="R6" i="52"/>
  <c r="J6" i="52"/>
  <c r="S6" i="52"/>
  <c r="L6" i="52"/>
  <c r="AU6" i="52"/>
  <c r="T6" i="52"/>
  <c r="U6" i="52"/>
  <c r="N6" i="52"/>
  <c r="AO6" i="52"/>
  <c r="AP6" i="52"/>
  <c r="AR6" i="52"/>
  <c r="H6" i="52"/>
  <c r="AS6" i="52"/>
  <c r="I6" i="52"/>
  <c r="K6" i="52"/>
  <c r="AQ6" i="52"/>
  <c r="G6" i="52"/>
  <c r="E6" i="52"/>
  <c r="F6" i="52"/>
  <c r="AH88" i="33"/>
  <c r="P88" i="33" s="1"/>
  <c r="X88" i="33"/>
  <c r="F88" i="33"/>
  <c r="O88" i="33"/>
  <c r="AT6" i="52"/>
  <c r="AV6" i="52"/>
  <c r="G36" i="52" l="1"/>
  <c r="AS40" i="52" s="1"/>
  <c r="AT40" i="52" s="1"/>
  <c r="AU40" i="52" s="1"/>
  <c r="AV40" i="52" s="1"/>
  <c r="AW40" i="52" s="1"/>
  <c r="AX40" i="52" s="1"/>
  <c r="AY40" i="52" s="1"/>
  <c r="AZ40" i="52" s="1"/>
  <c r="BA40" i="52" s="1"/>
  <c r="BB40" i="52" s="1"/>
  <c r="BC40" i="52" s="1"/>
  <c r="BD40" i="52" s="1"/>
  <c r="BE40" i="52" s="1"/>
  <c r="BF40" i="52" s="1"/>
  <c r="BG40" i="52" s="1"/>
  <c r="BH40" i="52" s="1"/>
  <c r="BI40" i="52" s="1"/>
  <c r="BJ40" i="52" s="1"/>
  <c r="BK40" i="52" s="1"/>
  <c r="BL40" i="52" s="1"/>
  <c r="AQ36" i="52"/>
  <c r="AU36" i="52"/>
  <c r="K36" i="52"/>
  <c r="CV40" i="52" s="1"/>
  <c r="CW40" i="52" s="1"/>
  <c r="CX40" i="52" s="1"/>
  <c r="CY40" i="52" s="1"/>
  <c r="AR36" i="52"/>
  <c r="H36" i="52"/>
  <c r="BM40" i="52" s="1"/>
  <c r="BN40" i="52" s="1"/>
  <c r="BO40" i="52" s="1"/>
  <c r="BP40" i="52" s="1"/>
  <c r="BQ40" i="52" s="1"/>
  <c r="BR40" i="52" s="1"/>
  <c r="BS40" i="52" s="1"/>
  <c r="BT40" i="52" s="1"/>
  <c r="BU40" i="52" s="1"/>
  <c r="BV40" i="52" s="1"/>
  <c r="BW40" i="52" s="1"/>
  <c r="BX40" i="52" s="1"/>
  <c r="BY40" i="52" s="1"/>
  <c r="BZ40" i="52" s="1"/>
  <c r="CA40" i="52" s="1"/>
  <c r="CB40" i="52" s="1"/>
  <c r="CC40" i="52" s="1"/>
  <c r="CD40" i="52" s="1"/>
  <c r="CE40" i="52" s="1"/>
  <c r="CF40" i="52" s="1"/>
  <c r="AQ45" i="52"/>
  <c r="G45" i="52"/>
  <c r="AS49" i="52" s="1"/>
  <c r="AT49" i="52" s="1"/>
  <c r="AU49" i="52" s="1"/>
  <c r="AV49" i="52" s="1"/>
  <c r="AW49" i="52" s="1"/>
  <c r="AX49" i="52" s="1"/>
  <c r="AY49" i="52" s="1"/>
  <c r="AZ49" i="52" s="1"/>
  <c r="BA49" i="52" s="1"/>
  <c r="BB49" i="52" s="1"/>
  <c r="BC49" i="52" s="1"/>
  <c r="BD49" i="52" s="1"/>
  <c r="BE49" i="52" s="1"/>
  <c r="BF49" i="52" s="1"/>
  <c r="BG49" i="52" s="1"/>
  <c r="BH49" i="52" s="1"/>
  <c r="BI49" i="52" s="1"/>
  <c r="BJ49" i="52" s="1"/>
  <c r="BK49" i="52" s="1"/>
  <c r="BL49" i="52" s="1"/>
  <c r="AU45" i="52"/>
  <c r="K45" i="52"/>
  <c r="CV49" i="52" s="1"/>
  <c r="CW49" i="52" s="1"/>
  <c r="CX49" i="52" s="1"/>
  <c r="CY49" i="52" s="1"/>
  <c r="F36" i="52"/>
  <c r="Y40" i="52" s="1"/>
  <c r="Z40" i="52" s="1"/>
  <c r="AA40" i="52" s="1"/>
  <c r="AB40" i="52" s="1"/>
  <c r="AC40" i="52" s="1"/>
  <c r="AD40" i="52" s="1"/>
  <c r="AE40" i="52" s="1"/>
  <c r="AF40" i="52" s="1"/>
  <c r="AG40" i="52" s="1"/>
  <c r="AH40" i="52" s="1"/>
  <c r="AI40" i="52" s="1"/>
  <c r="AJ40" i="52" s="1"/>
  <c r="AK40" i="52" s="1"/>
  <c r="AL40" i="52" s="1"/>
  <c r="AM40" i="52" s="1"/>
  <c r="AN40" i="52" s="1"/>
  <c r="AO40" i="52" s="1"/>
  <c r="AP40" i="52" s="1"/>
  <c r="AQ40" i="52" s="1"/>
  <c r="AR40" i="52" s="1"/>
  <c r="AP36" i="52"/>
  <c r="AT36" i="52"/>
  <c r="J36" i="52"/>
  <c r="CQ40" i="52" s="1"/>
  <c r="CR40" i="52" s="1"/>
  <c r="CS40" i="52" s="1"/>
  <c r="CT40" i="52" s="1"/>
  <c r="CU40" i="52" s="1"/>
  <c r="L36" i="52"/>
  <c r="CZ40" i="52" s="1"/>
  <c r="AV36" i="52"/>
  <c r="F45" i="52"/>
  <c r="Y49" i="52" s="1"/>
  <c r="Z49" i="52" s="1"/>
  <c r="AA49" i="52" s="1"/>
  <c r="AB49" i="52" s="1"/>
  <c r="AC49" i="52" s="1"/>
  <c r="AD49" i="52" s="1"/>
  <c r="AE49" i="52" s="1"/>
  <c r="AF49" i="52" s="1"/>
  <c r="AG49" i="52" s="1"/>
  <c r="AH49" i="52" s="1"/>
  <c r="AI49" i="52" s="1"/>
  <c r="AJ49" i="52" s="1"/>
  <c r="AK49" i="52" s="1"/>
  <c r="AL49" i="52" s="1"/>
  <c r="AM49" i="52" s="1"/>
  <c r="AN49" i="52" s="1"/>
  <c r="AO49" i="52" s="1"/>
  <c r="AP49" i="52" s="1"/>
  <c r="AQ49" i="52" s="1"/>
  <c r="AR49" i="52" s="1"/>
  <c r="AP45" i="52"/>
  <c r="AV45" i="52"/>
  <c r="L45" i="52"/>
  <c r="CZ49" i="52" s="1"/>
  <c r="AO36" i="52"/>
  <c r="E36" i="52"/>
  <c r="E40" i="52" s="1"/>
  <c r="AS36" i="52"/>
  <c r="I36" i="52"/>
  <c r="CG40" i="52" s="1"/>
  <c r="CH40" i="52" s="1"/>
  <c r="CI40" i="52" s="1"/>
  <c r="CJ40" i="52" s="1"/>
  <c r="CK40" i="52" s="1"/>
  <c r="CL40" i="52" s="1"/>
  <c r="CM40" i="52" s="1"/>
  <c r="CN40" i="52" s="1"/>
  <c r="CO40" i="52" s="1"/>
  <c r="CP40" i="52" s="1"/>
  <c r="AR45" i="52"/>
  <c r="H45" i="52"/>
  <c r="BM49" i="52" s="1"/>
  <c r="BN49" i="52" s="1"/>
  <c r="BO49" i="52" s="1"/>
  <c r="BP49" i="52" s="1"/>
  <c r="BQ49" i="52" s="1"/>
  <c r="BR49" i="52" s="1"/>
  <c r="BS49" i="52" s="1"/>
  <c r="BT49" i="52" s="1"/>
  <c r="BU49" i="52" s="1"/>
  <c r="BV49" i="52" s="1"/>
  <c r="BW49" i="52" s="1"/>
  <c r="BX49" i="52" s="1"/>
  <c r="BY49" i="52" s="1"/>
  <c r="BZ49" i="52" s="1"/>
  <c r="CA49" i="52" s="1"/>
  <c r="CB49" i="52" s="1"/>
  <c r="CC49" i="52" s="1"/>
  <c r="CD49" i="52" s="1"/>
  <c r="CE49" i="52" s="1"/>
  <c r="CF49" i="52" s="1"/>
  <c r="J45" i="52"/>
  <c r="CQ49" i="52" s="1"/>
  <c r="CR49" i="52" s="1"/>
  <c r="CS49" i="52" s="1"/>
  <c r="CT49" i="52" s="1"/>
  <c r="CU49" i="52" s="1"/>
  <c r="AT45" i="52"/>
  <c r="E45" i="52"/>
  <c r="E49" i="52" s="1"/>
  <c r="AO45" i="52"/>
  <c r="I45" i="52"/>
  <c r="CG49" i="52" s="1"/>
  <c r="CH49" i="52" s="1"/>
  <c r="CI49" i="52" s="1"/>
  <c r="CJ49" i="52" s="1"/>
  <c r="CK49" i="52" s="1"/>
  <c r="CL49" i="52" s="1"/>
  <c r="CM49" i="52" s="1"/>
  <c r="CN49" i="52" s="1"/>
  <c r="CO49" i="52" s="1"/>
  <c r="CP49" i="52" s="1"/>
  <c r="AS45" i="52"/>
  <c r="AZ73" i="46"/>
  <c r="AS27" i="52"/>
  <c r="I27" i="52"/>
  <c r="CG31" i="52" s="1"/>
  <c r="CH31" i="52" s="1"/>
  <c r="CI31" i="52" s="1"/>
  <c r="CJ31" i="52" s="1"/>
  <c r="CK31" i="52" s="1"/>
  <c r="CL31" i="52" s="1"/>
  <c r="CM31" i="52" s="1"/>
  <c r="CN31" i="52" s="1"/>
  <c r="CO31" i="52" s="1"/>
  <c r="CP31" i="52" s="1"/>
  <c r="AR27" i="52"/>
  <c r="H27" i="52"/>
  <c r="BM31" i="52" s="1"/>
  <c r="BN31" i="52" s="1"/>
  <c r="BO31" i="52" s="1"/>
  <c r="BP31" i="52" s="1"/>
  <c r="BQ31" i="52" s="1"/>
  <c r="BR31" i="52" s="1"/>
  <c r="BS31" i="52" s="1"/>
  <c r="BT31" i="52" s="1"/>
  <c r="BU31" i="52" s="1"/>
  <c r="BV31" i="52" s="1"/>
  <c r="BW31" i="52" s="1"/>
  <c r="BX31" i="52" s="1"/>
  <c r="BY31" i="52" s="1"/>
  <c r="BZ31" i="52" s="1"/>
  <c r="CA31" i="52" s="1"/>
  <c r="CB31" i="52" s="1"/>
  <c r="CC31" i="52" s="1"/>
  <c r="CD31" i="52" s="1"/>
  <c r="CE31" i="52" s="1"/>
  <c r="CF31" i="52" s="1"/>
  <c r="DC31" i="52"/>
  <c r="DD31" i="52" s="1"/>
  <c r="DE31" i="52" s="1"/>
  <c r="DF31" i="52" s="1"/>
  <c r="DG31" i="52" s="1"/>
  <c r="DH31" i="52" s="1"/>
  <c r="DI31" i="52" s="1"/>
  <c r="DJ31" i="52" s="1"/>
  <c r="DK31" i="52" s="1"/>
  <c r="DL31" i="52" s="1"/>
  <c r="DM31" i="52" s="1"/>
  <c r="DN31" i="52" s="1"/>
  <c r="DO31" i="52" s="1"/>
  <c r="DP31" i="52" s="1"/>
  <c r="DQ31" i="52" s="1"/>
  <c r="DR31" i="52" s="1"/>
  <c r="DS31" i="52" s="1"/>
  <c r="DT31" i="52" s="1"/>
  <c r="DU31" i="52" s="1"/>
  <c r="AV27" i="52"/>
  <c r="L27" i="52"/>
  <c r="CZ31" i="52" s="1"/>
  <c r="AU27" i="52"/>
  <c r="K27" i="52"/>
  <c r="CV31" i="52" s="1"/>
  <c r="CW31" i="52" s="1"/>
  <c r="CX31" i="52" s="1"/>
  <c r="CY31" i="52" s="1"/>
  <c r="AT27" i="52"/>
  <c r="J27" i="52"/>
  <c r="CQ31" i="52" s="1"/>
  <c r="CR31" i="52" s="1"/>
  <c r="CS31" i="52" s="1"/>
  <c r="CT31" i="52" s="1"/>
  <c r="CU31" i="52" s="1"/>
  <c r="AQ27" i="52"/>
  <c r="G27" i="52"/>
  <c r="AS31" i="52" s="1"/>
  <c r="AT31" i="52" s="1"/>
  <c r="AU31" i="52" s="1"/>
  <c r="AV31" i="52" s="1"/>
  <c r="AW31" i="52" s="1"/>
  <c r="AX31" i="52" s="1"/>
  <c r="AY31" i="52" s="1"/>
  <c r="AZ31" i="52" s="1"/>
  <c r="BA31" i="52" s="1"/>
  <c r="BB31" i="52" s="1"/>
  <c r="BC31" i="52" s="1"/>
  <c r="BD31" i="52" s="1"/>
  <c r="BE31" i="52" s="1"/>
  <c r="BF31" i="52" s="1"/>
  <c r="BG31" i="52" s="1"/>
  <c r="BH31" i="52" s="1"/>
  <c r="BI31" i="52" s="1"/>
  <c r="BJ31" i="52" s="1"/>
  <c r="BK31" i="52" s="1"/>
  <c r="BL31" i="52" s="1"/>
  <c r="AP27" i="52"/>
  <c r="F27" i="52"/>
  <c r="Y31" i="52" s="1"/>
  <c r="Z31" i="52" s="1"/>
  <c r="AA31" i="52" s="1"/>
  <c r="AB31" i="52" s="1"/>
  <c r="AC31" i="52" s="1"/>
  <c r="AD31" i="52" s="1"/>
  <c r="AE31" i="52" s="1"/>
  <c r="AF31" i="52" s="1"/>
  <c r="AG31" i="52" s="1"/>
  <c r="AH31" i="52" s="1"/>
  <c r="AI31" i="52" s="1"/>
  <c r="AJ31" i="52" s="1"/>
  <c r="AK31" i="52" s="1"/>
  <c r="AL31" i="52" s="1"/>
  <c r="AM31" i="52" s="1"/>
  <c r="AN31" i="52" s="1"/>
  <c r="AO31" i="52" s="1"/>
  <c r="AP31" i="52" s="1"/>
  <c r="AQ31" i="52" s="1"/>
  <c r="AR31" i="52" s="1"/>
  <c r="AO27" i="52"/>
  <c r="E27" i="52"/>
  <c r="E31" i="52" s="1"/>
  <c r="AU18" i="52"/>
  <c r="K18" i="52"/>
  <c r="CV22" i="52" s="1"/>
  <c r="CW22" i="52" s="1"/>
  <c r="CX22" i="52" s="1"/>
  <c r="CY22" i="52" s="1"/>
  <c r="AT18" i="52"/>
  <c r="J18" i="52"/>
  <c r="CQ22" i="52" s="1"/>
  <c r="CR22" i="52" s="1"/>
  <c r="CS22" i="52" s="1"/>
  <c r="CT22" i="52" s="1"/>
  <c r="CU22" i="52" s="1"/>
  <c r="DC22" i="52"/>
  <c r="DD22" i="52" s="1"/>
  <c r="DE22" i="52" s="1"/>
  <c r="DF22" i="52" s="1"/>
  <c r="DG22" i="52" s="1"/>
  <c r="DH22" i="52" s="1"/>
  <c r="DI22" i="52" s="1"/>
  <c r="DJ22" i="52" s="1"/>
  <c r="DK22" i="52" s="1"/>
  <c r="DL22" i="52" s="1"/>
  <c r="DM22" i="52" s="1"/>
  <c r="DN22" i="52" s="1"/>
  <c r="DO22" i="52" s="1"/>
  <c r="DP22" i="52" s="1"/>
  <c r="DQ22" i="52" s="1"/>
  <c r="DR22" i="52" s="1"/>
  <c r="DS22" i="52" s="1"/>
  <c r="DT22" i="52" s="1"/>
  <c r="DU22" i="52" s="1"/>
  <c r="AP18" i="52"/>
  <c r="F18" i="52"/>
  <c r="Y22" i="52" s="1"/>
  <c r="Z22" i="52" s="1"/>
  <c r="AA22" i="52" s="1"/>
  <c r="AB22" i="52" s="1"/>
  <c r="AC22" i="52" s="1"/>
  <c r="AD22" i="52" s="1"/>
  <c r="AE22" i="52" s="1"/>
  <c r="AF22" i="52" s="1"/>
  <c r="AG22" i="52" s="1"/>
  <c r="AH22" i="52" s="1"/>
  <c r="AI22" i="52" s="1"/>
  <c r="AJ22" i="52" s="1"/>
  <c r="AK22" i="52" s="1"/>
  <c r="AL22" i="52" s="1"/>
  <c r="AM22" i="52" s="1"/>
  <c r="AN22" i="52" s="1"/>
  <c r="AO22" i="52" s="1"/>
  <c r="AP22" i="52" s="1"/>
  <c r="AQ22" i="52" s="1"/>
  <c r="AR22" i="52" s="1"/>
  <c r="AO18" i="52"/>
  <c r="E18" i="52"/>
  <c r="E22" i="52" s="1"/>
  <c r="AQ18" i="52"/>
  <c r="G18" i="52"/>
  <c r="AS22" i="52" s="1"/>
  <c r="AT22" i="52" s="1"/>
  <c r="AU22" i="52" s="1"/>
  <c r="AV22" i="52" s="1"/>
  <c r="AW22" i="52" s="1"/>
  <c r="AX22" i="52" s="1"/>
  <c r="AY22" i="52" s="1"/>
  <c r="AZ22" i="52" s="1"/>
  <c r="BA22" i="52" s="1"/>
  <c r="BB22" i="52" s="1"/>
  <c r="BC22" i="52" s="1"/>
  <c r="BD22" i="52" s="1"/>
  <c r="BE22" i="52" s="1"/>
  <c r="BF22" i="52" s="1"/>
  <c r="BG22" i="52" s="1"/>
  <c r="BH22" i="52" s="1"/>
  <c r="BI22" i="52" s="1"/>
  <c r="BJ22" i="52" s="1"/>
  <c r="BK22" i="52" s="1"/>
  <c r="BL22" i="52" s="1"/>
  <c r="AS18" i="52"/>
  <c r="I18" i="52"/>
  <c r="CG22" i="52" s="1"/>
  <c r="CH22" i="52" s="1"/>
  <c r="CI22" i="52" s="1"/>
  <c r="CJ22" i="52" s="1"/>
  <c r="CK22" i="52" s="1"/>
  <c r="CL22" i="52" s="1"/>
  <c r="CM22" i="52" s="1"/>
  <c r="CN22" i="52" s="1"/>
  <c r="CO22" i="52" s="1"/>
  <c r="CP22" i="52" s="1"/>
  <c r="AV18" i="52"/>
  <c r="L18" i="52"/>
  <c r="CZ22" i="52" s="1"/>
  <c r="H18" i="52"/>
  <c r="BM22" i="52" s="1"/>
  <c r="BN22" i="52" s="1"/>
  <c r="BO22" i="52" s="1"/>
  <c r="BP22" i="52" s="1"/>
  <c r="BQ22" i="52" s="1"/>
  <c r="BR22" i="52" s="1"/>
  <c r="BS22" i="52" s="1"/>
  <c r="BT22" i="52" s="1"/>
  <c r="BU22" i="52" s="1"/>
  <c r="BV22" i="52" s="1"/>
  <c r="BW22" i="52" s="1"/>
  <c r="BX22" i="52" s="1"/>
  <c r="BY22" i="52" s="1"/>
  <c r="BZ22" i="52" s="1"/>
  <c r="CA22" i="52" s="1"/>
  <c r="CB22" i="52" s="1"/>
  <c r="CC22" i="52" s="1"/>
  <c r="CD22" i="52" s="1"/>
  <c r="CE22" i="52" s="1"/>
  <c r="CF22" i="52" s="1"/>
  <c r="AR18" i="52"/>
  <c r="CZ12" i="52"/>
  <c r="AS12" i="52"/>
  <c r="AT12" i="52" s="1"/>
  <c r="AU12" i="52" s="1"/>
  <c r="AV12" i="52" s="1"/>
  <c r="AW12" i="52" s="1"/>
  <c r="AX12" i="52" s="1"/>
  <c r="AY12" i="52" s="1"/>
  <c r="AZ12" i="52" s="1"/>
  <c r="BA12" i="52" s="1"/>
  <c r="BB12" i="52" s="1"/>
  <c r="BC12" i="52" s="1"/>
  <c r="BD12" i="52" s="1"/>
  <c r="BE12" i="52" s="1"/>
  <c r="BF12" i="52" s="1"/>
  <c r="BG12" i="52" s="1"/>
  <c r="BH12" i="52" s="1"/>
  <c r="BI12" i="52" s="1"/>
  <c r="BJ12" i="52" s="1"/>
  <c r="BK12" i="52" s="1"/>
  <c r="BL12" i="52" s="1"/>
  <c r="DV12" i="52"/>
  <c r="DW12" i="52" s="1"/>
  <c r="DX12" i="52" s="1"/>
  <c r="DY12" i="52" s="1"/>
  <c r="DZ12" i="52" s="1"/>
  <c r="EA12" i="52" s="1"/>
  <c r="EB12" i="52" s="1"/>
  <c r="EC12" i="52" s="1"/>
  <c r="ED12" i="52" s="1"/>
  <c r="EE12" i="52" s="1"/>
  <c r="EF12" i="52" s="1"/>
  <c r="EG12" i="52" s="1"/>
  <c r="EH12" i="52" s="1"/>
  <c r="EI12" i="52" s="1"/>
  <c r="EJ12" i="52" s="1"/>
  <c r="EK12" i="52" s="1"/>
  <c r="EL12" i="52" s="1"/>
  <c r="EM12" i="52" s="1"/>
  <c r="EN12" i="52" s="1"/>
  <c r="EO12" i="52" s="1"/>
  <c r="Y12" i="52"/>
  <c r="Z12" i="52" s="1"/>
  <c r="AA12" i="52" s="1"/>
  <c r="AB12" i="52" s="1"/>
  <c r="AC12" i="52" s="1"/>
  <c r="AD12" i="52" s="1"/>
  <c r="AE12" i="52" s="1"/>
  <c r="AF12" i="52" s="1"/>
  <c r="AG12" i="52" s="1"/>
  <c r="AH12" i="52" s="1"/>
  <c r="AI12" i="52" s="1"/>
  <c r="AJ12" i="52" s="1"/>
  <c r="AK12" i="52" s="1"/>
  <c r="AL12" i="52" s="1"/>
  <c r="AM12" i="52" s="1"/>
  <c r="AN12" i="52" s="1"/>
  <c r="AO12" i="52" s="1"/>
  <c r="AP12" i="52" s="1"/>
  <c r="AQ12" i="52" s="1"/>
  <c r="AR12" i="52" s="1"/>
  <c r="GW12" i="52"/>
  <c r="FJ12" i="52"/>
  <c r="FK12" i="52" s="1"/>
  <c r="FL12" i="52" s="1"/>
  <c r="FM12" i="52" s="1"/>
  <c r="FN12" i="52" s="1"/>
  <c r="FO12" i="52" s="1"/>
  <c r="FP12" i="52" s="1"/>
  <c r="FQ12" i="52" s="1"/>
  <c r="FR12" i="52" s="1"/>
  <c r="FS12" i="52" s="1"/>
  <c r="FT12" i="52" s="1"/>
  <c r="FU12" i="52" s="1"/>
  <c r="FV12" i="52" s="1"/>
  <c r="FW12" i="52" s="1"/>
  <c r="FX12" i="52" s="1"/>
  <c r="FY12" i="52" s="1"/>
  <c r="FZ12" i="52" s="1"/>
  <c r="GA12" i="52" s="1"/>
  <c r="GB12" i="52" s="1"/>
  <c r="GC12" i="52" s="1"/>
  <c r="BM12" i="52"/>
  <c r="BN12" i="52" s="1"/>
  <c r="BO12" i="52" s="1"/>
  <c r="BP12" i="52" s="1"/>
  <c r="BQ12" i="52" s="1"/>
  <c r="BR12" i="52" s="1"/>
  <c r="BS12" i="52" s="1"/>
  <c r="BT12" i="52" s="1"/>
  <c r="BU12" i="52" s="1"/>
  <c r="BV12" i="52" s="1"/>
  <c r="BW12" i="52" s="1"/>
  <c r="BX12" i="52" s="1"/>
  <c r="BY12" i="52" s="1"/>
  <c r="BZ12" i="52" s="1"/>
  <c r="CA12" i="52" s="1"/>
  <c r="CB12" i="52" s="1"/>
  <c r="CC12" i="52" s="1"/>
  <c r="CD12" i="52" s="1"/>
  <c r="CE12" i="52" s="1"/>
  <c r="CF12" i="52" s="1"/>
  <c r="GN12" i="52"/>
  <c r="GO12" i="52" s="1"/>
  <c r="GP12" i="52" s="1"/>
  <c r="GQ12" i="52" s="1"/>
  <c r="GR12" i="52" s="1"/>
  <c r="CG12" i="52"/>
  <c r="CH12" i="52" s="1"/>
  <c r="CI12" i="52" s="1"/>
  <c r="CJ12" i="52" s="1"/>
  <c r="CK12" i="52" s="1"/>
  <c r="CL12" i="52" s="1"/>
  <c r="CM12" i="52" s="1"/>
  <c r="CN12" i="52" s="1"/>
  <c r="CO12" i="52" s="1"/>
  <c r="CP12" i="52" s="1"/>
  <c r="GS12" i="52"/>
  <c r="GT12" i="52" s="1"/>
  <c r="GU12" i="52" s="1"/>
  <c r="GV12" i="52" s="1"/>
  <c r="CQ12" i="52"/>
  <c r="CR12" i="52" s="1"/>
  <c r="CS12" i="52" s="1"/>
  <c r="CT12" i="52" s="1"/>
  <c r="CU12" i="52" s="1"/>
  <c r="EP12" i="52"/>
  <c r="EQ12" i="52" s="1"/>
  <c r="ER12" i="52" s="1"/>
  <c r="ES12" i="52" s="1"/>
  <c r="ET12" i="52" s="1"/>
  <c r="EU12" i="52" s="1"/>
  <c r="EV12" i="52" s="1"/>
  <c r="EW12" i="52" s="1"/>
  <c r="EX12" i="52" s="1"/>
  <c r="EY12" i="52" s="1"/>
  <c r="EZ12" i="52" s="1"/>
  <c r="FA12" i="52" s="1"/>
  <c r="FB12" i="52" s="1"/>
  <c r="FC12" i="52" s="1"/>
  <c r="FD12" i="52" s="1"/>
  <c r="FE12" i="52" s="1"/>
  <c r="FF12" i="52" s="1"/>
  <c r="FG12" i="52" s="1"/>
  <c r="FH12" i="52" s="1"/>
  <c r="FI12" i="52" s="1"/>
  <c r="CV12" i="52"/>
  <c r="CW12" i="52" s="1"/>
  <c r="CX12" i="52" s="1"/>
  <c r="CY12" i="52" s="1"/>
  <c r="DB12" i="52"/>
  <c r="DC12" i="52" s="1"/>
  <c r="DD12" i="52" s="1"/>
  <c r="DE12" i="52" s="1"/>
  <c r="DF12" i="52" s="1"/>
  <c r="DG12" i="52" s="1"/>
  <c r="DH12" i="52" s="1"/>
  <c r="DI12" i="52" s="1"/>
  <c r="DJ12" i="52" s="1"/>
  <c r="DK12" i="52" s="1"/>
  <c r="DL12" i="52" s="1"/>
  <c r="DM12" i="52" s="1"/>
  <c r="DN12" i="52" s="1"/>
  <c r="DO12" i="52" s="1"/>
  <c r="DP12" i="52" s="1"/>
  <c r="DQ12" i="52" s="1"/>
  <c r="DR12" i="52" s="1"/>
  <c r="DS12" i="52" s="1"/>
  <c r="DT12" i="52" s="1"/>
  <c r="DU12" i="52" s="1"/>
  <c r="GD12" i="52"/>
  <c r="GE12" i="52" s="1"/>
  <c r="GF12" i="52" s="1"/>
  <c r="GG12" i="52" s="1"/>
  <c r="GH12" i="52" s="1"/>
  <c r="GI12" i="52" s="1"/>
  <c r="GJ12" i="52" s="1"/>
  <c r="GK12" i="52" s="1"/>
  <c r="GL12" i="52" s="1"/>
  <c r="GM12" i="52" s="1"/>
  <c r="E12" i="52"/>
  <c r="F12" i="52" s="1"/>
  <c r="AI88" i="33"/>
  <c r="AJ88" i="33" s="1"/>
  <c r="AK88" i="33" s="1"/>
  <c r="AL88" i="33" s="1"/>
  <c r="AM88" i="33" s="1"/>
  <c r="U88" i="33" s="1"/>
  <c r="AQ88" i="33"/>
  <c r="F40" i="52" l="1"/>
  <c r="G40" i="52" s="1"/>
  <c r="H40" i="52" s="1"/>
  <c r="I40" i="52" s="1"/>
  <c r="J40" i="52" s="1"/>
  <c r="K40" i="52" s="1"/>
  <c r="L40" i="52" s="1"/>
  <c r="M40" i="52" s="1"/>
  <c r="N40" i="52" s="1"/>
  <c r="O40" i="52" s="1"/>
  <c r="P40" i="52" s="1"/>
  <c r="Q40" i="52" s="1"/>
  <c r="R40" i="52" s="1"/>
  <c r="S40" i="52" s="1"/>
  <c r="T40" i="52" s="1"/>
  <c r="U40" i="52" s="1"/>
  <c r="V40" i="52" s="1"/>
  <c r="W40" i="52" s="1"/>
  <c r="X40" i="52" s="1"/>
  <c r="C40" i="52"/>
  <c r="C36" i="52" s="1"/>
  <c r="B40" i="52"/>
  <c r="B36" i="52" s="1"/>
  <c r="H16" i="53" s="1"/>
  <c r="F49" i="52"/>
  <c r="G49" i="52" s="1"/>
  <c r="H49" i="52" s="1"/>
  <c r="I49" i="52" s="1"/>
  <c r="J49" i="52" s="1"/>
  <c r="K49" i="52" s="1"/>
  <c r="L49" i="52" s="1"/>
  <c r="M49" i="52" s="1"/>
  <c r="N49" i="52" s="1"/>
  <c r="O49" i="52" s="1"/>
  <c r="P49" i="52" s="1"/>
  <c r="Q49" i="52" s="1"/>
  <c r="R49" i="52" s="1"/>
  <c r="S49" i="52" s="1"/>
  <c r="T49" i="52" s="1"/>
  <c r="U49" i="52" s="1"/>
  <c r="V49" i="52" s="1"/>
  <c r="W49" i="52" s="1"/>
  <c r="X49" i="52" s="1"/>
  <c r="B49" i="52"/>
  <c r="B45" i="52" s="1"/>
  <c r="H19" i="53" s="1"/>
  <c r="C49" i="52"/>
  <c r="C45" i="52" s="1"/>
  <c r="F31" i="52"/>
  <c r="G31" i="52" s="1"/>
  <c r="H31" i="52" s="1"/>
  <c r="I31" i="52" s="1"/>
  <c r="J31" i="52" s="1"/>
  <c r="K31" i="52" s="1"/>
  <c r="L31" i="52" s="1"/>
  <c r="M31" i="52" s="1"/>
  <c r="N31" i="52" s="1"/>
  <c r="O31" i="52" s="1"/>
  <c r="P31" i="52" s="1"/>
  <c r="Q31" i="52" s="1"/>
  <c r="R31" i="52" s="1"/>
  <c r="S31" i="52" s="1"/>
  <c r="T31" i="52" s="1"/>
  <c r="U31" i="52" s="1"/>
  <c r="V31" i="52" s="1"/>
  <c r="W31" i="52" s="1"/>
  <c r="X31" i="52" s="1"/>
  <c r="F22" i="52"/>
  <c r="G22" i="52" s="1"/>
  <c r="H22" i="52" s="1"/>
  <c r="I22" i="52" s="1"/>
  <c r="J22" i="52" s="1"/>
  <c r="K22" i="52" s="1"/>
  <c r="L22" i="52" s="1"/>
  <c r="M22" i="52" s="1"/>
  <c r="N22" i="52" s="1"/>
  <c r="O22" i="52" s="1"/>
  <c r="P22" i="52" s="1"/>
  <c r="Q22" i="52" s="1"/>
  <c r="R22" i="52" s="1"/>
  <c r="S22" i="52" s="1"/>
  <c r="T22" i="52" s="1"/>
  <c r="U22" i="52" s="1"/>
  <c r="V22" i="52" s="1"/>
  <c r="W22" i="52" s="1"/>
  <c r="X22" i="52" s="1"/>
  <c r="G12" i="52"/>
  <c r="AR88" i="33"/>
  <c r="Z88" i="33" s="1"/>
  <c r="G88" i="33"/>
  <c r="Y88" i="33"/>
  <c r="Q88" i="33"/>
  <c r="R88" i="33"/>
  <c r="T88" i="33"/>
  <c r="S88" i="33"/>
  <c r="C31" i="52" l="1"/>
  <c r="C27" i="52" s="1"/>
  <c r="B31" i="52"/>
  <c r="B27" i="52" s="1"/>
  <c r="H13" i="53" s="1"/>
  <c r="C22" i="52"/>
  <c r="C18" i="52" s="1"/>
  <c r="B22" i="52"/>
  <c r="B18" i="52" s="1"/>
  <c r="H10" i="53" s="1"/>
  <c r="H12" i="52"/>
  <c r="H88" i="33"/>
  <c r="AS88" i="33"/>
  <c r="AT88" i="33" s="1"/>
  <c r="I12" i="52" l="1"/>
  <c r="AA88" i="33"/>
  <c r="I88" i="33"/>
  <c r="AU88" i="33"/>
  <c r="AB88" i="33"/>
  <c r="J88" i="33"/>
  <c r="J12" i="52" l="1"/>
  <c r="AV88" i="33"/>
  <c r="AC88" i="33"/>
  <c r="K88" i="33"/>
  <c r="K12" i="52" l="1"/>
  <c r="AD88" i="33"/>
  <c r="L88" i="33"/>
  <c r="B88" i="33" s="1"/>
  <c r="L12" i="52" l="1"/>
  <c r="M12" i="52" l="1"/>
  <c r="N12" i="52" l="1"/>
  <c r="O12" i="52" l="1"/>
  <c r="P12" i="52" l="1"/>
  <c r="Q12" i="52" l="1"/>
  <c r="R12" i="52" l="1"/>
  <c r="S12" i="52" l="1"/>
  <c r="T12" i="52" l="1"/>
  <c r="U12" i="52" l="1"/>
  <c r="V12" i="52" l="1"/>
  <c r="W12" i="52" s="1"/>
  <c r="X12" i="52" s="1"/>
  <c r="B12" i="52" l="1"/>
  <c r="C12" i="52"/>
  <c r="C6" i="52" s="1"/>
  <c r="B6" i="52" l="1"/>
  <c r="H7" i="53" l="1"/>
  <c r="N16" i="53" l="1"/>
  <c r="N19" i="53"/>
  <c r="N13" i="53"/>
  <c r="N10" i="53"/>
  <c r="O50" i="39" l="1"/>
  <c r="N50" i="39"/>
  <c r="M50" i="39"/>
  <c r="O49" i="39"/>
  <c r="N49" i="39"/>
  <c r="M49" i="39"/>
  <c r="O48" i="39"/>
  <c r="N48" i="39"/>
  <c r="M48" i="39"/>
  <c r="O47" i="39"/>
  <c r="N47" i="39"/>
  <c r="M47" i="39"/>
  <c r="O46" i="39"/>
  <c r="N46" i="39"/>
  <c r="M46" i="39"/>
  <c r="O92" i="39"/>
  <c r="N37" i="39"/>
  <c r="O37" i="39"/>
  <c r="N39" i="39"/>
  <c r="O39" i="39"/>
  <c r="N40" i="39"/>
  <c r="O40" i="39"/>
  <c r="N41" i="39"/>
  <c r="O41" i="39"/>
  <c r="N42" i="39"/>
  <c r="O42" i="39"/>
  <c r="N43" i="39"/>
  <c r="O43" i="39"/>
  <c r="N44" i="39"/>
  <c r="O44" i="39"/>
  <c r="N45" i="39"/>
  <c r="O45" i="39"/>
  <c r="N54" i="39"/>
  <c r="O54" i="39"/>
  <c r="N58" i="39"/>
  <c r="O58" i="39"/>
  <c r="N59" i="39"/>
  <c r="O59" i="39"/>
  <c r="N60" i="39"/>
  <c r="O60" i="39"/>
  <c r="N61" i="39"/>
  <c r="O61" i="39"/>
  <c r="N62" i="39"/>
  <c r="O62" i="39"/>
  <c r="N66" i="39"/>
  <c r="O66" i="39"/>
  <c r="N67" i="39"/>
  <c r="O67" i="39"/>
  <c r="N68" i="39"/>
  <c r="O68" i="39"/>
  <c r="N69" i="39"/>
  <c r="O69" i="39"/>
  <c r="N70" i="39"/>
  <c r="O70" i="39"/>
  <c r="N71" i="39"/>
  <c r="O71" i="39"/>
  <c r="N72" i="39"/>
  <c r="O72" i="39"/>
  <c r="N73" i="39"/>
  <c r="O73" i="39"/>
  <c r="N74" i="39"/>
  <c r="O74" i="39"/>
  <c r="N75" i="39"/>
  <c r="O75" i="39"/>
  <c r="N76" i="39"/>
  <c r="O76" i="39"/>
  <c r="N77" i="39"/>
  <c r="O77" i="39"/>
  <c r="N78" i="39"/>
  <c r="O78" i="39"/>
  <c r="N79" i="39"/>
  <c r="O79" i="39"/>
  <c r="N80" i="39"/>
  <c r="O80" i="39"/>
  <c r="N81" i="39"/>
  <c r="O81" i="39"/>
  <c r="N82" i="39"/>
  <c r="O82" i="39"/>
  <c r="N83" i="39"/>
  <c r="O83" i="39"/>
  <c r="N84" i="39"/>
  <c r="O84" i="39"/>
  <c r="N85" i="39"/>
  <c r="O85" i="39"/>
  <c r="N86" i="39"/>
  <c r="O86" i="39"/>
  <c r="N87" i="39"/>
  <c r="O87" i="39"/>
  <c r="N88" i="39"/>
  <c r="O88" i="39"/>
  <c r="N89" i="39"/>
  <c r="O89" i="39"/>
  <c r="N90" i="39"/>
  <c r="O90" i="39"/>
  <c r="N91" i="39"/>
  <c r="O91" i="39"/>
  <c r="O36" i="39"/>
  <c r="N36" i="39"/>
  <c r="M36" i="39"/>
  <c r="M37" i="39"/>
  <c r="M39" i="39"/>
  <c r="M40" i="39"/>
  <c r="M41" i="39"/>
  <c r="M42" i="39"/>
  <c r="M43" i="39"/>
  <c r="M44" i="39"/>
  <c r="M45" i="39"/>
  <c r="M54" i="39"/>
  <c r="M58" i="39"/>
  <c r="M59" i="39"/>
  <c r="M60" i="39"/>
  <c r="M61" i="39"/>
  <c r="M66" i="39"/>
  <c r="M67" i="39"/>
  <c r="M68" i="39"/>
  <c r="M69" i="39"/>
  <c r="M70" i="39"/>
  <c r="M71" i="39"/>
  <c r="M72" i="39"/>
  <c r="M73" i="39"/>
  <c r="M74" i="39"/>
  <c r="M75" i="39"/>
  <c r="M76" i="39"/>
  <c r="M77" i="39"/>
  <c r="M78" i="39"/>
  <c r="M79" i="39"/>
  <c r="M80" i="39"/>
  <c r="M81" i="39"/>
  <c r="M82" i="39"/>
  <c r="M83" i="39"/>
  <c r="M84" i="39"/>
  <c r="M85" i="39"/>
  <c r="M86" i="39"/>
  <c r="M87" i="39"/>
  <c r="M88" i="39"/>
  <c r="M89" i="39"/>
  <c r="M90" i="39"/>
  <c r="M91" i="39"/>
  <c r="J65" i="39"/>
  <c r="I65" i="39"/>
  <c r="O65" i="39" s="1"/>
  <c r="H65" i="39"/>
  <c r="N65" i="39" s="1"/>
  <c r="G65" i="39"/>
  <c r="M65" i="39" s="1"/>
  <c r="I64" i="39"/>
  <c r="O64" i="39" s="1"/>
  <c r="J64" i="39"/>
  <c r="H64" i="39"/>
  <c r="N64" i="39" s="1"/>
  <c r="G64" i="39"/>
  <c r="M64" i="39" s="1"/>
  <c r="J63" i="39"/>
  <c r="I63" i="39"/>
  <c r="O63" i="39" s="1"/>
  <c r="H63" i="39"/>
  <c r="N63" i="39" s="1"/>
  <c r="G63" i="39"/>
  <c r="M63" i="39" s="1"/>
  <c r="G62" i="39"/>
  <c r="M62" i="39" s="1"/>
  <c r="A34" i="36" l="1"/>
  <c r="A35" i="36" s="1"/>
  <c r="A36" i="36" s="1"/>
  <c r="A37" i="36" s="1"/>
  <c r="A38" i="36" s="1"/>
  <c r="A39" i="36" s="1"/>
  <c r="A40" i="36" s="1"/>
  <c r="A41" i="36" s="1"/>
  <c r="A42" i="36" s="1"/>
  <c r="A43" i="36" s="1"/>
  <c r="A44" i="36" s="1"/>
  <c r="A45" i="36" s="1"/>
  <c r="A46" i="36" s="1"/>
  <c r="A47" i="36" s="1"/>
  <c r="A48" i="36" s="1"/>
  <c r="A49" i="36" s="1"/>
  <c r="A50" i="36" s="1"/>
  <c r="A51" i="36" s="1"/>
  <c r="A52" i="36" s="1"/>
  <c r="A53" i="36" s="1"/>
  <c r="A54" i="36" s="1"/>
  <c r="A55" i="36" s="1"/>
  <c r="A56" i="36" s="1"/>
  <c r="A57" i="36" s="1"/>
  <c r="A58" i="36" s="1"/>
  <c r="A59" i="36" s="1"/>
  <c r="A60" i="36" s="1"/>
  <c r="A61" i="36" s="1"/>
  <c r="A62" i="36" s="1"/>
  <c r="A63" i="36" s="1"/>
  <c r="A64" i="36" s="1"/>
  <c r="A65" i="36" s="1"/>
  <c r="A66" i="36" s="1"/>
  <c r="A67" i="36" s="1"/>
  <c r="A68" i="36" s="1"/>
  <c r="A69" i="36" s="1"/>
  <c r="A70" i="36" s="1"/>
  <c r="A71" i="36" s="1"/>
  <c r="A72" i="36" s="1"/>
  <c r="A73" i="36" s="1"/>
  <c r="Y10" i="35"/>
  <c r="Y12" i="35"/>
  <c r="Y13" i="35"/>
  <c r="Y14" i="35"/>
  <c r="Y15" i="35"/>
  <c r="Y16" i="35"/>
  <c r="Y17" i="35"/>
  <c r="Y18" i="35"/>
  <c r="Y20" i="35"/>
  <c r="Y21" i="35"/>
  <c r="Y22" i="35"/>
  <c r="Y23" i="35"/>
  <c r="Y24" i="35"/>
  <c r="Y25" i="35"/>
  <c r="Y26" i="35"/>
  <c r="Y28" i="35"/>
  <c r="Y29" i="35"/>
  <c r="Y30" i="35"/>
  <c r="Y31" i="35"/>
  <c r="Y32" i="35"/>
  <c r="Y33" i="35"/>
  <c r="Y34" i="35"/>
  <c r="Y36" i="35"/>
  <c r="Y37" i="35"/>
  <c r="Y38" i="35"/>
  <c r="Y39" i="35"/>
  <c r="Y40" i="35"/>
  <c r="Y41" i="35"/>
  <c r="Y42" i="35"/>
  <c r="Y44" i="35"/>
  <c r="Y45" i="35"/>
  <c r="Y46" i="35"/>
  <c r="Q5" i="35"/>
  <c r="Z9" i="35" s="1"/>
  <c r="Z15" i="35" l="1"/>
  <c r="Z23" i="35"/>
  <c r="Z42" i="35"/>
  <c r="R5" i="35"/>
  <c r="Z26" i="35"/>
  <c r="Z39" i="35"/>
  <c r="Z11" i="35"/>
  <c r="Z19" i="35"/>
  <c r="Z43" i="35"/>
  <c r="Z35" i="35"/>
  <c r="Z27" i="35"/>
  <c r="Y43" i="35"/>
  <c r="Y27" i="35"/>
  <c r="Y19" i="35"/>
  <c r="Y11" i="35"/>
  <c r="Z10" i="35"/>
  <c r="Y35" i="35"/>
  <c r="AA23" i="35" l="1"/>
  <c r="Z31" i="35"/>
  <c r="AA12" i="35"/>
  <c r="Z12" i="35"/>
  <c r="Z34" i="35"/>
  <c r="Z17" i="35"/>
  <c r="AA15" i="35"/>
  <c r="Z28" i="35"/>
  <c r="Z44" i="35"/>
  <c r="AA39" i="35"/>
  <c r="AA44" i="35"/>
  <c r="AA28" i="35"/>
  <c r="AA36" i="35"/>
  <c r="AA20" i="35"/>
  <c r="Z20" i="35"/>
  <c r="Z36" i="35"/>
  <c r="AA26" i="35"/>
  <c r="Z13" i="35"/>
  <c r="S5" i="35"/>
  <c r="AA9" i="35"/>
  <c r="Z18" i="35"/>
  <c r="Z32" i="35"/>
  <c r="Z24" i="35"/>
  <c r="Z38" i="35"/>
  <c r="Z33" i="35"/>
  <c r="Z40" i="35"/>
  <c r="Z21" i="35"/>
  <c r="Z14" i="35"/>
  <c r="Z46" i="35"/>
  <c r="Z29" i="35"/>
  <c r="AA35" i="35"/>
  <c r="AA19" i="35"/>
  <c r="AA17" i="35"/>
  <c r="AA31" i="35"/>
  <c r="AA34" i="35"/>
  <c r="Z41" i="35"/>
  <c r="Z37" i="35"/>
  <c r="Z30" i="35"/>
  <c r="Z25" i="35"/>
  <c r="Z22" i="35"/>
  <c r="Z45" i="35"/>
  <c r="AA43" i="35"/>
  <c r="AA11" i="35"/>
  <c r="AA27" i="35"/>
  <c r="AA10" i="35"/>
  <c r="Z16" i="35"/>
  <c r="AB23" i="35" l="1"/>
  <c r="AA42" i="35"/>
  <c r="AB36" i="35"/>
  <c r="AB28" i="35"/>
  <c r="AB20" i="35"/>
  <c r="AB12" i="35"/>
  <c r="AB26" i="35"/>
  <c r="T5" i="35"/>
  <c r="AB9" i="35"/>
  <c r="AB44" i="35"/>
  <c r="AA13" i="35"/>
  <c r="AA21" i="35"/>
  <c r="AA22" i="35"/>
  <c r="AB17" i="35"/>
  <c r="AA29" i="35"/>
  <c r="AA37" i="35"/>
  <c r="AB11" i="35"/>
  <c r="AB10" i="35"/>
  <c r="AB43" i="35"/>
  <c r="AA25" i="35"/>
  <c r="AA41" i="35"/>
  <c r="AB19" i="35"/>
  <c r="AA46" i="35"/>
  <c r="AA40" i="35"/>
  <c r="AB27" i="35"/>
  <c r="AB31" i="35"/>
  <c r="AA18" i="35"/>
  <c r="AA45" i="35"/>
  <c r="AA16" i="35"/>
  <c r="AA38" i="35"/>
  <c r="AB42" i="35"/>
  <c r="AA30" i="35"/>
  <c r="AB34" i="35"/>
  <c r="AB35" i="35"/>
  <c r="AA14" i="35"/>
  <c r="AA33" i="35"/>
  <c r="AA24" i="35"/>
  <c r="AA32" i="35"/>
  <c r="AC12" i="35" l="1"/>
  <c r="AB15" i="35"/>
  <c r="AB39" i="35"/>
  <c r="AC44" i="35"/>
  <c r="AC36" i="35"/>
  <c r="AC28" i="35"/>
  <c r="AC20" i="35"/>
  <c r="AB13" i="35"/>
  <c r="U5" i="35"/>
  <c r="AC9" i="35"/>
  <c r="AC13" i="35"/>
  <c r="AC42" i="35"/>
  <c r="AB46" i="35"/>
  <c r="AC17" i="35"/>
  <c r="AB45" i="35"/>
  <c r="AB38" i="35"/>
  <c r="AC19" i="35"/>
  <c r="AB22" i="35"/>
  <c r="AB32" i="35"/>
  <c r="AB37" i="35"/>
  <c r="AB24" i="35"/>
  <c r="AB18" i="35"/>
  <c r="AC10" i="35"/>
  <c r="AB41" i="35"/>
  <c r="AB30" i="35"/>
  <c r="AC15" i="35"/>
  <c r="AC39" i="35"/>
  <c r="AB29" i="35"/>
  <c r="AB21" i="35"/>
  <c r="AC35" i="35"/>
  <c r="AC27" i="35"/>
  <c r="AC43" i="35"/>
  <c r="AC34" i="35"/>
  <c r="AB33" i="35"/>
  <c r="AB16" i="35"/>
  <c r="AB40" i="35"/>
  <c r="AB25" i="35"/>
  <c r="AC11" i="35"/>
  <c r="AB14" i="35"/>
  <c r="AC31" i="35"/>
  <c r="AD20" i="35" l="1"/>
  <c r="AD36" i="35"/>
  <c r="AD44" i="35"/>
  <c r="AC23" i="35"/>
  <c r="AD28" i="35"/>
  <c r="AC26" i="35"/>
  <c r="V5" i="35"/>
  <c r="AD9" i="35"/>
  <c r="AD13" i="35"/>
  <c r="AD12" i="35"/>
  <c r="AD11" i="35"/>
  <c r="AC45" i="35"/>
  <c r="AD31" i="35"/>
  <c r="AD15" i="35"/>
  <c r="AC32" i="35"/>
  <c r="AC25" i="35"/>
  <c r="AD26" i="35"/>
  <c r="AC21" i="35"/>
  <c r="AC18" i="35"/>
  <c r="AD17" i="35"/>
  <c r="AD10" i="35"/>
  <c r="AC14" i="35"/>
  <c r="AD23" i="35"/>
  <c r="AC30" i="35"/>
  <c r="AC22" i="35"/>
  <c r="AD35" i="35"/>
  <c r="AC40" i="35"/>
  <c r="AC33" i="35"/>
  <c r="AD43" i="35"/>
  <c r="AC29" i="35"/>
  <c r="AC41" i="35"/>
  <c r="AC24" i="35"/>
  <c r="AD19" i="35"/>
  <c r="AC46" i="35"/>
  <c r="AD34" i="35"/>
  <c r="AC16" i="35"/>
  <c r="AD27" i="35"/>
  <c r="AC37" i="35"/>
  <c r="AD42" i="35"/>
  <c r="AD39" i="35"/>
  <c r="AC38" i="35"/>
  <c r="AE15" i="35" l="1"/>
  <c r="AE42" i="35"/>
  <c r="AE34" i="35"/>
  <c r="AE23" i="35"/>
  <c r="W5" i="35"/>
  <c r="AE9" i="35"/>
  <c r="AE13" i="35"/>
  <c r="AE35" i="35"/>
  <c r="AE36" i="35"/>
  <c r="AE26" i="35"/>
  <c r="AE31" i="35"/>
  <c r="AE44" i="35"/>
  <c r="AE28" i="35"/>
  <c r="AE27" i="35"/>
  <c r="AE19" i="35"/>
  <c r="AE43" i="35"/>
  <c r="AE12" i="35"/>
  <c r="AE20" i="35"/>
  <c r="AE39" i="35"/>
  <c r="AE17" i="35"/>
  <c r="AE11" i="35"/>
  <c r="AE41" i="35"/>
  <c r="AD41" i="35"/>
  <c r="AE40" i="35"/>
  <c r="AD40" i="35"/>
  <c r="AE32" i="35"/>
  <c r="AD32" i="35"/>
  <c r="AD37" i="35"/>
  <c r="AE37" i="35"/>
  <c r="AD46" i="35"/>
  <c r="AE46" i="35"/>
  <c r="AD29" i="35"/>
  <c r="AE29" i="35"/>
  <c r="AD14" i="35"/>
  <c r="AE14" i="35"/>
  <c r="AD21" i="35"/>
  <c r="AE21" i="35"/>
  <c r="AD18" i="35"/>
  <c r="AE18" i="35"/>
  <c r="AD22" i="35"/>
  <c r="AE22" i="35"/>
  <c r="AD38" i="35"/>
  <c r="AE38" i="35"/>
  <c r="AE10" i="35"/>
  <c r="AD33" i="35"/>
  <c r="AE33" i="35"/>
  <c r="AD30" i="35"/>
  <c r="AE30" i="35"/>
  <c r="AE25" i="35"/>
  <c r="AD25" i="35"/>
  <c r="AD45" i="35"/>
  <c r="AE45" i="35"/>
  <c r="AE16" i="35"/>
  <c r="AD16" i="35"/>
  <c r="AE24" i="35"/>
  <c r="AD24" i="35"/>
  <c r="N9" i="35" l="1"/>
  <c r="AF67" i="35"/>
  <c r="AF52" i="35"/>
  <c r="AF63" i="35"/>
  <c r="AF59" i="35"/>
  <c r="AF55" i="35"/>
  <c r="AF16" i="35"/>
  <c r="E16" i="35" s="1"/>
  <c r="AF23" i="35"/>
  <c r="E23" i="35" s="1"/>
  <c r="AF33" i="35"/>
  <c r="E33" i="35" s="1"/>
  <c r="AF43" i="35"/>
  <c r="E43" i="35" s="1"/>
  <c r="AF38" i="35"/>
  <c r="E38" i="35" s="1"/>
  <c r="AF35" i="35"/>
  <c r="E35" i="35" s="1"/>
  <c r="AF45" i="35"/>
  <c r="E45" i="35" s="1"/>
  <c r="AF19" i="35"/>
  <c r="E19" i="35" s="1"/>
  <c r="AF9" i="35"/>
  <c r="E9" i="35" s="1"/>
  <c r="AF10" i="35"/>
  <c r="E10" i="35" s="1"/>
  <c r="AF11" i="35"/>
  <c r="E11" i="35" s="1"/>
  <c r="AF20" i="35"/>
  <c r="E20" i="35" s="1"/>
  <c r="AF30" i="35"/>
  <c r="E30" i="35" s="1"/>
  <c r="AF40" i="35"/>
  <c r="E40" i="35" s="1"/>
  <c r="AF17" i="35"/>
  <c r="E17" i="35" s="1"/>
  <c r="AF27" i="35"/>
  <c r="E27" i="35" s="1"/>
  <c r="AF34" i="35"/>
  <c r="E34" i="35" s="1"/>
  <c r="AF37" i="35"/>
  <c r="E37" i="35" s="1"/>
  <c r="AF44" i="35"/>
  <c r="E44" i="35" s="1"/>
  <c r="AF15" i="35"/>
  <c r="E15" i="35" s="1"/>
  <c r="AF18" i="35"/>
  <c r="E18" i="35" s="1"/>
  <c r="AF32" i="35"/>
  <c r="E32" i="35" s="1"/>
  <c r="AF39" i="35"/>
  <c r="E39" i="35" s="1"/>
  <c r="AF14" i="35"/>
  <c r="E14" i="35" s="1"/>
  <c r="AF24" i="35"/>
  <c r="E24" i="35" s="1"/>
  <c r="AF31" i="35"/>
  <c r="E31" i="35" s="1"/>
  <c r="AF41" i="35"/>
  <c r="E41" i="35" s="1"/>
  <c r="AF25" i="35"/>
  <c r="E25" i="35" s="1"/>
  <c r="AF13" i="35"/>
  <c r="E13" i="35" s="1"/>
  <c r="AF29" i="35"/>
  <c r="E29" i="35" s="1"/>
  <c r="AF12" i="35"/>
  <c r="E12" i="35" s="1"/>
  <c r="AF21" i="35"/>
  <c r="E21" i="35" s="1"/>
  <c r="AF28" i="35"/>
  <c r="E28" i="35" s="1"/>
  <c r="AF42" i="35"/>
  <c r="E42" i="35" s="1"/>
  <c r="AF22" i="35"/>
  <c r="E22" i="35" s="1"/>
  <c r="AF26" i="35"/>
  <c r="E26" i="35" s="1"/>
  <c r="AF36" i="35"/>
  <c r="E36" i="35" s="1"/>
  <c r="AF46" i="35"/>
  <c r="E46" i="35" s="1"/>
  <c r="CR3" i="35" l="1"/>
  <c r="BI9" i="35"/>
  <c r="BI10" i="35"/>
  <c r="BI11" i="35"/>
  <c r="BI12" i="35"/>
  <c r="BI13" i="35"/>
  <c r="BI14" i="35"/>
  <c r="BI15" i="35"/>
  <c r="BI16" i="35"/>
  <c r="BI17" i="35"/>
  <c r="BI18" i="35"/>
  <c r="BI19" i="35"/>
  <c r="BI20" i="35"/>
  <c r="BI21" i="35"/>
  <c r="BI22" i="35"/>
  <c r="BI23" i="35"/>
  <c r="BI24" i="35"/>
  <c r="BI25" i="35"/>
  <c r="BI26" i="35"/>
  <c r="BI27" i="35"/>
  <c r="BI28" i="35"/>
  <c r="BI29" i="35"/>
  <c r="BI30" i="35"/>
  <c r="BI31" i="35"/>
  <c r="BI32" i="35"/>
  <c r="BI33" i="35"/>
  <c r="BI34" i="35"/>
  <c r="BI35" i="35"/>
  <c r="BI36" i="35"/>
  <c r="BI37" i="35"/>
  <c r="BI38" i="35"/>
  <c r="BI39" i="35"/>
  <c r="BI40" i="35"/>
  <c r="BI41" i="35"/>
  <c r="BI42" i="35"/>
  <c r="BI43" i="35"/>
  <c r="BI44" i="35"/>
  <c r="BI52" i="35" s="1"/>
  <c r="BI45" i="35"/>
  <c r="BI46" i="35"/>
  <c r="BY46" i="35"/>
  <c r="BX46" i="35"/>
  <c r="BW46" i="35"/>
  <c r="BV46" i="35"/>
  <c r="BU46" i="35"/>
  <c r="BT46" i="35"/>
  <c r="BS46" i="35"/>
  <c r="BR46" i="35"/>
  <c r="BP46" i="35"/>
  <c r="BO46" i="35"/>
  <c r="BN46" i="35"/>
  <c r="BM46" i="35"/>
  <c r="BL46" i="35"/>
  <c r="BK46" i="35"/>
  <c r="BJ46" i="35"/>
  <c r="BY45" i="35"/>
  <c r="BX45" i="35"/>
  <c r="BW45" i="35"/>
  <c r="BV45" i="35"/>
  <c r="BU45" i="35"/>
  <c r="BT45" i="35"/>
  <c r="BS45" i="35"/>
  <c r="BR45" i="35"/>
  <c r="BP45" i="35"/>
  <c r="BO45" i="35"/>
  <c r="BN45" i="35"/>
  <c r="BM45" i="35"/>
  <c r="BL45" i="35"/>
  <c r="BK45" i="35"/>
  <c r="BJ45" i="35"/>
  <c r="BY44" i="35"/>
  <c r="BX44" i="35"/>
  <c r="BW44" i="35"/>
  <c r="BV44" i="35"/>
  <c r="BU44" i="35"/>
  <c r="BT44" i="35"/>
  <c r="BS44" i="35"/>
  <c r="BR44" i="35"/>
  <c r="BP44" i="35"/>
  <c r="BP52" i="35" s="1"/>
  <c r="BO44" i="35"/>
  <c r="BO52" i="35" s="1"/>
  <c r="BN44" i="35"/>
  <c r="BN52" i="35" s="1"/>
  <c r="BM44" i="35"/>
  <c r="BM52" i="35" s="1"/>
  <c r="BL44" i="35"/>
  <c r="BL52" i="35" s="1"/>
  <c r="BK44" i="35"/>
  <c r="BK52" i="35" s="1"/>
  <c r="BJ44" i="35"/>
  <c r="BJ52" i="35" s="1"/>
  <c r="BY43" i="35"/>
  <c r="BX43" i="35"/>
  <c r="BW43" i="35"/>
  <c r="BV43" i="35"/>
  <c r="BU43" i="35"/>
  <c r="BT43" i="35"/>
  <c r="BS43" i="35"/>
  <c r="BR43" i="35"/>
  <c r="BP43" i="35"/>
  <c r="BO43" i="35"/>
  <c r="BN43" i="35"/>
  <c r="BM43" i="35"/>
  <c r="BL43" i="35"/>
  <c r="BK43" i="35"/>
  <c r="BJ43" i="35"/>
  <c r="BY42" i="35"/>
  <c r="BX42" i="35"/>
  <c r="BW42" i="35"/>
  <c r="BV42" i="35"/>
  <c r="BU42" i="35"/>
  <c r="BT42" i="35"/>
  <c r="BS42" i="35"/>
  <c r="BR42" i="35"/>
  <c r="BP42" i="35"/>
  <c r="BO42" i="35"/>
  <c r="BN42" i="35"/>
  <c r="BM42" i="35"/>
  <c r="BL42" i="35"/>
  <c r="BK42" i="35"/>
  <c r="BJ42" i="35"/>
  <c r="BY41" i="35"/>
  <c r="BX41" i="35"/>
  <c r="BW41" i="35"/>
  <c r="BV41" i="35"/>
  <c r="BU41" i="35"/>
  <c r="BT41" i="35"/>
  <c r="BS41" i="35"/>
  <c r="BR41" i="35"/>
  <c r="BP41" i="35"/>
  <c r="BO41" i="35"/>
  <c r="BN41" i="35"/>
  <c r="BM41" i="35"/>
  <c r="BL41" i="35"/>
  <c r="BK41" i="35"/>
  <c r="BJ41" i="35"/>
  <c r="BY40" i="35"/>
  <c r="BX40" i="35"/>
  <c r="BW40" i="35"/>
  <c r="BV40" i="35"/>
  <c r="BU40" i="35"/>
  <c r="BT40" i="35"/>
  <c r="BS40" i="35"/>
  <c r="BR40" i="35"/>
  <c r="BP40" i="35"/>
  <c r="BO40" i="35"/>
  <c r="BN40" i="35"/>
  <c r="BM40" i="35"/>
  <c r="BL40" i="35"/>
  <c r="BK40" i="35"/>
  <c r="BJ40" i="35"/>
  <c r="BY39" i="35"/>
  <c r="BX39" i="35"/>
  <c r="BW39" i="35"/>
  <c r="BV39" i="35"/>
  <c r="BU39" i="35"/>
  <c r="BT39" i="35"/>
  <c r="BS39" i="35"/>
  <c r="BR39" i="35"/>
  <c r="BP39" i="35"/>
  <c r="BO39" i="35"/>
  <c r="BN39" i="35"/>
  <c r="BM39" i="35"/>
  <c r="BL39" i="35"/>
  <c r="BK39" i="35"/>
  <c r="BJ39" i="35"/>
  <c r="BY38" i="35"/>
  <c r="BX38" i="35"/>
  <c r="BW38" i="35"/>
  <c r="BV38" i="35"/>
  <c r="BU38" i="35"/>
  <c r="BT38" i="35"/>
  <c r="BS38" i="35"/>
  <c r="BR38" i="35"/>
  <c r="BP38" i="35"/>
  <c r="BO38" i="35"/>
  <c r="BN38" i="35"/>
  <c r="BM38" i="35"/>
  <c r="BL38" i="35"/>
  <c r="BK38" i="35"/>
  <c r="BJ38" i="35"/>
  <c r="BY37" i="35"/>
  <c r="BX37" i="35"/>
  <c r="BW37" i="35"/>
  <c r="BV37" i="35"/>
  <c r="BU37" i="35"/>
  <c r="BT37" i="35"/>
  <c r="BS37" i="35"/>
  <c r="BR37" i="35"/>
  <c r="BP37" i="35"/>
  <c r="BO37" i="35"/>
  <c r="BN37" i="35"/>
  <c r="BM37" i="35"/>
  <c r="BL37" i="35"/>
  <c r="BK37" i="35"/>
  <c r="BJ37" i="35"/>
  <c r="BY36" i="35"/>
  <c r="BX36" i="35"/>
  <c r="BW36" i="35"/>
  <c r="BV36" i="35"/>
  <c r="BU36" i="35"/>
  <c r="BT36" i="35"/>
  <c r="BS36" i="35"/>
  <c r="BR36" i="35"/>
  <c r="BP36" i="35"/>
  <c r="BO36" i="35"/>
  <c r="BN36" i="35"/>
  <c r="BM36" i="35"/>
  <c r="BL36" i="35"/>
  <c r="BK36" i="35"/>
  <c r="BJ36" i="35"/>
  <c r="BY35" i="35"/>
  <c r="BX35" i="35"/>
  <c r="BW35" i="35"/>
  <c r="BV35" i="35"/>
  <c r="BU35" i="35"/>
  <c r="BT35" i="35"/>
  <c r="BS35" i="35"/>
  <c r="BR35" i="35"/>
  <c r="BP35" i="35"/>
  <c r="BO35" i="35"/>
  <c r="BN35" i="35"/>
  <c r="BM35" i="35"/>
  <c r="BL35" i="35"/>
  <c r="BK35" i="35"/>
  <c r="BJ35" i="35"/>
  <c r="BY34" i="35"/>
  <c r="BX34" i="35"/>
  <c r="BW34" i="35"/>
  <c r="BV34" i="35"/>
  <c r="BU34" i="35"/>
  <c r="BT34" i="35"/>
  <c r="BS34" i="35"/>
  <c r="BR34" i="35"/>
  <c r="BP34" i="35"/>
  <c r="BO34" i="35"/>
  <c r="BN34" i="35"/>
  <c r="BM34" i="35"/>
  <c r="BL34" i="35"/>
  <c r="BK34" i="35"/>
  <c r="BJ34" i="35"/>
  <c r="BY33" i="35"/>
  <c r="BX33" i="35"/>
  <c r="BW33" i="35"/>
  <c r="BV33" i="35"/>
  <c r="BU33" i="35"/>
  <c r="BT33" i="35"/>
  <c r="BS33" i="35"/>
  <c r="BR33" i="35"/>
  <c r="BP33" i="35"/>
  <c r="BO33" i="35"/>
  <c r="BN33" i="35"/>
  <c r="BM33" i="35"/>
  <c r="BL33" i="35"/>
  <c r="BK33" i="35"/>
  <c r="BJ33" i="35"/>
  <c r="BY32" i="35"/>
  <c r="BX32" i="35"/>
  <c r="BW32" i="35"/>
  <c r="BV32" i="35"/>
  <c r="BU32" i="35"/>
  <c r="BT32" i="35"/>
  <c r="BS32" i="35"/>
  <c r="BR32" i="35"/>
  <c r="BP32" i="35"/>
  <c r="BO32" i="35"/>
  <c r="BN32" i="35"/>
  <c r="BM32" i="35"/>
  <c r="BL32" i="35"/>
  <c r="BK32" i="35"/>
  <c r="BJ32" i="35"/>
  <c r="BY31" i="35"/>
  <c r="BX31" i="35"/>
  <c r="BW31" i="35"/>
  <c r="BV31" i="35"/>
  <c r="BU31" i="35"/>
  <c r="BT31" i="35"/>
  <c r="BS31" i="35"/>
  <c r="BR31" i="35"/>
  <c r="BP31" i="35"/>
  <c r="BO31" i="35"/>
  <c r="BN31" i="35"/>
  <c r="BM31" i="35"/>
  <c r="BL31" i="35"/>
  <c r="BK31" i="35"/>
  <c r="BJ31" i="35"/>
  <c r="BY30" i="35"/>
  <c r="BX30" i="35"/>
  <c r="BW30" i="35"/>
  <c r="BV30" i="35"/>
  <c r="BU30" i="35"/>
  <c r="BT30" i="35"/>
  <c r="BS30" i="35"/>
  <c r="BR30" i="35"/>
  <c r="BP30" i="35"/>
  <c r="BO30" i="35"/>
  <c r="BN30" i="35"/>
  <c r="BM30" i="35"/>
  <c r="BL30" i="35"/>
  <c r="BK30" i="35"/>
  <c r="BJ30" i="35"/>
  <c r="BY29" i="35"/>
  <c r="BX29" i="35"/>
  <c r="BW29" i="35"/>
  <c r="BV29" i="35"/>
  <c r="BU29" i="35"/>
  <c r="BT29" i="35"/>
  <c r="BS29" i="35"/>
  <c r="BR29" i="35"/>
  <c r="BP29" i="35"/>
  <c r="BO29" i="35"/>
  <c r="BN29" i="35"/>
  <c r="BM29" i="35"/>
  <c r="BL29" i="35"/>
  <c r="BK29" i="35"/>
  <c r="BJ29" i="35"/>
  <c r="BY28" i="35"/>
  <c r="BX28" i="35"/>
  <c r="BW28" i="35"/>
  <c r="BV28" i="35"/>
  <c r="BU28" i="35"/>
  <c r="BT28" i="35"/>
  <c r="BS28" i="35"/>
  <c r="BR28" i="35"/>
  <c r="BP28" i="35"/>
  <c r="BO28" i="35"/>
  <c r="BN28" i="35"/>
  <c r="BM28" i="35"/>
  <c r="BL28" i="35"/>
  <c r="BK28" i="35"/>
  <c r="BJ28" i="35"/>
  <c r="BY27" i="35"/>
  <c r="BX27" i="35"/>
  <c r="BW27" i="35"/>
  <c r="BV27" i="35"/>
  <c r="BU27" i="35"/>
  <c r="BT27" i="35"/>
  <c r="BS27" i="35"/>
  <c r="BR27" i="35"/>
  <c r="BP27" i="35"/>
  <c r="BO27" i="35"/>
  <c r="BN27" i="35"/>
  <c r="BM27" i="35"/>
  <c r="BL27" i="35"/>
  <c r="BK27" i="35"/>
  <c r="BJ27" i="35"/>
  <c r="BY26" i="35"/>
  <c r="BX26" i="35"/>
  <c r="BW26" i="35"/>
  <c r="BV26" i="35"/>
  <c r="BU26" i="35"/>
  <c r="BT26" i="35"/>
  <c r="BS26" i="35"/>
  <c r="BR26" i="35"/>
  <c r="BP26" i="35"/>
  <c r="BO26" i="35"/>
  <c r="BN26" i="35"/>
  <c r="BM26" i="35"/>
  <c r="BL26" i="35"/>
  <c r="BK26" i="35"/>
  <c r="BJ26" i="35"/>
  <c r="BY25" i="35"/>
  <c r="BX25" i="35"/>
  <c r="BW25" i="35"/>
  <c r="BV25" i="35"/>
  <c r="BU25" i="35"/>
  <c r="BT25" i="35"/>
  <c r="BS25" i="35"/>
  <c r="BR25" i="35"/>
  <c r="BP25" i="35"/>
  <c r="BO25" i="35"/>
  <c r="BN25" i="35"/>
  <c r="BM25" i="35"/>
  <c r="BL25" i="35"/>
  <c r="BK25" i="35"/>
  <c r="BJ25" i="35"/>
  <c r="BY24" i="35"/>
  <c r="BX24" i="35"/>
  <c r="BW24" i="35"/>
  <c r="BV24" i="35"/>
  <c r="BU24" i="35"/>
  <c r="BT24" i="35"/>
  <c r="BS24" i="35"/>
  <c r="BR24" i="35"/>
  <c r="BP24" i="35"/>
  <c r="BO24" i="35"/>
  <c r="BN24" i="35"/>
  <c r="BM24" i="35"/>
  <c r="BL24" i="35"/>
  <c r="BK24" i="35"/>
  <c r="BJ24" i="35"/>
  <c r="BY23" i="35"/>
  <c r="BX23" i="35"/>
  <c r="BW23" i="35"/>
  <c r="BV23" i="35"/>
  <c r="BU23" i="35"/>
  <c r="BT23" i="35"/>
  <c r="BS23" i="35"/>
  <c r="BR23" i="35"/>
  <c r="BP23" i="35"/>
  <c r="BO23" i="35"/>
  <c r="BN23" i="35"/>
  <c r="BM23" i="35"/>
  <c r="BL23" i="35"/>
  <c r="BK23" i="35"/>
  <c r="BJ23" i="35"/>
  <c r="BY22" i="35"/>
  <c r="BX22" i="35"/>
  <c r="BW22" i="35"/>
  <c r="BV22" i="35"/>
  <c r="BU22" i="35"/>
  <c r="BT22" i="35"/>
  <c r="BS22" i="35"/>
  <c r="BR22" i="35"/>
  <c r="BP22" i="35"/>
  <c r="BO22" i="35"/>
  <c r="BN22" i="35"/>
  <c r="BM22" i="35"/>
  <c r="BL22" i="35"/>
  <c r="BK22" i="35"/>
  <c r="BJ22" i="35"/>
  <c r="BY21" i="35"/>
  <c r="BX21" i="35"/>
  <c r="BW21" i="35"/>
  <c r="BV21" i="35"/>
  <c r="BU21" i="35"/>
  <c r="BT21" i="35"/>
  <c r="BS21" i="35"/>
  <c r="BR21" i="35"/>
  <c r="BP21" i="35"/>
  <c r="BO21" i="35"/>
  <c r="BN21" i="35"/>
  <c r="BM21" i="35"/>
  <c r="BL21" i="35"/>
  <c r="BK21" i="35"/>
  <c r="BJ21" i="35"/>
  <c r="BY20" i="35"/>
  <c r="BX20" i="35"/>
  <c r="BW20" i="35"/>
  <c r="BV20" i="35"/>
  <c r="BU20" i="35"/>
  <c r="BT20" i="35"/>
  <c r="BS20" i="35"/>
  <c r="BR20" i="35"/>
  <c r="BP20" i="35"/>
  <c r="BO20" i="35"/>
  <c r="BN20" i="35"/>
  <c r="BM20" i="35"/>
  <c r="BL20" i="35"/>
  <c r="BK20" i="35"/>
  <c r="BJ20" i="35"/>
  <c r="BY19" i="35"/>
  <c r="BX19" i="35"/>
  <c r="BW19" i="35"/>
  <c r="BV19" i="35"/>
  <c r="BU19" i="35"/>
  <c r="BT19" i="35"/>
  <c r="BS19" i="35"/>
  <c r="BR19" i="35"/>
  <c r="BP19" i="35"/>
  <c r="BO19" i="35"/>
  <c r="BN19" i="35"/>
  <c r="BM19" i="35"/>
  <c r="BL19" i="35"/>
  <c r="BK19" i="35"/>
  <c r="BJ19" i="35"/>
  <c r="BY18" i="35"/>
  <c r="BX18" i="35"/>
  <c r="BW18" i="35"/>
  <c r="BV18" i="35"/>
  <c r="BU18" i="35"/>
  <c r="BT18" i="35"/>
  <c r="BS18" i="35"/>
  <c r="BR18" i="35"/>
  <c r="BP18" i="35"/>
  <c r="BO18" i="35"/>
  <c r="BN18" i="35"/>
  <c r="BM18" i="35"/>
  <c r="BL18" i="35"/>
  <c r="BK18" i="35"/>
  <c r="BJ18" i="35"/>
  <c r="BY17" i="35"/>
  <c r="BX17" i="35"/>
  <c r="BW17" i="35"/>
  <c r="BV17" i="35"/>
  <c r="BU17" i="35"/>
  <c r="BT17" i="35"/>
  <c r="BS17" i="35"/>
  <c r="BR17" i="35"/>
  <c r="BP17" i="35"/>
  <c r="BO17" i="35"/>
  <c r="BN17" i="35"/>
  <c r="BM17" i="35"/>
  <c r="BL17" i="35"/>
  <c r="BK17" i="35"/>
  <c r="BJ17" i="35"/>
  <c r="BY16" i="35"/>
  <c r="BX16" i="35"/>
  <c r="BW16" i="35"/>
  <c r="BV16" i="35"/>
  <c r="BU16" i="35"/>
  <c r="BT16" i="35"/>
  <c r="BS16" i="35"/>
  <c r="BR16" i="35"/>
  <c r="BP16" i="35"/>
  <c r="BO16" i="35"/>
  <c r="BN16" i="35"/>
  <c r="BM16" i="35"/>
  <c r="BL16" i="35"/>
  <c r="BK16" i="35"/>
  <c r="BJ16" i="35"/>
  <c r="BY15" i="35"/>
  <c r="BX15" i="35"/>
  <c r="BW15" i="35"/>
  <c r="BV15" i="35"/>
  <c r="BU15" i="35"/>
  <c r="BT15" i="35"/>
  <c r="BS15" i="35"/>
  <c r="BR15" i="35"/>
  <c r="BP15" i="35"/>
  <c r="BO15" i="35"/>
  <c r="BN15" i="35"/>
  <c r="BM15" i="35"/>
  <c r="BL15" i="35"/>
  <c r="BK15" i="35"/>
  <c r="BJ15" i="35"/>
  <c r="BY14" i="35"/>
  <c r="BX14" i="35"/>
  <c r="BW14" i="35"/>
  <c r="BV14" i="35"/>
  <c r="BU14" i="35"/>
  <c r="BT14" i="35"/>
  <c r="BS14" i="35"/>
  <c r="BR14" i="35"/>
  <c r="BP14" i="35"/>
  <c r="BO14" i="35"/>
  <c r="BN14" i="35"/>
  <c r="BM14" i="35"/>
  <c r="BL14" i="35"/>
  <c r="BK14" i="35"/>
  <c r="BJ14" i="35"/>
  <c r="BY13" i="35"/>
  <c r="BX13" i="35"/>
  <c r="BW13" i="35"/>
  <c r="BV13" i="35"/>
  <c r="BU13" i="35"/>
  <c r="BT13" i="35"/>
  <c r="BS13" i="35"/>
  <c r="BR13" i="35"/>
  <c r="BP13" i="35"/>
  <c r="BO13" i="35"/>
  <c r="BN13" i="35"/>
  <c r="BM13" i="35"/>
  <c r="BL13" i="35"/>
  <c r="BK13" i="35"/>
  <c r="BJ13" i="35"/>
  <c r="BY12" i="35"/>
  <c r="BX12" i="35"/>
  <c r="BW12" i="35"/>
  <c r="BV12" i="35"/>
  <c r="BU12" i="35"/>
  <c r="BT12" i="35"/>
  <c r="BS12" i="35"/>
  <c r="BR12" i="35"/>
  <c r="BP12" i="35"/>
  <c r="BO12" i="35"/>
  <c r="BN12" i="35"/>
  <c r="BM12" i="35"/>
  <c r="BL12" i="35"/>
  <c r="BK12" i="35"/>
  <c r="BJ12" i="35"/>
  <c r="BY11" i="35"/>
  <c r="BX11" i="35"/>
  <c r="BW11" i="35"/>
  <c r="BV11" i="35"/>
  <c r="BU11" i="35"/>
  <c r="BT11" i="35"/>
  <c r="BS11" i="35"/>
  <c r="BR11" i="35"/>
  <c r="BP11" i="35"/>
  <c r="BO11" i="35"/>
  <c r="BN11" i="35"/>
  <c r="BM11" i="35"/>
  <c r="BL11" i="35"/>
  <c r="BK11" i="35"/>
  <c r="BJ11" i="35"/>
  <c r="BY10" i="35"/>
  <c r="BX10" i="35"/>
  <c r="BW10" i="35"/>
  <c r="BV10" i="35"/>
  <c r="BU10" i="35"/>
  <c r="BT10" i="35"/>
  <c r="BS10" i="35"/>
  <c r="BR10" i="35"/>
  <c r="BP10" i="35"/>
  <c r="BO10" i="35"/>
  <c r="BN10" i="35"/>
  <c r="BM10" i="35"/>
  <c r="BL10" i="35"/>
  <c r="BK10" i="35"/>
  <c r="BJ10" i="35"/>
  <c r="A10" i="35"/>
  <c r="A11" i="35" s="1"/>
  <c r="A12" i="35" s="1"/>
  <c r="A13" i="35" s="1"/>
  <c r="A14" i="35" s="1"/>
  <c r="A15" i="35" s="1"/>
  <c r="A16" i="35" s="1"/>
  <c r="A17" i="35" s="1"/>
  <c r="A18" i="35" s="1"/>
  <c r="A19" i="35" s="1"/>
  <c r="A20" i="35" s="1"/>
  <c r="A21" i="35" s="1"/>
  <c r="A22" i="35" s="1"/>
  <c r="A23" i="35" s="1"/>
  <c r="A24" i="35" s="1"/>
  <c r="A25" i="35" s="1"/>
  <c r="A26" i="35" s="1"/>
  <c r="A27" i="35" s="1"/>
  <c r="A28" i="35" s="1"/>
  <c r="A29" i="35" s="1"/>
  <c r="A30" i="35" s="1"/>
  <c r="A31" i="35" s="1"/>
  <c r="A32" i="35" s="1"/>
  <c r="A33" i="35" s="1"/>
  <c r="A34" i="35" s="1"/>
  <c r="A35" i="35" s="1"/>
  <c r="A36" i="35" s="1"/>
  <c r="A37" i="35" s="1"/>
  <c r="A38" i="35" s="1"/>
  <c r="A39" i="35" s="1"/>
  <c r="A40" i="35" s="1"/>
  <c r="A41" i="35" s="1"/>
  <c r="A42" i="35" s="1"/>
  <c r="A43" i="35" s="1"/>
  <c r="A44" i="35" s="1"/>
  <c r="A45" i="35" s="1"/>
  <c r="A46" i="35" s="1"/>
  <c r="BY9" i="35"/>
  <c r="BX9" i="35"/>
  <c r="BW9" i="35"/>
  <c r="BV9" i="35"/>
  <c r="BU9" i="35"/>
  <c r="BT9" i="35"/>
  <c r="BS9" i="35"/>
  <c r="BR9" i="35"/>
  <c r="BP9" i="35"/>
  <c r="BO9" i="35"/>
  <c r="BN9" i="35"/>
  <c r="BM9" i="35"/>
  <c r="BL9" i="35"/>
  <c r="BK9" i="35"/>
  <c r="BJ9" i="35"/>
  <c r="BR63" i="35" l="1"/>
  <c r="BR52" i="35"/>
  <c r="BS63" i="35"/>
  <c r="BS52" i="35"/>
  <c r="CB52" i="35" s="1"/>
  <c r="CK52" i="35" s="1"/>
  <c r="CC52" i="35"/>
  <c r="CL52" i="35" s="1"/>
  <c r="BT63" i="35"/>
  <c r="BT52" i="35"/>
  <c r="CA52" i="35"/>
  <c r="CJ52" i="35" s="1"/>
  <c r="BU63" i="35"/>
  <c r="BU52" i="35"/>
  <c r="BV63" i="35"/>
  <c r="BV52" i="35"/>
  <c r="CE52" i="35" s="1"/>
  <c r="CN52" i="35" s="1"/>
  <c r="BW63" i="35"/>
  <c r="BW52" i="35"/>
  <c r="BY63" i="35"/>
  <c r="BY52" i="35"/>
  <c r="BX63" i="35"/>
  <c r="BX52" i="35"/>
  <c r="CG52" i="35" s="1"/>
  <c r="CP52" i="35" s="1"/>
  <c r="BN67" i="35"/>
  <c r="BN63" i="35"/>
  <c r="CF63" i="35" s="1"/>
  <c r="CO63" i="35" s="1"/>
  <c r="BO67" i="35"/>
  <c r="BO63" i="35"/>
  <c r="BP67" i="35"/>
  <c r="BP63" i="35"/>
  <c r="BI63" i="35"/>
  <c r="BI67" i="35"/>
  <c r="BJ67" i="35"/>
  <c r="CB67" i="35" s="1"/>
  <c r="CK67" i="35" s="1"/>
  <c r="BJ63" i="35"/>
  <c r="CB63" i="35" s="1"/>
  <c r="CK63" i="35" s="1"/>
  <c r="BK67" i="35"/>
  <c r="BK63" i="35"/>
  <c r="BL67" i="35"/>
  <c r="BL63" i="35"/>
  <c r="BM67" i="35"/>
  <c r="BM63" i="35"/>
  <c r="BW67" i="35"/>
  <c r="BX67" i="35"/>
  <c r="BY67" i="35"/>
  <c r="BR67" i="35"/>
  <c r="CA63" i="35"/>
  <c r="CJ63" i="35" s="1"/>
  <c r="BS67" i="35"/>
  <c r="BT67" i="35"/>
  <c r="CF67" i="35"/>
  <c r="CO67" i="35" s="1"/>
  <c r="BU67" i="35"/>
  <c r="BV67" i="35"/>
  <c r="CH32" i="35"/>
  <c r="CQ32" i="35" s="1"/>
  <c r="CH45" i="35"/>
  <c r="CQ45" i="35" s="1"/>
  <c r="CC40" i="35"/>
  <c r="CL40" i="35" s="1"/>
  <c r="CC42" i="35"/>
  <c r="CL42" i="35" s="1"/>
  <c r="CC35" i="35"/>
  <c r="CL35" i="35" s="1"/>
  <c r="CD41" i="35"/>
  <c r="CM41" i="35" s="1"/>
  <c r="CF15" i="35"/>
  <c r="CO15" i="35" s="1"/>
  <c r="CG46" i="35"/>
  <c r="CP46" i="35" s="1"/>
  <c r="CG30" i="35"/>
  <c r="CP30" i="35" s="1"/>
  <c r="CF45" i="35"/>
  <c r="CO45" i="35" s="1"/>
  <c r="CH39" i="35"/>
  <c r="CQ39" i="35" s="1"/>
  <c r="CE43" i="35"/>
  <c r="CN43" i="35" s="1"/>
  <c r="CC33" i="35"/>
  <c r="CL33" i="35" s="1"/>
  <c r="CF29" i="35"/>
  <c r="CO29" i="35" s="1"/>
  <c r="CE42" i="35"/>
  <c r="CN42" i="35" s="1"/>
  <c r="CE46" i="35"/>
  <c r="CN46" i="35" s="1"/>
  <c r="CC18" i="35"/>
  <c r="CL18" i="35" s="1"/>
  <c r="CF27" i="35"/>
  <c r="CO27" i="35" s="1"/>
  <c r="CD45" i="35"/>
  <c r="CM45" i="35" s="1"/>
  <c r="CF20" i="35"/>
  <c r="CO20" i="35" s="1"/>
  <c r="CE35" i="35"/>
  <c r="CN35" i="35" s="1"/>
  <c r="CC46" i="35"/>
  <c r="CL46" i="35" s="1"/>
  <c r="CF37" i="35"/>
  <c r="CO37" i="35" s="1"/>
  <c r="CD35" i="35"/>
  <c r="CM35" i="35" s="1"/>
  <c r="CE27" i="35"/>
  <c r="CN27" i="35" s="1"/>
  <c r="CG12" i="35"/>
  <c r="CP12" i="35" s="1"/>
  <c r="CH41" i="35"/>
  <c r="CQ41" i="35" s="1"/>
  <c r="CH25" i="35"/>
  <c r="CQ25" i="35" s="1"/>
  <c r="CC27" i="35"/>
  <c r="CL27" i="35" s="1"/>
  <c r="CE38" i="35"/>
  <c r="CN38" i="35" s="1"/>
  <c r="CG38" i="35"/>
  <c r="CP38" i="35" s="1"/>
  <c r="CB25" i="35"/>
  <c r="CK25" i="35" s="1"/>
  <c r="CE20" i="35"/>
  <c r="CN20" i="35" s="1"/>
  <c r="CH33" i="35"/>
  <c r="CQ33" i="35" s="1"/>
  <c r="CD36" i="35"/>
  <c r="CM36" i="35" s="1"/>
  <c r="CG39" i="35"/>
  <c r="CP39" i="35" s="1"/>
  <c r="CC43" i="35"/>
  <c r="CL43" i="35" s="1"/>
  <c r="CD12" i="35"/>
  <c r="CM12" i="35" s="1"/>
  <c r="CB26" i="35"/>
  <c r="CK26" i="35" s="1"/>
  <c r="CB43" i="35"/>
  <c r="CK43" i="35" s="1"/>
  <c r="CD28" i="35"/>
  <c r="CM28" i="35" s="1"/>
  <c r="CD17" i="35"/>
  <c r="CM17" i="35" s="1"/>
  <c r="CC17" i="35"/>
  <c r="CL17" i="35" s="1"/>
  <c r="CD20" i="35"/>
  <c r="CM20" i="35" s="1"/>
  <c r="CH38" i="35"/>
  <c r="CQ38" i="35" s="1"/>
  <c r="CF36" i="35"/>
  <c r="CO36" i="35" s="1"/>
  <c r="CG37" i="35"/>
  <c r="CP37" i="35" s="1"/>
  <c r="CF38" i="35"/>
  <c r="CO38" i="35" s="1"/>
  <c r="CH30" i="35"/>
  <c r="CQ30" i="35" s="1"/>
  <c r="CC25" i="35"/>
  <c r="CL25" i="35" s="1"/>
  <c r="CE28" i="35"/>
  <c r="CN28" i="35" s="1"/>
  <c r="CA9" i="35"/>
  <c r="CJ9" i="35" s="1"/>
  <c r="CE36" i="35"/>
  <c r="CN36" i="35" s="1"/>
  <c r="CG45" i="35"/>
  <c r="CP45" i="35" s="1"/>
  <c r="CD42" i="35"/>
  <c r="CM42" i="35" s="1"/>
  <c r="CD34" i="35"/>
  <c r="CM34" i="35" s="1"/>
  <c r="CH24" i="35"/>
  <c r="CQ24" i="35" s="1"/>
  <c r="BJ55" i="35"/>
  <c r="BK55" i="35"/>
  <c r="BL55" i="35"/>
  <c r="BM55" i="35"/>
  <c r="BN55" i="35"/>
  <c r="BO55" i="35"/>
  <c r="BP55" i="35"/>
  <c r="BI59" i="35"/>
  <c r="BI55" i="35"/>
  <c r="BL59" i="35"/>
  <c r="CG23" i="35"/>
  <c r="CP23" i="35" s="1"/>
  <c r="CG31" i="35"/>
  <c r="CP31" i="35" s="1"/>
  <c r="BM59" i="35"/>
  <c r="BN59" i="35"/>
  <c r="BO59" i="35"/>
  <c r="BP59" i="35"/>
  <c r="BK59" i="35"/>
  <c r="BJ59" i="35"/>
  <c r="CB34" i="35"/>
  <c r="CK34" i="35" s="1"/>
  <c r="CF22" i="35"/>
  <c r="CO22" i="35" s="1"/>
  <c r="BY59" i="35"/>
  <c r="BR59" i="35"/>
  <c r="BS59" i="35"/>
  <c r="BT59" i="35"/>
  <c r="BU59" i="35"/>
  <c r="BV59" i="35"/>
  <c r="BW59" i="35"/>
  <c r="BX59" i="35"/>
  <c r="CG29" i="35"/>
  <c r="CP29" i="35" s="1"/>
  <c r="CC41" i="35"/>
  <c r="CL41" i="35" s="1"/>
  <c r="BY55" i="35"/>
  <c r="BR55" i="35"/>
  <c r="BS55" i="35"/>
  <c r="BT55" i="35"/>
  <c r="BU55" i="35"/>
  <c r="BV55" i="35"/>
  <c r="BW55" i="35"/>
  <c r="BX55" i="35"/>
  <c r="CD18" i="35"/>
  <c r="CM18" i="35" s="1"/>
  <c r="CF28" i="35"/>
  <c r="CO28" i="35" s="1"/>
  <c r="CE26" i="35"/>
  <c r="CN26" i="35" s="1"/>
  <c r="CE30" i="35"/>
  <c r="CN30" i="35" s="1"/>
  <c r="CH42" i="35"/>
  <c r="CQ42" i="35" s="1"/>
  <c r="CB17" i="35"/>
  <c r="CK17" i="35" s="1"/>
  <c r="CE37" i="35"/>
  <c r="CN37" i="35" s="1"/>
  <c r="CE45" i="35"/>
  <c r="CN45" i="35" s="1"/>
  <c r="CF46" i="35"/>
  <c r="CO46" i="35" s="1"/>
  <c r="CE29" i="35"/>
  <c r="CN29" i="35" s="1"/>
  <c r="CD30" i="35"/>
  <c r="CM30" i="35" s="1"/>
  <c r="CB35" i="35"/>
  <c r="CK35" i="35" s="1"/>
  <c r="CC32" i="35"/>
  <c r="CL32" i="35" s="1"/>
  <c r="CC16" i="35"/>
  <c r="CL16" i="35" s="1"/>
  <c r="CC34" i="35"/>
  <c r="CL34" i="35" s="1"/>
  <c r="CB41" i="35"/>
  <c r="CK41" i="35" s="1"/>
  <c r="CC26" i="35"/>
  <c r="CL26" i="35" s="1"/>
  <c r="CB39" i="35"/>
  <c r="CK39" i="35" s="1"/>
  <c r="CB19" i="35"/>
  <c r="CK19" i="35" s="1"/>
  <c r="CE19" i="35"/>
  <c r="CN19" i="35" s="1"/>
  <c r="CC28" i="35"/>
  <c r="CL28" i="35" s="1"/>
  <c r="CG24" i="35"/>
  <c r="CP24" i="35" s="1"/>
  <c r="CH22" i="35"/>
  <c r="CQ22" i="35" s="1"/>
  <c r="CB32" i="35"/>
  <c r="CK32" i="35" s="1"/>
  <c r="CB18" i="35"/>
  <c r="CK18" i="35" s="1"/>
  <c r="CH9" i="35"/>
  <c r="CQ9" i="35" s="1"/>
  <c r="CD33" i="35"/>
  <c r="CM33" i="35" s="1"/>
  <c r="CD37" i="35"/>
  <c r="CM37" i="35" s="1"/>
  <c r="CF31" i="35"/>
  <c r="CO31" i="35" s="1"/>
  <c r="CD15" i="35"/>
  <c r="CM15" i="35" s="1"/>
  <c r="CB33" i="35"/>
  <c r="CK33" i="35" s="1"/>
  <c r="CF21" i="35"/>
  <c r="CO21" i="35" s="1"/>
  <c r="CH10" i="35"/>
  <c r="CQ10" i="35" s="1"/>
  <c r="CC38" i="35"/>
  <c r="CL38" i="35" s="1"/>
  <c r="CD19" i="35"/>
  <c r="CM19" i="35" s="1"/>
  <c r="CB9" i="35"/>
  <c r="CK9" i="35" s="1"/>
  <c r="CF43" i="35"/>
  <c r="CO43" i="35" s="1"/>
  <c r="CE21" i="35"/>
  <c r="CN21" i="35" s="1"/>
  <c r="CB10" i="35"/>
  <c r="CK10" i="35" s="1"/>
  <c r="CC30" i="35"/>
  <c r="CL30" i="35" s="1"/>
  <c r="CD11" i="35"/>
  <c r="CM11" i="35" s="1"/>
  <c r="CE15" i="35"/>
  <c r="CN15" i="35" s="1"/>
  <c r="CF40" i="35"/>
  <c r="CO40" i="35" s="1"/>
  <c r="CG21" i="35"/>
  <c r="CP21" i="35" s="1"/>
  <c r="CF13" i="35"/>
  <c r="CO13" i="35" s="1"/>
  <c r="CG25" i="35"/>
  <c r="CP25" i="35" s="1"/>
  <c r="CD22" i="35"/>
  <c r="CM22" i="35" s="1"/>
  <c r="CH34" i="35"/>
  <c r="CQ34" i="35" s="1"/>
  <c r="CE25" i="35"/>
  <c r="CN25" i="35" s="1"/>
  <c r="CB16" i="35"/>
  <c r="CK16" i="35" s="1"/>
  <c r="CC21" i="35"/>
  <c r="CL21" i="35" s="1"/>
  <c r="CD46" i="35"/>
  <c r="CM46" i="35" s="1"/>
  <c r="CG17" i="35"/>
  <c r="CP17" i="35" s="1"/>
  <c r="CG33" i="35"/>
  <c r="CP33" i="35" s="1"/>
  <c r="CC31" i="35"/>
  <c r="CL31" i="35" s="1"/>
  <c r="CC9" i="35"/>
  <c r="CL9" i="35" s="1"/>
  <c r="CG15" i="35"/>
  <c r="CP15" i="35" s="1"/>
  <c r="CG42" i="35"/>
  <c r="CP42" i="35" s="1"/>
  <c r="CH14" i="35"/>
  <c r="CQ14" i="35" s="1"/>
  <c r="CD25" i="35"/>
  <c r="CM25" i="35" s="1"/>
  <c r="CG13" i="35"/>
  <c r="CP13" i="35" s="1"/>
  <c r="CH20" i="35"/>
  <c r="CQ20" i="35" s="1"/>
  <c r="CG40" i="35"/>
  <c r="CP40" i="35" s="1"/>
  <c r="CB11" i="35"/>
  <c r="CK11" i="35" s="1"/>
  <c r="CG16" i="35"/>
  <c r="CP16" i="35" s="1"/>
  <c r="CG32" i="35"/>
  <c r="CP32" i="35" s="1"/>
  <c r="CE9" i="35"/>
  <c r="CN9" i="35" s="1"/>
  <c r="CD13" i="35"/>
  <c r="CM13" i="35" s="1"/>
  <c r="CC10" i="35"/>
  <c r="CL10" i="35" s="1"/>
  <c r="CC15" i="35"/>
  <c r="CL15" i="35" s="1"/>
  <c r="CF18" i="35"/>
  <c r="CO18" i="35" s="1"/>
  <c r="CH35" i="35"/>
  <c r="CQ35" i="35" s="1"/>
  <c r="CE34" i="35"/>
  <c r="CN34" i="35" s="1"/>
  <c r="CC24" i="35"/>
  <c r="CL24" i="35" s="1"/>
  <c r="CG28" i="35"/>
  <c r="CP28" i="35" s="1"/>
  <c r="CG36" i="35"/>
  <c r="CP36" i="35" s="1"/>
  <c r="CB31" i="35"/>
  <c r="CK31" i="35" s="1"/>
  <c r="CH37" i="35"/>
  <c r="CQ37" i="35" s="1"/>
  <c r="CH43" i="35"/>
  <c r="CQ43" i="35" s="1"/>
  <c r="CC13" i="35"/>
  <c r="CL13" i="35" s="1"/>
  <c r="CF11" i="35"/>
  <c r="CO11" i="35" s="1"/>
  <c r="CF24" i="35"/>
  <c r="CO24" i="35" s="1"/>
  <c r="CF32" i="35"/>
  <c r="CO32" i="35" s="1"/>
  <c r="CB12" i="35"/>
  <c r="CK12" i="35" s="1"/>
  <c r="CD32" i="35"/>
  <c r="CM32" i="35" s="1"/>
  <c r="CF26" i="35"/>
  <c r="CO26" i="35" s="1"/>
  <c r="CH28" i="35"/>
  <c r="CQ28" i="35" s="1"/>
  <c r="CH36" i="35"/>
  <c r="CQ36" i="35" s="1"/>
  <c r="CF12" i="35"/>
  <c r="CO12" i="35" s="1"/>
  <c r="CE10" i="35"/>
  <c r="CN10" i="35" s="1"/>
  <c r="CG19" i="35"/>
  <c r="CP19" i="35" s="1"/>
  <c r="CA12" i="35"/>
  <c r="CJ12" i="35" s="1"/>
  <c r="CC29" i="35"/>
  <c r="CL29" i="35" s="1"/>
  <c r="CC39" i="35"/>
  <c r="CL39" i="35" s="1"/>
  <c r="CD16" i="35"/>
  <c r="CM16" i="35" s="1"/>
  <c r="CC23" i="35"/>
  <c r="CL23" i="35" s="1"/>
  <c r="CD10" i="35"/>
  <c r="CM10" i="35" s="1"/>
  <c r="CB22" i="35"/>
  <c r="CK22" i="35" s="1"/>
  <c r="CB38" i="35"/>
  <c r="CK38" i="35" s="1"/>
  <c r="CD24" i="35"/>
  <c r="CM24" i="35" s="1"/>
  <c r="CE17" i="35"/>
  <c r="CN17" i="35" s="1"/>
  <c r="CG27" i="35"/>
  <c r="CP27" i="35" s="1"/>
  <c r="CF9" i="35"/>
  <c r="CO9" i="35" s="1"/>
  <c r="CA42" i="35"/>
  <c r="CJ42" i="35" s="1"/>
  <c r="CC45" i="35"/>
  <c r="CL45" i="35" s="1"/>
  <c r="CB14" i="35"/>
  <c r="CK14" i="35" s="1"/>
  <c r="CH26" i="35"/>
  <c r="CQ26" i="35" s="1"/>
  <c r="CE23" i="35"/>
  <c r="CN23" i="35" s="1"/>
  <c r="CB45" i="35"/>
  <c r="CK45" i="35" s="1"/>
  <c r="CE24" i="35"/>
  <c r="CN24" i="35" s="1"/>
  <c r="CE39" i="35"/>
  <c r="CN39" i="35" s="1"/>
  <c r="CB20" i="35"/>
  <c r="CK20" i="35" s="1"/>
  <c r="CG41" i="35"/>
  <c r="CP41" i="35" s="1"/>
  <c r="CG9" i="35"/>
  <c r="CP9" i="35" s="1"/>
  <c r="CF42" i="35"/>
  <c r="CO42" i="35" s="1"/>
  <c r="CF39" i="35"/>
  <c r="CO39" i="35" s="1"/>
  <c r="CE14" i="35"/>
  <c r="CN14" i="35" s="1"/>
  <c r="CF25" i="35"/>
  <c r="CO25" i="35" s="1"/>
  <c r="CB27" i="35"/>
  <c r="CK27" i="35" s="1"/>
  <c r="CC36" i="35"/>
  <c r="CL36" i="35" s="1"/>
  <c r="CB37" i="35"/>
  <c r="CK37" i="35" s="1"/>
  <c r="CH11" i="35"/>
  <c r="CQ11" i="35" s="1"/>
  <c r="CF41" i="35"/>
  <c r="CO41" i="35" s="1"/>
  <c r="CC14" i="35"/>
  <c r="CL14" i="35" s="1"/>
  <c r="CF10" i="35"/>
  <c r="CO10" i="35" s="1"/>
  <c r="CG10" i="35"/>
  <c r="CP10" i="35" s="1"/>
  <c r="CA43" i="35"/>
  <c r="CJ43" i="35" s="1"/>
  <c r="CH16" i="35"/>
  <c r="CQ16" i="35" s="1"/>
  <c r="CH31" i="35"/>
  <c r="CQ31" i="35" s="1"/>
  <c r="CE13" i="35"/>
  <c r="CN13" i="35" s="1"/>
  <c r="CB21" i="35"/>
  <c r="CK21" i="35" s="1"/>
  <c r="CC22" i="35"/>
  <c r="CL22" i="35" s="1"/>
  <c r="CD23" i="35"/>
  <c r="CM23" i="35" s="1"/>
  <c r="CB46" i="35"/>
  <c r="CK46" i="35" s="1"/>
  <c r="CE16" i="35"/>
  <c r="CN16" i="35" s="1"/>
  <c r="CA29" i="35"/>
  <c r="CJ29" i="35" s="1"/>
  <c r="CA21" i="35"/>
  <c r="CJ21" i="35" s="1"/>
  <c r="CA13" i="35"/>
  <c r="CJ13" i="35" s="1"/>
  <c r="CD39" i="35"/>
  <c r="CM39" i="35" s="1"/>
  <c r="CB44" i="35"/>
  <c r="CK44" i="35" s="1"/>
  <c r="CA36" i="35"/>
  <c r="CJ36" i="35" s="1"/>
  <c r="CA28" i="35"/>
  <c r="CJ28" i="35" s="1"/>
  <c r="CE32" i="35"/>
  <c r="CN32" i="35" s="1"/>
  <c r="CE40" i="35"/>
  <c r="CN40" i="35" s="1"/>
  <c r="CC44" i="35"/>
  <c r="CL44" i="35" s="1"/>
  <c r="CD44" i="35"/>
  <c r="CM44" i="35" s="1"/>
  <c r="CB13" i="35"/>
  <c r="CK13" i="35" s="1"/>
  <c r="CH27" i="35"/>
  <c r="CQ27" i="35" s="1"/>
  <c r="CE44" i="35"/>
  <c r="CN44" i="35" s="1"/>
  <c r="CG34" i="35"/>
  <c r="CP34" i="35" s="1"/>
  <c r="CG43" i="35"/>
  <c r="CP43" i="35" s="1"/>
  <c r="CF44" i="35"/>
  <c r="CO44" i="35" s="1"/>
  <c r="CA40" i="35"/>
  <c r="CJ40" i="35" s="1"/>
  <c r="CG26" i="35"/>
  <c r="CP26" i="35" s="1"/>
  <c r="CH44" i="35"/>
  <c r="CQ44" i="35" s="1"/>
  <c r="CG44" i="35"/>
  <c r="CP44" i="35" s="1"/>
  <c r="CA39" i="35"/>
  <c r="CJ39" i="35" s="1"/>
  <c r="CA31" i="35"/>
  <c r="CJ31" i="35" s="1"/>
  <c r="CA15" i="35"/>
  <c r="CJ15" i="35" s="1"/>
  <c r="CA23" i="35"/>
  <c r="CJ23" i="35" s="1"/>
  <c r="CE33" i="35"/>
  <c r="CN33" i="35" s="1"/>
  <c r="CF33" i="35"/>
  <c r="CO33" i="35" s="1"/>
  <c r="CA37" i="35"/>
  <c r="CJ37" i="35" s="1"/>
  <c r="CA20" i="35"/>
  <c r="CJ20" i="35" s="1"/>
  <c r="CD21" i="35"/>
  <c r="CM21" i="35" s="1"/>
  <c r="CB28" i="35"/>
  <c r="CK28" i="35" s="1"/>
  <c r="CB40" i="35"/>
  <c r="CK40" i="35" s="1"/>
  <c r="CC19" i="35"/>
  <c r="CL19" i="35" s="1"/>
  <c r="CF23" i="35"/>
  <c r="CO23" i="35" s="1"/>
  <c r="CF14" i="35"/>
  <c r="CO14" i="35" s="1"/>
  <c r="CB29" i="35"/>
  <c r="CK29" i="35" s="1"/>
  <c r="CG11" i="35"/>
  <c r="CP11" i="35" s="1"/>
  <c r="CG22" i="35"/>
  <c r="CP22" i="35" s="1"/>
  <c r="CA35" i="35"/>
  <c r="CJ35" i="35" s="1"/>
  <c r="CA27" i="35"/>
  <c r="CJ27" i="35" s="1"/>
  <c r="CA19" i="35"/>
  <c r="CJ19" i="35" s="1"/>
  <c r="CA11" i="35"/>
  <c r="CJ11" i="35" s="1"/>
  <c r="CH23" i="35"/>
  <c r="CQ23" i="35" s="1"/>
  <c r="CE31" i="35"/>
  <c r="CN31" i="35" s="1"/>
  <c r="CA45" i="35"/>
  <c r="CJ45" i="35" s="1"/>
  <c r="CA34" i="35"/>
  <c r="CJ34" i="35" s="1"/>
  <c r="CA26" i="35"/>
  <c r="CJ26" i="35" s="1"/>
  <c r="CD29" i="35"/>
  <c r="CM29" i="35" s="1"/>
  <c r="CA44" i="35"/>
  <c r="CJ44" i="35" s="1"/>
  <c r="CE18" i="35"/>
  <c r="CN18" i="35" s="1"/>
  <c r="CE12" i="35"/>
  <c r="CN12" i="35" s="1"/>
  <c r="CG18" i="35"/>
  <c r="CP18" i="35" s="1"/>
  <c r="CF34" i="35"/>
  <c r="CO34" i="35" s="1"/>
  <c r="CH40" i="35"/>
  <c r="CQ40" i="35" s="1"/>
  <c r="CE11" i="35"/>
  <c r="CN11" i="35" s="1"/>
  <c r="CA18" i="35"/>
  <c r="CJ18" i="35" s="1"/>
  <c r="CA41" i="35"/>
  <c r="CJ41" i="35" s="1"/>
  <c r="CA33" i="35"/>
  <c r="CJ33" i="35" s="1"/>
  <c r="CA25" i="35"/>
  <c r="CJ25" i="35" s="1"/>
  <c r="CA17" i="35"/>
  <c r="CJ17" i="35" s="1"/>
  <c r="CB23" i="35"/>
  <c r="CK23" i="35" s="1"/>
  <c r="CA32" i="35"/>
  <c r="CJ32" i="35" s="1"/>
  <c r="CA24" i="35"/>
  <c r="CJ24" i="35" s="1"/>
  <c r="CD14" i="35"/>
  <c r="CM14" i="35" s="1"/>
  <c r="CF35" i="35"/>
  <c r="CO35" i="35" s="1"/>
  <c r="CH19" i="35"/>
  <c r="CQ19" i="35" s="1"/>
  <c r="CA10" i="35"/>
  <c r="CJ10" i="35" s="1"/>
  <c r="CF17" i="35"/>
  <c r="CO17" i="35" s="1"/>
  <c r="CG20" i="35"/>
  <c r="CP20" i="35" s="1"/>
  <c r="CD26" i="35"/>
  <c r="CM26" i="35" s="1"/>
  <c r="CG35" i="35"/>
  <c r="CP35" i="35" s="1"/>
  <c r="CF16" i="35"/>
  <c r="CO16" i="35" s="1"/>
  <c r="CH18" i="35"/>
  <c r="CQ18" i="35" s="1"/>
  <c r="CD27" i="35"/>
  <c r="CM27" i="35" s="1"/>
  <c r="CB36" i="35"/>
  <c r="CK36" i="35" s="1"/>
  <c r="CD40" i="35"/>
  <c r="CM40" i="35" s="1"/>
  <c r="CD38" i="35"/>
  <c r="CM38" i="35" s="1"/>
  <c r="CA16" i="35"/>
  <c r="CJ16" i="35" s="1"/>
  <c r="CA46" i="35"/>
  <c r="CJ46" i="35" s="1"/>
  <c r="CA38" i="35"/>
  <c r="CJ38" i="35" s="1"/>
  <c r="CA30" i="35"/>
  <c r="CJ30" i="35" s="1"/>
  <c r="CA22" i="35"/>
  <c r="CJ22" i="35" s="1"/>
  <c r="CA14" i="35"/>
  <c r="CJ14" i="35" s="1"/>
  <c r="CE41" i="35"/>
  <c r="CN41" i="35" s="1"/>
  <c r="CD9" i="35"/>
  <c r="CM9" i="35" s="1"/>
  <c r="CB30" i="35"/>
  <c r="CK30" i="35" s="1"/>
  <c r="CC11" i="35"/>
  <c r="CL11" i="35" s="1"/>
  <c r="CH17" i="35"/>
  <c r="CQ17" i="35" s="1"/>
  <c r="CC37" i="35"/>
  <c r="CL37" i="35" s="1"/>
  <c r="CH21" i="35"/>
  <c r="CQ21" i="35" s="1"/>
  <c r="CB24" i="35"/>
  <c r="CK24" i="35" s="1"/>
  <c r="CH12" i="35"/>
  <c r="CQ12" i="35" s="1"/>
  <c r="CH15" i="35"/>
  <c r="CQ15" i="35" s="1"/>
  <c r="CD43" i="35"/>
  <c r="CM43" i="35" s="1"/>
  <c r="CC12" i="35"/>
  <c r="CL12" i="35" s="1"/>
  <c r="CH13" i="35"/>
  <c r="CQ13" i="35" s="1"/>
  <c r="CB15" i="35"/>
  <c r="CK15" i="35" s="1"/>
  <c r="CG14" i="35"/>
  <c r="CP14" i="35" s="1"/>
  <c r="CE22" i="35"/>
  <c r="CN22" i="35" s="1"/>
  <c r="CB42" i="35"/>
  <c r="CK42" i="35" s="1"/>
  <c r="CH46" i="35"/>
  <c r="CQ46" i="35" s="1"/>
  <c r="CF19" i="35"/>
  <c r="CO19" i="35" s="1"/>
  <c r="CH29" i="35"/>
  <c r="CQ29" i="35" s="1"/>
  <c r="CD31" i="35"/>
  <c r="CM31" i="35" s="1"/>
  <c r="CC20" i="35"/>
  <c r="CL20" i="35" s="1"/>
  <c r="CF30" i="35"/>
  <c r="CO30" i="35" s="1"/>
  <c r="BR65" i="35" l="1"/>
  <c r="BB63" i="35" s="1"/>
  <c r="CH63" i="35"/>
  <c r="CQ63" i="35" s="1"/>
  <c r="CD52" i="35"/>
  <c r="CM52" i="35" s="1"/>
  <c r="BR54" i="35"/>
  <c r="BD52" i="35" s="1"/>
  <c r="BD55" i="35" s="1"/>
  <c r="BD59" i="35" s="1"/>
  <c r="CH67" i="35"/>
  <c r="CQ67" i="35" s="1"/>
  <c r="CF52" i="35"/>
  <c r="CO52" i="35" s="1"/>
  <c r="CH52" i="35"/>
  <c r="CQ52" i="35" s="1"/>
  <c r="BC63" i="35"/>
  <c r="BG63" i="35"/>
  <c r="BD63" i="35"/>
  <c r="BA63" i="35"/>
  <c r="CA67" i="35"/>
  <c r="CJ67" i="35" s="1"/>
  <c r="BR69" i="35"/>
  <c r="BD67" i="35" s="1"/>
  <c r="BF63" i="35"/>
  <c r="AZ63" i="35"/>
  <c r="AH63" i="35" s="1"/>
  <c r="BE63" i="35"/>
  <c r="CE67" i="35"/>
  <c r="CN67" i="35" s="1"/>
  <c r="CE63" i="35"/>
  <c r="CN63" i="35" s="1"/>
  <c r="CC67" i="35"/>
  <c r="CL67" i="35" s="1"/>
  <c r="CG67" i="35"/>
  <c r="CP67" i="35" s="1"/>
  <c r="CC63" i="35"/>
  <c r="CL63" i="35" s="1"/>
  <c r="CG63" i="35"/>
  <c r="CP63" i="35" s="1"/>
  <c r="CD67" i="35"/>
  <c r="CM67" i="35" s="1"/>
  <c r="CD63" i="35"/>
  <c r="CM63" i="35" s="1"/>
  <c r="CH59" i="35"/>
  <c r="CQ59" i="35" s="1"/>
  <c r="CG55" i="35"/>
  <c r="CP55" i="35" s="1"/>
  <c r="CE55" i="35"/>
  <c r="CN55" i="35" s="1"/>
  <c r="CD55" i="35"/>
  <c r="CM55" i="35" s="1"/>
  <c r="CF55" i="35"/>
  <c r="CO55" i="35" s="1"/>
  <c r="CD59" i="35"/>
  <c r="CM59" i="35" s="1"/>
  <c r="CB55" i="35"/>
  <c r="CK55" i="35" s="1"/>
  <c r="CC59" i="35"/>
  <c r="CL59" i="35" s="1"/>
  <c r="CG59" i="35"/>
  <c r="CP59" i="35" s="1"/>
  <c r="CE59" i="35"/>
  <c r="CN59" i="35" s="1"/>
  <c r="CA59" i="35"/>
  <c r="CJ59" i="35" s="1"/>
  <c r="CB59" i="35"/>
  <c r="CK59" i="35" s="1"/>
  <c r="CA55" i="35"/>
  <c r="CJ55" i="35" s="1"/>
  <c r="CF59" i="35"/>
  <c r="CO59" i="35" s="1"/>
  <c r="CC55" i="35"/>
  <c r="CL55" i="35" s="1"/>
  <c r="CH55" i="35"/>
  <c r="CQ55" i="35" s="1"/>
  <c r="CR10" i="35"/>
  <c r="AX10" i="35" s="1"/>
  <c r="AM10" i="111" s="1"/>
  <c r="CR9" i="35"/>
  <c r="AR9" i="35" s="1"/>
  <c r="AG9" i="111" s="1"/>
  <c r="CR28" i="35"/>
  <c r="AX28" i="35" s="1"/>
  <c r="AM28" i="111" s="1"/>
  <c r="CR36" i="35"/>
  <c r="AX36" i="35" s="1"/>
  <c r="AM36" i="111" s="1"/>
  <c r="CR16" i="35"/>
  <c r="AT16" i="35" s="1"/>
  <c r="AI16" i="111" s="1"/>
  <c r="CR13" i="35"/>
  <c r="AU13" i="35" s="1"/>
  <c r="AJ13" i="111" s="1"/>
  <c r="CR44" i="35"/>
  <c r="AU44" i="35" s="1"/>
  <c r="AJ44" i="111" s="1"/>
  <c r="CR32" i="35"/>
  <c r="AW32" i="35" s="1"/>
  <c r="AL32" i="111" s="1"/>
  <c r="CR11" i="35"/>
  <c r="AR11" i="35" s="1"/>
  <c r="AG11" i="111" s="1"/>
  <c r="CR18" i="35"/>
  <c r="AV18" i="35" s="1"/>
  <c r="AK18" i="111" s="1"/>
  <c r="CR24" i="35"/>
  <c r="AR24" i="35" s="1"/>
  <c r="AG24" i="111" s="1"/>
  <c r="CR12" i="35"/>
  <c r="AW12" i="35" s="1"/>
  <c r="AL12" i="111" s="1"/>
  <c r="CR14" i="35"/>
  <c r="AS14" i="35" s="1"/>
  <c r="AH14" i="111" s="1"/>
  <c r="CR40" i="35"/>
  <c r="AS40" i="35" s="1"/>
  <c r="AH40" i="111" s="1"/>
  <c r="CR15" i="35"/>
  <c r="CR20" i="35"/>
  <c r="AS20" i="35" s="1"/>
  <c r="AH20" i="111" s="1"/>
  <c r="CR17" i="35"/>
  <c r="CR22" i="35"/>
  <c r="CR19" i="35"/>
  <c r="AV19" i="35" s="1"/>
  <c r="AK19" i="111" s="1"/>
  <c r="CR21" i="35"/>
  <c r="BE52" i="35" l="1"/>
  <c r="BE55" i="35" s="1"/>
  <c r="BE59" i="35" s="1"/>
  <c r="BC52" i="35"/>
  <c r="BC55" i="35" s="1"/>
  <c r="BC59" i="35" s="1"/>
  <c r="BB52" i="35"/>
  <c r="BB55" i="35" s="1"/>
  <c r="BB59" i="35" s="1"/>
  <c r="BG52" i="35"/>
  <c r="BG55" i="35" s="1"/>
  <c r="BG59" i="35" s="1"/>
  <c r="BF52" i="35"/>
  <c r="BF55" i="35" s="1"/>
  <c r="BF59" i="35" s="1"/>
  <c r="BA52" i="35"/>
  <c r="BA55" i="35" s="1"/>
  <c r="BA59" i="35" s="1"/>
  <c r="AZ52" i="35"/>
  <c r="CR52" i="35"/>
  <c r="BB67" i="35"/>
  <c r="BA67" i="35"/>
  <c r="BG67" i="35"/>
  <c r="BE67" i="35"/>
  <c r="AZ67" i="35"/>
  <c r="AH67" i="35" s="1"/>
  <c r="CR67" i="35"/>
  <c r="AW67" i="35" s="1"/>
  <c r="BF67" i="35"/>
  <c r="BC67" i="35"/>
  <c r="AI63" i="35"/>
  <c r="Y63" i="35"/>
  <c r="CR63" i="35"/>
  <c r="AX63" i="35" s="1"/>
  <c r="AV63" i="35"/>
  <c r="AQ63" i="35"/>
  <c r="P63" i="35" s="1"/>
  <c r="AU28" i="35"/>
  <c r="AJ28" i="111" s="1"/>
  <c r="AT28" i="35"/>
  <c r="AI28" i="111" s="1"/>
  <c r="AQ28" i="35"/>
  <c r="AF28" i="111" s="1"/>
  <c r="CR59" i="35"/>
  <c r="AW59" i="35" s="1"/>
  <c r="CR55" i="35"/>
  <c r="AV9" i="35"/>
  <c r="AK9" i="111" s="1"/>
  <c r="AQ9" i="35"/>
  <c r="AF9" i="111" s="1"/>
  <c r="AW9" i="35"/>
  <c r="AL9" i="111" s="1"/>
  <c r="AQ10" i="35"/>
  <c r="AF10" i="111" s="1"/>
  <c r="AR10" i="35"/>
  <c r="AG10" i="111" s="1"/>
  <c r="AR28" i="35"/>
  <c r="AG28" i="111" s="1"/>
  <c r="AV28" i="35"/>
  <c r="AK28" i="111" s="1"/>
  <c r="AS28" i="35"/>
  <c r="AH28" i="111" s="1"/>
  <c r="AW28" i="35"/>
  <c r="AL28" i="111" s="1"/>
  <c r="AT9" i="35"/>
  <c r="AI9" i="111" s="1"/>
  <c r="AW10" i="35"/>
  <c r="AL10" i="111" s="1"/>
  <c r="AS10" i="35"/>
  <c r="AH10" i="111" s="1"/>
  <c r="AV10" i="35"/>
  <c r="AK10" i="111" s="1"/>
  <c r="AU10" i="35"/>
  <c r="AJ10" i="111" s="1"/>
  <c r="AT10" i="35"/>
  <c r="AI10" i="111" s="1"/>
  <c r="AR36" i="35"/>
  <c r="AG36" i="111" s="1"/>
  <c r="AV36" i="35"/>
  <c r="AK36" i="111" s="1"/>
  <c r="AQ36" i="35"/>
  <c r="AF36" i="111" s="1"/>
  <c r="AX32" i="35"/>
  <c r="AM32" i="111" s="1"/>
  <c r="AS36" i="35"/>
  <c r="AH36" i="111" s="1"/>
  <c r="AU36" i="35"/>
  <c r="AJ36" i="111" s="1"/>
  <c r="AW16" i="35"/>
  <c r="AL16" i="111" s="1"/>
  <c r="AS9" i="35"/>
  <c r="AH9" i="111" s="1"/>
  <c r="AU9" i="35"/>
  <c r="AJ9" i="111" s="1"/>
  <c r="AX9" i="35"/>
  <c r="AM9" i="111" s="1"/>
  <c r="AU32" i="35"/>
  <c r="AJ32" i="111" s="1"/>
  <c r="AW36" i="35"/>
  <c r="AL36" i="111" s="1"/>
  <c r="AT36" i="35"/>
  <c r="AI36" i="111" s="1"/>
  <c r="AW13" i="35"/>
  <c r="AL13" i="111" s="1"/>
  <c r="AT13" i="35"/>
  <c r="AI13" i="111" s="1"/>
  <c r="AQ13" i="35"/>
  <c r="AF13" i="111" s="1"/>
  <c r="AW44" i="35"/>
  <c r="AL44" i="111" s="1"/>
  <c r="AR44" i="35"/>
  <c r="AG44" i="111" s="1"/>
  <c r="AV16" i="35"/>
  <c r="AK16" i="111" s="1"/>
  <c r="AU16" i="35"/>
  <c r="AJ16" i="111" s="1"/>
  <c r="AQ44" i="35"/>
  <c r="AF44" i="111" s="1"/>
  <c r="AR16" i="35"/>
  <c r="AG16" i="111" s="1"/>
  <c r="AX16" i="35"/>
  <c r="AM16" i="111" s="1"/>
  <c r="AS16" i="35"/>
  <c r="AH16" i="111" s="1"/>
  <c r="AT32" i="35"/>
  <c r="AI32" i="111" s="1"/>
  <c r="AQ16" i="35"/>
  <c r="AF16" i="111" s="1"/>
  <c r="AX13" i="35"/>
  <c r="AM13" i="111" s="1"/>
  <c r="AS13" i="35"/>
  <c r="AH13" i="111" s="1"/>
  <c r="AV13" i="35"/>
  <c r="AK13" i="111" s="1"/>
  <c r="AR13" i="35"/>
  <c r="AG13" i="111" s="1"/>
  <c r="AX44" i="35"/>
  <c r="AM44" i="111" s="1"/>
  <c r="AS44" i="35"/>
  <c r="AH44" i="111" s="1"/>
  <c r="AV44" i="35"/>
  <c r="AK44" i="111" s="1"/>
  <c r="AT44" i="35"/>
  <c r="AI44" i="111" s="1"/>
  <c r="AU18" i="35"/>
  <c r="AJ18" i="111" s="1"/>
  <c r="AT18" i="35"/>
  <c r="AI18" i="111" s="1"/>
  <c r="AQ32" i="35"/>
  <c r="AF32" i="111" s="1"/>
  <c r="N32" i="111" s="1"/>
  <c r="AW11" i="35"/>
  <c r="AL11" i="111" s="1"/>
  <c r="AX11" i="35"/>
  <c r="AM11" i="111" s="1"/>
  <c r="AR32" i="35"/>
  <c r="AG32" i="111" s="1"/>
  <c r="AV32" i="35"/>
  <c r="AK32" i="111" s="1"/>
  <c r="AQ18" i="35"/>
  <c r="AF18" i="111" s="1"/>
  <c r="AT11" i="35"/>
  <c r="AI11" i="111" s="1"/>
  <c r="AU11" i="35"/>
  <c r="AJ11" i="111" s="1"/>
  <c r="AS11" i="35"/>
  <c r="AH11" i="111" s="1"/>
  <c r="AV11" i="35"/>
  <c r="AK11" i="111" s="1"/>
  <c r="AQ11" i="35"/>
  <c r="AF11" i="111" s="1"/>
  <c r="AS32" i="35"/>
  <c r="AH32" i="111" s="1"/>
  <c r="AR18" i="35"/>
  <c r="AG18" i="111" s="1"/>
  <c r="AW18" i="35"/>
  <c r="AL18" i="111" s="1"/>
  <c r="AS18" i="35"/>
  <c r="AH18" i="111" s="1"/>
  <c r="AS24" i="35"/>
  <c r="AH24" i="111" s="1"/>
  <c r="AQ24" i="35"/>
  <c r="AF24" i="111" s="1"/>
  <c r="AX24" i="35"/>
  <c r="AM24" i="111" s="1"/>
  <c r="AT14" i="35"/>
  <c r="AI14" i="111" s="1"/>
  <c r="AU24" i="35"/>
  <c r="AJ24" i="111" s="1"/>
  <c r="AV24" i="35"/>
  <c r="AK24" i="111" s="1"/>
  <c r="AW24" i="35"/>
  <c r="AL24" i="111" s="1"/>
  <c r="AR12" i="35"/>
  <c r="AG12" i="111" s="1"/>
  <c r="AQ12" i="35"/>
  <c r="AF12" i="111" s="1"/>
  <c r="AS12" i="35"/>
  <c r="AH12" i="111" s="1"/>
  <c r="AX18" i="35"/>
  <c r="AM18" i="111" s="1"/>
  <c r="AU12" i="35"/>
  <c r="AJ12" i="111" s="1"/>
  <c r="AT12" i="35"/>
  <c r="AI12" i="111" s="1"/>
  <c r="AW40" i="35"/>
  <c r="AL40" i="111" s="1"/>
  <c r="AT40" i="35"/>
  <c r="AI40" i="111" s="1"/>
  <c r="AU14" i="35"/>
  <c r="AJ14" i="111" s="1"/>
  <c r="AX14" i="35"/>
  <c r="AM14" i="111" s="1"/>
  <c r="AV40" i="35"/>
  <c r="AK40" i="111" s="1"/>
  <c r="AT24" i="35"/>
  <c r="AI24" i="111" s="1"/>
  <c r="AR40" i="35"/>
  <c r="AG40" i="111" s="1"/>
  <c r="AU40" i="35"/>
  <c r="AJ40" i="111" s="1"/>
  <c r="AW14" i="35"/>
  <c r="AL14" i="111" s="1"/>
  <c r="AQ14" i="35"/>
  <c r="AF14" i="111" s="1"/>
  <c r="N14" i="111" s="1"/>
  <c r="AR14" i="35"/>
  <c r="AG14" i="111" s="1"/>
  <c r="AX12" i="35"/>
  <c r="AM12" i="111" s="1"/>
  <c r="AV12" i="35"/>
  <c r="AK12" i="111" s="1"/>
  <c r="AX40" i="35"/>
  <c r="AM40" i="111" s="1"/>
  <c r="AQ40" i="35"/>
  <c r="AF40" i="111" s="1"/>
  <c r="N40" i="111" s="1"/>
  <c r="AV14" i="35"/>
  <c r="AK14" i="111" s="1"/>
  <c r="AT15" i="35"/>
  <c r="AI15" i="111" s="1"/>
  <c r="AQ15" i="35"/>
  <c r="AF15" i="111" s="1"/>
  <c r="AX15" i="35"/>
  <c r="AM15" i="111" s="1"/>
  <c r="AV15" i="35"/>
  <c r="AK15" i="111" s="1"/>
  <c r="AW15" i="35"/>
  <c r="AL15" i="111" s="1"/>
  <c r="AS15" i="35"/>
  <c r="AH15" i="111" s="1"/>
  <c r="AU15" i="35"/>
  <c r="AJ15" i="111" s="1"/>
  <c r="AX22" i="35"/>
  <c r="AM22" i="111" s="1"/>
  <c r="AQ22" i="35"/>
  <c r="AF22" i="111" s="1"/>
  <c r="AS22" i="35"/>
  <c r="AH22" i="111" s="1"/>
  <c r="AW22" i="35"/>
  <c r="AL22" i="111" s="1"/>
  <c r="AR22" i="35"/>
  <c r="AG22" i="111" s="1"/>
  <c r="AT22" i="35"/>
  <c r="AI22" i="111" s="1"/>
  <c r="AV22" i="35"/>
  <c r="AK22" i="111" s="1"/>
  <c r="AR15" i="35"/>
  <c r="AG15" i="111" s="1"/>
  <c r="AX21" i="35"/>
  <c r="AM21" i="111" s="1"/>
  <c r="AW21" i="35"/>
  <c r="AL21" i="111" s="1"/>
  <c r="AT21" i="35"/>
  <c r="AI21" i="111" s="1"/>
  <c r="AS21" i="35"/>
  <c r="AH21" i="111" s="1"/>
  <c r="AV21" i="35"/>
  <c r="AK21" i="111" s="1"/>
  <c r="AR21" i="35"/>
  <c r="AG21" i="111" s="1"/>
  <c r="AQ21" i="35"/>
  <c r="AF21" i="111" s="1"/>
  <c r="N21" i="111" s="1"/>
  <c r="AU21" i="35"/>
  <c r="AJ21" i="111" s="1"/>
  <c r="AX20" i="35"/>
  <c r="AM20" i="111" s="1"/>
  <c r="AW20" i="35"/>
  <c r="AL20" i="111" s="1"/>
  <c r="AR20" i="35"/>
  <c r="AG20" i="111" s="1"/>
  <c r="AT20" i="35"/>
  <c r="AI20" i="111" s="1"/>
  <c r="AV20" i="35"/>
  <c r="AK20" i="111" s="1"/>
  <c r="AQ20" i="35"/>
  <c r="AF20" i="111" s="1"/>
  <c r="AU20" i="35"/>
  <c r="AJ20" i="111" s="1"/>
  <c r="AR17" i="35"/>
  <c r="AG17" i="111" s="1"/>
  <c r="AX17" i="35"/>
  <c r="AM17" i="111" s="1"/>
  <c r="AS17" i="35"/>
  <c r="AH17" i="111" s="1"/>
  <c r="AQ17" i="35"/>
  <c r="AF17" i="111" s="1"/>
  <c r="AU17" i="35"/>
  <c r="AJ17" i="111" s="1"/>
  <c r="AW17" i="35"/>
  <c r="AL17" i="111" s="1"/>
  <c r="AT17" i="35"/>
  <c r="AI17" i="111" s="1"/>
  <c r="AV17" i="35"/>
  <c r="AK17" i="111" s="1"/>
  <c r="AT19" i="35"/>
  <c r="AI19" i="111" s="1"/>
  <c r="AQ19" i="35"/>
  <c r="AF19" i="111" s="1"/>
  <c r="AR19" i="35"/>
  <c r="AG19" i="111" s="1"/>
  <c r="AU19" i="35"/>
  <c r="AJ19" i="111" s="1"/>
  <c r="AX19" i="35"/>
  <c r="AM19" i="111" s="1"/>
  <c r="AS19" i="35"/>
  <c r="AH19" i="111" s="1"/>
  <c r="AW19" i="35"/>
  <c r="AL19" i="111" s="1"/>
  <c r="AU22" i="35"/>
  <c r="AJ22" i="111" s="1"/>
  <c r="CR26" i="35"/>
  <c r="CR25" i="35"/>
  <c r="CR23" i="35"/>
  <c r="E40" i="111" l="1"/>
  <c r="O40" i="111"/>
  <c r="N11" i="111"/>
  <c r="N28" i="111"/>
  <c r="E21" i="111"/>
  <c r="O21" i="111"/>
  <c r="N24" i="111"/>
  <c r="E32" i="111"/>
  <c r="O32" i="111"/>
  <c r="N44" i="111"/>
  <c r="N10" i="111"/>
  <c r="N20" i="111"/>
  <c r="N12" i="111"/>
  <c r="N36" i="111"/>
  <c r="N9" i="111"/>
  <c r="E14" i="111"/>
  <c r="O14" i="111"/>
  <c r="N18" i="111"/>
  <c r="N16" i="111"/>
  <c r="N22" i="111"/>
  <c r="N17" i="111"/>
  <c r="N15" i="111"/>
  <c r="N19" i="111"/>
  <c r="N13" i="111"/>
  <c r="AR52" i="35"/>
  <c r="AS52" i="35"/>
  <c r="AU52" i="35"/>
  <c r="AQ52" i="35"/>
  <c r="P52" i="35" s="1"/>
  <c r="AV52" i="35"/>
  <c r="AW52" i="35"/>
  <c r="AZ55" i="35"/>
  <c r="AH52" i="35"/>
  <c r="AT52" i="35"/>
  <c r="AX52" i="35"/>
  <c r="AS63" i="35"/>
  <c r="AR67" i="35"/>
  <c r="AT63" i="35"/>
  <c r="AW63" i="35"/>
  <c r="P36" i="35"/>
  <c r="Q36" i="35" s="1"/>
  <c r="R36" i="35" s="1"/>
  <c r="S36" i="35" s="1"/>
  <c r="T36" i="35" s="1"/>
  <c r="U36" i="35" s="1"/>
  <c r="V36" i="35" s="1"/>
  <c r="P9" i="35"/>
  <c r="P17" i="35"/>
  <c r="Q17" i="35" s="1"/>
  <c r="R17" i="35" s="1"/>
  <c r="S17" i="35" s="1"/>
  <c r="T17" i="35" s="1"/>
  <c r="U17" i="35" s="1"/>
  <c r="V17" i="35" s="1"/>
  <c r="P18" i="35"/>
  <c r="Q18" i="35" s="1"/>
  <c r="R18" i="35" s="1"/>
  <c r="S18" i="35" s="1"/>
  <c r="T18" i="35" s="1"/>
  <c r="U18" i="35" s="1"/>
  <c r="V18" i="35" s="1"/>
  <c r="P16" i="35"/>
  <c r="Q16" i="35" s="1"/>
  <c r="R16" i="35" s="1"/>
  <c r="S16" i="35" s="1"/>
  <c r="T16" i="35" s="1"/>
  <c r="U16" i="35" s="1"/>
  <c r="V16" i="35" s="1"/>
  <c r="P15" i="35"/>
  <c r="Q15" i="35" s="1"/>
  <c r="R15" i="35" s="1"/>
  <c r="S15" i="35" s="1"/>
  <c r="T15" i="35" s="1"/>
  <c r="U15" i="35" s="1"/>
  <c r="V15" i="35" s="1"/>
  <c r="P14" i="35"/>
  <c r="Q14" i="35" s="1"/>
  <c r="R14" i="35" s="1"/>
  <c r="S14" i="35" s="1"/>
  <c r="T14" i="35" s="1"/>
  <c r="U14" i="35" s="1"/>
  <c r="V14" i="35" s="1"/>
  <c r="P19" i="35"/>
  <c r="Q19" i="35" s="1"/>
  <c r="R19" i="35" s="1"/>
  <c r="S19" i="35" s="1"/>
  <c r="T19" i="35" s="1"/>
  <c r="U19" i="35" s="1"/>
  <c r="V19" i="35" s="1"/>
  <c r="P13" i="35"/>
  <c r="Q13" i="35" s="1"/>
  <c r="R13" i="35" s="1"/>
  <c r="S13" i="35" s="1"/>
  <c r="T13" i="35" s="1"/>
  <c r="U13" i="35" s="1"/>
  <c r="V13" i="35" s="1"/>
  <c r="AV67" i="35"/>
  <c r="AQ67" i="35"/>
  <c r="P67" i="35" s="1"/>
  <c r="G67" i="35" s="1"/>
  <c r="P40" i="35"/>
  <c r="Q40" i="35" s="1"/>
  <c r="R40" i="35" s="1"/>
  <c r="S40" i="35" s="1"/>
  <c r="T40" i="35" s="1"/>
  <c r="U40" i="35" s="1"/>
  <c r="V40" i="35" s="1"/>
  <c r="P11" i="35"/>
  <c r="Q11" i="35" s="1"/>
  <c r="R11" i="35" s="1"/>
  <c r="S11" i="35" s="1"/>
  <c r="T11" i="35" s="1"/>
  <c r="U11" i="35" s="1"/>
  <c r="V11" i="35" s="1"/>
  <c r="P28" i="35"/>
  <c r="Q28" i="35" s="1"/>
  <c r="R28" i="35" s="1"/>
  <c r="S28" i="35" s="1"/>
  <c r="T28" i="35" s="1"/>
  <c r="U28" i="35" s="1"/>
  <c r="V28" i="35" s="1"/>
  <c r="AS67" i="35"/>
  <c r="AX67" i="35"/>
  <c r="P21" i="35"/>
  <c r="Q21" i="35" s="1"/>
  <c r="R21" i="35" s="1"/>
  <c r="S21" i="35" s="1"/>
  <c r="T21" i="35" s="1"/>
  <c r="U21" i="35" s="1"/>
  <c r="V21" i="35" s="1"/>
  <c r="P20" i="35"/>
  <c r="Q20" i="35" s="1"/>
  <c r="R20" i="35" s="1"/>
  <c r="S20" i="35" s="1"/>
  <c r="T20" i="35" s="1"/>
  <c r="U20" i="35" s="1"/>
  <c r="V20" i="35" s="1"/>
  <c r="P24" i="35"/>
  <c r="Q24" i="35" s="1"/>
  <c r="R24" i="35" s="1"/>
  <c r="S24" i="35" s="1"/>
  <c r="T24" i="35" s="1"/>
  <c r="U24" i="35" s="1"/>
  <c r="V24" i="35" s="1"/>
  <c r="P32" i="35"/>
  <c r="Q32" i="35" s="1"/>
  <c r="R32" i="35" s="1"/>
  <c r="S32" i="35" s="1"/>
  <c r="T32" i="35" s="1"/>
  <c r="U32" i="35" s="1"/>
  <c r="V32" i="35" s="1"/>
  <c r="P44" i="35"/>
  <c r="Q44" i="35" s="1"/>
  <c r="R44" i="35" s="1"/>
  <c r="S44" i="35" s="1"/>
  <c r="T44" i="35" s="1"/>
  <c r="U44" i="35" s="1"/>
  <c r="V44" i="35" s="1"/>
  <c r="P10" i="35"/>
  <c r="Q10" i="35" s="1"/>
  <c r="R10" i="35" s="1"/>
  <c r="S10" i="35" s="1"/>
  <c r="T10" i="35" s="1"/>
  <c r="U10" i="35" s="1"/>
  <c r="V10" i="35" s="1"/>
  <c r="AR63" i="35"/>
  <c r="P22" i="35"/>
  <c r="Q22" i="35" s="1"/>
  <c r="R22" i="35" s="1"/>
  <c r="S22" i="35" s="1"/>
  <c r="T22" i="35" s="1"/>
  <c r="U22" i="35" s="1"/>
  <c r="V22" i="35" s="1"/>
  <c r="P12" i="35"/>
  <c r="Q12" i="35" s="1"/>
  <c r="R12" i="35" s="1"/>
  <c r="S12" i="35" s="1"/>
  <c r="T12" i="35" s="1"/>
  <c r="U12" i="35" s="1"/>
  <c r="V12" i="35" s="1"/>
  <c r="AU63" i="35"/>
  <c r="AJ63" i="35"/>
  <c r="Z63" i="35"/>
  <c r="Y67" i="35"/>
  <c r="AI67" i="35"/>
  <c r="AT67" i="35"/>
  <c r="AU67" i="35"/>
  <c r="G63" i="35"/>
  <c r="Q63" i="35"/>
  <c r="AQ59" i="35"/>
  <c r="P59" i="35" s="1"/>
  <c r="G59" i="35" s="1"/>
  <c r="AU59" i="35"/>
  <c r="AV59" i="35"/>
  <c r="AR59" i="35"/>
  <c r="AX59" i="35"/>
  <c r="AS59" i="35"/>
  <c r="AT59" i="35"/>
  <c r="AR55" i="35"/>
  <c r="AV55" i="35"/>
  <c r="AW55" i="35"/>
  <c r="AQ55" i="35"/>
  <c r="P55" i="35" s="1"/>
  <c r="AU55" i="35"/>
  <c r="AT55" i="35"/>
  <c r="AX55" i="35"/>
  <c r="AS55" i="35"/>
  <c r="H16" i="35"/>
  <c r="AT25" i="35"/>
  <c r="AI25" i="111" s="1"/>
  <c r="AQ25" i="35"/>
  <c r="AF25" i="111" s="1"/>
  <c r="AW25" i="35"/>
  <c r="AL25" i="111" s="1"/>
  <c r="AV25" i="35"/>
  <c r="AK25" i="111" s="1"/>
  <c r="AS25" i="35"/>
  <c r="AH25" i="111" s="1"/>
  <c r="AU25" i="35"/>
  <c r="AJ25" i="111" s="1"/>
  <c r="AR25" i="35"/>
  <c r="AG25" i="111" s="1"/>
  <c r="AX25" i="35"/>
  <c r="AM25" i="111" s="1"/>
  <c r="AU26" i="35"/>
  <c r="AJ26" i="111" s="1"/>
  <c r="AR26" i="35"/>
  <c r="AG26" i="111" s="1"/>
  <c r="AX26" i="35"/>
  <c r="AM26" i="111" s="1"/>
  <c r="AS26" i="35"/>
  <c r="AH26" i="111" s="1"/>
  <c r="AQ26" i="35"/>
  <c r="AF26" i="111" s="1"/>
  <c r="AW26" i="35"/>
  <c r="AL26" i="111" s="1"/>
  <c r="AT26" i="35"/>
  <c r="AI26" i="111" s="1"/>
  <c r="AV26" i="35"/>
  <c r="AK26" i="111" s="1"/>
  <c r="AQ23" i="35"/>
  <c r="AF23" i="111" s="1"/>
  <c r="AV23" i="35"/>
  <c r="AK23" i="111" s="1"/>
  <c r="AW23" i="35"/>
  <c r="AL23" i="111" s="1"/>
  <c r="AR23" i="35"/>
  <c r="AG23" i="111" s="1"/>
  <c r="AU23" i="35"/>
  <c r="AJ23" i="111" s="1"/>
  <c r="AT23" i="35"/>
  <c r="AI23" i="111" s="1"/>
  <c r="AX23" i="35"/>
  <c r="AM23" i="111" s="1"/>
  <c r="AS23" i="35"/>
  <c r="AH23" i="111" s="1"/>
  <c r="CR30" i="35"/>
  <c r="CR29" i="35"/>
  <c r="CR27" i="35"/>
  <c r="Q9" i="35" l="1"/>
  <c r="R9" i="35" s="1"/>
  <c r="S9" i="35" s="1"/>
  <c r="T9" i="35" s="1"/>
  <c r="U9" i="35" s="1"/>
  <c r="V9" i="35" s="1"/>
  <c r="G9" i="35"/>
  <c r="E13" i="111"/>
  <c r="O13" i="111"/>
  <c r="E19" i="111"/>
  <c r="O19" i="111"/>
  <c r="E9" i="111"/>
  <c r="O9" i="111"/>
  <c r="E24" i="111"/>
  <c r="O24" i="111"/>
  <c r="G22" i="35"/>
  <c r="E15" i="111"/>
  <c r="O15" i="111"/>
  <c r="E36" i="111"/>
  <c r="O36" i="111"/>
  <c r="F21" i="111"/>
  <c r="P21" i="111"/>
  <c r="N26" i="111"/>
  <c r="E17" i="111"/>
  <c r="O17" i="111"/>
  <c r="E12" i="111"/>
  <c r="O12" i="111"/>
  <c r="E22" i="111"/>
  <c r="O22" i="111"/>
  <c r="E20" i="111"/>
  <c r="O20" i="111"/>
  <c r="E28" i="111"/>
  <c r="O28" i="111"/>
  <c r="N25" i="111"/>
  <c r="E16" i="111"/>
  <c r="O16" i="111"/>
  <c r="E10" i="111"/>
  <c r="O10" i="111"/>
  <c r="E11" i="111"/>
  <c r="O11" i="111"/>
  <c r="E18" i="111"/>
  <c r="O18" i="111"/>
  <c r="E44" i="111"/>
  <c r="O44" i="111"/>
  <c r="F40" i="111"/>
  <c r="P40" i="111"/>
  <c r="N23" i="111"/>
  <c r="F14" i="111"/>
  <c r="P14" i="111"/>
  <c r="F32" i="111"/>
  <c r="P32" i="111"/>
  <c r="Y52" i="35"/>
  <c r="AI52" i="35"/>
  <c r="AH55" i="35"/>
  <c r="AZ59" i="35"/>
  <c r="AH59" i="35" s="1"/>
  <c r="G52" i="35"/>
  <c r="Q52" i="35"/>
  <c r="G28" i="35"/>
  <c r="G12" i="35"/>
  <c r="G15" i="35"/>
  <c r="G13" i="35"/>
  <c r="H18" i="35"/>
  <c r="H28" i="35"/>
  <c r="Q67" i="35"/>
  <c r="R67" i="35" s="1"/>
  <c r="S67" i="35" s="1"/>
  <c r="G16" i="35"/>
  <c r="G24" i="35"/>
  <c r="P23" i="35"/>
  <c r="Q23" i="35" s="1"/>
  <c r="R23" i="35" s="1"/>
  <c r="S23" i="35" s="1"/>
  <c r="T23" i="35" s="1"/>
  <c r="U23" i="35" s="1"/>
  <c r="V23" i="35" s="1"/>
  <c r="G10" i="35"/>
  <c r="G20" i="35"/>
  <c r="G11" i="35"/>
  <c r="G19" i="35"/>
  <c r="G18" i="35"/>
  <c r="P25" i="35"/>
  <c r="Q25" i="35" s="1"/>
  <c r="R25" i="35" s="1"/>
  <c r="S25" i="35" s="1"/>
  <c r="T25" i="35" s="1"/>
  <c r="U25" i="35" s="1"/>
  <c r="V25" i="35" s="1"/>
  <c r="G44" i="35"/>
  <c r="G21" i="35"/>
  <c r="G40" i="35"/>
  <c r="G14" i="35"/>
  <c r="G17" i="35"/>
  <c r="H10" i="35"/>
  <c r="P26" i="35"/>
  <c r="Q26" i="35" s="1"/>
  <c r="R26" i="35" s="1"/>
  <c r="S26" i="35" s="1"/>
  <c r="T26" i="35" s="1"/>
  <c r="U26" i="35" s="1"/>
  <c r="V26" i="35" s="1"/>
  <c r="G32" i="35"/>
  <c r="G36" i="35"/>
  <c r="AJ67" i="35"/>
  <c r="Z67" i="35"/>
  <c r="AK63" i="35"/>
  <c r="AA63" i="35"/>
  <c r="R63" i="35"/>
  <c r="H63" i="35"/>
  <c r="I9" i="35"/>
  <c r="Q59" i="35"/>
  <c r="R59" i="35" s="1"/>
  <c r="G55" i="35"/>
  <c r="Q55" i="35"/>
  <c r="I16" i="35"/>
  <c r="H13" i="35"/>
  <c r="H36" i="35"/>
  <c r="H44" i="35"/>
  <c r="H11" i="35"/>
  <c r="H24" i="35"/>
  <c r="H32" i="35"/>
  <c r="I18" i="35"/>
  <c r="H12" i="35"/>
  <c r="H19" i="35"/>
  <c r="I13" i="35"/>
  <c r="H15" i="35"/>
  <c r="I44" i="35"/>
  <c r="H22" i="35"/>
  <c r="H17" i="35"/>
  <c r="I36" i="35"/>
  <c r="I12" i="35"/>
  <c r="I11" i="35"/>
  <c r="I32" i="35"/>
  <c r="H40" i="35"/>
  <c r="H20" i="35"/>
  <c r="H21" i="35"/>
  <c r="H14" i="35"/>
  <c r="I24" i="35"/>
  <c r="AR27" i="35"/>
  <c r="AG27" i="111" s="1"/>
  <c r="AU27" i="35"/>
  <c r="AJ27" i="111" s="1"/>
  <c r="AX27" i="35"/>
  <c r="AM27" i="111" s="1"/>
  <c r="AQ27" i="35"/>
  <c r="AF27" i="111" s="1"/>
  <c r="AW27" i="35"/>
  <c r="AL27" i="111" s="1"/>
  <c r="AS27" i="35"/>
  <c r="AH27" i="111" s="1"/>
  <c r="AT27" i="35"/>
  <c r="AI27" i="111" s="1"/>
  <c r="AV27" i="35"/>
  <c r="AK27" i="111" s="1"/>
  <c r="AR29" i="35"/>
  <c r="AG29" i="111" s="1"/>
  <c r="AQ29" i="35"/>
  <c r="AF29" i="111" s="1"/>
  <c r="AU29" i="35"/>
  <c r="AJ29" i="111" s="1"/>
  <c r="AT29" i="35"/>
  <c r="AI29" i="111" s="1"/>
  <c r="AV29" i="35"/>
  <c r="AK29" i="111" s="1"/>
  <c r="AW29" i="35"/>
  <c r="AL29" i="111" s="1"/>
  <c r="AS29" i="35"/>
  <c r="AH29" i="111" s="1"/>
  <c r="AX29" i="35"/>
  <c r="AM29" i="111" s="1"/>
  <c r="AR30" i="35"/>
  <c r="AG30" i="111" s="1"/>
  <c r="AS30" i="35"/>
  <c r="AH30" i="111" s="1"/>
  <c r="AX30" i="35"/>
  <c r="AM30" i="111" s="1"/>
  <c r="AT30" i="35"/>
  <c r="AI30" i="111" s="1"/>
  <c r="AU30" i="35"/>
  <c r="AJ30" i="111" s="1"/>
  <c r="AQ30" i="35"/>
  <c r="AF30" i="111" s="1"/>
  <c r="AW30" i="35"/>
  <c r="AL30" i="111" s="1"/>
  <c r="AV30" i="35"/>
  <c r="AK30" i="111" s="1"/>
  <c r="CR31" i="35"/>
  <c r="CR33" i="35"/>
  <c r="CR34" i="35"/>
  <c r="F18" i="111" l="1"/>
  <c r="P18" i="111"/>
  <c r="E25" i="111"/>
  <c r="O25" i="111"/>
  <c r="F12" i="111"/>
  <c r="P12" i="111"/>
  <c r="F19" i="111"/>
  <c r="P19" i="111"/>
  <c r="G14" i="111"/>
  <c r="Q14" i="111"/>
  <c r="F28" i="111"/>
  <c r="P28" i="111"/>
  <c r="F15" i="111"/>
  <c r="P15" i="111"/>
  <c r="F11" i="111"/>
  <c r="P11" i="111"/>
  <c r="F17" i="111"/>
  <c r="P17" i="111"/>
  <c r="N29" i="111"/>
  <c r="E23" i="111"/>
  <c r="O23" i="111"/>
  <c r="F20" i="111"/>
  <c r="P20" i="111"/>
  <c r="G40" i="111"/>
  <c r="Q40" i="111"/>
  <c r="F10" i="111"/>
  <c r="P10" i="111"/>
  <c r="E26" i="111"/>
  <c r="O26" i="111"/>
  <c r="F24" i="111"/>
  <c r="P24" i="111"/>
  <c r="F13" i="111"/>
  <c r="P13" i="111"/>
  <c r="N27" i="111"/>
  <c r="F22" i="111"/>
  <c r="P22" i="111"/>
  <c r="G21" i="111"/>
  <c r="Q21" i="111"/>
  <c r="F44" i="111"/>
  <c r="P44" i="111"/>
  <c r="F16" i="111"/>
  <c r="P16" i="111"/>
  <c r="F9" i="111"/>
  <c r="P9" i="111"/>
  <c r="N30" i="111"/>
  <c r="G32" i="111"/>
  <c r="Q32" i="111"/>
  <c r="F36" i="111"/>
  <c r="P36" i="111"/>
  <c r="R52" i="35"/>
  <c r="H52" i="35"/>
  <c r="AI59" i="35"/>
  <c r="Y59" i="35"/>
  <c r="AI55" i="35"/>
  <c r="Y55" i="35"/>
  <c r="AJ52" i="35"/>
  <c r="Z52" i="35"/>
  <c r="I67" i="35"/>
  <c r="H67" i="35"/>
  <c r="P27" i="35"/>
  <c r="Q27" i="35" s="1"/>
  <c r="R27" i="35" s="1"/>
  <c r="S27" i="35" s="1"/>
  <c r="T27" i="35" s="1"/>
  <c r="U27" i="35" s="1"/>
  <c r="V27" i="35" s="1"/>
  <c r="P29" i="35"/>
  <c r="Q29" i="35" s="1"/>
  <c r="R29" i="35" s="1"/>
  <c r="S29" i="35" s="1"/>
  <c r="T29" i="35" s="1"/>
  <c r="U29" i="35" s="1"/>
  <c r="V29" i="35" s="1"/>
  <c r="G23" i="35"/>
  <c r="P30" i="35"/>
  <c r="Q30" i="35" s="1"/>
  <c r="R30" i="35" s="1"/>
  <c r="S30" i="35" s="1"/>
  <c r="T30" i="35" s="1"/>
  <c r="U30" i="35" s="1"/>
  <c r="V30" i="35" s="1"/>
  <c r="G26" i="35"/>
  <c r="G25" i="35"/>
  <c r="AB63" i="35"/>
  <c r="AL63" i="35"/>
  <c r="AK67" i="35"/>
  <c r="AA67" i="35"/>
  <c r="J67" i="35"/>
  <c r="T67" i="35"/>
  <c r="S63" i="35"/>
  <c r="I63" i="35"/>
  <c r="H9" i="35"/>
  <c r="I28" i="35"/>
  <c r="H59" i="35"/>
  <c r="S59" i="35"/>
  <c r="I59" i="35"/>
  <c r="R55" i="35"/>
  <c r="H55" i="35"/>
  <c r="J16" i="35"/>
  <c r="I10" i="35"/>
  <c r="J13" i="35"/>
  <c r="I14" i="35"/>
  <c r="I22" i="35"/>
  <c r="J44" i="35"/>
  <c r="I19" i="35"/>
  <c r="J12" i="35"/>
  <c r="J24" i="35"/>
  <c r="I21" i="35"/>
  <c r="I17" i="35"/>
  <c r="J10" i="35"/>
  <c r="J11" i="35"/>
  <c r="H26" i="35"/>
  <c r="I40" i="35"/>
  <c r="H23" i="35"/>
  <c r="I20" i="35"/>
  <c r="J32" i="35"/>
  <c r="J36" i="35"/>
  <c r="H25" i="35"/>
  <c r="J28" i="35"/>
  <c r="I15" i="35"/>
  <c r="AR31" i="35"/>
  <c r="AG31" i="111" s="1"/>
  <c r="AV31" i="35"/>
  <c r="AK31" i="111" s="1"/>
  <c r="AU31" i="35"/>
  <c r="AJ31" i="111" s="1"/>
  <c r="AS31" i="35"/>
  <c r="AH31" i="111" s="1"/>
  <c r="AQ31" i="35"/>
  <c r="AF31" i="111" s="1"/>
  <c r="AX31" i="35"/>
  <c r="AM31" i="111" s="1"/>
  <c r="AW31" i="35"/>
  <c r="AL31" i="111" s="1"/>
  <c r="AT31" i="35"/>
  <c r="AI31" i="111" s="1"/>
  <c r="AX34" i="35"/>
  <c r="AM34" i="111" s="1"/>
  <c r="AR34" i="35"/>
  <c r="AG34" i="111" s="1"/>
  <c r="AV34" i="35"/>
  <c r="AK34" i="111" s="1"/>
  <c r="AW34" i="35"/>
  <c r="AL34" i="111" s="1"/>
  <c r="AS34" i="35"/>
  <c r="AH34" i="111" s="1"/>
  <c r="AU34" i="35"/>
  <c r="AJ34" i="111" s="1"/>
  <c r="AT34" i="35"/>
  <c r="AI34" i="111" s="1"/>
  <c r="AQ34" i="35"/>
  <c r="AF34" i="111" s="1"/>
  <c r="AX33" i="35"/>
  <c r="AM33" i="111" s="1"/>
  <c r="AW33" i="35"/>
  <c r="AL33" i="111" s="1"/>
  <c r="AR33" i="35"/>
  <c r="AG33" i="111" s="1"/>
  <c r="AS33" i="35"/>
  <c r="AH33" i="111" s="1"/>
  <c r="AU33" i="35"/>
  <c r="AJ33" i="111" s="1"/>
  <c r="AQ33" i="35"/>
  <c r="AF33" i="111" s="1"/>
  <c r="AV33" i="35"/>
  <c r="AK33" i="111" s="1"/>
  <c r="AT33" i="35"/>
  <c r="AI33" i="111" s="1"/>
  <c r="CR38" i="35"/>
  <c r="CR37" i="35"/>
  <c r="CR35" i="35"/>
  <c r="N34" i="111" l="1"/>
  <c r="H32" i="111"/>
  <c r="R32" i="111"/>
  <c r="G44" i="111"/>
  <c r="Q44" i="111"/>
  <c r="G11" i="111"/>
  <c r="Q11" i="111"/>
  <c r="F25" i="111"/>
  <c r="P25" i="111"/>
  <c r="E27" i="111"/>
  <c r="O27" i="111"/>
  <c r="G10" i="111"/>
  <c r="Q10" i="111"/>
  <c r="F23" i="111"/>
  <c r="P23" i="111"/>
  <c r="H14" i="111"/>
  <c r="R14" i="111"/>
  <c r="N31" i="111"/>
  <c r="E30" i="111"/>
  <c r="O30" i="111"/>
  <c r="G13" i="111"/>
  <c r="Q13" i="111"/>
  <c r="G18" i="111"/>
  <c r="Q18" i="111"/>
  <c r="N33" i="111"/>
  <c r="G9" i="111"/>
  <c r="Q9" i="111"/>
  <c r="H40" i="111"/>
  <c r="R40" i="111"/>
  <c r="E29" i="111"/>
  <c r="O29" i="111"/>
  <c r="G15" i="111"/>
  <c r="Q15" i="111"/>
  <c r="G19" i="111"/>
  <c r="Q19" i="111"/>
  <c r="G36" i="111"/>
  <c r="Q36" i="111"/>
  <c r="H21" i="111"/>
  <c r="R21" i="111"/>
  <c r="G24" i="111"/>
  <c r="Q24" i="111"/>
  <c r="G17" i="111"/>
  <c r="Q17" i="111"/>
  <c r="G16" i="111"/>
  <c r="Q16" i="111"/>
  <c r="G22" i="111"/>
  <c r="Q22" i="111"/>
  <c r="F26" i="111"/>
  <c r="P26" i="111"/>
  <c r="G20" i="111"/>
  <c r="Q20" i="111"/>
  <c r="G28" i="111"/>
  <c r="Q28" i="111"/>
  <c r="G12" i="111"/>
  <c r="Q12" i="111"/>
  <c r="AK52" i="35"/>
  <c r="AA52" i="35"/>
  <c r="AJ55" i="35"/>
  <c r="Z55" i="35"/>
  <c r="AJ59" i="35"/>
  <c r="Z59" i="35"/>
  <c r="I52" i="35"/>
  <c r="S52" i="35"/>
  <c r="P31" i="35"/>
  <c r="Q31" i="35" s="1"/>
  <c r="R31" i="35" s="1"/>
  <c r="S31" i="35" s="1"/>
  <c r="T31" i="35" s="1"/>
  <c r="U31" i="35" s="1"/>
  <c r="V31" i="35" s="1"/>
  <c r="P33" i="35"/>
  <c r="Q33" i="35" s="1"/>
  <c r="R33" i="35" s="1"/>
  <c r="S33" i="35" s="1"/>
  <c r="T33" i="35" s="1"/>
  <c r="U33" i="35" s="1"/>
  <c r="V33" i="35" s="1"/>
  <c r="G29" i="35"/>
  <c r="P34" i="35"/>
  <c r="Q34" i="35" s="1"/>
  <c r="R34" i="35" s="1"/>
  <c r="S34" i="35" s="1"/>
  <c r="T34" i="35" s="1"/>
  <c r="U34" i="35" s="1"/>
  <c r="V34" i="35" s="1"/>
  <c r="G30" i="35"/>
  <c r="G27" i="35"/>
  <c r="AB67" i="35"/>
  <c r="AL67" i="35"/>
  <c r="AM63" i="35"/>
  <c r="AC63" i="35"/>
  <c r="J63" i="35"/>
  <c r="T63" i="35"/>
  <c r="U67" i="35"/>
  <c r="K67" i="35"/>
  <c r="J9" i="35"/>
  <c r="T59" i="35"/>
  <c r="J59" i="35"/>
  <c r="S55" i="35"/>
  <c r="I55" i="35"/>
  <c r="K16" i="35"/>
  <c r="J18" i="35"/>
  <c r="H29" i="35"/>
  <c r="I23" i="35"/>
  <c r="K13" i="35"/>
  <c r="J19" i="35"/>
  <c r="K28" i="35"/>
  <c r="K36" i="35"/>
  <c r="K9" i="35"/>
  <c r="K24" i="35"/>
  <c r="K44" i="35"/>
  <c r="J40" i="35"/>
  <c r="K11" i="35"/>
  <c r="H27" i="35"/>
  <c r="K32" i="35"/>
  <c r="K10" i="35"/>
  <c r="K12" i="35"/>
  <c r="J22" i="35"/>
  <c r="H30" i="35"/>
  <c r="K18" i="35"/>
  <c r="I26" i="35"/>
  <c r="J21" i="35"/>
  <c r="J17" i="35"/>
  <c r="J15" i="35"/>
  <c r="I25" i="35"/>
  <c r="J20" i="35"/>
  <c r="J14" i="35"/>
  <c r="AR38" i="35"/>
  <c r="AG38" i="111" s="1"/>
  <c r="AW38" i="35"/>
  <c r="AL38" i="111" s="1"/>
  <c r="AS38" i="35"/>
  <c r="AH38" i="111" s="1"/>
  <c r="AU38" i="35"/>
  <c r="AJ38" i="111" s="1"/>
  <c r="AV38" i="35"/>
  <c r="AK38" i="111" s="1"/>
  <c r="AT38" i="35"/>
  <c r="AI38" i="111" s="1"/>
  <c r="AQ38" i="35"/>
  <c r="AF38" i="111" s="1"/>
  <c r="AX38" i="35"/>
  <c r="AM38" i="111" s="1"/>
  <c r="AX37" i="35"/>
  <c r="AM37" i="111" s="1"/>
  <c r="AV37" i="35"/>
  <c r="AK37" i="111" s="1"/>
  <c r="AQ37" i="35"/>
  <c r="AF37" i="111" s="1"/>
  <c r="AT37" i="35"/>
  <c r="AI37" i="111" s="1"/>
  <c r="AR37" i="35"/>
  <c r="AG37" i="111" s="1"/>
  <c r="AU37" i="35"/>
  <c r="AJ37" i="111" s="1"/>
  <c r="AW37" i="35"/>
  <c r="AL37" i="111" s="1"/>
  <c r="AS37" i="35"/>
  <c r="AH37" i="111" s="1"/>
  <c r="AR35" i="35"/>
  <c r="AG35" i="111" s="1"/>
  <c r="AU35" i="35"/>
  <c r="AJ35" i="111" s="1"/>
  <c r="AT35" i="35"/>
  <c r="AI35" i="111" s="1"/>
  <c r="AW35" i="35"/>
  <c r="AL35" i="111" s="1"/>
  <c r="AS35" i="35"/>
  <c r="AH35" i="111" s="1"/>
  <c r="AX35" i="35"/>
  <c r="AM35" i="111" s="1"/>
  <c r="AV35" i="35"/>
  <c r="AK35" i="111" s="1"/>
  <c r="AQ35" i="35"/>
  <c r="AF35" i="111" s="1"/>
  <c r="CR42" i="35"/>
  <c r="CR46" i="35"/>
  <c r="CR43" i="35"/>
  <c r="CR39" i="35"/>
  <c r="CR45" i="35"/>
  <c r="CR41" i="35"/>
  <c r="H19" i="111" l="1"/>
  <c r="R19" i="111"/>
  <c r="H9" i="111"/>
  <c r="R9" i="111"/>
  <c r="F30" i="111"/>
  <c r="P30" i="111"/>
  <c r="H10" i="111"/>
  <c r="R10" i="111"/>
  <c r="H44" i="111"/>
  <c r="R44" i="111"/>
  <c r="G26" i="111"/>
  <c r="Q26" i="111"/>
  <c r="H24" i="111"/>
  <c r="R24" i="111"/>
  <c r="H15" i="111"/>
  <c r="R15" i="111"/>
  <c r="E33" i="111"/>
  <c r="O33" i="111"/>
  <c r="E31" i="111"/>
  <c r="O31" i="111"/>
  <c r="F27" i="111"/>
  <c r="P27" i="111"/>
  <c r="I32" i="111"/>
  <c r="S32" i="111"/>
  <c r="H12" i="111"/>
  <c r="R12" i="111"/>
  <c r="H22" i="111"/>
  <c r="R22" i="111"/>
  <c r="H18" i="111"/>
  <c r="R18" i="111"/>
  <c r="I21" i="111"/>
  <c r="S21" i="111"/>
  <c r="F29" i="111"/>
  <c r="P29" i="111"/>
  <c r="I14" i="111"/>
  <c r="S14" i="111"/>
  <c r="G25" i="111"/>
  <c r="Q25" i="111"/>
  <c r="N35" i="111"/>
  <c r="H28" i="111"/>
  <c r="R28" i="111"/>
  <c r="H16" i="111"/>
  <c r="R16" i="111"/>
  <c r="E34" i="111"/>
  <c r="O34" i="111"/>
  <c r="N37" i="111"/>
  <c r="N38" i="111"/>
  <c r="H36" i="111"/>
  <c r="R36" i="111"/>
  <c r="I40" i="111"/>
  <c r="S40" i="111"/>
  <c r="H13" i="111"/>
  <c r="R13" i="111"/>
  <c r="G23" i="111"/>
  <c r="Q23" i="111"/>
  <c r="H11" i="111"/>
  <c r="R11" i="111"/>
  <c r="H20" i="111"/>
  <c r="R20" i="111"/>
  <c r="H17" i="111"/>
  <c r="R17" i="111"/>
  <c r="AK59" i="35"/>
  <c r="AA59" i="35"/>
  <c r="AK55" i="35"/>
  <c r="AA55" i="35"/>
  <c r="T52" i="35"/>
  <c r="J52" i="35"/>
  <c r="AB52" i="35"/>
  <c r="AL52" i="35"/>
  <c r="G34" i="35"/>
  <c r="P37" i="35"/>
  <c r="Q37" i="35" s="1"/>
  <c r="R37" i="35" s="1"/>
  <c r="S37" i="35" s="1"/>
  <c r="T37" i="35" s="1"/>
  <c r="U37" i="35" s="1"/>
  <c r="V37" i="35" s="1"/>
  <c r="G33" i="35"/>
  <c r="G31" i="35"/>
  <c r="P35" i="35"/>
  <c r="Q35" i="35" s="1"/>
  <c r="R35" i="35" s="1"/>
  <c r="S35" i="35" s="1"/>
  <c r="T35" i="35" s="1"/>
  <c r="U35" i="35" s="1"/>
  <c r="V35" i="35" s="1"/>
  <c r="P38" i="35"/>
  <c r="Q38" i="35" s="1"/>
  <c r="R38" i="35" s="1"/>
  <c r="S38" i="35" s="1"/>
  <c r="T38" i="35" s="1"/>
  <c r="U38" i="35" s="1"/>
  <c r="V38" i="35" s="1"/>
  <c r="AD63" i="35"/>
  <c r="AN63" i="35"/>
  <c r="AE63" i="35" s="1"/>
  <c r="E63" i="35" s="1"/>
  <c r="AM67" i="35"/>
  <c r="AC67" i="35"/>
  <c r="L67" i="35"/>
  <c r="V67" i="35"/>
  <c r="U63" i="35"/>
  <c r="K63" i="35"/>
  <c r="L16" i="35"/>
  <c r="U59" i="35"/>
  <c r="K59" i="35"/>
  <c r="T55" i="35"/>
  <c r="J55" i="35"/>
  <c r="L10" i="35"/>
  <c r="H31" i="35"/>
  <c r="L24" i="35"/>
  <c r="L28" i="35"/>
  <c r="J23" i="35"/>
  <c r="H33" i="35"/>
  <c r="L32" i="35"/>
  <c r="L9" i="35"/>
  <c r="I29" i="35"/>
  <c r="K20" i="35"/>
  <c r="H34" i="35"/>
  <c r="K21" i="35"/>
  <c r="K22" i="35"/>
  <c r="K40" i="35"/>
  <c r="K19" i="35"/>
  <c r="L11" i="35"/>
  <c r="L36" i="35"/>
  <c r="I30" i="35"/>
  <c r="L12" i="35"/>
  <c r="I27" i="35"/>
  <c r="L13" i="35"/>
  <c r="L18" i="35"/>
  <c r="K17" i="35"/>
  <c r="J25" i="35"/>
  <c r="K15" i="35"/>
  <c r="J26" i="35"/>
  <c r="K14" i="35"/>
  <c r="L44" i="35"/>
  <c r="AR39" i="35"/>
  <c r="AG39" i="111" s="1"/>
  <c r="AQ39" i="35"/>
  <c r="AF39" i="111" s="1"/>
  <c r="AW39" i="35"/>
  <c r="AL39" i="111" s="1"/>
  <c r="AV39" i="35"/>
  <c r="AK39" i="111" s="1"/>
  <c r="AX39" i="35"/>
  <c r="AM39" i="111" s="1"/>
  <c r="AS39" i="35"/>
  <c r="AH39" i="111" s="1"/>
  <c r="AT39" i="35"/>
  <c r="AI39" i="111" s="1"/>
  <c r="AU39" i="35"/>
  <c r="AJ39" i="111" s="1"/>
  <c r="AR45" i="35"/>
  <c r="AG45" i="111" s="1"/>
  <c r="AV45" i="35"/>
  <c r="AK45" i="111" s="1"/>
  <c r="AU45" i="35"/>
  <c r="AJ45" i="111" s="1"/>
  <c r="AS45" i="35"/>
  <c r="AH45" i="111" s="1"/>
  <c r="AX45" i="35"/>
  <c r="AM45" i="111" s="1"/>
  <c r="AW45" i="35"/>
  <c r="AL45" i="111" s="1"/>
  <c r="AT45" i="35"/>
  <c r="AI45" i="111" s="1"/>
  <c r="AQ45" i="35"/>
  <c r="AF45" i="111" s="1"/>
  <c r="AX41" i="35"/>
  <c r="AM41" i="111" s="1"/>
  <c r="AT41" i="35"/>
  <c r="AI41" i="111" s="1"/>
  <c r="AQ41" i="35"/>
  <c r="AF41" i="111" s="1"/>
  <c r="AR41" i="35"/>
  <c r="AG41" i="111" s="1"/>
  <c r="AU41" i="35"/>
  <c r="AJ41" i="111" s="1"/>
  <c r="AS41" i="35"/>
  <c r="AH41" i="111" s="1"/>
  <c r="AV41" i="35"/>
  <c r="AK41" i="111" s="1"/>
  <c r="AW41" i="35"/>
  <c r="AL41" i="111" s="1"/>
  <c r="AR43" i="35"/>
  <c r="AG43" i="111" s="1"/>
  <c r="AU43" i="35"/>
  <c r="AJ43" i="111" s="1"/>
  <c r="AV43" i="35"/>
  <c r="AK43" i="111" s="1"/>
  <c r="AX43" i="35"/>
  <c r="AM43" i="111" s="1"/>
  <c r="AS43" i="35"/>
  <c r="AH43" i="111" s="1"/>
  <c r="AT43" i="35"/>
  <c r="AI43" i="111" s="1"/>
  <c r="AQ43" i="35"/>
  <c r="AF43" i="111" s="1"/>
  <c r="AW43" i="35"/>
  <c r="AL43" i="111" s="1"/>
  <c r="AR46" i="35"/>
  <c r="AG46" i="111" s="1"/>
  <c r="AV46" i="35"/>
  <c r="AK46" i="111" s="1"/>
  <c r="AQ46" i="35"/>
  <c r="AF46" i="111" s="1"/>
  <c r="AT46" i="35"/>
  <c r="AI46" i="111" s="1"/>
  <c r="AS46" i="35"/>
  <c r="AH46" i="111" s="1"/>
  <c r="AW46" i="35"/>
  <c r="AL46" i="111" s="1"/>
  <c r="AU46" i="35"/>
  <c r="AJ46" i="111" s="1"/>
  <c r="AX46" i="35"/>
  <c r="AM46" i="111" s="1"/>
  <c r="AV42" i="35"/>
  <c r="AK42" i="111" s="1"/>
  <c r="AS42" i="35"/>
  <c r="AH42" i="111" s="1"/>
  <c r="AU42" i="35"/>
  <c r="AJ42" i="111" s="1"/>
  <c r="AQ42" i="35"/>
  <c r="AF42" i="111" s="1"/>
  <c r="AW42" i="35"/>
  <c r="AL42" i="111" s="1"/>
  <c r="AT42" i="35"/>
  <c r="AI42" i="111" s="1"/>
  <c r="AX42" i="35"/>
  <c r="AM42" i="111" s="1"/>
  <c r="AR42" i="35"/>
  <c r="AG42" i="111" s="1"/>
  <c r="E38" i="111" l="1"/>
  <c r="O38" i="111"/>
  <c r="F31" i="111"/>
  <c r="P31" i="111"/>
  <c r="N45" i="111"/>
  <c r="I17" i="111"/>
  <c r="S17" i="111"/>
  <c r="I13" i="111"/>
  <c r="S13" i="111"/>
  <c r="E37" i="111"/>
  <c r="O37" i="111"/>
  <c r="E35" i="111"/>
  <c r="O35" i="111"/>
  <c r="J21" i="111"/>
  <c r="T21" i="111"/>
  <c r="I22" i="111"/>
  <c r="S22" i="111"/>
  <c r="N43" i="111"/>
  <c r="P34" i="111"/>
  <c r="F34" i="111"/>
  <c r="H25" i="111"/>
  <c r="R25" i="111"/>
  <c r="I12" i="111"/>
  <c r="S12" i="111"/>
  <c r="F33" i="111"/>
  <c r="P33" i="111"/>
  <c r="G30" i="111"/>
  <c r="Q30" i="111"/>
  <c r="I20" i="111"/>
  <c r="S20" i="111"/>
  <c r="J40" i="111"/>
  <c r="T40" i="111"/>
  <c r="I15" i="111"/>
  <c r="S15" i="111"/>
  <c r="I18" i="111"/>
  <c r="S18" i="111"/>
  <c r="H26" i="111"/>
  <c r="R26" i="111"/>
  <c r="N42" i="111"/>
  <c r="I11" i="111"/>
  <c r="S11" i="111"/>
  <c r="I36" i="111"/>
  <c r="S36" i="111"/>
  <c r="I16" i="111"/>
  <c r="S16" i="111"/>
  <c r="J14" i="111"/>
  <c r="T14" i="111"/>
  <c r="J32" i="111"/>
  <c r="T32" i="111"/>
  <c r="I9" i="111"/>
  <c r="S9" i="111"/>
  <c r="N46" i="111"/>
  <c r="N41" i="111"/>
  <c r="G27" i="111"/>
  <c r="Q27" i="111"/>
  <c r="I24" i="111"/>
  <c r="S24" i="111"/>
  <c r="I44" i="111"/>
  <c r="S44" i="111"/>
  <c r="I19" i="111"/>
  <c r="S19" i="111"/>
  <c r="N39" i="111"/>
  <c r="H23" i="111"/>
  <c r="R23" i="111"/>
  <c r="I28" i="111"/>
  <c r="S28" i="111"/>
  <c r="G29" i="111"/>
  <c r="Q29" i="111"/>
  <c r="I10" i="111"/>
  <c r="S10" i="111"/>
  <c r="K52" i="35"/>
  <c r="U52" i="35"/>
  <c r="AL55" i="35"/>
  <c r="AB55" i="35"/>
  <c r="AL59" i="35"/>
  <c r="AB59" i="35"/>
  <c r="AC52" i="35"/>
  <c r="AM52" i="35"/>
  <c r="G38" i="35"/>
  <c r="P39" i="35"/>
  <c r="Q39" i="35" s="1"/>
  <c r="R39" i="35" s="1"/>
  <c r="S39" i="35" s="1"/>
  <c r="T39" i="35" s="1"/>
  <c r="U39" i="35" s="1"/>
  <c r="V39" i="35" s="1"/>
  <c r="G35" i="35"/>
  <c r="P46" i="35"/>
  <c r="Q46" i="35" s="1"/>
  <c r="R46" i="35" s="1"/>
  <c r="S46" i="35" s="1"/>
  <c r="T46" i="35" s="1"/>
  <c r="U46" i="35" s="1"/>
  <c r="V46" i="35" s="1"/>
  <c r="P42" i="35"/>
  <c r="Q42" i="35" s="1"/>
  <c r="R42" i="35" s="1"/>
  <c r="S42" i="35" s="1"/>
  <c r="T42" i="35" s="1"/>
  <c r="U42" i="35" s="1"/>
  <c r="V42" i="35" s="1"/>
  <c r="P45" i="35"/>
  <c r="Q45" i="35" s="1"/>
  <c r="R45" i="35" s="1"/>
  <c r="S45" i="35" s="1"/>
  <c r="T45" i="35" s="1"/>
  <c r="U45" i="35" s="1"/>
  <c r="V45" i="35" s="1"/>
  <c r="G41" i="35"/>
  <c r="P41" i="35"/>
  <c r="Q41" i="35" s="1"/>
  <c r="R41" i="35" s="1"/>
  <c r="S41" i="35" s="1"/>
  <c r="T41" i="35" s="1"/>
  <c r="U41" i="35" s="1"/>
  <c r="V41" i="35" s="1"/>
  <c r="P43" i="35"/>
  <c r="Q43" i="35" s="1"/>
  <c r="R43" i="35" s="1"/>
  <c r="S43" i="35" s="1"/>
  <c r="T43" i="35" s="1"/>
  <c r="U43" i="35" s="1"/>
  <c r="V43" i="35" s="1"/>
  <c r="G37" i="35"/>
  <c r="AN67" i="35"/>
  <c r="AE67" i="35" s="1"/>
  <c r="AD67" i="35"/>
  <c r="L63" i="35"/>
  <c r="V63" i="35"/>
  <c r="W67" i="35"/>
  <c r="N67" i="35" s="1"/>
  <c r="M67" i="35"/>
  <c r="N16" i="35"/>
  <c r="V59" i="35"/>
  <c r="L59" i="35"/>
  <c r="U55" i="35"/>
  <c r="K55" i="35"/>
  <c r="N12" i="35"/>
  <c r="M12" i="35"/>
  <c r="J29" i="35"/>
  <c r="I33" i="35"/>
  <c r="K26" i="35"/>
  <c r="L21" i="35"/>
  <c r="I31" i="35"/>
  <c r="N24" i="35"/>
  <c r="M24" i="35"/>
  <c r="N13" i="35"/>
  <c r="M13" i="35"/>
  <c r="L19" i="35"/>
  <c r="L22" i="35"/>
  <c r="J30" i="35"/>
  <c r="I34" i="35"/>
  <c r="M9" i="35"/>
  <c r="K23" i="35"/>
  <c r="N10" i="35"/>
  <c r="M10" i="35"/>
  <c r="H38" i="35"/>
  <c r="H35" i="35"/>
  <c r="H37" i="35"/>
  <c r="N44" i="35"/>
  <c r="M44" i="35"/>
  <c r="K25" i="35"/>
  <c r="L40" i="35"/>
  <c r="N11" i="35"/>
  <c r="M11" i="35"/>
  <c r="L15" i="35"/>
  <c r="N32" i="35"/>
  <c r="M32" i="35"/>
  <c r="N18" i="35"/>
  <c r="M18" i="35"/>
  <c r="L20" i="35"/>
  <c r="N28" i="35"/>
  <c r="M28" i="35"/>
  <c r="L14" i="35"/>
  <c r="L17" i="35"/>
  <c r="J27" i="35"/>
  <c r="N36" i="35"/>
  <c r="M36" i="35"/>
  <c r="J10" i="111" l="1"/>
  <c r="T10" i="111"/>
  <c r="E39" i="111"/>
  <c r="O39" i="111"/>
  <c r="H27" i="111"/>
  <c r="R27" i="111"/>
  <c r="K14" i="111"/>
  <c r="U14" i="111"/>
  <c r="L14" i="111" s="1"/>
  <c r="B14" i="111" s="1"/>
  <c r="E42" i="111"/>
  <c r="O42" i="111"/>
  <c r="G33" i="111"/>
  <c r="Q33" i="111"/>
  <c r="E43" i="111"/>
  <c r="O43" i="111"/>
  <c r="F37" i="111"/>
  <c r="P37" i="111"/>
  <c r="I26" i="111"/>
  <c r="S26" i="111"/>
  <c r="J22" i="111"/>
  <c r="T22" i="111"/>
  <c r="F38" i="111"/>
  <c r="P38" i="111"/>
  <c r="H29" i="111"/>
  <c r="R29" i="111"/>
  <c r="J19" i="111"/>
  <c r="T19" i="111"/>
  <c r="E41" i="111"/>
  <c r="O41" i="111"/>
  <c r="J16" i="111"/>
  <c r="T16" i="111"/>
  <c r="K40" i="111"/>
  <c r="U40" i="111"/>
  <c r="L40" i="111" s="1"/>
  <c r="B40" i="111" s="1"/>
  <c r="J12" i="111"/>
  <c r="T12" i="111"/>
  <c r="J13" i="111"/>
  <c r="T13" i="111"/>
  <c r="E46" i="111"/>
  <c r="O46" i="111"/>
  <c r="J18" i="111"/>
  <c r="T18" i="111"/>
  <c r="J28" i="111"/>
  <c r="T28" i="111"/>
  <c r="J44" i="111"/>
  <c r="T44" i="111"/>
  <c r="J9" i="111"/>
  <c r="T9" i="111"/>
  <c r="J36" i="111"/>
  <c r="T36" i="111"/>
  <c r="J20" i="111"/>
  <c r="T20" i="111"/>
  <c r="I25" i="111"/>
  <c r="S25" i="111"/>
  <c r="K21" i="111"/>
  <c r="U21" i="111"/>
  <c r="L21" i="111" s="1"/>
  <c r="B21" i="111" s="1"/>
  <c r="J17" i="111"/>
  <c r="T17" i="111"/>
  <c r="J15" i="111"/>
  <c r="T15" i="111"/>
  <c r="I23" i="111"/>
  <c r="S23" i="111"/>
  <c r="J24" i="111"/>
  <c r="T24" i="111"/>
  <c r="K32" i="111"/>
  <c r="U32" i="111"/>
  <c r="L32" i="111" s="1"/>
  <c r="B32" i="111" s="1"/>
  <c r="J11" i="111"/>
  <c r="T11" i="111"/>
  <c r="H30" i="111"/>
  <c r="R30" i="111"/>
  <c r="F35" i="111"/>
  <c r="P35" i="111"/>
  <c r="E45" i="111"/>
  <c r="O45" i="111"/>
  <c r="G34" i="111"/>
  <c r="Q34" i="111"/>
  <c r="G31" i="111"/>
  <c r="Q31" i="111"/>
  <c r="AM59" i="35"/>
  <c r="AC59" i="35"/>
  <c r="AM55" i="35"/>
  <c r="AC55" i="35"/>
  <c r="V52" i="35"/>
  <c r="L52" i="35"/>
  <c r="AN52" i="35"/>
  <c r="AE52" i="35" s="1"/>
  <c r="AD52" i="35"/>
  <c r="E67" i="35"/>
  <c r="G45" i="35"/>
  <c r="G42" i="35"/>
  <c r="G43" i="35"/>
  <c r="G46" i="35"/>
  <c r="G39" i="35"/>
  <c r="D67" i="35"/>
  <c r="W63" i="35"/>
  <c r="N63" i="35" s="1"/>
  <c r="M63" i="35"/>
  <c r="D9" i="35"/>
  <c r="B9" i="35" s="1"/>
  <c r="M16" i="35"/>
  <c r="D16" i="35" s="1"/>
  <c r="B16" i="35" s="1"/>
  <c r="W59" i="35"/>
  <c r="N59" i="35" s="1"/>
  <c r="M59" i="35"/>
  <c r="V55" i="35"/>
  <c r="L55" i="35"/>
  <c r="D36" i="35"/>
  <c r="B36" i="35" s="1"/>
  <c r="D11" i="35"/>
  <c r="B11" i="35" s="1"/>
  <c r="D18" i="35"/>
  <c r="B18" i="35" s="1"/>
  <c r="D13" i="35"/>
  <c r="B13" i="35" s="1"/>
  <c r="D24" i="35"/>
  <c r="B24" i="35" s="1"/>
  <c r="D32" i="35"/>
  <c r="B32" i="35" s="1"/>
  <c r="D12" i="35"/>
  <c r="B12" i="35" s="1"/>
  <c r="K27" i="35"/>
  <c r="N15" i="35"/>
  <c r="M15" i="35"/>
  <c r="L25" i="35"/>
  <c r="J34" i="35"/>
  <c r="J31" i="35"/>
  <c r="H41" i="35"/>
  <c r="H45" i="35"/>
  <c r="N20" i="35"/>
  <c r="M20" i="35"/>
  <c r="K29" i="35"/>
  <c r="I38" i="35"/>
  <c r="H46" i="35"/>
  <c r="H39" i="35"/>
  <c r="N17" i="35"/>
  <c r="M17" i="35"/>
  <c r="D44" i="35"/>
  <c r="B44" i="35" s="1"/>
  <c r="D10" i="35"/>
  <c r="B10" i="35" s="1"/>
  <c r="K30" i="35"/>
  <c r="N19" i="35"/>
  <c r="M19" i="35"/>
  <c r="N21" i="35"/>
  <c r="M21" i="35"/>
  <c r="H42" i="35"/>
  <c r="N14" i="35"/>
  <c r="M14" i="35"/>
  <c r="N40" i="35"/>
  <c r="M40" i="35"/>
  <c r="I37" i="35"/>
  <c r="L23" i="35"/>
  <c r="L26" i="35"/>
  <c r="I35" i="35"/>
  <c r="N22" i="35"/>
  <c r="M22" i="35"/>
  <c r="H43" i="35"/>
  <c r="D28" i="35"/>
  <c r="B28" i="35" s="1"/>
  <c r="J33" i="35"/>
  <c r="G35" i="111" l="1"/>
  <c r="Q35" i="111"/>
  <c r="K24" i="111"/>
  <c r="U24" i="111"/>
  <c r="L24" i="111" s="1"/>
  <c r="B24" i="111" s="1"/>
  <c r="K19" i="111"/>
  <c r="U19" i="111"/>
  <c r="L19" i="111" s="1"/>
  <c r="B19" i="111" s="1"/>
  <c r="R34" i="111"/>
  <c r="H34" i="111"/>
  <c r="K9" i="111"/>
  <c r="U9" i="111"/>
  <c r="L9" i="111" s="1"/>
  <c r="B9" i="111" s="1"/>
  <c r="F46" i="111"/>
  <c r="P46" i="111"/>
  <c r="J26" i="111"/>
  <c r="T26" i="111"/>
  <c r="H33" i="111"/>
  <c r="R33" i="111"/>
  <c r="F39" i="111"/>
  <c r="P39" i="111"/>
  <c r="I30" i="111"/>
  <c r="S30" i="111"/>
  <c r="J23" i="111"/>
  <c r="T23" i="111"/>
  <c r="I29" i="111"/>
  <c r="S29" i="111"/>
  <c r="J25" i="111"/>
  <c r="T25" i="111"/>
  <c r="K44" i="111"/>
  <c r="U44" i="111"/>
  <c r="L44" i="111" s="1"/>
  <c r="F42" i="111"/>
  <c r="P42" i="111"/>
  <c r="K10" i="111"/>
  <c r="U10" i="111"/>
  <c r="L10" i="111" s="1"/>
  <c r="B10" i="111" s="1"/>
  <c r="K11" i="111"/>
  <c r="U11" i="111"/>
  <c r="L11" i="111" s="1"/>
  <c r="K15" i="111"/>
  <c r="U15" i="111"/>
  <c r="L15" i="111" s="1"/>
  <c r="B15" i="111" s="1"/>
  <c r="K16" i="111"/>
  <c r="U16" i="111"/>
  <c r="L16" i="111" s="1"/>
  <c r="B16" i="111" s="1"/>
  <c r="G38" i="111"/>
  <c r="Q38" i="111"/>
  <c r="K20" i="111"/>
  <c r="U20" i="111"/>
  <c r="L20" i="111" s="1"/>
  <c r="B20" i="111" s="1"/>
  <c r="K28" i="111"/>
  <c r="U28" i="111"/>
  <c r="L28" i="111" s="1"/>
  <c r="K13" i="111"/>
  <c r="U13" i="111"/>
  <c r="L13" i="111" s="1"/>
  <c r="B13" i="111" s="1"/>
  <c r="G37" i="111"/>
  <c r="Q37" i="111"/>
  <c r="H31" i="111"/>
  <c r="R31" i="111"/>
  <c r="F45" i="111"/>
  <c r="P45" i="111"/>
  <c r="F41" i="111"/>
  <c r="P41" i="111"/>
  <c r="B67" i="35"/>
  <c r="D19" i="53" s="1"/>
  <c r="K17" i="111"/>
  <c r="U17" i="111"/>
  <c r="L17" i="111" s="1"/>
  <c r="B17" i="111" s="1"/>
  <c r="K36" i="111"/>
  <c r="U36" i="111"/>
  <c r="L36" i="111" s="1"/>
  <c r="B36" i="111" s="1"/>
  <c r="K18" i="111"/>
  <c r="U18" i="111"/>
  <c r="L18" i="111" s="1"/>
  <c r="B18" i="111" s="1"/>
  <c r="K12" i="111"/>
  <c r="U12" i="111"/>
  <c r="L12" i="111" s="1"/>
  <c r="K22" i="111"/>
  <c r="U22" i="111"/>
  <c r="L22" i="111" s="1"/>
  <c r="F43" i="111"/>
  <c r="P43" i="111"/>
  <c r="I27" i="111"/>
  <c r="S27" i="111"/>
  <c r="W52" i="35"/>
  <c r="N52" i="35" s="1"/>
  <c r="M52" i="35"/>
  <c r="D52" i="35" s="1"/>
  <c r="B52" i="35" s="1"/>
  <c r="D7" i="53" s="1"/>
  <c r="AN55" i="35"/>
  <c r="AE55" i="35" s="1"/>
  <c r="E55" i="35" s="1"/>
  <c r="AD55" i="35"/>
  <c r="E52" i="35"/>
  <c r="AN59" i="35"/>
  <c r="AE59" i="35" s="1"/>
  <c r="AD59" i="35"/>
  <c r="D63" i="35"/>
  <c r="B63" i="35" s="1"/>
  <c r="D16" i="53" s="1"/>
  <c r="B42" i="36"/>
  <c r="B60" i="36"/>
  <c r="B35" i="36"/>
  <c r="D59" i="35"/>
  <c r="W55" i="35"/>
  <c r="N55" i="35" s="1"/>
  <c r="M55" i="35"/>
  <c r="D15" i="35"/>
  <c r="B15" i="35" s="1"/>
  <c r="D19" i="35"/>
  <c r="B19" i="35" s="1"/>
  <c r="D20" i="35"/>
  <c r="B20" i="35" s="1"/>
  <c r="D40" i="35"/>
  <c r="B40" i="35" s="1"/>
  <c r="D22" i="35"/>
  <c r="B22" i="35" s="1"/>
  <c r="D21" i="35"/>
  <c r="B21" i="35" s="1"/>
  <c r="B48" i="36"/>
  <c r="B36" i="36"/>
  <c r="B68" i="36"/>
  <c r="B33" i="36"/>
  <c r="B37" i="36"/>
  <c r="B40" i="36"/>
  <c r="B52" i="36"/>
  <c r="B34" i="36"/>
  <c r="B56" i="36"/>
  <c r="N26" i="35"/>
  <c r="M26" i="35"/>
  <c r="L30" i="35"/>
  <c r="I45" i="35"/>
  <c r="N25" i="35"/>
  <c r="M25" i="35"/>
  <c r="K34" i="35"/>
  <c r="I46" i="35"/>
  <c r="I43" i="35"/>
  <c r="N23" i="35"/>
  <c r="M23" i="35"/>
  <c r="I42" i="35"/>
  <c r="J38" i="35"/>
  <c r="I41" i="35"/>
  <c r="D14" i="35"/>
  <c r="B14" i="35" s="1"/>
  <c r="K33" i="35"/>
  <c r="J37" i="35"/>
  <c r="D17" i="35"/>
  <c r="B17" i="35" s="1"/>
  <c r="J35" i="35"/>
  <c r="L29" i="35"/>
  <c r="K31" i="35"/>
  <c r="L27" i="35"/>
  <c r="I39" i="35"/>
  <c r="J27" i="111" l="1"/>
  <c r="T27" i="111"/>
  <c r="H38" i="111"/>
  <c r="R38" i="111"/>
  <c r="G41" i="111"/>
  <c r="Q41" i="111"/>
  <c r="G39" i="111"/>
  <c r="Q39" i="111"/>
  <c r="G43" i="111"/>
  <c r="Q43" i="111"/>
  <c r="J29" i="111"/>
  <c r="T29" i="111"/>
  <c r="H35" i="111"/>
  <c r="R35" i="111"/>
  <c r="G45" i="111"/>
  <c r="Q45" i="111"/>
  <c r="B28" i="111"/>
  <c r="G42" i="111"/>
  <c r="Q42" i="111"/>
  <c r="I33" i="111"/>
  <c r="S33" i="111"/>
  <c r="B22" i="111"/>
  <c r="K23" i="111"/>
  <c r="U23" i="111"/>
  <c r="L23" i="111" s="1"/>
  <c r="B23" i="111" s="1"/>
  <c r="I34" i="111"/>
  <c r="S34" i="111"/>
  <c r="I31" i="111"/>
  <c r="S31" i="111"/>
  <c r="B44" i="111"/>
  <c r="K26" i="111"/>
  <c r="U26" i="111"/>
  <c r="L26" i="111" s="1"/>
  <c r="B26" i="111" s="1"/>
  <c r="J30" i="111"/>
  <c r="T30" i="111"/>
  <c r="B12" i="111"/>
  <c r="H37" i="111"/>
  <c r="R37" i="111"/>
  <c r="B11" i="111"/>
  <c r="K25" i="111"/>
  <c r="U25" i="111"/>
  <c r="L25" i="111" s="1"/>
  <c r="B25" i="111" s="1"/>
  <c r="G46" i="111"/>
  <c r="Q46" i="111"/>
  <c r="E59" i="35"/>
  <c r="B59" i="35" s="1"/>
  <c r="D13" i="53" s="1"/>
  <c r="J13" i="53" s="1"/>
  <c r="J16" i="53"/>
  <c r="J19" i="53"/>
  <c r="E35" i="36"/>
  <c r="B44" i="36"/>
  <c r="E44" i="36" s="1"/>
  <c r="B43" i="36"/>
  <c r="E43" i="36" s="1"/>
  <c r="B64" i="36"/>
  <c r="E64" i="36" s="1"/>
  <c r="D55" i="35"/>
  <c r="B55" i="35" s="1"/>
  <c r="D10" i="53" s="1"/>
  <c r="E37" i="36"/>
  <c r="E68" i="36"/>
  <c r="E40" i="36"/>
  <c r="E36" i="36"/>
  <c r="E60" i="36"/>
  <c r="E52" i="36"/>
  <c r="E56" i="36"/>
  <c r="E48" i="36"/>
  <c r="E42" i="36"/>
  <c r="E34" i="36"/>
  <c r="B39" i="36"/>
  <c r="E39" i="36" s="1"/>
  <c r="B46" i="36"/>
  <c r="E46" i="36" s="1"/>
  <c r="D23" i="35"/>
  <c r="B23" i="35" s="1"/>
  <c r="D26" i="35"/>
  <c r="B26" i="35" s="1"/>
  <c r="B45" i="36"/>
  <c r="E45" i="36" s="1"/>
  <c r="B38" i="36"/>
  <c r="E38" i="36" s="1"/>
  <c r="B41" i="36"/>
  <c r="E41" i="36" s="1"/>
  <c r="K38" i="35"/>
  <c r="N29" i="35"/>
  <c r="M29" i="35"/>
  <c r="N30" i="35"/>
  <c r="M30" i="35"/>
  <c r="L33" i="35"/>
  <c r="J42" i="35"/>
  <c r="L34" i="35"/>
  <c r="J45" i="35"/>
  <c r="K37" i="35"/>
  <c r="J39" i="35"/>
  <c r="J43" i="35"/>
  <c r="K35" i="35"/>
  <c r="J41" i="35"/>
  <c r="L31" i="35"/>
  <c r="J46" i="35"/>
  <c r="N27" i="35"/>
  <c r="M27" i="35"/>
  <c r="D25" i="35"/>
  <c r="B25" i="35" s="1"/>
  <c r="K30" i="111" l="1"/>
  <c r="U30" i="111"/>
  <c r="L30" i="111" s="1"/>
  <c r="H45" i="111"/>
  <c r="R45" i="111"/>
  <c r="H39" i="111"/>
  <c r="R39" i="111"/>
  <c r="K27" i="111"/>
  <c r="U27" i="111"/>
  <c r="L27" i="111" s="1"/>
  <c r="B27" i="111" s="1"/>
  <c r="I35" i="111"/>
  <c r="S35" i="111"/>
  <c r="J33" i="111"/>
  <c r="T33" i="111"/>
  <c r="H41" i="111"/>
  <c r="R41" i="111"/>
  <c r="I37" i="111"/>
  <c r="S37" i="111"/>
  <c r="J31" i="111"/>
  <c r="T31" i="111"/>
  <c r="K29" i="111"/>
  <c r="U29" i="111"/>
  <c r="L29" i="111" s="1"/>
  <c r="H42" i="111"/>
  <c r="R42" i="111"/>
  <c r="I38" i="111"/>
  <c r="S38" i="111"/>
  <c r="H46" i="111"/>
  <c r="R46" i="111"/>
  <c r="T34" i="111"/>
  <c r="J34" i="111"/>
  <c r="H43" i="111"/>
  <c r="R43" i="111"/>
  <c r="J10" i="53"/>
  <c r="D29" i="35"/>
  <c r="B29" i="35" s="1"/>
  <c r="B47" i="36"/>
  <c r="E47" i="36" s="1"/>
  <c r="B49" i="36"/>
  <c r="E49" i="36" s="1"/>
  <c r="D27" i="35"/>
  <c r="B27" i="35" s="1"/>
  <c r="B50" i="36"/>
  <c r="E50" i="36" s="1"/>
  <c r="N34" i="35"/>
  <c r="M34" i="35"/>
  <c r="L38" i="35"/>
  <c r="L37" i="35"/>
  <c r="N31" i="35"/>
  <c r="M31" i="35"/>
  <c r="K39" i="35"/>
  <c r="K41" i="35"/>
  <c r="K42" i="35"/>
  <c r="L35" i="35"/>
  <c r="K45" i="35"/>
  <c r="N33" i="35"/>
  <c r="M33" i="35"/>
  <c r="K46" i="35"/>
  <c r="K43" i="35"/>
  <c r="D30" i="35"/>
  <c r="B30" i="35" s="1"/>
  <c r="I46" i="111" l="1"/>
  <c r="S46" i="111"/>
  <c r="K31" i="111"/>
  <c r="U31" i="111"/>
  <c r="L31" i="111" s="1"/>
  <c r="B31" i="111" s="1"/>
  <c r="J35" i="111"/>
  <c r="T35" i="111"/>
  <c r="I45" i="111"/>
  <c r="S45" i="111"/>
  <c r="J38" i="111"/>
  <c r="T38" i="111"/>
  <c r="J37" i="111"/>
  <c r="T37" i="111"/>
  <c r="B30" i="111"/>
  <c r="U34" i="111"/>
  <c r="L34" i="111" s="1"/>
  <c r="B34" i="111" s="1"/>
  <c r="K34" i="111"/>
  <c r="I43" i="111"/>
  <c r="S43" i="111"/>
  <c r="I41" i="111"/>
  <c r="S41" i="111"/>
  <c r="I42" i="111"/>
  <c r="S42" i="111"/>
  <c r="I39" i="111"/>
  <c r="S39" i="111"/>
  <c r="B29" i="111"/>
  <c r="K33" i="111"/>
  <c r="U33" i="111"/>
  <c r="L33" i="111" s="1"/>
  <c r="B33" i="111" s="1"/>
  <c r="B53" i="36"/>
  <c r="E53" i="36" s="1"/>
  <c r="D34" i="35"/>
  <c r="B34" i="35" s="1"/>
  <c r="D31" i="35"/>
  <c r="B31" i="35" s="1"/>
  <c r="B51" i="36"/>
  <c r="E51" i="36" s="1"/>
  <c r="B54" i="36"/>
  <c r="E54" i="36" s="1"/>
  <c r="D33" i="35"/>
  <c r="B33" i="35" s="1"/>
  <c r="N37" i="35"/>
  <c r="M37" i="35"/>
  <c r="N38" i="35"/>
  <c r="M38" i="35"/>
  <c r="L43" i="35"/>
  <c r="L39" i="35"/>
  <c r="L42" i="35"/>
  <c r="L41" i="35"/>
  <c r="L45" i="35"/>
  <c r="L46" i="35"/>
  <c r="N35" i="35"/>
  <c r="M35" i="35"/>
  <c r="J45" i="111" l="1"/>
  <c r="T45" i="111"/>
  <c r="K35" i="111"/>
  <c r="U35" i="111"/>
  <c r="L35" i="111" s="1"/>
  <c r="B35" i="111" s="1"/>
  <c r="J42" i="111"/>
  <c r="T42" i="111"/>
  <c r="J41" i="111"/>
  <c r="T41" i="111"/>
  <c r="K37" i="111"/>
  <c r="U37" i="111"/>
  <c r="L37" i="111" s="1"/>
  <c r="J43" i="111"/>
  <c r="T43" i="111"/>
  <c r="K38" i="111"/>
  <c r="U38" i="111"/>
  <c r="L38" i="111" s="1"/>
  <c r="B38" i="111" s="1"/>
  <c r="J46" i="111"/>
  <c r="T46" i="111"/>
  <c r="J39" i="111"/>
  <c r="T39" i="111"/>
  <c r="B58" i="36"/>
  <c r="E58" i="36" s="1"/>
  <c r="B55" i="36"/>
  <c r="E55" i="36" s="1"/>
  <c r="D38" i="35"/>
  <c r="B38" i="35" s="1"/>
  <c r="D37" i="35"/>
  <c r="B37" i="35" s="1"/>
  <c r="B57" i="36"/>
  <c r="E57" i="36" s="1"/>
  <c r="N46" i="35"/>
  <c r="M46" i="35"/>
  <c r="N45" i="35"/>
  <c r="M45" i="35"/>
  <c r="N39" i="35"/>
  <c r="M39" i="35"/>
  <c r="N43" i="35"/>
  <c r="M43" i="35"/>
  <c r="D35" i="35"/>
  <c r="B35" i="35" s="1"/>
  <c r="N42" i="35"/>
  <c r="M42" i="35"/>
  <c r="N41" i="35"/>
  <c r="M41" i="35"/>
  <c r="K42" i="111" l="1"/>
  <c r="U42" i="111"/>
  <c r="L42" i="111" s="1"/>
  <c r="K43" i="111"/>
  <c r="U43" i="111"/>
  <c r="L43" i="111" s="1"/>
  <c r="B43" i="111" s="1"/>
  <c r="K39" i="111"/>
  <c r="U39" i="111"/>
  <c r="L39" i="111" s="1"/>
  <c r="B37" i="111"/>
  <c r="K45" i="111"/>
  <c r="U45" i="111"/>
  <c r="L45" i="111" s="1"/>
  <c r="B45" i="111" s="1"/>
  <c r="K46" i="111"/>
  <c r="U46" i="111"/>
  <c r="L46" i="111" s="1"/>
  <c r="K41" i="111"/>
  <c r="U41" i="111"/>
  <c r="L41" i="111" s="1"/>
  <c r="B41" i="111" s="1"/>
  <c r="B61" i="36"/>
  <c r="E61" i="36" s="1"/>
  <c r="B59" i="36"/>
  <c r="E59" i="36" s="1"/>
  <c r="D42" i="35"/>
  <c r="B42" i="35" s="1"/>
  <c r="B62" i="36"/>
  <c r="E62" i="36" s="1"/>
  <c r="D45" i="35"/>
  <c r="B45" i="35" s="1"/>
  <c r="D41" i="35"/>
  <c r="B41" i="35" s="1"/>
  <c r="D46" i="35"/>
  <c r="B46" i="35" s="1"/>
  <c r="B48" i="35" s="1"/>
  <c r="D39" i="35"/>
  <c r="B39" i="35" s="1"/>
  <c r="D43" i="35"/>
  <c r="B43" i="35" s="1"/>
  <c r="B39" i="111" l="1"/>
  <c r="B46" i="111"/>
  <c r="B42" i="111"/>
  <c r="B47" i="35"/>
  <c r="B70" i="36"/>
  <c r="B76" i="36" s="1"/>
  <c r="B65" i="36"/>
  <c r="E65" i="36" s="1"/>
  <c r="B66" i="36"/>
  <c r="E66" i="36" s="1"/>
  <c r="B63" i="36"/>
  <c r="E63" i="36" s="1"/>
  <c r="B69" i="36"/>
  <c r="E69" i="36" s="1"/>
  <c r="B67" i="36"/>
  <c r="E67" i="36" s="1"/>
  <c r="AG87" i="33"/>
  <c r="O87" i="33" s="1"/>
  <c r="AR84" i="33"/>
  <c r="Z84" i="33" s="1"/>
  <c r="AS84" i="33"/>
  <c r="AA84" i="33" s="1"/>
  <c r="AT84" i="33"/>
  <c r="AB84" i="33" s="1"/>
  <c r="AU84" i="33"/>
  <c r="AC84" i="33" s="1"/>
  <c r="AV84" i="33"/>
  <c r="AD84" i="33" s="1"/>
  <c r="AO84" i="33"/>
  <c r="AQ84" i="33"/>
  <c r="AG84" i="33"/>
  <c r="AP84" i="33" s="1"/>
  <c r="U87" i="33"/>
  <c r="T87" i="33"/>
  <c r="S87" i="33"/>
  <c r="R87" i="33"/>
  <c r="Q87" i="33"/>
  <c r="N87" i="33"/>
  <c r="P84" i="33"/>
  <c r="N84" i="33"/>
  <c r="W68" i="33"/>
  <c r="X68" i="33"/>
  <c r="Y68" i="33"/>
  <c r="Z68" i="33"/>
  <c r="AA68" i="33"/>
  <c r="AB68" i="33"/>
  <c r="AC68" i="33"/>
  <c r="AD68" i="33"/>
  <c r="AF68" i="33"/>
  <c r="AG68" i="33"/>
  <c r="AH68" i="33"/>
  <c r="AI68" i="33"/>
  <c r="AJ68" i="33"/>
  <c r="AK68" i="33"/>
  <c r="AL68" i="33"/>
  <c r="AM68" i="33"/>
  <c r="W69" i="33"/>
  <c r="X69" i="33"/>
  <c r="Y69" i="33"/>
  <c r="Z69" i="33"/>
  <c r="AA69" i="33"/>
  <c r="AB69" i="33"/>
  <c r="AC69" i="33"/>
  <c r="AD69" i="33"/>
  <c r="AF69" i="33"/>
  <c r="AG69" i="33"/>
  <c r="AH69" i="33"/>
  <c r="AI69" i="33"/>
  <c r="AJ69" i="33"/>
  <c r="AK69" i="33"/>
  <c r="AL69" i="33"/>
  <c r="AM69" i="33"/>
  <c r="W70" i="33"/>
  <c r="X70" i="33"/>
  <c r="Y70" i="33"/>
  <c r="Z70" i="33"/>
  <c r="AA70" i="33"/>
  <c r="AB70" i="33"/>
  <c r="AC70" i="33"/>
  <c r="AD70" i="33"/>
  <c r="AF70" i="33"/>
  <c r="AG70" i="33"/>
  <c r="AH70" i="33"/>
  <c r="AI70" i="33"/>
  <c r="AJ70" i="33"/>
  <c r="AK70" i="33"/>
  <c r="AL70" i="33"/>
  <c r="AM70" i="33"/>
  <c r="W71" i="33"/>
  <c r="X71" i="33"/>
  <c r="Y71" i="33"/>
  <c r="Z71" i="33"/>
  <c r="AA71" i="33"/>
  <c r="AB71" i="33"/>
  <c r="AC71" i="33"/>
  <c r="AD71" i="33"/>
  <c r="AF71" i="33"/>
  <c r="AG71" i="33"/>
  <c r="AH71" i="33"/>
  <c r="AI71" i="33"/>
  <c r="AJ71" i="33"/>
  <c r="AK71" i="33"/>
  <c r="AL71" i="33"/>
  <c r="AM71" i="33"/>
  <c r="W36" i="33"/>
  <c r="X36" i="33"/>
  <c r="Y36" i="33"/>
  <c r="Z36" i="33"/>
  <c r="AA36" i="33"/>
  <c r="AB36" i="33"/>
  <c r="AC36" i="33"/>
  <c r="AD36" i="33"/>
  <c r="AF36" i="33"/>
  <c r="AG36" i="33"/>
  <c r="AH36" i="33"/>
  <c r="AI36" i="33"/>
  <c r="AJ36" i="33"/>
  <c r="AK36" i="33"/>
  <c r="AL36" i="33"/>
  <c r="AM36" i="33"/>
  <c r="W37" i="33"/>
  <c r="X37" i="33"/>
  <c r="Y37" i="33"/>
  <c r="Z37" i="33"/>
  <c r="AA37" i="33"/>
  <c r="AB37" i="33"/>
  <c r="AC37" i="33"/>
  <c r="AD37" i="33"/>
  <c r="AF37" i="33"/>
  <c r="AG37" i="33"/>
  <c r="AH37" i="33"/>
  <c r="AI37" i="33"/>
  <c r="AJ37" i="33"/>
  <c r="AK37" i="33"/>
  <c r="AL37" i="33"/>
  <c r="AM37" i="33"/>
  <c r="W38" i="33"/>
  <c r="X38" i="33"/>
  <c r="Y38" i="33"/>
  <c r="Z38" i="33"/>
  <c r="AA38" i="33"/>
  <c r="AB38" i="33"/>
  <c r="AC38" i="33"/>
  <c r="AD38" i="33"/>
  <c r="AF38" i="33"/>
  <c r="AG38" i="33"/>
  <c r="AH38" i="33"/>
  <c r="AI38" i="33"/>
  <c r="AJ38" i="33"/>
  <c r="AK38" i="33"/>
  <c r="AL38" i="33"/>
  <c r="AM38" i="33"/>
  <c r="W39" i="33"/>
  <c r="X39" i="33"/>
  <c r="Y39" i="33"/>
  <c r="Z39" i="33"/>
  <c r="AA39" i="33"/>
  <c r="AB39" i="33"/>
  <c r="AC39" i="33"/>
  <c r="AD39" i="33"/>
  <c r="AF39" i="33"/>
  <c r="AG39" i="33"/>
  <c r="AH39" i="33"/>
  <c r="AI39" i="33"/>
  <c r="AJ39" i="33"/>
  <c r="AK39" i="33"/>
  <c r="AL39" i="33"/>
  <c r="AM39" i="33"/>
  <c r="W40" i="33"/>
  <c r="X40" i="33"/>
  <c r="Y40" i="33"/>
  <c r="Z40" i="33"/>
  <c r="AA40" i="33"/>
  <c r="AB40" i="33"/>
  <c r="AC40" i="33"/>
  <c r="AD40" i="33"/>
  <c r="AF40" i="33"/>
  <c r="AG40" i="33"/>
  <c r="AH40" i="33"/>
  <c r="AI40" i="33"/>
  <c r="AJ40" i="33"/>
  <c r="AK40" i="33"/>
  <c r="AL40" i="33"/>
  <c r="AM40" i="33"/>
  <c r="W41" i="33"/>
  <c r="X41" i="33"/>
  <c r="Y41" i="33"/>
  <c r="Z41" i="33"/>
  <c r="AA41" i="33"/>
  <c r="AB41" i="33"/>
  <c r="AC41" i="33"/>
  <c r="AD41" i="33"/>
  <c r="AF41" i="33"/>
  <c r="AG41" i="33"/>
  <c r="AH41" i="33"/>
  <c r="AI41" i="33"/>
  <c r="AJ41" i="33"/>
  <c r="AK41" i="33"/>
  <c r="AL41" i="33"/>
  <c r="AM41" i="33"/>
  <c r="W42" i="33"/>
  <c r="X42" i="33"/>
  <c r="Y42" i="33"/>
  <c r="Z42" i="33"/>
  <c r="AA42" i="33"/>
  <c r="AB42" i="33"/>
  <c r="AC42" i="33"/>
  <c r="AD42" i="33"/>
  <c r="AF42" i="33"/>
  <c r="AG42" i="33"/>
  <c r="AH42" i="33"/>
  <c r="AI42" i="33"/>
  <c r="AJ42" i="33"/>
  <c r="AK42" i="33"/>
  <c r="AL42" i="33"/>
  <c r="AM42" i="33"/>
  <c r="W43" i="33"/>
  <c r="X43" i="33"/>
  <c r="Y43" i="33"/>
  <c r="Z43" i="33"/>
  <c r="AA43" i="33"/>
  <c r="AB43" i="33"/>
  <c r="AC43" i="33"/>
  <c r="AD43" i="33"/>
  <c r="AF43" i="33"/>
  <c r="AG43" i="33"/>
  <c r="AH43" i="33"/>
  <c r="AI43" i="33"/>
  <c r="AJ43" i="33"/>
  <c r="AK43" i="33"/>
  <c r="AL43" i="33"/>
  <c r="AM43" i="33"/>
  <c r="W44" i="33"/>
  <c r="X44" i="33"/>
  <c r="Y44" i="33"/>
  <c r="Z44" i="33"/>
  <c r="AA44" i="33"/>
  <c r="AB44" i="33"/>
  <c r="AC44" i="33"/>
  <c r="AD44" i="33"/>
  <c r="AF44" i="33"/>
  <c r="AG44" i="33"/>
  <c r="AH44" i="33"/>
  <c r="AI44" i="33"/>
  <c r="AJ44" i="33"/>
  <c r="AK44" i="33"/>
  <c r="AL44" i="33"/>
  <c r="AM44" i="33"/>
  <c r="W45" i="33"/>
  <c r="X45" i="33"/>
  <c r="Y45" i="33"/>
  <c r="Z45" i="33"/>
  <c r="AA45" i="33"/>
  <c r="AB45" i="33"/>
  <c r="AC45" i="33"/>
  <c r="AD45" i="33"/>
  <c r="AF45" i="33"/>
  <c r="AG45" i="33"/>
  <c r="AH45" i="33"/>
  <c r="AI45" i="33"/>
  <c r="AJ45" i="33"/>
  <c r="AK45" i="33"/>
  <c r="AL45" i="33"/>
  <c r="AM45" i="33"/>
  <c r="W46" i="33"/>
  <c r="X46" i="33"/>
  <c r="Y46" i="33"/>
  <c r="Z46" i="33"/>
  <c r="AA46" i="33"/>
  <c r="AB46" i="33"/>
  <c r="AC46" i="33"/>
  <c r="AD46" i="33"/>
  <c r="AF46" i="33"/>
  <c r="AG46" i="33"/>
  <c r="AH46" i="33"/>
  <c r="AI46" i="33"/>
  <c r="AJ46" i="33"/>
  <c r="AK46" i="33"/>
  <c r="AL46" i="33"/>
  <c r="AM46" i="33"/>
  <c r="W47" i="33"/>
  <c r="X47" i="33"/>
  <c r="Y47" i="33"/>
  <c r="Z47" i="33"/>
  <c r="AA47" i="33"/>
  <c r="AB47" i="33"/>
  <c r="AC47" i="33"/>
  <c r="AD47" i="33"/>
  <c r="AF47" i="33"/>
  <c r="AG47" i="33"/>
  <c r="AH47" i="33"/>
  <c r="AI47" i="33"/>
  <c r="AJ47" i="33"/>
  <c r="AK47" i="33"/>
  <c r="AL47" i="33"/>
  <c r="AM47" i="33"/>
  <c r="W48" i="33"/>
  <c r="X48" i="33"/>
  <c r="Y48" i="33"/>
  <c r="Z48" i="33"/>
  <c r="AA48" i="33"/>
  <c r="AB48" i="33"/>
  <c r="AC48" i="33"/>
  <c r="AD48" i="33"/>
  <c r="AF48" i="33"/>
  <c r="AG48" i="33"/>
  <c r="AH48" i="33"/>
  <c r="AI48" i="33"/>
  <c r="AJ48" i="33"/>
  <c r="AK48" i="33"/>
  <c r="AL48" i="33"/>
  <c r="AM48" i="33"/>
  <c r="W49" i="33"/>
  <c r="X49" i="33"/>
  <c r="Y49" i="33"/>
  <c r="Z49" i="33"/>
  <c r="AA49" i="33"/>
  <c r="AB49" i="33"/>
  <c r="AC49" i="33"/>
  <c r="AD49" i="33"/>
  <c r="AF49" i="33"/>
  <c r="AG49" i="33"/>
  <c r="AH49" i="33"/>
  <c r="AI49" i="33"/>
  <c r="AJ49" i="33"/>
  <c r="AK49" i="33"/>
  <c r="AL49" i="33"/>
  <c r="AM49" i="33"/>
  <c r="W50" i="33"/>
  <c r="X50" i="33"/>
  <c r="Y50" i="33"/>
  <c r="Z50" i="33"/>
  <c r="AA50" i="33"/>
  <c r="AB50" i="33"/>
  <c r="AC50" i="33"/>
  <c r="AD50" i="33"/>
  <c r="AF50" i="33"/>
  <c r="AG50" i="33"/>
  <c r="AH50" i="33"/>
  <c r="AI50" i="33"/>
  <c r="AJ50" i="33"/>
  <c r="AK50" i="33"/>
  <c r="AL50" i="33"/>
  <c r="AM50" i="33"/>
  <c r="W51" i="33"/>
  <c r="X51" i="33"/>
  <c r="Y51" i="33"/>
  <c r="Z51" i="33"/>
  <c r="AA51" i="33"/>
  <c r="AB51" i="33"/>
  <c r="AC51" i="33"/>
  <c r="AD51" i="33"/>
  <c r="AF51" i="33"/>
  <c r="AG51" i="33"/>
  <c r="AH51" i="33"/>
  <c r="AI51" i="33"/>
  <c r="AJ51" i="33"/>
  <c r="AK51" i="33"/>
  <c r="AL51" i="33"/>
  <c r="AM51" i="33"/>
  <c r="W52" i="33"/>
  <c r="X52" i="33"/>
  <c r="Y52" i="33"/>
  <c r="Z52" i="33"/>
  <c r="AA52" i="33"/>
  <c r="AB52" i="33"/>
  <c r="AC52" i="33"/>
  <c r="AD52" i="33"/>
  <c r="AF52" i="33"/>
  <c r="AG52" i="33"/>
  <c r="AH52" i="33"/>
  <c r="AI52" i="33"/>
  <c r="AJ52" i="33"/>
  <c r="AK52" i="33"/>
  <c r="AL52" i="33"/>
  <c r="AM52" i="33"/>
  <c r="W53" i="33"/>
  <c r="X53" i="33"/>
  <c r="Y53" i="33"/>
  <c r="Z53" i="33"/>
  <c r="AA53" i="33"/>
  <c r="AB53" i="33"/>
  <c r="AC53" i="33"/>
  <c r="AD53" i="33"/>
  <c r="AF53" i="33"/>
  <c r="AG53" i="33"/>
  <c r="AH53" i="33"/>
  <c r="AI53" i="33"/>
  <c r="AJ53" i="33"/>
  <c r="AK53" i="33"/>
  <c r="AL53" i="33"/>
  <c r="AM53" i="33"/>
  <c r="W54" i="33"/>
  <c r="X54" i="33"/>
  <c r="Y54" i="33"/>
  <c r="Z54" i="33"/>
  <c r="AA54" i="33"/>
  <c r="AB54" i="33"/>
  <c r="AC54" i="33"/>
  <c r="AD54" i="33"/>
  <c r="AF54" i="33"/>
  <c r="AG54" i="33"/>
  <c r="AH54" i="33"/>
  <c r="AI54" i="33"/>
  <c r="AJ54" i="33"/>
  <c r="AK54" i="33"/>
  <c r="AL54" i="33"/>
  <c r="AM54" i="33"/>
  <c r="W55" i="33"/>
  <c r="X55" i="33"/>
  <c r="Y55" i="33"/>
  <c r="Z55" i="33"/>
  <c r="AA55" i="33"/>
  <c r="AB55" i="33"/>
  <c r="AC55" i="33"/>
  <c r="AD55" i="33"/>
  <c r="AF55" i="33"/>
  <c r="AG55" i="33"/>
  <c r="AH55" i="33"/>
  <c r="AI55" i="33"/>
  <c r="AJ55" i="33"/>
  <c r="AK55" i="33"/>
  <c r="AL55" i="33"/>
  <c r="AM55" i="33"/>
  <c r="W56" i="33"/>
  <c r="X56" i="33"/>
  <c r="Y56" i="33"/>
  <c r="Z56" i="33"/>
  <c r="AA56" i="33"/>
  <c r="AB56" i="33"/>
  <c r="AC56" i="33"/>
  <c r="AD56" i="33"/>
  <c r="AF56" i="33"/>
  <c r="AG56" i="33"/>
  <c r="AH56" i="33"/>
  <c r="AI56" i="33"/>
  <c r="AJ56" i="33"/>
  <c r="AK56" i="33"/>
  <c r="AL56" i="33"/>
  <c r="AM56" i="33"/>
  <c r="W57" i="33"/>
  <c r="X57" i="33"/>
  <c r="Y57" i="33"/>
  <c r="Z57" i="33"/>
  <c r="AA57" i="33"/>
  <c r="AB57" i="33"/>
  <c r="AC57" i="33"/>
  <c r="AD57" i="33"/>
  <c r="AF57" i="33"/>
  <c r="AG57" i="33"/>
  <c r="AH57" i="33"/>
  <c r="AI57" i="33"/>
  <c r="AJ57" i="33"/>
  <c r="AK57" i="33"/>
  <c r="AL57" i="33"/>
  <c r="AM57" i="33"/>
  <c r="W58" i="33"/>
  <c r="X58" i="33"/>
  <c r="Y58" i="33"/>
  <c r="Z58" i="33"/>
  <c r="AA58" i="33"/>
  <c r="AB58" i="33"/>
  <c r="AC58" i="33"/>
  <c r="AD58" i="33"/>
  <c r="AF58" i="33"/>
  <c r="AG58" i="33"/>
  <c r="AH58" i="33"/>
  <c r="AI58" i="33"/>
  <c r="AJ58" i="33"/>
  <c r="AK58" i="33"/>
  <c r="AL58" i="33"/>
  <c r="AM58" i="33"/>
  <c r="W59" i="33"/>
  <c r="X59" i="33"/>
  <c r="Y59" i="33"/>
  <c r="Z59" i="33"/>
  <c r="AA59" i="33"/>
  <c r="AB59" i="33"/>
  <c r="AC59" i="33"/>
  <c r="AD59" i="33"/>
  <c r="AF59" i="33"/>
  <c r="AG59" i="33"/>
  <c r="AH59" i="33"/>
  <c r="AI59" i="33"/>
  <c r="AJ59" i="33"/>
  <c r="AK59" i="33"/>
  <c r="AL59" i="33"/>
  <c r="AM59" i="33"/>
  <c r="W60" i="33"/>
  <c r="X60" i="33"/>
  <c r="Y60" i="33"/>
  <c r="Z60" i="33"/>
  <c r="AA60" i="33"/>
  <c r="AB60" i="33"/>
  <c r="AC60" i="33"/>
  <c r="AD60" i="33"/>
  <c r="AF60" i="33"/>
  <c r="AG60" i="33"/>
  <c r="AH60" i="33"/>
  <c r="AI60" i="33"/>
  <c r="AJ60" i="33"/>
  <c r="AK60" i="33"/>
  <c r="AL60" i="33"/>
  <c r="AM60" i="33"/>
  <c r="W61" i="33"/>
  <c r="X61" i="33"/>
  <c r="Y61" i="33"/>
  <c r="Z61" i="33"/>
  <c r="AA61" i="33"/>
  <c r="AB61" i="33"/>
  <c r="AC61" i="33"/>
  <c r="AD61" i="33"/>
  <c r="AF61" i="33"/>
  <c r="AG61" i="33"/>
  <c r="AH61" i="33"/>
  <c r="AI61" i="33"/>
  <c r="AJ61" i="33"/>
  <c r="AK61" i="33"/>
  <c r="AL61" i="33"/>
  <c r="AM61" i="33"/>
  <c r="W62" i="33"/>
  <c r="X62" i="33"/>
  <c r="Y62" i="33"/>
  <c r="Z62" i="33"/>
  <c r="AA62" i="33"/>
  <c r="AB62" i="33"/>
  <c r="AC62" i="33"/>
  <c r="AD62" i="33"/>
  <c r="AF62" i="33"/>
  <c r="AG62" i="33"/>
  <c r="AH62" i="33"/>
  <c r="AI62" i="33"/>
  <c r="AJ62" i="33"/>
  <c r="AK62" i="33"/>
  <c r="AL62" i="33"/>
  <c r="AM62" i="33"/>
  <c r="W63" i="33"/>
  <c r="X63" i="33"/>
  <c r="Y63" i="33"/>
  <c r="Z63" i="33"/>
  <c r="AA63" i="33"/>
  <c r="AB63" i="33"/>
  <c r="AC63" i="33"/>
  <c r="AD63" i="33"/>
  <c r="AF63" i="33"/>
  <c r="AG63" i="33"/>
  <c r="AH63" i="33"/>
  <c r="AI63" i="33"/>
  <c r="AJ63" i="33"/>
  <c r="AK63" i="33"/>
  <c r="AL63" i="33"/>
  <c r="AM63" i="33"/>
  <c r="W64" i="33"/>
  <c r="X64" i="33"/>
  <c r="Y64" i="33"/>
  <c r="Z64" i="33"/>
  <c r="AA64" i="33"/>
  <c r="AB64" i="33"/>
  <c r="AC64" i="33"/>
  <c r="AD64" i="33"/>
  <c r="AF64" i="33"/>
  <c r="AG64" i="33"/>
  <c r="AH64" i="33"/>
  <c r="AI64" i="33"/>
  <c r="AJ64" i="33"/>
  <c r="AK64" i="33"/>
  <c r="AL64" i="33"/>
  <c r="AM64" i="33"/>
  <c r="W65" i="33"/>
  <c r="X65" i="33"/>
  <c r="Y65" i="33"/>
  <c r="Z65" i="33"/>
  <c r="AA65" i="33"/>
  <c r="AB65" i="33"/>
  <c r="AC65" i="33"/>
  <c r="AD65" i="33"/>
  <c r="AF65" i="33"/>
  <c r="AG65" i="33"/>
  <c r="AH65" i="33"/>
  <c r="AI65" i="33"/>
  <c r="AJ65" i="33"/>
  <c r="AK65" i="33"/>
  <c r="AL65" i="33"/>
  <c r="AM65" i="33"/>
  <c r="W66" i="33"/>
  <c r="X66" i="33"/>
  <c r="Y66" i="33"/>
  <c r="Z66" i="33"/>
  <c r="AA66" i="33"/>
  <c r="AB66" i="33"/>
  <c r="AC66" i="33"/>
  <c r="AD66" i="33"/>
  <c r="AF66" i="33"/>
  <c r="AG66" i="33"/>
  <c r="AH66" i="33"/>
  <c r="AI66" i="33"/>
  <c r="AJ66" i="33"/>
  <c r="AK66" i="33"/>
  <c r="AL66" i="33"/>
  <c r="AM66" i="33"/>
  <c r="W67" i="33"/>
  <c r="X67" i="33"/>
  <c r="Y67" i="33"/>
  <c r="Z67" i="33"/>
  <c r="AA67" i="33"/>
  <c r="AB67" i="33"/>
  <c r="AC67" i="33"/>
  <c r="AD67" i="33"/>
  <c r="AF67" i="33"/>
  <c r="AG67" i="33"/>
  <c r="AH67" i="33"/>
  <c r="AI67" i="33"/>
  <c r="AJ67" i="33"/>
  <c r="AK67" i="33"/>
  <c r="AL67" i="33"/>
  <c r="AM67" i="33"/>
  <c r="AF35" i="33"/>
  <c r="AG35" i="33"/>
  <c r="AH35" i="33"/>
  <c r="AI35" i="33"/>
  <c r="AJ35" i="33"/>
  <c r="AK35" i="33"/>
  <c r="AL35" i="33"/>
  <c r="AM35" i="33"/>
  <c r="AM34" i="33"/>
  <c r="AL34" i="33"/>
  <c r="AK34" i="33"/>
  <c r="AJ34" i="33"/>
  <c r="AI34" i="33"/>
  <c r="AH34" i="33"/>
  <c r="AG34" i="33"/>
  <c r="AF34" i="33"/>
  <c r="W35" i="33"/>
  <c r="X35" i="33"/>
  <c r="Y35" i="33"/>
  <c r="Z35" i="33"/>
  <c r="AA35" i="33"/>
  <c r="AB35" i="33"/>
  <c r="AC35" i="33"/>
  <c r="AD35" i="33"/>
  <c r="A35" i="33"/>
  <c r="AD34" i="33"/>
  <c r="BG34" i="33" s="1"/>
  <c r="AC34" i="33"/>
  <c r="BF34" i="33" s="1"/>
  <c r="AB34" i="33"/>
  <c r="BE34" i="33" s="1"/>
  <c r="AA34" i="33"/>
  <c r="BD34" i="33" s="1"/>
  <c r="Z34" i="33"/>
  <c r="BC34" i="33" s="1"/>
  <c r="Y34" i="33"/>
  <c r="BB34" i="33" s="1"/>
  <c r="X34" i="33"/>
  <c r="BA34" i="33" s="1"/>
  <c r="W34" i="33"/>
  <c r="B48" i="111" l="1"/>
  <c r="B47" i="111"/>
  <c r="AF166" i="33"/>
  <c r="N166" i="33" s="1"/>
  <c r="DB170" i="33" s="1"/>
  <c r="AF157" i="33"/>
  <c r="W166" i="33"/>
  <c r="W157" i="33"/>
  <c r="AO157" i="33" s="1"/>
  <c r="E157" i="33" s="1"/>
  <c r="E161" i="33" s="1"/>
  <c r="X166" i="33"/>
  <c r="X157" i="33"/>
  <c r="AM166" i="33"/>
  <c r="U166" i="33" s="1"/>
  <c r="GW170" i="33" s="1"/>
  <c r="AM157" i="33"/>
  <c r="U157" i="33" s="1"/>
  <c r="GW161" i="33" s="1"/>
  <c r="AD166" i="33"/>
  <c r="AD157" i="33"/>
  <c r="AG166" i="33"/>
  <c r="O166" i="33" s="1"/>
  <c r="DV170" i="33" s="1"/>
  <c r="DW170" i="33" s="1"/>
  <c r="DX170" i="33" s="1"/>
  <c r="DY170" i="33" s="1"/>
  <c r="DZ170" i="33" s="1"/>
  <c r="EA170" i="33" s="1"/>
  <c r="EB170" i="33" s="1"/>
  <c r="EC170" i="33" s="1"/>
  <c r="ED170" i="33" s="1"/>
  <c r="EE170" i="33" s="1"/>
  <c r="EF170" i="33" s="1"/>
  <c r="EG170" i="33" s="1"/>
  <c r="EH170" i="33" s="1"/>
  <c r="EI170" i="33" s="1"/>
  <c r="EJ170" i="33" s="1"/>
  <c r="EK170" i="33" s="1"/>
  <c r="EL170" i="33" s="1"/>
  <c r="EM170" i="33" s="1"/>
  <c r="EN170" i="33" s="1"/>
  <c r="EO170" i="33" s="1"/>
  <c r="AG157" i="33"/>
  <c r="O157" i="33" s="1"/>
  <c r="DV161" i="33" s="1"/>
  <c r="DW161" i="33" s="1"/>
  <c r="DX161" i="33" s="1"/>
  <c r="DY161" i="33" s="1"/>
  <c r="DZ161" i="33" s="1"/>
  <c r="EA161" i="33" s="1"/>
  <c r="EB161" i="33" s="1"/>
  <c r="EC161" i="33" s="1"/>
  <c r="ED161" i="33" s="1"/>
  <c r="EE161" i="33" s="1"/>
  <c r="EF161" i="33" s="1"/>
  <c r="EG161" i="33" s="1"/>
  <c r="EH161" i="33" s="1"/>
  <c r="EI161" i="33" s="1"/>
  <c r="EJ161" i="33" s="1"/>
  <c r="EK161" i="33" s="1"/>
  <c r="EL161" i="33" s="1"/>
  <c r="EM161" i="33" s="1"/>
  <c r="EN161" i="33" s="1"/>
  <c r="EO161" i="33" s="1"/>
  <c r="AL166" i="33"/>
  <c r="AL157" i="33"/>
  <c r="T157" i="33" s="1"/>
  <c r="GS161" i="33" s="1"/>
  <c r="GT161" i="33" s="1"/>
  <c r="GU161" i="33" s="1"/>
  <c r="GV161" i="33" s="1"/>
  <c r="AC166" i="33"/>
  <c r="AC157" i="33"/>
  <c r="AK166" i="33"/>
  <c r="S166" i="33" s="1"/>
  <c r="GN170" i="33" s="1"/>
  <c r="GO170" i="33" s="1"/>
  <c r="GP170" i="33" s="1"/>
  <c r="GQ170" i="33" s="1"/>
  <c r="GR170" i="33" s="1"/>
  <c r="AK157" i="33"/>
  <c r="AB166" i="33"/>
  <c r="AB157" i="33"/>
  <c r="AJ166" i="33"/>
  <c r="R166" i="33" s="1"/>
  <c r="GD170" i="33" s="1"/>
  <c r="GE170" i="33" s="1"/>
  <c r="GF170" i="33" s="1"/>
  <c r="GG170" i="33" s="1"/>
  <c r="GH170" i="33" s="1"/>
  <c r="GI170" i="33" s="1"/>
  <c r="GJ170" i="33" s="1"/>
  <c r="GK170" i="33" s="1"/>
  <c r="GL170" i="33" s="1"/>
  <c r="GM170" i="33" s="1"/>
  <c r="AJ157" i="33"/>
  <c r="R157" i="33" s="1"/>
  <c r="GD161" i="33" s="1"/>
  <c r="GE161" i="33" s="1"/>
  <c r="GF161" i="33" s="1"/>
  <c r="GG161" i="33" s="1"/>
  <c r="GH161" i="33" s="1"/>
  <c r="GI161" i="33" s="1"/>
  <c r="GJ161" i="33" s="1"/>
  <c r="GK161" i="33" s="1"/>
  <c r="GL161" i="33" s="1"/>
  <c r="GM161" i="33" s="1"/>
  <c r="AA157" i="33"/>
  <c r="AA166" i="33"/>
  <c r="AI166" i="33"/>
  <c r="Q166" i="33" s="1"/>
  <c r="FJ170" i="33" s="1"/>
  <c r="FK170" i="33" s="1"/>
  <c r="FL170" i="33" s="1"/>
  <c r="FM170" i="33" s="1"/>
  <c r="FN170" i="33" s="1"/>
  <c r="FO170" i="33" s="1"/>
  <c r="FP170" i="33" s="1"/>
  <c r="FQ170" i="33" s="1"/>
  <c r="FR170" i="33" s="1"/>
  <c r="FS170" i="33" s="1"/>
  <c r="FT170" i="33" s="1"/>
  <c r="FU170" i="33" s="1"/>
  <c r="FV170" i="33" s="1"/>
  <c r="FW170" i="33" s="1"/>
  <c r="FX170" i="33" s="1"/>
  <c r="FY170" i="33" s="1"/>
  <c r="FZ170" i="33" s="1"/>
  <c r="GA170" i="33" s="1"/>
  <c r="GB170" i="33" s="1"/>
  <c r="GC170" i="33" s="1"/>
  <c r="AI157" i="33"/>
  <c r="Q157" i="33" s="1"/>
  <c r="FJ161" i="33" s="1"/>
  <c r="FK161" i="33" s="1"/>
  <c r="FL161" i="33" s="1"/>
  <c r="FM161" i="33" s="1"/>
  <c r="FN161" i="33" s="1"/>
  <c r="FO161" i="33" s="1"/>
  <c r="FP161" i="33" s="1"/>
  <c r="FQ161" i="33" s="1"/>
  <c r="FR161" i="33" s="1"/>
  <c r="FS161" i="33" s="1"/>
  <c r="FT161" i="33" s="1"/>
  <c r="FU161" i="33" s="1"/>
  <c r="FV161" i="33" s="1"/>
  <c r="FW161" i="33" s="1"/>
  <c r="FX161" i="33" s="1"/>
  <c r="FY161" i="33" s="1"/>
  <c r="FZ161" i="33" s="1"/>
  <c r="GA161" i="33" s="1"/>
  <c r="GB161" i="33" s="1"/>
  <c r="GC161" i="33" s="1"/>
  <c r="Z166" i="33"/>
  <c r="Z157" i="33"/>
  <c r="AR157" i="33" s="1"/>
  <c r="H157" i="33" s="1"/>
  <c r="BM161" i="33" s="1"/>
  <c r="BN161" i="33" s="1"/>
  <c r="BO161" i="33" s="1"/>
  <c r="BP161" i="33" s="1"/>
  <c r="BQ161" i="33" s="1"/>
  <c r="BR161" i="33" s="1"/>
  <c r="BS161" i="33" s="1"/>
  <c r="BT161" i="33" s="1"/>
  <c r="BU161" i="33" s="1"/>
  <c r="BV161" i="33" s="1"/>
  <c r="BW161" i="33" s="1"/>
  <c r="BX161" i="33" s="1"/>
  <c r="BY161" i="33" s="1"/>
  <c r="BZ161" i="33" s="1"/>
  <c r="CA161" i="33" s="1"/>
  <c r="CB161" i="33" s="1"/>
  <c r="CC161" i="33" s="1"/>
  <c r="CD161" i="33" s="1"/>
  <c r="CE161" i="33" s="1"/>
  <c r="CF161" i="33" s="1"/>
  <c r="AH166" i="33"/>
  <c r="P166" i="33" s="1"/>
  <c r="EP170" i="33" s="1"/>
  <c r="EQ170" i="33" s="1"/>
  <c r="ER170" i="33" s="1"/>
  <c r="ES170" i="33" s="1"/>
  <c r="ET170" i="33" s="1"/>
  <c r="EU170" i="33" s="1"/>
  <c r="EV170" i="33" s="1"/>
  <c r="EW170" i="33" s="1"/>
  <c r="EX170" i="33" s="1"/>
  <c r="EY170" i="33" s="1"/>
  <c r="EZ170" i="33" s="1"/>
  <c r="FA170" i="33" s="1"/>
  <c r="FB170" i="33" s="1"/>
  <c r="FC170" i="33" s="1"/>
  <c r="FD170" i="33" s="1"/>
  <c r="FE170" i="33" s="1"/>
  <c r="FF170" i="33" s="1"/>
  <c r="FG170" i="33" s="1"/>
  <c r="FH170" i="33" s="1"/>
  <c r="FI170" i="33" s="1"/>
  <c r="AH157" i="33"/>
  <c r="P157" i="33" s="1"/>
  <c r="EP161" i="33" s="1"/>
  <c r="EQ161" i="33" s="1"/>
  <c r="ER161" i="33" s="1"/>
  <c r="ES161" i="33" s="1"/>
  <c r="ET161" i="33" s="1"/>
  <c r="EU161" i="33" s="1"/>
  <c r="EV161" i="33" s="1"/>
  <c r="EW161" i="33" s="1"/>
  <c r="EX161" i="33" s="1"/>
  <c r="EY161" i="33" s="1"/>
  <c r="EZ161" i="33" s="1"/>
  <c r="FA161" i="33" s="1"/>
  <c r="FB161" i="33" s="1"/>
  <c r="FC161" i="33" s="1"/>
  <c r="FD161" i="33" s="1"/>
  <c r="FE161" i="33" s="1"/>
  <c r="FF161" i="33" s="1"/>
  <c r="FG161" i="33" s="1"/>
  <c r="FH161" i="33" s="1"/>
  <c r="FI161" i="33" s="1"/>
  <c r="Y166" i="33"/>
  <c r="Y157" i="33"/>
  <c r="N157" i="33"/>
  <c r="DB161" i="33" s="1"/>
  <c r="T166" i="33"/>
  <c r="GS170" i="33" s="1"/>
  <c r="GT170" i="33" s="1"/>
  <c r="GU170" i="33" s="1"/>
  <c r="GV170" i="33" s="1"/>
  <c r="S157" i="33"/>
  <c r="GN161" i="33" s="1"/>
  <c r="GO161" i="33" s="1"/>
  <c r="GP161" i="33" s="1"/>
  <c r="GQ161" i="33" s="1"/>
  <c r="GR161" i="33" s="1"/>
  <c r="AT157" i="33"/>
  <c r="J157" i="33" s="1"/>
  <c r="CQ161" i="33" s="1"/>
  <c r="CR161" i="33" s="1"/>
  <c r="CS161" i="33" s="1"/>
  <c r="CT161" i="33" s="1"/>
  <c r="CU161" i="33" s="1"/>
  <c r="E70" i="36"/>
  <c r="P34" i="33"/>
  <c r="EP93" i="33" s="1"/>
  <c r="EQ93" i="33" s="1"/>
  <c r="ER93" i="33" s="1"/>
  <c r="ES93" i="33" s="1"/>
  <c r="ET93" i="33" s="1"/>
  <c r="EU93" i="33" s="1"/>
  <c r="EV93" i="33" s="1"/>
  <c r="EW93" i="33" s="1"/>
  <c r="EX93" i="33" s="1"/>
  <c r="EY93" i="33" s="1"/>
  <c r="EZ93" i="33" s="1"/>
  <c r="FA93" i="33" s="1"/>
  <c r="FB93" i="33" s="1"/>
  <c r="FC93" i="33" s="1"/>
  <c r="FD93" i="33" s="1"/>
  <c r="FE93" i="33" s="1"/>
  <c r="FF93" i="33" s="1"/>
  <c r="FG93" i="33" s="1"/>
  <c r="FH93" i="33" s="1"/>
  <c r="FI93" i="33" s="1"/>
  <c r="T34" i="33"/>
  <c r="GS93" i="33" s="1"/>
  <c r="GT93" i="33" s="1"/>
  <c r="GU93" i="33" s="1"/>
  <c r="GV93" i="33" s="1"/>
  <c r="O66" i="33"/>
  <c r="DV125" i="33" s="1"/>
  <c r="DW125" i="33" s="1"/>
  <c r="DX125" i="33" s="1"/>
  <c r="DY125" i="33" s="1"/>
  <c r="DZ125" i="33" s="1"/>
  <c r="EA125" i="33" s="1"/>
  <c r="EB125" i="33" s="1"/>
  <c r="EC125" i="33" s="1"/>
  <c r="ED125" i="33" s="1"/>
  <c r="EE125" i="33" s="1"/>
  <c r="EF125" i="33" s="1"/>
  <c r="EG125" i="33" s="1"/>
  <c r="EH125" i="33" s="1"/>
  <c r="EI125" i="33" s="1"/>
  <c r="EJ125" i="33" s="1"/>
  <c r="EK125" i="33" s="1"/>
  <c r="EL125" i="33" s="1"/>
  <c r="EM125" i="33" s="1"/>
  <c r="EN125" i="33" s="1"/>
  <c r="EO125" i="33" s="1"/>
  <c r="O58" i="33"/>
  <c r="DV117" i="33" s="1"/>
  <c r="DW117" i="33" s="1"/>
  <c r="DX117" i="33" s="1"/>
  <c r="DY117" i="33" s="1"/>
  <c r="DZ117" i="33" s="1"/>
  <c r="EA117" i="33" s="1"/>
  <c r="EB117" i="33" s="1"/>
  <c r="EC117" i="33" s="1"/>
  <c r="ED117" i="33" s="1"/>
  <c r="EE117" i="33" s="1"/>
  <c r="EF117" i="33" s="1"/>
  <c r="EG117" i="33" s="1"/>
  <c r="EH117" i="33" s="1"/>
  <c r="EI117" i="33" s="1"/>
  <c r="EJ117" i="33" s="1"/>
  <c r="EK117" i="33" s="1"/>
  <c r="EL117" i="33" s="1"/>
  <c r="EM117" i="33" s="1"/>
  <c r="EN117" i="33" s="1"/>
  <c r="EO117" i="33" s="1"/>
  <c r="O52" i="33"/>
  <c r="DV111" i="33" s="1"/>
  <c r="DW111" i="33" s="1"/>
  <c r="DX111" i="33" s="1"/>
  <c r="DY111" i="33" s="1"/>
  <c r="DZ111" i="33" s="1"/>
  <c r="EA111" i="33" s="1"/>
  <c r="EB111" i="33" s="1"/>
  <c r="EC111" i="33" s="1"/>
  <c r="ED111" i="33" s="1"/>
  <c r="EE111" i="33" s="1"/>
  <c r="EF111" i="33" s="1"/>
  <c r="EG111" i="33" s="1"/>
  <c r="EH111" i="33" s="1"/>
  <c r="EI111" i="33" s="1"/>
  <c r="EJ111" i="33" s="1"/>
  <c r="EK111" i="33" s="1"/>
  <c r="EL111" i="33" s="1"/>
  <c r="EM111" i="33" s="1"/>
  <c r="EN111" i="33" s="1"/>
  <c r="EO111" i="33" s="1"/>
  <c r="O48" i="33"/>
  <c r="DV107" i="33" s="1"/>
  <c r="DW107" i="33" s="1"/>
  <c r="DX107" i="33" s="1"/>
  <c r="DY107" i="33" s="1"/>
  <c r="DZ107" i="33" s="1"/>
  <c r="EA107" i="33" s="1"/>
  <c r="EB107" i="33" s="1"/>
  <c r="EC107" i="33" s="1"/>
  <c r="ED107" i="33" s="1"/>
  <c r="EE107" i="33" s="1"/>
  <c r="EF107" i="33" s="1"/>
  <c r="EG107" i="33" s="1"/>
  <c r="EH107" i="33" s="1"/>
  <c r="EI107" i="33" s="1"/>
  <c r="EJ107" i="33" s="1"/>
  <c r="EK107" i="33" s="1"/>
  <c r="EL107" i="33" s="1"/>
  <c r="EM107" i="33" s="1"/>
  <c r="EN107" i="33" s="1"/>
  <c r="EO107" i="33" s="1"/>
  <c r="O40" i="33"/>
  <c r="DV99" i="33" s="1"/>
  <c r="DW99" i="33" s="1"/>
  <c r="DX99" i="33" s="1"/>
  <c r="DY99" i="33" s="1"/>
  <c r="DZ99" i="33" s="1"/>
  <c r="EA99" i="33" s="1"/>
  <c r="EB99" i="33" s="1"/>
  <c r="EC99" i="33" s="1"/>
  <c r="ED99" i="33" s="1"/>
  <c r="EE99" i="33" s="1"/>
  <c r="EF99" i="33" s="1"/>
  <c r="EG99" i="33" s="1"/>
  <c r="EH99" i="33" s="1"/>
  <c r="EI99" i="33" s="1"/>
  <c r="EJ99" i="33" s="1"/>
  <c r="EK99" i="33" s="1"/>
  <c r="EL99" i="33" s="1"/>
  <c r="EM99" i="33" s="1"/>
  <c r="EN99" i="33" s="1"/>
  <c r="EO99" i="33" s="1"/>
  <c r="U35" i="33"/>
  <c r="GW94" i="33" s="1"/>
  <c r="U67" i="33"/>
  <c r="GW126" i="33" s="1"/>
  <c r="U66" i="33"/>
  <c r="GW125" i="33" s="1"/>
  <c r="U65" i="33"/>
  <c r="GW124" i="33" s="1"/>
  <c r="U64" i="33"/>
  <c r="GW123" i="33" s="1"/>
  <c r="U63" i="33"/>
  <c r="GW122" i="33" s="1"/>
  <c r="U62" i="33"/>
  <c r="GW121" i="33" s="1"/>
  <c r="U61" i="33"/>
  <c r="GW120" i="33" s="1"/>
  <c r="U60" i="33"/>
  <c r="GW119" i="33" s="1"/>
  <c r="U59" i="33"/>
  <c r="GW118" i="33" s="1"/>
  <c r="U58" i="33"/>
  <c r="GW117" i="33" s="1"/>
  <c r="U57" i="33"/>
  <c r="GW116" i="33" s="1"/>
  <c r="U56" i="33"/>
  <c r="GW115" i="33" s="1"/>
  <c r="U55" i="33"/>
  <c r="GW114" i="33" s="1"/>
  <c r="U54" i="33"/>
  <c r="GW113" i="33" s="1"/>
  <c r="U53" i="33"/>
  <c r="GW112" i="33" s="1"/>
  <c r="U52" i="33"/>
  <c r="GW111" i="33" s="1"/>
  <c r="U51" i="33"/>
  <c r="GW110" i="33" s="1"/>
  <c r="U50" i="33"/>
  <c r="GW109" i="33" s="1"/>
  <c r="U49" i="33"/>
  <c r="GW108" i="33" s="1"/>
  <c r="U48" i="33"/>
  <c r="GW107" i="33" s="1"/>
  <c r="U47" i="33"/>
  <c r="GW106" i="33" s="1"/>
  <c r="U46" i="33"/>
  <c r="GW105" i="33" s="1"/>
  <c r="U45" i="33"/>
  <c r="GW104" i="33" s="1"/>
  <c r="U44" i="33"/>
  <c r="GW103" i="33" s="1"/>
  <c r="U43" i="33"/>
  <c r="GW102" i="33" s="1"/>
  <c r="U42" i="33"/>
  <c r="GW101" i="33" s="1"/>
  <c r="U41" i="33"/>
  <c r="GW100" i="33" s="1"/>
  <c r="U40" i="33"/>
  <c r="GW99" i="33" s="1"/>
  <c r="U39" i="33"/>
  <c r="GW98" i="33" s="1"/>
  <c r="U38" i="33"/>
  <c r="GW97" i="33" s="1"/>
  <c r="U37" i="33"/>
  <c r="GW96" i="33" s="1"/>
  <c r="U36" i="33"/>
  <c r="GW95" i="33" s="1"/>
  <c r="U70" i="33"/>
  <c r="GW129" i="33" s="1"/>
  <c r="U68" i="33"/>
  <c r="GW127" i="33" s="1"/>
  <c r="S67" i="33"/>
  <c r="GN126" i="33" s="1"/>
  <c r="GO126" i="33" s="1"/>
  <c r="GP126" i="33" s="1"/>
  <c r="GQ126" i="33" s="1"/>
  <c r="GR126" i="33" s="1"/>
  <c r="O67" i="33"/>
  <c r="DV126" i="33" s="1"/>
  <c r="DW126" i="33" s="1"/>
  <c r="DX126" i="33" s="1"/>
  <c r="DY126" i="33" s="1"/>
  <c r="DZ126" i="33" s="1"/>
  <c r="EA126" i="33" s="1"/>
  <c r="EB126" i="33" s="1"/>
  <c r="EC126" i="33" s="1"/>
  <c r="ED126" i="33" s="1"/>
  <c r="EE126" i="33" s="1"/>
  <c r="EF126" i="33" s="1"/>
  <c r="EG126" i="33" s="1"/>
  <c r="EH126" i="33" s="1"/>
  <c r="EI126" i="33" s="1"/>
  <c r="EJ126" i="33" s="1"/>
  <c r="EK126" i="33" s="1"/>
  <c r="EL126" i="33" s="1"/>
  <c r="EM126" i="33" s="1"/>
  <c r="EN126" i="33" s="1"/>
  <c r="EO126" i="33" s="1"/>
  <c r="O64" i="33"/>
  <c r="DV123" i="33" s="1"/>
  <c r="DW123" i="33" s="1"/>
  <c r="DX123" i="33" s="1"/>
  <c r="DY123" i="33" s="1"/>
  <c r="DZ123" i="33" s="1"/>
  <c r="EA123" i="33" s="1"/>
  <c r="EB123" i="33" s="1"/>
  <c r="EC123" i="33" s="1"/>
  <c r="ED123" i="33" s="1"/>
  <c r="EE123" i="33" s="1"/>
  <c r="EF123" i="33" s="1"/>
  <c r="EG123" i="33" s="1"/>
  <c r="EH123" i="33" s="1"/>
  <c r="EI123" i="33" s="1"/>
  <c r="EJ123" i="33" s="1"/>
  <c r="EK123" i="33" s="1"/>
  <c r="EL123" i="33" s="1"/>
  <c r="EM123" i="33" s="1"/>
  <c r="EN123" i="33" s="1"/>
  <c r="EO123" i="33" s="1"/>
  <c r="O55" i="33"/>
  <c r="DV114" i="33" s="1"/>
  <c r="DW114" i="33" s="1"/>
  <c r="DX114" i="33" s="1"/>
  <c r="DY114" i="33" s="1"/>
  <c r="DZ114" i="33" s="1"/>
  <c r="EA114" i="33" s="1"/>
  <c r="EB114" i="33" s="1"/>
  <c r="EC114" i="33" s="1"/>
  <c r="ED114" i="33" s="1"/>
  <c r="EE114" i="33" s="1"/>
  <c r="EF114" i="33" s="1"/>
  <c r="EG114" i="33" s="1"/>
  <c r="EH114" i="33" s="1"/>
  <c r="EI114" i="33" s="1"/>
  <c r="EJ114" i="33" s="1"/>
  <c r="EK114" i="33" s="1"/>
  <c r="EL114" i="33" s="1"/>
  <c r="EM114" i="33" s="1"/>
  <c r="EN114" i="33" s="1"/>
  <c r="EO114" i="33" s="1"/>
  <c r="O53" i="33"/>
  <c r="DV112" i="33" s="1"/>
  <c r="DW112" i="33" s="1"/>
  <c r="DX112" i="33" s="1"/>
  <c r="DY112" i="33" s="1"/>
  <c r="DZ112" i="33" s="1"/>
  <c r="EA112" i="33" s="1"/>
  <c r="EB112" i="33" s="1"/>
  <c r="EC112" i="33" s="1"/>
  <c r="ED112" i="33" s="1"/>
  <c r="EE112" i="33" s="1"/>
  <c r="EF112" i="33" s="1"/>
  <c r="EG112" i="33" s="1"/>
  <c r="EH112" i="33" s="1"/>
  <c r="EI112" i="33" s="1"/>
  <c r="EJ112" i="33" s="1"/>
  <c r="EK112" i="33" s="1"/>
  <c r="EL112" i="33" s="1"/>
  <c r="EM112" i="33" s="1"/>
  <c r="EN112" i="33" s="1"/>
  <c r="EO112" i="33" s="1"/>
  <c r="O49" i="33"/>
  <c r="DV108" i="33" s="1"/>
  <c r="DW108" i="33" s="1"/>
  <c r="DX108" i="33" s="1"/>
  <c r="DY108" i="33" s="1"/>
  <c r="DZ108" i="33" s="1"/>
  <c r="EA108" i="33" s="1"/>
  <c r="EB108" i="33" s="1"/>
  <c r="EC108" i="33" s="1"/>
  <c r="ED108" i="33" s="1"/>
  <c r="EE108" i="33" s="1"/>
  <c r="EF108" i="33" s="1"/>
  <c r="EG108" i="33" s="1"/>
  <c r="EH108" i="33" s="1"/>
  <c r="EI108" i="33" s="1"/>
  <c r="EJ108" i="33" s="1"/>
  <c r="EK108" i="33" s="1"/>
  <c r="EL108" i="33" s="1"/>
  <c r="EM108" i="33" s="1"/>
  <c r="EN108" i="33" s="1"/>
  <c r="EO108" i="33" s="1"/>
  <c r="O34" i="33"/>
  <c r="DV93" i="33" s="1"/>
  <c r="DW93" i="33" s="1"/>
  <c r="DX93" i="33" s="1"/>
  <c r="DY93" i="33" s="1"/>
  <c r="DZ93" i="33" s="1"/>
  <c r="EA93" i="33" s="1"/>
  <c r="EB93" i="33" s="1"/>
  <c r="EC93" i="33" s="1"/>
  <c r="ED93" i="33" s="1"/>
  <c r="EE93" i="33" s="1"/>
  <c r="EF93" i="33" s="1"/>
  <c r="EG93" i="33" s="1"/>
  <c r="EH93" i="33" s="1"/>
  <c r="EI93" i="33" s="1"/>
  <c r="EJ93" i="33" s="1"/>
  <c r="EK93" i="33" s="1"/>
  <c r="EL93" i="33" s="1"/>
  <c r="EM93" i="33" s="1"/>
  <c r="EN93" i="33" s="1"/>
  <c r="EO93" i="33" s="1"/>
  <c r="T35" i="33"/>
  <c r="GS94" i="33" s="1"/>
  <c r="GT94" i="33" s="1"/>
  <c r="GU94" i="33" s="1"/>
  <c r="GV94" i="33" s="1"/>
  <c r="T67" i="33"/>
  <c r="GS126" i="33" s="1"/>
  <c r="GT126" i="33" s="1"/>
  <c r="GU126" i="33" s="1"/>
  <c r="GV126" i="33" s="1"/>
  <c r="T66" i="33"/>
  <c r="GS125" i="33" s="1"/>
  <c r="GT125" i="33" s="1"/>
  <c r="GU125" i="33" s="1"/>
  <c r="GV125" i="33" s="1"/>
  <c r="T65" i="33"/>
  <c r="GS124" i="33" s="1"/>
  <c r="GT124" i="33" s="1"/>
  <c r="GU124" i="33" s="1"/>
  <c r="GV124" i="33" s="1"/>
  <c r="T64" i="33"/>
  <c r="GS123" i="33" s="1"/>
  <c r="GT123" i="33" s="1"/>
  <c r="GU123" i="33" s="1"/>
  <c r="GV123" i="33" s="1"/>
  <c r="T63" i="33"/>
  <c r="GS122" i="33" s="1"/>
  <c r="GT122" i="33" s="1"/>
  <c r="GU122" i="33" s="1"/>
  <c r="GV122" i="33" s="1"/>
  <c r="T62" i="33"/>
  <c r="GS121" i="33" s="1"/>
  <c r="GT121" i="33" s="1"/>
  <c r="GU121" i="33" s="1"/>
  <c r="GV121" i="33" s="1"/>
  <c r="T61" i="33"/>
  <c r="GS120" i="33" s="1"/>
  <c r="GT120" i="33" s="1"/>
  <c r="GU120" i="33" s="1"/>
  <c r="GV120" i="33" s="1"/>
  <c r="T60" i="33"/>
  <c r="GS119" i="33" s="1"/>
  <c r="GT119" i="33" s="1"/>
  <c r="GU119" i="33" s="1"/>
  <c r="GV119" i="33" s="1"/>
  <c r="T59" i="33"/>
  <c r="GS118" i="33" s="1"/>
  <c r="GT118" i="33" s="1"/>
  <c r="GU118" i="33" s="1"/>
  <c r="GV118" i="33" s="1"/>
  <c r="T58" i="33"/>
  <c r="GS117" i="33" s="1"/>
  <c r="GT117" i="33" s="1"/>
  <c r="GU117" i="33" s="1"/>
  <c r="GV117" i="33" s="1"/>
  <c r="T57" i="33"/>
  <c r="GS116" i="33" s="1"/>
  <c r="GT116" i="33" s="1"/>
  <c r="GU116" i="33" s="1"/>
  <c r="GV116" i="33" s="1"/>
  <c r="T56" i="33"/>
  <c r="GS115" i="33" s="1"/>
  <c r="GT115" i="33" s="1"/>
  <c r="GU115" i="33" s="1"/>
  <c r="GV115" i="33" s="1"/>
  <c r="T55" i="33"/>
  <c r="GS114" i="33" s="1"/>
  <c r="GT114" i="33" s="1"/>
  <c r="GU114" i="33" s="1"/>
  <c r="GV114" i="33" s="1"/>
  <c r="T54" i="33"/>
  <c r="GS113" i="33" s="1"/>
  <c r="GT113" i="33" s="1"/>
  <c r="GU113" i="33" s="1"/>
  <c r="GV113" i="33" s="1"/>
  <c r="T53" i="33"/>
  <c r="GS112" i="33" s="1"/>
  <c r="GT112" i="33" s="1"/>
  <c r="GU112" i="33" s="1"/>
  <c r="GV112" i="33" s="1"/>
  <c r="T52" i="33"/>
  <c r="GS111" i="33" s="1"/>
  <c r="GT111" i="33" s="1"/>
  <c r="GU111" i="33" s="1"/>
  <c r="GV111" i="33" s="1"/>
  <c r="T51" i="33"/>
  <c r="GS110" i="33" s="1"/>
  <c r="GT110" i="33" s="1"/>
  <c r="GU110" i="33" s="1"/>
  <c r="GV110" i="33" s="1"/>
  <c r="T50" i="33"/>
  <c r="GS109" i="33" s="1"/>
  <c r="GT109" i="33" s="1"/>
  <c r="GU109" i="33" s="1"/>
  <c r="GV109" i="33" s="1"/>
  <c r="T49" i="33"/>
  <c r="GS108" i="33" s="1"/>
  <c r="GT108" i="33" s="1"/>
  <c r="GU108" i="33" s="1"/>
  <c r="GV108" i="33" s="1"/>
  <c r="T48" i="33"/>
  <c r="GS107" i="33" s="1"/>
  <c r="GT107" i="33" s="1"/>
  <c r="GU107" i="33" s="1"/>
  <c r="GV107" i="33" s="1"/>
  <c r="T47" i="33"/>
  <c r="GS106" i="33" s="1"/>
  <c r="GT106" i="33" s="1"/>
  <c r="GU106" i="33" s="1"/>
  <c r="GV106" i="33" s="1"/>
  <c r="T46" i="33"/>
  <c r="GS105" i="33" s="1"/>
  <c r="GT105" i="33" s="1"/>
  <c r="GU105" i="33" s="1"/>
  <c r="GV105" i="33" s="1"/>
  <c r="T45" i="33"/>
  <c r="GS104" i="33" s="1"/>
  <c r="GT104" i="33" s="1"/>
  <c r="GU104" i="33" s="1"/>
  <c r="GV104" i="33" s="1"/>
  <c r="T44" i="33"/>
  <c r="GS103" i="33" s="1"/>
  <c r="GT103" i="33" s="1"/>
  <c r="GU103" i="33" s="1"/>
  <c r="GV103" i="33" s="1"/>
  <c r="T43" i="33"/>
  <c r="GS102" i="33" s="1"/>
  <c r="GT102" i="33" s="1"/>
  <c r="GU102" i="33" s="1"/>
  <c r="GV102" i="33" s="1"/>
  <c r="T42" i="33"/>
  <c r="GS101" i="33" s="1"/>
  <c r="GT101" i="33" s="1"/>
  <c r="GU101" i="33" s="1"/>
  <c r="GV101" i="33" s="1"/>
  <c r="T41" i="33"/>
  <c r="GS100" i="33" s="1"/>
  <c r="GT100" i="33" s="1"/>
  <c r="GU100" i="33" s="1"/>
  <c r="GV100" i="33" s="1"/>
  <c r="T40" i="33"/>
  <c r="GS99" i="33" s="1"/>
  <c r="GT99" i="33" s="1"/>
  <c r="GU99" i="33" s="1"/>
  <c r="GV99" i="33" s="1"/>
  <c r="T39" i="33"/>
  <c r="GS98" i="33" s="1"/>
  <c r="GT98" i="33" s="1"/>
  <c r="GU98" i="33" s="1"/>
  <c r="GV98" i="33" s="1"/>
  <c r="T38" i="33"/>
  <c r="GS97" i="33" s="1"/>
  <c r="GT97" i="33" s="1"/>
  <c r="GU97" i="33" s="1"/>
  <c r="GV97" i="33" s="1"/>
  <c r="T37" i="33"/>
  <c r="GS96" i="33" s="1"/>
  <c r="GT96" i="33" s="1"/>
  <c r="GU96" i="33" s="1"/>
  <c r="GV96" i="33" s="1"/>
  <c r="T36" i="33"/>
  <c r="GS95" i="33" s="1"/>
  <c r="GT95" i="33" s="1"/>
  <c r="GU95" i="33" s="1"/>
  <c r="GV95" i="33" s="1"/>
  <c r="T70" i="33"/>
  <c r="GS129" i="33" s="1"/>
  <c r="GT129" i="33" s="1"/>
  <c r="GU129" i="33" s="1"/>
  <c r="GV129" i="33" s="1"/>
  <c r="T68" i="33"/>
  <c r="GS127" i="33" s="1"/>
  <c r="GT127" i="33" s="1"/>
  <c r="GU127" i="33" s="1"/>
  <c r="GV127" i="33" s="1"/>
  <c r="S64" i="33"/>
  <c r="GN123" i="33" s="1"/>
  <c r="GO123" i="33" s="1"/>
  <c r="GP123" i="33" s="1"/>
  <c r="GQ123" i="33" s="1"/>
  <c r="GR123" i="33" s="1"/>
  <c r="S60" i="33"/>
  <c r="GN119" i="33" s="1"/>
  <c r="GO119" i="33" s="1"/>
  <c r="GP119" i="33" s="1"/>
  <c r="GQ119" i="33" s="1"/>
  <c r="GR119" i="33" s="1"/>
  <c r="S57" i="33"/>
  <c r="GN116" i="33" s="1"/>
  <c r="GO116" i="33" s="1"/>
  <c r="GP116" i="33" s="1"/>
  <c r="GQ116" i="33" s="1"/>
  <c r="GR116" i="33" s="1"/>
  <c r="S54" i="33"/>
  <c r="GN113" i="33" s="1"/>
  <c r="GO113" i="33" s="1"/>
  <c r="GP113" i="33" s="1"/>
  <c r="GQ113" i="33" s="1"/>
  <c r="GR113" i="33" s="1"/>
  <c r="S51" i="33"/>
  <c r="GN110" i="33" s="1"/>
  <c r="GO110" i="33" s="1"/>
  <c r="GP110" i="33" s="1"/>
  <c r="GQ110" i="33" s="1"/>
  <c r="GR110" i="33" s="1"/>
  <c r="S49" i="33"/>
  <c r="GN108" i="33" s="1"/>
  <c r="GO108" i="33" s="1"/>
  <c r="GP108" i="33" s="1"/>
  <c r="GQ108" i="33" s="1"/>
  <c r="GR108" i="33" s="1"/>
  <c r="S47" i="33"/>
  <c r="GN106" i="33" s="1"/>
  <c r="GO106" i="33" s="1"/>
  <c r="GP106" i="33" s="1"/>
  <c r="GQ106" i="33" s="1"/>
  <c r="GR106" i="33" s="1"/>
  <c r="S45" i="33"/>
  <c r="GN104" i="33" s="1"/>
  <c r="GO104" i="33" s="1"/>
  <c r="GP104" i="33" s="1"/>
  <c r="GQ104" i="33" s="1"/>
  <c r="GR104" i="33" s="1"/>
  <c r="S44" i="33"/>
  <c r="GN103" i="33" s="1"/>
  <c r="GO103" i="33" s="1"/>
  <c r="GP103" i="33" s="1"/>
  <c r="GQ103" i="33" s="1"/>
  <c r="GR103" i="33" s="1"/>
  <c r="S43" i="33"/>
  <c r="GN102" i="33" s="1"/>
  <c r="GO102" i="33" s="1"/>
  <c r="GP102" i="33" s="1"/>
  <c r="GQ102" i="33" s="1"/>
  <c r="GR102" i="33" s="1"/>
  <c r="S42" i="33"/>
  <c r="GN101" i="33" s="1"/>
  <c r="GO101" i="33" s="1"/>
  <c r="GP101" i="33" s="1"/>
  <c r="GQ101" i="33" s="1"/>
  <c r="GR101" i="33" s="1"/>
  <c r="S41" i="33"/>
  <c r="GN100" i="33" s="1"/>
  <c r="GO100" i="33" s="1"/>
  <c r="GP100" i="33" s="1"/>
  <c r="GQ100" i="33" s="1"/>
  <c r="GR100" i="33" s="1"/>
  <c r="S40" i="33"/>
  <c r="GN99" i="33" s="1"/>
  <c r="GO99" i="33" s="1"/>
  <c r="GP99" i="33" s="1"/>
  <c r="GQ99" i="33" s="1"/>
  <c r="GR99" i="33" s="1"/>
  <c r="S37" i="33"/>
  <c r="GN96" i="33" s="1"/>
  <c r="GO96" i="33" s="1"/>
  <c r="GP96" i="33" s="1"/>
  <c r="GQ96" i="33" s="1"/>
  <c r="GR96" i="33" s="1"/>
  <c r="S36" i="33"/>
  <c r="GN95" i="33" s="1"/>
  <c r="GO95" i="33" s="1"/>
  <c r="GP95" i="33" s="1"/>
  <c r="GQ95" i="33" s="1"/>
  <c r="GR95" i="33" s="1"/>
  <c r="S70" i="33"/>
  <c r="GN129" i="33" s="1"/>
  <c r="GO129" i="33" s="1"/>
  <c r="GP129" i="33" s="1"/>
  <c r="GQ129" i="33" s="1"/>
  <c r="GR129" i="33" s="1"/>
  <c r="S68" i="33"/>
  <c r="GN127" i="33" s="1"/>
  <c r="GO127" i="33" s="1"/>
  <c r="GP127" i="33" s="1"/>
  <c r="GQ127" i="33" s="1"/>
  <c r="GR127" i="33" s="1"/>
  <c r="S62" i="33"/>
  <c r="GN121" i="33" s="1"/>
  <c r="GO121" i="33" s="1"/>
  <c r="GP121" i="33" s="1"/>
  <c r="GQ121" i="33" s="1"/>
  <c r="GR121" i="33" s="1"/>
  <c r="S58" i="33"/>
  <c r="GN117" i="33" s="1"/>
  <c r="GO117" i="33" s="1"/>
  <c r="GP117" i="33" s="1"/>
  <c r="GQ117" i="33" s="1"/>
  <c r="GR117" i="33" s="1"/>
  <c r="S56" i="33"/>
  <c r="GN115" i="33" s="1"/>
  <c r="GO115" i="33" s="1"/>
  <c r="GP115" i="33" s="1"/>
  <c r="GQ115" i="33" s="1"/>
  <c r="GR115" i="33" s="1"/>
  <c r="S53" i="33"/>
  <c r="GN112" i="33" s="1"/>
  <c r="GO112" i="33" s="1"/>
  <c r="GP112" i="33" s="1"/>
  <c r="GQ112" i="33" s="1"/>
  <c r="GR112" i="33" s="1"/>
  <c r="S48" i="33"/>
  <c r="GN107" i="33" s="1"/>
  <c r="GO107" i="33" s="1"/>
  <c r="GP107" i="33" s="1"/>
  <c r="GQ107" i="33" s="1"/>
  <c r="GR107" i="33" s="1"/>
  <c r="S39" i="33"/>
  <c r="GN98" i="33" s="1"/>
  <c r="GO98" i="33" s="1"/>
  <c r="GP98" i="33" s="1"/>
  <c r="GQ98" i="33" s="1"/>
  <c r="GR98" i="33" s="1"/>
  <c r="Q34" i="33"/>
  <c r="FJ93" i="33" s="1"/>
  <c r="FK93" i="33" s="1"/>
  <c r="FL93" i="33" s="1"/>
  <c r="FM93" i="33" s="1"/>
  <c r="FN93" i="33" s="1"/>
  <c r="FO93" i="33" s="1"/>
  <c r="FP93" i="33" s="1"/>
  <c r="FQ93" i="33" s="1"/>
  <c r="FR93" i="33" s="1"/>
  <c r="FS93" i="33" s="1"/>
  <c r="FT93" i="33" s="1"/>
  <c r="FU93" i="33" s="1"/>
  <c r="FV93" i="33" s="1"/>
  <c r="FW93" i="33" s="1"/>
  <c r="FX93" i="33" s="1"/>
  <c r="FY93" i="33" s="1"/>
  <c r="FZ93" i="33" s="1"/>
  <c r="GA93" i="33" s="1"/>
  <c r="GB93" i="33" s="1"/>
  <c r="GC93" i="33" s="1"/>
  <c r="R35" i="33"/>
  <c r="GD94" i="33" s="1"/>
  <c r="GE94" i="33" s="1"/>
  <c r="GF94" i="33" s="1"/>
  <c r="GG94" i="33" s="1"/>
  <c r="GH94" i="33" s="1"/>
  <c r="GI94" i="33" s="1"/>
  <c r="GJ94" i="33" s="1"/>
  <c r="GK94" i="33" s="1"/>
  <c r="GL94" i="33" s="1"/>
  <c r="GM94" i="33" s="1"/>
  <c r="R67" i="33"/>
  <c r="GD126" i="33" s="1"/>
  <c r="GE126" i="33" s="1"/>
  <c r="GF126" i="33" s="1"/>
  <c r="GG126" i="33" s="1"/>
  <c r="GH126" i="33" s="1"/>
  <c r="GI126" i="33" s="1"/>
  <c r="GJ126" i="33" s="1"/>
  <c r="GK126" i="33" s="1"/>
  <c r="GL126" i="33" s="1"/>
  <c r="GM126" i="33" s="1"/>
  <c r="R66" i="33"/>
  <c r="GD125" i="33" s="1"/>
  <c r="GE125" i="33" s="1"/>
  <c r="GF125" i="33" s="1"/>
  <c r="GG125" i="33" s="1"/>
  <c r="GH125" i="33" s="1"/>
  <c r="GI125" i="33" s="1"/>
  <c r="GJ125" i="33" s="1"/>
  <c r="GK125" i="33" s="1"/>
  <c r="GL125" i="33" s="1"/>
  <c r="GM125" i="33" s="1"/>
  <c r="R65" i="33"/>
  <c r="GD124" i="33" s="1"/>
  <c r="GE124" i="33" s="1"/>
  <c r="GF124" i="33" s="1"/>
  <c r="GG124" i="33" s="1"/>
  <c r="GH124" i="33" s="1"/>
  <c r="GI124" i="33" s="1"/>
  <c r="GJ124" i="33" s="1"/>
  <c r="GK124" i="33" s="1"/>
  <c r="GL124" i="33" s="1"/>
  <c r="GM124" i="33" s="1"/>
  <c r="R64" i="33"/>
  <c r="GD123" i="33" s="1"/>
  <c r="GE123" i="33" s="1"/>
  <c r="GF123" i="33" s="1"/>
  <c r="GG123" i="33" s="1"/>
  <c r="GH123" i="33" s="1"/>
  <c r="GI123" i="33" s="1"/>
  <c r="GJ123" i="33" s="1"/>
  <c r="GK123" i="33" s="1"/>
  <c r="GL123" i="33" s="1"/>
  <c r="GM123" i="33" s="1"/>
  <c r="R63" i="33"/>
  <c r="GD122" i="33" s="1"/>
  <c r="GE122" i="33" s="1"/>
  <c r="GF122" i="33" s="1"/>
  <c r="GG122" i="33" s="1"/>
  <c r="GH122" i="33" s="1"/>
  <c r="GI122" i="33" s="1"/>
  <c r="GJ122" i="33" s="1"/>
  <c r="GK122" i="33" s="1"/>
  <c r="GL122" i="33" s="1"/>
  <c r="GM122" i="33" s="1"/>
  <c r="R62" i="33"/>
  <c r="GD121" i="33" s="1"/>
  <c r="GE121" i="33" s="1"/>
  <c r="GF121" i="33" s="1"/>
  <c r="GG121" i="33" s="1"/>
  <c r="GH121" i="33" s="1"/>
  <c r="GI121" i="33" s="1"/>
  <c r="GJ121" i="33" s="1"/>
  <c r="GK121" i="33" s="1"/>
  <c r="GL121" i="33" s="1"/>
  <c r="GM121" i="33" s="1"/>
  <c r="R61" i="33"/>
  <c r="GD120" i="33" s="1"/>
  <c r="GE120" i="33" s="1"/>
  <c r="GF120" i="33" s="1"/>
  <c r="GG120" i="33" s="1"/>
  <c r="GH120" i="33" s="1"/>
  <c r="GI120" i="33" s="1"/>
  <c r="GJ120" i="33" s="1"/>
  <c r="GK120" i="33" s="1"/>
  <c r="GL120" i="33" s="1"/>
  <c r="GM120" i="33" s="1"/>
  <c r="R60" i="33"/>
  <c r="GD119" i="33" s="1"/>
  <c r="GE119" i="33" s="1"/>
  <c r="GF119" i="33" s="1"/>
  <c r="GG119" i="33" s="1"/>
  <c r="GH119" i="33" s="1"/>
  <c r="GI119" i="33" s="1"/>
  <c r="GJ119" i="33" s="1"/>
  <c r="GK119" i="33" s="1"/>
  <c r="GL119" i="33" s="1"/>
  <c r="GM119" i="33" s="1"/>
  <c r="R59" i="33"/>
  <c r="GD118" i="33" s="1"/>
  <c r="GE118" i="33" s="1"/>
  <c r="GF118" i="33" s="1"/>
  <c r="GG118" i="33" s="1"/>
  <c r="GH118" i="33" s="1"/>
  <c r="GI118" i="33" s="1"/>
  <c r="GJ118" i="33" s="1"/>
  <c r="GK118" i="33" s="1"/>
  <c r="GL118" i="33" s="1"/>
  <c r="GM118" i="33" s="1"/>
  <c r="R58" i="33"/>
  <c r="GD117" i="33" s="1"/>
  <c r="GE117" i="33" s="1"/>
  <c r="GF117" i="33" s="1"/>
  <c r="GG117" i="33" s="1"/>
  <c r="GH117" i="33" s="1"/>
  <c r="GI117" i="33" s="1"/>
  <c r="GJ117" i="33" s="1"/>
  <c r="GK117" i="33" s="1"/>
  <c r="GL117" i="33" s="1"/>
  <c r="GM117" i="33" s="1"/>
  <c r="R57" i="33"/>
  <c r="GD116" i="33" s="1"/>
  <c r="GE116" i="33" s="1"/>
  <c r="GF116" i="33" s="1"/>
  <c r="GG116" i="33" s="1"/>
  <c r="GH116" i="33" s="1"/>
  <c r="GI116" i="33" s="1"/>
  <c r="GJ116" i="33" s="1"/>
  <c r="GK116" i="33" s="1"/>
  <c r="GL116" i="33" s="1"/>
  <c r="GM116" i="33" s="1"/>
  <c r="R56" i="33"/>
  <c r="GD115" i="33" s="1"/>
  <c r="GE115" i="33" s="1"/>
  <c r="GF115" i="33" s="1"/>
  <c r="GG115" i="33" s="1"/>
  <c r="GH115" i="33" s="1"/>
  <c r="GI115" i="33" s="1"/>
  <c r="GJ115" i="33" s="1"/>
  <c r="GK115" i="33" s="1"/>
  <c r="GL115" i="33" s="1"/>
  <c r="GM115" i="33" s="1"/>
  <c r="R55" i="33"/>
  <c r="GD114" i="33" s="1"/>
  <c r="GE114" i="33" s="1"/>
  <c r="GF114" i="33" s="1"/>
  <c r="GG114" i="33" s="1"/>
  <c r="GH114" i="33" s="1"/>
  <c r="GI114" i="33" s="1"/>
  <c r="GJ114" i="33" s="1"/>
  <c r="GK114" i="33" s="1"/>
  <c r="GL114" i="33" s="1"/>
  <c r="GM114" i="33" s="1"/>
  <c r="R54" i="33"/>
  <c r="GD113" i="33" s="1"/>
  <c r="GE113" i="33" s="1"/>
  <c r="GF113" i="33" s="1"/>
  <c r="GG113" i="33" s="1"/>
  <c r="GH113" i="33" s="1"/>
  <c r="GI113" i="33" s="1"/>
  <c r="GJ113" i="33" s="1"/>
  <c r="GK113" i="33" s="1"/>
  <c r="GL113" i="33" s="1"/>
  <c r="GM113" i="33" s="1"/>
  <c r="R53" i="33"/>
  <c r="GD112" i="33" s="1"/>
  <c r="GE112" i="33" s="1"/>
  <c r="GF112" i="33" s="1"/>
  <c r="GG112" i="33" s="1"/>
  <c r="GH112" i="33" s="1"/>
  <c r="GI112" i="33" s="1"/>
  <c r="GJ112" i="33" s="1"/>
  <c r="GK112" i="33" s="1"/>
  <c r="GL112" i="33" s="1"/>
  <c r="GM112" i="33" s="1"/>
  <c r="R52" i="33"/>
  <c r="GD111" i="33" s="1"/>
  <c r="GE111" i="33" s="1"/>
  <c r="GF111" i="33" s="1"/>
  <c r="GG111" i="33" s="1"/>
  <c r="GH111" i="33" s="1"/>
  <c r="GI111" i="33" s="1"/>
  <c r="GJ111" i="33" s="1"/>
  <c r="GK111" i="33" s="1"/>
  <c r="GL111" i="33" s="1"/>
  <c r="GM111" i="33" s="1"/>
  <c r="R51" i="33"/>
  <c r="GD110" i="33" s="1"/>
  <c r="GE110" i="33" s="1"/>
  <c r="GF110" i="33" s="1"/>
  <c r="GG110" i="33" s="1"/>
  <c r="GH110" i="33" s="1"/>
  <c r="GI110" i="33" s="1"/>
  <c r="GJ110" i="33" s="1"/>
  <c r="GK110" i="33" s="1"/>
  <c r="GL110" i="33" s="1"/>
  <c r="GM110" i="33" s="1"/>
  <c r="R50" i="33"/>
  <c r="GD109" i="33" s="1"/>
  <c r="GE109" i="33" s="1"/>
  <c r="GF109" i="33" s="1"/>
  <c r="GG109" i="33" s="1"/>
  <c r="GH109" i="33" s="1"/>
  <c r="GI109" i="33" s="1"/>
  <c r="GJ109" i="33" s="1"/>
  <c r="GK109" i="33" s="1"/>
  <c r="GL109" i="33" s="1"/>
  <c r="GM109" i="33" s="1"/>
  <c r="R49" i="33"/>
  <c r="GD108" i="33" s="1"/>
  <c r="GE108" i="33" s="1"/>
  <c r="GF108" i="33" s="1"/>
  <c r="GG108" i="33" s="1"/>
  <c r="GH108" i="33" s="1"/>
  <c r="GI108" i="33" s="1"/>
  <c r="GJ108" i="33" s="1"/>
  <c r="GK108" i="33" s="1"/>
  <c r="GL108" i="33" s="1"/>
  <c r="GM108" i="33" s="1"/>
  <c r="R48" i="33"/>
  <c r="GD107" i="33" s="1"/>
  <c r="GE107" i="33" s="1"/>
  <c r="GF107" i="33" s="1"/>
  <c r="GG107" i="33" s="1"/>
  <c r="GH107" i="33" s="1"/>
  <c r="GI107" i="33" s="1"/>
  <c r="GJ107" i="33" s="1"/>
  <c r="GK107" i="33" s="1"/>
  <c r="GL107" i="33" s="1"/>
  <c r="GM107" i="33" s="1"/>
  <c r="R47" i="33"/>
  <c r="GD106" i="33" s="1"/>
  <c r="GE106" i="33" s="1"/>
  <c r="GF106" i="33" s="1"/>
  <c r="GG106" i="33" s="1"/>
  <c r="GH106" i="33" s="1"/>
  <c r="GI106" i="33" s="1"/>
  <c r="GJ106" i="33" s="1"/>
  <c r="GK106" i="33" s="1"/>
  <c r="GL106" i="33" s="1"/>
  <c r="GM106" i="33" s="1"/>
  <c r="R46" i="33"/>
  <c r="GD105" i="33" s="1"/>
  <c r="GE105" i="33" s="1"/>
  <c r="GF105" i="33" s="1"/>
  <c r="GG105" i="33" s="1"/>
  <c r="GH105" i="33" s="1"/>
  <c r="GI105" i="33" s="1"/>
  <c r="GJ105" i="33" s="1"/>
  <c r="GK105" i="33" s="1"/>
  <c r="GL105" i="33" s="1"/>
  <c r="GM105" i="33" s="1"/>
  <c r="R45" i="33"/>
  <c r="GD104" i="33" s="1"/>
  <c r="GE104" i="33" s="1"/>
  <c r="GF104" i="33" s="1"/>
  <c r="GG104" i="33" s="1"/>
  <c r="GH104" i="33" s="1"/>
  <c r="GI104" i="33" s="1"/>
  <c r="GJ104" i="33" s="1"/>
  <c r="GK104" i="33" s="1"/>
  <c r="GL104" i="33" s="1"/>
  <c r="GM104" i="33" s="1"/>
  <c r="R44" i="33"/>
  <c r="GD103" i="33" s="1"/>
  <c r="GE103" i="33" s="1"/>
  <c r="GF103" i="33" s="1"/>
  <c r="GG103" i="33" s="1"/>
  <c r="GH103" i="33" s="1"/>
  <c r="GI103" i="33" s="1"/>
  <c r="GJ103" i="33" s="1"/>
  <c r="GK103" i="33" s="1"/>
  <c r="GL103" i="33" s="1"/>
  <c r="GM103" i="33" s="1"/>
  <c r="R43" i="33"/>
  <c r="GD102" i="33" s="1"/>
  <c r="GE102" i="33" s="1"/>
  <c r="GF102" i="33" s="1"/>
  <c r="GG102" i="33" s="1"/>
  <c r="GH102" i="33" s="1"/>
  <c r="GI102" i="33" s="1"/>
  <c r="GJ102" i="33" s="1"/>
  <c r="GK102" i="33" s="1"/>
  <c r="GL102" i="33" s="1"/>
  <c r="GM102" i="33" s="1"/>
  <c r="R42" i="33"/>
  <c r="GD101" i="33" s="1"/>
  <c r="GE101" i="33" s="1"/>
  <c r="GF101" i="33" s="1"/>
  <c r="GG101" i="33" s="1"/>
  <c r="GH101" i="33" s="1"/>
  <c r="GI101" i="33" s="1"/>
  <c r="GJ101" i="33" s="1"/>
  <c r="GK101" i="33" s="1"/>
  <c r="GL101" i="33" s="1"/>
  <c r="GM101" i="33" s="1"/>
  <c r="R41" i="33"/>
  <c r="GD100" i="33" s="1"/>
  <c r="GE100" i="33" s="1"/>
  <c r="GF100" i="33" s="1"/>
  <c r="GG100" i="33" s="1"/>
  <c r="GH100" i="33" s="1"/>
  <c r="GI100" i="33" s="1"/>
  <c r="GJ100" i="33" s="1"/>
  <c r="GK100" i="33" s="1"/>
  <c r="GL100" i="33" s="1"/>
  <c r="GM100" i="33" s="1"/>
  <c r="R40" i="33"/>
  <c r="GD99" i="33" s="1"/>
  <c r="GE99" i="33" s="1"/>
  <c r="GF99" i="33" s="1"/>
  <c r="GG99" i="33" s="1"/>
  <c r="GH99" i="33" s="1"/>
  <c r="GI99" i="33" s="1"/>
  <c r="GJ99" i="33" s="1"/>
  <c r="GK99" i="33" s="1"/>
  <c r="GL99" i="33" s="1"/>
  <c r="GM99" i="33" s="1"/>
  <c r="R39" i="33"/>
  <c r="GD98" i="33" s="1"/>
  <c r="GE98" i="33" s="1"/>
  <c r="GF98" i="33" s="1"/>
  <c r="GG98" i="33" s="1"/>
  <c r="GH98" i="33" s="1"/>
  <c r="GI98" i="33" s="1"/>
  <c r="GJ98" i="33" s="1"/>
  <c r="GK98" i="33" s="1"/>
  <c r="GL98" i="33" s="1"/>
  <c r="GM98" i="33" s="1"/>
  <c r="R38" i="33"/>
  <c r="GD97" i="33" s="1"/>
  <c r="GE97" i="33" s="1"/>
  <c r="GF97" i="33" s="1"/>
  <c r="GG97" i="33" s="1"/>
  <c r="GH97" i="33" s="1"/>
  <c r="GI97" i="33" s="1"/>
  <c r="GJ97" i="33" s="1"/>
  <c r="GK97" i="33" s="1"/>
  <c r="GL97" i="33" s="1"/>
  <c r="GM97" i="33" s="1"/>
  <c r="R37" i="33"/>
  <c r="GD96" i="33" s="1"/>
  <c r="GE96" i="33" s="1"/>
  <c r="GF96" i="33" s="1"/>
  <c r="GG96" i="33" s="1"/>
  <c r="GH96" i="33" s="1"/>
  <c r="GI96" i="33" s="1"/>
  <c r="GJ96" i="33" s="1"/>
  <c r="GK96" i="33" s="1"/>
  <c r="GL96" i="33" s="1"/>
  <c r="GM96" i="33" s="1"/>
  <c r="R36" i="33"/>
  <c r="GD95" i="33" s="1"/>
  <c r="GE95" i="33" s="1"/>
  <c r="GF95" i="33" s="1"/>
  <c r="GG95" i="33" s="1"/>
  <c r="GH95" i="33" s="1"/>
  <c r="GI95" i="33" s="1"/>
  <c r="GJ95" i="33" s="1"/>
  <c r="GK95" i="33" s="1"/>
  <c r="GL95" i="33" s="1"/>
  <c r="GM95" i="33" s="1"/>
  <c r="R70" i="33"/>
  <c r="GD129" i="33" s="1"/>
  <c r="GE129" i="33" s="1"/>
  <c r="GF129" i="33" s="1"/>
  <c r="GG129" i="33" s="1"/>
  <c r="GH129" i="33" s="1"/>
  <c r="GI129" i="33" s="1"/>
  <c r="GJ129" i="33" s="1"/>
  <c r="GK129" i="33" s="1"/>
  <c r="GL129" i="33" s="1"/>
  <c r="GM129" i="33" s="1"/>
  <c r="R68" i="33"/>
  <c r="GD127" i="33" s="1"/>
  <c r="GE127" i="33" s="1"/>
  <c r="GF127" i="33" s="1"/>
  <c r="GG127" i="33" s="1"/>
  <c r="GH127" i="33" s="1"/>
  <c r="GI127" i="33" s="1"/>
  <c r="GJ127" i="33" s="1"/>
  <c r="GK127" i="33" s="1"/>
  <c r="GL127" i="33" s="1"/>
  <c r="GM127" i="33" s="1"/>
  <c r="S35" i="33"/>
  <c r="GN94" i="33" s="1"/>
  <c r="GO94" i="33" s="1"/>
  <c r="GP94" i="33" s="1"/>
  <c r="GQ94" i="33" s="1"/>
  <c r="GR94" i="33" s="1"/>
  <c r="S65" i="33"/>
  <c r="GN124" i="33" s="1"/>
  <c r="GO124" i="33" s="1"/>
  <c r="GP124" i="33" s="1"/>
  <c r="GQ124" i="33" s="1"/>
  <c r="GR124" i="33" s="1"/>
  <c r="S63" i="33"/>
  <c r="GN122" i="33" s="1"/>
  <c r="GO122" i="33" s="1"/>
  <c r="GP122" i="33" s="1"/>
  <c r="GQ122" i="33" s="1"/>
  <c r="GR122" i="33" s="1"/>
  <c r="S61" i="33"/>
  <c r="GN120" i="33" s="1"/>
  <c r="GO120" i="33" s="1"/>
  <c r="GP120" i="33" s="1"/>
  <c r="GQ120" i="33" s="1"/>
  <c r="GR120" i="33" s="1"/>
  <c r="S59" i="33"/>
  <c r="GN118" i="33" s="1"/>
  <c r="GO118" i="33" s="1"/>
  <c r="GP118" i="33" s="1"/>
  <c r="GQ118" i="33" s="1"/>
  <c r="GR118" i="33" s="1"/>
  <c r="S50" i="33"/>
  <c r="GN109" i="33" s="1"/>
  <c r="GO109" i="33" s="1"/>
  <c r="GP109" i="33" s="1"/>
  <c r="GQ109" i="33" s="1"/>
  <c r="GR109" i="33" s="1"/>
  <c r="R34" i="33"/>
  <c r="GD93" i="33" s="1"/>
  <c r="GE93" i="33" s="1"/>
  <c r="GF93" i="33" s="1"/>
  <c r="GG93" i="33" s="1"/>
  <c r="GH93" i="33" s="1"/>
  <c r="GI93" i="33" s="1"/>
  <c r="GJ93" i="33" s="1"/>
  <c r="GK93" i="33" s="1"/>
  <c r="GL93" i="33" s="1"/>
  <c r="GM93" i="33" s="1"/>
  <c r="Q35" i="33"/>
  <c r="FJ94" i="33" s="1"/>
  <c r="FK94" i="33" s="1"/>
  <c r="FL94" i="33" s="1"/>
  <c r="FM94" i="33" s="1"/>
  <c r="FN94" i="33" s="1"/>
  <c r="FO94" i="33" s="1"/>
  <c r="FP94" i="33" s="1"/>
  <c r="FQ94" i="33" s="1"/>
  <c r="FR94" i="33" s="1"/>
  <c r="FS94" i="33" s="1"/>
  <c r="FT94" i="33" s="1"/>
  <c r="FU94" i="33" s="1"/>
  <c r="FV94" i="33" s="1"/>
  <c r="FW94" i="33" s="1"/>
  <c r="FX94" i="33" s="1"/>
  <c r="FY94" i="33" s="1"/>
  <c r="FZ94" i="33" s="1"/>
  <c r="GA94" i="33" s="1"/>
  <c r="GB94" i="33" s="1"/>
  <c r="GC94" i="33" s="1"/>
  <c r="Q67" i="33"/>
  <c r="FJ126" i="33" s="1"/>
  <c r="FK126" i="33" s="1"/>
  <c r="FL126" i="33" s="1"/>
  <c r="FM126" i="33" s="1"/>
  <c r="FN126" i="33" s="1"/>
  <c r="FO126" i="33" s="1"/>
  <c r="FP126" i="33" s="1"/>
  <c r="FQ126" i="33" s="1"/>
  <c r="FR126" i="33" s="1"/>
  <c r="FS126" i="33" s="1"/>
  <c r="FT126" i="33" s="1"/>
  <c r="FU126" i="33" s="1"/>
  <c r="FV126" i="33" s="1"/>
  <c r="FW126" i="33" s="1"/>
  <c r="FX126" i="33" s="1"/>
  <c r="FY126" i="33" s="1"/>
  <c r="FZ126" i="33" s="1"/>
  <c r="GA126" i="33" s="1"/>
  <c r="GB126" i="33" s="1"/>
  <c r="GC126" i="33" s="1"/>
  <c r="Q66" i="33"/>
  <c r="FJ125" i="33" s="1"/>
  <c r="FK125" i="33" s="1"/>
  <c r="FL125" i="33" s="1"/>
  <c r="FM125" i="33" s="1"/>
  <c r="FN125" i="33" s="1"/>
  <c r="FO125" i="33" s="1"/>
  <c r="FP125" i="33" s="1"/>
  <c r="FQ125" i="33" s="1"/>
  <c r="FR125" i="33" s="1"/>
  <c r="FS125" i="33" s="1"/>
  <c r="FT125" i="33" s="1"/>
  <c r="FU125" i="33" s="1"/>
  <c r="FV125" i="33" s="1"/>
  <c r="FW125" i="33" s="1"/>
  <c r="FX125" i="33" s="1"/>
  <c r="FY125" i="33" s="1"/>
  <c r="FZ125" i="33" s="1"/>
  <c r="GA125" i="33" s="1"/>
  <c r="GB125" i="33" s="1"/>
  <c r="GC125" i="33" s="1"/>
  <c r="Q65" i="33"/>
  <c r="FJ124" i="33" s="1"/>
  <c r="FK124" i="33" s="1"/>
  <c r="FL124" i="33" s="1"/>
  <c r="FM124" i="33" s="1"/>
  <c r="FN124" i="33" s="1"/>
  <c r="FO124" i="33" s="1"/>
  <c r="FP124" i="33" s="1"/>
  <c r="FQ124" i="33" s="1"/>
  <c r="FR124" i="33" s="1"/>
  <c r="FS124" i="33" s="1"/>
  <c r="FT124" i="33" s="1"/>
  <c r="FU124" i="33" s="1"/>
  <c r="FV124" i="33" s="1"/>
  <c r="FW124" i="33" s="1"/>
  <c r="FX124" i="33" s="1"/>
  <c r="FY124" i="33" s="1"/>
  <c r="FZ124" i="33" s="1"/>
  <c r="GA124" i="33" s="1"/>
  <c r="GB124" i="33" s="1"/>
  <c r="GC124" i="33" s="1"/>
  <c r="Q64" i="33"/>
  <c r="FJ123" i="33" s="1"/>
  <c r="FK123" i="33" s="1"/>
  <c r="FL123" i="33" s="1"/>
  <c r="FM123" i="33" s="1"/>
  <c r="FN123" i="33" s="1"/>
  <c r="FO123" i="33" s="1"/>
  <c r="FP123" i="33" s="1"/>
  <c r="FQ123" i="33" s="1"/>
  <c r="FR123" i="33" s="1"/>
  <c r="FS123" i="33" s="1"/>
  <c r="FT123" i="33" s="1"/>
  <c r="FU123" i="33" s="1"/>
  <c r="FV123" i="33" s="1"/>
  <c r="FW123" i="33" s="1"/>
  <c r="FX123" i="33" s="1"/>
  <c r="FY123" i="33" s="1"/>
  <c r="FZ123" i="33" s="1"/>
  <c r="GA123" i="33" s="1"/>
  <c r="GB123" i="33" s="1"/>
  <c r="GC123" i="33" s="1"/>
  <c r="Q63" i="33"/>
  <c r="FJ122" i="33" s="1"/>
  <c r="FK122" i="33" s="1"/>
  <c r="FL122" i="33" s="1"/>
  <c r="FM122" i="33" s="1"/>
  <c r="FN122" i="33" s="1"/>
  <c r="FO122" i="33" s="1"/>
  <c r="FP122" i="33" s="1"/>
  <c r="FQ122" i="33" s="1"/>
  <c r="FR122" i="33" s="1"/>
  <c r="FS122" i="33" s="1"/>
  <c r="FT122" i="33" s="1"/>
  <c r="FU122" i="33" s="1"/>
  <c r="FV122" i="33" s="1"/>
  <c r="FW122" i="33" s="1"/>
  <c r="FX122" i="33" s="1"/>
  <c r="FY122" i="33" s="1"/>
  <c r="FZ122" i="33" s="1"/>
  <c r="GA122" i="33" s="1"/>
  <c r="GB122" i="33" s="1"/>
  <c r="GC122" i="33" s="1"/>
  <c r="Q62" i="33"/>
  <c r="FJ121" i="33" s="1"/>
  <c r="FK121" i="33" s="1"/>
  <c r="FL121" i="33" s="1"/>
  <c r="FM121" i="33" s="1"/>
  <c r="FN121" i="33" s="1"/>
  <c r="FO121" i="33" s="1"/>
  <c r="FP121" i="33" s="1"/>
  <c r="FQ121" i="33" s="1"/>
  <c r="FR121" i="33" s="1"/>
  <c r="FS121" i="33" s="1"/>
  <c r="FT121" i="33" s="1"/>
  <c r="FU121" i="33" s="1"/>
  <c r="FV121" i="33" s="1"/>
  <c r="FW121" i="33" s="1"/>
  <c r="FX121" i="33" s="1"/>
  <c r="FY121" i="33" s="1"/>
  <c r="FZ121" i="33" s="1"/>
  <c r="GA121" i="33" s="1"/>
  <c r="GB121" i="33" s="1"/>
  <c r="GC121" i="33" s="1"/>
  <c r="Q61" i="33"/>
  <c r="FJ120" i="33" s="1"/>
  <c r="FK120" i="33" s="1"/>
  <c r="FL120" i="33" s="1"/>
  <c r="FM120" i="33" s="1"/>
  <c r="FN120" i="33" s="1"/>
  <c r="FO120" i="33" s="1"/>
  <c r="FP120" i="33" s="1"/>
  <c r="FQ120" i="33" s="1"/>
  <c r="FR120" i="33" s="1"/>
  <c r="FS120" i="33" s="1"/>
  <c r="FT120" i="33" s="1"/>
  <c r="FU120" i="33" s="1"/>
  <c r="FV120" i="33" s="1"/>
  <c r="FW120" i="33" s="1"/>
  <c r="FX120" i="33" s="1"/>
  <c r="FY120" i="33" s="1"/>
  <c r="FZ120" i="33" s="1"/>
  <c r="GA120" i="33" s="1"/>
  <c r="GB120" i="33" s="1"/>
  <c r="GC120" i="33" s="1"/>
  <c r="Q60" i="33"/>
  <c r="FJ119" i="33" s="1"/>
  <c r="FK119" i="33" s="1"/>
  <c r="FL119" i="33" s="1"/>
  <c r="FM119" i="33" s="1"/>
  <c r="FN119" i="33" s="1"/>
  <c r="FO119" i="33" s="1"/>
  <c r="FP119" i="33" s="1"/>
  <c r="FQ119" i="33" s="1"/>
  <c r="FR119" i="33" s="1"/>
  <c r="FS119" i="33" s="1"/>
  <c r="FT119" i="33" s="1"/>
  <c r="FU119" i="33" s="1"/>
  <c r="FV119" i="33" s="1"/>
  <c r="FW119" i="33" s="1"/>
  <c r="FX119" i="33" s="1"/>
  <c r="FY119" i="33" s="1"/>
  <c r="FZ119" i="33" s="1"/>
  <c r="GA119" i="33" s="1"/>
  <c r="GB119" i="33" s="1"/>
  <c r="GC119" i="33" s="1"/>
  <c r="Q59" i="33"/>
  <c r="FJ118" i="33" s="1"/>
  <c r="FK118" i="33" s="1"/>
  <c r="FL118" i="33" s="1"/>
  <c r="FM118" i="33" s="1"/>
  <c r="FN118" i="33" s="1"/>
  <c r="FO118" i="33" s="1"/>
  <c r="FP118" i="33" s="1"/>
  <c r="FQ118" i="33" s="1"/>
  <c r="FR118" i="33" s="1"/>
  <c r="FS118" i="33" s="1"/>
  <c r="FT118" i="33" s="1"/>
  <c r="FU118" i="33" s="1"/>
  <c r="FV118" i="33" s="1"/>
  <c r="FW118" i="33" s="1"/>
  <c r="FX118" i="33" s="1"/>
  <c r="FY118" i="33" s="1"/>
  <c r="FZ118" i="33" s="1"/>
  <c r="GA118" i="33" s="1"/>
  <c r="GB118" i="33" s="1"/>
  <c r="GC118" i="33" s="1"/>
  <c r="Q58" i="33"/>
  <c r="FJ117" i="33" s="1"/>
  <c r="FK117" i="33" s="1"/>
  <c r="FL117" i="33" s="1"/>
  <c r="FM117" i="33" s="1"/>
  <c r="FN117" i="33" s="1"/>
  <c r="FO117" i="33" s="1"/>
  <c r="FP117" i="33" s="1"/>
  <c r="FQ117" i="33" s="1"/>
  <c r="FR117" i="33" s="1"/>
  <c r="FS117" i="33" s="1"/>
  <c r="FT117" i="33" s="1"/>
  <c r="FU117" i="33" s="1"/>
  <c r="FV117" i="33" s="1"/>
  <c r="FW117" i="33" s="1"/>
  <c r="FX117" i="33" s="1"/>
  <c r="FY117" i="33" s="1"/>
  <c r="FZ117" i="33" s="1"/>
  <c r="GA117" i="33" s="1"/>
  <c r="GB117" i="33" s="1"/>
  <c r="GC117" i="33" s="1"/>
  <c r="Q57" i="33"/>
  <c r="FJ116" i="33" s="1"/>
  <c r="FK116" i="33" s="1"/>
  <c r="FL116" i="33" s="1"/>
  <c r="FM116" i="33" s="1"/>
  <c r="FN116" i="33" s="1"/>
  <c r="FO116" i="33" s="1"/>
  <c r="FP116" i="33" s="1"/>
  <c r="FQ116" i="33" s="1"/>
  <c r="FR116" i="33" s="1"/>
  <c r="FS116" i="33" s="1"/>
  <c r="FT116" i="33" s="1"/>
  <c r="FU116" i="33" s="1"/>
  <c r="FV116" i="33" s="1"/>
  <c r="FW116" i="33" s="1"/>
  <c r="FX116" i="33" s="1"/>
  <c r="FY116" i="33" s="1"/>
  <c r="FZ116" i="33" s="1"/>
  <c r="GA116" i="33" s="1"/>
  <c r="GB116" i="33" s="1"/>
  <c r="GC116" i="33" s="1"/>
  <c r="Q56" i="33"/>
  <c r="FJ115" i="33" s="1"/>
  <c r="FK115" i="33" s="1"/>
  <c r="FL115" i="33" s="1"/>
  <c r="FM115" i="33" s="1"/>
  <c r="FN115" i="33" s="1"/>
  <c r="FO115" i="33" s="1"/>
  <c r="FP115" i="33" s="1"/>
  <c r="FQ115" i="33" s="1"/>
  <c r="FR115" i="33" s="1"/>
  <c r="FS115" i="33" s="1"/>
  <c r="FT115" i="33" s="1"/>
  <c r="FU115" i="33" s="1"/>
  <c r="FV115" i="33" s="1"/>
  <c r="FW115" i="33" s="1"/>
  <c r="FX115" i="33" s="1"/>
  <c r="FY115" i="33" s="1"/>
  <c r="FZ115" i="33" s="1"/>
  <c r="GA115" i="33" s="1"/>
  <c r="GB115" i="33" s="1"/>
  <c r="GC115" i="33" s="1"/>
  <c r="Q55" i="33"/>
  <c r="FJ114" i="33" s="1"/>
  <c r="FK114" i="33" s="1"/>
  <c r="FL114" i="33" s="1"/>
  <c r="FM114" i="33" s="1"/>
  <c r="FN114" i="33" s="1"/>
  <c r="FO114" i="33" s="1"/>
  <c r="FP114" i="33" s="1"/>
  <c r="FQ114" i="33" s="1"/>
  <c r="FR114" i="33" s="1"/>
  <c r="FS114" i="33" s="1"/>
  <c r="FT114" i="33" s="1"/>
  <c r="FU114" i="33" s="1"/>
  <c r="FV114" i="33" s="1"/>
  <c r="FW114" i="33" s="1"/>
  <c r="FX114" i="33" s="1"/>
  <c r="FY114" i="33" s="1"/>
  <c r="FZ114" i="33" s="1"/>
  <c r="GA114" i="33" s="1"/>
  <c r="GB114" i="33" s="1"/>
  <c r="GC114" i="33" s="1"/>
  <c r="Q54" i="33"/>
  <c r="FJ113" i="33" s="1"/>
  <c r="FK113" i="33" s="1"/>
  <c r="FL113" i="33" s="1"/>
  <c r="FM113" i="33" s="1"/>
  <c r="FN113" i="33" s="1"/>
  <c r="FO113" i="33" s="1"/>
  <c r="FP113" i="33" s="1"/>
  <c r="FQ113" i="33" s="1"/>
  <c r="FR113" i="33" s="1"/>
  <c r="FS113" i="33" s="1"/>
  <c r="FT113" i="33" s="1"/>
  <c r="FU113" i="33" s="1"/>
  <c r="FV113" i="33" s="1"/>
  <c r="FW113" i="33" s="1"/>
  <c r="FX113" i="33" s="1"/>
  <c r="FY113" i="33" s="1"/>
  <c r="FZ113" i="33" s="1"/>
  <c r="GA113" i="33" s="1"/>
  <c r="GB113" i="33" s="1"/>
  <c r="GC113" i="33" s="1"/>
  <c r="Q53" i="33"/>
  <c r="FJ112" i="33" s="1"/>
  <c r="FK112" i="33" s="1"/>
  <c r="FL112" i="33" s="1"/>
  <c r="FM112" i="33" s="1"/>
  <c r="FN112" i="33" s="1"/>
  <c r="FO112" i="33" s="1"/>
  <c r="FP112" i="33" s="1"/>
  <c r="FQ112" i="33" s="1"/>
  <c r="FR112" i="33" s="1"/>
  <c r="FS112" i="33" s="1"/>
  <c r="FT112" i="33" s="1"/>
  <c r="FU112" i="33" s="1"/>
  <c r="FV112" i="33" s="1"/>
  <c r="FW112" i="33" s="1"/>
  <c r="FX112" i="33" s="1"/>
  <c r="FY112" i="33" s="1"/>
  <c r="FZ112" i="33" s="1"/>
  <c r="GA112" i="33" s="1"/>
  <c r="GB112" i="33" s="1"/>
  <c r="GC112" i="33" s="1"/>
  <c r="Q52" i="33"/>
  <c r="FJ111" i="33" s="1"/>
  <c r="FK111" i="33" s="1"/>
  <c r="FL111" i="33" s="1"/>
  <c r="FM111" i="33" s="1"/>
  <c r="FN111" i="33" s="1"/>
  <c r="FO111" i="33" s="1"/>
  <c r="FP111" i="33" s="1"/>
  <c r="FQ111" i="33" s="1"/>
  <c r="FR111" i="33" s="1"/>
  <c r="FS111" i="33" s="1"/>
  <c r="FT111" i="33" s="1"/>
  <c r="FU111" i="33" s="1"/>
  <c r="FV111" i="33" s="1"/>
  <c r="FW111" i="33" s="1"/>
  <c r="FX111" i="33" s="1"/>
  <c r="FY111" i="33" s="1"/>
  <c r="FZ111" i="33" s="1"/>
  <c r="GA111" i="33" s="1"/>
  <c r="GB111" i="33" s="1"/>
  <c r="GC111" i="33" s="1"/>
  <c r="Q51" i="33"/>
  <c r="FJ110" i="33" s="1"/>
  <c r="FK110" i="33" s="1"/>
  <c r="FL110" i="33" s="1"/>
  <c r="FM110" i="33" s="1"/>
  <c r="FN110" i="33" s="1"/>
  <c r="FO110" i="33" s="1"/>
  <c r="FP110" i="33" s="1"/>
  <c r="FQ110" i="33" s="1"/>
  <c r="FR110" i="33" s="1"/>
  <c r="FS110" i="33" s="1"/>
  <c r="FT110" i="33" s="1"/>
  <c r="FU110" i="33" s="1"/>
  <c r="FV110" i="33" s="1"/>
  <c r="FW110" i="33" s="1"/>
  <c r="FX110" i="33" s="1"/>
  <c r="FY110" i="33" s="1"/>
  <c r="FZ110" i="33" s="1"/>
  <c r="GA110" i="33" s="1"/>
  <c r="GB110" i="33" s="1"/>
  <c r="GC110" i="33" s="1"/>
  <c r="Q50" i="33"/>
  <c r="FJ109" i="33" s="1"/>
  <c r="FK109" i="33" s="1"/>
  <c r="FL109" i="33" s="1"/>
  <c r="FM109" i="33" s="1"/>
  <c r="FN109" i="33" s="1"/>
  <c r="FO109" i="33" s="1"/>
  <c r="FP109" i="33" s="1"/>
  <c r="FQ109" i="33" s="1"/>
  <c r="FR109" i="33" s="1"/>
  <c r="FS109" i="33" s="1"/>
  <c r="FT109" i="33" s="1"/>
  <c r="FU109" i="33" s="1"/>
  <c r="FV109" i="33" s="1"/>
  <c r="FW109" i="33" s="1"/>
  <c r="FX109" i="33" s="1"/>
  <c r="FY109" i="33" s="1"/>
  <c r="FZ109" i="33" s="1"/>
  <c r="GA109" i="33" s="1"/>
  <c r="GB109" i="33" s="1"/>
  <c r="GC109" i="33" s="1"/>
  <c r="Q49" i="33"/>
  <c r="FJ108" i="33" s="1"/>
  <c r="FK108" i="33" s="1"/>
  <c r="FL108" i="33" s="1"/>
  <c r="FM108" i="33" s="1"/>
  <c r="FN108" i="33" s="1"/>
  <c r="FO108" i="33" s="1"/>
  <c r="FP108" i="33" s="1"/>
  <c r="FQ108" i="33" s="1"/>
  <c r="FR108" i="33" s="1"/>
  <c r="FS108" i="33" s="1"/>
  <c r="FT108" i="33" s="1"/>
  <c r="FU108" i="33" s="1"/>
  <c r="FV108" i="33" s="1"/>
  <c r="FW108" i="33" s="1"/>
  <c r="FX108" i="33" s="1"/>
  <c r="FY108" i="33" s="1"/>
  <c r="FZ108" i="33" s="1"/>
  <c r="GA108" i="33" s="1"/>
  <c r="GB108" i="33" s="1"/>
  <c r="GC108" i="33" s="1"/>
  <c r="Q48" i="33"/>
  <c r="FJ107" i="33" s="1"/>
  <c r="FK107" i="33" s="1"/>
  <c r="FL107" i="33" s="1"/>
  <c r="FM107" i="33" s="1"/>
  <c r="FN107" i="33" s="1"/>
  <c r="FO107" i="33" s="1"/>
  <c r="FP107" i="33" s="1"/>
  <c r="FQ107" i="33" s="1"/>
  <c r="FR107" i="33" s="1"/>
  <c r="FS107" i="33" s="1"/>
  <c r="FT107" i="33" s="1"/>
  <c r="FU107" i="33" s="1"/>
  <c r="FV107" i="33" s="1"/>
  <c r="FW107" i="33" s="1"/>
  <c r="FX107" i="33" s="1"/>
  <c r="FY107" i="33" s="1"/>
  <c r="FZ107" i="33" s="1"/>
  <c r="GA107" i="33" s="1"/>
  <c r="GB107" i="33" s="1"/>
  <c r="GC107" i="33" s="1"/>
  <c r="Q47" i="33"/>
  <c r="FJ106" i="33" s="1"/>
  <c r="FK106" i="33" s="1"/>
  <c r="FL106" i="33" s="1"/>
  <c r="FM106" i="33" s="1"/>
  <c r="FN106" i="33" s="1"/>
  <c r="FO106" i="33" s="1"/>
  <c r="FP106" i="33" s="1"/>
  <c r="FQ106" i="33" s="1"/>
  <c r="FR106" i="33" s="1"/>
  <c r="FS106" i="33" s="1"/>
  <c r="FT106" i="33" s="1"/>
  <c r="FU106" i="33" s="1"/>
  <c r="FV106" i="33" s="1"/>
  <c r="FW106" i="33" s="1"/>
  <c r="FX106" i="33" s="1"/>
  <c r="FY106" i="33" s="1"/>
  <c r="FZ106" i="33" s="1"/>
  <c r="GA106" i="33" s="1"/>
  <c r="GB106" i="33" s="1"/>
  <c r="GC106" i="33" s="1"/>
  <c r="Q46" i="33"/>
  <c r="FJ105" i="33" s="1"/>
  <c r="FK105" i="33" s="1"/>
  <c r="FL105" i="33" s="1"/>
  <c r="FM105" i="33" s="1"/>
  <c r="FN105" i="33" s="1"/>
  <c r="FO105" i="33" s="1"/>
  <c r="FP105" i="33" s="1"/>
  <c r="FQ105" i="33" s="1"/>
  <c r="FR105" i="33" s="1"/>
  <c r="FS105" i="33" s="1"/>
  <c r="FT105" i="33" s="1"/>
  <c r="FU105" i="33" s="1"/>
  <c r="FV105" i="33" s="1"/>
  <c r="FW105" i="33" s="1"/>
  <c r="FX105" i="33" s="1"/>
  <c r="FY105" i="33" s="1"/>
  <c r="FZ105" i="33" s="1"/>
  <c r="GA105" i="33" s="1"/>
  <c r="GB105" i="33" s="1"/>
  <c r="GC105" i="33" s="1"/>
  <c r="Q45" i="33"/>
  <c r="FJ104" i="33" s="1"/>
  <c r="FK104" i="33" s="1"/>
  <c r="FL104" i="33" s="1"/>
  <c r="FM104" i="33" s="1"/>
  <c r="FN104" i="33" s="1"/>
  <c r="FO104" i="33" s="1"/>
  <c r="FP104" i="33" s="1"/>
  <c r="FQ104" i="33" s="1"/>
  <c r="FR104" i="33" s="1"/>
  <c r="FS104" i="33" s="1"/>
  <c r="FT104" i="33" s="1"/>
  <c r="FU104" i="33" s="1"/>
  <c r="FV104" i="33" s="1"/>
  <c r="FW104" i="33" s="1"/>
  <c r="FX104" i="33" s="1"/>
  <c r="FY104" i="33" s="1"/>
  <c r="FZ104" i="33" s="1"/>
  <c r="GA104" i="33" s="1"/>
  <c r="GB104" i="33" s="1"/>
  <c r="GC104" i="33" s="1"/>
  <c r="Q44" i="33"/>
  <c r="FJ103" i="33" s="1"/>
  <c r="FK103" i="33" s="1"/>
  <c r="FL103" i="33" s="1"/>
  <c r="FM103" i="33" s="1"/>
  <c r="FN103" i="33" s="1"/>
  <c r="FO103" i="33" s="1"/>
  <c r="FP103" i="33" s="1"/>
  <c r="FQ103" i="33" s="1"/>
  <c r="FR103" i="33" s="1"/>
  <c r="FS103" i="33" s="1"/>
  <c r="FT103" i="33" s="1"/>
  <c r="FU103" i="33" s="1"/>
  <c r="FV103" i="33" s="1"/>
  <c r="FW103" i="33" s="1"/>
  <c r="FX103" i="33" s="1"/>
  <c r="FY103" i="33" s="1"/>
  <c r="FZ103" i="33" s="1"/>
  <c r="GA103" i="33" s="1"/>
  <c r="GB103" i="33" s="1"/>
  <c r="GC103" i="33" s="1"/>
  <c r="Q43" i="33"/>
  <c r="FJ102" i="33" s="1"/>
  <c r="FK102" i="33" s="1"/>
  <c r="FL102" i="33" s="1"/>
  <c r="FM102" i="33" s="1"/>
  <c r="FN102" i="33" s="1"/>
  <c r="FO102" i="33" s="1"/>
  <c r="FP102" i="33" s="1"/>
  <c r="FQ102" i="33" s="1"/>
  <c r="FR102" i="33" s="1"/>
  <c r="FS102" i="33" s="1"/>
  <c r="FT102" i="33" s="1"/>
  <c r="FU102" i="33" s="1"/>
  <c r="FV102" i="33" s="1"/>
  <c r="FW102" i="33" s="1"/>
  <c r="FX102" i="33" s="1"/>
  <c r="FY102" i="33" s="1"/>
  <c r="FZ102" i="33" s="1"/>
  <c r="GA102" i="33" s="1"/>
  <c r="GB102" i="33" s="1"/>
  <c r="GC102" i="33" s="1"/>
  <c r="Q42" i="33"/>
  <c r="FJ101" i="33" s="1"/>
  <c r="FK101" i="33" s="1"/>
  <c r="FL101" i="33" s="1"/>
  <c r="FM101" i="33" s="1"/>
  <c r="FN101" i="33" s="1"/>
  <c r="FO101" i="33" s="1"/>
  <c r="FP101" i="33" s="1"/>
  <c r="FQ101" i="33" s="1"/>
  <c r="FR101" i="33" s="1"/>
  <c r="FS101" i="33" s="1"/>
  <c r="FT101" i="33" s="1"/>
  <c r="FU101" i="33" s="1"/>
  <c r="FV101" i="33" s="1"/>
  <c r="FW101" i="33" s="1"/>
  <c r="FX101" i="33" s="1"/>
  <c r="FY101" i="33" s="1"/>
  <c r="FZ101" i="33" s="1"/>
  <c r="GA101" i="33" s="1"/>
  <c r="GB101" i="33" s="1"/>
  <c r="GC101" i="33" s="1"/>
  <c r="Q41" i="33"/>
  <c r="FJ100" i="33" s="1"/>
  <c r="FK100" i="33" s="1"/>
  <c r="FL100" i="33" s="1"/>
  <c r="FM100" i="33" s="1"/>
  <c r="FN100" i="33" s="1"/>
  <c r="FO100" i="33" s="1"/>
  <c r="FP100" i="33" s="1"/>
  <c r="FQ100" i="33" s="1"/>
  <c r="FR100" i="33" s="1"/>
  <c r="FS100" i="33" s="1"/>
  <c r="FT100" i="33" s="1"/>
  <c r="FU100" i="33" s="1"/>
  <c r="FV100" i="33" s="1"/>
  <c r="FW100" i="33" s="1"/>
  <c r="FX100" i="33" s="1"/>
  <c r="FY100" i="33" s="1"/>
  <c r="FZ100" i="33" s="1"/>
  <c r="GA100" i="33" s="1"/>
  <c r="GB100" i="33" s="1"/>
  <c r="GC100" i="33" s="1"/>
  <c r="Q40" i="33"/>
  <c r="FJ99" i="33" s="1"/>
  <c r="FK99" i="33" s="1"/>
  <c r="FL99" i="33" s="1"/>
  <c r="FM99" i="33" s="1"/>
  <c r="FN99" i="33" s="1"/>
  <c r="FO99" i="33" s="1"/>
  <c r="FP99" i="33" s="1"/>
  <c r="FQ99" i="33" s="1"/>
  <c r="FR99" i="33" s="1"/>
  <c r="FS99" i="33" s="1"/>
  <c r="FT99" i="33" s="1"/>
  <c r="FU99" i="33" s="1"/>
  <c r="FV99" i="33" s="1"/>
  <c r="FW99" i="33" s="1"/>
  <c r="FX99" i="33" s="1"/>
  <c r="FY99" i="33" s="1"/>
  <c r="FZ99" i="33" s="1"/>
  <c r="GA99" i="33" s="1"/>
  <c r="GB99" i="33" s="1"/>
  <c r="GC99" i="33" s="1"/>
  <c r="Q39" i="33"/>
  <c r="FJ98" i="33" s="1"/>
  <c r="FK98" i="33" s="1"/>
  <c r="FL98" i="33" s="1"/>
  <c r="FM98" i="33" s="1"/>
  <c r="FN98" i="33" s="1"/>
  <c r="FO98" i="33" s="1"/>
  <c r="FP98" i="33" s="1"/>
  <c r="FQ98" i="33" s="1"/>
  <c r="FR98" i="33" s="1"/>
  <c r="FS98" i="33" s="1"/>
  <c r="FT98" i="33" s="1"/>
  <c r="FU98" i="33" s="1"/>
  <c r="FV98" i="33" s="1"/>
  <c r="FW98" i="33" s="1"/>
  <c r="FX98" i="33" s="1"/>
  <c r="FY98" i="33" s="1"/>
  <c r="FZ98" i="33" s="1"/>
  <c r="GA98" i="33" s="1"/>
  <c r="GB98" i="33" s="1"/>
  <c r="GC98" i="33" s="1"/>
  <c r="Q38" i="33"/>
  <c r="FJ97" i="33" s="1"/>
  <c r="FK97" i="33" s="1"/>
  <c r="FL97" i="33" s="1"/>
  <c r="FM97" i="33" s="1"/>
  <c r="FN97" i="33" s="1"/>
  <c r="FO97" i="33" s="1"/>
  <c r="FP97" i="33" s="1"/>
  <c r="FQ97" i="33" s="1"/>
  <c r="FR97" i="33" s="1"/>
  <c r="FS97" i="33" s="1"/>
  <c r="FT97" i="33" s="1"/>
  <c r="FU97" i="33" s="1"/>
  <c r="FV97" i="33" s="1"/>
  <c r="FW97" i="33" s="1"/>
  <c r="FX97" i="33" s="1"/>
  <c r="FY97" i="33" s="1"/>
  <c r="FZ97" i="33" s="1"/>
  <c r="GA97" i="33" s="1"/>
  <c r="GB97" i="33" s="1"/>
  <c r="GC97" i="33" s="1"/>
  <c r="Q37" i="33"/>
  <c r="FJ96" i="33" s="1"/>
  <c r="FK96" i="33" s="1"/>
  <c r="FL96" i="33" s="1"/>
  <c r="FM96" i="33" s="1"/>
  <c r="FN96" i="33" s="1"/>
  <c r="FO96" i="33" s="1"/>
  <c r="FP96" i="33" s="1"/>
  <c r="FQ96" i="33" s="1"/>
  <c r="FR96" i="33" s="1"/>
  <c r="FS96" i="33" s="1"/>
  <c r="FT96" i="33" s="1"/>
  <c r="FU96" i="33" s="1"/>
  <c r="FV96" i="33" s="1"/>
  <c r="FW96" i="33" s="1"/>
  <c r="FX96" i="33" s="1"/>
  <c r="FY96" i="33" s="1"/>
  <c r="FZ96" i="33" s="1"/>
  <c r="GA96" i="33" s="1"/>
  <c r="GB96" i="33" s="1"/>
  <c r="GC96" i="33" s="1"/>
  <c r="Q36" i="33"/>
  <c r="FJ95" i="33" s="1"/>
  <c r="FK95" i="33" s="1"/>
  <c r="FL95" i="33" s="1"/>
  <c r="FM95" i="33" s="1"/>
  <c r="FN95" i="33" s="1"/>
  <c r="FO95" i="33" s="1"/>
  <c r="FP95" i="33" s="1"/>
  <c r="FQ95" i="33" s="1"/>
  <c r="FR95" i="33" s="1"/>
  <c r="FS95" i="33" s="1"/>
  <c r="FT95" i="33" s="1"/>
  <c r="FU95" i="33" s="1"/>
  <c r="FV95" i="33" s="1"/>
  <c r="FW95" i="33" s="1"/>
  <c r="FX95" i="33" s="1"/>
  <c r="FY95" i="33" s="1"/>
  <c r="FZ95" i="33" s="1"/>
  <c r="GA95" i="33" s="1"/>
  <c r="GB95" i="33" s="1"/>
  <c r="GC95" i="33" s="1"/>
  <c r="Q70" i="33"/>
  <c r="FJ129" i="33" s="1"/>
  <c r="FK129" i="33" s="1"/>
  <c r="FL129" i="33" s="1"/>
  <c r="FM129" i="33" s="1"/>
  <c r="FN129" i="33" s="1"/>
  <c r="FO129" i="33" s="1"/>
  <c r="FP129" i="33" s="1"/>
  <c r="FQ129" i="33" s="1"/>
  <c r="FR129" i="33" s="1"/>
  <c r="FS129" i="33" s="1"/>
  <c r="FT129" i="33" s="1"/>
  <c r="FU129" i="33" s="1"/>
  <c r="FV129" i="33" s="1"/>
  <c r="FW129" i="33" s="1"/>
  <c r="FX129" i="33" s="1"/>
  <c r="FY129" i="33" s="1"/>
  <c r="FZ129" i="33" s="1"/>
  <c r="GA129" i="33" s="1"/>
  <c r="GB129" i="33" s="1"/>
  <c r="GC129" i="33" s="1"/>
  <c r="Q68" i="33"/>
  <c r="FJ127" i="33" s="1"/>
  <c r="FK127" i="33" s="1"/>
  <c r="FL127" i="33" s="1"/>
  <c r="FM127" i="33" s="1"/>
  <c r="FN127" i="33" s="1"/>
  <c r="FO127" i="33" s="1"/>
  <c r="FP127" i="33" s="1"/>
  <c r="FQ127" i="33" s="1"/>
  <c r="FR127" i="33" s="1"/>
  <c r="FS127" i="33" s="1"/>
  <c r="FT127" i="33" s="1"/>
  <c r="FU127" i="33" s="1"/>
  <c r="FV127" i="33" s="1"/>
  <c r="FW127" i="33" s="1"/>
  <c r="FX127" i="33" s="1"/>
  <c r="FY127" i="33" s="1"/>
  <c r="FZ127" i="33" s="1"/>
  <c r="GA127" i="33" s="1"/>
  <c r="GB127" i="33" s="1"/>
  <c r="GC127" i="33" s="1"/>
  <c r="S66" i="33"/>
  <c r="GN125" i="33" s="1"/>
  <c r="GO125" i="33" s="1"/>
  <c r="GP125" i="33" s="1"/>
  <c r="GQ125" i="33" s="1"/>
  <c r="GR125" i="33" s="1"/>
  <c r="S55" i="33"/>
  <c r="GN114" i="33" s="1"/>
  <c r="GO114" i="33" s="1"/>
  <c r="GP114" i="33" s="1"/>
  <c r="GQ114" i="33" s="1"/>
  <c r="GR114" i="33" s="1"/>
  <c r="S52" i="33"/>
  <c r="GN111" i="33" s="1"/>
  <c r="GO111" i="33" s="1"/>
  <c r="GP111" i="33" s="1"/>
  <c r="GQ111" i="33" s="1"/>
  <c r="GR111" i="33" s="1"/>
  <c r="S46" i="33"/>
  <c r="GN105" i="33" s="1"/>
  <c r="GO105" i="33" s="1"/>
  <c r="GP105" i="33" s="1"/>
  <c r="GQ105" i="33" s="1"/>
  <c r="GR105" i="33" s="1"/>
  <c r="S38" i="33"/>
  <c r="GN97" i="33" s="1"/>
  <c r="GO97" i="33" s="1"/>
  <c r="GP97" i="33" s="1"/>
  <c r="GQ97" i="33" s="1"/>
  <c r="GR97" i="33" s="1"/>
  <c r="S34" i="33"/>
  <c r="GN93" i="33" s="1"/>
  <c r="GO93" i="33" s="1"/>
  <c r="GP93" i="33" s="1"/>
  <c r="GQ93" i="33" s="1"/>
  <c r="GR93" i="33" s="1"/>
  <c r="P35" i="33"/>
  <c r="EP94" i="33" s="1"/>
  <c r="EQ94" i="33" s="1"/>
  <c r="ER94" i="33" s="1"/>
  <c r="ES94" i="33" s="1"/>
  <c r="ET94" i="33" s="1"/>
  <c r="EU94" i="33" s="1"/>
  <c r="EV94" i="33" s="1"/>
  <c r="EW94" i="33" s="1"/>
  <c r="EX94" i="33" s="1"/>
  <c r="EY94" i="33" s="1"/>
  <c r="EZ94" i="33" s="1"/>
  <c r="FA94" i="33" s="1"/>
  <c r="FB94" i="33" s="1"/>
  <c r="FC94" i="33" s="1"/>
  <c r="FD94" i="33" s="1"/>
  <c r="FE94" i="33" s="1"/>
  <c r="FF94" i="33" s="1"/>
  <c r="FG94" i="33" s="1"/>
  <c r="FH94" i="33" s="1"/>
  <c r="FI94" i="33" s="1"/>
  <c r="P67" i="33"/>
  <c r="EP126" i="33" s="1"/>
  <c r="EQ126" i="33" s="1"/>
  <c r="ER126" i="33" s="1"/>
  <c r="ES126" i="33" s="1"/>
  <c r="ET126" i="33" s="1"/>
  <c r="EU126" i="33" s="1"/>
  <c r="EV126" i="33" s="1"/>
  <c r="EW126" i="33" s="1"/>
  <c r="EX126" i="33" s="1"/>
  <c r="EY126" i="33" s="1"/>
  <c r="EZ126" i="33" s="1"/>
  <c r="FA126" i="33" s="1"/>
  <c r="FB126" i="33" s="1"/>
  <c r="FC126" i="33" s="1"/>
  <c r="FD126" i="33" s="1"/>
  <c r="FE126" i="33" s="1"/>
  <c r="FF126" i="33" s="1"/>
  <c r="FG126" i="33" s="1"/>
  <c r="FH126" i="33" s="1"/>
  <c r="FI126" i="33" s="1"/>
  <c r="P66" i="33"/>
  <c r="EP125" i="33" s="1"/>
  <c r="EQ125" i="33" s="1"/>
  <c r="ER125" i="33" s="1"/>
  <c r="ES125" i="33" s="1"/>
  <c r="ET125" i="33" s="1"/>
  <c r="EU125" i="33" s="1"/>
  <c r="EV125" i="33" s="1"/>
  <c r="EW125" i="33" s="1"/>
  <c r="EX125" i="33" s="1"/>
  <c r="EY125" i="33" s="1"/>
  <c r="EZ125" i="33" s="1"/>
  <c r="FA125" i="33" s="1"/>
  <c r="FB125" i="33" s="1"/>
  <c r="FC125" i="33" s="1"/>
  <c r="FD125" i="33" s="1"/>
  <c r="FE125" i="33" s="1"/>
  <c r="FF125" i="33" s="1"/>
  <c r="FG125" i="33" s="1"/>
  <c r="FH125" i="33" s="1"/>
  <c r="FI125" i="33" s="1"/>
  <c r="P65" i="33"/>
  <c r="EP124" i="33" s="1"/>
  <c r="EQ124" i="33" s="1"/>
  <c r="ER124" i="33" s="1"/>
  <c r="ES124" i="33" s="1"/>
  <c r="ET124" i="33" s="1"/>
  <c r="EU124" i="33" s="1"/>
  <c r="EV124" i="33" s="1"/>
  <c r="EW124" i="33" s="1"/>
  <c r="EX124" i="33" s="1"/>
  <c r="EY124" i="33" s="1"/>
  <c r="EZ124" i="33" s="1"/>
  <c r="FA124" i="33" s="1"/>
  <c r="FB124" i="33" s="1"/>
  <c r="FC124" i="33" s="1"/>
  <c r="FD124" i="33" s="1"/>
  <c r="FE124" i="33" s="1"/>
  <c r="FF124" i="33" s="1"/>
  <c r="FG124" i="33" s="1"/>
  <c r="FH124" i="33" s="1"/>
  <c r="FI124" i="33" s="1"/>
  <c r="P64" i="33"/>
  <c r="EP123" i="33" s="1"/>
  <c r="EQ123" i="33" s="1"/>
  <c r="ER123" i="33" s="1"/>
  <c r="ES123" i="33" s="1"/>
  <c r="ET123" i="33" s="1"/>
  <c r="EU123" i="33" s="1"/>
  <c r="EV123" i="33" s="1"/>
  <c r="EW123" i="33" s="1"/>
  <c r="EX123" i="33" s="1"/>
  <c r="EY123" i="33" s="1"/>
  <c r="EZ123" i="33" s="1"/>
  <c r="FA123" i="33" s="1"/>
  <c r="FB123" i="33" s="1"/>
  <c r="FC123" i="33" s="1"/>
  <c r="FD123" i="33" s="1"/>
  <c r="FE123" i="33" s="1"/>
  <c r="FF123" i="33" s="1"/>
  <c r="FG123" i="33" s="1"/>
  <c r="FH123" i="33" s="1"/>
  <c r="FI123" i="33" s="1"/>
  <c r="P63" i="33"/>
  <c r="EP122" i="33" s="1"/>
  <c r="EQ122" i="33" s="1"/>
  <c r="ER122" i="33" s="1"/>
  <c r="ES122" i="33" s="1"/>
  <c r="ET122" i="33" s="1"/>
  <c r="EU122" i="33" s="1"/>
  <c r="EV122" i="33" s="1"/>
  <c r="EW122" i="33" s="1"/>
  <c r="EX122" i="33" s="1"/>
  <c r="EY122" i="33" s="1"/>
  <c r="EZ122" i="33" s="1"/>
  <c r="FA122" i="33" s="1"/>
  <c r="FB122" i="33" s="1"/>
  <c r="FC122" i="33" s="1"/>
  <c r="FD122" i="33" s="1"/>
  <c r="FE122" i="33" s="1"/>
  <c r="FF122" i="33" s="1"/>
  <c r="FG122" i="33" s="1"/>
  <c r="FH122" i="33" s="1"/>
  <c r="FI122" i="33" s="1"/>
  <c r="P62" i="33"/>
  <c r="EP121" i="33" s="1"/>
  <c r="EQ121" i="33" s="1"/>
  <c r="ER121" i="33" s="1"/>
  <c r="ES121" i="33" s="1"/>
  <c r="ET121" i="33" s="1"/>
  <c r="EU121" i="33" s="1"/>
  <c r="EV121" i="33" s="1"/>
  <c r="EW121" i="33" s="1"/>
  <c r="EX121" i="33" s="1"/>
  <c r="EY121" i="33" s="1"/>
  <c r="EZ121" i="33" s="1"/>
  <c r="FA121" i="33" s="1"/>
  <c r="FB121" i="33" s="1"/>
  <c r="FC121" i="33" s="1"/>
  <c r="FD121" i="33" s="1"/>
  <c r="FE121" i="33" s="1"/>
  <c r="FF121" i="33" s="1"/>
  <c r="FG121" i="33" s="1"/>
  <c r="FH121" i="33" s="1"/>
  <c r="FI121" i="33" s="1"/>
  <c r="P61" i="33"/>
  <c r="EP120" i="33" s="1"/>
  <c r="EQ120" i="33" s="1"/>
  <c r="ER120" i="33" s="1"/>
  <c r="ES120" i="33" s="1"/>
  <c r="ET120" i="33" s="1"/>
  <c r="EU120" i="33" s="1"/>
  <c r="EV120" i="33" s="1"/>
  <c r="EW120" i="33" s="1"/>
  <c r="EX120" i="33" s="1"/>
  <c r="EY120" i="33" s="1"/>
  <c r="EZ120" i="33" s="1"/>
  <c r="FA120" i="33" s="1"/>
  <c r="FB120" i="33" s="1"/>
  <c r="FC120" i="33" s="1"/>
  <c r="FD120" i="33" s="1"/>
  <c r="FE120" i="33" s="1"/>
  <c r="FF120" i="33" s="1"/>
  <c r="FG120" i="33" s="1"/>
  <c r="FH120" i="33" s="1"/>
  <c r="FI120" i="33" s="1"/>
  <c r="P60" i="33"/>
  <c r="EP119" i="33" s="1"/>
  <c r="EQ119" i="33" s="1"/>
  <c r="ER119" i="33" s="1"/>
  <c r="ES119" i="33" s="1"/>
  <c r="ET119" i="33" s="1"/>
  <c r="EU119" i="33" s="1"/>
  <c r="EV119" i="33" s="1"/>
  <c r="EW119" i="33" s="1"/>
  <c r="EX119" i="33" s="1"/>
  <c r="EY119" i="33" s="1"/>
  <c r="EZ119" i="33" s="1"/>
  <c r="FA119" i="33" s="1"/>
  <c r="FB119" i="33" s="1"/>
  <c r="FC119" i="33" s="1"/>
  <c r="FD119" i="33" s="1"/>
  <c r="FE119" i="33" s="1"/>
  <c r="FF119" i="33" s="1"/>
  <c r="FG119" i="33" s="1"/>
  <c r="FH119" i="33" s="1"/>
  <c r="FI119" i="33" s="1"/>
  <c r="P59" i="33"/>
  <c r="EP118" i="33" s="1"/>
  <c r="EQ118" i="33" s="1"/>
  <c r="ER118" i="33" s="1"/>
  <c r="ES118" i="33" s="1"/>
  <c r="ET118" i="33" s="1"/>
  <c r="EU118" i="33" s="1"/>
  <c r="EV118" i="33" s="1"/>
  <c r="EW118" i="33" s="1"/>
  <c r="EX118" i="33" s="1"/>
  <c r="EY118" i="33" s="1"/>
  <c r="EZ118" i="33" s="1"/>
  <c r="FA118" i="33" s="1"/>
  <c r="FB118" i="33" s="1"/>
  <c r="FC118" i="33" s="1"/>
  <c r="FD118" i="33" s="1"/>
  <c r="FE118" i="33" s="1"/>
  <c r="FF118" i="33" s="1"/>
  <c r="FG118" i="33" s="1"/>
  <c r="FH118" i="33" s="1"/>
  <c r="FI118" i="33" s="1"/>
  <c r="P58" i="33"/>
  <c r="EP117" i="33" s="1"/>
  <c r="EQ117" i="33" s="1"/>
  <c r="ER117" i="33" s="1"/>
  <c r="ES117" i="33" s="1"/>
  <c r="ET117" i="33" s="1"/>
  <c r="EU117" i="33" s="1"/>
  <c r="EV117" i="33" s="1"/>
  <c r="EW117" i="33" s="1"/>
  <c r="EX117" i="33" s="1"/>
  <c r="EY117" i="33" s="1"/>
  <c r="EZ117" i="33" s="1"/>
  <c r="FA117" i="33" s="1"/>
  <c r="FB117" i="33" s="1"/>
  <c r="FC117" i="33" s="1"/>
  <c r="FD117" i="33" s="1"/>
  <c r="FE117" i="33" s="1"/>
  <c r="FF117" i="33" s="1"/>
  <c r="FG117" i="33" s="1"/>
  <c r="FH117" i="33" s="1"/>
  <c r="FI117" i="33" s="1"/>
  <c r="P57" i="33"/>
  <c r="EP116" i="33" s="1"/>
  <c r="EQ116" i="33" s="1"/>
  <c r="ER116" i="33" s="1"/>
  <c r="ES116" i="33" s="1"/>
  <c r="ET116" i="33" s="1"/>
  <c r="EU116" i="33" s="1"/>
  <c r="EV116" i="33" s="1"/>
  <c r="EW116" i="33" s="1"/>
  <c r="EX116" i="33" s="1"/>
  <c r="EY116" i="33" s="1"/>
  <c r="EZ116" i="33" s="1"/>
  <c r="FA116" i="33" s="1"/>
  <c r="FB116" i="33" s="1"/>
  <c r="FC116" i="33" s="1"/>
  <c r="FD116" i="33" s="1"/>
  <c r="FE116" i="33" s="1"/>
  <c r="FF116" i="33" s="1"/>
  <c r="FG116" i="33" s="1"/>
  <c r="FH116" i="33" s="1"/>
  <c r="FI116" i="33" s="1"/>
  <c r="P56" i="33"/>
  <c r="EP115" i="33" s="1"/>
  <c r="EQ115" i="33" s="1"/>
  <c r="ER115" i="33" s="1"/>
  <c r="ES115" i="33" s="1"/>
  <c r="ET115" i="33" s="1"/>
  <c r="EU115" i="33" s="1"/>
  <c r="EV115" i="33" s="1"/>
  <c r="EW115" i="33" s="1"/>
  <c r="EX115" i="33" s="1"/>
  <c r="EY115" i="33" s="1"/>
  <c r="EZ115" i="33" s="1"/>
  <c r="FA115" i="33" s="1"/>
  <c r="FB115" i="33" s="1"/>
  <c r="FC115" i="33" s="1"/>
  <c r="FD115" i="33" s="1"/>
  <c r="FE115" i="33" s="1"/>
  <c r="FF115" i="33" s="1"/>
  <c r="FG115" i="33" s="1"/>
  <c r="FH115" i="33" s="1"/>
  <c r="FI115" i="33" s="1"/>
  <c r="P55" i="33"/>
  <c r="EP114" i="33" s="1"/>
  <c r="EQ114" i="33" s="1"/>
  <c r="ER114" i="33" s="1"/>
  <c r="ES114" i="33" s="1"/>
  <c r="ET114" i="33" s="1"/>
  <c r="EU114" i="33" s="1"/>
  <c r="EV114" i="33" s="1"/>
  <c r="EW114" i="33" s="1"/>
  <c r="EX114" i="33" s="1"/>
  <c r="EY114" i="33" s="1"/>
  <c r="EZ114" i="33" s="1"/>
  <c r="FA114" i="33" s="1"/>
  <c r="FB114" i="33" s="1"/>
  <c r="FC114" i="33" s="1"/>
  <c r="FD114" i="33" s="1"/>
  <c r="FE114" i="33" s="1"/>
  <c r="FF114" i="33" s="1"/>
  <c r="FG114" i="33" s="1"/>
  <c r="FH114" i="33" s="1"/>
  <c r="FI114" i="33" s="1"/>
  <c r="P54" i="33"/>
  <c r="EP113" i="33" s="1"/>
  <c r="EQ113" i="33" s="1"/>
  <c r="ER113" i="33" s="1"/>
  <c r="ES113" i="33" s="1"/>
  <c r="ET113" i="33" s="1"/>
  <c r="EU113" i="33" s="1"/>
  <c r="EV113" i="33" s="1"/>
  <c r="EW113" i="33" s="1"/>
  <c r="EX113" i="33" s="1"/>
  <c r="EY113" i="33" s="1"/>
  <c r="EZ113" i="33" s="1"/>
  <c r="FA113" i="33" s="1"/>
  <c r="FB113" i="33" s="1"/>
  <c r="FC113" i="33" s="1"/>
  <c r="FD113" i="33" s="1"/>
  <c r="FE113" i="33" s="1"/>
  <c r="FF113" i="33" s="1"/>
  <c r="FG113" i="33" s="1"/>
  <c r="FH113" i="33" s="1"/>
  <c r="FI113" i="33" s="1"/>
  <c r="P53" i="33"/>
  <c r="EP112" i="33" s="1"/>
  <c r="EQ112" i="33" s="1"/>
  <c r="ER112" i="33" s="1"/>
  <c r="ES112" i="33" s="1"/>
  <c r="ET112" i="33" s="1"/>
  <c r="EU112" i="33" s="1"/>
  <c r="EV112" i="33" s="1"/>
  <c r="EW112" i="33" s="1"/>
  <c r="EX112" i="33" s="1"/>
  <c r="EY112" i="33" s="1"/>
  <c r="EZ112" i="33" s="1"/>
  <c r="FA112" i="33" s="1"/>
  <c r="FB112" i="33" s="1"/>
  <c r="FC112" i="33" s="1"/>
  <c r="FD112" i="33" s="1"/>
  <c r="FE112" i="33" s="1"/>
  <c r="FF112" i="33" s="1"/>
  <c r="FG112" i="33" s="1"/>
  <c r="FH112" i="33" s="1"/>
  <c r="FI112" i="33" s="1"/>
  <c r="P52" i="33"/>
  <c r="EP111" i="33" s="1"/>
  <c r="EQ111" i="33" s="1"/>
  <c r="ER111" i="33" s="1"/>
  <c r="ES111" i="33" s="1"/>
  <c r="ET111" i="33" s="1"/>
  <c r="EU111" i="33" s="1"/>
  <c r="EV111" i="33" s="1"/>
  <c r="EW111" i="33" s="1"/>
  <c r="EX111" i="33" s="1"/>
  <c r="EY111" i="33" s="1"/>
  <c r="EZ111" i="33" s="1"/>
  <c r="FA111" i="33" s="1"/>
  <c r="FB111" i="33" s="1"/>
  <c r="FC111" i="33" s="1"/>
  <c r="FD111" i="33" s="1"/>
  <c r="FE111" i="33" s="1"/>
  <c r="FF111" i="33" s="1"/>
  <c r="FG111" i="33" s="1"/>
  <c r="FH111" i="33" s="1"/>
  <c r="FI111" i="33" s="1"/>
  <c r="P51" i="33"/>
  <c r="EP110" i="33" s="1"/>
  <c r="EQ110" i="33" s="1"/>
  <c r="ER110" i="33" s="1"/>
  <c r="ES110" i="33" s="1"/>
  <c r="ET110" i="33" s="1"/>
  <c r="EU110" i="33" s="1"/>
  <c r="EV110" i="33" s="1"/>
  <c r="EW110" i="33" s="1"/>
  <c r="EX110" i="33" s="1"/>
  <c r="EY110" i="33" s="1"/>
  <c r="EZ110" i="33" s="1"/>
  <c r="FA110" i="33" s="1"/>
  <c r="FB110" i="33" s="1"/>
  <c r="FC110" i="33" s="1"/>
  <c r="FD110" i="33" s="1"/>
  <c r="FE110" i="33" s="1"/>
  <c r="FF110" i="33" s="1"/>
  <c r="FG110" i="33" s="1"/>
  <c r="FH110" i="33" s="1"/>
  <c r="FI110" i="33" s="1"/>
  <c r="P50" i="33"/>
  <c r="EP109" i="33" s="1"/>
  <c r="EQ109" i="33" s="1"/>
  <c r="ER109" i="33" s="1"/>
  <c r="ES109" i="33" s="1"/>
  <c r="ET109" i="33" s="1"/>
  <c r="EU109" i="33" s="1"/>
  <c r="EV109" i="33" s="1"/>
  <c r="EW109" i="33" s="1"/>
  <c r="EX109" i="33" s="1"/>
  <c r="EY109" i="33" s="1"/>
  <c r="EZ109" i="33" s="1"/>
  <c r="FA109" i="33" s="1"/>
  <c r="FB109" i="33" s="1"/>
  <c r="FC109" i="33" s="1"/>
  <c r="FD109" i="33" s="1"/>
  <c r="FE109" i="33" s="1"/>
  <c r="FF109" i="33" s="1"/>
  <c r="FG109" i="33" s="1"/>
  <c r="FH109" i="33" s="1"/>
  <c r="FI109" i="33" s="1"/>
  <c r="P49" i="33"/>
  <c r="EP108" i="33" s="1"/>
  <c r="EQ108" i="33" s="1"/>
  <c r="ER108" i="33" s="1"/>
  <c r="ES108" i="33" s="1"/>
  <c r="ET108" i="33" s="1"/>
  <c r="EU108" i="33" s="1"/>
  <c r="EV108" i="33" s="1"/>
  <c r="EW108" i="33" s="1"/>
  <c r="EX108" i="33" s="1"/>
  <c r="EY108" i="33" s="1"/>
  <c r="EZ108" i="33" s="1"/>
  <c r="FA108" i="33" s="1"/>
  <c r="FB108" i="33" s="1"/>
  <c r="FC108" i="33" s="1"/>
  <c r="FD108" i="33" s="1"/>
  <c r="FE108" i="33" s="1"/>
  <c r="FF108" i="33" s="1"/>
  <c r="FG108" i="33" s="1"/>
  <c r="FH108" i="33" s="1"/>
  <c r="FI108" i="33" s="1"/>
  <c r="P48" i="33"/>
  <c r="EP107" i="33" s="1"/>
  <c r="EQ107" i="33" s="1"/>
  <c r="ER107" i="33" s="1"/>
  <c r="ES107" i="33" s="1"/>
  <c r="ET107" i="33" s="1"/>
  <c r="EU107" i="33" s="1"/>
  <c r="EV107" i="33" s="1"/>
  <c r="EW107" i="33" s="1"/>
  <c r="EX107" i="33" s="1"/>
  <c r="EY107" i="33" s="1"/>
  <c r="EZ107" i="33" s="1"/>
  <c r="FA107" i="33" s="1"/>
  <c r="FB107" i="33" s="1"/>
  <c r="FC107" i="33" s="1"/>
  <c r="FD107" i="33" s="1"/>
  <c r="FE107" i="33" s="1"/>
  <c r="FF107" i="33" s="1"/>
  <c r="FG107" i="33" s="1"/>
  <c r="FH107" i="33" s="1"/>
  <c r="FI107" i="33" s="1"/>
  <c r="P47" i="33"/>
  <c r="EP106" i="33" s="1"/>
  <c r="EQ106" i="33" s="1"/>
  <c r="ER106" i="33" s="1"/>
  <c r="ES106" i="33" s="1"/>
  <c r="ET106" i="33" s="1"/>
  <c r="EU106" i="33" s="1"/>
  <c r="EV106" i="33" s="1"/>
  <c r="EW106" i="33" s="1"/>
  <c r="EX106" i="33" s="1"/>
  <c r="EY106" i="33" s="1"/>
  <c r="EZ106" i="33" s="1"/>
  <c r="FA106" i="33" s="1"/>
  <c r="FB106" i="33" s="1"/>
  <c r="FC106" i="33" s="1"/>
  <c r="FD106" i="33" s="1"/>
  <c r="FE106" i="33" s="1"/>
  <c r="FF106" i="33" s="1"/>
  <c r="FG106" i="33" s="1"/>
  <c r="FH106" i="33" s="1"/>
  <c r="FI106" i="33" s="1"/>
  <c r="P46" i="33"/>
  <c r="EP105" i="33" s="1"/>
  <c r="EQ105" i="33" s="1"/>
  <c r="ER105" i="33" s="1"/>
  <c r="ES105" i="33" s="1"/>
  <c r="ET105" i="33" s="1"/>
  <c r="EU105" i="33" s="1"/>
  <c r="EV105" i="33" s="1"/>
  <c r="EW105" i="33" s="1"/>
  <c r="EX105" i="33" s="1"/>
  <c r="EY105" i="33" s="1"/>
  <c r="EZ105" i="33" s="1"/>
  <c r="FA105" i="33" s="1"/>
  <c r="FB105" i="33" s="1"/>
  <c r="FC105" i="33" s="1"/>
  <c r="FD105" i="33" s="1"/>
  <c r="FE105" i="33" s="1"/>
  <c r="FF105" i="33" s="1"/>
  <c r="FG105" i="33" s="1"/>
  <c r="FH105" i="33" s="1"/>
  <c r="FI105" i="33" s="1"/>
  <c r="P45" i="33"/>
  <c r="EP104" i="33" s="1"/>
  <c r="EQ104" i="33" s="1"/>
  <c r="ER104" i="33" s="1"/>
  <c r="ES104" i="33" s="1"/>
  <c r="ET104" i="33" s="1"/>
  <c r="EU104" i="33" s="1"/>
  <c r="EV104" i="33" s="1"/>
  <c r="EW104" i="33" s="1"/>
  <c r="EX104" i="33" s="1"/>
  <c r="EY104" i="33" s="1"/>
  <c r="EZ104" i="33" s="1"/>
  <c r="FA104" i="33" s="1"/>
  <c r="FB104" i="33" s="1"/>
  <c r="FC104" i="33" s="1"/>
  <c r="FD104" i="33" s="1"/>
  <c r="FE104" i="33" s="1"/>
  <c r="FF104" i="33" s="1"/>
  <c r="FG104" i="33" s="1"/>
  <c r="FH104" i="33" s="1"/>
  <c r="FI104" i="33" s="1"/>
  <c r="P44" i="33"/>
  <c r="EP103" i="33" s="1"/>
  <c r="EQ103" i="33" s="1"/>
  <c r="ER103" i="33" s="1"/>
  <c r="ES103" i="33" s="1"/>
  <c r="ET103" i="33" s="1"/>
  <c r="EU103" i="33" s="1"/>
  <c r="EV103" i="33" s="1"/>
  <c r="EW103" i="33" s="1"/>
  <c r="EX103" i="33" s="1"/>
  <c r="EY103" i="33" s="1"/>
  <c r="EZ103" i="33" s="1"/>
  <c r="FA103" i="33" s="1"/>
  <c r="FB103" i="33" s="1"/>
  <c r="FC103" i="33" s="1"/>
  <c r="FD103" i="33" s="1"/>
  <c r="FE103" i="33" s="1"/>
  <c r="FF103" i="33" s="1"/>
  <c r="FG103" i="33" s="1"/>
  <c r="FH103" i="33" s="1"/>
  <c r="FI103" i="33" s="1"/>
  <c r="P43" i="33"/>
  <c r="EP102" i="33" s="1"/>
  <c r="EQ102" i="33" s="1"/>
  <c r="ER102" i="33" s="1"/>
  <c r="ES102" i="33" s="1"/>
  <c r="ET102" i="33" s="1"/>
  <c r="EU102" i="33" s="1"/>
  <c r="EV102" i="33" s="1"/>
  <c r="EW102" i="33" s="1"/>
  <c r="EX102" i="33" s="1"/>
  <c r="EY102" i="33" s="1"/>
  <c r="EZ102" i="33" s="1"/>
  <c r="FA102" i="33" s="1"/>
  <c r="FB102" i="33" s="1"/>
  <c r="FC102" i="33" s="1"/>
  <c r="FD102" i="33" s="1"/>
  <c r="FE102" i="33" s="1"/>
  <c r="FF102" i="33" s="1"/>
  <c r="FG102" i="33" s="1"/>
  <c r="FH102" i="33" s="1"/>
  <c r="FI102" i="33" s="1"/>
  <c r="P42" i="33"/>
  <c r="EP101" i="33" s="1"/>
  <c r="EQ101" i="33" s="1"/>
  <c r="ER101" i="33" s="1"/>
  <c r="ES101" i="33" s="1"/>
  <c r="ET101" i="33" s="1"/>
  <c r="EU101" i="33" s="1"/>
  <c r="EV101" i="33" s="1"/>
  <c r="EW101" i="33" s="1"/>
  <c r="EX101" i="33" s="1"/>
  <c r="EY101" i="33" s="1"/>
  <c r="EZ101" i="33" s="1"/>
  <c r="FA101" i="33" s="1"/>
  <c r="FB101" i="33" s="1"/>
  <c r="FC101" i="33" s="1"/>
  <c r="FD101" i="33" s="1"/>
  <c r="FE101" i="33" s="1"/>
  <c r="FF101" i="33" s="1"/>
  <c r="FG101" i="33" s="1"/>
  <c r="FH101" i="33" s="1"/>
  <c r="FI101" i="33" s="1"/>
  <c r="P41" i="33"/>
  <c r="EP100" i="33" s="1"/>
  <c r="EQ100" i="33" s="1"/>
  <c r="ER100" i="33" s="1"/>
  <c r="ES100" i="33" s="1"/>
  <c r="ET100" i="33" s="1"/>
  <c r="EU100" i="33" s="1"/>
  <c r="EV100" i="33" s="1"/>
  <c r="EW100" i="33" s="1"/>
  <c r="EX100" i="33" s="1"/>
  <c r="EY100" i="33" s="1"/>
  <c r="EZ100" i="33" s="1"/>
  <c r="FA100" i="33" s="1"/>
  <c r="FB100" i="33" s="1"/>
  <c r="FC100" i="33" s="1"/>
  <c r="FD100" i="33" s="1"/>
  <c r="FE100" i="33" s="1"/>
  <c r="FF100" i="33" s="1"/>
  <c r="FG100" i="33" s="1"/>
  <c r="FH100" i="33" s="1"/>
  <c r="FI100" i="33" s="1"/>
  <c r="P40" i="33"/>
  <c r="EP99" i="33" s="1"/>
  <c r="EQ99" i="33" s="1"/>
  <c r="ER99" i="33" s="1"/>
  <c r="ES99" i="33" s="1"/>
  <c r="ET99" i="33" s="1"/>
  <c r="EU99" i="33" s="1"/>
  <c r="EV99" i="33" s="1"/>
  <c r="EW99" i="33" s="1"/>
  <c r="EX99" i="33" s="1"/>
  <c r="EY99" i="33" s="1"/>
  <c r="EZ99" i="33" s="1"/>
  <c r="FA99" i="33" s="1"/>
  <c r="FB99" i="33" s="1"/>
  <c r="FC99" i="33" s="1"/>
  <c r="FD99" i="33" s="1"/>
  <c r="FE99" i="33" s="1"/>
  <c r="FF99" i="33" s="1"/>
  <c r="FG99" i="33" s="1"/>
  <c r="FH99" i="33" s="1"/>
  <c r="FI99" i="33" s="1"/>
  <c r="P39" i="33"/>
  <c r="EP98" i="33" s="1"/>
  <c r="EQ98" i="33" s="1"/>
  <c r="ER98" i="33" s="1"/>
  <c r="ES98" i="33" s="1"/>
  <c r="ET98" i="33" s="1"/>
  <c r="EU98" i="33" s="1"/>
  <c r="EV98" i="33" s="1"/>
  <c r="EW98" i="33" s="1"/>
  <c r="EX98" i="33" s="1"/>
  <c r="EY98" i="33" s="1"/>
  <c r="EZ98" i="33" s="1"/>
  <c r="FA98" i="33" s="1"/>
  <c r="FB98" i="33" s="1"/>
  <c r="FC98" i="33" s="1"/>
  <c r="FD98" i="33" s="1"/>
  <c r="FE98" i="33" s="1"/>
  <c r="FF98" i="33" s="1"/>
  <c r="FG98" i="33" s="1"/>
  <c r="FH98" i="33" s="1"/>
  <c r="FI98" i="33" s="1"/>
  <c r="P38" i="33"/>
  <c r="EP97" i="33" s="1"/>
  <c r="EQ97" i="33" s="1"/>
  <c r="ER97" i="33" s="1"/>
  <c r="ES97" i="33" s="1"/>
  <c r="ET97" i="33" s="1"/>
  <c r="EU97" i="33" s="1"/>
  <c r="EV97" i="33" s="1"/>
  <c r="EW97" i="33" s="1"/>
  <c r="EX97" i="33" s="1"/>
  <c r="EY97" i="33" s="1"/>
  <c r="EZ97" i="33" s="1"/>
  <c r="FA97" i="33" s="1"/>
  <c r="FB97" i="33" s="1"/>
  <c r="FC97" i="33" s="1"/>
  <c r="FD97" i="33" s="1"/>
  <c r="FE97" i="33" s="1"/>
  <c r="FF97" i="33" s="1"/>
  <c r="FG97" i="33" s="1"/>
  <c r="FH97" i="33" s="1"/>
  <c r="FI97" i="33" s="1"/>
  <c r="P37" i="33"/>
  <c r="EP96" i="33" s="1"/>
  <c r="EQ96" i="33" s="1"/>
  <c r="ER96" i="33" s="1"/>
  <c r="ES96" i="33" s="1"/>
  <c r="ET96" i="33" s="1"/>
  <c r="EU96" i="33" s="1"/>
  <c r="EV96" i="33" s="1"/>
  <c r="EW96" i="33" s="1"/>
  <c r="EX96" i="33" s="1"/>
  <c r="EY96" i="33" s="1"/>
  <c r="EZ96" i="33" s="1"/>
  <c r="FA96" i="33" s="1"/>
  <c r="FB96" i="33" s="1"/>
  <c r="FC96" i="33" s="1"/>
  <c r="FD96" i="33" s="1"/>
  <c r="FE96" i="33" s="1"/>
  <c r="FF96" i="33" s="1"/>
  <c r="FG96" i="33" s="1"/>
  <c r="FH96" i="33" s="1"/>
  <c r="FI96" i="33" s="1"/>
  <c r="P36" i="33"/>
  <c r="EP95" i="33" s="1"/>
  <c r="EQ95" i="33" s="1"/>
  <c r="ER95" i="33" s="1"/>
  <c r="ES95" i="33" s="1"/>
  <c r="ET95" i="33" s="1"/>
  <c r="EU95" i="33" s="1"/>
  <c r="EV95" i="33" s="1"/>
  <c r="EW95" i="33" s="1"/>
  <c r="EX95" i="33" s="1"/>
  <c r="EY95" i="33" s="1"/>
  <c r="EZ95" i="33" s="1"/>
  <c r="FA95" i="33" s="1"/>
  <c r="FB95" i="33" s="1"/>
  <c r="FC95" i="33" s="1"/>
  <c r="FD95" i="33" s="1"/>
  <c r="FE95" i="33" s="1"/>
  <c r="FF95" i="33" s="1"/>
  <c r="FG95" i="33" s="1"/>
  <c r="FH95" i="33" s="1"/>
  <c r="FI95" i="33" s="1"/>
  <c r="P70" i="33"/>
  <c r="EP129" i="33" s="1"/>
  <c r="EQ129" i="33" s="1"/>
  <c r="ER129" i="33" s="1"/>
  <c r="ES129" i="33" s="1"/>
  <c r="ET129" i="33" s="1"/>
  <c r="EU129" i="33" s="1"/>
  <c r="EV129" i="33" s="1"/>
  <c r="EW129" i="33" s="1"/>
  <c r="EX129" i="33" s="1"/>
  <c r="EY129" i="33" s="1"/>
  <c r="EZ129" i="33" s="1"/>
  <c r="FA129" i="33" s="1"/>
  <c r="FB129" i="33" s="1"/>
  <c r="FC129" i="33" s="1"/>
  <c r="FD129" i="33" s="1"/>
  <c r="FE129" i="33" s="1"/>
  <c r="FF129" i="33" s="1"/>
  <c r="FG129" i="33" s="1"/>
  <c r="FH129" i="33" s="1"/>
  <c r="FI129" i="33" s="1"/>
  <c r="P68" i="33"/>
  <c r="EP127" i="33" s="1"/>
  <c r="EQ127" i="33" s="1"/>
  <c r="ER127" i="33" s="1"/>
  <c r="ES127" i="33" s="1"/>
  <c r="ET127" i="33" s="1"/>
  <c r="EU127" i="33" s="1"/>
  <c r="EV127" i="33" s="1"/>
  <c r="EW127" i="33" s="1"/>
  <c r="EX127" i="33" s="1"/>
  <c r="EY127" i="33" s="1"/>
  <c r="EZ127" i="33" s="1"/>
  <c r="FA127" i="33" s="1"/>
  <c r="FB127" i="33" s="1"/>
  <c r="FC127" i="33" s="1"/>
  <c r="FD127" i="33" s="1"/>
  <c r="FE127" i="33" s="1"/>
  <c r="FF127" i="33" s="1"/>
  <c r="FG127" i="33" s="1"/>
  <c r="FH127" i="33" s="1"/>
  <c r="FI127" i="33" s="1"/>
  <c r="O35" i="33"/>
  <c r="DV94" i="33" s="1"/>
  <c r="DW94" i="33" s="1"/>
  <c r="DX94" i="33" s="1"/>
  <c r="DY94" i="33" s="1"/>
  <c r="DZ94" i="33" s="1"/>
  <c r="EA94" i="33" s="1"/>
  <c r="EB94" i="33" s="1"/>
  <c r="EC94" i="33" s="1"/>
  <c r="ED94" i="33" s="1"/>
  <c r="EE94" i="33" s="1"/>
  <c r="EF94" i="33" s="1"/>
  <c r="EG94" i="33" s="1"/>
  <c r="EH94" i="33" s="1"/>
  <c r="EI94" i="33" s="1"/>
  <c r="EJ94" i="33" s="1"/>
  <c r="EK94" i="33" s="1"/>
  <c r="EL94" i="33" s="1"/>
  <c r="EM94" i="33" s="1"/>
  <c r="EN94" i="33" s="1"/>
  <c r="EO94" i="33" s="1"/>
  <c r="O65" i="33"/>
  <c r="DV124" i="33" s="1"/>
  <c r="DW124" i="33" s="1"/>
  <c r="DX124" i="33" s="1"/>
  <c r="DY124" i="33" s="1"/>
  <c r="DZ124" i="33" s="1"/>
  <c r="EA124" i="33" s="1"/>
  <c r="EB124" i="33" s="1"/>
  <c r="EC124" i="33" s="1"/>
  <c r="ED124" i="33" s="1"/>
  <c r="EE124" i="33" s="1"/>
  <c r="EF124" i="33" s="1"/>
  <c r="EG124" i="33" s="1"/>
  <c r="EH124" i="33" s="1"/>
  <c r="EI124" i="33" s="1"/>
  <c r="EJ124" i="33" s="1"/>
  <c r="EK124" i="33" s="1"/>
  <c r="EL124" i="33" s="1"/>
  <c r="EM124" i="33" s="1"/>
  <c r="EN124" i="33" s="1"/>
  <c r="EO124" i="33" s="1"/>
  <c r="O63" i="33"/>
  <c r="DV122" i="33" s="1"/>
  <c r="DW122" i="33" s="1"/>
  <c r="DX122" i="33" s="1"/>
  <c r="DY122" i="33" s="1"/>
  <c r="DZ122" i="33" s="1"/>
  <c r="EA122" i="33" s="1"/>
  <c r="EB122" i="33" s="1"/>
  <c r="EC122" i="33" s="1"/>
  <c r="ED122" i="33" s="1"/>
  <c r="EE122" i="33" s="1"/>
  <c r="EF122" i="33" s="1"/>
  <c r="EG122" i="33" s="1"/>
  <c r="EH122" i="33" s="1"/>
  <c r="EI122" i="33" s="1"/>
  <c r="EJ122" i="33" s="1"/>
  <c r="EK122" i="33" s="1"/>
  <c r="EL122" i="33" s="1"/>
  <c r="EM122" i="33" s="1"/>
  <c r="EN122" i="33" s="1"/>
  <c r="EO122" i="33" s="1"/>
  <c r="O60" i="33"/>
  <c r="DV119" i="33" s="1"/>
  <c r="DW119" i="33" s="1"/>
  <c r="DX119" i="33" s="1"/>
  <c r="DY119" i="33" s="1"/>
  <c r="DZ119" i="33" s="1"/>
  <c r="EA119" i="33" s="1"/>
  <c r="EB119" i="33" s="1"/>
  <c r="EC119" i="33" s="1"/>
  <c r="ED119" i="33" s="1"/>
  <c r="EE119" i="33" s="1"/>
  <c r="EF119" i="33" s="1"/>
  <c r="EG119" i="33" s="1"/>
  <c r="EH119" i="33" s="1"/>
  <c r="EI119" i="33" s="1"/>
  <c r="EJ119" i="33" s="1"/>
  <c r="EK119" i="33" s="1"/>
  <c r="EL119" i="33" s="1"/>
  <c r="EM119" i="33" s="1"/>
  <c r="EN119" i="33" s="1"/>
  <c r="EO119" i="33" s="1"/>
  <c r="O56" i="33"/>
  <c r="DV115" i="33" s="1"/>
  <c r="DW115" i="33" s="1"/>
  <c r="DX115" i="33" s="1"/>
  <c r="DY115" i="33" s="1"/>
  <c r="DZ115" i="33" s="1"/>
  <c r="EA115" i="33" s="1"/>
  <c r="EB115" i="33" s="1"/>
  <c r="EC115" i="33" s="1"/>
  <c r="ED115" i="33" s="1"/>
  <c r="EE115" i="33" s="1"/>
  <c r="EF115" i="33" s="1"/>
  <c r="EG115" i="33" s="1"/>
  <c r="EH115" i="33" s="1"/>
  <c r="EI115" i="33" s="1"/>
  <c r="EJ115" i="33" s="1"/>
  <c r="EK115" i="33" s="1"/>
  <c r="EL115" i="33" s="1"/>
  <c r="EM115" i="33" s="1"/>
  <c r="EN115" i="33" s="1"/>
  <c r="EO115" i="33" s="1"/>
  <c r="O51" i="33"/>
  <c r="DV110" i="33" s="1"/>
  <c r="DW110" i="33" s="1"/>
  <c r="DX110" i="33" s="1"/>
  <c r="DY110" i="33" s="1"/>
  <c r="DZ110" i="33" s="1"/>
  <c r="EA110" i="33" s="1"/>
  <c r="EB110" i="33" s="1"/>
  <c r="EC110" i="33" s="1"/>
  <c r="ED110" i="33" s="1"/>
  <c r="EE110" i="33" s="1"/>
  <c r="EF110" i="33" s="1"/>
  <c r="EG110" i="33" s="1"/>
  <c r="EH110" i="33" s="1"/>
  <c r="EI110" i="33" s="1"/>
  <c r="EJ110" i="33" s="1"/>
  <c r="EK110" i="33" s="1"/>
  <c r="EL110" i="33" s="1"/>
  <c r="EM110" i="33" s="1"/>
  <c r="EN110" i="33" s="1"/>
  <c r="EO110" i="33" s="1"/>
  <c r="O50" i="33"/>
  <c r="DV109" i="33" s="1"/>
  <c r="DW109" i="33" s="1"/>
  <c r="DX109" i="33" s="1"/>
  <c r="DY109" i="33" s="1"/>
  <c r="DZ109" i="33" s="1"/>
  <c r="EA109" i="33" s="1"/>
  <c r="EB109" i="33" s="1"/>
  <c r="EC109" i="33" s="1"/>
  <c r="ED109" i="33" s="1"/>
  <c r="EE109" i="33" s="1"/>
  <c r="EF109" i="33" s="1"/>
  <c r="EG109" i="33" s="1"/>
  <c r="EH109" i="33" s="1"/>
  <c r="EI109" i="33" s="1"/>
  <c r="EJ109" i="33" s="1"/>
  <c r="EK109" i="33" s="1"/>
  <c r="EL109" i="33" s="1"/>
  <c r="EM109" i="33" s="1"/>
  <c r="EN109" i="33" s="1"/>
  <c r="EO109" i="33" s="1"/>
  <c r="O47" i="33"/>
  <c r="DV106" i="33" s="1"/>
  <c r="DW106" i="33" s="1"/>
  <c r="DX106" i="33" s="1"/>
  <c r="DY106" i="33" s="1"/>
  <c r="DZ106" i="33" s="1"/>
  <c r="EA106" i="33" s="1"/>
  <c r="EB106" i="33" s="1"/>
  <c r="EC106" i="33" s="1"/>
  <c r="ED106" i="33" s="1"/>
  <c r="EE106" i="33" s="1"/>
  <c r="EF106" i="33" s="1"/>
  <c r="EG106" i="33" s="1"/>
  <c r="EH106" i="33" s="1"/>
  <c r="EI106" i="33" s="1"/>
  <c r="EJ106" i="33" s="1"/>
  <c r="EK106" i="33" s="1"/>
  <c r="EL106" i="33" s="1"/>
  <c r="EM106" i="33" s="1"/>
  <c r="EN106" i="33" s="1"/>
  <c r="EO106" i="33" s="1"/>
  <c r="O44" i="33"/>
  <c r="DV103" i="33" s="1"/>
  <c r="DW103" i="33" s="1"/>
  <c r="DX103" i="33" s="1"/>
  <c r="DY103" i="33" s="1"/>
  <c r="DZ103" i="33" s="1"/>
  <c r="EA103" i="33" s="1"/>
  <c r="EB103" i="33" s="1"/>
  <c r="EC103" i="33" s="1"/>
  <c r="ED103" i="33" s="1"/>
  <c r="EE103" i="33" s="1"/>
  <c r="EF103" i="33" s="1"/>
  <c r="EG103" i="33" s="1"/>
  <c r="EH103" i="33" s="1"/>
  <c r="EI103" i="33" s="1"/>
  <c r="EJ103" i="33" s="1"/>
  <c r="EK103" i="33" s="1"/>
  <c r="EL103" i="33" s="1"/>
  <c r="EM103" i="33" s="1"/>
  <c r="EN103" i="33" s="1"/>
  <c r="EO103" i="33" s="1"/>
  <c r="O43" i="33"/>
  <c r="DV102" i="33" s="1"/>
  <c r="DW102" i="33" s="1"/>
  <c r="DX102" i="33" s="1"/>
  <c r="DY102" i="33" s="1"/>
  <c r="DZ102" i="33" s="1"/>
  <c r="EA102" i="33" s="1"/>
  <c r="EB102" i="33" s="1"/>
  <c r="EC102" i="33" s="1"/>
  <c r="ED102" i="33" s="1"/>
  <c r="EE102" i="33" s="1"/>
  <c r="EF102" i="33" s="1"/>
  <c r="EG102" i="33" s="1"/>
  <c r="EH102" i="33" s="1"/>
  <c r="EI102" i="33" s="1"/>
  <c r="EJ102" i="33" s="1"/>
  <c r="EK102" i="33" s="1"/>
  <c r="EL102" i="33" s="1"/>
  <c r="EM102" i="33" s="1"/>
  <c r="EN102" i="33" s="1"/>
  <c r="EO102" i="33" s="1"/>
  <c r="O42" i="33"/>
  <c r="DV101" i="33" s="1"/>
  <c r="DW101" i="33" s="1"/>
  <c r="DX101" i="33" s="1"/>
  <c r="DY101" i="33" s="1"/>
  <c r="DZ101" i="33" s="1"/>
  <c r="EA101" i="33" s="1"/>
  <c r="EB101" i="33" s="1"/>
  <c r="EC101" i="33" s="1"/>
  <c r="ED101" i="33" s="1"/>
  <c r="EE101" i="33" s="1"/>
  <c r="EF101" i="33" s="1"/>
  <c r="EG101" i="33" s="1"/>
  <c r="EH101" i="33" s="1"/>
  <c r="EI101" i="33" s="1"/>
  <c r="EJ101" i="33" s="1"/>
  <c r="EK101" i="33" s="1"/>
  <c r="EL101" i="33" s="1"/>
  <c r="EM101" i="33" s="1"/>
  <c r="EN101" i="33" s="1"/>
  <c r="EO101" i="33" s="1"/>
  <c r="O38" i="33"/>
  <c r="DV97" i="33" s="1"/>
  <c r="DW97" i="33" s="1"/>
  <c r="DX97" i="33" s="1"/>
  <c r="DY97" i="33" s="1"/>
  <c r="DZ97" i="33" s="1"/>
  <c r="EA97" i="33" s="1"/>
  <c r="EB97" i="33" s="1"/>
  <c r="EC97" i="33" s="1"/>
  <c r="ED97" i="33" s="1"/>
  <c r="EE97" i="33" s="1"/>
  <c r="EF97" i="33" s="1"/>
  <c r="EG97" i="33" s="1"/>
  <c r="EH97" i="33" s="1"/>
  <c r="EI97" i="33" s="1"/>
  <c r="EJ97" i="33" s="1"/>
  <c r="EK97" i="33" s="1"/>
  <c r="EL97" i="33" s="1"/>
  <c r="EM97" i="33" s="1"/>
  <c r="EN97" i="33" s="1"/>
  <c r="EO97" i="33" s="1"/>
  <c r="O70" i="33"/>
  <c r="DV129" i="33" s="1"/>
  <c r="DW129" i="33" s="1"/>
  <c r="DX129" i="33" s="1"/>
  <c r="DY129" i="33" s="1"/>
  <c r="DZ129" i="33" s="1"/>
  <c r="EA129" i="33" s="1"/>
  <c r="EB129" i="33" s="1"/>
  <c r="EC129" i="33" s="1"/>
  <c r="ED129" i="33" s="1"/>
  <c r="EE129" i="33" s="1"/>
  <c r="EF129" i="33" s="1"/>
  <c r="EG129" i="33" s="1"/>
  <c r="EH129" i="33" s="1"/>
  <c r="EI129" i="33" s="1"/>
  <c r="EJ129" i="33" s="1"/>
  <c r="EK129" i="33" s="1"/>
  <c r="EL129" i="33" s="1"/>
  <c r="EM129" i="33" s="1"/>
  <c r="EN129" i="33" s="1"/>
  <c r="EO129" i="33" s="1"/>
  <c r="O68" i="33"/>
  <c r="DV127" i="33" s="1"/>
  <c r="DW127" i="33" s="1"/>
  <c r="DX127" i="33" s="1"/>
  <c r="DY127" i="33" s="1"/>
  <c r="DZ127" i="33" s="1"/>
  <c r="EA127" i="33" s="1"/>
  <c r="EB127" i="33" s="1"/>
  <c r="EC127" i="33" s="1"/>
  <c r="ED127" i="33" s="1"/>
  <c r="EE127" i="33" s="1"/>
  <c r="EF127" i="33" s="1"/>
  <c r="EG127" i="33" s="1"/>
  <c r="EH127" i="33" s="1"/>
  <c r="EI127" i="33" s="1"/>
  <c r="EJ127" i="33" s="1"/>
  <c r="EK127" i="33" s="1"/>
  <c r="EL127" i="33" s="1"/>
  <c r="EM127" i="33" s="1"/>
  <c r="EN127" i="33" s="1"/>
  <c r="EO127" i="33" s="1"/>
  <c r="O62" i="33"/>
  <c r="DV121" i="33" s="1"/>
  <c r="DW121" i="33" s="1"/>
  <c r="DX121" i="33" s="1"/>
  <c r="DY121" i="33" s="1"/>
  <c r="DZ121" i="33" s="1"/>
  <c r="EA121" i="33" s="1"/>
  <c r="EB121" i="33" s="1"/>
  <c r="EC121" i="33" s="1"/>
  <c r="ED121" i="33" s="1"/>
  <c r="EE121" i="33" s="1"/>
  <c r="EF121" i="33" s="1"/>
  <c r="EG121" i="33" s="1"/>
  <c r="EH121" i="33" s="1"/>
  <c r="EI121" i="33" s="1"/>
  <c r="EJ121" i="33" s="1"/>
  <c r="EK121" i="33" s="1"/>
  <c r="EL121" i="33" s="1"/>
  <c r="EM121" i="33" s="1"/>
  <c r="EN121" i="33" s="1"/>
  <c r="EO121" i="33" s="1"/>
  <c r="O61" i="33"/>
  <c r="DV120" i="33" s="1"/>
  <c r="DW120" i="33" s="1"/>
  <c r="DX120" i="33" s="1"/>
  <c r="DY120" i="33" s="1"/>
  <c r="DZ120" i="33" s="1"/>
  <c r="EA120" i="33" s="1"/>
  <c r="EB120" i="33" s="1"/>
  <c r="EC120" i="33" s="1"/>
  <c r="ED120" i="33" s="1"/>
  <c r="EE120" i="33" s="1"/>
  <c r="EF120" i="33" s="1"/>
  <c r="EG120" i="33" s="1"/>
  <c r="EH120" i="33" s="1"/>
  <c r="EI120" i="33" s="1"/>
  <c r="EJ120" i="33" s="1"/>
  <c r="EK120" i="33" s="1"/>
  <c r="EL120" i="33" s="1"/>
  <c r="EM120" i="33" s="1"/>
  <c r="EN120" i="33" s="1"/>
  <c r="EO120" i="33" s="1"/>
  <c r="O59" i="33"/>
  <c r="DV118" i="33" s="1"/>
  <c r="DW118" i="33" s="1"/>
  <c r="DX118" i="33" s="1"/>
  <c r="DY118" i="33" s="1"/>
  <c r="DZ118" i="33" s="1"/>
  <c r="EA118" i="33" s="1"/>
  <c r="EB118" i="33" s="1"/>
  <c r="EC118" i="33" s="1"/>
  <c r="ED118" i="33" s="1"/>
  <c r="EE118" i="33" s="1"/>
  <c r="EF118" i="33" s="1"/>
  <c r="EG118" i="33" s="1"/>
  <c r="EH118" i="33" s="1"/>
  <c r="EI118" i="33" s="1"/>
  <c r="EJ118" i="33" s="1"/>
  <c r="EK118" i="33" s="1"/>
  <c r="EL118" i="33" s="1"/>
  <c r="EM118" i="33" s="1"/>
  <c r="EN118" i="33" s="1"/>
  <c r="EO118" i="33" s="1"/>
  <c r="O57" i="33"/>
  <c r="DV116" i="33" s="1"/>
  <c r="DW116" i="33" s="1"/>
  <c r="DX116" i="33" s="1"/>
  <c r="DY116" i="33" s="1"/>
  <c r="DZ116" i="33" s="1"/>
  <c r="EA116" i="33" s="1"/>
  <c r="EB116" i="33" s="1"/>
  <c r="EC116" i="33" s="1"/>
  <c r="ED116" i="33" s="1"/>
  <c r="EE116" i="33" s="1"/>
  <c r="EF116" i="33" s="1"/>
  <c r="EG116" i="33" s="1"/>
  <c r="EH116" i="33" s="1"/>
  <c r="EI116" i="33" s="1"/>
  <c r="EJ116" i="33" s="1"/>
  <c r="EK116" i="33" s="1"/>
  <c r="EL116" i="33" s="1"/>
  <c r="EM116" i="33" s="1"/>
  <c r="EN116" i="33" s="1"/>
  <c r="EO116" i="33" s="1"/>
  <c r="O54" i="33"/>
  <c r="DV113" i="33" s="1"/>
  <c r="DW113" i="33" s="1"/>
  <c r="DX113" i="33" s="1"/>
  <c r="DY113" i="33" s="1"/>
  <c r="DZ113" i="33" s="1"/>
  <c r="EA113" i="33" s="1"/>
  <c r="EB113" i="33" s="1"/>
  <c r="EC113" i="33" s="1"/>
  <c r="ED113" i="33" s="1"/>
  <c r="EE113" i="33" s="1"/>
  <c r="EF113" i="33" s="1"/>
  <c r="EG113" i="33" s="1"/>
  <c r="EH113" i="33" s="1"/>
  <c r="EI113" i="33" s="1"/>
  <c r="EJ113" i="33" s="1"/>
  <c r="EK113" i="33" s="1"/>
  <c r="EL113" i="33" s="1"/>
  <c r="EM113" i="33" s="1"/>
  <c r="EN113" i="33" s="1"/>
  <c r="EO113" i="33" s="1"/>
  <c r="O46" i="33"/>
  <c r="DV105" i="33" s="1"/>
  <c r="DW105" i="33" s="1"/>
  <c r="DX105" i="33" s="1"/>
  <c r="DY105" i="33" s="1"/>
  <c r="DZ105" i="33" s="1"/>
  <c r="EA105" i="33" s="1"/>
  <c r="EB105" i="33" s="1"/>
  <c r="EC105" i="33" s="1"/>
  <c r="ED105" i="33" s="1"/>
  <c r="EE105" i="33" s="1"/>
  <c r="EF105" i="33" s="1"/>
  <c r="EG105" i="33" s="1"/>
  <c r="EH105" i="33" s="1"/>
  <c r="EI105" i="33" s="1"/>
  <c r="EJ105" i="33" s="1"/>
  <c r="EK105" i="33" s="1"/>
  <c r="EL105" i="33" s="1"/>
  <c r="EM105" i="33" s="1"/>
  <c r="EN105" i="33" s="1"/>
  <c r="EO105" i="33" s="1"/>
  <c r="O45" i="33"/>
  <c r="DV104" i="33" s="1"/>
  <c r="DW104" i="33" s="1"/>
  <c r="DX104" i="33" s="1"/>
  <c r="DY104" i="33" s="1"/>
  <c r="DZ104" i="33" s="1"/>
  <c r="EA104" i="33" s="1"/>
  <c r="EB104" i="33" s="1"/>
  <c r="EC104" i="33" s="1"/>
  <c r="ED104" i="33" s="1"/>
  <c r="EE104" i="33" s="1"/>
  <c r="EF104" i="33" s="1"/>
  <c r="EG104" i="33" s="1"/>
  <c r="EH104" i="33" s="1"/>
  <c r="EI104" i="33" s="1"/>
  <c r="EJ104" i="33" s="1"/>
  <c r="EK104" i="33" s="1"/>
  <c r="EL104" i="33" s="1"/>
  <c r="EM104" i="33" s="1"/>
  <c r="EN104" i="33" s="1"/>
  <c r="EO104" i="33" s="1"/>
  <c r="O41" i="33"/>
  <c r="DV100" i="33" s="1"/>
  <c r="DW100" i="33" s="1"/>
  <c r="DX100" i="33" s="1"/>
  <c r="DY100" i="33" s="1"/>
  <c r="DZ100" i="33" s="1"/>
  <c r="EA100" i="33" s="1"/>
  <c r="EB100" i="33" s="1"/>
  <c r="EC100" i="33" s="1"/>
  <c r="ED100" i="33" s="1"/>
  <c r="EE100" i="33" s="1"/>
  <c r="EF100" i="33" s="1"/>
  <c r="EG100" i="33" s="1"/>
  <c r="EH100" i="33" s="1"/>
  <c r="EI100" i="33" s="1"/>
  <c r="EJ100" i="33" s="1"/>
  <c r="EK100" i="33" s="1"/>
  <c r="EL100" i="33" s="1"/>
  <c r="EM100" i="33" s="1"/>
  <c r="EN100" i="33" s="1"/>
  <c r="EO100" i="33" s="1"/>
  <c r="O39" i="33"/>
  <c r="DV98" i="33" s="1"/>
  <c r="DW98" i="33" s="1"/>
  <c r="DX98" i="33" s="1"/>
  <c r="DY98" i="33" s="1"/>
  <c r="DZ98" i="33" s="1"/>
  <c r="EA98" i="33" s="1"/>
  <c r="EB98" i="33" s="1"/>
  <c r="EC98" i="33" s="1"/>
  <c r="ED98" i="33" s="1"/>
  <c r="EE98" i="33" s="1"/>
  <c r="EF98" i="33" s="1"/>
  <c r="EG98" i="33" s="1"/>
  <c r="EH98" i="33" s="1"/>
  <c r="EI98" i="33" s="1"/>
  <c r="EJ98" i="33" s="1"/>
  <c r="EK98" i="33" s="1"/>
  <c r="EL98" i="33" s="1"/>
  <c r="EM98" i="33" s="1"/>
  <c r="EN98" i="33" s="1"/>
  <c r="EO98" i="33" s="1"/>
  <c r="O37" i="33"/>
  <c r="DV96" i="33" s="1"/>
  <c r="DW96" i="33" s="1"/>
  <c r="DX96" i="33" s="1"/>
  <c r="DY96" i="33" s="1"/>
  <c r="DZ96" i="33" s="1"/>
  <c r="EA96" i="33" s="1"/>
  <c r="EB96" i="33" s="1"/>
  <c r="EC96" i="33" s="1"/>
  <c r="ED96" i="33" s="1"/>
  <c r="EE96" i="33" s="1"/>
  <c r="EF96" i="33" s="1"/>
  <c r="EG96" i="33" s="1"/>
  <c r="EH96" i="33" s="1"/>
  <c r="EI96" i="33" s="1"/>
  <c r="EJ96" i="33" s="1"/>
  <c r="EK96" i="33" s="1"/>
  <c r="EL96" i="33" s="1"/>
  <c r="EM96" i="33" s="1"/>
  <c r="EN96" i="33" s="1"/>
  <c r="EO96" i="33" s="1"/>
  <c r="O36" i="33"/>
  <c r="DV95" i="33" s="1"/>
  <c r="DW95" i="33" s="1"/>
  <c r="DX95" i="33" s="1"/>
  <c r="DY95" i="33" s="1"/>
  <c r="DZ95" i="33" s="1"/>
  <c r="EA95" i="33" s="1"/>
  <c r="EB95" i="33" s="1"/>
  <c r="EC95" i="33" s="1"/>
  <c r="ED95" i="33" s="1"/>
  <c r="EE95" i="33" s="1"/>
  <c r="EF95" i="33" s="1"/>
  <c r="EG95" i="33" s="1"/>
  <c r="EH95" i="33" s="1"/>
  <c r="EI95" i="33" s="1"/>
  <c r="EJ95" i="33" s="1"/>
  <c r="EK95" i="33" s="1"/>
  <c r="EL95" i="33" s="1"/>
  <c r="EM95" i="33" s="1"/>
  <c r="EN95" i="33" s="1"/>
  <c r="EO95" i="33" s="1"/>
  <c r="U34" i="33"/>
  <c r="GW93" i="33" s="1"/>
  <c r="N35" i="33"/>
  <c r="DB94" i="33" s="1"/>
  <c r="DC94" i="33" s="1"/>
  <c r="DD94" i="33" s="1"/>
  <c r="DE94" i="33" s="1"/>
  <c r="DF94" i="33" s="1"/>
  <c r="DG94" i="33" s="1"/>
  <c r="DH94" i="33" s="1"/>
  <c r="DI94" i="33" s="1"/>
  <c r="DJ94" i="33" s="1"/>
  <c r="DK94" i="33" s="1"/>
  <c r="DL94" i="33" s="1"/>
  <c r="DM94" i="33" s="1"/>
  <c r="DN94" i="33" s="1"/>
  <c r="DO94" i="33" s="1"/>
  <c r="DP94" i="33" s="1"/>
  <c r="DQ94" i="33" s="1"/>
  <c r="DR94" i="33" s="1"/>
  <c r="DS94" i="33" s="1"/>
  <c r="DT94" i="33" s="1"/>
  <c r="DU94" i="33" s="1"/>
  <c r="N67" i="33"/>
  <c r="DB126" i="33" s="1"/>
  <c r="DC126" i="33" s="1"/>
  <c r="DD126" i="33" s="1"/>
  <c r="DE126" i="33" s="1"/>
  <c r="DF126" i="33" s="1"/>
  <c r="DG126" i="33" s="1"/>
  <c r="DH126" i="33" s="1"/>
  <c r="DI126" i="33" s="1"/>
  <c r="DJ126" i="33" s="1"/>
  <c r="DK126" i="33" s="1"/>
  <c r="DL126" i="33" s="1"/>
  <c r="DM126" i="33" s="1"/>
  <c r="DN126" i="33" s="1"/>
  <c r="DO126" i="33" s="1"/>
  <c r="DP126" i="33" s="1"/>
  <c r="DQ126" i="33" s="1"/>
  <c r="DR126" i="33" s="1"/>
  <c r="DS126" i="33" s="1"/>
  <c r="DT126" i="33" s="1"/>
  <c r="DU126" i="33" s="1"/>
  <c r="N66" i="33"/>
  <c r="DB125" i="33" s="1"/>
  <c r="DC125" i="33" s="1"/>
  <c r="DD125" i="33" s="1"/>
  <c r="DE125" i="33" s="1"/>
  <c r="DF125" i="33" s="1"/>
  <c r="DG125" i="33" s="1"/>
  <c r="DH125" i="33" s="1"/>
  <c r="DI125" i="33" s="1"/>
  <c r="DJ125" i="33" s="1"/>
  <c r="DK125" i="33" s="1"/>
  <c r="DL125" i="33" s="1"/>
  <c r="DM125" i="33" s="1"/>
  <c r="DN125" i="33" s="1"/>
  <c r="DO125" i="33" s="1"/>
  <c r="DP125" i="33" s="1"/>
  <c r="DQ125" i="33" s="1"/>
  <c r="DR125" i="33" s="1"/>
  <c r="DS125" i="33" s="1"/>
  <c r="DT125" i="33" s="1"/>
  <c r="DU125" i="33" s="1"/>
  <c r="N65" i="33"/>
  <c r="DB124" i="33" s="1"/>
  <c r="DC124" i="33" s="1"/>
  <c r="DD124" i="33" s="1"/>
  <c r="DE124" i="33" s="1"/>
  <c r="DF124" i="33" s="1"/>
  <c r="DG124" i="33" s="1"/>
  <c r="DH124" i="33" s="1"/>
  <c r="DI124" i="33" s="1"/>
  <c r="DJ124" i="33" s="1"/>
  <c r="DK124" i="33" s="1"/>
  <c r="DL124" i="33" s="1"/>
  <c r="DM124" i="33" s="1"/>
  <c r="DN124" i="33" s="1"/>
  <c r="DO124" i="33" s="1"/>
  <c r="DP124" i="33" s="1"/>
  <c r="DQ124" i="33" s="1"/>
  <c r="DR124" i="33" s="1"/>
  <c r="DS124" i="33" s="1"/>
  <c r="DT124" i="33" s="1"/>
  <c r="DU124" i="33" s="1"/>
  <c r="N64" i="33"/>
  <c r="DB123" i="33" s="1"/>
  <c r="DC123" i="33" s="1"/>
  <c r="DD123" i="33" s="1"/>
  <c r="DE123" i="33" s="1"/>
  <c r="DF123" i="33" s="1"/>
  <c r="DG123" i="33" s="1"/>
  <c r="DH123" i="33" s="1"/>
  <c r="DI123" i="33" s="1"/>
  <c r="DJ123" i="33" s="1"/>
  <c r="DK123" i="33" s="1"/>
  <c r="DL123" i="33" s="1"/>
  <c r="DM123" i="33" s="1"/>
  <c r="DN123" i="33" s="1"/>
  <c r="DO123" i="33" s="1"/>
  <c r="DP123" i="33" s="1"/>
  <c r="DQ123" i="33" s="1"/>
  <c r="DR123" i="33" s="1"/>
  <c r="DS123" i="33" s="1"/>
  <c r="DT123" i="33" s="1"/>
  <c r="DU123" i="33" s="1"/>
  <c r="N63" i="33"/>
  <c r="DB122" i="33" s="1"/>
  <c r="DC122" i="33" s="1"/>
  <c r="DD122" i="33" s="1"/>
  <c r="DE122" i="33" s="1"/>
  <c r="DF122" i="33" s="1"/>
  <c r="DG122" i="33" s="1"/>
  <c r="DH122" i="33" s="1"/>
  <c r="DI122" i="33" s="1"/>
  <c r="DJ122" i="33" s="1"/>
  <c r="DK122" i="33" s="1"/>
  <c r="DL122" i="33" s="1"/>
  <c r="DM122" i="33" s="1"/>
  <c r="DN122" i="33" s="1"/>
  <c r="DO122" i="33" s="1"/>
  <c r="DP122" i="33" s="1"/>
  <c r="DQ122" i="33" s="1"/>
  <c r="DR122" i="33" s="1"/>
  <c r="DS122" i="33" s="1"/>
  <c r="DT122" i="33" s="1"/>
  <c r="DU122" i="33" s="1"/>
  <c r="N62" i="33"/>
  <c r="DB121" i="33" s="1"/>
  <c r="DC121" i="33" s="1"/>
  <c r="DD121" i="33" s="1"/>
  <c r="DE121" i="33" s="1"/>
  <c r="DF121" i="33" s="1"/>
  <c r="DG121" i="33" s="1"/>
  <c r="DH121" i="33" s="1"/>
  <c r="DI121" i="33" s="1"/>
  <c r="DJ121" i="33" s="1"/>
  <c r="DK121" i="33" s="1"/>
  <c r="DL121" i="33" s="1"/>
  <c r="DM121" i="33" s="1"/>
  <c r="DN121" i="33" s="1"/>
  <c r="DO121" i="33" s="1"/>
  <c r="DP121" i="33" s="1"/>
  <c r="DQ121" i="33" s="1"/>
  <c r="DR121" i="33" s="1"/>
  <c r="DS121" i="33" s="1"/>
  <c r="DT121" i="33" s="1"/>
  <c r="DU121" i="33" s="1"/>
  <c r="N61" i="33"/>
  <c r="DB120" i="33" s="1"/>
  <c r="DC120" i="33" s="1"/>
  <c r="DD120" i="33" s="1"/>
  <c r="DE120" i="33" s="1"/>
  <c r="DF120" i="33" s="1"/>
  <c r="DG120" i="33" s="1"/>
  <c r="DH120" i="33" s="1"/>
  <c r="DI120" i="33" s="1"/>
  <c r="DJ120" i="33" s="1"/>
  <c r="DK120" i="33" s="1"/>
  <c r="DL120" i="33" s="1"/>
  <c r="DM120" i="33" s="1"/>
  <c r="DN120" i="33" s="1"/>
  <c r="DO120" i="33" s="1"/>
  <c r="DP120" i="33" s="1"/>
  <c r="DQ120" i="33" s="1"/>
  <c r="DR120" i="33" s="1"/>
  <c r="DS120" i="33" s="1"/>
  <c r="DT120" i="33" s="1"/>
  <c r="DU120" i="33" s="1"/>
  <c r="N60" i="33"/>
  <c r="DB119" i="33" s="1"/>
  <c r="DC119" i="33" s="1"/>
  <c r="DD119" i="33" s="1"/>
  <c r="DE119" i="33" s="1"/>
  <c r="DF119" i="33" s="1"/>
  <c r="DG119" i="33" s="1"/>
  <c r="DH119" i="33" s="1"/>
  <c r="DI119" i="33" s="1"/>
  <c r="DJ119" i="33" s="1"/>
  <c r="DK119" i="33" s="1"/>
  <c r="DL119" i="33" s="1"/>
  <c r="DM119" i="33" s="1"/>
  <c r="DN119" i="33" s="1"/>
  <c r="DO119" i="33" s="1"/>
  <c r="DP119" i="33" s="1"/>
  <c r="DQ119" i="33" s="1"/>
  <c r="DR119" i="33" s="1"/>
  <c r="DS119" i="33" s="1"/>
  <c r="DT119" i="33" s="1"/>
  <c r="DU119" i="33" s="1"/>
  <c r="N59" i="33"/>
  <c r="DB118" i="33" s="1"/>
  <c r="DC118" i="33" s="1"/>
  <c r="DD118" i="33" s="1"/>
  <c r="DE118" i="33" s="1"/>
  <c r="DF118" i="33" s="1"/>
  <c r="DG118" i="33" s="1"/>
  <c r="DH118" i="33" s="1"/>
  <c r="DI118" i="33" s="1"/>
  <c r="DJ118" i="33" s="1"/>
  <c r="DK118" i="33" s="1"/>
  <c r="DL118" i="33" s="1"/>
  <c r="DM118" i="33" s="1"/>
  <c r="DN118" i="33" s="1"/>
  <c r="DO118" i="33" s="1"/>
  <c r="DP118" i="33" s="1"/>
  <c r="DQ118" i="33" s="1"/>
  <c r="DR118" i="33" s="1"/>
  <c r="DS118" i="33" s="1"/>
  <c r="DT118" i="33" s="1"/>
  <c r="DU118" i="33" s="1"/>
  <c r="N58" i="33"/>
  <c r="DB117" i="33" s="1"/>
  <c r="DC117" i="33" s="1"/>
  <c r="DD117" i="33" s="1"/>
  <c r="DE117" i="33" s="1"/>
  <c r="DF117" i="33" s="1"/>
  <c r="DG117" i="33" s="1"/>
  <c r="DH117" i="33" s="1"/>
  <c r="DI117" i="33" s="1"/>
  <c r="DJ117" i="33" s="1"/>
  <c r="DK117" i="33" s="1"/>
  <c r="DL117" i="33" s="1"/>
  <c r="DM117" i="33" s="1"/>
  <c r="DN117" i="33" s="1"/>
  <c r="DO117" i="33" s="1"/>
  <c r="DP117" i="33" s="1"/>
  <c r="DQ117" i="33" s="1"/>
  <c r="DR117" i="33" s="1"/>
  <c r="DS117" i="33" s="1"/>
  <c r="DT117" i="33" s="1"/>
  <c r="DU117" i="33" s="1"/>
  <c r="N57" i="33"/>
  <c r="DB116" i="33" s="1"/>
  <c r="DC116" i="33" s="1"/>
  <c r="DD116" i="33" s="1"/>
  <c r="DE116" i="33" s="1"/>
  <c r="DF116" i="33" s="1"/>
  <c r="DG116" i="33" s="1"/>
  <c r="DH116" i="33" s="1"/>
  <c r="DI116" i="33" s="1"/>
  <c r="DJ116" i="33" s="1"/>
  <c r="DK116" i="33" s="1"/>
  <c r="DL116" i="33" s="1"/>
  <c r="DM116" i="33" s="1"/>
  <c r="DN116" i="33" s="1"/>
  <c r="DO116" i="33" s="1"/>
  <c r="DP116" i="33" s="1"/>
  <c r="DQ116" i="33" s="1"/>
  <c r="DR116" i="33" s="1"/>
  <c r="DS116" i="33" s="1"/>
  <c r="DT116" i="33" s="1"/>
  <c r="DU116" i="33" s="1"/>
  <c r="N56" i="33"/>
  <c r="DB115" i="33" s="1"/>
  <c r="DC115" i="33" s="1"/>
  <c r="DD115" i="33" s="1"/>
  <c r="DE115" i="33" s="1"/>
  <c r="DF115" i="33" s="1"/>
  <c r="DG115" i="33" s="1"/>
  <c r="DH115" i="33" s="1"/>
  <c r="DI115" i="33" s="1"/>
  <c r="DJ115" i="33" s="1"/>
  <c r="DK115" i="33" s="1"/>
  <c r="DL115" i="33" s="1"/>
  <c r="DM115" i="33" s="1"/>
  <c r="DN115" i="33" s="1"/>
  <c r="DO115" i="33" s="1"/>
  <c r="DP115" i="33" s="1"/>
  <c r="DQ115" i="33" s="1"/>
  <c r="DR115" i="33" s="1"/>
  <c r="DS115" i="33" s="1"/>
  <c r="DT115" i="33" s="1"/>
  <c r="DU115" i="33" s="1"/>
  <c r="N55" i="33"/>
  <c r="DB114" i="33" s="1"/>
  <c r="DC114" i="33" s="1"/>
  <c r="DD114" i="33" s="1"/>
  <c r="DE114" i="33" s="1"/>
  <c r="DF114" i="33" s="1"/>
  <c r="DG114" i="33" s="1"/>
  <c r="DH114" i="33" s="1"/>
  <c r="DI114" i="33" s="1"/>
  <c r="DJ114" i="33" s="1"/>
  <c r="DK114" i="33" s="1"/>
  <c r="DL114" i="33" s="1"/>
  <c r="DM114" i="33" s="1"/>
  <c r="DN114" i="33" s="1"/>
  <c r="DO114" i="33" s="1"/>
  <c r="DP114" i="33" s="1"/>
  <c r="DQ114" i="33" s="1"/>
  <c r="DR114" i="33" s="1"/>
  <c r="DS114" i="33" s="1"/>
  <c r="DT114" i="33" s="1"/>
  <c r="DU114" i="33" s="1"/>
  <c r="N54" i="33"/>
  <c r="DB113" i="33" s="1"/>
  <c r="DC113" i="33" s="1"/>
  <c r="DD113" i="33" s="1"/>
  <c r="DE113" i="33" s="1"/>
  <c r="DF113" i="33" s="1"/>
  <c r="DG113" i="33" s="1"/>
  <c r="DH113" i="33" s="1"/>
  <c r="DI113" i="33" s="1"/>
  <c r="DJ113" i="33" s="1"/>
  <c r="DK113" i="33" s="1"/>
  <c r="DL113" i="33" s="1"/>
  <c r="DM113" i="33" s="1"/>
  <c r="DN113" i="33" s="1"/>
  <c r="DO113" i="33" s="1"/>
  <c r="DP113" i="33" s="1"/>
  <c r="DQ113" i="33" s="1"/>
  <c r="DR113" i="33" s="1"/>
  <c r="DS113" i="33" s="1"/>
  <c r="DT113" i="33" s="1"/>
  <c r="DU113" i="33" s="1"/>
  <c r="N53" i="33"/>
  <c r="DB112" i="33" s="1"/>
  <c r="DC112" i="33" s="1"/>
  <c r="DD112" i="33" s="1"/>
  <c r="DE112" i="33" s="1"/>
  <c r="DF112" i="33" s="1"/>
  <c r="DG112" i="33" s="1"/>
  <c r="DH112" i="33" s="1"/>
  <c r="DI112" i="33" s="1"/>
  <c r="DJ112" i="33" s="1"/>
  <c r="DK112" i="33" s="1"/>
  <c r="DL112" i="33" s="1"/>
  <c r="DM112" i="33" s="1"/>
  <c r="DN112" i="33" s="1"/>
  <c r="DO112" i="33" s="1"/>
  <c r="DP112" i="33" s="1"/>
  <c r="DQ112" i="33" s="1"/>
  <c r="DR112" i="33" s="1"/>
  <c r="DS112" i="33" s="1"/>
  <c r="DT112" i="33" s="1"/>
  <c r="DU112" i="33" s="1"/>
  <c r="N52" i="33"/>
  <c r="DB111" i="33" s="1"/>
  <c r="DC111" i="33" s="1"/>
  <c r="DD111" i="33" s="1"/>
  <c r="DE111" i="33" s="1"/>
  <c r="DF111" i="33" s="1"/>
  <c r="DG111" i="33" s="1"/>
  <c r="DH111" i="33" s="1"/>
  <c r="DI111" i="33" s="1"/>
  <c r="DJ111" i="33" s="1"/>
  <c r="DK111" i="33" s="1"/>
  <c r="DL111" i="33" s="1"/>
  <c r="DM111" i="33" s="1"/>
  <c r="DN111" i="33" s="1"/>
  <c r="DO111" i="33" s="1"/>
  <c r="DP111" i="33" s="1"/>
  <c r="DQ111" i="33" s="1"/>
  <c r="DR111" i="33" s="1"/>
  <c r="DS111" i="33" s="1"/>
  <c r="DT111" i="33" s="1"/>
  <c r="DU111" i="33" s="1"/>
  <c r="N51" i="33"/>
  <c r="DB110" i="33" s="1"/>
  <c r="N50" i="33"/>
  <c r="DB109" i="33" s="1"/>
  <c r="DC109" i="33" s="1"/>
  <c r="DD109" i="33" s="1"/>
  <c r="DE109" i="33" s="1"/>
  <c r="DF109" i="33" s="1"/>
  <c r="DG109" i="33" s="1"/>
  <c r="DH109" i="33" s="1"/>
  <c r="DI109" i="33" s="1"/>
  <c r="DJ109" i="33" s="1"/>
  <c r="DK109" i="33" s="1"/>
  <c r="DL109" i="33" s="1"/>
  <c r="DM109" i="33" s="1"/>
  <c r="DN109" i="33" s="1"/>
  <c r="DO109" i="33" s="1"/>
  <c r="DP109" i="33" s="1"/>
  <c r="DQ109" i="33" s="1"/>
  <c r="DR109" i="33" s="1"/>
  <c r="DS109" i="33" s="1"/>
  <c r="DT109" i="33" s="1"/>
  <c r="DU109" i="33" s="1"/>
  <c r="N49" i="33"/>
  <c r="DB108" i="33" s="1"/>
  <c r="DC108" i="33" s="1"/>
  <c r="DD108" i="33" s="1"/>
  <c r="DE108" i="33" s="1"/>
  <c r="DF108" i="33" s="1"/>
  <c r="DG108" i="33" s="1"/>
  <c r="DH108" i="33" s="1"/>
  <c r="DI108" i="33" s="1"/>
  <c r="DJ108" i="33" s="1"/>
  <c r="DK108" i="33" s="1"/>
  <c r="DL108" i="33" s="1"/>
  <c r="DM108" i="33" s="1"/>
  <c r="DN108" i="33" s="1"/>
  <c r="DO108" i="33" s="1"/>
  <c r="DP108" i="33" s="1"/>
  <c r="DQ108" i="33" s="1"/>
  <c r="DR108" i="33" s="1"/>
  <c r="DS108" i="33" s="1"/>
  <c r="DT108" i="33" s="1"/>
  <c r="DU108" i="33" s="1"/>
  <c r="N48" i="33"/>
  <c r="DB107" i="33" s="1"/>
  <c r="DC107" i="33" s="1"/>
  <c r="DD107" i="33" s="1"/>
  <c r="DE107" i="33" s="1"/>
  <c r="DF107" i="33" s="1"/>
  <c r="DG107" i="33" s="1"/>
  <c r="DH107" i="33" s="1"/>
  <c r="DI107" i="33" s="1"/>
  <c r="DJ107" i="33" s="1"/>
  <c r="DK107" i="33" s="1"/>
  <c r="DL107" i="33" s="1"/>
  <c r="DM107" i="33" s="1"/>
  <c r="DN107" i="33" s="1"/>
  <c r="DO107" i="33" s="1"/>
  <c r="DP107" i="33" s="1"/>
  <c r="DQ107" i="33" s="1"/>
  <c r="DR107" i="33" s="1"/>
  <c r="DS107" i="33" s="1"/>
  <c r="DT107" i="33" s="1"/>
  <c r="DU107" i="33" s="1"/>
  <c r="N47" i="33"/>
  <c r="DB106" i="33" s="1"/>
  <c r="N46" i="33"/>
  <c r="DB105" i="33" s="1"/>
  <c r="DC105" i="33" s="1"/>
  <c r="DD105" i="33" s="1"/>
  <c r="DE105" i="33" s="1"/>
  <c r="DF105" i="33" s="1"/>
  <c r="DG105" i="33" s="1"/>
  <c r="DH105" i="33" s="1"/>
  <c r="DI105" i="33" s="1"/>
  <c r="DJ105" i="33" s="1"/>
  <c r="DK105" i="33" s="1"/>
  <c r="DL105" i="33" s="1"/>
  <c r="DM105" i="33" s="1"/>
  <c r="DN105" i="33" s="1"/>
  <c r="DO105" i="33" s="1"/>
  <c r="DP105" i="33" s="1"/>
  <c r="DQ105" i="33" s="1"/>
  <c r="DR105" i="33" s="1"/>
  <c r="DS105" i="33" s="1"/>
  <c r="DT105" i="33" s="1"/>
  <c r="DU105" i="33" s="1"/>
  <c r="N45" i="33"/>
  <c r="DB104" i="33" s="1"/>
  <c r="DC104" i="33" s="1"/>
  <c r="DD104" i="33" s="1"/>
  <c r="DE104" i="33" s="1"/>
  <c r="DF104" i="33" s="1"/>
  <c r="DG104" i="33" s="1"/>
  <c r="DH104" i="33" s="1"/>
  <c r="DI104" i="33" s="1"/>
  <c r="DJ104" i="33" s="1"/>
  <c r="DK104" i="33" s="1"/>
  <c r="DL104" i="33" s="1"/>
  <c r="DM104" i="33" s="1"/>
  <c r="DN104" i="33" s="1"/>
  <c r="DO104" i="33" s="1"/>
  <c r="DP104" i="33" s="1"/>
  <c r="DQ104" i="33" s="1"/>
  <c r="DR104" i="33" s="1"/>
  <c r="DS104" i="33" s="1"/>
  <c r="DT104" i="33" s="1"/>
  <c r="DU104" i="33" s="1"/>
  <c r="N44" i="33"/>
  <c r="DB103" i="33" s="1"/>
  <c r="DC103" i="33" s="1"/>
  <c r="DD103" i="33" s="1"/>
  <c r="DE103" i="33" s="1"/>
  <c r="DF103" i="33" s="1"/>
  <c r="DG103" i="33" s="1"/>
  <c r="DH103" i="33" s="1"/>
  <c r="DI103" i="33" s="1"/>
  <c r="DJ103" i="33" s="1"/>
  <c r="DK103" i="33" s="1"/>
  <c r="DL103" i="33" s="1"/>
  <c r="DM103" i="33" s="1"/>
  <c r="DN103" i="33" s="1"/>
  <c r="DO103" i="33" s="1"/>
  <c r="DP103" i="33" s="1"/>
  <c r="DQ103" i="33" s="1"/>
  <c r="DR103" i="33" s="1"/>
  <c r="DS103" i="33" s="1"/>
  <c r="DT103" i="33" s="1"/>
  <c r="DU103" i="33" s="1"/>
  <c r="N43" i="33"/>
  <c r="DB102" i="33" s="1"/>
  <c r="DC102" i="33" s="1"/>
  <c r="DD102" i="33" s="1"/>
  <c r="DE102" i="33" s="1"/>
  <c r="DF102" i="33" s="1"/>
  <c r="DG102" i="33" s="1"/>
  <c r="DH102" i="33" s="1"/>
  <c r="DI102" i="33" s="1"/>
  <c r="DJ102" i="33" s="1"/>
  <c r="DK102" i="33" s="1"/>
  <c r="DL102" i="33" s="1"/>
  <c r="DM102" i="33" s="1"/>
  <c r="DN102" i="33" s="1"/>
  <c r="DO102" i="33" s="1"/>
  <c r="DP102" i="33" s="1"/>
  <c r="DQ102" i="33" s="1"/>
  <c r="DR102" i="33" s="1"/>
  <c r="DS102" i="33" s="1"/>
  <c r="DT102" i="33" s="1"/>
  <c r="DU102" i="33" s="1"/>
  <c r="N42" i="33"/>
  <c r="DB101" i="33" s="1"/>
  <c r="DC101" i="33" s="1"/>
  <c r="DD101" i="33" s="1"/>
  <c r="DE101" i="33" s="1"/>
  <c r="DF101" i="33" s="1"/>
  <c r="DG101" i="33" s="1"/>
  <c r="DH101" i="33" s="1"/>
  <c r="DI101" i="33" s="1"/>
  <c r="DJ101" i="33" s="1"/>
  <c r="DK101" i="33" s="1"/>
  <c r="DL101" i="33" s="1"/>
  <c r="DM101" i="33" s="1"/>
  <c r="DN101" i="33" s="1"/>
  <c r="DO101" i="33" s="1"/>
  <c r="DP101" i="33" s="1"/>
  <c r="DQ101" i="33" s="1"/>
  <c r="DR101" i="33" s="1"/>
  <c r="DS101" i="33" s="1"/>
  <c r="DT101" i="33" s="1"/>
  <c r="DU101" i="33" s="1"/>
  <c r="N41" i="33"/>
  <c r="DB100" i="33" s="1"/>
  <c r="DC100" i="33" s="1"/>
  <c r="DD100" i="33" s="1"/>
  <c r="DE100" i="33" s="1"/>
  <c r="DF100" i="33" s="1"/>
  <c r="DG100" i="33" s="1"/>
  <c r="DH100" i="33" s="1"/>
  <c r="DI100" i="33" s="1"/>
  <c r="DJ100" i="33" s="1"/>
  <c r="DK100" i="33" s="1"/>
  <c r="DL100" i="33" s="1"/>
  <c r="DM100" i="33" s="1"/>
  <c r="DN100" i="33" s="1"/>
  <c r="DO100" i="33" s="1"/>
  <c r="DP100" i="33" s="1"/>
  <c r="DQ100" i="33" s="1"/>
  <c r="DR100" i="33" s="1"/>
  <c r="DS100" i="33" s="1"/>
  <c r="DT100" i="33" s="1"/>
  <c r="DU100" i="33" s="1"/>
  <c r="N40" i="33"/>
  <c r="DB99" i="33" s="1"/>
  <c r="DC99" i="33" s="1"/>
  <c r="DD99" i="33" s="1"/>
  <c r="DE99" i="33" s="1"/>
  <c r="DF99" i="33" s="1"/>
  <c r="DG99" i="33" s="1"/>
  <c r="DH99" i="33" s="1"/>
  <c r="DI99" i="33" s="1"/>
  <c r="DJ99" i="33" s="1"/>
  <c r="DK99" i="33" s="1"/>
  <c r="DL99" i="33" s="1"/>
  <c r="DM99" i="33" s="1"/>
  <c r="DN99" i="33" s="1"/>
  <c r="DO99" i="33" s="1"/>
  <c r="DP99" i="33" s="1"/>
  <c r="DQ99" i="33" s="1"/>
  <c r="DR99" i="33" s="1"/>
  <c r="DS99" i="33" s="1"/>
  <c r="DT99" i="33" s="1"/>
  <c r="DU99" i="33" s="1"/>
  <c r="N39" i="33"/>
  <c r="DB98" i="33" s="1"/>
  <c r="DC98" i="33" s="1"/>
  <c r="DD98" i="33" s="1"/>
  <c r="DE98" i="33" s="1"/>
  <c r="DF98" i="33" s="1"/>
  <c r="DG98" i="33" s="1"/>
  <c r="DH98" i="33" s="1"/>
  <c r="DI98" i="33" s="1"/>
  <c r="DJ98" i="33" s="1"/>
  <c r="DK98" i="33" s="1"/>
  <c r="DL98" i="33" s="1"/>
  <c r="DM98" i="33" s="1"/>
  <c r="DN98" i="33" s="1"/>
  <c r="DO98" i="33" s="1"/>
  <c r="DP98" i="33" s="1"/>
  <c r="DQ98" i="33" s="1"/>
  <c r="DR98" i="33" s="1"/>
  <c r="DS98" i="33" s="1"/>
  <c r="DT98" i="33" s="1"/>
  <c r="DU98" i="33" s="1"/>
  <c r="N38" i="33"/>
  <c r="DB97" i="33" s="1"/>
  <c r="DC97" i="33" s="1"/>
  <c r="DD97" i="33" s="1"/>
  <c r="DE97" i="33" s="1"/>
  <c r="DF97" i="33" s="1"/>
  <c r="DG97" i="33" s="1"/>
  <c r="DH97" i="33" s="1"/>
  <c r="DI97" i="33" s="1"/>
  <c r="DJ97" i="33" s="1"/>
  <c r="DK97" i="33" s="1"/>
  <c r="DL97" i="33" s="1"/>
  <c r="DM97" i="33" s="1"/>
  <c r="DN97" i="33" s="1"/>
  <c r="DO97" i="33" s="1"/>
  <c r="DP97" i="33" s="1"/>
  <c r="DQ97" i="33" s="1"/>
  <c r="DR97" i="33" s="1"/>
  <c r="DS97" i="33" s="1"/>
  <c r="DT97" i="33" s="1"/>
  <c r="DU97" i="33" s="1"/>
  <c r="N37" i="33"/>
  <c r="DB96" i="33" s="1"/>
  <c r="DC96" i="33" s="1"/>
  <c r="DD96" i="33" s="1"/>
  <c r="DE96" i="33" s="1"/>
  <c r="DF96" i="33" s="1"/>
  <c r="DG96" i="33" s="1"/>
  <c r="DH96" i="33" s="1"/>
  <c r="DI96" i="33" s="1"/>
  <c r="DJ96" i="33" s="1"/>
  <c r="DK96" i="33" s="1"/>
  <c r="DL96" i="33" s="1"/>
  <c r="DM96" i="33" s="1"/>
  <c r="DN96" i="33" s="1"/>
  <c r="DO96" i="33" s="1"/>
  <c r="DP96" i="33" s="1"/>
  <c r="DQ96" i="33" s="1"/>
  <c r="DR96" i="33" s="1"/>
  <c r="DS96" i="33" s="1"/>
  <c r="DT96" i="33" s="1"/>
  <c r="DU96" i="33" s="1"/>
  <c r="N36" i="33"/>
  <c r="DB95" i="33" s="1"/>
  <c r="DC95" i="33" s="1"/>
  <c r="DD95" i="33" s="1"/>
  <c r="DE95" i="33" s="1"/>
  <c r="DF95" i="33" s="1"/>
  <c r="DG95" i="33" s="1"/>
  <c r="DH95" i="33" s="1"/>
  <c r="DI95" i="33" s="1"/>
  <c r="DJ95" i="33" s="1"/>
  <c r="DK95" i="33" s="1"/>
  <c r="DL95" i="33" s="1"/>
  <c r="DM95" i="33" s="1"/>
  <c r="DN95" i="33" s="1"/>
  <c r="DO95" i="33" s="1"/>
  <c r="DP95" i="33" s="1"/>
  <c r="DQ95" i="33" s="1"/>
  <c r="DR95" i="33" s="1"/>
  <c r="DS95" i="33" s="1"/>
  <c r="DT95" i="33" s="1"/>
  <c r="DU95" i="33" s="1"/>
  <c r="N70" i="33"/>
  <c r="DB129" i="33" s="1"/>
  <c r="DC129" i="33" s="1"/>
  <c r="DD129" i="33" s="1"/>
  <c r="DE129" i="33" s="1"/>
  <c r="DF129" i="33" s="1"/>
  <c r="DG129" i="33" s="1"/>
  <c r="DH129" i="33" s="1"/>
  <c r="DI129" i="33" s="1"/>
  <c r="DJ129" i="33" s="1"/>
  <c r="DK129" i="33" s="1"/>
  <c r="DL129" i="33" s="1"/>
  <c r="DM129" i="33" s="1"/>
  <c r="DN129" i="33" s="1"/>
  <c r="DO129" i="33" s="1"/>
  <c r="DP129" i="33" s="1"/>
  <c r="DQ129" i="33" s="1"/>
  <c r="DR129" i="33" s="1"/>
  <c r="DS129" i="33" s="1"/>
  <c r="DT129" i="33" s="1"/>
  <c r="DU129" i="33" s="1"/>
  <c r="N68" i="33"/>
  <c r="DB127" i="33" s="1"/>
  <c r="DC127" i="33" s="1"/>
  <c r="DD127" i="33" s="1"/>
  <c r="DE127" i="33" s="1"/>
  <c r="DF127" i="33" s="1"/>
  <c r="DG127" i="33" s="1"/>
  <c r="DH127" i="33" s="1"/>
  <c r="DI127" i="33" s="1"/>
  <c r="DJ127" i="33" s="1"/>
  <c r="DK127" i="33" s="1"/>
  <c r="DL127" i="33" s="1"/>
  <c r="DM127" i="33" s="1"/>
  <c r="DN127" i="33" s="1"/>
  <c r="DO127" i="33" s="1"/>
  <c r="DP127" i="33" s="1"/>
  <c r="DQ127" i="33" s="1"/>
  <c r="DR127" i="33" s="1"/>
  <c r="DS127" i="33" s="1"/>
  <c r="DT127" i="33" s="1"/>
  <c r="DU127" i="33" s="1"/>
  <c r="AU35" i="33"/>
  <c r="K35" i="33" s="1"/>
  <c r="CV94" i="33" s="1"/>
  <c r="CW94" i="33" s="1"/>
  <c r="CX94" i="33" s="1"/>
  <c r="CY94" i="33" s="1"/>
  <c r="AT35" i="33"/>
  <c r="J35" i="33" s="1"/>
  <c r="CQ94" i="33" s="1"/>
  <c r="CR94" i="33" s="1"/>
  <c r="CS94" i="33" s="1"/>
  <c r="CT94" i="33" s="1"/>
  <c r="CU94" i="33" s="1"/>
  <c r="O84" i="33"/>
  <c r="AR35" i="33"/>
  <c r="H35" i="33" s="1"/>
  <c r="BM94" i="33" s="1"/>
  <c r="BN94" i="33" s="1"/>
  <c r="BO94" i="33" s="1"/>
  <c r="BP94" i="33" s="1"/>
  <c r="BQ94" i="33" s="1"/>
  <c r="BR94" i="33" s="1"/>
  <c r="BS94" i="33" s="1"/>
  <c r="BT94" i="33" s="1"/>
  <c r="BU94" i="33" s="1"/>
  <c r="BV94" i="33" s="1"/>
  <c r="BW94" i="33" s="1"/>
  <c r="BX94" i="33" s="1"/>
  <c r="BY94" i="33" s="1"/>
  <c r="BZ94" i="33" s="1"/>
  <c r="CA94" i="33" s="1"/>
  <c r="CB94" i="33" s="1"/>
  <c r="CC94" i="33" s="1"/>
  <c r="CD94" i="33" s="1"/>
  <c r="CE94" i="33" s="1"/>
  <c r="CF94" i="33" s="1"/>
  <c r="X148" i="33"/>
  <c r="AB148" i="33"/>
  <c r="AC148" i="33"/>
  <c r="AD148" i="33"/>
  <c r="W148" i="33"/>
  <c r="AA148" i="33"/>
  <c r="Z148" i="33"/>
  <c r="Y148" i="33"/>
  <c r="AB139" i="33"/>
  <c r="AC139" i="33"/>
  <c r="AD139" i="33"/>
  <c r="X139" i="33"/>
  <c r="W139" i="33"/>
  <c r="AA139" i="33"/>
  <c r="Z139" i="33"/>
  <c r="Y139" i="33"/>
  <c r="AG148" i="33"/>
  <c r="O148" i="33" s="1"/>
  <c r="DV152" i="33" s="1"/>
  <c r="DW152" i="33" s="1"/>
  <c r="DX152" i="33" s="1"/>
  <c r="DY152" i="33" s="1"/>
  <c r="DZ152" i="33" s="1"/>
  <c r="EA152" i="33" s="1"/>
  <c r="EB152" i="33" s="1"/>
  <c r="EC152" i="33" s="1"/>
  <c r="ED152" i="33" s="1"/>
  <c r="EE152" i="33" s="1"/>
  <c r="EF152" i="33" s="1"/>
  <c r="EG152" i="33" s="1"/>
  <c r="EH152" i="33" s="1"/>
  <c r="EI152" i="33" s="1"/>
  <c r="EJ152" i="33" s="1"/>
  <c r="EK152" i="33" s="1"/>
  <c r="EL152" i="33" s="1"/>
  <c r="EM152" i="33" s="1"/>
  <c r="EN152" i="33" s="1"/>
  <c r="EO152" i="33" s="1"/>
  <c r="AF148" i="33"/>
  <c r="N148" i="33" s="1"/>
  <c r="DB152" i="33" s="1"/>
  <c r="AM148" i="33"/>
  <c r="U148" i="33" s="1"/>
  <c r="GW152" i="33" s="1"/>
  <c r="AL148" i="33"/>
  <c r="T148" i="33" s="1"/>
  <c r="GS152" i="33" s="1"/>
  <c r="GT152" i="33" s="1"/>
  <c r="GU152" i="33" s="1"/>
  <c r="GV152" i="33" s="1"/>
  <c r="AK148" i="33"/>
  <c r="S148" i="33" s="1"/>
  <c r="GN152" i="33" s="1"/>
  <c r="GO152" i="33" s="1"/>
  <c r="GP152" i="33" s="1"/>
  <c r="GQ152" i="33" s="1"/>
  <c r="GR152" i="33" s="1"/>
  <c r="AJ148" i="33"/>
  <c r="R148" i="33" s="1"/>
  <c r="GD152" i="33" s="1"/>
  <c r="GE152" i="33" s="1"/>
  <c r="GF152" i="33" s="1"/>
  <c r="GG152" i="33" s="1"/>
  <c r="GH152" i="33" s="1"/>
  <c r="GI152" i="33" s="1"/>
  <c r="GJ152" i="33" s="1"/>
  <c r="GK152" i="33" s="1"/>
  <c r="GL152" i="33" s="1"/>
  <c r="GM152" i="33" s="1"/>
  <c r="AI148" i="33"/>
  <c r="Q148" i="33" s="1"/>
  <c r="FJ152" i="33" s="1"/>
  <c r="FK152" i="33" s="1"/>
  <c r="FL152" i="33" s="1"/>
  <c r="FM152" i="33" s="1"/>
  <c r="FN152" i="33" s="1"/>
  <c r="FO152" i="33" s="1"/>
  <c r="FP152" i="33" s="1"/>
  <c r="FQ152" i="33" s="1"/>
  <c r="FR152" i="33" s="1"/>
  <c r="FS152" i="33" s="1"/>
  <c r="FT152" i="33" s="1"/>
  <c r="FU152" i="33" s="1"/>
  <c r="FV152" i="33" s="1"/>
  <c r="FW152" i="33" s="1"/>
  <c r="FX152" i="33" s="1"/>
  <c r="FY152" i="33" s="1"/>
  <c r="FZ152" i="33" s="1"/>
  <c r="GA152" i="33" s="1"/>
  <c r="GB152" i="33" s="1"/>
  <c r="GC152" i="33" s="1"/>
  <c r="AH148" i="33"/>
  <c r="P148" i="33" s="1"/>
  <c r="EP152" i="33" s="1"/>
  <c r="EQ152" i="33" s="1"/>
  <c r="ER152" i="33" s="1"/>
  <c r="ES152" i="33" s="1"/>
  <c r="ET152" i="33" s="1"/>
  <c r="EU152" i="33" s="1"/>
  <c r="EV152" i="33" s="1"/>
  <c r="EW152" i="33" s="1"/>
  <c r="EX152" i="33" s="1"/>
  <c r="EY152" i="33" s="1"/>
  <c r="EZ152" i="33" s="1"/>
  <c r="FA152" i="33" s="1"/>
  <c r="FB152" i="33" s="1"/>
  <c r="FC152" i="33" s="1"/>
  <c r="FD152" i="33" s="1"/>
  <c r="FE152" i="33" s="1"/>
  <c r="FF152" i="33" s="1"/>
  <c r="FG152" i="33" s="1"/>
  <c r="FH152" i="33" s="1"/>
  <c r="FI152" i="33" s="1"/>
  <c r="AF139" i="33"/>
  <c r="N139" i="33" s="1"/>
  <c r="DB143" i="33" s="1"/>
  <c r="AM139" i="33"/>
  <c r="U139" i="33" s="1"/>
  <c r="GW143" i="33" s="1"/>
  <c r="AL139" i="33"/>
  <c r="T139" i="33" s="1"/>
  <c r="GS143" i="33" s="1"/>
  <c r="GT143" i="33" s="1"/>
  <c r="GU143" i="33" s="1"/>
  <c r="GV143" i="33" s="1"/>
  <c r="AG139" i="33"/>
  <c r="O139" i="33" s="1"/>
  <c r="DV143" i="33" s="1"/>
  <c r="DW143" i="33" s="1"/>
  <c r="DX143" i="33" s="1"/>
  <c r="DY143" i="33" s="1"/>
  <c r="DZ143" i="33" s="1"/>
  <c r="EA143" i="33" s="1"/>
  <c r="EB143" i="33" s="1"/>
  <c r="EC143" i="33" s="1"/>
  <c r="ED143" i="33" s="1"/>
  <c r="EE143" i="33" s="1"/>
  <c r="EF143" i="33" s="1"/>
  <c r="EG143" i="33" s="1"/>
  <c r="EH143" i="33" s="1"/>
  <c r="EI143" i="33" s="1"/>
  <c r="EJ143" i="33" s="1"/>
  <c r="EK143" i="33" s="1"/>
  <c r="EL143" i="33" s="1"/>
  <c r="EM143" i="33" s="1"/>
  <c r="EN143" i="33" s="1"/>
  <c r="EO143" i="33" s="1"/>
  <c r="AK139" i="33"/>
  <c r="S139" i="33" s="1"/>
  <c r="GN143" i="33" s="1"/>
  <c r="GO143" i="33" s="1"/>
  <c r="GP143" i="33" s="1"/>
  <c r="GQ143" i="33" s="1"/>
  <c r="GR143" i="33" s="1"/>
  <c r="AJ139" i="33"/>
  <c r="R139" i="33" s="1"/>
  <c r="GD143" i="33" s="1"/>
  <c r="GE143" i="33" s="1"/>
  <c r="GF143" i="33" s="1"/>
  <c r="GG143" i="33" s="1"/>
  <c r="GH143" i="33" s="1"/>
  <c r="GI143" i="33" s="1"/>
  <c r="GJ143" i="33" s="1"/>
  <c r="GK143" i="33" s="1"/>
  <c r="GL143" i="33" s="1"/>
  <c r="GM143" i="33" s="1"/>
  <c r="AI139" i="33"/>
  <c r="Q139" i="33" s="1"/>
  <c r="FJ143" i="33" s="1"/>
  <c r="FK143" i="33" s="1"/>
  <c r="FL143" i="33" s="1"/>
  <c r="FM143" i="33" s="1"/>
  <c r="FN143" i="33" s="1"/>
  <c r="FO143" i="33" s="1"/>
  <c r="FP143" i="33" s="1"/>
  <c r="FQ143" i="33" s="1"/>
  <c r="FR143" i="33" s="1"/>
  <c r="FS143" i="33" s="1"/>
  <c r="FT143" i="33" s="1"/>
  <c r="FU143" i="33" s="1"/>
  <c r="FV143" i="33" s="1"/>
  <c r="FW143" i="33" s="1"/>
  <c r="FX143" i="33" s="1"/>
  <c r="FY143" i="33" s="1"/>
  <c r="FZ143" i="33" s="1"/>
  <c r="GA143" i="33" s="1"/>
  <c r="GB143" i="33" s="1"/>
  <c r="GC143" i="33" s="1"/>
  <c r="AH139" i="33"/>
  <c r="P139" i="33" s="1"/>
  <c r="EP143" i="33" s="1"/>
  <c r="EQ143" i="33" s="1"/>
  <c r="ER143" i="33" s="1"/>
  <c r="ES143" i="33" s="1"/>
  <c r="ET143" i="33" s="1"/>
  <c r="EU143" i="33" s="1"/>
  <c r="EV143" i="33" s="1"/>
  <c r="EW143" i="33" s="1"/>
  <c r="EX143" i="33" s="1"/>
  <c r="EY143" i="33" s="1"/>
  <c r="EZ143" i="33" s="1"/>
  <c r="FA143" i="33" s="1"/>
  <c r="FB143" i="33" s="1"/>
  <c r="FC143" i="33" s="1"/>
  <c r="FD143" i="33" s="1"/>
  <c r="FE143" i="33" s="1"/>
  <c r="FF143" i="33" s="1"/>
  <c r="FG143" i="33" s="1"/>
  <c r="FH143" i="33" s="1"/>
  <c r="FI143" i="33" s="1"/>
  <c r="O69" i="33"/>
  <c r="DV128" i="33" s="1"/>
  <c r="DW128" i="33" s="1"/>
  <c r="DX128" i="33" s="1"/>
  <c r="DY128" i="33" s="1"/>
  <c r="DZ128" i="33" s="1"/>
  <c r="EA128" i="33" s="1"/>
  <c r="EB128" i="33" s="1"/>
  <c r="EC128" i="33" s="1"/>
  <c r="ED128" i="33" s="1"/>
  <c r="EE128" i="33" s="1"/>
  <c r="EF128" i="33" s="1"/>
  <c r="EG128" i="33" s="1"/>
  <c r="EH128" i="33" s="1"/>
  <c r="EI128" i="33" s="1"/>
  <c r="EJ128" i="33" s="1"/>
  <c r="EK128" i="33" s="1"/>
  <c r="EL128" i="33" s="1"/>
  <c r="EM128" i="33" s="1"/>
  <c r="EN128" i="33" s="1"/>
  <c r="EO128" i="33" s="1"/>
  <c r="U69" i="33"/>
  <c r="GW128" i="33" s="1"/>
  <c r="T69" i="33"/>
  <c r="GS128" i="33" s="1"/>
  <c r="GT128" i="33" s="1"/>
  <c r="GU128" i="33" s="1"/>
  <c r="GV128" i="33" s="1"/>
  <c r="S69" i="33"/>
  <c r="GN128" i="33" s="1"/>
  <c r="GO128" i="33" s="1"/>
  <c r="GP128" i="33" s="1"/>
  <c r="GQ128" i="33" s="1"/>
  <c r="GR128" i="33" s="1"/>
  <c r="R69" i="33"/>
  <c r="GD128" i="33" s="1"/>
  <c r="GE128" i="33" s="1"/>
  <c r="GF128" i="33" s="1"/>
  <c r="GG128" i="33" s="1"/>
  <c r="GH128" i="33" s="1"/>
  <c r="GI128" i="33" s="1"/>
  <c r="GJ128" i="33" s="1"/>
  <c r="GK128" i="33" s="1"/>
  <c r="GL128" i="33" s="1"/>
  <c r="GM128" i="33" s="1"/>
  <c r="Q69" i="33"/>
  <c r="FJ128" i="33" s="1"/>
  <c r="FK128" i="33" s="1"/>
  <c r="FL128" i="33" s="1"/>
  <c r="FM128" i="33" s="1"/>
  <c r="FN128" i="33" s="1"/>
  <c r="FO128" i="33" s="1"/>
  <c r="FP128" i="33" s="1"/>
  <c r="FQ128" i="33" s="1"/>
  <c r="FR128" i="33" s="1"/>
  <c r="FS128" i="33" s="1"/>
  <c r="FT128" i="33" s="1"/>
  <c r="FU128" i="33" s="1"/>
  <c r="FV128" i="33" s="1"/>
  <c r="FW128" i="33" s="1"/>
  <c r="FX128" i="33" s="1"/>
  <c r="FY128" i="33" s="1"/>
  <c r="FZ128" i="33" s="1"/>
  <c r="GA128" i="33" s="1"/>
  <c r="GB128" i="33" s="1"/>
  <c r="GC128" i="33" s="1"/>
  <c r="P69" i="33"/>
  <c r="EP128" i="33" s="1"/>
  <c r="EQ128" i="33" s="1"/>
  <c r="ER128" i="33" s="1"/>
  <c r="ES128" i="33" s="1"/>
  <c r="ET128" i="33" s="1"/>
  <c r="EU128" i="33" s="1"/>
  <c r="EV128" i="33" s="1"/>
  <c r="EW128" i="33" s="1"/>
  <c r="EX128" i="33" s="1"/>
  <c r="EY128" i="33" s="1"/>
  <c r="EZ128" i="33" s="1"/>
  <c r="FA128" i="33" s="1"/>
  <c r="FB128" i="33" s="1"/>
  <c r="FC128" i="33" s="1"/>
  <c r="FD128" i="33" s="1"/>
  <c r="FE128" i="33" s="1"/>
  <c r="FF128" i="33" s="1"/>
  <c r="FG128" i="33" s="1"/>
  <c r="FH128" i="33" s="1"/>
  <c r="FI128" i="33" s="1"/>
  <c r="N69" i="33"/>
  <c r="DB128" i="33" s="1"/>
  <c r="DC128" i="33" s="1"/>
  <c r="DD128" i="33" s="1"/>
  <c r="DE128" i="33" s="1"/>
  <c r="DF128" i="33" s="1"/>
  <c r="DG128" i="33" s="1"/>
  <c r="DH128" i="33" s="1"/>
  <c r="DI128" i="33" s="1"/>
  <c r="DJ128" i="33" s="1"/>
  <c r="DK128" i="33" s="1"/>
  <c r="DL128" i="33" s="1"/>
  <c r="DM128" i="33" s="1"/>
  <c r="DN128" i="33" s="1"/>
  <c r="DO128" i="33" s="1"/>
  <c r="DP128" i="33" s="1"/>
  <c r="DQ128" i="33" s="1"/>
  <c r="DR128" i="33" s="1"/>
  <c r="DS128" i="33" s="1"/>
  <c r="DT128" i="33" s="1"/>
  <c r="DU128" i="33" s="1"/>
  <c r="N34" i="33"/>
  <c r="DB93" i="33" s="1"/>
  <c r="AP35" i="33"/>
  <c r="F35" i="33" s="1"/>
  <c r="Y94" i="33" s="1"/>
  <c r="Z94" i="33" s="1"/>
  <c r="AA94" i="33" s="1"/>
  <c r="AB94" i="33" s="1"/>
  <c r="AC94" i="33" s="1"/>
  <c r="AD94" i="33" s="1"/>
  <c r="AE94" i="33" s="1"/>
  <c r="AF94" i="33" s="1"/>
  <c r="AG94" i="33" s="1"/>
  <c r="AH94" i="33" s="1"/>
  <c r="AI94" i="33" s="1"/>
  <c r="AJ94" i="33" s="1"/>
  <c r="AK94" i="33" s="1"/>
  <c r="AL94" i="33" s="1"/>
  <c r="AM94" i="33" s="1"/>
  <c r="AN94" i="33" s="1"/>
  <c r="AO94" i="33" s="1"/>
  <c r="AP94" i="33" s="1"/>
  <c r="AQ94" i="33" s="1"/>
  <c r="AR94" i="33" s="1"/>
  <c r="AV35" i="33"/>
  <c r="L35" i="33" s="1"/>
  <c r="CZ94" i="33" s="1"/>
  <c r="AS35" i="33"/>
  <c r="I35" i="33" s="1"/>
  <c r="CG94" i="33" s="1"/>
  <c r="CH94" i="33" s="1"/>
  <c r="CI94" i="33" s="1"/>
  <c r="CJ94" i="33" s="1"/>
  <c r="CK94" i="33" s="1"/>
  <c r="CL94" i="33" s="1"/>
  <c r="CM94" i="33" s="1"/>
  <c r="CN94" i="33" s="1"/>
  <c r="CO94" i="33" s="1"/>
  <c r="CP94" i="33" s="1"/>
  <c r="AO34" i="33"/>
  <c r="AX34" i="33"/>
  <c r="AZ34" i="33"/>
  <c r="A36" i="33"/>
  <c r="AZ35" i="33"/>
  <c r="BA35" i="33"/>
  <c r="BB35" i="33"/>
  <c r="AX35" i="33"/>
  <c r="BC35" i="33"/>
  <c r="BD35" i="33"/>
  <c r="BF35" i="33"/>
  <c r="BE35" i="33"/>
  <c r="BG35" i="33"/>
  <c r="F84" i="33"/>
  <c r="X84" i="33"/>
  <c r="G84" i="33"/>
  <c r="Y84" i="33"/>
  <c r="E84" i="33"/>
  <c r="W84" i="33"/>
  <c r="DC110" i="33"/>
  <c r="DD110" i="33" s="1"/>
  <c r="DE110" i="33" s="1"/>
  <c r="DF110" i="33" s="1"/>
  <c r="DG110" i="33" s="1"/>
  <c r="DH110" i="33" s="1"/>
  <c r="DI110" i="33" s="1"/>
  <c r="DJ110" i="33" s="1"/>
  <c r="DK110" i="33" s="1"/>
  <c r="DL110" i="33" s="1"/>
  <c r="DM110" i="33" s="1"/>
  <c r="DN110" i="33" s="1"/>
  <c r="DO110" i="33" s="1"/>
  <c r="DP110" i="33" s="1"/>
  <c r="DQ110" i="33" s="1"/>
  <c r="DR110" i="33" s="1"/>
  <c r="DS110" i="33" s="1"/>
  <c r="DT110" i="33" s="1"/>
  <c r="DU110" i="33" s="1"/>
  <c r="DC106" i="33"/>
  <c r="DD106" i="33" s="1"/>
  <c r="DE106" i="33" s="1"/>
  <c r="DF106" i="33" s="1"/>
  <c r="DG106" i="33" s="1"/>
  <c r="DH106" i="33" s="1"/>
  <c r="DI106" i="33" s="1"/>
  <c r="DJ106" i="33" s="1"/>
  <c r="DK106" i="33" s="1"/>
  <c r="DL106" i="33" s="1"/>
  <c r="DM106" i="33" s="1"/>
  <c r="DN106" i="33" s="1"/>
  <c r="DO106" i="33" s="1"/>
  <c r="DP106" i="33" s="1"/>
  <c r="DQ106" i="33" s="1"/>
  <c r="DR106" i="33" s="1"/>
  <c r="DS106" i="33" s="1"/>
  <c r="DT106" i="33" s="1"/>
  <c r="DU106" i="33" s="1"/>
  <c r="AO35" i="33"/>
  <c r="E35" i="33" s="1"/>
  <c r="E94" i="33" s="1"/>
  <c r="N71" i="33"/>
  <c r="DB130" i="33" s="1"/>
  <c r="T71" i="33"/>
  <c r="GS130" i="33" s="1"/>
  <c r="GT130" i="33" s="1"/>
  <c r="GU130" i="33" s="1"/>
  <c r="GV130" i="33" s="1"/>
  <c r="S71" i="33"/>
  <c r="GN130" i="33" s="1"/>
  <c r="U71" i="33"/>
  <c r="GW130" i="33" s="1"/>
  <c r="R71" i="33"/>
  <c r="GD130" i="33" s="1"/>
  <c r="Q71" i="33"/>
  <c r="FJ130" i="33" s="1"/>
  <c r="P71" i="33"/>
  <c r="EP130" i="33" s="1"/>
  <c r="O71" i="33"/>
  <c r="DV130" i="33" s="1"/>
  <c r="DW130" i="33" s="1"/>
  <c r="DX130" i="33" s="1"/>
  <c r="DY130" i="33" s="1"/>
  <c r="DZ130" i="33" s="1"/>
  <c r="EA130" i="33" s="1"/>
  <c r="EB130" i="33" s="1"/>
  <c r="EC130" i="33" s="1"/>
  <c r="ED130" i="33" s="1"/>
  <c r="EE130" i="33" s="1"/>
  <c r="EF130" i="33" s="1"/>
  <c r="EG130" i="33" s="1"/>
  <c r="EH130" i="33" s="1"/>
  <c r="EI130" i="33" s="1"/>
  <c r="EJ130" i="33" s="1"/>
  <c r="EK130" i="33" s="1"/>
  <c r="EL130" i="33" s="1"/>
  <c r="EM130" i="33" s="1"/>
  <c r="EN130" i="33" s="1"/>
  <c r="EO130" i="33" s="1"/>
  <c r="AP87" i="33"/>
  <c r="AU34" i="33"/>
  <c r="K34" i="33" s="1"/>
  <c r="CV93" i="33" s="1"/>
  <c r="CW93" i="33" s="1"/>
  <c r="CX93" i="33" s="1"/>
  <c r="CY93" i="33" s="1"/>
  <c r="AQ35" i="33"/>
  <c r="G35" i="33" s="1"/>
  <c r="AT34" i="33"/>
  <c r="J34" i="33" s="1"/>
  <c r="CQ93" i="33" s="1"/>
  <c r="CR93" i="33" s="1"/>
  <c r="CS93" i="33" s="1"/>
  <c r="CT93" i="33" s="1"/>
  <c r="CU93" i="33" s="1"/>
  <c r="B75" i="36"/>
  <c r="AV70" i="33"/>
  <c r="L70" i="33" s="1"/>
  <c r="CZ129" i="33" s="1"/>
  <c r="P87" i="33"/>
  <c r="E87" i="33"/>
  <c r="AR34" i="33"/>
  <c r="H34" i="33" s="1"/>
  <c r="BM93" i="33" s="1"/>
  <c r="BN93" i="33" s="1"/>
  <c r="BO93" i="33" s="1"/>
  <c r="BP93" i="33" s="1"/>
  <c r="BQ93" i="33" s="1"/>
  <c r="BR93" i="33" s="1"/>
  <c r="BS93" i="33" s="1"/>
  <c r="BT93" i="33" s="1"/>
  <c r="BU93" i="33" s="1"/>
  <c r="BV93" i="33" s="1"/>
  <c r="BW93" i="33" s="1"/>
  <c r="BX93" i="33" s="1"/>
  <c r="BY93" i="33" s="1"/>
  <c r="BZ93" i="33" s="1"/>
  <c r="CA93" i="33" s="1"/>
  <c r="CB93" i="33" s="1"/>
  <c r="CC93" i="33" s="1"/>
  <c r="CD93" i="33" s="1"/>
  <c r="CE93" i="33" s="1"/>
  <c r="CF93" i="33" s="1"/>
  <c r="AV54" i="33"/>
  <c r="L54" i="33" s="1"/>
  <c r="CZ113" i="33" s="1"/>
  <c r="AV53" i="33"/>
  <c r="L53" i="33" s="1"/>
  <c r="CZ112" i="33" s="1"/>
  <c r="AV43" i="33"/>
  <c r="L43" i="33" s="1"/>
  <c r="CZ102" i="33" s="1"/>
  <c r="AV42" i="33"/>
  <c r="L42" i="33" s="1"/>
  <c r="CZ101" i="33" s="1"/>
  <c r="AV71" i="33"/>
  <c r="L71" i="33" s="1"/>
  <c r="CZ130" i="33" s="1"/>
  <c r="AV62" i="33"/>
  <c r="L62" i="33" s="1"/>
  <c r="CZ121" i="33" s="1"/>
  <c r="Q84" i="33"/>
  <c r="H84" i="33"/>
  <c r="AS62" i="33"/>
  <c r="I62" i="33" s="1"/>
  <c r="CG121" i="33" s="1"/>
  <c r="CH121" i="33" s="1"/>
  <c r="CI121" i="33" s="1"/>
  <c r="CJ121" i="33" s="1"/>
  <c r="CK121" i="33" s="1"/>
  <c r="CL121" i="33" s="1"/>
  <c r="CM121" i="33" s="1"/>
  <c r="CN121" i="33" s="1"/>
  <c r="CO121" i="33" s="1"/>
  <c r="CP121" i="33" s="1"/>
  <c r="AO61" i="33"/>
  <c r="E61" i="33" s="1"/>
  <c r="E120" i="33" s="1"/>
  <c r="AV52" i="33"/>
  <c r="L52" i="33" s="1"/>
  <c r="CZ111" i="33" s="1"/>
  <c r="AV51" i="33"/>
  <c r="L51" i="33" s="1"/>
  <c r="CZ110" i="33" s="1"/>
  <c r="AO49" i="33"/>
  <c r="E49" i="33" s="1"/>
  <c r="E108" i="33" s="1"/>
  <c r="AQ47" i="33"/>
  <c r="G47" i="33" s="1"/>
  <c r="AS106" i="33" s="1"/>
  <c r="AT106" i="33" s="1"/>
  <c r="AU106" i="33" s="1"/>
  <c r="AV106" i="33" s="1"/>
  <c r="AW106" i="33" s="1"/>
  <c r="AX106" i="33" s="1"/>
  <c r="AY106" i="33" s="1"/>
  <c r="AZ106" i="33" s="1"/>
  <c r="BA106" i="33" s="1"/>
  <c r="BB106" i="33" s="1"/>
  <c r="BC106" i="33" s="1"/>
  <c r="BD106" i="33" s="1"/>
  <c r="BE106" i="33" s="1"/>
  <c r="BF106" i="33" s="1"/>
  <c r="BG106" i="33" s="1"/>
  <c r="BH106" i="33" s="1"/>
  <c r="BI106" i="33" s="1"/>
  <c r="BJ106" i="33" s="1"/>
  <c r="BK106" i="33" s="1"/>
  <c r="BL106" i="33" s="1"/>
  <c r="AV37" i="33"/>
  <c r="L37" i="33" s="1"/>
  <c r="CZ96" i="33" s="1"/>
  <c r="AP36" i="33"/>
  <c r="F36" i="33" s="1"/>
  <c r="Y95" i="33" s="1"/>
  <c r="Z95" i="33" s="1"/>
  <c r="AA95" i="33" s="1"/>
  <c r="AB95" i="33" s="1"/>
  <c r="AC95" i="33" s="1"/>
  <c r="AD95" i="33" s="1"/>
  <c r="AE95" i="33" s="1"/>
  <c r="AF95" i="33" s="1"/>
  <c r="AG95" i="33" s="1"/>
  <c r="AH95" i="33" s="1"/>
  <c r="AI95" i="33" s="1"/>
  <c r="AJ95" i="33" s="1"/>
  <c r="AK95" i="33" s="1"/>
  <c r="AL95" i="33" s="1"/>
  <c r="AM95" i="33" s="1"/>
  <c r="AN95" i="33" s="1"/>
  <c r="AO95" i="33" s="1"/>
  <c r="AP95" i="33" s="1"/>
  <c r="AQ95" i="33" s="1"/>
  <c r="AR95" i="33" s="1"/>
  <c r="AV65" i="33"/>
  <c r="L65" i="33" s="1"/>
  <c r="CZ124" i="33" s="1"/>
  <c r="AQ64" i="33"/>
  <c r="G64" i="33" s="1"/>
  <c r="AS123" i="33" s="1"/>
  <c r="AT123" i="33" s="1"/>
  <c r="AU123" i="33" s="1"/>
  <c r="AV123" i="33" s="1"/>
  <c r="AW123" i="33" s="1"/>
  <c r="AX123" i="33" s="1"/>
  <c r="AY123" i="33" s="1"/>
  <c r="AZ123" i="33" s="1"/>
  <c r="BA123" i="33" s="1"/>
  <c r="BB123" i="33" s="1"/>
  <c r="BC123" i="33" s="1"/>
  <c r="BD123" i="33" s="1"/>
  <c r="BE123" i="33" s="1"/>
  <c r="BF123" i="33" s="1"/>
  <c r="BG123" i="33" s="1"/>
  <c r="BH123" i="33" s="1"/>
  <c r="BI123" i="33" s="1"/>
  <c r="BJ123" i="33" s="1"/>
  <c r="BK123" i="33" s="1"/>
  <c r="BL123" i="33" s="1"/>
  <c r="AV61" i="33"/>
  <c r="L61" i="33" s="1"/>
  <c r="CZ120" i="33" s="1"/>
  <c r="AV49" i="33"/>
  <c r="L49" i="33" s="1"/>
  <c r="CZ108" i="33" s="1"/>
  <c r="AU37" i="33"/>
  <c r="K37" i="33" s="1"/>
  <c r="CV96" i="33" s="1"/>
  <c r="CW96" i="33" s="1"/>
  <c r="CX96" i="33" s="1"/>
  <c r="CY96" i="33" s="1"/>
  <c r="AO36" i="33"/>
  <c r="E36" i="33" s="1"/>
  <c r="E95" i="33" s="1"/>
  <c r="AP67" i="33"/>
  <c r="F67" i="33" s="1"/>
  <c r="Y126" i="33" s="1"/>
  <c r="Z126" i="33" s="1"/>
  <c r="AA126" i="33" s="1"/>
  <c r="AB126" i="33" s="1"/>
  <c r="AC126" i="33" s="1"/>
  <c r="AD126" i="33" s="1"/>
  <c r="AE126" i="33" s="1"/>
  <c r="AF126" i="33" s="1"/>
  <c r="AG126" i="33" s="1"/>
  <c r="AH126" i="33" s="1"/>
  <c r="AI126" i="33" s="1"/>
  <c r="AJ126" i="33" s="1"/>
  <c r="AK126" i="33" s="1"/>
  <c r="AL126" i="33" s="1"/>
  <c r="AM126" i="33" s="1"/>
  <c r="AN126" i="33" s="1"/>
  <c r="AO126" i="33" s="1"/>
  <c r="AP126" i="33" s="1"/>
  <c r="AQ126" i="33" s="1"/>
  <c r="AR126" i="33" s="1"/>
  <c r="AP64" i="33"/>
  <c r="F64" i="33" s="1"/>
  <c r="Y123" i="33" s="1"/>
  <c r="Z123" i="33" s="1"/>
  <c r="AA123" i="33" s="1"/>
  <c r="AB123" i="33" s="1"/>
  <c r="AC123" i="33" s="1"/>
  <c r="AD123" i="33" s="1"/>
  <c r="AE123" i="33" s="1"/>
  <c r="AF123" i="33" s="1"/>
  <c r="AG123" i="33" s="1"/>
  <c r="AH123" i="33" s="1"/>
  <c r="AI123" i="33" s="1"/>
  <c r="AJ123" i="33" s="1"/>
  <c r="AK123" i="33" s="1"/>
  <c r="AL123" i="33" s="1"/>
  <c r="AM123" i="33" s="1"/>
  <c r="AN123" i="33" s="1"/>
  <c r="AO123" i="33" s="1"/>
  <c r="AP123" i="33" s="1"/>
  <c r="AQ123" i="33" s="1"/>
  <c r="AR123" i="33" s="1"/>
  <c r="AP63" i="33"/>
  <c r="F63" i="33" s="1"/>
  <c r="Y122" i="33" s="1"/>
  <c r="Z122" i="33" s="1"/>
  <c r="AA122" i="33" s="1"/>
  <c r="AB122" i="33" s="1"/>
  <c r="AC122" i="33" s="1"/>
  <c r="AD122" i="33" s="1"/>
  <c r="AE122" i="33" s="1"/>
  <c r="AF122" i="33" s="1"/>
  <c r="AG122" i="33" s="1"/>
  <c r="AH122" i="33" s="1"/>
  <c r="AI122" i="33" s="1"/>
  <c r="AJ122" i="33" s="1"/>
  <c r="AK122" i="33" s="1"/>
  <c r="AL122" i="33" s="1"/>
  <c r="AM122" i="33" s="1"/>
  <c r="AN122" i="33" s="1"/>
  <c r="AO122" i="33" s="1"/>
  <c r="AP122" i="33" s="1"/>
  <c r="AQ122" i="33" s="1"/>
  <c r="AR122" i="33" s="1"/>
  <c r="AV60" i="33"/>
  <c r="L60" i="33" s="1"/>
  <c r="CZ119" i="33" s="1"/>
  <c r="AV59" i="33"/>
  <c r="L59" i="33" s="1"/>
  <c r="CZ118" i="33" s="1"/>
  <c r="AT52" i="33"/>
  <c r="J52" i="33" s="1"/>
  <c r="CQ111" i="33" s="1"/>
  <c r="CR111" i="33" s="1"/>
  <c r="CS111" i="33" s="1"/>
  <c r="CT111" i="33" s="1"/>
  <c r="CU111" i="33" s="1"/>
  <c r="AT51" i="33"/>
  <c r="J51" i="33" s="1"/>
  <c r="CQ110" i="33" s="1"/>
  <c r="CR110" i="33" s="1"/>
  <c r="CS110" i="33" s="1"/>
  <c r="CT110" i="33" s="1"/>
  <c r="CU110" i="33" s="1"/>
  <c r="AV40" i="33"/>
  <c r="L40" i="33" s="1"/>
  <c r="CZ99" i="33" s="1"/>
  <c r="AV36" i="33"/>
  <c r="L36" i="33" s="1"/>
  <c r="CZ95" i="33" s="1"/>
  <c r="AP34" i="33"/>
  <c r="F34" i="33" s="1"/>
  <c r="Y93" i="33" s="1"/>
  <c r="Z93" i="33" s="1"/>
  <c r="AA93" i="33" s="1"/>
  <c r="AB93" i="33" s="1"/>
  <c r="AC93" i="33" s="1"/>
  <c r="AD93" i="33" s="1"/>
  <c r="AE93" i="33" s="1"/>
  <c r="AF93" i="33" s="1"/>
  <c r="AG93" i="33" s="1"/>
  <c r="AH93" i="33" s="1"/>
  <c r="AI93" i="33" s="1"/>
  <c r="AJ93" i="33" s="1"/>
  <c r="AK93" i="33" s="1"/>
  <c r="AL93" i="33" s="1"/>
  <c r="AM93" i="33" s="1"/>
  <c r="AN93" i="33" s="1"/>
  <c r="AO93" i="33" s="1"/>
  <c r="AP93" i="33" s="1"/>
  <c r="AQ93" i="33" s="1"/>
  <c r="AR93" i="33" s="1"/>
  <c r="AO67" i="33"/>
  <c r="E67" i="33" s="1"/>
  <c r="E126" i="33" s="1"/>
  <c r="AO54" i="33"/>
  <c r="E54" i="33" s="1"/>
  <c r="E113" i="33" s="1"/>
  <c r="AV48" i="33"/>
  <c r="L48" i="33" s="1"/>
  <c r="CZ107" i="33" s="1"/>
  <c r="AV47" i="33"/>
  <c r="L47" i="33" s="1"/>
  <c r="CZ106" i="33" s="1"/>
  <c r="AQ41" i="33"/>
  <c r="G41" i="33" s="1"/>
  <c r="AS100" i="33" s="1"/>
  <c r="AT100" i="33" s="1"/>
  <c r="AU100" i="33" s="1"/>
  <c r="AV100" i="33" s="1"/>
  <c r="AW100" i="33" s="1"/>
  <c r="AX100" i="33" s="1"/>
  <c r="AY100" i="33" s="1"/>
  <c r="AZ100" i="33" s="1"/>
  <c r="BA100" i="33" s="1"/>
  <c r="BB100" i="33" s="1"/>
  <c r="BC100" i="33" s="1"/>
  <c r="BD100" i="33" s="1"/>
  <c r="BE100" i="33" s="1"/>
  <c r="BF100" i="33" s="1"/>
  <c r="BG100" i="33" s="1"/>
  <c r="BH100" i="33" s="1"/>
  <c r="BI100" i="33" s="1"/>
  <c r="BJ100" i="33" s="1"/>
  <c r="BK100" i="33" s="1"/>
  <c r="BL100" i="33" s="1"/>
  <c r="AV39" i="33"/>
  <c r="L39" i="33" s="1"/>
  <c r="CZ98" i="33" s="1"/>
  <c r="AQ34" i="33"/>
  <c r="G34" i="33" s="1"/>
  <c r="AS93" i="33" s="1"/>
  <c r="AT93" i="33" s="1"/>
  <c r="AU93" i="33" s="1"/>
  <c r="AV93" i="33" s="1"/>
  <c r="AW93" i="33" s="1"/>
  <c r="AX93" i="33" s="1"/>
  <c r="AY93" i="33" s="1"/>
  <c r="AZ93" i="33" s="1"/>
  <c r="BA93" i="33" s="1"/>
  <c r="BB93" i="33" s="1"/>
  <c r="BC93" i="33" s="1"/>
  <c r="BD93" i="33" s="1"/>
  <c r="BE93" i="33" s="1"/>
  <c r="BF93" i="33" s="1"/>
  <c r="BG93" i="33" s="1"/>
  <c r="BH93" i="33" s="1"/>
  <c r="BI93" i="33" s="1"/>
  <c r="BJ93" i="33" s="1"/>
  <c r="BK93" i="33" s="1"/>
  <c r="BL93" i="33" s="1"/>
  <c r="AV67" i="33"/>
  <c r="L67" i="33" s="1"/>
  <c r="CZ126" i="33" s="1"/>
  <c r="AV64" i="33"/>
  <c r="L64" i="33" s="1"/>
  <c r="CZ123" i="33" s="1"/>
  <c r="AV63" i="33"/>
  <c r="L63" i="33" s="1"/>
  <c r="CZ122" i="33" s="1"/>
  <c r="AQ56" i="33"/>
  <c r="G56" i="33" s="1"/>
  <c r="AS115" i="33" s="1"/>
  <c r="AT115" i="33" s="1"/>
  <c r="AU115" i="33" s="1"/>
  <c r="AV115" i="33" s="1"/>
  <c r="AW115" i="33" s="1"/>
  <c r="AX115" i="33" s="1"/>
  <c r="AY115" i="33" s="1"/>
  <c r="AZ115" i="33" s="1"/>
  <c r="BA115" i="33" s="1"/>
  <c r="BB115" i="33" s="1"/>
  <c r="BC115" i="33" s="1"/>
  <c r="BD115" i="33" s="1"/>
  <c r="BE115" i="33" s="1"/>
  <c r="BF115" i="33" s="1"/>
  <c r="BG115" i="33" s="1"/>
  <c r="BH115" i="33" s="1"/>
  <c r="BI115" i="33" s="1"/>
  <c r="BJ115" i="33" s="1"/>
  <c r="BK115" i="33" s="1"/>
  <c r="BL115" i="33" s="1"/>
  <c r="AQ53" i="33"/>
  <c r="G53" i="33" s="1"/>
  <c r="AS112" i="33" s="1"/>
  <c r="AT112" i="33" s="1"/>
  <c r="AU112" i="33" s="1"/>
  <c r="AV112" i="33" s="1"/>
  <c r="AW112" i="33" s="1"/>
  <c r="AX112" i="33" s="1"/>
  <c r="AY112" i="33" s="1"/>
  <c r="AZ112" i="33" s="1"/>
  <c r="BA112" i="33" s="1"/>
  <c r="BB112" i="33" s="1"/>
  <c r="BC112" i="33" s="1"/>
  <c r="BD112" i="33" s="1"/>
  <c r="BE112" i="33" s="1"/>
  <c r="BF112" i="33" s="1"/>
  <c r="BG112" i="33" s="1"/>
  <c r="BH112" i="33" s="1"/>
  <c r="BI112" i="33" s="1"/>
  <c r="BJ112" i="33" s="1"/>
  <c r="BK112" i="33" s="1"/>
  <c r="BL112" i="33" s="1"/>
  <c r="AV45" i="33"/>
  <c r="L45" i="33" s="1"/>
  <c r="CZ104" i="33" s="1"/>
  <c r="AS43" i="33"/>
  <c r="I43" i="33" s="1"/>
  <c r="CG102" i="33" s="1"/>
  <c r="CH102" i="33" s="1"/>
  <c r="CI102" i="33" s="1"/>
  <c r="CJ102" i="33" s="1"/>
  <c r="CK102" i="33" s="1"/>
  <c r="CL102" i="33" s="1"/>
  <c r="CM102" i="33" s="1"/>
  <c r="CN102" i="33" s="1"/>
  <c r="CO102" i="33" s="1"/>
  <c r="CP102" i="33" s="1"/>
  <c r="AP41" i="33"/>
  <c r="F41" i="33" s="1"/>
  <c r="Y100" i="33" s="1"/>
  <c r="Z100" i="33" s="1"/>
  <c r="AA100" i="33" s="1"/>
  <c r="AB100" i="33" s="1"/>
  <c r="AC100" i="33" s="1"/>
  <c r="AD100" i="33" s="1"/>
  <c r="AE100" i="33" s="1"/>
  <c r="AF100" i="33" s="1"/>
  <c r="AG100" i="33" s="1"/>
  <c r="AH100" i="33" s="1"/>
  <c r="AI100" i="33" s="1"/>
  <c r="AJ100" i="33" s="1"/>
  <c r="AK100" i="33" s="1"/>
  <c r="AL100" i="33" s="1"/>
  <c r="AM100" i="33" s="1"/>
  <c r="AN100" i="33" s="1"/>
  <c r="AO100" i="33" s="1"/>
  <c r="AP100" i="33" s="1"/>
  <c r="AQ100" i="33" s="1"/>
  <c r="AR100" i="33" s="1"/>
  <c r="AV58" i="33"/>
  <c r="L58" i="33" s="1"/>
  <c r="CZ117" i="33" s="1"/>
  <c r="AV57" i="33"/>
  <c r="L57" i="33" s="1"/>
  <c r="CZ116" i="33" s="1"/>
  <c r="AT45" i="33"/>
  <c r="J45" i="33" s="1"/>
  <c r="CQ104" i="33" s="1"/>
  <c r="CR104" i="33" s="1"/>
  <c r="CS104" i="33" s="1"/>
  <c r="CT104" i="33" s="1"/>
  <c r="CU104" i="33" s="1"/>
  <c r="AQ44" i="33"/>
  <c r="G44" i="33" s="1"/>
  <c r="AS103" i="33" s="1"/>
  <c r="AT103" i="33" s="1"/>
  <c r="AU103" i="33" s="1"/>
  <c r="AV103" i="33" s="1"/>
  <c r="AW103" i="33" s="1"/>
  <c r="AX103" i="33" s="1"/>
  <c r="AY103" i="33" s="1"/>
  <c r="AZ103" i="33" s="1"/>
  <c r="BA103" i="33" s="1"/>
  <c r="BB103" i="33" s="1"/>
  <c r="BC103" i="33" s="1"/>
  <c r="BD103" i="33" s="1"/>
  <c r="BE103" i="33" s="1"/>
  <c r="BF103" i="33" s="1"/>
  <c r="BG103" i="33" s="1"/>
  <c r="BH103" i="33" s="1"/>
  <c r="BI103" i="33" s="1"/>
  <c r="BJ103" i="33" s="1"/>
  <c r="BK103" i="33" s="1"/>
  <c r="BL103" i="33" s="1"/>
  <c r="AO69" i="33"/>
  <c r="E69" i="33" s="1"/>
  <c r="E128" i="33" s="1"/>
  <c r="AR44" i="33"/>
  <c r="H44" i="33" s="1"/>
  <c r="BM103" i="33" s="1"/>
  <c r="BN103" i="33" s="1"/>
  <c r="BO103" i="33" s="1"/>
  <c r="BP103" i="33" s="1"/>
  <c r="BQ103" i="33" s="1"/>
  <c r="BR103" i="33" s="1"/>
  <c r="BS103" i="33" s="1"/>
  <c r="BT103" i="33" s="1"/>
  <c r="BU103" i="33" s="1"/>
  <c r="BV103" i="33" s="1"/>
  <c r="BW103" i="33" s="1"/>
  <c r="BX103" i="33" s="1"/>
  <c r="BY103" i="33" s="1"/>
  <c r="BZ103" i="33" s="1"/>
  <c r="CA103" i="33" s="1"/>
  <c r="CB103" i="33" s="1"/>
  <c r="CC103" i="33" s="1"/>
  <c r="CD103" i="33" s="1"/>
  <c r="CE103" i="33" s="1"/>
  <c r="CF103" i="33" s="1"/>
  <c r="AV66" i="33"/>
  <c r="L66" i="33" s="1"/>
  <c r="CZ125" i="33" s="1"/>
  <c r="AQ60" i="33"/>
  <c r="G60" i="33" s="1"/>
  <c r="AS119" i="33" s="1"/>
  <c r="AT119" i="33" s="1"/>
  <c r="AU119" i="33" s="1"/>
  <c r="AV119" i="33" s="1"/>
  <c r="AW119" i="33" s="1"/>
  <c r="AX119" i="33" s="1"/>
  <c r="AY119" i="33" s="1"/>
  <c r="AZ119" i="33" s="1"/>
  <c r="BA119" i="33" s="1"/>
  <c r="BB119" i="33" s="1"/>
  <c r="BC119" i="33" s="1"/>
  <c r="BD119" i="33" s="1"/>
  <c r="BE119" i="33" s="1"/>
  <c r="BF119" i="33" s="1"/>
  <c r="BG119" i="33" s="1"/>
  <c r="BH119" i="33" s="1"/>
  <c r="BI119" i="33" s="1"/>
  <c r="BJ119" i="33" s="1"/>
  <c r="BK119" i="33" s="1"/>
  <c r="BL119" i="33" s="1"/>
  <c r="AU57" i="33"/>
  <c r="K57" i="33" s="1"/>
  <c r="CV116" i="33" s="1"/>
  <c r="CW116" i="33" s="1"/>
  <c r="CX116" i="33" s="1"/>
  <c r="CY116" i="33" s="1"/>
  <c r="AV56" i="33"/>
  <c r="L56" i="33" s="1"/>
  <c r="CZ115" i="33" s="1"/>
  <c r="AV55" i="33"/>
  <c r="L55" i="33" s="1"/>
  <c r="CZ114" i="33" s="1"/>
  <c r="AP49" i="33"/>
  <c r="F49" i="33" s="1"/>
  <c r="Y108" i="33" s="1"/>
  <c r="Z108" i="33" s="1"/>
  <c r="AA108" i="33" s="1"/>
  <c r="AB108" i="33" s="1"/>
  <c r="AC108" i="33" s="1"/>
  <c r="AD108" i="33" s="1"/>
  <c r="AE108" i="33" s="1"/>
  <c r="AF108" i="33" s="1"/>
  <c r="AG108" i="33" s="1"/>
  <c r="AH108" i="33" s="1"/>
  <c r="AI108" i="33" s="1"/>
  <c r="AJ108" i="33" s="1"/>
  <c r="AK108" i="33" s="1"/>
  <c r="AL108" i="33" s="1"/>
  <c r="AM108" i="33" s="1"/>
  <c r="AN108" i="33" s="1"/>
  <c r="AO108" i="33" s="1"/>
  <c r="AP108" i="33" s="1"/>
  <c r="AQ108" i="33" s="1"/>
  <c r="AR108" i="33" s="1"/>
  <c r="AR46" i="33"/>
  <c r="H46" i="33" s="1"/>
  <c r="BM105" i="33" s="1"/>
  <c r="BN105" i="33" s="1"/>
  <c r="BO105" i="33" s="1"/>
  <c r="BP105" i="33" s="1"/>
  <c r="BQ105" i="33" s="1"/>
  <c r="BR105" i="33" s="1"/>
  <c r="BS105" i="33" s="1"/>
  <c r="BT105" i="33" s="1"/>
  <c r="BU105" i="33" s="1"/>
  <c r="BV105" i="33" s="1"/>
  <c r="BW105" i="33" s="1"/>
  <c r="BX105" i="33" s="1"/>
  <c r="BY105" i="33" s="1"/>
  <c r="BZ105" i="33" s="1"/>
  <c r="CA105" i="33" s="1"/>
  <c r="CB105" i="33" s="1"/>
  <c r="CC105" i="33" s="1"/>
  <c r="CD105" i="33" s="1"/>
  <c r="CE105" i="33" s="1"/>
  <c r="CF105" i="33" s="1"/>
  <c r="AS45" i="33"/>
  <c r="I45" i="33" s="1"/>
  <c r="CG104" i="33" s="1"/>
  <c r="CH104" i="33" s="1"/>
  <c r="CI104" i="33" s="1"/>
  <c r="CJ104" i="33" s="1"/>
  <c r="CK104" i="33" s="1"/>
  <c r="CL104" i="33" s="1"/>
  <c r="CM104" i="33" s="1"/>
  <c r="CN104" i="33" s="1"/>
  <c r="CO104" i="33" s="1"/>
  <c r="CP104" i="33" s="1"/>
  <c r="AV38" i="33"/>
  <c r="L38" i="33" s="1"/>
  <c r="CZ97" i="33" s="1"/>
  <c r="AQ71" i="33"/>
  <c r="G71" i="33" s="1"/>
  <c r="AS130" i="33" s="1"/>
  <c r="AT130" i="33" s="1"/>
  <c r="AU130" i="33" s="1"/>
  <c r="AV130" i="33" s="1"/>
  <c r="AW130" i="33" s="1"/>
  <c r="AX130" i="33" s="1"/>
  <c r="AY130" i="33" s="1"/>
  <c r="AZ130" i="33" s="1"/>
  <c r="BA130" i="33" s="1"/>
  <c r="BB130" i="33" s="1"/>
  <c r="BC130" i="33" s="1"/>
  <c r="BD130" i="33" s="1"/>
  <c r="BE130" i="33" s="1"/>
  <c r="BF130" i="33" s="1"/>
  <c r="BG130" i="33" s="1"/>
  <c r="BH130" i="33" s="1"/>
  <c r="BI130" i="33" s="1"/>
  <c r="BJ130" i="33" s="1"/>
  <c r="BK130" i="33" s="1"/>
  <c r="BL130" i="33" s="1"/>
  <c r="AR70" i="33"/>
  <c r="H70" i="33" s="1"/>
  <c r="BM129" i="33" s="1"/>
  <c r="BN129" i="33" s="1"/>
  <c r="BO129" i="33" s="1"/>
  <c r="BP129" i="33" s="1"/>
  <c r="BQ129" i="33" s="1"/>
  <c r="BR129" i="33" s="1"/>
  <c r="BS129" i="33" s="1"/>
  <c r="BT129" i="33" s="1"/>
  <c r="BU129" i="33" s="1"/>
  <c r="BV129" i="33" s="1"/>
  <c r="BW129" i="33" s="1"/>
  <c r="BX129" i="33" s="1"/>
  <c r="BY129" i="33" s="1"/>
  <c r="BZ129" i="33" s="1"/>
  <c r="CA129" i="33" s="1"/>
  <c r="CB129" i="33" s="1"/>
  <c r="CC129" i="33" s="1"/>
  <c r="CD129" i="33" s="1"/>
  <c r="CE129" i="33" s="1"/>
  <c r="CF129" i="33" s="1"/>
  <c r="AV69" i="33"/>
  <c r="L69" i="33" s="1"/>
  <c r="CZ128" i="33" s="1"/>
  <c r="AQ63" i="33"/>
  <c r="G63" i="33" s="1"/>
  <c r="AS122" i="33" s="1"/>
  <c r="AT122" i="33" s="1"/>
  <c r="AU122" i="33" s="1"/>
  <c r="AV122" i="33" s="1"/>
  <c r="AW122" i="33" s="1"/>
  <c r="AX122" i="33" s="1"/>
  <c r="AY122" i="33" s="1"/>
  <c r="AZ122" i="33" s="1"/>
  <c r="BA122" i="33" s="1"/>
  <c r="BB122" i="33" s="1"/>
  <c r="BC122" i="33" s="1"/>
  <c r="BD122" i="33" s="1"/>
  <c r="BE122" i="33" s="1"/>
  <c r="BF122" i="33" s="1"/>
  <c r="BG122" i="33" s="1"/>
  <c r="BH122" i="33" s="1"/>
  <c r="BI122" i="33" s="1"/>
  <c r="BJ122" i="33" s="1"/>
  <c r="BK122" i="33" s="1"/>
  <c r="BL122" i="33" s="1"/>
  <c r="AQ59" i="33"/>
  <c r="G59" i="33" s="1"/>
  <c r="AS118" i="33" s="1"/>
  <c r="AT118" i="33" s="1"/>
  <c r="AU118" i="33" s="1"/>
  <c r="AV118" i="33" s="1"/>
  <c r="AW118" i="33" s="1"/>
  <c r="AX118" i="33" s="1"/>
  <c r="AY118" i="33" s="1"/>
  <c r="AZ118" i="33" s="1"/>
  <c r="BA118" i="33" s="1"/>
  <c r="BB118" i="33" s="1"/>
  <c r="BC118" i="33" s="1"/>
  <c r="BD118" i="33" s="1"/>
  <c r="BE118" i="33" s="1"/>
  <c r="BF118" i="33" s="1"/>
  <c r="BG118" i="33" s="1"/>
  <c r="BH118" i="33" s="1"/>
  <c r="BI118" i="33" s="1"/>
  <c r="BJ118" i="33" s="1"/>
  <c r="BK118" i="33" s="1"/>
  <c r="BL118" i="33" s="1"/>
  <c r="AR66" i="33"/>
  <c r="H66" i="33" s="1"/>
  <c r="BM125" i="33" s="1"/>
  <c r="BN125" i="33" s="1"/>
  <c r="BO125" i="33" s="1"/>
  <c r="BP125" i="33" s="1"/>
  <c r="BQ125" i="33" s="1"/>
  <c r="BR125" i="33" s="1"/>
  <c r="BS125" i="33" s="1"/>
  <c r="BT125" i="33" s="1"/>
  <c r="BU125" i="33" s="1"/>
  <c r="BV125" i="33" s="1"/>
  <c r="BW125" i="33" s="1"/>
  <c r="BX125" i="33" s="1"/>
  <c r="BY125" i="33" s="1"/>
  <c r="BZ125" i="33" s="1"/>
  <c r="CA125" i="33" s="1"/>
  <c r="CB125" i="33" s="1"/>
  <c r="CC125" i="33" s="1"/>
  <c r="CD125" i="33" s="1"/>
  <c r="CE125" i="33" s="1"/>
  <c r="CF125" i="33" s="1"/>
  <c r="AR62" i="33"/>
  <c r="H62" i="33" s="1"/>
  <c r="BM121" i="33" s="1"/>
  <c r="BN121" i="33" s="1"/>
  <c r="BO121" i="33" s="1"/>
  <c r="BP121" i="33" s="1"/>
  <c r="BQ121" i="33" s="1"/>
  <c r="BR121" i="33" s="1"/>
  <c r="BS121" i="33" s="1"/>
  <c r="BT121" i="33" s="1"/>
  <c r="BU121" i="33" s="1"/>
  <c r="BV121" i="33" s="1"/>
  <c r="BW121" i="33" s="1"/>
  <c r="BX121" i="33" s="1"/>
  <c r="BY121" i="33" s="1"/>
  <c r="BZ121" i="33" s="1"/>
  <c r="CA121" i="33" s="1"/>
  <c r="CB121" i="33" s="1"/>
  <c r="CC121" i="33" s="1"/>
  <c r="CD121" i="33" s="1"/>
  <c r="CE121" i="33" s="1"/>
  <c r="CF121" i="33" s="1"/>
  <c r="AP60" i="33"/>
  <c r="F60" i="33" s="1"/>
  <c r="Y119" i="33" s="1"/>
  <c r="Z119" i="33" s="1"/>
  <c r="AA119" i="33" s="1"/>
  <c r="AB119" i="33" s="1"/>
  <c r="AC119" i="33" s="1"/>
  <c r="AD119" i="33" s="1"/>
  <c r="AE119" i="33" s="1"/>
  <c r="AF119" i="33" s="1"/>
  <c r="AG119" i="33" s="1"/>
  <c r="AH119" i="33" s="1"/>
  <c r="AI119" i="33" s="1"/>
  <c r="AJ119" i="33" s="1"/>
  <c r="AK119" i="33" s="1"/>
  <c r="AL119" i="33" s="1"/>
  <c r="AM119" i="33" s="1"/>
  <c r="AN119" i="33" s="1"/>
  <c r="AO119" i="33" s="1"/>
  <c r="AP119" i="33" s="1"/>
  <c r="AQ119" i="33" s="1"/>
  <c r="AR119" i="33" s="1"/>
  <c r="AT58" i="33"/>
  <c r="J58" i="33" s="1"/>
  <c r="CQ117" i="33" s="1"/>
  <c r="CR117" i="33" s="1"/>
  <c r="CS117" i="33" s="1"/>
  <c r="CT117" i="33" s="1"/>
  <c r="CU117" i="33" s="1"/>
  <c r="AS51" i="33"/>
  <c r="I51" i="33" s="1"/>
  <c r="CG110" i="33" s="1"/>
  <c r="CH110" i="33" s="1"/>
  <c r="CI110" i="33" s="1"/>
  <c r="CJ110" i="33" s="1"/>
  <c r="CK110" i="33" s="1"/>
  <c r="CL110" i="33" s="1"/>
  <c r="CM110" i="33" s="1"/>
  <c r="CN110" i="33" s="1"/>
  <c r="CO110" i="33" s="1"/>
  <c r="CP110" i="33" s="1"/>
  <c r="AQ66" i="33"/>
  <c r="G66" i="33" s="1"/>
  <c r="AS125" i="33" s="1"/>
  <c r="AT125" i="33" s="1"/>
  <c r="AU125" i="33" s="1"/>
  <c r="AV125" i="33" s="1"/>
  <c r="AW125" i="33" s="1"/>
  <c r="AX125" i="33" s="1"/>
  <c r="AY125" i="33" s="1"/>
  <c r="AZ125" i="33" s="1"/>
  <c r="BA125" i="33" s="1"/>
  <c r="BB125" i="33" s="1"/>
  <c r="BC125" i="33" s="1"/>
  <c r="BD125" i="33" s="1"/>
  <c r="BE125" i="33" s="1"/>
  <c r="BF125" i="33" s="1"/>
  <c r="BG125" i="33" s="1"/>
  <c r="BH125" i="33" s="1"/>
  <c r="BI125" i="33" s="1"/>
  <c r="BJ125" i="33" s="1"/>
  <c r="BK125" i="33" s="1"/>
  <c r="BL125" i="33" s="1"/>
  <c r="AT65" i="33"/>
  <c r="J65" i="33" s="1"/>
  <c r="CQ124" i="33" s="1"/>
  <c r="CR124" i="33" s="1"/>
  <c r="CS124" i="33" s="1"/>
  <c r="CT124" i="33" s="1"/>
  <c r="CU124" i="33" s="1"/>
  <c r="AO64" i="33"/>
  <c r="AO63" i="33"/>
  <c r="E63" i="33" s="1"/>
  <c r="E122" i="33" s="1"/>
  <c r="AQ62" i="33"/>
  <c r="G62" i="33" s="1"/>
  <c r="AS121" i="33" s="1"/>
  <c r="AT121" i="33" s="1"/>
  <c r="AU121" i="33" s="1"/>
  <c r="AV121" i="33" s="1"/>
  <c r="AW121" i="33" s="1"/>
  <c r="AX121" i="33" s="1"/>
  <c r="AY121" i="33" s="1"/>
  <c r="AZ121" i="33" s="1"/>
  <c r="BA121" i="33" s="1"/>
  <c r="BB121" i="33" s="1"/>
  <c r="BC121" i="33" s="1"/>
  <c r="BD121" i="33" s="1"/>
  <c r="BE121" i="33" s="1"/>
  <c r="BF121" i="33" s="1"/>
  <c r="BG121" i="33" s="1"/>
  <c r="BH121" i="33" s="1"/>
  <c r="BI121" i="33" s="1"/>
  <c r="BJ121" i="33" s="1"/>
  <c r="BK121" i="33" s="1"/>
  <c r="BL121" i="33" s="1"/>
  <c r="AU61" i="33"/>
  <c r="K61" i="33" s="1"/>
  <c r="CV120" i="33" s="1"/>
  <c r="CW120" i="33" s="1"/>
  <c r="CX120" i="33" s="1"/>
  <c r="CY120" i="33" s="1"/>
  <c r="AO60" i="33"/>
  <c r="E60" i="33" s="1"/>
  <c r="E119" i="33" s="1"/>
  <c r="AO59" i="33"/>
  <c r="E59" i="33" s="1"/>
  <c r="E118" i="33" s="1"/>
  <c r="AS58" i="33"/>
  <c r="I58" i="33" s="1"/>
  <c r="CG117" i="33" s="1"/>
  <c r="CH117" i="33" s="1"/>
  <c r="CI117" i="33" s="1"/>
  <c r="CJ117" i="33" s="1"/>
  <c r="CK117" i="33" s="1"/>
  <c r="CL117" i="33" s="1"/>
  <c r="CM117" i="33" s="1"/>
  <c r="CN117" i="33" s="1"/>
  <c r="CO117" i="33" s="1"/>
  <c r="CP117" i="33" s="1"/>
  <c r="AT57" i="33"/>
  <c r="J57" i="33" s="1"/>
  <c r="CQ116" i="33" s="1"/>
  <c r="CR116" i="33" s="1"/>
  <c r="CS116" i="33" s="1"/>
  <c r="CT116" i="33" s="1"/>
  <c r="CU116" i="33" s="1"/>
  <c r="AO56" i="33"/>
  <c r="E56" i="33" s="1"/>
  <c r="E115" i="33" s="1"/>
  <c r="AO55" i="33"/>
  <c r="E55" i="33" s="1"/>
  <c r="E114" i="33" s="1"/>
  <c r="AU54" i="33"/>
  <c r="K54" i="33" s="1"/>
  <c r="CV113" i="33" s="1"/>
  <c r="CW113" i="33" s="1"/>
  <c r="CX113" i="33" s="1"/>
  <c r="CY113" i="33" s="1"/>
  <c r="AP53" i="33"/>
  <c r="F53" i="33" s="1"/>
  <c r="Y112" i="33" s="1"/>
  <c r="Z112" i="33" s="1"/>
  <c r="AA112" i="33" s="1"/>
  <c r="AB112" i="33" s="1"/>
  <c r="AC112" i="33" s="1"/>
  <c r="AD112" i="33" s="1"/>
  <c r="AE112" i="33" s="1"/>
  <c r="AF112" i="33" s="1"/>
  <c r="AG112" i="33" s="1"/>
  <c r="AH112" i="33" s="1"/>
  <c r="AI112" i="33" s="1"/>
  <c r="AJ112" i="33" s="1"/>
  <c r="AK112" i="33" s="1"/>
  <c r="AL112" i="33" s="1"/>
  <c r="AM112" i="33" s="1"/>
  <c r="AN112" i="33" s="1"/>
  <c r="AO112" i="33" s="1"/>
  <c r="AP112" i="33" s="1"/>
  <c r="AQ112" i="33" s="1"/>
  <c r="AR112" i="33" s="1"/>
  <c r="AR52" i="33"/>
  <c r="H52" i="33" s="1"/>
  <c r="BM111" i="33" s="1"/>
  <c r="BN111" i="33" s="1"/>
  <c r="BO111" i="33" s="1"/>
  <c r="BP111" i="33" s="1"/>
  <c r="BQ111" i="33" s="1"/>
  <c r="BR111" i="33" s="1"/>
  <c r="BS111" i="33" s="1"/>
  <c r="BT111" i="33" s="1"/>
  <c r="BU111" i="33" s="1"/>
  <c r="BV111" i="33" s="1"/>
  <c r="BW111" i="33" s="1"/>
  <c r="BX111" i="33" s="1"/>
  <c r="BY111" i="33" s="1"/>
  <c r="BZ111" i="33" s="1"/>
  <c r="CA111" i="33" s="1"/>
  <c r="CB111" i="33" s="1"/>
  <c r="CC111" i="33" s="1"/>
  <c r="CD111" i="33" s="1"/>
  <c r="CE111" i="33" s="1"/>
  <c r="CF111" i="33" s="1"/>
  <c r="AR51" i="33"/>
  <c r="H51" i="33" s="1"/>
  <c r="BM110" i="33" s="1"/>
  <c r="BN110" i="33" s="1"/>
  <c r="BO110" i="33" s="1"/>
  <c r="BP110" i="33" s="1"/>
  <c r="BQ110" i="33" s="1"/>
  <c r="BR110" i="33" s="1"/>
  <c r="BS110" i="33" s="1"/>
  <c r="BT110" i="33" s="1"/>
  <c r="BU110" i="33" s="1"/>
  <c r="BV110" i="33" s="1"/>
  <c r="BW110" i="33" s="1"/>
  <c r="BX110" i="33" s="1"/>
  <c r="BY110" i="33" s="1"/>
  <c r="BZ110" i="33" s="1"/>
  <c r="CA110" i="33" s="1"/>
  <c r="CB110" i="33" s="1"/>
  <c r="CC110" i="33" s="1"/>
  <c r="CD110" i="33" s="1"/>
  <c r="CE110" i="33" s="1"/>
  <c r="CF110" i="33" s="1"/>
  <c r="AS50" i="33"/>
  <c r="I50" i="33" s="1"/>
  <c r="CG109" i="33" s="1"/>
  <c r="CH109" i="33" s="1"/>
  <c r="CI109" i="33" s="1"/>
  <c r="CJ109" i="33" s="1"/>
  <c r="CK109" i="33" s="1"/>
  <c r="CL109" i="33" s="1"/>
  <c r="CM109" i="33" s="1"/>
  <c r="CN109" i="33" s="1"/>
  <c r="CO109" i="33" s="1"/>
  <c r="CP109" i="33" s="1"/>
  <c r="AP48" i="33"/>
  <c r="F48" i="33" s="1"/>
  <c r="Y107" i="33" s="1"/>
  <c r="Z107" i="33" s="1"/>
  <c r="AA107" i="33" s="1"/>
  <c r="AB107" i="33" s="1"/>
  <c r="AC107" i="33" s="1"/>
  <c r="AD107" i="33" s="1"/>
  <c r="AE107" i="33" s="1"/>
  <c r="AF107" i="33" s="1"/>
  <c r="AG107" i="33" s="1"/>
  <c r="AH107" i="33" s="1"/>
  <c r="AI107" i="33" s="1"/>
  <c r="AJ107" i="33" s="1"/>
  <c r="AK107" i="33" s="1"/>
  <c r="AL107" i="33" s="1"/>
  <c r="AM107" i="33" s="1"/>
  <c r="AN107" i="33" s="1"/>
  <c r="AO107" i="33" s="1"/>
  <c r="AP107" i="33" s="1"/>
  <c r="AQ107" i="33" s="1"/>
  <c r="AR107" i="33" s="1"/>
  <c r="AP47" i="33"/>
  <c r="F47" i="33" s="1"/>
  <c r="Y106" i="33" s="1"/>
  <c r="Z106" i="33" s="1"/>
  <c r="AA106" i="33" s="1"/>
  <c r="AB106" i="33" s="1"/>
  <c r="AC106" i="33" s="1"/>
  <c r="AD106" i="33" s="1"/>
  <c r="AE106" i="33" s="1"/>
  <c r="AF106" i="33" s="1"/>
  <c r="AG106" i="33" s="1"/>
  <c r="AH106" i="33" s="1"/>
  <c r="AI106" i="33" s="1"/>
  <c r="AJ106" i="33" s="1"/>
  <c r="AK106" i="33" s="1"/>
  <c r="AL106" i="33" s="1"/>
  <c r="AM106" i="33" s="1"/>
  <c r="AN106" i="33" s="1"/>
  <c r="AO106" i="33" s="1"/>
  <c r="AP106" i="33" s="1"/>
  <c r="AQ106" i="33" s="1"/>
  <c r="AR106" i="33" s="1"/>
  <c r="AQ46" i="33"/>
  <c r="G46" i="33" s="1"/>
  <c r="AS105" i="33" s="1"/>
  <c r="AT105" i="33" s="1"/>
  <c r="AU105" i="33" s="1"/>
  <c r="AV105" i="33" s="1"/>
  <c r="AW105" i="33" s="1"/>
  <c r="AX105" i="33" s="1"/>
  <c r="AY105" i="33" s="1"/>
  <c r="AZ105" i="33" s="1"/>
  <c r="BA105" i="33" s="1"/>
  <c r="BB105" i="33" s="1"/>
  <c r="BC105" i="33" s="1"/>
  <c r="BD105" i="33" s="1"/>
  <c r="BE105" i="33" s="1"/>
  <c r="BF105" i="33" s="1"/>
  <c r="BG105" i="33" s="1"/>
  <c r="BH105" i="33" s="1"/>
  <c r="BI105" i="33" s="1"/>
  <c r="BJ105" i="33" s="1"/>
  <c r="BK105" i="33" s="1"/>
  <c r="BL105" i="33" s="1"/>
  <c r="AR45" i="33"/>
  <c r="H45" i="33" s="1"/>
  <c r="BM104" i="33" s="1"/>
  <c r="BN104" i="33" s="1"/>
  <c r="BO104" i="33" s="1"/>
  <c r="BP104" i="33" s="1"/>
  <c r="BQ104" i="33" s="1"/>
  <c r="BR104" i="33" s="1"/>
  <c r="BS104" i="33" s="1"/>
  <c r="BT104" i="33" s="1"/>
  <c r="BU104" i="33" s="1"/>
  <c r="BV104" i="33" s="1"/>
  <c r="BW104" i="33" s="1"/>
  <c r="BX104" i="33" s="1"/>
  <c r="BY104" i="33" s="1"/>
  <c r="BZ104" i="33" s="1"/>
  <c r="CA104" i="33" s="1"/>
  <c r="CB104" i="33" s="1"/>
  <c r="CC104" i="33" s="1"/>
  <c r="CD104" i="33" s="1"/>
  <c r="CE104" i="33" s="1"/>
  <c r="CF104" i="33" s="1"/>
  <c r="AP44" i="33"/>
  <c r="F44" i="33" s="1"/>
  <c r="Y103" i="33" s="1"/>
  <c r="Z103" i="33" s="1"/>
  <c r="AA103" i="33" s="1"/>
  <c r="AB103" i="33" s="1"/>
  <c r="AC103" i="33" s="1"/>
  <c r="AD103" i="33" s="1"/>
  <c r="AE103" i="33" s="1"/>
  <c r="AF103" i="33" s="1"/>
  <c r="AG103" i="33" s="1"/>
  <c r="AH103" i="33" s="1"/>
  <c r="AI103" i="33" s="1"/>
  <c r="AJ103" i="33" s="1"/>
  <c r="AK103" i="33" s="1"/>
  <c r="AL103" i="33" s="1"/>
  <c r="AM103" i="33" s="1"/>
  <c r="AN103" i="33" s="1"/>
  <c r="AO103" i="33" s="1"/>
  <c r="AP103" i="33" s="1"/>
  <c r="AQ103" i="33" s="1"/>
  <c r="AR103" i="33" s="1"/>
  <c r="AQ43" i="33"/>
  <c r="G43" i="33" s="1"/>
  <c r="AS102" i="33" s="1"/>
  <c r="AT102" i="33" s="1"/>
  <c r="AU102" i="33" s="1"/>
  <c r="AV102" i="33" s="1"/>
  <c r="AW102" i="33" s="1"/>
  <c r="AX102" i="33" s="1"/>
  <c r="AY102" i="33" s="1"/>
  <c r="AZ102" i="33" s="1"/>
  <c r="BA102" i="33" s="1"/>
  <c r="BB102" i="33" s="1"/>
  <c r="BC102" i="33" s="1"/>
  <c r="BD102" i="33" s="1"/>
  <c r="BE102" i="33" s="1"/>
  <c r="BF102" i="33" s="1"/>
  <c r="BG102" i="33" s="1"/>
  <c r="BH102" i="33" s="1"/>
  <c r="BI102" i="33" s="1"/>
  <c r="BJ102" i="33" s="1"/>
  <c r="BK102" i="33" s="1"/>
  <c r="BL102" i="33" s="1"/>
  <c r="AS42" i="33"/>
  <c r="I42" i="33" s="1"/>
  <c r="CG101" i="33" s="1"/>
  <c r="CH101" i="33" s="1"/>
  <c r="CI101" i="33" s="1"/>
  <c r="CJ101" i="33" s="1"/>
  <c r="CK101" i="33" s="1"/>
  <c r="CL101" i="33" s="1"/>
  <c r="CM101" i="33" s="1"/>
  <c r="CN101" i="33" s="1"/>
  <c r="CO101" i="33" s="1"/>
  <c r="CP101" i="33" s="1"/>
  <c r="AO41" i="33"/>
  <c r="E41" i="33" s="1"/>
  <c r="E100" i="33" s="1"/>
  <c r="AT40" i="33"/>
  <c r="J40" i="33" s="1"/>
  <c r="CQ99" i="33" s="1"/>
  <c r="CR99" i="33" s="1"/>
  <c r="CS99" i="33" s="1"/>
  <c r="CT99" i="33" s="1"/>
  <c r="CU99" i="33" s="1"/>
  <c r="AO39" i="33"/>
  <c r="E39" i="33" s="1"/>
  <c r="E98" i="33" s="1"/>
  <c r="AS38" i="33"/>
  <c r="I38" i="33" s="1"/>
  <c r="CG97" i="33" s="1"/>
  <c r="CH97" i="33" s="1"/>
  <c r="CI97" i="33" s="1"/>
  <c r="CJ97" i="33" s="1"/>
  <c r="CK97" i="33" s="1"/>
  <c r="CL97" i="33" s="1"/>
  <c r="CM97" i="33" s="1"/>
  <c r="CN97" i="33" s="1"/>
  <c r="CO97" i="33" s="1"/>
  <c r="CP97" i="33" s="1"/>
  <c r="AT37" i="33"/>
  <c r="J37" i="33" s="1"/>
  <c r="CQ96" i="33" s="1"/>
  <c r="CR96" i="33" s="1"/>
  <c r="CS96" i="33" s="1"/>
  <c r="CT96" i="33" s="1"/>
  <c r="CU96" i="33" s="1"/>
  <c r="AO71" i="33"/>
  <c r="AP70" i="33"/>
  <c r="F70" i="33" s="1"/>
  <c r="Y129" i="33" s="1"/>
  <c r="Z129" i="33" s="1"/>
  <c r="AA129" i="33" s="1"/>
  <c r="AB129" i="33" s="1"/>
  <c r="AC129" i="33" s="1"/>
  <c r="AD129" i="33" s="1"/>
  <c r="AE129" i="33" s="1"/>
  <c r="AF129" i="33" s="1"/>
  <c r="AG129" i="33" s="1"/>
  <c r="AH129" i="33" s="1"/>
  <c r="AI129" i="33" s="1"/>
  <c r="AJ129" i="33" s="1"/>
  <c r="AK129" i="33" s="1"/>
  <c r="AL129" i="33" s="1"/>
  <c r="AM129" i="33" s="1"/>
  <c r="AN129" i="33" s="1"/>
  <c r="AO129" i="33" s="1"/>
  <c r="AP129" i="33" s="1"/>
  <c r="AQ129" i="33" s="1"/>
  <c r="AR129" i="33" s="1"/>
  <c r="AU69" i="33"/>
  <c r="K69" i="33" s="1"/>
  <c r="CV128" i="33" s="1"/>
  <c r="CW128" i="33" s="1"/>
  <c r="CX128" i="33" s="1"/>
  <c r="CY128" i="33" s="1"/>
  <c r="AS68" i="33"/>
  <c r="I68" i="33" s="1"/>
  <c r="CG127" i="33" s="1"/>
  <c r="CH127" i="33" s="1"/>
  <c r="CI127" i="33" s="1"/>
  <c r="CJ127" i="33" s="1"/>
  <c r="CK127" i="33" s="1"/>
  <c r="CL127" i="33" s="1"/>
  <c r="CM127" i="33" s="1"/>
  <c r="CN127" i="33" s="1"/>
  <c r="CO127" i="33" s="1"/>
  <c r="CP127" i="33" s="1"/>
  <c r="AS66" i="33"/>
  <c r="I66" i="33" s="1"/>
  <c r="CG125" i="33" s="1"/>
  <c r="CH125" i="33" s="1"/>
  <c r="CI125" i="33" s="1"/>
  <c r="CJ125" i="33" s="1"/>
  <c r="CK125" i="33" s="1"/>
  <c r="CL125" i="33" s="1"/>
  <c r="CM125" i="33" s="1"/>
  <c r="CN125" i="33" s="1"/>
  <c r="CO125" i="33" s="1"/>
  <c r="CP125" i="33" s="1"/>
  <c r="AU58" i="33"/>
  <c r="K58" i="33" s="1"/>
  <c r="CV117" i="33" s="1"/>
  <c r="CW117" i="33" s="1"/>
  <c r="CX117" i="33" s="1"/>
  <c r="CY117" i="33" s="1"/>
  <c r="AR48" i="33"/>
  <c r="H48" i="33" s="1"/>
  <c r="BM107" i="33" s="1"/>
  <c r="BN107" i="33" s="1"/>
  <c r="BO107" i="33" s="1"/>
  <c r="BP107" i="33" s="1"/>
  <c r="BQ107" i="33" s="1"/>
  <c r="BR107" i="33" s="1"/>
  <c r="BS107" i="33" s="1"/>
  <c r="BT107" i="33" s="1"/>
  <c r="BU107" i="33" s="1"/>
  <c r="BV107" i="33" s="1"/>
  <c r="BW107" i="33" s="1"/>
  <c r="BX107" i="33" s="1"/>
  <c r="BY107" i="33" s="1"/>
  <c r="BZ107" i="33" s="1"/>
  <c r="CA107" i="33" s="1"/>
  <c r="CB107" i="33" s="1"/>
  <c r="CC107" i="33" s="1"/>
  <c r="CD107" i="33" s="1"/>
  <c r="CE107" i="33" s="1"/>
  <c r="CF107" i="33" s="1"/>
  <c r="AS46" i="33"/>
  <c r="I46" i="33" s="1"/>
  <c r="CG105" i="33" s="1"/>
  <c r="CH105" i="33" s="1"/>
  <c r="CI105" i="33" s="1"/>
  <c r="CJ105" i="33" s="1"/>
  <c r="CK105" i="33" s="1"/>
  <c r="CL105" i="33" s="1"/>
  <c r="CM105" i="33" s="1"/>
  <c r="CN105" i="33" s="1"/>
  <c r="CO105" i="33" s="1"/>
  <c r="CP105" i="33" s="1"/>
  <c r="AU38" i="33"/>
  <c r="K38" i="33" s="1"/>
  <c r="CV97" i="33" s="1"/>
  <c r="CW97" i="33" s="1"/>
  <c r="CX97" i="33" s="1"/>
  <c r="CY97" i="33" s="1"/>
  <c r="AU65" i="33"/>
  <c r="K65" i="33" s="1"/>
  <c r="CV124" i="33" s="1"/>
  <c r="CW124" i="33" s="1"/>
  <c r="CX124" i="33" s="1"/>
  <c r="CY124" i="33" s="1"/>
  <c r="AP55" i="33"/>
  <c r="F55" i="33" s="1"/>
  <c r="Y114" i="33" s="1"/>
  <c r="Z114" i="33" s="1"/>
  <c r="AA114" i="33" s="1"/>
  <c r="AB114" i="33" s="1"/>
  <c r="AC114" i="33" s="1"/>
  <c r="AD114" i="33" s="1"/>
  <c r="AE114" i="33" s="1"/>
  <c r="AF114" i="33" s="1"/>
  <c r="AG114" i="33" s="1"/>
  <c r="AH114" i="33" s="1"/>
  <c r="AI114" i="33" s="1"/>
  <c r="AJ114" i="33" s="1"/>
  <c r="AK114" i="33" s="1"/>
  <c r="AL114" i="33" s="1"/>
  <c r="AM114" i="33" s="1"/>
  <c r="AN114" i="33" s="1"/>
  <c r="AO114" i="33" s="1"/>
  <c r="AP114" i="33" s="1"/>
  <c r="AQ114" i="33" s="1"/>
  <c r="AR114" i="33" s="1"/>
  <c r="AR43" i="33"/>
  <c r="H43" i="33" s="1"/>
  <c r="BM102" i="33" s="1"/>
  <c r="BN102" i="33" s="1"/>
  <c r="BO102" i="33" s="1"/>
  <c r="BP102" i="33" s="1"/>
  <c r="BQ102" i="33" s="1"/>
  <c r="BR102" i="33" s="1"/>
  <c r="BS102" i="33" s="1"/>
  <c r="BT102" i="33" s="1"/>
  <c r="BU102" i="33" s="1"/>
  <c r="BV102" i="33" s="1"/>
  <c r="BW102" i="33" s="1"/>
  <c r="BX102" i="33" s="1"/>
  <c r="BY102" i="33" s="1"/>
  <c r="BZ102" i="33" s="1"/>
  <c r="CA102" i="33" s="1"/>
  <c r="CB102" i="33" s="1"/>
  <c r="CC102" i="33" s="1"/>
  <c r="CD102" i="33" s="1"/>
  <c r="CE102" i="33" s="1"/>
  <c r="CF102" i="33" s="1"/>
  <c r="AP39" i="33"/>
  <c r="F39" i="33" s="1"/>
  <c r="Y98" i="33" s="1"/>
  <c r="Z98" i="33" s="1"/>
  <c r="AA98" i="33" s="1"/>
  <c r="AB98" i="33" s="1"/>
  <c r="AC98" i="33" s="1"/>
  <c r="AD98" i="33" s="1"/>
  <c r="AE98" i="33" s="1"/>
  <c r="AF98" i="33" s="1"/>
  <c r="AG98" i="33" s="1"/>
  <c r="AH98" i="33" s="1"/>
  <c r="AI98" i="33" s="1"/>
  <c r="AJ98" i="33" s="1"/>
  <c r="AK98" i="33" s="1"/>
  <c r="AL98" i="33" s="1"/>
  <c r="AM98" i="33" s="1"/>
  <c r="AN98" i="33" s="1"/>
  <c r="AO98" i="33" s="1"/>
  <c r="AP98" i="33" s="1"/>
  <c r="AQ98" i="33" s="1"/>
  <c r="AR98" i="33" s="1"/>
  <c r="AT38" i="33"/>
  <c r="J38" i="33" s="1"/>
  <c r="CQ97" i="33" s="1"/>
  <c r="CR97" i="33" s="1"/>
  <c r="CS97" i="33" s="1"/>
  <c r="CT97" i="33" s="1"/>
  <c r="CU97" i="33" s="1"/>
  <c r="AP71" i="33"/>
  <c r="F71" i="33" s="1"/>
  <c r="Y130" i="33" s="1"/>
  <c r="Z130" i="33" s="1"/>
  <c r="AA130" i="33" s="1"/>
  <c r="AB130" i="33" s="1"/>
  <c r="AC130" i="33" s="1"/>
  <c r="AD130" i="33" s="1"/>
  <c r="AE130" i="33" s="1"/>
  <c r="AF130" i="33" s="1"/>
  <c r="AG130" i="33" s="1"/>
  <c r="AH130" i="33" s="1"/>
  <c r="AI130" i="33" s="1"/>
  <c r="AJ130" i="33" s="1"/>
  <c r="AK130" i="33" s="1"/>
  <c r="AL130" i="33" s="1"/>
  <c r="AM130" i="33" s="1"/>
  <c r="AN130" i="33" s="1"/>
  <c r="AO130" i="33" s="1"/>
  <c r="AP130" i="33" s="1"/>
  <c r="AQ130" i="33" s="1"/>
  <c r="AR130" i="33" s="1"/>
  <c r="AQ70" i="33"/>
  <c r="G70" i="33" s="1"/>
  <c r="AS129" i="33" s="1"/>
  <c r="AT129" i="33" s="1"/>
  <c r="AU129" i="33" s="1"/>
  <c r="AV129" i="33" s="1"/>
  <c r="AW129" i="33" s="1"/>
  <c r="AX129" i="33" s="1"/>
  <c r="AY129" i="33" s="1"/>
  <c r="AZ129" i="33" s="1"/>
  <c r="BA129" i="33" s="1"/>
  <c r="BB129" i="33" s="1"/>
  <c r="BC129" i="33" s="1"/>
  <c r="BD129" i="33" s="1"/>
  <c r="BE129" i="33" s="1"/>
  <c r="BF129" i="33" s="1"/>
  <c r="BG129" i="33" s="1"/>
  <c r="BH129" i="33" s="1"/>
  <c r="BI129" i="33" s="1"/>
  <c r="BJ129" i="33" s="1"/>
  <c r="BK129" i="33" s="1"/>
  <c r="BL129" i="33" s="1"/>
  <c r="AU67" i="33"/>
  <c r="K67" i="33" s="1"/>
  <c r="CV126" i="33" s="1"/>
  <c r="CW126" i="33" s="1"/>
  <c r="CX126" i="33" s="1"/>
  <c r="CY126" i="33" s="1"/>
  <c r="AP66" i="33"/>
  <c r="F66" i="33" s="1"/>
  <c r="Y125" i="33" s="1"/>
  <c r="Z125" i="33" s="1"/>
  <c r="AA125" i="33" s="1"/>
  <c r="AB125" i="33" s="1"/>
  <c r="AC125" i="33" s="1"/>
  <c r="AD125" i="33" s="1"/>
  <c r="AE125" i="33" s="1"/>
  <c r="AF125" i="33" s="1"/>
  <c r="AG125" i="33" s="1"/>
  <c r="AH125" i="33" s="1"/>
  <c r="AI125" i="33" s="1"/>
  <c r="AJ125" i="33" s="1"/>
  <c r="AK125" i="33" s="1"/>
  <c r="AL125" i="33" s="1"/>
  <c r="AM125" i="33" s="1"/>
  <c r="AN125" i="33" s="1"/>
  <c r="AO125" i="33" s="1"/>
  <c r="AP125" i="33" s="1"/>
  <c r="AQ125" i="33" s="1"/>
  <c r="AR125" i="33" s="1"/>
  <c r="AS65" i="33"/>
  <c r="I65" i="33" s="1"/>
  <c r="CG124" i="33" s="1"/>
  <c r="CH124" i="33" s="1"/>
  <c r="CI124" i="33" s="1"/>
  <c r="CJ124" i="33" s="1"/>
  <c r="CK124" i="33" s="1"/>
  <c r="CL124" i="33" s="1"/>
  <c r="CM124" i="33" s="1"/>
  <c r="CN124" i="33" s="1"/>
  <c r="CO124" i="33" s="1"/>
  <c r="CP124" i="33" s="1"/>
  <c r="AP62" i="33"/>
  <c r="F62" i="33" s="1"/>
  <c r="Y121" i="33" s="1"/>
  <c r="Z121" i="33" s="1"/>
  <c r="AA121" i="33" s="1"/>
  <c r="AB121" i="33" s="1"/>
  <c r="AC121" i="33" s="1"/>
  <c r="AD121" i="33" s="1"/>
  <c r="AE121" i="33" s="1"/>
  <c r="AF121" i="33" s="1"/>
  <c r="AG121" i="33" s="1"/>
  <c r="AH121" i="33" s="1"/>
  <c r="AI121" i="33" s="1"/>
  <c r="AJ121" i="33" s="1"/>
  <c r="AK121" i="33" s="1"/>
  <c r="AL121" i="33" s="1"/>
  <c r="AM121" i="33" s="1"/>
  <c r="AN121" i="33" s="1"/>
  <c r="AO121" i="33" s="1"/>
  <c r="AP121" i="33" s="1"/>
  <c r="AQ121" i="33" s="1"/>
  <c r="AR121" i="33" s="1"/>
  <c r="AT61" i="33"/>
  <c r="J61" i="33" s="1"/>
  <c r="CQ120" i="33" s="1"/>
  <c r="CR120" i="33" s="1"/>
  <c r="CS120" i="33" s="1"/>
  <c r="CT120" i="33" s="1"/>
  <c r="CU120" i="33" s="1"/>
  <c r="AR58" i="33"/>
  <c r="H58" i="33" s="1"/>
  <c r="BM117" i="33" s="1"/>
  <c r="BN117" i="33" s="1"/>
  <c r="BO117" i="33" s="1"/>
  <c r="BP117" i="33" s="1"/>
  <c r="BQ117" i="33" s="1"/>
  <c r="BR117" i="33" s="1"/>
  <c r="BS117" i="33" s="1"/>
  <c r="BT117" i="33" s="1"/>
  <c r="BU117" i="33" s="1"/>
  <c r="BV117" i="33" s="1"/>
  <c r="BW117" i="33" s="1"/>
  <c r="BX117" i="33" s="1"/>
  <c r="BY117" i="33" s="1"/>
  <c r="BZ117" i="33" s="1"/>
  <c r="CA117" i="33" s="1"/>
  <c r="CB117" i="33" s="1"/>
  <c r="CC117" i="33" s="1"/>
  <c r="CD117" i="33" s="1"/>
  <c r="CE117" i="33" s="1"/>
  <c r="CF117" i="33" s="1"/>
  <c r="AS57" i="33"/>
  <c r="I57" i="33" s="1"/>
  <c r="CG116" i="33" s="1"/>
  <c r="CH116" i="33" s="1"/>
  <c r="CI116" i="33" s="1"/>
  <c r="CJ116" i="33" s="1"/>
  <c r="CK116" i="33" s="1"/>
  <c r="CL116" i="33" s="1"/>
  <c r="CM116" i="33" s="1"/>
  <c r="CN116" i="33" s="1"/>
  <c r="CO116" i="33" s="1"/>
  <c r="CP116" i="33" s="1"/>
  <c r="AT54" i="33"/>
  <c r="J54" i="33" s="1"/>
  <c r="CQ113" i="33" s="1"/>
  <c r="CR113" i="33" s="1"/>
  <c r="CS113" i="33" s="1"/>
  <c r="CT113" i="33" s="1"/>
  <c r="CU113" i="33" s="1"/>
  <c r="AO53" i="33"/>
  <c r="E53" i="33" s="1"/>
  <c r="E112" i="33" s="1"/>
  <c r="AQ52" i="33"/>
  <c r="G52" i="33" s="1"/>
  <c r="AS111" i="33" s="1"/>
  <c r="AT111" i="33" s="1"/>
  <c r="AU111" i="33" s="1"/>
  <c r="AV111" i="33" s="1"/>
  <c r="AW111" i="33" s="1"/>
  <c r="AX111" i="33" s="1"/>
  <c r="AY111" i="33" s="1"/>
  <c r="AZ111" i="33" s="1"/>
  <c r="BA111" i="33" s="1"/>
  <c r="BB111" i="33" s="1"/>
  <c r="BC111" i="33" s="1"/>
  <c r="BD111" i="33" s="1"/>
  <c r="BE111" i="33" s="1"/>
  <c r="BF111" i="33" s="1"/>
  <c r="BG111" i="33" s="1"/>
  <c r="BH111" i="33" s="1"/>
  <c r="BI111" i="33" s="1"/>
  <c r="BJ111" i="33" s="1"/>
  <c r="BK111" i="33" s="1"/>
  <c r="BL111" i="33" s="1"/>
  <c r="AQ51" i="33"/>
  <c r="G51" i="33" s="1"/>
  <c r="AS110" i="33" s="1"/>
  <c r="AT110" i="33" s="1"/>
  <c r="AU110" i="33" s="1"/>
  <c r="AV110" i="33" s="1"/>
  <c r="AW110" i="33" s="1"/>
  <c r="AX110" i="33" s="1"/>
  <c r="AY110" i="33" s="1"/>
  <c r="AZ110" i="33" s="1"/>
  <c r="BA110" i="33" s="1"/>
  <c r="BB110" i="33" s="1"/>
  <c r="BC110" i="33" s="1"/>
  <c r="BD110" i="33" s="1"/>
  <c r="BE110" i="33" s="1"/>
  <c r="BF110" i="33" s="1"/>
  <c r="BG110" i="33" s="1"/>
  <c r="BH110" i="33" s="1"/>
  <c r="BI110" i="33" s="1"/>
  <c r="BJ110" i="33" s="1"/>
  <c r="BK110" i="33" s="1"/>
  <c r="BL110" i="33" s="1"/>
  <c r="AR50" i="33"/>
  <c r="H50" i="33" s="1"/>
  <c r="BM109" i="33" s="1"/>
  <c r="BN109" i="33" s="1"/>
  <c r="BO109" i="33" s="1"/>
  <c r="BP109" i="33" s="1"/>
  <c r="BQ109" i="33" s="1"/>
  <c r="BR109" i="33" s="1"/>
  <c r="BS109" i="33" s="1"/>
  <c r="BT109" i="33" s="1"/>
  <c r="BU109" i="33" s="1"/>
  <c r="BV109" i="33" s="1"/>
  <c r="BW109" i="33" s="1"/>
  <c r="BX109" i="33" s="1"/>
  <c r="BY109" i="33" s="1"/>
  <c r="BZ109" i="33" s="1"/>
  <c r="CA109" i="33" s="1"/>
  <c r="CB109" i="33" s="1"/>
  <c r="CC109" i="33" s="1"/>
  <c r="CD109" i="33" s="1"/>
  <c r="CE109" i="33" s="1"/>
  <c r="CF109" i="33" s="1"/>
  <c r="AU49" i="33"/>
  <c r="K49" i="33" s="1"/>
  <c r="CV108" i="33" s="1"/>
  <c r="CW108" i="33" s="1"/>
  <c r="CX108" i="33" s="1"/>
  <c r="CY108" i="33" s="1"/>
  <c r="AO48" i="33"/>
  <c r="E48" i="33" s="1"/>
  <c r="E107" i="33" s="1"/>
  <c r="AO47" i="33"/>
  <c r="E47" i="33" s="1"/>
  <c r="E106" i="33" s="1"/>
  <c r="AP46" i="33"/>
  <c r="F46" i="33" s="1"/>
  <c r="Y105" i="33" s="1"/>
  <c r="Z105" i="33" s="1"/>
  <c r="AA105" i="33" s="1"/>
  <c r="AB105" i="33" s="1"/>
  <c r="AC105" i="33" s="1"/>
  <c r="AD105" i="33" s="1"/>
  <c r="AE105" i="33" s="1"/>
  <c r="AF105" i="33" s="1"/>
  <c r="AG105" i="33" s="1"/>
  <c r="AH105" i="33" s="1"/>
  <c r="AI105" i="33" s="1"/>
  <c r="AJ105" i="33" s="1"/>
  <c r="AK105" i="33" s="1"/>
  <c r="AL105" i="33" s="1"/>
  <c r="AM105" i="33" s="1"/>
  <c r="AN105" i="33" s="1"/>
  <c r="AO105" i="33" s="1"/>
  <c r="AP105" i="33" s="1"/>
  <c r="AQ105" i="33" s="1"/>
  <c r="AR105" i="33" s="1"/>
  <c r="AQ45" i="33"/>
  <c r="G45" i="33" s="1"/>
  <c r="AS104" i="33" s="1"/>
  <c r="AT104" i="33" s="1"/>
  <c r="AU104" i="33" s="1"/>
  <c r="AV104" i="33" s="1"/>
  <c r="AW104" i="33" s="1"/>
  <c r="AX104" i="33" s="1"/>
  <c r="AY104" i="33" s="1"/>
  <c r="AZ104" i="33" s="1"/>
  <c r="BA104" i="33" s="1"/>
  <c r="BB104" i="33" s="1"/>
  <c r="BC104" i="33" s="1"/>
  <c r="BD104" i="33" s="1"/>
  <c r="BE104" i="33" s="1"/>
  <c r="BF104" i="33" s="1"/>
  <c r="BG104" i="33" s="1"/>
  <c r="BH104" i="33" s="1"/>
  <c r="BI104" i="33" s="1"/>
  <c r="BJ104" i="33" s="1"/>
  <c r="BK104" i="33" s="1"/>
  <c r="BL104" i="33" s="1"/>
  <c r="AO44" i="33"/>
  <c r="E44" i="33" s="1"/>
  <c r="E103" i="33" s="1"/>
  <c r="AP43" i="33"/>
  <c r="F43" i="33" s="1"/>
  <c r="Y102" i="33" s="1"/>
  <c r="Z102" i="33" s="1"/>
  <c r="AA102" i="33" s="1"/>
  <c r="AB102" i="33" s="1"/>
  <c r="AC102" i="33" s="1"/>
  <c r="AD102" i="33" s="1"/>
  <c r="AE102" i="33" s="1"/>
  <c r="AF102" i="33" s="1"/>
  <c r="AG102" i="33" s="1"/>
  <c r="AH102" i="33" s="1"/>
  <c r="AI102" i="33" s="1"/>
  <c r="AJ102" i="33" s="1"/>
  <c r="AK102" i="33" s="1"/>
  <c r="AL102" i="33" s="1"/>
  <c r="AM102" i="33" s="1"/>
  <c r="AN102" i="33" s="1"/>
  <c r="AO102" i="33" s="1"/>
  <c r="AP102" i="33" s="1"/>
  <c r="AQ102" i="33" s="1"/>
  <c r="AR102" i="33" s="1"/>
  <c r="AR42" i="33"/>
  <c r="H42" i="33" s="1"/>
  <c r="BM101" i="33" s="1"/>
  <c r="BN101" i="33" s="1"/>
  <c r="BO101" i="33" s="1"/>
  <c r="BP101" i="33" s="1"/>
  <c r="BQ101" i="33" s="1"/>
  <c r="BR101" i="33" s="1"/>
  <c r="BS101" i="33" s="1"/>
  <c r="BT101" i="33" s="1"/>
  <c r="BU101" i="33" s="1"/>
  <c r="BV101" i="33" s="1"/>
  <c r="BW101" i="33" s="1"/>
  <c r="BX101" i="33" s="1"/>
  <c r="BY101" i="33" s="1"/>
  <c r="BZ101" i="33" s="1"/>
  <c r="CA101" i="33" s="1"/>
  <c r="CB101" i="33" s="1"/>
  <c r="CC101" i="33" s="1"/>
  <c r="CD101" i="33" s="1"/>
  <c r="CE101" i="33" s="1"/>
  <c r="CF101" i="33" s="1"/>
  <c r="AV41" i="33"/>
  <c r="L41" i="33" s="1"/>
  <c r="CZ100" i="33" s="1"/>
  <c r="AS40" i="33"/>
  <c r="I40" i="33" s="1"/>
  <c r="CG99" i="33" s="1"/>
  <c r="CH99" i="33" s="1"/>
  <c r="CI99" i="33" s="1"/>
  <c r="CJ99" i="33" s="1"/>
  <c r="CK99" i="33" s="1"/>
  <c r="CL99" i="33" s="1"/>
  <c r="CM99" i="33" s="1"/>
  <c r="CN99" i="33" s="1"/>
  <c r="CO99" i="33" s="1"/>
  <c r="CP99" i="33" s="1"/>
  <c r="AR38" i="33"/>
  <c r="H38" i="33" s="1"/>
  <c r="BM97" i="33" s="1"/>
  <c r="BN97" i="33" s="1"/>
  <c r="BO97" i="33" s="1"/>
  <c r="BP97" i="33" s="1"/>
  <c r="BQ97" i="33" s="1"/>
  <c r="BR97" i="33" s="1"/>
  <c r="BS97" i="33" s="1"/>
  <c r="BT97" i="33" s="1"/>
  <c r="BU97" i="33" s="1"/>
  <c r="BV97" i="33" s="1"/>
  <c r="BW97" i="33" s="1"/>
  <c r="BX97" i="33" s="1"/>
  <c r="BY97" i="33" s="1"/>
  <c r="BZ97" i="33" s="1"/>
  <c r="CA97" i="33" s="1"/>
  <c r="CB97" i="33" s="1"/>
  <c r="CC97" i="33" s="1"/>
  <c r="CD97" i="33" s="1"/>
  <c r="CE97" i="33" s="1"/>
  <c r="CF97" i="33" s="1"/>
  <c r="AS37" i="33"/>
  <c r="I37" i="33" s="1"/>
  <c r="CG96" i="33" s="1"/>
  <c r="CH96" i="33" s="1"/>
  <c r="CI96" i="33" s="1"/>
  <c r="CJ96" i="33" s="1"/>
  <c r="CK96" i="33" s="1"/>
  <c r="CL96" i="33" s="1"/>
  <c r="CM96" i="33" s="1"/>
  <c r="CN96" i="33" s="1"/>
  <c r="CO96" i="33" s="1"/>
  <c r="CP96" i="33" s="1"/>
  <c r="AU36" i="33"/>
  <c r="K36" i="33" s="1"/>
  <c r="CV95" i="33" s="1"/>
  <c r="CW95" i="33" s="1"/>
  <c r="CX95" i="33" s="1"/>
  <c r="CY95" i="33" s="1"/>
  <c r="AO70" i="33"/>
  <c r="E70" i="33" s="1"/>
  <c r="E129" i="33" s="1"/>
  <c r="AT69" i="33"/>
  <c r="J69" i="33" s="1"/>
  <c r="CQ128" i="33" s="1"/>
  <c r="CR128" i="33" s="1"/>
  <c r="CS128" i="33" s="1"/>
  <c r="CT128" i="33" s="1"/>
  <c r="CU128" i="33" s="1"/>
  <c r="AR68" i="33"/>
  <c r="H68" i="33" s="1"/>
  <c r="BM127" i="33" s="1"/>
  <c r="BN127" i="33" s="1"/>
  <c r="BO127" i="33" s="1"/>
  <c r="BP127" i="33" s="1"/>
  <c r="BQ127" i="33" s="1"/>
  <c r="BR127" i="33" s="1"/>
  <c r="BS127" i="33" s="1"/>
  <c r="BT127" i="33" s="1"/>
  <c r="BU127" i="33" s="1"/>
  <c r="BV127" i="33" s="1"/>
  <c r="BW127" i="33" s="1"/>
  <c r="BX127" i="33" s="1"/>
  <c r="BY127" i="33" s="1"/>
  <c r="BZ127" i="33" s="1"/>
  <c r="CA127" i="33" s="1"/>
  <c r="CB127" i="33" s="1"/>
  <c r="CC127" i="33" s="1"/>
  <c r="CD127" i="33" s="1"/>
  <c r="CE127" i="33" s="1"/>
  <c r="CF127" i="33" s="1"/>
  <c r="AR53" i="33"/>
  <c r="H53" i="33" s="1"/>
  <c r="BM112" i="33" s="1"/>
  <c r="BN112" i="33" s="1"/>
  <c r="BO112" i="33" s="1"/>
  <c r="BP112" i="33" s="1"/>
  <c r="BQ112" i="33" s="1"/>
  <c r="BR112" i="33" s="1"/>
  <c r="BS112" i="33" s="1"/>
  <c r="BT112" i="33" s="1"/>
  <c r="BU112" i="33" s="1"/>
  <c r="BV112" i="33" s="1"/>
  <c r="BW112" i="33" s="1"/>
  <c r="BX112" i="33" s="1"/>
  <c r="BY112" i="33" s="1"/>
  <c r="BZ112" i="33" s="1"/>
  <c r="CA112" i="33" s="1"/>
  <c r="CB112" i="33" s="1"/>
  <c r="CC112" i="33" s="1"/>
  <c r="CD112" i="33" s="1"/>
  <c r="CE112" i="33" s="1"/>
  <c r="CF112" i="33" s="1"/>
  <c r="AU50" i="33"/>
  <c r="K50" i="33" s="1"/>
  <c r="CV109" i="33" s="1"/>
  <c r="CW109" i="33" s="1"/>
  <c r="CX109" i="33" s="1"/>
  <c r="CY109" i="33" s="1"/>
  <c r="AR47" i="33"/>
  <c r="H47" i="33" s="1"/>
  <c r="BM106" i="33" s="1"/>
  <c r="BN106" i="33" s="1"/>
  <c r="BO106" i="33" s="1"/>
  <c r="BP106" i="33" s="1"/>
  <c r="BQ106" i="33" s="1"/>
  <c r="BR106" i="33" s="1"/>
  <c r="BS106" i="33" s="1"/>
  <c r="BT106" i="33" s="1"/>
  <c r="BU106" i="33" s="1"/>
  <c r="BV106" i="33" s="1"/>
  <c r="BW106" i="33" s="1"/>
  <c r="BX106" i="33" s="1"/>
  <c r="BY106" i="33" s="1"/>
  <c r="BZ106" i="33" s="1"/>
  <c r="CA106" i="33" s="1"/>
  <c r="CB106" i="33" s="1"/>
  <c r="CC106" i="33" s="1"/>
  <c r="CD106" i="33" s="1"/>
  <c r="CE106" i="33" s="1"/>
  <c r="CF106" i="33" s="1"/>
  <c r="AQ39" i="33"/>
  <c r="G39" i="33" s="1"/>
  <c r="AS98" i="33" s="1"/>
  <c r="AT98" i="33" s="1"/>
  <c r="AU98" i="33" s="1"/>
  <c r="AV98" i="33" s="1"/>
  <c r="AW98" i="33" s="1"/>
  <c r="AX98" i="33" s="1"/>
  <c r="AY98" i="33" s="1"/>
  <c r="AZ98" i="33" s="1"/>
  <c r="BA98" i="33" s="1"/>
  <c r="BB98" i="33" s="1"/>
  <c r="BC98" i="33" s="1"/>
  <c r="BD98" i="33" s="1"/>
  <c r="BE98" i="33" s="1"/>
  <c r="BF98" i="33" s="1"/>
  <c r="BG98" i="33" s="1"/>
  <c r="BH98" i="33" s="1"/>
  <c r="BI98" i="33" s="1"/>
  <c r="BJ98" i="33" s="1"/>
  <c r="BK98" i="33" s="1"/>
  <c r="BL98" i="33" s="1"/>
  <c r="AP59" i="33"/>
  <c r="F59" i="33" s="1"/>
  <c r="Y118" i="33" s="1"/>
  <c r="Z118" i="33" s="1"/>
  <c r="AA118" i="33" s="1"/>
  <c r="AB118" i="33" s="1"/>
  <c r="AC118" i="33" s="1"/>
  <c r="AD118" i="33" s="1"/>
  <c r="AE118" i="33" s="1"/>
  <c r="AF118" i="33" s="1"/>
  <c r="AG118" i="33" s="1"/>
  <c r="AH118" i="33" s="1"/>
  <c r="AI118" i="33" s="1"/>
  <c r="AJ118" i="33" s="1"/>
  <c r="AK118" i="33" s="1"/>
  <c r="AL118" i="33" s="1"/>
  <c r="AM118" i="33" s="1"/>
  <c r="AN118" i="33" s="1"/>
  <c r="AO118" i="33" s="1"/>
  <c r="AP118" i="33" s="1"/>
  <c r="AQ118" i="33" s="1"/>
  <c r="AR118" i="33" s="1"/>
  <c r="AQ48" i="33"/>
  <c r="G48" i="33" s="1"/>
  <c r="AS107" i="33" s="1"/>
  <c r="AT107" i="33" s="1"/>
  <c r="AU107" i="33" s="1"/>
  <c r="AV107" i="33" s="1"/>
  <c r="AW107" i="33" s="1"/>
  <c r="AX107" i="33" s="1"/>
  <c r="AY107" i="33" s="1"/>
  <c r="AZ107" i="33" s="1"/>
  <c r="BA107" i="33" s="1"/>
  <c r="BB107" i="33" s="1"/>
  <c r="BC107" i="33" s="1"/>
  <c r="BD107" i="33" s="1"/>
  <c r="BE107" i="33" s="1"/>
  <c r="BF107" i="33" s="1"/>
  <c r="BG107" i="33" s="1"/>
  <c r="BH107" i="33" s="1"/>
  <c r="BI107" i="33" s="1"/>
  <c r="BJ107" i="33" s="1"/>
  <c r="BK107" i="33" s="1"/>
  <c r="BL107" i="33" s="1"/>
  <c r="AT42" i="33"/>
  <c r="J42" i="33" s="1"/>
  <c r="CQ101" i="33" s="1"/>
  <c r="CR101" i="33" s="1"/>
  <c r="CS101" i="33" s="1"/>
  <c r="CT101" i="33" s="1"/>
  <c r="CU101" i="33" s="1"/>
  <c r="AU40" i="33"/>
  <c r="K40" i="33" s="1"/>
  <c r="CV99" i="33" s="1"/>
  <c r="CW99" i="33" s="1"/>
  <c r="CX99" i="33" s="1"/>
  <c r="CY99" i="33" s="1"/>
  <c r="AS34" i="33"/>
  <c r="I34" i="33" s="1"/>
  <c r="CG93" i="33" s="1"/>
  <c r="CH93" i="33" s="1"/>
  <c r="CI93" i="33" s="1"/>
  <c r="CJ93" i="33" s="1"/>
  <c r="CK93" i="33" s="1"/>
  <c r="CL93" i="33" s="1"/>
  <c r="CM93" i="33" s="1"/>
  <c r="CN93" i="33" s="1"/>
  <c r="CO93" i="33" s="1"/>
  <c r="CP93" i="33" s="1"/>
  <c r="AT67" i="33"/>
  <c r="J67" i="33" s="1"/>
  <c r="CQ126" i="33" s="1"/>
  <c r="CR126" i="33" s="1"/>
  <c r="CS126" i="33" s="1"/>
  <c r="CT126" i="33" s="1"/>
  <c r="CU126" i="33" s="1"/>
  <c r="AO66" i="33"/>
  <c r="E66" i="33" s="1"/>
  <c r="E125" i="33" s="1"/>
  <c r="AR65" i="33"/>
  <c r="H65" i="33" s="1"/>
  <c r="BM124" i="33" s="1"/>
  <c r="BN124" i="33" s="1"/>
  <c r="BO124" i="33" s="1"/>
  <c r="BP124" i="33" s="1"/>
  <c r="BQ124" i="33" s="1"/>
  <c r="BR124" i="33" s="1"/>
  <c r="BS124" i="33" s="1"/>
  <c r="BT124" i="33" s="1"/>
  <c r="BU124" i="33" s="1"/>
  <c r="BV124" i="33" s="1"/>
  <c r="BW124" i="33" s="1"/>
  <c r="BX124" i="33" s="1"/>
  <c r="BY124" i="33" s="1"/>
  <c r="BZ124" i="33" s="1"/>
  <c r="CA124" i="33" s="1"/>
  <c r="CB124" i="33" s="1"/>
  <c r="CC124" i="33" s="1"/>
  <c r="CD124" i="33" s="1"/>
  <c r="CE124" i="33" s="1"/>
  <c r="CF124" i="33" s="1"/>
  <c r="AU64" i="33"/>
  <c r="K64" i="33" s="1"/>
  <c r="CV123" i="33" s="1"/>
  <c r="CW123" i="33" s="1"/>
  <c r="CX123" i="33" s="1"/>
  <c r="CY123" i="33" s="1"/>
  <c r="AU63" i="33"/>
  <c r="K63" i="33" s="1"/>
  <c r="CV122" i="33" s="1"/>
  <c r="CW122" i="33" s="1"/>
  <c r="CX122" i="33" s="1"/>
  <c r="CY122" i="33" s="1"/>
  <c r="AO62" i="33"/>
  <c r="E62" i="33" s="1"/>
  <c r="E121" i="33" s="1"/>
  <c r="AS61" i="33"/>
  <c r="I61" i="33" s="1"/>
  <c r="CG120" i="33" s="1"/>
  <c r="CH120" i="33" s="1"/>
  <c r="CI120" i="33" s="1"/>
  <c r="CJ120" i="33" s="1"/>
  <c r="CK120" i="33" s="1"/>
  <c r="CL120" i="33" s="1"/>
  <c r="CM120" i="33" s="1"/>
  <c r="CN120" i="33" s="1"/>
  <c r="CO120" i="33" s="1"/>
  <c r="CP120" i="33" s="1"/>
  <c r="AU60" i="33"/>
  <c r="K60" i="33" s="1"/>
  <c r="CV119" i="33" s="1"/>
  <c r="CW119" i="33" s="1"/>
  <c r="CX119" i="33" s="1"/>
  <c r="CY119" i="33" s="1"/>
  <c r="AU59" i="33"/>
  <c r="K59" i="33" s="1"/>
  <c r="CV118" i="33" s="1"/>
  <c r="CW118" i="33" s="1"/>
  <c r="CX118" i="33" s="1"/>
  <c r="CY118" i="33" s="1"/>
  <c r="AQ58" i="33"/>
  <c r="G58" i="33" s="1"/>
  <c r="AS117" i="33" s="1"/>
  <c r="AT117" i="33" s="1"/>
  <c r="AU117" i="33" s="1"/>
  <c r="AV117" i="33" s="1"/>
  <c r="AW117" i="33" s="1"/>
  <c r="AX117" i="33" s="1"/>
  <c r="AY117" i="33" s="1"/>
  <c r="AZ117" i="33" s="1"/>
  <c r="BA117" i="33" s="1"/>
  <c r="BB117" i="33" s="1"/>
  <c r="BC117" i="33" s="1"/>
  <c r="BD117" i="33" s="1"/>
  <c r="BE117" i="33" s="1"/>
  <c r="BF117" i="33" s="1"/>
  <c r="BG117" i="33" s="1"/>
  <c r="BH117" i="33" s="1"/>
  <c r="BI117" i="33" s="1"/>
  <c r="BJ117" i="33" s="1"/>
  <c r="BK117" i="33" s="1"/>
  <c r="BL117" i="33" s="1"/>
  <c r="AR57" i="33"/>
  <c r="H57" i="33" s="1"/>
  <c r="BM116" i="33" s="1"/>
  <c r="BN116" i="33" s="1"/>
  <c r="BO116" i="33" s="1"/>
  <c r="BP116" i="33" s="1"/>
  <c r="BQ116" i="33" s="1"/>
  <c r="BR116" i="33" s="1"/>
  <c r="BS116" i="33" s="1"/>
  <c r="BT116" i="33" s="1"/>
  <c r="BU116" i="33" s="1"/>
  <c r="BV116" i="33" s="1"/>
  <c r="BW116" i="33" s="1"/>
  <c r="BX116" i="33" s="1"/>
  <c r="BY116" i="33" s="1"/>
  <c r="BZ116" i="33" s="1"/>
  <c r="CA116" i="33" s="1"/>
  <c r="CB116" i="33" s="1"/>
  <c r="CC116" i="33" s="1"/>
  <c r="CD116" i="33" s="1"/>
  <c r="CE116" i="33" s="1"/>
  <c r="CF116" i="33" s="1"/>
  <c r="AU56" i="33"/>
  <c r="K56" i="33" s="1"/>
  <c r="CV115" i="33" s="1"/>
  <c r="CW115" i="33" s="1"/>
  <c r="CX115" i="33" s="1"/>
  <c r="CY115" i="33" s="1"/>
  <c r="AU55" i="33"/>
  <c r="K55" i="33" s="1"/>
  <c r="CV114" i="33" s="1"/>
  <c r="CW114" i="33" s="1"/>
  <c r="CX114" i="33" s="1"/>
  <c r="CY114" i="33" s="1"/>
  <c r="AS54" i="33"/>
  <c r="I54" i="33" s="1"/>
  <c r="CG113" i="33" s="1"/>
  <c r="CH113" i="33" s="1"/>
  <c r="CI113" i="33" s="1"/>
  <c r="CJ113" i="33" s="1"/>
  <c r="CK113" i="33" s="1"/>
  <c r="CL113" i="33" s="1"/>
  <c r="CM113" i="33" s="1"/>
  <c r="CN113" i="33" s="1"/>
  <c r="CO113" i="33" s="1"/>
  <c r="CP113" i="33" s="1"/>
  <c r="AP52" i="33"/>
  <c r="F52" i="33" s="1"/>
  <c r="Y111" i="33" s="1"/>
  <c r="Z111" i="33" s="1"/>
  <c r="AA111" i="33" s="1"/>
  <c r="AB111" i="33" s="1"/>
  <c r="AC111" i="33" s="1"/>
  <c r="AD111" i="33" s="1"/>
  <c r="AE111" i="33" s="1"/>
  <c r="AF111" i="33" s="1"/>
  <c r="AG111" i="33" s="1"/>
  <c r="AH111" i="33" s="1"/>
  <c r="AI111" i="33" s="1"/>
  <c r="AJ111" i="33" s="1"/>
  <c r="AK111" i="33" s="1"/>
  <c r="AL111" i="33" s="1"/>
  <c r="AM111" i="33" s="1"/>
  <c r="AN111" i="33" s="1"/>
  <c r="AO111" i="33" s="1"/>
  <c r="AP111" i="33" s="1"/>
  <c r="AQ111" i="33" s="1"/>
  <c r="AR111" i="33" s="1"/>
  <c r="AP51" i="33"/>
  <c r="F51" i="33" s="1"/>
  <c r="Y110" i="33" s="1"/>
  <c r="Z110" i="33" s="1"/>
  <c r="AA110" i="33" s="1"/>
  <c r="AB110" i="33" s="1"/>
  <c r="AC110" i="33" s="1"/>
  <c r="AD110" i="33" s="1"/>
  <c r="AE110" i="33" s="1"/>
  <c r="AF110" i="33" s="1"/>
  <c r="AG110" i="33" s="1"/>
  <c r="AH110" i="33" s="1"/>
  <c r="AI110" i="33" s="1"/>
  <c r="AJ110" i="33" s="1"/>
  <c r="AK110" i="33" s="1"/>
  <c r="AL110" i="33" s="1"/>
  <c r="AM110" i="33" s="1"/>
  <c r="AN110" i="33" s="1"/>
  <c r="AO110" i="33" s="1"/>
  <c r="AP110" i="33" s="1"/>
  <c r="AQ110" i="33" s="1"/>
  <c r="AR110" i="33" s="1"/>
  <c r="AQ50" i="33"/>
  <c r="G50" i="33" s="1"/>
  <c r="AS109" i="33" s="1"/>
  <c r="AT109" i="33" s="1"/>
  <c r="AU109" i="33" s="1"/>
  <c r="AV109" i="33" s="1"/>
  <c r="AW109" i="33" s="1"/>
  <c r="AX109" i="33" s="1"/>
  <c r="AY109" i="33" s="1"/>
  <c r="AZ109" i="33" s="1"/>
  <c r="BA109" i="33" s="1"/>
  <c r="BB109" i="33" s="1"/>
  <c r="BC109" i="33" s="1"/>
  <c r="BD109" i="33" s="1"/>
  <c r="BE109" i="33" s="1"/>
  <c r="BF109" i="33" s="1"/>
  <c r="BG109" i="33" s="1"/>
  <c r="BH109" i="33" s="1"/>
  <c r="BI109" i="33" s="1"/>
  <c r="BJ109" i="33" s="1"/>
  <c r="BK109" i="33" s="1"/>
  <c r="BL109" i="33" s="1"/>
  <c r="AT49" i="33"/>
  <c r="J49" i="33" s="1"/>
  <c r="CQ108" i="33" s="1"/>
  <c r="CR108" i="33" s="1"/>
  <c r="CS108" i="33" s="1"/>
  <c r="CT108" i="33" s="1"/>
  <c r="CU108" i="33" s="1"/>
  <c r="AO46" i="33"/>
  <c r="E46" i="33" s="1"/>
  <c r="E105" i="33" s="1"/>
  <c r="AP45" i="33"/>
  <c r="F45" i="33" s="1"/>
  <c r="Y104" i="33" s="1"/>
  <c r="Z104" i="33" s="1"/>
  <c r="AA104" i="33" s="1"/>
  <c r="AB104" i="33" s="1"/>
  <c r="AC104" i="33" s="1"/>
  <c r="AD104" i="33" s="1"/>
  <c r="AE104" i="33" s="1"/>
  <c r="AF104" i="33" s="1"/>
  <c r="AG104" i="33" s="1"/>
  <c r="AH104" i="33" s="1"/>
  <c r="AI104" i="33" s="1"/>
  <c r="AJ104" i="33" s="1"/>
  <c r="AK104" i="33" s="1"/>
  <c r="AL104" i="33" s="1"/>
  <c r="AM104" i="33" s="1"/>
  <c r="AN104" i="33" s="1"/>
  <c r="AO104" i="33" s="1"/>
  <c r="AP104" i="33" s="1"/>
  <c r="AQ104" i="33" s="1"/>
  <c r="AR104" i="33" s="1"/>
  <c r="AV44" i="33"/>
  <c r="L44" i="33" s="1"/>
  <c r="CZ103" i="33" s="1"/>
  <c r="AO43" i="33"/>
  <c r="E43" i="33" s="1"/>
  <c r="E102" i="33" s="1"/>
  <c r="AQ42" i="33"/>
  <c r="G42" i="33" s="1"/>
  <c r="AS101" i="33" s="1"/>
  <c r="AT101" i="33" s="1"/>
  <c r="AU101" i="33" s="1"/>
  <c r="AV101" i="33" s="1"/>
  <c r="AW101" i="33" s="1"/>
  <c r="AX101" i="33" s="1"/>
  <c r="AY101" i="33" s="1"/>
  <c r="AZ101" i="33" s="1"/>
  <c r="BA101" i="33" s="1"/>
  <c r="BB101" i="33" s="1"/>
  <c r="BC101" i="33" s="1"/>
  <c r="BD101" i="33" s="1"/>
  <c r="BE101" i="33" s="1"/>
  <c r="BF101" i="33" s="1"/>
  <c r="BG101" i="33" s="1"/>
  <c r="BH101" i="33" s="1"/>
  <c r="BI101" i="33" s="1"/>
  <c r="BJ101" i="33" s="1"/>
  <c r="BK101" i="33" s="1"/>
  <c r="BL101" i="33" s="1"/>
  <c r="AU41" i="33"/>
  <c r="K41" i="33" s="1"/>
  <c r="CV100" i="33" s="1"/>
  <c r="CW100" i="33" s="1"/>
  <c r="CX100" i="33" s="1"/>
  <c r="CY100" i="33" s="1"/>
  <c r="AR40" i="33"/>
  <c r="H40" i="33" s="1"/>
  <c r="BM99" i="33" s="1"/>
  <c r="BN99" i="33" s="1"/>
  <c r="BO99" i="33" s="1"/>
  <c r="BP99" i="33" s="1"/>
  <c r="BQ99" i="33" s="1"/>
  <c r="BR99" i="33" s="1"/>
  <c r="BS99" i="33" s="1"/>
  <c r="BT99" i="33" s="1"/>
  <c r="BU99" i="33" s="1"/>
  <c r="BV99" i="33" s="1"/>
  <c r="BW99" i="33" s="1"/>
  <c r="BX99" i="33" s="1"/>
  <c r="BY99" i="33" s="1"/>
  <c r="BZ99" i="33" s="1"/>
  <c r="CA99" i="33" s="1"/>
  <c r="CB99" i="33" s="1"/>
  <c r="CC99" i="33" s="1"/>
  <c r="CD99" i="33" s="1"/>
  <c r="CE99" i="33" s="1"/>
  <c r="CF99" i="33" s="1"/>
  <c r="AU39" i="33"/>
  <c r="K39" i="33" s="1"/>
  <c r="CV98" i="33" s="1"/>
  <c r="CW98" i="33" s="1"/>
  <c r="CX98" i="33" s="1"/>
  <c r="CY98" i="33" s="1"/>
  <c r="AQ38" i="33"/>
  <c r="G38" i="33" s="1"/>
  <c r="AS97" i="33" s="1"/>
  <c r="AT97" i="33" s="1"/>
  <c r="AU97" i="33" s="1"/>
  <c r="AV97" i="33" s="1"/>
  <c r="AW97" i="33" s="1"/>
  <c r="AX97" i="33" s="1"/>
  <c r="AY97" i="33" s="1"/>
  <c r="AZ97" i="33" s="1"/>
  <c r="BA97" i="33" s="1"/>
  <c r="BB97" i="33" s="1"/>
  <c r="BC97" i="33" s="1"/>
  <c r="BD97" i="33" s="1"/>
  <c r="BE97" i="33" s="1"/>
  <c r="BF97" i="33" s="1"/>
  <c r="BG97" i="33" s="1"/>
  <c r="BH97" i="33" s="1"/>
  <c r="BI97" i="33" s="1"/>
  <c r="BJ97" i="33" s="1"/>
  <c r="BK97" i="33" s="1"/>
  <c r="BL97" i="33" s="1"/>
  <c r="AR37" i="33"/>
  <c r="H37" i="33" s="1"/>
  <c r="BM96" i="33" s="1"/>
  <c r="BN96" i="33" s="1"/>
  <c r="BO96" i="33" s="1"/>
  <c r="BP96" i="33" s="1"/>
  <c r="BQ96" i="33" s="1"/>
  <c r="BR96" i="33" s="1"/>
  <c r="BS96" i="33" s="1"/>
  <c r="BT96" i="33" s="1"/>
  <c r="BU96" i="33" s="1"/>
  <c r="BV96" i="33" s="1"/>
  <c r="BW96" i="33" s="1"/>
  <c r="BX96" i="33" s="1"/>
  <c r="BY96" i="33" s="1"/>
  <c r="BZ96" i="33" s="1"/>
  <c r="CA96" i="33" s="1"/>
  <c r="CB96" i="33" s="1"/>
  <c r="CC96" i="33" s="1"/>
  <c r="CD96" i="33" s="1"/>
  <c r="CE96" i="33" s="1"/>
  <c r="CF96" i="33" s="1"/>
  <c r="AT36" i="33"/>
  <c r="J36" i="33" s="1"/>
  <c r="CQ95" i="33" s="1"/>
  <c r="CR95" i="33" s="1"/>
  <c r="CS95" i="33" s="1"/>
  <c r="CT95" i="33" s="1"/>
  <c r="CU95" i="33" s="1"/>
  <c r="AU71" i="33"/>
  <c r="K71" i="33" s="1"/>
  <c r="CV130" i="33" s="1"/>
  <c r="AS69" i="33"/>
  <c r="I69" i="33" s="1"/>
  <c r="CG128" i="33" s="1"/>
  <c r="CH128" i="33" s="1"/>
  <c r="CI128" i="33" s="1"/>
  <c r="CJ128" i="33" s="1"/>
  <c r="CK128" i="33" s="1"/>
  <c r="CL128" i="33" s="1"/>
  <c r="CM128" i="33" s="1"/>
  <c r="CN128" i="33" s="1"/>
  <c r="CO128" i="33" s="1"/>
  <c r="CP128" i="33" s="1"/>
  <c r="AQ68" i="33"/>
  <c r="G68" i="33" s="1"/>
  <c r="AS127" i="33" s="1"/>
  <c r="AT127" i="33" s="1"/>
  <c r="AU127" i="33" s="1"/>
  <c r="AV127" i="33" s="1"/>
  <c r="AW127" i="33" s="1"/>
  <c r="AX127" i="33" s="1"/>
  <c r="AY127" i="33" s="1"/>
  <c r="AZ127" i="33" s="1"/>
  <c r="BA127" i="33" s="1"/>
  <c r="BB127" i="33" s="1"/>
  <c r="BC127" i="33" s="1"/>
  <c r="BD127" i="33" s="1"/>
  <c r="BE127" i="33" s="1"/>
  <c r="BF127" i="33" s="1"/>
  <c r="BG127" i="33" s="1"/>
  <c r="BH127" i="33" s="1"/>
  <c r="BI127" i="33" s="1"/>
  <c r="BJ127" i="33" s="1"/>
  <c r="BK127" i="33" s="1"/>
  <c r="BL127" i="33" s="1"/>
  <c r="AS67" i="33"/>
  <c r="I67" i="33" s="1"/>
  <c r="CG126" i="33" s="1"/>
  <c r="CH126" i="33" s="1"/>
  <c r="CI126" i="33" s="1"/>
  <c r="CJ126" i="33" s="1"/>
  <c r="CK126" i="33" s="1"/>
  <c r="CL126" i="33" s="1"/>
  <c r="CM126" i="33" s="1"/>
  <c r="CN126" i="33" s="1"/>
  <c r="CO126" i="33" s="1"/>
  <c r="CP126" i="33" s="1"/>
  <c r="AQ65" i="33"/>
  <c r="G65" i="33" s="1"/>
  <c r="AS124" i="33" s="1"/>
  <c r="AT124" i="33" s="1"/>
  <c r="AU124" i="33" s="1"/>
  <c r="AV124" i="33" s="1"/>
  <c r="AW124" i="33" s="1"/>
  <c r="AX124" i="33" s="1"/>
  <c r="AY124" i="33" s="1"/>
  <c r="AZ124" i="33" s="1"/>
  <c r="BA124" i="33" s="1"/>
  <c r="BB124" i="33" s="1"/>
  <c r="BC124" i="33" s="1"/>
  <c r="BD124" i="33" s="1"/>
  <c r="BE124" i="33" s="1"/>
  <c r="BF124" i="33" s="1"/>
  <c r="BG124" i="33" s="1"/>
  <c r="BH124" i="33" s="1"/>
  <c r="BI124" i="33" s="1"/>
  <c r="BJ124" i="33" s="1"/>
  <c r="BK124" i="33" s="1"/>
  <c r="BL124" i="33" s="1"/>
  <c r="AT64" i="33"/>
  <c r="J64" i="33" s="1"/>
  <c r="CQ123" i="33" s="1"/>
  <c r="CR123" i="33" s="1"/>
  <c r="CS123" i="33" s="1"/>
  <c r="CT123" i="33" s="1"/>
  <c r="CU123" i="33" s="1"/>
  <c r="AT63" i="33"/>
  <c r="J63" i="33" s="1"/>
  <c r="CQ122" i="33" s="1"/>
  <c r="CR122" i="33" s="1"/>
  <c r="CS122" i="33" s="1"/>
  <c r="CT122" i="33" s="1"/>
  <c r="CU122" i="33" s="1"/>
  <c r="AR61" i="33"/>
  <c r="H61" i="33" s="1"/>
  <c r="BM120" i="33" s="1"/>
  <c r="BN120" i="33" s="1"/>
  <c r="BO120" i="33" s="1"/>
  <c r="BP120" i="33" s="1"/>
  <c r="BQ120" i="33" s="1"/>
  <c r="BR120" i="33" s="1"/>
  <c r="BS120" i="33" s="1"/>
  <c r="BT120" i="33" s="1"/>
  <c r="BU120" i="33" s="1"/>
  <c r="BV120" i="33" s="1"/>
  <c r="BW120" i="33" s="1"/>
  <c r="BX120" i="33" s="1"/>
  <c r="BY120" i="33" s="1"/>
  <c r="BZ120" i="33" s="1"/>
  <c r="CA120" i="33" s="1"/>
  <c r="CB120" i="33" s="1"/>
  <c r="CC120" i="33" s="1"/>
  <c r="CD120" i="33" s="1"/>
  <c r="CE120" i="33" s="1"/>
  <c r="CF120" i="33" s="1"/>
  <c r="AT60" i="33"/>
  <c r="J60" i="33" s="1"/>
  <c r="CQ119" i="33" s="1"/>
  <c r="CR119" i="33" s="1"/>
  <c r="CS119" i="33" s="1"/>
  <c r="CT119" i="33" s="1"/>
  <c r="CU119" i="33" s="1"/>
  <c r="AT59" i="33"/>
  <c r="J59" i="33" s="1"/>
  <c r="CQ118" i="33" s="1"/>
  <c r="CR118" i="33" s="1"/>
  <c r="CS118" i="33" s="1"/>
  <c r="CT118" i="33" s="1"/>
  <c r="CU118" i="33" s="1"/>
  <c r="AP58" i="33"/>
  <c r="F58" i="33" s="1"/>
  <c r="Y117" i="33" s="1"/>
  <c r="Z117" i="33" s="1"/>
  <c r="AA117" i="33" s="1"/>
  <c r="AB117" i="33" s="1"/>
  <c r="AC117" i="33" s="1"/>
  <c r="AD117" i="33" s="1"/>
  <c r="AE117" i="33" s="1"/>
  <c r="AF117" i="33" s="1"/>
  <c r="AG117" i="33" s="1"/>
  <c r="AH117" i="33" s="1"/>
  <c r="AI117" i="33" s="1"/>
  <c r="AJ117" i="33" s="1"/>
  <c r="AK117" i="33" s="1"/>
  <c r="AL117" i="33" s="1"/>
  <c r="AM117" i="33" s="1"/>
  <c r="AN117" i="33" s="1"/>
  <c r="AO117" i="33" s="1"/>
  <c r="AP117" i="33" s="1"/>
  <c r="AQ117" i="33" s="1"/>
  <c r="AR117" i="33" s="1"/>
  <c r="AQ57" i="33"/>
  <c r="G57" i="33" s="1"/>
  <c r="AS116" i="33" s="1"/>
  <c r="AT116" i="33" s="1"/>
  <c r="AU116" i="33" s="1"/>
  <c r="AV116" i="33" s="1"/>
  <c r="AW116" i="33" s="1"/>
  <c r="AX116" i="33" s="1"/>
  <c r="AY116" i="33" s="1"/>
  <c r="AZ116" i="33" s="1"/>
  <c r="BA116" i="33" s="1"/>
  <c r="BB116" i="33" s="1"/>
  <c r="BC116" i="33" s="1"/>
  <c r="BD116" i="33" s="1"/>
  <c r="BE116" i="33" s="1"/>
  <c r="BF116" i="33" s="1"/>
  <c r="BG116" i="33" s="1"/>
  <c r="BH116" i="33" s="1"/>
  <c r="BI116" i="33" s="1"/>
  <c r="BJ116" i="33" s="1"/>
  <c r="BK116" i="33" s="1"/>
  <c r="BL116" i="33" s="1"/>
  <c r="AT56" i="33"/>
  <c r="J56" i="33" s="1"/>
  <c r="CQ115" i="33" s="1"/>
  <c r="CR115" i="33" s="1"/>
  <c r="CS115" i="33" s="1"/>
  <c r="CT115" i="33" s="1"/>
  <c r="CU115" i="33" s="1"/>
  <c r="AT55" i="33"/>
  <c r="J55" i="33" s="1"/>
  <c r="CQ114" i="33" s="1"/>
  <c r="CR114" i="33" s="1"/>
  <c r="CS114" i="33" s="1"/>
  <c r="CT114" i="33" s="1"/>
  <c r="CU114" i="33" s="1"/>
  <c r="AR54" i="33"/>
  <c r="H54" i="33" s="1"/>
  <c r="BM113" i="33" s="1"/>
  <c r="BN113" i="33" s="1"/>
  <c r="BO113" i="33" s="1"/>
  <c r="BP113" i="33" s="1"/>
  <c r="BQ113" i="33" s="1"/>
  <c r="BR113" i="33" s="1"/>
  <c r="BS113" i="33" s="1"/>
  <c r="BT113" i="33" s="1"/>
  <c r="BU113" i="33" s="1"/>
  <c r="BV113" i="33" s="1"/>
  <c r="BW113" i="33" s="1"/>
  <c r="BX113" i="33" s="1"/>
  <c r="BY113" i="33" s="1"/>
  <c r="BZ113" i="33" s="1"/>
  <c r="CA113" i="33" s="1"/>
  <c r="CB113" i="33" s="1"/>
  <c r="CC113" i="33" s="1"/>
  <c r="CD113" i="33" s="1"/>
  <c r="CE113" i="33" s="1"/>
  <c r="CF113" i="33" s="1"/>
  <c r="AU53" i="33"/>
  <c r="K53" i="33" s="1"/>
  <c r="CV112" i="33" s="1"/>
  <c r="CW112" i="33" s="1"/>
  <c r="CX112" i="33" s="1"/>
  <c r="CY112" i="33" s="1"/>
  <c r="AO52" i="33"/>
  <c r="E52" i="33" s="1"/>
  <c r="E111" i="33" s="1"/>
  <c r="AO51" i="33"/>
  <c r="E51" i="33" s="1"/>
  <c r="E110" i="33" s="1"/>
  <c r="AP50" i="33"/>
  <c r="F50" i="33" s="1"/>
  <c r="Y109" i="33" s="1"/>
  <c r="Z109" i="33" s="1"/>
  <c r="AA109" i="33" s="1"/>
  <c r="AB109" i="33" s="1"/>
  <c r="AC109" i="33" s="1"/>
  <c r="AD109" i="33" s="1"/>
  <c r="AE109" i="33" s="1"/>
  <c r="AF109" i="33" s="1"/>
  <c r="AG109" i="33" s="1"/>
  <c r="AH109" i="33" s="1"/>
  <c r="AI109" i="33" s="1"/>
  <c r="AJ109" i="33" s="1"/>
  <c r="AK109" i="33" s="1"/>
  <c r="AL109" i="33" s="1"/>
  <c r="AM109" i="33" s="1"/>
  <c r="AN109" i="33" s="1"/>
  <c r="AO109" i="33" s="1"/>
  <c r="AP109" i="33" s="1"/>
  <c r="AQ109" i="33" s="1"/>
  <c r="AR109" i="33" s="1"/>
  <c r="AS49" i="33"/>
  <c r="I49" i="33" s="1"/>
  <c r="CG108" i="33" s="1"/>
  <c r="CH108" i="33" s="1"/>
  <c r="CI108" i="33" s="1"/>
  <c r="CJ108" i="33" s="1"/>
  <c r="CK108" i="33" s="1"/>
  <c r="CL108" i="33" s="1"/>
  <c r="CM108" i="33" s="1"/>
  <c r="CN108" i="33" s="1"/>
  <c r="CO108" i="33" s="1"/>
  <c r="CP108" i="33" s="1"/>
  <c r="AU48" i="33"/>
  <c r="K48" i="33" s="1"/>
  <c r="CV107" i="33" s="1"/>
  <c r="CW107" i="33" s="1"/>
  <c r="CX107" i="33" s="1"/>
  <c r="CY107" i="33" s="1"/>
  <c r="AU47" i="33"/>
  <c r="K47" i="33" s="1"/>
  <c r="CV106" i="33" s="1"/>
  <c r="CW106" i="33" s="1"/>
  <c r="CX106" i="33" s="1"/>
  <c r="CY106" i="33" s="1"/>
  <c r="AV46" i="33"/>
  <c r="L46" i="33" s="1"/>
  <c r="CZ105" i="33" s="1"/>
  <c r="AO45" i="33"/>
  <c r="E45" i="33" s="1"/>
  <c r="E104" i="33" s="1"/>
  <c r="AU44" i="33"/>
  <c r="K44" i="33" s="1"/>
  <c r="CV103" i="33" s="1"/>
  <c r="CW103" i="33" s="1"/>
  <c r="CX103" i="33" s="1"/>
  <c r="CY103" i="33" s="1"/>
  <c r="AP42" i="33"/>
  <c r="F42" i="33" s="1"/>
  <c r="Y101" i="33" s="1"/>
  <c r="Z101" i="33" s="1"/>
  <c r="AA101" i="33" s="1"/>
  <c r="AB101" i="33" s="1"/>
  <c r="AC101" i="33" s="1"/>
  <c r="AD101" i="33" s="1"/>
  <c r="AE101" i="33" s="1"/>
  <c r="AF101" i="33" s="1"/>
  <c r="AG101" i="33" s="1"/>
  <c r="AH101" i="33" s="1"/>
  <c r="AI101" i="33" s="1"/>
  <c r="AJ101" i="33" s="1"/>
  <c r="AK101" i="33" s="1"/>
  <c r="AL101" i="33" s="1"/>
  <c r="AM101" i="33" s="1"/>
  <c r="AN101" i="33" s="1"/>
  <c r="AO101" i="33" s="1"/>
  <c r="AP101" i="33" s="1"/>
  <c r="AQ101" i="33" s="1"/>
  <c r="AR101" i="33" s="1"/>
  <c r="AT41" i="33"/>
  <c r="J41" i="33" s="1"/>
  <c r="CQ100" i="33" s="1"/>
  <c r="CR100" i="33" s="1"/>
  <c r="CS100" i="33" s="1"/>
  <c r="CT100" i="33" s="1"/>
  <c r="CU100" i="33" s="1"/>
  <c r="AQ40" i="33"/>
  <c r="G40" i="33" s="1"/>
  <c r="AS99" i="33" s="1"/>
  <c r="AT99" i="33" s="1"/>
  <c r="AU99" i="33" s="1"/>
  <c r="AV99" i="33" s="1"/>
  <c r="AW99" i="33" s="1"/>
  <c r="AX99" i="33" s="1"/>
  <c r="AY99" i="33" s="1"/>
  <c r="AZ99" i="33" s="1"/>
  <c r="BA99" i="33" s="1"/>
  <c r="BB99" i="33" s="1"/>
  <c r="BC99" i="33" s="1"/>
  <c r="BD99" i="33" s="1"/>
  <c r="BE99" i="33" s="1"/>
  <c r="BF99" i="33" s="1"/>
  <c r="BG99" i="33" s="1"/>
  <c r="BH99" i="33" s="1"/>
  <c r="BI99" i="33" s="1"/>
  <c r="BJ99" i="33" s="1"/>
  <c r="BK99" i="33" s="1"/>
  <c r="BL99" i="33" s="1"/>
  <c r="AT39" i="33"/>
  <c r="J39" i="33" s="1"/>
  <c r="CQ98" i="33" s="1"/>
  <c r="CR98" i="33" s="1"/>
  <c r="CS98" i="33" s="1"/>
  <c r="CT98" i="33" s="1"/>
  <c r="CU98" i="33" s="1"/>
  <c r="AP38" i="33"/>
  <c r="F38" i="33" s="1"/>
  <c r="Y97" i="33" s="1"/>
  <c r="Z97" i="33" s="1"/>
  <c r="AA97" i="33" s="1"/>
  <c r="AB97" i="33" s="1"/>
  <c r="AC97" i="33" s="1"/>
  <c r="AD97" i="33" s="1"/>
  <c r="AE97" i="33" s="1"/>
  <c r="AF97" i="33" s="1"/>
  <c r="AG97" i="33" s="1"/>
  <c r="AH97" i="33" s="1"/>
  <c r="AI97" i="33" s="1"/>
  <c r="AJ97" i="33" s="1"/>
  <c r="AK97" i="33" s="1"/>
  <c r="AL97" i="33" s="1"/>
  <c r="AM97" i="33" s="1"/>
  <c r="AN97" i="33" s="1"/>
  <c r="AO97" i="33" s="1"/>
  <c r="AP97" i="33" s="1"/>
  <c r="AQ97" i="33" s="1"/>
  <c r="AR97" i="33" s="1"/>
  <c r="AQ37" i="33"/>
  <c r="G37" i="33" s="1"/>
  <c r="AS96" i="33" s="1"/>
  <c r="AT96" i="33" s="1"/>
  <c r="AU96" i="33" s="1"/>
  <c r="AV96" i="33" s="1"/>
  <c r="AW96" i="33" s="1"/>
  <c r="AX96" i="33" s="1"/>
  <c r="AY96" i="33" s="1"/>
  <c r="AZ96" i="33" s="1"/>
  <c r="BA96" i="33" s="1"/>
  <c r="BB96" i="33" s="1"/>
  <c r="BC96" i="33" s="1"/>
  <c r="BD96" i="33" s="1"/>
  <c r="BE96" i="33" s="1"/>
  <c r="BF96" i="33" s="1"/>
  <c r="BG96" i="33" s="1"/>
  <c r="BH96" i="33" s="1"/>
  <c r="BI96" i="33" s="1"/>
  <c r="BJ96" i="33" s="1"/>
  <c r="BK96" i="33" s="1"/>
  <c r="BL96" i="33" s="1"/>
  <c r="AS36" i="33"/>
  <c r="I36" i="33" s="1"/>
  <c r="CG95" i="33" s="1"/>
  <c r="CH95" i="33" s="1"/>
  <c r="CI95" i="33" s="1"/>
  <c r="CJ95" i="33" s="1"/>
  <c r="CK95" i="33" s="1"/>
  <c r="CL95" i="33" s="1"/>
  <c r="CM95" i="33" s="1"/>
  <c r="CN95" i="33" s="1"/>
  <c r="CO95" i="33" s="1"/>
  <c r="CP95" i="33" s="1"/>
  <c r="AT71" i="33"/>
  <c r="J71" i="33" s="1"/>
  <c r="CQ130" i="33" s="1"/>
  <c r="AU70" i="33"/>
  <c r="K70" i="33" s="1"/>
  <c r="CV129" i="33" s="1"/>
  <c r="CW129" i="33" s="1"/>
  <c r="CX129" i="33" s="1"/>
  <c r="CY129" i="33" s="1"/>
  <c r="AR69" i="33"/>
  <c r="H69" i="33" s="1"/>
  <c r="BM128" i="33" s="1"/>
  <c r="BN128" i="33" s="1"/>
  <c r="BO128" i="33" s="1"/>
  <c r="BP128" i="33" s="1"/>
  <c r="BQ128" i="33" s="1"/>
  <c r="BR128" i="33" s="1"/>
  <c r="BS128" i="33" s="1"/>
  <c r="BT128" i="33" s="1"/>
  <c r="BU128" i="33" s="1"/>
  <c r="BV128" i="33" s="1"/>
  <c r="BW128" i="33" s="1"/>
  <c r="BX128" i="33" s="1"/>
  <c r="BY128" i="33" s="1"/>
  <c r="BZ128" i="33" s="1"/>
  <c r="CA128" i="33" s="1"/>
  <c r="CB128" i="33" s="1"/>
  <c r="CC128" i="33" s="1"/>
  <c r="CD128" i="33" s="1"/>
  <c r="CE128" i="33" s="1"/>
  <c r="CF128" i="33" s="1"/>
  <c r="AP68" i="33"/>
  <c r="F68" i="33" s="1"/>
  <c r="Y127" i="33" s="1"/>
  <c r="Z127" i="33" s="1"/>
  <c r="AA127" i="33" s="1"/>
  <c r="AB127" i="33" s="1"/>
  <c r="AC127" i="33" s="1"/>
  <c r="AD127" i="33" s="1"/>
  <c r="AE127" i="33" s="1"/>
  <c r="AF127" i="33" s="1"/>
  <c r="AG127" i="33" s="1"/>
  <c r="AH127" i="33" s="1"/>
  <c r="AI127" i="33" s="1"/>
  <c r="AJ127" i="33" s="1"/>
  <c r="AK127" i="33" s="1"/>
  <c r="AL127" i="33" s="1"/>
  <c r="AM127" i="33" s="1"/>
  <c r="AN127" i="33" s="1"/>
  <c r="AO127" i="33" s="1"/>
  <c r="AP127" i="33" s="1"/>
  <c r="AQ127" i="33" s="1"/>
  <c r="AR127" i="33" s="1"/>
  <c r="AU42" i="33"/>
  <c r="K42" i="33" s="1"/>
  <c r="CV101" i="33" s="1"/>
  <c r="CW101" i="33" s="1"/>
  <c r="CX101" i="33" s="1"/>
  <c r="CY101" i="33" s="1"/>
  <c r="AU68" i="33"/>
  <c r="K68" i="33" s="1"/>
  <c r="CV127" i="33" s="1"/>
  <c r="CW127" i="33" s="1"/>
  <c r="CX127" i="33" s="1"/>
  <c r="CY127" i="33" s="1"/>
  <c r="AT68" i="33"/>
  <c r="J68" i="33" s="1"/>
  <c r="CQ127" i="33" s="1"/>
  <c r="CR127" i="33" s="1"/>
  <c r="CS127" i="33" s="1"/>
  <c r="CT127" i="33" s="1"/>
  <c r="CU127" i="33" s="1"/>
  <c r="AR67" i="33"/>
  <c r="H67" i="33" s="1"/>
  <c r="BM126" i="33" s="1"/>
  <c r="BN126" i="33" s="1"/>
  <c r="BO126" i="33" s="1"/>
  <c r="BP126" i="33" s="1"/>
  <c r="BQ126" i="33" s="1"/>
  <c r="BR126" i="33" s="1"/>
  <c r="BS126" i="33" s="1"/>
  <c r="BT126" i="33" s="1"/>
  <c r="BU126" i="33" s="1"/>
  <c r="BV126" i="33" s="1"/>
  <c r="BW126" i="33" s="1"/>
  <c r="BX126" i="33" s="1"/>
  <c r="BY126" i="33" s="1"/>
  <c r="BZ126" i="33" s="1"/>
  <c r="CA126" i="33" s="1"/>
  <c r="CB126" i="33" s="1"/>
  <c r="CC126" i="33" s="1"/>
  <c r="CD126" i="33" s="1"/>
  <c r="CE126" i="33" s="1"/>
  <c r="CF126" i="33" s="1"/>
  <c r="AU66" i="33"/>
  <c r="K66" i="33" s="1"/>
  <c r="CV125" i="33" s="1"/>
  <c r="CW125" i="33" s="1"/>
  <c r="CX125" i="33" s="1"/>
  <c r="CY125" i="33" s="1"/>
  <c r="AP65" i="33"/>
  <c r="F65" i="33" s="1"/>
  <c r="Y124" i="33" s="1"/>
  <c r="Z124" i="33" s="1"/>
  <c r="AA124" i="33" s="1"/>
  <c r="AB124" i="33" s="1"/>
  <c r="AC124" i="33" s="1"/>
  <c r="AD124" i="33" s="1"/>
  <c r="AE124" i="33" s="1"/>
  <c r="AF124" i="33" s="1"/>
  <c r="AG124" i="33" s="1"/>
  <c r="AH124" i="33" s="1"/>
  <c r="AI124" i="33" s="1"/>
  <c r="AJ124" i="33" s="1"/>
  <c r="AK124" i="33" s="1"/>
  <c r="AL124" i="33" s="1"/>
  <c r="AM124" i="33" s="1"/>
  <c r="AN124" i="33" s="1"/>
  <c r="AO124" i="33" s="1"/>
  <c r="AP124" i="33" s="1"/>
  <c r="AQ124" i="33" s="1"/>
  <c r="AR124" i="33" s="1"/>
  <c r="AS64" i="33"/>
  <c r="I64" i="33" s="1"/>
  <c r="CG123" i="33" s="1"/>
  <c r="CH123" i="33" s="1"/>
  <c r="CI123" i="33" s="1"/>
  <c r="CJ123" i="33" s="1"/>
  <c r="CK123" i="33" s="1"/>
  <c r="CL123" i="33" s="1"/>
  <c r="CM123" i="33" s="1"/>
  <c r="CN123" i="33" s="1"/>
  <c r="CO123" i="33" s="1"/>
  <c r="CP123" i="33" s="1"/>
  <c r="AS63" i="33"/>
  <c r="I63" i="33" s="1"/>
  <c r="CG122" i="33" s="1"/>
  <c r="CH122" i="33" s="1"/>
  <c r="CI122" i="33" s="1"/>
  <c r="CJ122" i="33" s="1"/>
  <c r="CK122" i="33" s="1"/>
  <c r="CL122" i="33" s="1"/>
  <c r="CM122" i="33" s="1"/>
  <c r="CN122" i="33" s="1"/>
  <c r="CO122" i="33" s="1"/>
  <c r="CP122" i="33" s="1"/>
  <c r="AU62" i="33"/>
  <c r="K62" i="33" s="1"/>
  <c r="CV121" i="33" s="1"/>
  <c r="CW121" i="33" s="1"/>
  <c r="CX121" i="33" s="1"/>
  <c r="CY121" i="33" s="1"/>
  <c r="AQ61" i="33"/>
  <c r="G61" i="33" s="1"/>
  <c r="AS120" i="33" s="1"/>
  <c r="AT120" i="33" s="1"/>
  <c r="AU120" i="33" s="1"/>
  <c r="AV120" i="33" s="1"/>
  <c r="AW120" i="33" s="1"/>
  <c r="AX120" i="33" s="1"/>
  <c r="AY120" i="33" s="1"/>
  <c r="AZ120" i="33" s="1"/>
  <c r="BA120" i="33" s="1"/>
  <c r="BB120" i="33" s="1"/>
  <c r="BC120" i="33" s="1"/>
  <c r="BD120" i="33" s="1"/>
  <c r="BE120" i="33" s="1"/>
  <c r="BF120" i="33" s="1"/>
  <c r="BG120" i="33" s="1"/>
  <c r="BH120" i="33" s="1"/>
  <c r="BI120" i="33" s="1"/>
  <c r="BJ120" i="33" s="1"/>
  <c r="BK120" i="33" s="1"/>
  <c r="BL120" i="33" s="1"/>
  <c r="AS60" i="33"/>
  <c r="I60" i="33" s="1"/>
  <c r="CG119" i="33" s="1"/>
  <c r="CH119" i="33" s="1"/>
  <c r="CI119" i="33" s="1"/>
  <c r="CJ119" i="33" s="1"/>
  <c r="CK119" i="33" s="1"/>
  <c r="CL119" i="33" s="1"/>
  <c r="CM119" i="33" s="1"/>
  <c r="CN119" i="33" s="1"/>
  <c r="CO119" i="33" s="1"/>
  <c r="CP119" i="33" s="1"/>
  <c r="AS59" i="33"/>
  <c r="I59" i="33" s="1"/>
  <c r="CG118" i="33" s="1"/>
  <c r="CH118" i="33" s="1"/>
  <c r="CI118" i="33" s="1"/>
  <c r="CJ118" i="33" s="1"/>
  <c r="CK118" i="33" s="1"/>
  <c r="CL118" i="33" s="1"/>
  <c r="CM118" i="33" s="1"/>
  <c r="CN118" i="33" s="1"/>
  <c r="CO118" i="33" s="1"/>
  <c r="CP118" i="33" s="1"/>
  <c r="AO58" i="33"/>
  <c r="E58" i="33" s="1"/>
  <c r="E117" i="33" s="1"/>
  <c r="AP57" i="33"/>
  <c r="F57" i="33" s="1"/>
  <c r="Y116" i="33" s="1"/>
  <c r="Z116" i="33" s="1"/>
  <c r="AA116" i="33" s="1"/>
  <c r="AB116" i="33" s="1"/>
  <c r="AC116" i="33" s="1"/>
  <c r="AD116" i="33" s="1"/>
  <c r="AE116" i="33" s="1"/>
  <c r="AF116" i="33" s="1"/>
  <c r="AG116" i="33" s="1"/>
  <c r="AH116" i="33" s="1"/>
  <c r="AI116" i="33" s="1"/>
  <c r="AJ116" i="33" s="1"/>
  <c r="AK116" i="33" s="1"/>
  <c r="AL116" i="33" s="1"/>
  <c r="AM116" i="33" s="1"/>
  <c r="AN116" i="33" s="1"/>
  <c r="AO116" i="33" s="1"/>
  <c r="AP116" i="33" s="1"/>
  <c r="AQ116" i="33" s="1"/>
  <c r="AR116" i="33" s="1"/>
  <c r="AS56" i="33"/>
  <c r="I56" i="33" s="1"/>
  <c r="CG115" i="33" s="1"/>
  <c r="CH115" i="33" s="1"/>
  <c r="CI115" i="33" s="1"/>
  <c r="CJ115" i="33" s="1"/>
  <c r="CK115" i="33" s="1"/>
  <c r="CL115" i="33" s="1"/>
  <c r="CM115" i="33" s="1"/>
  <c r="CN115" i="33" s="1"/>
  <c r="CO115" i="33" s="1"/>
  <c r="CP115" i="33" s="1"/>
  <c r="AS55" i="33"/>
  <c r="I55" i="33" s="1"/>
  <c r="CG114" i="33" s="1"/>
  <c r="CH114" i="33" s="1"/>
  <c r="CI114" i="33" s="1"/>
  <c r="CJ114" i="33" s="1"/>
  <c r="CK114" i="33" s="1"/>
  <c r="CL114" i="33" s="1"/>
  <c r="CM114" i="33" s="1"/>
  <c r="CN114" i="33" s="1"/>
  <c r="CO114" i="33" s="1"/>
  <c r="CP114" i="33" s="1"/>
  <c r="AQ54" i="33"/>
  <c r="G54" i="33" s="1"/>
  <c r="AS113" i="33" s="1"/>
  <c r="AT113" i="33" s="1"/>
  <c r="AU113" i="33" s="1"/>
  <c r="AV113" i="33" s="1"/>
  <c r="AW113" i="33" s="1"/>
  <c r="AX113" i="33" s="1"/>
  <c r="AY113" i="33" s="1"/>
  <c r="AZ113" i="33" s="1"/>
  <c r="BA113" i="33" s="1"/>
  <c r="BB113" i="33" s="1"/>
  <c r="BC113" i="33" s="1"/>
  <c r="BD113" i="33" s="1"/>
  <c r="BE113" i="33" s="1"/>
  <c r="BF113" i="33" s="1"/>
  <c r="BG113" i="33" s="1"/>
  <c r="BH113" i="33" s="1"/>
  <c r="BI113" i="33" s="1"/>
  <c r="BJ113" i="33" s="1"/>
  <c r="BK113" i="33" s="1"/>
  <c r="BL113" i="33" s="1"/>
  <c r="AT53" i="33"/>
  <c r="J53" i="33" s="1"/>
  <c r="CQ112" i="33" s="1"/>
  <c r="CR112" i="33" s="1"/>
  <c r="CS112" i="33" s="1"/>
  <c r="CT112" i="33" s="1"/>
  <c r="CU112" i="33" s="1"/>
  <c r="AO50" i="33"/>
  <c r="E50" i="33" s="1"/>
  <c r="E109" i="33" s="1"/>
  <c r="AR49" i="33"/>
  <c r="H49" i="33" s="1"/>
  <c r="BM108" i="33" s="1"/>
  <c r="BN108" i="33" s="1"/>
  <c r="BO108" i="33" s="1"/>
  <c r="BP108" i="33" s="1"/>
  <c r="BQ108" i="33" s="1"/>
  <c r="BR108" i="33" s="1"/>
  <c r="BS108" i="33" s="1"/>
  <c r="BT108" i="33" s="1"/>
  <c r="BU108" i="33" s="1"/>
  <c r="BV108" i="33" s="1"/>
  <c r="BW108" i="33" s="1"/>
  <c r="BX108" i="33" s="1"/>
  <c r="BY108" i="33" s="1"/>
  <c r="BZ108" i="33" s="1"/>
  <c r="CA108" i="33" s="1"/>
  <c r="CB108" i="33" s="1"/>
  <c r="CC108" i="33" s="1"/>
  <c r="CD108" i="33" s="1"/>
  <c r="CE108" i="33" s="1"/>
  <c r="CF108" i="33" s="1"/>
  <c r="AT48" i="33"/>
  <c r="J48" i="33" s="1"/>
  <c r="CQ107" i="33" s="1"/>
  <c r="CR107" i="33" s="1"/>
  <c r="CS107" i="33" s="1"/>
  <c r="CT107" i="33" s="1"/>
  <c r="CU107" i="33" s="1"/>
  <c r="AT47" i="33"/>
  <c r="J47" i="33" s="1"/>
  <c r="CQ106" i="33" s="1"/>
  <c r="CR106" i="33" s="1"/>
  <c r="CS106" i="33" s="1"/>
  <c r="CT106" i="33" s="1"/>
  <c r="CU106" i="33" s="1"/>
  <c r="AU46" i="33"/>
  <c r="K46" i="33" s="1"/>
  <c r="CV105" i="33" s="1"/>
  <c r="CW105" i="33" s="1"/>
  <c r="CX105" i="33" s="1"/>
  <c r="CY105" i="33" s="1"/>
  <c r="AT44" i="33"/>
  <c r="J44" i="33" s="1"/>
  <c r="CQ103" i="33" s="1"/>
  <c r="CR103" i="33" s="1"/>
  <c r="CS103" i="33" s="1"/>
  <c r="CT103" i="33" s="1"/>
  <c r="CU103" i="33" s="1"/>
  <c r="AU43" i="33"/>
  <c r="K43" i="33" s="1"/>
  <c r="CV102" i="33" s="1"/>
  <c r="CW102" i="33" s="1"/>
  <c r="CX102" i="33" s="1"/>
  <c r="CY102" i="33" s="1"/>
  <c r="AO42" i="33"/>
  <c r="E42" i="33" s="1"/>
  <c r="E101" i="33" s="1"/>
  <c r="AS41" i="33"/>
  <c r="I41" i="33" s="1"/>
  <c r="CG100" i="33" s="1"/>
  <c r="CH100" i="33" s="1"/>
  <c r="CI100" i="33" s="1"/>
  <c r="CJ100" i="33" s="1"/>
  <c r="CK100" i="33" s="1"/>
  <c r="CL100" i="33" s="1"/>
  <c r="CM100" i="33" s="1"/>
  <c r="CN100" i="33" s="1"/>
  <c r="CO100" i="33" s="1"/>
  <c r="CP100" i="33" s="1"/>
  <c r="AP40" i="33"/>
  <c r="F40" i="33" s="1"/>
  <c r="Y99" i="33" s="1"/>
  <c r="Z99" i="33" s="1"/>
  <c r="AA99" i="33" s="1"/>
  <c r="AB99" i="33" s="1"/>
  <c r="AC99" i="33" s="1"/>
  <c r="AD99" i="33" s="1"/>
  <c r="AE99" i="33" s="1"/>
  <c r="AF99" i="33" s="1"/>
  <c r="AG99" i="33" s="1"/>
  <c r="AH99" i="33" s="1"/>
  <c r="AI99" i="33" s="1"/>
  <c r="AJ99" i="33" s="1"/>
  <c r="AK99" i="33" s="1"/>
  <c r="AL99" i="33" s="1"/>
  <c r="AM99" i="33" s="1"/>
  <c r="AN99" i="33" s="1"/>
  <c r="AO99" i="33" s="1"/>
  <c r="AP99" i="33" s="1"/>
  <c r="AQ99" i="33" s="1"/>
  <c r="AR99" i="33" s="1"/>
  <c r="AS39" i="33"/>
  <c r="I39" i="33" s="1"/>
  <c r="CG98" i="33" s="1"/>
  <c r="CH98" i="33" s="1"/>
  <c r="CI98" i="33" s="1"/>
  <c r="CJ98" i="33" s="1"/>
  <c r="CK98" i="33" s="1"/>
  <c r="CL98" i="33" s="1"/>
  <c r="CM98" i="33" s="1"/>
  <c r="CN98" i="33" s="1"/>
  <c r="CO98" i="33" s="1"/>
  <c r="CP98" i="33" s="1"/>
  <c r="AO38" i="33"/>
  <c r="E38" i="33" s="1"/>
  <c r="E97" i="33" s="1"/>
  <c r="AP37" i="33"/>
  <c r="F37" i="33" s="1"/>
  <c r="Y96" i="33" s="1"/>
  <c r="Z96" i="33" s="1"/>
  <c r="AA96" i="33" s="1"/>
  <c r="AB96" i="33" s="1"/>
  <c r="AC96" i="33" s="1"/>
  <c r="AD96" i="33" s="1"/>
  <c r="AE96" i="33" s="1"/>
  <c r="AF96" i="33" s="1"/>
  <c r="AG96" i="33" s="1"/>
  <c r="AH96" i="33" s="1"/>
  <c r="AI96" i="33" s="1"/>
  <c r="AJ96" i="33" s="1"/>
  <c r="AK96" i="33" s="1"/>
  <c r="AL96" i="33" s="1"/>
  <c r="AM96" i="33" s="1"/>
  <c r="AN96" i="33" s="1"/>
  <c r="AO96" i="33" s="1"/>
  <c r="AP96" i="33" s="1"/>
  <c r="AQ96" i="33" s="1"/>
  <c r="AR96" i="33" s="1"/>
  <c r="AR36" i="33"/>
  <c r="H36" i="33" s="1"/>
  <c r="BM95" i="33" s="1"/>
  <c r="BN95" i="33" s="1"/>
  <c r="BO95" i="33" s="1"/>
  <c r="BP95" i="33" s="1"/>
  <c r="BQ95" i="33" s="1"/>
  <c r="BR95" i="33" s="1"/>
  <c r="BS95" i="33" s="1"/>
  <c r="BT95" i="33" s="1"/>
  <c r="BU95" i="33" s="1"/>
  <c r="BV95" i="33" s="1"/>
  <c r="BW95" i="33" s="1"/>
  <c r="BX95" i="33" s="1"/>
  <c r="BY95" i="33" s="1"/>
  <c r="BZ95" i="33" s="1"/>
  <c r="CA95" i="33" s="1"/>
  <c r="CB95" i="33" s="1"/>
  <c r="CC95" i="33" s="1"/>
  <c r="CD95" i="33" s="1"/>
  <c r="CE95" i="33" s="1"/>
  <c r="CF95" i="33" s="1"/>
  <c r="AS71" i="33"/>
  <c r="I71" i="33" s="1"/>
  <c r="CG130" i="33" s="1"/>
  <c r="AT70" i="33"/>
  <c r="J70" i="33" s="1"/>
  <c r="CQ129" i="33" s="1"/>
  <c r="CR129" i="33" s="1"/>
  <c r="CS129" i="33" s="1"/>
  <c r="CT129" i="33" s="1"/>
  <c r="CU129" i="33" s="1"/>
  <c r="AQ69" i="33"/>
  <c r="G69" i="33" s="1"/>
  <c r="AO68" i="33"/>
  <c r="E68" i="33" s="1"/>
  <c r="E127" i="33" s="1"/>
  <c r="AQ55" i="33"/>
  <c r="G55" i="33" s="1"/>
  <c r="AS114" i="33" s="1"/>
  <c r="AT114" i="33" s="1"/>
  <c r="AU114" i="33" s="1"/>
  <c r="AV114" i="33" s="1"/>
  <c r="AW114" i="33" s="1"/>
  <c r="AX114" i="33" s="1"/>
  <c r="AY114" i="33" s="1"/>
  <c r="AZ114" i="33" s="1"/>
  <c r="BA114" i="33" s="1"/>
  <c r="BB114" i="33" s="1"/>
  <c r="BC114" i="33" s="1"/>
  <c r="BD114" i="33" s="1"/>
  <c r="BE114" i="33" s="1"/>
  <c r="BF114" i="33" s="1"/>
  <c r="BG114" i="33" s="1"/>
  <c r="BH114" i="33" s="1"/>
  <c r="BI114" i="33" s="1"/>
  <c r="BJ114" i="33" s="1"/>
  <c r="BK114" i="33" s="1"/>
  <c r="BL114" i="33" s="1"/>
  <c r="AP56" i="33"/>
  <c r="F56" i="33" s="1"/>
  <c r="Y115" i="33" s="1"/>
  <c r="Z115" i="33" s="1"/>
  <c r="AA115" i="33" s="1"/>
  <c r="AB115" i="33" s="1"/>
  <c r="AC115" i="33" s="1"/>
  <c r="AD115" i="33" s="1"/>
  <c r="AE115" i="33" s="1"/>
  <c r="AF115" i="33" s="1"/>
  <c r="AG115" i="33" s="1"/>
  <c r="AH115" i="33" s="1"/>
  <c r="AI115" i="33" s="1"/>
  <c r="AJ115" i="33" s="1"/>
  <c r="AK115" i="33" s="1"/>
  <c r="AL115" i="33" s="1"/>
  <c r="AM115" i="33" s="1"/>
  <c r="AN115" i="33" s="1"/>
  <c r="AO115" i="33" s="1"/>
  <c r="AP115" i="33" s="1"/>
  <c r="AQ115" i="33" s="1"/>
  <c r="AR115" i="33" s="1"/>
  <c r="AS52" i="33"/>
  <c r="I52" i="33" s="1"/>
  <c r="CG111" i="33" s="1"/>
  <c r="CH111" i="33" s="1"/>
  <c r="CI111" i="33" s="1"/>
  <c r="CJ111" i="33" s="1"/>
  <c r="CK111" i="33" s="1"/>
  <c r="CL111" i="33" s="1"/>
  <c r="CM111" i="33" s="1"/>
  <c r="CN111" i="33" s="1"/>
  <c r="CO111" i="33" s="1"/>
  <c r="CP111" i="33" s="1"/>
  <c r="AT50" i="33"/>
  <c r="J50" i="33" s="1"/>
  <c r="CQ109" i="33" s="1"/>
  <c r="CR109" i="33" s="1"/>
  <c r="CS109" i="33" s="1"/>
  <c r="CT109" i="33" s="1"/>
  <c r="CU109" i="33" s="1"/>
  <c r="AV34" i="33"/>
  <c r="L34" i="33" s="1"/>
  <c r="CZ93" i="33" s="1"/>
  <c r="AQ67" i="33"/>
  <c r="G67" i="33" s="1"/>
  <c r="AS126" i="33" s="1"/>
  <c r="AT126" i="33" s="1"/>
  <c r="AU126" i="33" s="1"/>
  <c r="AV126" i="33" s="1"/>
  <c r="AW126" i="33" s="1"/>
  <c r="AX126" i="33" s="1"/>
  <c r="AY126" i="33" s="1"/>
  <c r="AZ126" i="33" s="1"/>
  <c r="BA126" i="33" s="1"/>
  <c r="BB126" i="33" s="1"/>
  <c r="BC126" i="33" s="1"/>
  <c r="BD126" i="33" s="1"/>
  <c r="BE126" i="33" s="1"/>
  <c r="BF126" i="33" s="1"/>
  <c r="BG126" i="33" s="1"/>
  <c r="BH126" i="33" s="1"/>
  <c r="BI126" i="33" s="1"/>
  <c r="BJ126" i="33" s="1"/>
  <c r="BK126" i="33" s="1"/>
  <c r="BL126" i="33" s="1"/>
  <c r="AT66" i="33"/>
  <c r="J66" i="33" s="1"/>
  <c r="CQ125" i="33" s="1"/>
  <c r="CR125" i="33" s="1"/>
  <c r="CS125" i="33" s="1"/>
  <c r="CT125" i="33" s="1"/>
  <c r="CU125" i="33" s="1"/>
  <c r="AO65" i="33"/>
  <c r="E65" i="33" s="1"/>
  <c r="E124" i="33" s="1"/>
  <c r="AR64" i="33"/>
  <c r="H64" i="33" s="1"/>
  <c r="BM123" i="33" s="1"/>
  <c r="BN123" i="33" s="1"/>
  <c r="BO123" i="33" s="1"/>
  <c r="BP123" i="33" s="1"/>
  <c r="BQ123" i="33" s="1"/>
  <c r="BR123" i="33" s="1"/>
  <c r="BS123" i="33" s="1"/>
  <c r="BT123" i="33" s="1"/>
  <c r="BU123" i="33" s="1"/>
  <c r="BV123" i="33" s="1"/>
  <c r="BW123" i="33" s="1"/>
  <c r="BX123" i="33" s="1"/>
  <c r="BY123" i="33" s="1"/>
  <c r="BZ123" i="33" s="1"/>
  <c r="CA123" i="33" s="1"/>
  <c r="CB123" i="33" s="1"/>
  <c r="CC123" i="33" s="1"/>
  <c r="CD123" i="33" s="1"/>
  <c r="CE123" i="33" s="1"/>
  <c r="CF123" i="33" s="1"/>
  <c r="AR63" i="33"/>
  <c r="H63" i="33" s="1"/>
  <c r="BM122" i="33" s="1"/>
  <c r="BN122" i="33" s="1"/>
  <c r="BO122" i="33" s="1"/>
  <c r="BP122" i="33" s="1"/>
  <c r="BQ122" i="33" s="1"/>
  <c r="BR122" i="33" s="1"/>
  <c r="BS122" i="33" s="1"/>
  <c r="BT122" i="33" s="1"/>
  <c r="BU122" i="33" s="1"/>
  <c r="BV122" i="33" s="1"/>
  <c r="BW122" i="33" s="1"/>
  <c r="BX122" i="33" s="1"/>
  <c r="BY122" i="33" s="1"/>
  <c r="BZ122" i="33" s="1"/>
  <c r="CA122" i="33" s="1"/>
  <c r="CB122" i="33" s="1"/>
  <c r="CC122" i="33" s="1"/>
  <c r="CD122" i="33" s="1"/>
  <c r="CE122" i="33" s="1"/>
  <c r="CF122" i="33" s="1"/>
  <c r="AT62" i="33"/>
  <c r="J62" i="33" s="1"/>
  <c r="CQ121" i="33" s="1"/>
  <c r="CR121" i="33" s="1"/>
  <c r="CS121" i="33" s="1"/>
  <c r="CT121" i="33" s="1"/>
  <c r="CU121" i="33" s="1"/>
  <c r="AP61" i="33"/>
  <c r="F61" i="33" s="1"/>
  <c r="Y120" i="33" s="1"/>
  <c r="Z120" i="33" s="1"/>
  <c r="AA120" i="33" s="1"/>
  <c r="AB120" i="33" s="1"/>
  <c r="AC120" i="33" s="1"/>
  <c r="AD120" i="33" s="1"/>
  <c r="AE120" i="33" s="1"/>
  <c r="AF120" i="33" s="1"/>
  <c r="AG120" i="33" s="1"/>
  <c r="AH120" i="33" s="1"/>
  <c r="AI120" i="33" s="1"/>
  <c r="AJ120" i="33" s="1"/>
  <c r="AK120" i="33" s="1"/>
  <c r="AL120" i="33" s="1"/>
  <c r="AM120" i="33" s="1"/>
  <c r="AN120" i="33" s="1"/>
  <c r="AO120" i="33" s="1"/>
  <c r="AP120" i="33" s="1"/>
  <c r="AQ120" i="33" s="1"/>
  <c r="AR120" i="33" s="1"/>
  <c r="AR60" i="33"/>
  <c r="H60" i="33" s="1"/>
  <c r="BM119" i="33" s="1"/>
  <c r="BN119" i="33" s="1"/>
  <c r="BO119" i="33" s="1"/>
  <c r="BP119" i="33" s="1"/>
  <c r="BQ119" i="33" s="1"/>
  <c r="BR119" i="33" s="1"/>
  <c r="BS119" i="33" s="1"/>
  <c r="BT119" i="33" s="1"/>
  <c r="BU119" i="33" s="1"/>
  <c r="BV119" i="33" s="1"/>
  <c r="BW119" i="33" s="1"/>
  <c r="BX119" i="33" s="1"/>
  <c r="BY119" i="33" s="1"/>
  <c r="BZ119" i="33" s="1"/>
  <c r="CA119" i="33" s="1"/>
  <c r="CB119" i="33" s="1"/>
  <c r="CC119" i="33" s="1"/>
  <c r="CD119" i="33" s="1"/>
  <c r="CE119" i="33" s="1"/>
  <c r="CF119" i="33" s="1"/>
  <c r="AR59" i="33"/>
  <c r="H59" i="33" s="1"/>
  <c r="BM118" i="33" s="1"/>
  <c r="BN118" i="33" s="1"/>
  <c r="BO118" i="33" s="1"/>
  <c r="BP118" i="33" s="1"/>
  <c r="BQ118" i="33" s="1"/>
  <c r="BR118" i="33" s="1"/>
  <c r="BS118" i="33" s="1"/>
  <c r="BT118" i="33" s="1"/>
  <c r="BU118" i="33" s="1"/>
  <c r="BV118" i="33" s="1"/>
  <c r="BW118" i="33" s="1"/>
  <c r="BX118" i="33" s="1"/>
  <c r="BY118" i="33" s="1"/>
  <c r="BZ118" i="33" s="1"/>
  <c r="CA118" i="33" s="1"/>
  <c r="CB118" i="33" s="1"/>
  <c r="CC118" i="33" s="1"/>
  <c r="CD118" i="33" s="1"/>
  <c r="CE118" i="33" s="1"/>
  <c r="CF118" i="33" s="1"/>
  <c r="AO57" i="33"/>
  <c r="E57" i="33" s="1"/>
  <c r="E116" i="33" s="1"/>
  <c r="AR56" i="33"/>
  <c r="H56" i="33" s="1"/>
  <c r="BM115" i="33" s="1"/>
  <c r="BN115" i="33" s="1"/>
  <c r="BO115" i="33" s="1"/>
  <c r="BP115" i="33" s="1"/>
  <c r="BQ115" i="33" s="1"/>
  <c r="BR115" i="33" s="1"/>
  <c r="BS115" i="33" s="1"/>
  <c r="BT115" i="33" s="1"/>
  <c r="BU115" i="33" s="1"/>
  <c r="BV115" i="33" s="1"/>
  <c r="BW115" i="33" s="1"/>
  <c r="BX115" i="33" s="1"/>
  <c r="BY115" i="33" s="1"/>
  <c r="BZ115" i="33" s="1"/>
  <c r="CA115" i="33" s="1"/>
  <c r="CB115" i="33" s="1"/>
  <c r="CC115" i="33" s="1"/>
  <c r="CD115" i="33" s="1"/>
  <c r="CE115" i="33" s="1"/>
  <c r="CF115" i="33" s="1"/>
  <c r="AR55" i="33"/>
  <c r="H55" i="33" s="1"/>
  <c r="BM114" i="33" s="1"/>
  <c r="BN114" i="33" s="1"/>
  <c r="BO114" i="33" s="1"/>
  <c r="BP114" i="33" s="1"/>
  <c r="BQ114" i="33" s="1"/>
  <c r="BR114" i="33" s="1"/>
  <c r="BS114" i="33" s="1"/>
  <c r="BT114" i="33" s="1"/>
  <c r="BU114" i="33" s="1"/>
  <c r="BV114" i="33" s="1"/>
  <c r="BW114" i="33" s="1"/>
  <c r="BX114" i="33" s="1"/>
  <c r="BY114" i="33" s="1"/>
  <c r="BZ114" i="33" s="1"/>
  <c r="CA114" i="33" s="1"/>
  <c r="CB114" i="33" s="1"/>
  <c r="CC114" i="33" s="1"/>
  <c r="CD114" i="33" s="1"/>
  <c r="CE114" i="33" s="1"/>
  <c r="CF114" i="33" s="1"/>
  <c r="AP54" i="33"/>
  <c r="F54" i="33" s="1"/>
  <c r="Y113" i="33" s="1"/>
  <c r="Z113" i="33" s="1"/>
  <c r="AA113" i="33" s="1"/>
  <c r="AB113" i="33" s="1"/>
  <c r="AC113" i="33" s="1"/>
  <c r="AD113" i="33" s="1"/>
  <c r="AE113" i="33" s="1"/>
  <c r="AF113" i="33" s="1"/>
  <c r="AG113" i="33" s="1"/>
  <c r="AH113" i="33" s="1"/>
  <c r="AI113" i="33" s="1"/>
  <c r="AJ113" i="33" s="1"/>
  <c r="AK113" i="33" s="1"/>
  <c r="AL113" i="33" s="1"/>
  <c r="AM113" i="33" s="1"/>
  <c r="AN113" i="33" s="1"/>
  <c r="AO113" i="33" s="1"/>
  <c r="AP113" i="33" s="1"/>
  <c r="AQ113" i="33" s="1"/>
  <c r="AR113" i="33" s="1"/>
  <c r="AS53" i="33"/>
  <c r="I53" i="33" s="1"/>
  <c r="CG112" i="33" s="1"/>
  <c r="CH112" i="33" s="1"/>
  <c r="CI112" i="33" s="1"/>
  <c r="CJ112" i="33" s="1"/>
  <c r="CK112" i="33" s="1"/>
  <c r="CL112" i="33" s="1"/>
  <c r="CM112" i="33" s="1"/>
  <c r="CN112" i="33" s="1"/>
  <c r="CO112" i="33" s="1"/>
  <c r="CP112" i="33" s="1"/>
  <c r="AU52" i="33"/>
  <c r="K52" i="33" s="1"/>
  <c r="CV111" i="33" s="1"/>
  <c r="CW111" i="33" s="1"/>
  <c r="CX111" i="33" s="1"/>
  <c r="CY111" i="33" s="1"/>
  <c r="AU51" i="33"/>
  <c r="K51" i="33" s="1"/>
  <c r="CV110" i="33" s="1"/>
  <c r="CW110" i="33" s="1"/>
  <c r="CX110" i="33" s="1"/>
  <c r="CY110" i="33" s="1"/>
  <c r="AV50" i="33"/>
  <c r="L50" i="33" s="1"/>
  <c r="CZ109" i="33" s="1"/>
  <c r="AQ49" i="33"/>
  <c r="G49" i="33" s="1"/>
  <c r="AS108" i="33" s="1"/>
  <c r="AT108" i="33" s="1"/>
  <c r="AU108" i="33" s="1"/>
  <c r="AV108" i="33" s="1"/>
  <c r="AW108" i="33" s="1"/>
  <c r="AX108" i="33" s="1"/>
  <c r="AY108" i="33" s="1"/>
  <c r="AZ108" i="33" s="1"/>
  <c r="BA108" i="33" s="1"/>
  <c r="BB108" i="33" s="1"/>
  <c r="BC108" i="33" s="1"/>
  <c r="BD108" i="33" s="1"/>
  <c r="BE108" i="33" s="1"/>
  <c r="BF108" i="33" s="1"/>
  <c r="BG108" i="33" s="1"/>
  <c r="BH108" i="33" s="1"/>
  <c r="BI108" i="33" s="1"/>
  <c r="BJ108" i="33" s="1"/>
  <c r="BK108" i="33" s="1"/>
  <c r="BL108" i="33" s="1"/>
  <c r="AS48" i="33"/>
  <c r="I48" i="33" s="1"/>
  <c r="CG107" i="33" s="1"/>
  <c r="CH107" i="33" s="1"/>
  <c r="CI107" i="33" s="1"/>
  <c r="CJ107" i="33" s="1"/>
  <c r="CK107" i="33" s="1"/>
  <c r="CL107" i="33" s="1"/>
  <c r="CM107" i="33" s="1"/>
  <c r="CN107" i="33" s="1"/>
  <c r="CO107" i="33" s="1"/>
  <c r="CP107" i="33" s="1"/>
  <c r="AS47" i="33"/>
  <c r="I47" i="33" s="1"/>
  <c r="CG106" i="33" s="1"/>
  <c r="CH106" i="33" s="1"/>
  <c r="CI106" i="33" s="1"/>
  <c r="CJ106" i="33" s="1"/>
  <c r="CK106" i="33" s="1"/>
  <c r="CL106" i="33" s="1"/>
  <c r="CM106" i="33" s="1"/>
  <c r="CN106" i="33" s="1"/>
  <c r="CO106" i="33" s="1"/>
  <c r="CP106" i="33" s="1"/>
  <c r="AT46" i="33"/>
  <c r="J46" i="33" s="1"/>
  <c r="CQ105" i="33" s="1"/>
  <c r="CR105" i="33" s="1"/>
  <c r="CS105" i="33" s="1"/>
  <c r="CT105" i="33" s="1"/>
  <c r="CU105" i="33" s="1"/>
  <c r="AU45" i="33"/>
  <c r="K45" i="33" s="1"/>
  <c r="CV104" i="33" s="1"/>
  <c r="CW104" i="33" s="1"/>
  <c r="CX104" i="33" s="1"/>
  <c r="CY104" i="33" s="1"/>
  <c r="AS44" i="33"/>
  <c r="I44" i="33" s="1"/>
  <c r="CG103" i="33" s="1"/>
  <c r="CH103" i="33" s="1"/>
  <c r="CI103" i="33" s="1"/>
  <c r="CJ103" i="33" s="1"/>
  <c r="CK103" i="33" s="1"/>
  <c r="CL103" i="33" s="1"/>
  <c r="CM103" i="33" s="1"/>
  <c r="CN103" i="33" s="1"/>
  <c r="CO103" i="33" s="1"/>
  <c r="CP103" i="33" s="1"/>
  <c r="AT43" i="33"/>
  <c r="J43" i="33" s="1"/>
  <c r="CQ102" i="33" s="1"/>
  <c r="CR102" i="33" s="1"/>
  <c r="CS102" i="33" s="1"/>
  <c r="CT102" i="33" s="1"/>
  <c r="CU102" i="33" s="1"/>
  <c r="AR41" i="33"/>
  <c r="H41" i="33" s="1"/>
  <c r="BM100" i="33" s="1"/>
  <c r="BN100" i="33" s="1"/>
  <c r="BO100" i="33" s="1"/>
  <c r="BP100" i="33" s="1"/>
  <c r="BQ100" i="33" s="1"/>
  <c r="BR100" i="33" s="1"/>
  <c r="BS100" i="33" s="1"/>
  <c r="BT100" i="33" s="1"/>
  <c r="BU100" i="33" s="1"/>
  <c r="BV100" i="33" s="1"/>
  <c r="BW100" i="33" s="1"/>
  <c r="BX100" i="33" s="1"/>
  <c r="BY100" i="33" s="1"/>
  <c r="BZ100" i="33" s="1"/>
  <c r="CA100" i="33" s="1"/>
  <c r="CB100" i="33" s="1"/>
  <c r="CC100" i="33" s="1"/>
  <c r="CD100" i="33" s="1"/>
  <c r="CE100" i="33" s="1"/>
  <c r="CF100" i="33" s="1"/>
  <c r="AO40" i="33"/>
  <c r="E40" i="33" s="1"/>
  <c r="E99" i="33" s="1"/>
  <c r="AR39" i="33"/>
  <c r="H39" i="33" s="1"/>
  <c r="BM98" i="33" s="1"/>
  <c r="BN98" i="33" s="1"/>
  <c r="BO98" i="33" s="1"/>
  <c r="BP98" i="33" s="1"/>
  <c r="BQ98" i="33" s="1"/>
  <c r="BR98" i="33" s="1"/>
  <c r="BS98" i="33" s="1"/>
  <c r="BT98" i="33" s="1"/>
  <c r="BU98" i="33" s="1"/>
  <c r="BV98" i="33" s="1"/>
  <c r="BW98" i="33" s="1"/>
  <c r="BX98" i="33" s="1"/>
  <c r="BY98" i="33" s="1"/>
  <c r="BZ98" i="33" s="1"/>
  <c r="CA98" i="33" s="1"/>
  <c r="CB98" i="33" s="1"/>
  <c r="CC98" i="33" s="1"/>
  <c r="CD98" i="33" s="1"/>
  <c r="CE98" i="33" s="1"/>
  <c r="CF98" i="33" s="1"/>
  <c r="AO37" i="33"/>
  <c r="E37" i="33" s="1"/>
  <c r="E96" i="33" s="1"/>
  <c r="AQ36" i="33"/>
  <c r="G36" i="33" s="1"/>
  <c r="AS95" i="33" s="1"/>
  <c r="AT95" i="33" s="1"/>
  <c r="AU95" i="33" s="1"/>
  <c r="AV95" i="33" s="1"/>
  <c r="AW95" i="33" s="1"/>
  <c r="AX95" i="33" s="1"/>
  <c r="AY95" i="33" s="1"/>
  <c r="AZ95" i="33" s="1"/>
  <c r="BA95" i="33" s="1"/>
  <c r="BB95" i="33" s="1"/>
  <c r="BC95" i="33" s="1"/>
  <c r="BD95" i="33" s="1"/>
  <c r="BE95" i="33" s="1"/>
  <c r="BF95" i="33" s="1"/>
  <c r="BG95" i="33" s="1"/>
  <c r="BH95" i="33" s="1"/>
  <c r="BI95" i="33" s="1"/>
  <c r="BJ95" i="33" s="1"/>
  <c r="BK95" i="33" s="1"/>
  <c r="BL95" i="33" s="1"/>
  <c r="AR71" i="33"/>
  <c r="H71" i="33" s="1"/>
  <c r="BM130" i="33" s="1"/>
  <c r="AS70" i="33"/>
  <c r="I70" i="33" s="1"/>
  <c r="CG129" i="33" s="1"/>
  <c r="CH129" i="33" s="1"/>
  <c r="CI129" i="33" s="1"/>
  <c r="CJ129" i="33" s="1"/>
  <c r="CK129" i="33" s="1"/>
  <c r="CL129" i="33" s="1"/>
  <c r="CM129" i="33" s="1"/>
  <c r="CN129" i="33" s="1"/>
  <c r="CO129" i="33" s="1"/>
  <c r="CP129" i="33" s="1"/>
  <c r="AP69" i="33"/>
  <c r="F69" i="33" s="1"/>
  <c r="Y128" i="33" s="1"/>
  <c r="Z128" i="33" s="1"/>
  <c r="AA128" i="33" s="1"/>
  <c r="AB128" i="33" s="1"/>
  <c r="AC128" i="33" s="1"/>
  <c r="AD128" i="33" s="1"/>
  <c r="AE128" i="33" s="1"/>
  <c r="AF128" i="33" s="1"/>
  <c r="AG128" i="33" s="1"/>
  <c r="AH128" i="33" s="1"/>
  <c r="AI128" i="33" s="1"/>
  <c r="AJ128" i="33" s="1"/>
  <c r="AK128" i="33" s="1"/>
  <c r="AL128" i="33" s="1"/>
  <c r="AM128" i="33" s="1"/>
  <c r="AN128" i="33" s="1"/>
  <c r="AO128" i="33" s="1"/>
  <c r="AP128" i="33" s="1"/>
  <c r="AQ128" i="33" s="1"/>
  <c r="AR128" i="33" s="1"/>
  <c r="AV68" i="33"/>
  <c r="L68" i="33" s="1"/>
  <c r="CZ127" i="33" s="1"/>
  <c r="E64" i="33" l="1"/>
  <c r="E123" i="33" s="1"/>
  <c r="F123" i="33" s="1"/>
  <c r="G123" i="33" s="1"/>
  <c r="H123" i="33" s="1"/>
  <c r="I123" i="33" s="1"/>
  <c r="J123" i="33" s="1"/>
  <c r="K123" i="33" s="1"/>
  <c r="L123" i="33" s="1"/>
  <c r="M123" i="33" s="1"/>
  <c r="N123" i="33" s="1"/>
  <c r="O123" i="33" s="1"/>
  <c r="P123" i="33" s="1"/>
  <c r="Q123" i="33" s="1"/>
  <c r="R123" i="33" s="1"/>
  <c r="S123" i="33" s="1"/>
  <c r="T123" i="33" s="1"/>
  <c r="U123" i="33" s="1"/>
  <c r="V123" i="33" s="1"/>
  <c r="W123" i="33" s="1"/>
  <c r="X123" i="33" s="1"/>
  <c r="AS166" i="33"/>
  <c r="I166" i="33" s="1"/>
  <c r="CG170" i="33" s="1"/>
  <c r="CH170" i="33" s="1"/>
  <c r="CI170" i="33" s="1"/>
  <c r="CJ170" i="33" s="1"/>
  <c r="CK170" i="33" s="1"/>
  <c r="CL170" i="33" s="1"/>
  <c r="CM170" i="33" s="1"/>
  <c r="CN170" i="33" s="1"/>
  <c r="CO170" i="33" s="1"/>
  <c r="CP170" i="33" s="1"/>
  <c r="AQ166" i="33"/>
  <c r="G166" i="33" s="1"/>
  <c r="AS170" i="33" s="1"/>
  <c r="AT170" i="33" s="1"/>
  <c r="AU170" i="33" s="1"/>
  <c r="AV170" i="33" s="1"/>
  <c r="AW170" i="33" s="1"/>
  <c r="AX170" i="33" s="1"/>
  <c r="AY170" i="33" s="1"/>
  <c r="AZ170" i="33" s="1"/>
  <c r="BA170" i="33" s="1"/>
  <c r="BB170" i="33" s="1"/>
  <c r="BC170" i="33" s="1"/>
  <c r="BD170" i="33" s="1"/>
  <c r="BE170" i="33" s="1"/>
  <c r="BF170" i="33" s="1"/>
  <c r="BG170" i="33" s="1"/>
  <c r="BH170" i="33" s="1"/>
  <c r="BI170" i="33" s="1"/>
  <c r="BJ170" i="33" s="1"/>
  <c r="BK170" i="33" s="1"/>
  <c r="BL170" i="33" s="1"/>
  <c r="AU166" i="33"/>
  <c r="K166" i="33" s="1"/>
  <c r="CV170" i="33" s="1"/>
  <c r="CW170" i="33" s="1"/>
  <c r="CX170" i="33" s="1"/>
  <c r="CY170" i="33" s="1"/>
  <c r="AP157" i="33"/>
  <c r="F157" i="33" s="1"/>
  <c r="Y161" i="33" s="1"/>
  <c r="Z161" i="33" s="1"/>
  <c r="AA161" i="33" s="1"/>
  <c r="AB161" i="33" s="1"/>
  <c r="AC161" i="33" s="1"/>
  <c r="AD161" i="33" s="1"/>
  <c r="AE161" i="33" s="1"/>
  <c r="AF161" i="33" s="1"/>
  <c r="AG161" i="33" s="1"/>
  <c r="AH161" i="33" s="1"/>
  <c r="AI161" i="33" s="1"/>
  <c r="AJ161" i="33" s="1"/>
  <c r="AK161" i="33" s="1"/>
  <c r="AL161" i="33" s="1"/>
  <c r="AM161" i="33" s="1"/>
  <c r="AN161" i="33" s="1"/>
  <c r="AO161" i="33" s="1"/>
  <c r="AP161" i="33" s="1"/>
  <c r="AQ161" i="33" s="1"/>
  <c r="AR161" i="33" s="1"/>
  <c r="AR166" i="33"/>
  <c r="H166" i="33" s="1"/>
  <c r="BM170" i="33" s="1"/>
  <c r="BN170" i="33" s="1"/>
  <c r="BO170" i="33" s="1"/>
  <c r="BP170" i="33" s="1"/>
  <c r="BQ170" i="33" s="1"/>
  <c r="BR170" i="33" s="1"/>
  <c r="BS170" i="33" s="1"/>
  <c r="BT170" i="33" s="1"/>
  <c r="BU170" i="33" s="1"/>
  <c r="BV170" i="33" s="1"/>
  <c r="BW170" i="33" s="1"/>
  <c r="BX170" i="33" s="1"/>
  <c r="BY170" i="33" s="1"/>
  <c r="BZ170" i="33" s="1"/>
  <c r="CA170" i="33" s="1"/>
  <c r="CB170" i="33" s="1"/>
  <c r="CC170" i="33" s="1"/>
  <c r="CD170" i="33" s="1"/>
  <c r="CE170" i="33" s="1"/>
  <c r="CF170" i="33" s="1"/>
  <c r="AT166" i="33"/>
  <c r="J166" i="33" s="1"/>
  <c r="CQ170" i="33" s="1"/>
  <c r="CR170" i="33" s="1"/>
  <c r="CS170" i="33" s="1"/>
  <c r="CT170" i="33" s="1"/>
  <c r="CU170" i="33" s="1"/>
  <c r="AO166" i="33"/>
  <c r="E166" i="33" s="1"/>
  <c r="E170" i="33" s="1"/>
  <c r="F170" i="33" s="1"/>
  <c r="G170" i="33" s="1"/>
  <c r="H170" i="33" s="1"/>
  <c r="I170" i="33" s="1"/>
  <c r="J170" i="33" s="1"/>
  <c r="K170" i="33" s="1"/>
  <c r="L170" i="33" s="1"/>
  <c r="M170" i="33" s="1"/>
  <c r="N170" i="33" s="1"/>
  <c r="O170" i="33" s="1"/>
  <c r="P170" i="33" s="1"/>
  <c r="Q170" i="33" s="1"/>
  <c r="R170" i="33" s="1"/>
  <c r="S170" i="33" s="1"/>
  <c r="T170" i="33" s="1"/>
  <c r="U170" i="33" s="1"/>
  <c r="V170" i="33" s="1"/>
  <c r="W170" i="33" s="1"/>
  <c r="X170" i="33" s="1"/>
  <c r="AQ157" i="33"/>
  <c r="G157" i="33" s="1"/>
  <c r="AS161" i="33" s="1"/>
  <c r="AT161" i="33" s="1"/>
  <c r="AU161" i="33" s="1"/>
  <c r="AV161" i="33" s="1"/>
  <c r="AW161" i="33" s="1"/>
  <c r="AX161" i="33" s="1"/>
  <c r="AY161" i="33" s="1"/>
  <c r="AZ161" i="33" s="1"/>
  <c r="BA161" i="33" s="1"/>
  <c r="BB161" i="33" s="1"/>
  <c r="BC161" i="33" s="1"/>
  <c r="BD161" i="33" s="1"/>
  <c r="BE161" i="33" s="1"/>
  <c r="BF161" i="33" s="1"/>
  <c r="BG161" i="33" s="1"/>
  <c r="BH161" i="33" s="1"/>
  <c r="BI161" i="33" s="1"/>
  <c r="BJ161" i="33" s="1"/>
  <c r="BK161" i="33" s="1"/>
  <c r="BL161" i="33" s="1"/>
  <c r="AU157" i="33"/>
  <c r="K157" i="33" s="1"/>
  <c r="CV161" i="33" s="1"/>
  <c r="CW161" i="33" s="1"/>
  <c r="CX161" i="33" s="1"/>
  <c r="CY161" i="33" s="1"/>
  <c r="AV166" i="33"/>
  <c r="L166" i="33" s="1"/>
  <c r="CZ170" i="33" s="1"/>
  <c r="AP166" i="33"/>
  <c r="F166" i="33" s="1"/>
  <c r="Y170" i="33" s="1"/>
  <c r="Z170" i="33" s="1"/>
  <c r="AA170" i="33" s="1"/>
  <c r="AB170" i="33" s="1"/>
  <c r="AC170" i="33" s="1"/>
  <c r="AD170" i="33" s="1"/>
  <c r="AE170" i="33" s="1"/>
  <c r="AF170" i="33" s="1"/>
  <c r="AG170" i="33" s="1"/>
  <c r="AH170" i="33" s="1"/>
  <c r="AI170" i="33" s="1"/>
  <c r="AJ170" i="33" s="1"/>
  <c r="AK170" i="33" s="1"/>
  <c r="AL170" i="33" s="1"/>
  <c r="AM170" i="33" s="1"/>
  <c r="AN170" i="33" s="1"/>
  <c r="AO170" i="33" s="1"/>
  <c r="AP170" i="33" s="1"/>
  <c r="AQ170" i="33" s="1"/>
  <c r="AR170" i="33" s="1"/>
  <c r="AS157" i="33"/>
  <c r="I157" i="33" s="1"/>
  <c r="CG161" i="33" s="1"/>
  <c r="CH161" i="33" s="1"/>
  <c r="CI161" i="33" s="1"/>
  <c r="CJ161" i="33" s="1"/>
  <c r="CK161" i="33" s="1"/>
  <c r="CL161" i="33" s="1"/>
  <c r="CM161" i="33" s="1"/>
  <c r="CN161" i="33" s="1"/>
  <c r="CO161" i="33" s="1"/>
  <c r="CP161" i="33" s="1"/>
  <c r="AV157" i="33"/>
  <c r="L157" i="33" s="1"/>
  <c r="CZ161" i="33" s="1"/>
  <c r="F161" i="33"/>
  <c r="G161" i="33" s="1"/>
  <c r="H161" i="33" s="1"/>
  <c r="I161" i="33" s="1"/>
  <c r="J161" i="33" s="1"/>
  <c r="K161" i="33" s="1"/>
  <c r="L161" i="33" s="1"/>
  <c r="M161" i="33" s="1"/>
  <c r="N161" i="33" s="1"/>
  <c r="O161" i="33" s="1"/>
  <c r="P161" i="33" s="1"/>
  <c r="Q161" i="33" s="1"/>
  <c r="R161" i="33" s="1"/>
  <c r="S161" i="33" s="1"/>
  <c r="T161" i="33" s="1"/>
  <c r="U161" i="33" s="1"/>
  <c r="V161" i="33" s="1"/>
  <c r="W161" i="33" s="1"/>
  <c r="X161" i="33" s="1"/>
  <c r="DC170" i="33"/>
  <c r="DD170" i="33" s="1"/>
  <c r="DE170" i="33" s="1"/>
  <c r="DF170" i="33" s="1"/>
  <c r="DG170" i="33" s="1"/>
  <c r="DH170" i="33" s="1"/>
  <c r="DI170" i="33" s="1"/>
  <c r="DJ170" i="33" s="1"/>
  <c r="DK170" i="33" s="1"/>
  <c r="DL170" i="33" s="1"/>
  <c r="DM170" i="33" s="1"/>
  <c r="DN170" i="33" s="1"/>
  <c r="DO170" i="33" s="1"/>
  <c r="DP170" i="33" s="1"/>
  <c r="DQ170" i="33" s="1"/>
  <c r="DR170" i="33" s="1"/>
  <c r="DS170" i="33" s="1"/>
  <c r="DT170" i="33" s="1"/>
  <c r="DU170" i="33" s="1"/>
  <c r="DC161" i="33"/>
  <c r="DD161" i="33" s="1"/>
  <c r="DE161" i="33" s="1"/>
  <c r="DF161" i="33" s="1"/>
  <c r="DG161" i="33" s="1"/>
  <c r="DH161" i="33" s="1"/>
  <c r="DI161" i="33" s="1"/>
  <c r="DJ161" i="33" s="1"/>
  <c r="DK161" i="33" s="1"/>
  <c r="DL161" i="33" s="1"/>
  <c r="DM161" i="33" s="1"/>
  <c r="DN161" i="33" s="1"/>
  <c r="DO161" i="33" s="1"/>
  <c r="DP161" i="33" s="1"/>
  <c r="DQ161" i="33" s="1"/>
  <c r="DR161" i="33" s="1"/>
  <c r="DS161" i="33" s="1"/>
  <c r="DT161" i="33" s="1"/>
  <c r="DU161" i="33" s="1"/>
  <c r="DC93" i="33"/>
  <c r="DD93" i="33" s="1"/>
  <c r="DE93" i="33" s="1"/>
  <c r="DF93" i="33" s="1"/>
  <c r="DG93" i="33" s="1"/>
  <c r="DH93" i="33" s="1"/>
  <c r="DI93" i="33" s="1"/>
  <c r="DJ93" i="33" s="1"/>
  <c r="DK93" i="33" s="1"/>
  <c r="DL93" i="33" s="1"/>
  <c r="DM93" i="33" s="1"/>
  <c r="DN93" i="33" s="1"/>
  <c r="DO93" i="33" s="1"/>
  <c r="DP93" i="33" s="1"/>
  <c r="DQ93" i="33" s="1"/>
  <c r="DR93" i="33" s="1"/>
  <c r="DS93" i="33" s="1"/>
  <c r="DT93" i="33" s="1"/>
  <c r="DU93" i="33" s="1"/>
  <c r="E34" i="33"/>
  <c r="E93" i="33" s="1"/>
  <c r="E71" i="33"/>
  <c r="E130" i="33" s="1"/>
  <c r="AP148" i="33"/>
  <c r="F148" i="33" s="1"/>
  <c r="Y152" i="33" s="1"/>
  <c r="Z152" i="33" s="1"/>
  <c r="AA152" i="33" s="1"/>
  <c r="AB152" i="33" s="1"/>
  <c r="AC152" i="33" s="1"/>
  <c r="AD152" i="33" s="1"/>
  <c r="AE152" i="33" s="1"/>
  <c r="AF152" i="33" s="1"/>
  <c r="AG152" i="33" s="1"/>
  <c r="AH152" i="33" s="1"/>
  <c r="AI152" i="33" s="1"/>
  <c r="AJ152" i="33" s="1"/>
  <c r="AK152" i="33" s="1"/>
  <c r="AL152" i="33" s="1"/>
  <c r="AM152" i="33" s="1"/>
  <c r="AN152" i="33" s="1"/>
  <c r="AO152" i="33" s="1"/>
  <c r="AP152" i="33" s="1"/>
  <c r="AQ152" i="33" s="1"/>
  <c r="AR152" i="33" s="1"/>
  <c r="AT148" i="33"/>
  <c r="J148" i="33" s="1"/>
  <c r="CQ152" i="33" s="1"/>
  <c r="CR152" i="33" s="1"/>
  <c r="CS152" i="33" s="1"/>
  <c r="CT152" i="33" s="1"/>
  <c r="CU152" i="33" s="1"/>
  <c r="AU139" i="33"/>
  <c r="K139" i="33" s="1"/>
  <c r="CV143" i="33" s="1"/>
  <c r="CW143" i="33" s="1"/>
  <c r="CX143" i="33" s="1"/>
  <c r="CY143" i="33" s="1"/>
  <c r="AT139" i="33"/>
  <c r="J139" i="33" s="1"/>
  <c r="CQ143" i="33" s="1"/>
  <c r="CR143" i="33" s="1"/>
  <c r="CS143" i="33" s="1"/>
  <c r="CT143" i="33" s="1"/>
  <c r="CU143" i="33" s="1"/>
  <c r="AR148" i="33"/>
  <c r="H148" i="33" s="1"/>
  <c r="BM152" i="33" s="1"/>
  <c r="BN152" i="33" s="1"/>
  <c r="BO152" i="33" s="1"/>
  <c r="BP152" i="33" s="1"/>
  <c r="BQ152" i="33" s="1"/>
  <c r="BR152" i="33" s="1"/>
  <c r="BS152" i="33" s="1"/>
  <c r="BT152" i="33" s="1"/>
  <c r="BU152" i="33" s="1"/>
  <c r="BV152" i="33" s="1"/>
  <c r="BW152" i="33" s="1"/>
  <c r="BX152" i="33" s="1"/>
  <c r="BY152" i="33" s="1"/>
  <c r="BZ152" i="33" s="1"/>
  <c r="CA152" i="33" s="1"/>
  <c r="CB152" i="33" s="1"/>
  <c r="CC152" i="33" s="1"/>
  <c r="CD152" i="33" s="1"/>
  <c r="CE152" i="33" s="1"/>
  <c r="CF152" i="33" s="1"/>
  <c r="AS148" i="33"/>
  <c r="I148" i="33" s="1"/>
  <c r="CG152" i="33" s="1"/>
  <c r="CH152" i="33" s="1"/>
  <c r="CI152" i="33" s="1"/>
  <c r="CJ152" i="33" s="1"/>
  <c r="CK152" i="33" s="1"/>
  <c r="CL152" i="33" s="1"/>
  <c r="CM152" i="33" s="1"/>
  <c r="CN152" i="33" s="1"/>
  <c r="CO152" i="33" s="1"/>
  <c r="CP152" i="33" s="1"/>
  <c r="AQ148" i="33"/>
  <c r="G148" i="33" s="1"/>
  <c r="AS152" i="33" s="1"/>
  <c r="AT152" i="33" s="1"/>
  <c r="AU152" i="33" s="1"/>
  <c r="AV152" i="33" s="1"/>
  <c r="AW152" i="33" s="1"/>
  <c r="AX152" i="33" s="1"/>
  <c r="AY152" i="33" s="1"/>
  <c r="AZ152" i="33" s="1"/>
  <c r="BA152" i="33" s="1"/>
  <c r="BB152" i="33" s="1"/>
  <c r="BC152" i="33" s="1"/>
  <c r="BD152" i="33" s="1"/>
  <c r="BE152" i="33" s="1"/>
  <c r="BF152" i="33" s="1"/>
  <c r="BG152" i="33" s="1"/>
  <c r="BH152" i="33" s="1"/>
  <c r="BI152" i="33" s="1"/>
  <c r="BJ152" i="33" s="1"/>
  <c r="BK152" i="33" s="1"/>
  <c r="BL152" i="33" s="1"/>
  <c r="AO148" i="33"/>
  <c r="E148" i="33" s="1"/>
  <c r="E152" i="33" s="1"/>
  <c r="F152" i="33" s="1"/>
  <c r="G152" i="33" s="1"/>
  <c r="H152" i="33" s="1"/>
  <c r="I152" i="33" s="1"/>
  <c r="J152" i="33" s="1"/>
  <c r="K152" i="33" s="1"/>
  <c r="L152" i="33" s="1"/>
  <c r="M152" i="33" s="1"/>
  <c r="N152" i="33" s="1"/>
  <c r="O152" i="33" s="1"/>
  <c r="P152" i="33" s="1"/>
  <c r="Q152" i="33" s="1"/>
  <c r="R152" i="33" s="1"/>
  <c r="S152" i="33" s="1"/>
  <c r="T152" i="33" s="1"/>
  <c r="U152" i="33" s="1"/>
  <c r="V152" i="33" s="1"/>
  <c r="W152" i="33" s="1"/>
  <c r="X152" i="33" s="1"/>
  <c r="AR139" i="33"/>
  <c r="H139" i="33" s="1"/>
  <c r="BM143" i="33" s="1"/>
  <c r="BN143" i="33" s="1"/>
  <c r="BO143" i="33" s="1"/>
  <c r="BP143" i="33" s="1"/>
  <c r="BQ143" i="33" s="1"/>
  <c r="BR143" i="33" s="1"/>
  <c r="BS143" i="33" s="1"/>
  <c r="BT143" i="33" s="1"/>
  <c r="BU143" i="33" s="1"/>
  <c r="BV143" i="33" s="1"/>
  <c r="BW143" i="33" s="1"/>
  <c r="BX143" i="33" s="1"/>
  <c r="BY143" i="33" s="1"/>
  <c r="BZ143" i="33" s="1"/>
  <c r="CA143" i="33" s="1"/>
  <c r="CB143" i="33" s="1"/>
  <c r="CC143" i="33" s="1"/>
  <c r="CD143" i="33" s="1"/>
  <c r="CE143" i="33" s="1"/>
  <c r="CF143" i="33" s="1"/>
  <c r="AV139" i="33"/>
  <c r="L139" i="33" s="1"/>
  <c r="CZ143" i="33" s="1"/>
  <c r="AU148" i="33"/>
  <c r="K148" i="33" s="1"/>
  <c r="CV152" i="33" s="1"/>
  <c r="CW152" i="33" s="1"/>
  <c r="CX152" i="33" s="1"/>
  <c r="CY152" i="33" s="1"/>
  <c r="AV148" i="33"/>
  <c r="L148" i="33" s="1"/>
  <c r="CZ152" i="33" s="1"/>
  <c r="DC152" i="33"/>
  <c r="DD152" i="33" s="1"/>
  <c r="DE152" i="33" s="1"/>
  <c r="DF152" i="33" s="1"/>
  <c r="DG152" i="33" s="1"/>
  <c r="DH152" i="33" s="1"/>
  <c r="DI152" i="33" s="1"/>
  <c r="DJ152" i="33" s="1"/>
  <c r="DK152" i="33" s="1"/>
  <c r="DL152" i="33" s="1"/>
  <c r="DM152" i="33" s="1"/>
  <c r="DN152" i="33" s="1"/>
  <c r="DO152" i="33" s="1"/>
  <c r="DP152" i="33" s="1"/>
  <c r="DQ152" i="33" s="1"/>
  <c r="DR152" i="33" s="1"/>
  <c r="DS152" i="33" s="1"/>
  <c r="DT152" i="33" s="1"/>
  <c r="DU152" i="33" s="1"/>
  <c r="AO139" i="33"/>
  <c r="E139" i="33" s="1"/>
  <c r="E143" i="33" s="1"/>
  <c r="F143" i="33" s="1"/>
  <c r="G143" i="33" s="1"/>
  <c r="H143" i="33" s="1"/>
  <c r="I143" i="33" s="1"/>
  <c r="J143" i="33" s="1"/>
  <c r="K143" i="33" s="1"/>
  <c r="L143" i="33" s="1"/>
  <c r="M143" i="33" s="1"/>
  <c r="N143" i="33" s="1"/>
  <c r="O143" i="33" s="1"/>
  <c r="P143" i="33" s="1"/>
  <c r="Q143" i="33" s="1"/>
  <c r="R143" i="33" s="1"/>
  <c r="S143" i="33" s="1"/>
  <c r="T143" i="33" s="1"/>
  <c r="U143" i="33" s="1"/>
  <c r="V143" i="33" s="1"/>
  <c r="W143" i="33" s="1"/>
  <c r="X143" i="33" s="1"/>
  <c r="AQ139" i="33"/>
  <c r="G139" i="33" s="1"/>
  <c r="AS143" i="33" s="1"/>
  <c r="AT143" i="33" s="1"/>
  <c r="AU143" i="33" s="1"/>
  <c r="AV143" i="33" s="1"/>
  <c r="AW143" i="33" s="1"/>
  <c r="AX143" i="33" s="1"/>
  <c r="AY143" i="33" s="1"/>
  <c r="AZ143" i="33" s="1"/>
  <c r="BA143" i="33" s="1"/>
  <c r="BB143" i="33" s="1"/>
  <c r="BC143" i="33" s="1"/>
  <c r="BD143" i="33" s="1"/>
  <c r="BE143" i="33" s="1"/>
  <c r="BF143" i="33" s="1"/>
  <c r="BG143" i="33" s="1"/>
  <c r="BH143" i="33" s="1"/>
  <c r="BI143" i="33" s="1"/>
  <c r="BJ143" i="33" s="1"/>
  <c r="BK143" i="33" s="1"/>
  <c r="BL143" i="33" s="1"/>
  <c r="AP139" i="33"/>
  <c r="F139" i="33" s="1"/>
  <c r="Y143" i="33" s="1"/>
  <c r="Z143" i="33" s="1"/>
  <c r="AA143" i="33" s="1"/>
  <c r="AB143" i="33" s="1"/>
  <c r="AC143" i="33" s="1"/>
  <c r="AD143" i="33" s="1"/>
  <c r="AE143" i="33" s="1"/>
  <c r="AF143" i="33" s="1"/>
  <c r="AG143" i="33" s="1"/>
  <c r="AH143" i="33" s="1"/>
  <c r="AI143" i="33" s="1"/>
  <c r="AJ143" i="33" s="1"/>
  <c r="AK143" i="33" s="1"/>
  <c r="AL143" i="33" s="1"/>
  <c r="AM143" i="33" s="1"/>
  <c r="AN143" i="33" s="1"/>
  <c r="AO143" i="33" s="1"/>
  <c r="AP143" i="33" s="1"/>
  <c r="AQ143" i="33" s="1"/>
  <c r="AR143" i="33" s="1"/>
  <c r="DC143" i="33"/>
  <c r="DD143" i="33" s="1"/>
  <c r="DE143" i="33" s="1"/>
  <c r="DF143" i="33" s="1"/>
  <c r="DG143" i="33" s="1"/>
  <c r="DH143" i="33" s="1"/>
  <c r="DI143" i="33" s="1"/>
  <c r="DJ143" i="33" s="1"/>
  <c r="DK143" i="33" s="1"/>
  <c r="DL143" i="33" s="1"/>
  <c r="DM143" i="33" s="1"/>
  <c r="DN143" i="33" s="1"/>
  <c r="DO143" i="33" s="1"/>
  <c r="DP143" i="33" s="1"/>
  <c r="DQ143" i="33" s="1"/>
  <c r="DR143" i="33" s="1"/>
  <c r="DS143" i="33" s="1"/>
  <c r="DT143" i="33" s="1"/>
  <c r="DU143" i="33" s="1"/>
  <c r="AS139" i="33"/>
  <c r="I139" i="33" s="1"/>
  <c r="CG143" i="33" s="1"/>
  <c r="CH143" i="33" s="1"/>
  <c r="CI143" i="33" s="1"/>
  <c r="CJ143" i="33" s="1"/>
  <c r="CK143" i="33" s="1"/>
  <c r="CL143" i="33" s="1"/>
  <c r="CM143" i="33" s="1"/>
  <c r="CN143" i="33" s="1"/>
  <c r="CO143" i="33" s="1"/>
  <c r="CP143" i="33" s="1"/>
  <c r="AS128" i="33"/>
  <c r="AT128" i="33" s="1"/>
  <c r="AU128" i="33" s="1"/>
  <c r="AV128" i="33" s="1"/>
  <c r="AW128" i="33" s="1"/>
  <c r="AX128" i="33" s="1"/>
  <c r="AY128" i="33" s="1"/>
  <c r="AZ128" i="33" s="1"/>
  <c r="BA128" i="33" s="1"/>
  <c r="BB128" i="33" s="1"/>
  <c r="BC128" i="33" s="1"/>
  <c r="BD128" i="33" s="1"/>
  <c r="BE128" i="33" s="1"/>
  <c r="BF128" i="33" s="1"/>
  <c r="BG128" i="33" s="1"/>
  <c r="BH128" i="33" s="1"/>
  <c r="BI128" i="33" s="1"/>
  <c r="BJ128" i="33" s="1"/>
  <c r="BK128" i="33" s="1"/>
  <c r="BL128" i="33" s="1"/>
  <c r="A37" i="33"/>
  <c r="AZ36" i="33"/>
  <c r="BA36" i="33"/>
  <c r="BB36" i="33"/>
  <c r="BC36" i="33"/>
  <c r="AX36" i="33"/>
  <c r="BD36" i="33"/>
  <c r="BF36" i="33"/>
  <c r="BE36" i="33"/>
  <c r="BG36" i="33"/>
  <c r="AQ87" i="33"/>
  <c r="G87" i="33" s="1"/>
  <c r="X87" i="33"/>
  <c r="F111" i="33"/>
  <c r="G111" i="33" s="1"/>
  <c r="H111" i="33" s="1"/>
  <c r="I111" i="33" s="1"/>
  <c r="J111" i="33" s="1"/>
  <c r="K111" i="33" s="1"/>
  <c r="L111" i="33" s="1"/>
  <c r="M111" i="33" s="1"/>
  <c r="N111" i="33" s="1"/>
  <c r="O111" i="33" s="1"/>
  <c r="P111" i="33" s="1"/>
  <c r="Q111" i="33" s="1"/>
  <c r="R111" i="33" s="1"/>
  <c r="S111" i="33" s="1"/>
  <c r="T111" i="33" s="1"/>
  <c r="U111" i="33" s="1"/>
  <c r="V111" i="33" s="1"/>
  <c r="W111" i="33" s="1"/>
  <c r="X111" i="33" s="1"/>
  <c r="F102" i="33"/>
  <c r="G102" i="33" s="1"/>
  <c r="H102" i="33" s="1"/>
  <c r="I102" i="33" s="1"/>
  <c r="J102" i="33" s="1"/>
  <c r="K102" i="33" s="1"/>
  <c r="L102" i="33" s="1"/>
  <c r="M102" i="33" s="1"/>
  <c r="N102" i="33" s="1"/>
  <c r="O102" i="33" s="1"/>
  <c r="P102" i="33" s="1"/>
  <c r="Q102" i="33" s="1"/>
  <c r="R102" i="33" s="1"/>
  <c r="S102" i="33" s="1"/>
  <c r="T102" i="33" s="1"/>
  <c r="U102" i="33" s="1"/>
  <c r="V102" i="33" s="1"/>
  <c r="W102" i="33" s="1"/>
  <c r="X102" i="33" s="1"/>
  <c r="F121" i="33"/>
  <c r="G121" i="33" s="1"/>
  <c r="H121" i="33" s="1"/>
  <c r="I121" i="33" s="1"/>
  <c r="J121" i="33" s="1"/>
  <c r="K121" i="33" s="1"/>
  <c r="L121" i="33" s="1"/>
  <c r="M121" i="33" s="1"/>
  <c r="N121" i="33" s="1"/>
  <c r="O121" i="33" s="1"/>
  <c r="P121" i="33" s="1"/>
  <c r="Q121" i="33" s="1"/>
  <c r="R121" i="33" s="1"/>
  <c r="S121" i="33" s="1"/>
  <c r="T121" i="33" s="1"/>
  <c r="U121" i="33" s="1"/>
  <c r="V121" i="33" s="1"/>
  <c r="W121" i="33" s="1"/>
  <c r="X121" i="33" s="1"/>
  <c r="F118" i="33"/>
  <c r="G118" i="33" s="1"/>
  <c r="H118" i="33" s="1"/>
  <c r="I118" i="33" s="1"/>
  <c r="J118" i="33" s="1"/>
  <c r="K118" i="33" s="1"/>
  <c r="L118" i="33" s="1"/>
  <c r="M118" i="33" s="1"/>
  <c r="N118" i="33" s="1"/>
  <c r="O118" i="33" s="1"/>
  <c r="P118" i="33" s="1"/>
  <c r="Q118" i="33" s="1"/>
  <c r="R118" i="33" s="1"/>
  <c r="S118" i="33" s="1"/>
  <c r="T118" i="33" s="1"/>
  <c r="U118" i="33" s="1"/>
  <c r="V118" i="33" s="1"/>
  <c r="W118" i="33" s="1"/>
  <c r="X118" i="33" s="1"/>
  <c r="AS94" i="33"/>
  <c r="AT94" i="33" s="1"/>
  <c r="AU94" i="33" s="1"/>
  <c r="AV94" i="33" s="1"/>
  <c r="AW94" i="33" s="1"/>
  <c r="AX94" i="33" s="1"/>
  <c r="AY94" i="33" s="1"/>
  <c r="AZ94" i="33" s="1"/>
  <c r="BA94" i="33" s="1"/>
  <c r="BB94" i="33" s="1"/>
  <c r="BC94" i="33" s="1"/>
  <c r="BD94" i="33" s="1"/>
  <c r="BE94" i="33" s="1"/>
  <c r="BF94" i="33" s="1"/>
  <c r="BG94" i="33" s="1"/>
  <c r="BH94" i="33" s="1"/>
  <c r="BI94" i="33" s="1"/>
  <c r="BJ94" i="33" s="1"/>
  <c r="BK94" i="33" s="1"/>
  <c r="BL94" i="33" s="1"/>
  <c r="F117" i="33"/>
  <c r="G117" i="33" s="1"/>
  <c r="H117" i="33" s="1"/>
  <c r="I117" i="33" s="1"/>
  <c r="J117" i="33" s="1"/>
  <c r="K117" i="33" s="1"/>
  <c r="L117" i="33" s="1"/>
  <c r="M117" i="33" s="1"/>
  <c r="N117" i="33" s="1"/>
  <c r="O117" i="33" s="1"/>
  <c r="P117" i="33" s="1"/>
  <c r="Q117" i="33" s="1"/>
  <c r="R117" i="33" s="1"/>
  <c r="S117" i="33" s="1"/>
  <c r="T117" i="33" s="1"/>
  <c r="U117" i="33" s="1"/>
  <c r="V117" i="33" s="1"/>
  <c r="W117" i="33" s="1"/>
  <c r="X117" i="33" s="1"/>
  <c r="F124" i="33"/>
  <c r="G124" i="33" s="1"/>
  <c r="H124" i="33" s="1"/>
  <c r="I124" i="33" s="1"/>
  <c r="J124" i="33" s="1"/>
  <c r="K124" i="33" s="1"/>
  <c r="L124" i="33" s="1"/>
  <c r="M124" i="33" s="1"/>
  <c r="N124" i="33" s="1"/>
  <c r="O124" i="33" s="1"/>
  <c r="P124" i="33" s="1"/>
  <c r="Q124" i="33" s="1"/>
  <c r="R124" i="33" s="1"/>
  <c r="S124" i="33" s="1"/>
  <c r="T124" i="33" s="1"/>
  <c r="U124" i="33" s="1"/>
  <c r="V124" i="33" s="1"/>
  <c r="W124" i="33" s="1"/>
  <c r="X124" i="33" s="1"/>
  <c r="F127" i="33"/>
  <c r="F104" i="33"/>
  <c r="G104" i="33" s="1"/>
  <c r="H104" i="33" s="1"/>
  <c r="I104" i="33" s="1"/>
  <c r="J104" i="33" s="1"/>
  <c r="K104" i="33" s="1"/>
  <c r="L104" i="33" s="1"/>
  <c r="M104" i="33" s="1"/>
  <c r="N104" i="33" s="1"/>
  <c r="O104" i="33" s="1"/>
  <c r="P104" i="33" s="1"/>
  <c r="Q104" i="33" s="1"/>
  <c r="R104" i="33" s="1"/>
  <c r="S104" i="33" s="1"/>
  <c r="T104" i="33" s="1"/>
  <c r="U104" i="33" s="1"/>
  <c r="V104" i="33" s="1"/>
  <c r="W104" i="33" s="1"/>
  <c r="X104" i="33" s="1"/>
  <c r="F129" i="33"/>
  <c r="G129" i="33" s="1"/>
  <c r="H129" i="33" s="1"/>
  <c r="I129" i="33" s="1"/>
  <c r="J129" i="33" s="1"/>
  <c r="K129" i="33" s="1"/>
  <c r="L129" i="33" s="1"/>
  <c r="M129" i="33" s="1"/>
  <c r="N129" i="33" s="1"/>
  <c r="O129" i="33" s="1"/>
  <c r="P129" i="33" s="1"/>
  <c r="Q129" i="33" s="1"/>
  <c r="R129" i="33" s="1"/>
  <c r="S129" i="33" s="1"/>
  <c r="T129" i="33" s="1"/>
  <c r="U129" i="33" s="1"/>
  <c r="V129" i="33" s="1"/>
  <c r="W129" i="33" s="1"/>
  <c r="X129" i="33" s="1"/>
  <c r="F103" i="33"/>
  <c r="G103" i="33" s="1"/>
  <c r="H103" i="33" s="1"/>
  <c r="I103" i="33" s="1"/>
  <c r="J103" i="33" s="1"/>
  <c r="K103" i="33" s="1"/>
  <c r="L103" i="33" s="1"/>
  <c r="M103" i="33" s="1"/>
  <c r="N103" i="33" s="1"/>
  <c r="O103" i="33" s="1"/>
  <c r="P103" i="33" s="1"/>
  <c r="Q103" i="33" s="1"/>
  <c r="R103" i="33" s="1"/>
  <c r="S103" i="33" s="1"/>
  <c r="T103" i="33" s="1"/>
  <c r="U103" i="33" s="1"/>
  <c r="V103" i="33" s="1"/>
  <c r="W103" i="33" s="1"/>
  <c r="X103" i="33" s="1"/>
  <c r="F119" i="33"/>
  <c r="G119" i="33" s="1"/>
  <c r="H119" i="33" s="1"/>
  <c r="I119" i="33" s="1"/>
  <c r="J119" i="33" s="1"/>
  <c r="K119" i="33" s="1"/>
  <c r="L119" i="33" s="1"/>
  <c r="M119" i="33" s="1"/>
  <c r="N119" i="33" s="1"/>
  <c r="O119" i="33" s="1"/>
  <c r="P119" i="33" s="1"/>
  <c r="Q119" i="33" s="1"/>
  <c r="R119" i="33" s="1"/>
  <c r="S119" i="33" s="1"/>
  <c r="T119" i="33" s="1"/>
  <c r="U119" i="33" s="1"/>
  <c r="V119" i="33" s="1"/>
  <c r="W119" i="33" s="1"/>
  <c r="X119" i="33" s="1"/>
  <c r="F99" i="33"/>
  <c r="G99" i="33" s="1"/>
  <c r="H99" i="33" s="1"/>
  <c r="I99" i="33" s="1"/>
  <c r="J99" i="33" s="1"/>
  <c r="K99" i="33" s="1"/>
  <c r="L99" i="33" s="1"/>
  <c r="M99" i="33" s="1"/>
  <c r="N99" i="33" s="1"/>
  <c r="O99" i="33" s="1"/>
  <c r="P99" i="33" s="1"/>
  <c r="Q99" i="33" s="1"/>
  <c r="R99" i="33" s="1"/>
  <c r="S99" i="33" s="1"/>
  <c r="T99" i="33" s="1"/>
  <c r="U99" i="33" s="1"/>
  <c r="V99" i="33" s="1"/>
  <c r="W99" i="33" s="1"/>
  <c r="X99" i="33" s="1"/>
  <c r="F109" i="33"/>
  <c r="G109" i="33" s="1"/>
  <c r="H109" i="33" s="1"/>
  <c r="I109" i="33" s="1"/>
  <c r="J109" i="33" s="1"/>
  <c r="K109" i="33" s="1"/>
  <c r="L109" i="33" s="1"/>
  <c r="M109" i="33" s="1"/>
  <c r="N109" i="33" s="1"/>
  <c r="O109" i="33" s="1"/>
  <c r="P109" i="33" s="1"/>
  <c r="Q109" i="33" s="1"/>
  <c r="R109" i="33" s="1"/>
  <c r="S109" i="33" s="1"/>
  <c r="T109" i="33" s="1"/>
  <c r="U109" i="33" s="1"/>
  <c r="V109" i="33" s="1"/>
  <c r="W109" i="33" s="1"/>
  <c r="X109" i="33" s="1"/>
  <c r="F112" i="33"/>
  <c r="G112" i="33" s="1"/>
  <c r="H112" i="33" s="1"/>
  <c r="I112" i="33" s="1"/>
  <c r="J112" i="33" s="1"/>
  <c r="K112" i="33" s="1"/>
  <c r="L112" i="33" s="1"/>
  <c r="M112" i="33" s="1"/>
  <c r="N112" i="33" s="1"/>
  <c r="O112" i="33" s="1"/>
  <c r="P112" i="33" s="1"/>
  <c r="Q112" i="33" s="1"/>
  <c r="R112" i="33" s="1"/>
  <c r="S112" i="33" s="1"/>
  <c r="T112" i="33" s="1"/>
  <c r="U112" i="33" s="1"/>
  <c r="V112" i="33" s="1"/>
  <c r="W112" i="33" s="1"/>
  <c r="X112" i="33" s="1"/>
  <c r="F95" i="33"/>
  <c r="G95" i="33" s="1"/>
  <c r="H95" i="33" s="1"/>
  <c r="I95" i="33" s="1"/>
  <c r="J95" i="33" s="1"/>
  <c r="K95" i="33" s="1"/>
  <c r="L95" i="33" s="1"/>
  <c r="M95" i="33" s="1"/>
  <c r="N95" i="33" s="1"/>
  <c r="O95" i="33" s="1"/>
  <c r="P95" i="33" s="1"/>
  <c r="Q95" i="33" s="1"/>
  <c r="R95" i="33" s="1"/>
  <c r="S95" i="33" s="1"/>
  <c r="T95" i="33" s="1"/>
  <c r="U95" i="33" s="1"/>
  <c r="V95" i="33" s="1"/>
  <c r="W95" i="33" s="1"/>
  <c r="X95" i="33" s="1"/>
  <c r="F96" i="33"/>
  <c r="G96" i="33" s="1"/>
  <c r="H96" i="33" s="1"/>
  <c r="I96" i="33" s="1"/>
  <c r="J96" i="33" s="1"/>
  <c r="K96" i="33" s="1"/>
  <c r="L96" i="33" s="1"/>
  <c r="M96" i="33" s="1"/>
  <c r="N96" i="33" s="1"/>
  <c r="O96" i="33" s="1"/>
  <c r="P96" i="33" s="1"/>
  <c r="Q96" i="33" s="1"/>
  <c r="R96" i="33" s="1"/>
  <c r="S96" i="33" s="1"/>
  <c r="T96" i="33" s="1"/>
  <c r="U96" i="33" s="1"/>
  <c r="V96" i="33" s="1"/>
  <c r="W96" i="33" s="1"/>
  <c r="X96" i="33" s="1"/>
  <c r="F101" i="33"/>
  <c r="G101" i="33" s="1"/>
  <c r="H101" i="33" s="1"/>
  <c r="I101" i="33" s="1"/>
  <c r="J101" i="33" s="1"/>
  <c r="K101" i="33" s="1"/>
  <c r="L101" i="33" s="1"/>
  <c r="M101" i="33" s="1"/>
  <c r="N101" i="33" s="1"/>
  <c r="O101" i="33" s="1"/>
  <c r="P101" i="33" s="1"/>
  <c r="Q101" i="33" s="1"/>
  <c r="R101" i="33" s="1"/>
  <c r="S101" i="33" s="1"/>
  <c r="T101" i="33" s="1"/>
  <c r="U101" i="33" s="1"/>
  <c r="V101" i="33" s="1"/>
  <c r="W101" i="33" s="1"/>
  <c r="X101" i="33" s="1"/>
  <c r="F105" i="33"/>
  <c r="G105" i="33" s="1"/>
  <c r="H105" i="33" s="1"/>
  <c r="I105" i="33" s="1"/>
  <c r="J105" i="33" s="1"/>
  <c r="K105" i="33" s="1"/>
  <c r="L105" i="33" s="1"/>
  <c r="M105" i="33" s="1"/>
  <c r="N105" i="33" s="1"/>
  <c r="O105" i="33" s="1"/>
  <c r="P105" i="33" s="1"/>
  <c r="Q105" i="33" s="1"/>
  <c r="R105" i="33" s="1"/>
  <c r="S105" i="33" s="1"/>
  <c r="T105" i="33" s="1"/>
  <c r="U105" i="33" s="1"/>
  <c r="V105" i="33" s="1"/>
  <c r="W105" i="33" s="1"/>
  <c r="X105" i="33" s="1"/>
  <c r="F108" i="33"/>
  <c r="F94" i="33"/>
  <c r="G94" i="33" s="1"/>
  <c r="H94" i="33" s="1"/>
  <c r="I94" i="33" s="1"/>
  <c r="J94" i="33" s="1"/>
  <c r="K94" i="33" s="1"/>
  <c r="L94" i="33" s="1"/>
  <c r="M94" i="33" s="1"/>
  <c r="N94" i="33" s="1"/>
  <c r="O94" i="33" s="1"/>
  <c r="P94" i="33" s="1"/>
  <c r="Q94" i="33" s="1"/>
  <c r="R94" i="33" s="1"/>
  <c r="S94" i="33" s="1"/>
  <c r="T94" i="33" s="1"/>
  <c r="U94" i="33" s="1"/>
  <c r="V94" i="33" s="1"/>
  <c r="W94" i="33" s="1"/>
  <c r="X94" i="33" s="1"/>
  <c r="F125" i="33"/>
  <c r="G125" i="33" s="1"/>
  <c r="H125" i="33" s="1"/>
  <c r="I125" i="33" s="1"/>
  <c r="J125" i="33" s="1"/>
  <c r="K125" i="33" s="1"/>
  <c r="L125" i="33" s="1"/>
  <c r="M125" i="33" s="1"/>
  <c r="N125" i="33" s="1"/>
  <c r="O125" i="33" s="1"/>
  <c r="P125" i="33" s="1"/>
  <c r="Q125" i="33" s="1"/>
  <c r="R125" i="33" s="1"/>
  <c r="S125" i="33" s="1"/>
  <c r="T125" i="33" s="1"/>
  <c r="U125" i="33" s="1"/>
  <c r="V125" i="33" s="1"/>
  <c r="W125" i="33" s="1"/>
  <c r="X125" i="33" s="1"/>
  <c r="F106" i="33"/>
  <c r="G106" i="33" s="1"/>
  <c r="H106" i="33" s="1"/>
  <c r="I106" i="33" s="1"/>
  <c r="J106" i="33" s="1"/>
  <c r="K106" i="33" s="1"/>
  <c r="L106" i="33" s="1"/>
  <c r="M106" i="33" s="1"/>
  <c r="N106" i="33" s="1"/>
  <c r="O106" i="33" s="1"/>
  <c r="P106" i="33" s="1"/>
  <c r="Q106" i="33" s="1"/>
  <c r="R106" i="33" s="1"/>
  <c r="S106" i="33" s="1"/>
  <c r="T106" i="33" s="1"/>
  <c r="U106" i="33" s="1"/>
  <c r="V106" i="33" s="1"/>
  <c r="W106" i="33" s="1"/>
  <c r="X106" i="33" s="1"/>
  <c r="F114" i="33"/>
  <c r="G114" i="33" s="1"/>
  <c r="H114" i="33" s="1"/>
  <c r="I114" i="33" s="1"/>
  <c r="J114" i="33" s="1"/>
  <c r="K114" i="33" s="1"/>
  <c r="L114" i="33" s="1"/>
  <c r="M114" i="33" s="1"/>
  <c r="N114" i="33" s="1"/>
  <c r="O114" i="33" s="1"/>
  <c r="P114" i="33" s="1"/>
  <c r="Q114" i="33" s="1"/>
  <c r="R114" i="33" s="1"/>
  <c r="S114" i="33" s="1"/>
  <c r="T114" i="33" s="1"/>
  <c r="U114" i="33" s="1"/>
  <c r="V114" i="33" s="1"/>
  <c r="W114" i="33" s="1"/>
  <c r="X114" i="33" s="1"/>
  <c r="F122" i="33"/>
  <c r="G122" i="33" s="1"/>
  <c r="H122" i="33" s="1"/>
  <c r="I122" i="33" s="1"/>
  <c r="J122" i="33" s="1"/>
  <c r="K122" i="33" s="1"/>
  <c r="L122" i="33" s="1"/>
  <c r="M122" i="33" s="1"/>
  <c r="N122" i="33" s="1"/>
  <c r="O122" i="33" s="1"/>
  <c r="P122" i="33" s="1"/>
  <c r="Q122" i="33" s="1"/>
  <c r="R122" i="33" s="1"/>
  <c r="S122" i="33" s="1"/>
  <c r="T122" i="33" s="1"/>
  <c r="U122" i="33" s="1"/>
  <c r="V122" i="33" s="1"/>
  <c r="W122" i="33" s="1"/>
  <c r="X122" i="33" s="1"/>
  <c r="F128" i="33"/>
  <c r="G128" i="33" s="1"/>
  <c r="H128" i="33" s="1"/>
  <c r="I128" i="33" s="1"/>
  <c r="J128" i="33" s="1"/>
  <c r="K128" i="33" s="1"/>
  <c r="L128" i="33" s="1"/>
  <c r="M128" i="33" s="1"/>
  <c r="N128" i="33" s="1"/>
  <c r="O128" i="33" s="1"/>
  <c r="P128" i="33" s="1"/>
  <c r="Q128" i="33" s="1"/>
  <c r="R128" i="33" s="1"/>
  <c r="S128" i="33" s="1"/>
  <c r="T128" i="33" s="1"/>
  <c r="U128" i="33" s="1"/>
  <c r="V128" i="33" s="1"/>
  <c r="W128" i="33" s="1"/>
  <c r="X128" i="33" s="1"/>
  <c r="F116" i="33"/>
  <c r="G116" i="33" s="1"/>
  <c r="H116" i="33" s="1"/>
  <c r="I116" i="33" s="1"/>
  <c r="J116" i="33" s="1"/>
  <c r="K116" i="33" s="1"/>
  <c r="L116" i="33" s="1"/>
  <c r="M116" i="33" s="1"/>
  <c r="N116" i="33" s="1"/>
  <c r="O116" i="33" s="1"/>
  <c r="P116" i="33" s="1"/>
  <c r="Q116" i="33" s="1"/>
  <c r="R116" i="33" s="1"/>
  <c r="S116" i="33" s="1"/>
  <c r="T116" i="33" s="1"/>
  <c r="U116" i="33" s="1"/>
  <c r="V116" i="33" s="1"/>
  <c r="W116" i="33" s="1"/>
  <c r="X116" i="33" s="1"/>
  <c r="F107" i="33"/>
  <c r="G107" i="33" s="1"/>
  <c r="H107" i="33" s="1"/>
  <c r="I107" i="33" s="1"/>
  <c r="J107" i="33" s="1"/>
  <c r="K107" i="33" s="1"/>
  <c r="L107" i="33" s="1"/>
  <c r="M107" i="33" s="1"/>
  <c r="N107" i="33" s="1"/>
  <c r="O107" i="33" s="1"/>
  <c r="P107" i="33" s="1"/>
  <c r="Q107" i="33" s="1"/>
  <c r="R107" i="33" s="1"/>
  <c r="S107" i="33" s="1"/>
  <c r="T107" i="33" s="1"/>
  <c r="U107" i="33" s="1"/>
  <c r="V107" i="33" s="1"/>
  <c r="W107" i="33" s="1"/>
  <c r="X107" i="33" s="1"/>
  <c r="F98" i="33"/>
  <c r="G98" i="33" s="1"/>
  <c r="H98" i="33" s="1"/>
  <c r="I98" i="33" s="1"/>
  <c r="J98" i="33" s="1"/>
  <c r="K98" i="33" s="1"/>
  <c r="L98" i="33" s="1"/>
  <c r="M98" i="33" s="1"/>
  <c r="N98" i="33" s="1"/>
  <c r="O98" i="33" s="1"/>
  <c r="P98" i="33" s="1"/>
  <c r="Q98" i="33" s="1"/>
  <c r="R98" i="33" s="1"/>
  <c r="S98" i="33" s="1"/>
  <c r="T98" i="33" s="1"/>
  <c r="U98" i="33" s="1"/>
  <c r="V98" i="33" s="1"/>
  <c r="W98" i="33" s="1"/>
  <c r="X98" i="33" s="1"/>
  <c r="F115" i="33"/>
  <c r="G115" i="33" s="1"/>
  <c r="H115" i="33" s="1"/>
  <c r="I115" i="33" s="1"/>
  <c r="J115" i="33" s="1"/>
  <c r="K115" i="33" s="1"/>
  <c r="L115" i="33" s="1"/>
  <c r="M115" i="33" s="1"/>
  <c r="N115" i="33" s="1"/>
  <c r="O115" i="33" s="1"/>
  <c r="P115" i="33" s="1"/>
  <c r="Q115" i="33" s="1"/>
  <c r="R115" i="33" s="1"/>
  <c r="S115" i="33" s="1"/>
  <c r="T115" i="33" s="1"/>
  <c r="U115" i="33" s="1"/>
  <c r="V115" i="33" s="1"/>
  <c r="W115" i="33" s="1"/>
  <c r="X115" i="33" s="1"/>
  <c r="F113" i="33"/>
  <c r="G113" i="33" s="1"/>
  <c r="H113" i="33" s="1"/>
  <c r="I113" i="33" s="1"/>
  <c r="J113" i="33" s="1"/>
  <c r="K113" i="33" s="1"/>
  <c r="L113" i="33" s="1"/>
  <c r="M113" i="33" s="1"/>
  <c r="N113" i="33" s="1"/>
  <c r="O113" i="33" s="1"/>
  <c r="P113" i="33" s="1"/>
  <c r="Q113" i="33" s="1"/>
  <c r="R113" i="33" s="1"/>
  <c r="S113" i="33" s="1"/>
  <c r="T113" i="33" s="1"/>
  <c r="U113" i="33" s="1"/>
  <c r="V113" i="33" s="1"/>
  <c r="W113" i="33" s="1"/>
  <c r="X113" i="33" s="1"/>
  <c r="F120" i="33"/>
  <c r="G120" i="33" s="1"/>
  <c r="H120" i="33" s="1"/>
  <c r="I120" i="33" s="1"/>
  <c r="J120" i="33" s="1"/>
  <c r="K120" i="33" s="1"/>
  <c r="L120" i="33" s="1"/>
  <c r="M120" i="33" s="1"/>
  <c r="N120" i="33" s="1"/>
  <c r="O120" i="33" s="1"/>
  <c r="P120" i="33" s="1"/>
  <c r="Q120" i="33" s="1"/>
  <c r="R120" i="33" s="1"/>
  <c r="S120" i="33" s="1"/>
  <c r="T120" i="33" s="1"/>
  <c r="U120" i="33" s="1"/>
  <c r="V120" i="33" s="1"/>
  <c r="W120" i="33" s="1"/>
  <c r="X120" i="33" s="1"/>
  <c r="F97" i="33"/>
  <c r="G97" i="33" s="1"/>
  <c r="H97" i="33" s="1"/>
  <c r="I97" i="33" s="1"/>
  <c r="J97" i="33" s="1"/>
  <c r="K97" i="33" s="1"/>
  <c r="L97" i="33" s="1"/>
  <c r="M97" i="33" s="1"/>
  <c r="N97" i="33" s="1"/>
  <c r="O97" i="33" s="1"/>
  <c r="P97" i="33" s="1"/>
  <c r="Q97" i="33" s="1"/>
  <c r="R97" i="33" s="1"/>
  <c r="S97" i="33" s="1"/>
  <c r="T97" i="33" s="1"/>
  <c r="U97" i="33" s="1"/>
  <c r="V97" i="33" s="1"/>
  <c r="W97" i="33" s="1"/>
  <c r="X97" i="33" s="1"/>
  <c r="F110" i="33"/>
  <c r="G110" i="33" s="1"/>
  <c r="H110" i="33" s="1"/>
  <c r="I110" i="33" s="1"/>
  <c r="J110" i="33" s="1"/>
  <c r="K110" i="33" s="1"/>
  <c r="L110" i="33" s="1"/>
  <c r="M110" i="33" s="1"/>
  <c r="N110" i="33" s="1"/>
  <c r="O110" i="33" s="1"/>
  <c r="P110" i="33" s="1"/>
  <c r="Q110" i="33" s="1"/>
  <c r="R110" i="33" s="1"/>
  <c r="S110" i="33" s="1"/>
  <c r="T110" i="33" s="1"/>
  <c r="U110" i="33" s="1"/>
  <c r="V110" i="33" s="1"/>
  <c r="W110" i="33" s="1"/>
  <c r="X110" i="33" s="1"/>
  <c r="F100" i="33"/>
  <c r="G100" i="33" s="1"/>
  <c r="H100" i="33" s="1"/>
  <c r="I100" i="33" s="1"/>
  <c r="J100" i="33" s="1"/>
  <c r="K100" i="33" s="1"/>
  <c r="L100" i="33" s="1"/>
  <c r="M100" i="33" s="1"/>
  <c r="N100" i="33" s="1"/>
  <c r="O100" i="33" s="1"/>
  <c r="P100" i="33" s="1"/>
  <c r="Q100" i="33" s="1"/>
  <c r="R100" i="33" s="1"/>
  <c r="S100" i="33" s="1"/>
  <c r="T100" i="33" s="1"/>
  <c r="U100" i="33" s="1"/>
  <c r="V100" i="33" s="1"/>
  <c r="W100" i="33" s="1"/>
  <c r="X100" i="33" s="1"/>
  <c r="F126" i="33"/>
  <c r="G126" i="33" s="1"/>
  <c r="H126" i="33" s="1"/>
  <c r="I126" i="33" s="1"/>
  <c r="J126" i="33" s="1"/>
  <c r="K126" i="33" s="1"/>
  <c r="L126" i="33" s="1"/>
  <c r="M126" i="33" s="1"/>
  <c r="N126" i="33" s="1"/>
  <c r="O126" i="33" s="1"/>
  <c r="P126" i="33" s="1"/>
  <c r="Q126" i="33" s="1"/>
  <c r="R126" i="33" s="1"/>
  <c r="S126" i="33" s="1"/>
  <c r="T126" i="33" s="1"/>
  <c r="U126" i="33" s="1"/>
  <c r="V126" i="33" s="1"/>
  <c r="W126" i="33" s="1"/>
  <c r="X126" i="33" s="1"/>
  <c r="BN130" i="33"/>
  <c r="BO130" i="33" s="1"/>
  <c r="BP130" i="33" s="1"/>
  <c r="BQ130" i="33" s="1"/>
  <c r="BR130" i="33" s="1"/>
  <c r="BS130" i="33" s="1"/>
  <c r="BT130" i="33" s="1"/>
  <c r="BU130" i="33" s="1"/>
  <c r="BV130" i="33" s="1"/>
  <c r="BW130" i="33" s="1"/>
  <c r="BX130" i="33" s="1"/>
  <c r="BY130" i="33" s="1"/>
  <c r="BZ130" i="33" s="1"/>
  <c r="CA130" i="33" s="1"/>
  <c r="CB130" i="33" s="1"/>
  <c r="CC130" i="33" s="1"/>
  <c r="CD130" i="33" s="1"/>
  <c r="CE130" i="33" s="1"/>
  <c r="CF130" i="33" s="1"/>
  <c r="CH130" i="33" s="1"/>
  <c r="CI130" i="33" s="1"/>
  <c r="CJ130" i="33" s="1"/>
  <c r="CK130" i="33" s="1"/>
  <c r="CL130" i="33" s="1"/>
  <c r="CM130" i="33" s="1"/>
  <c r="CN130" i="33" s="1"/>
  <c r="CO130" i="33" s="1"/>
  <c r="CP130" i="33" s="1"/>
  <c r="CR130" i="33" s="1"/>
  <c r="CS130" i="33" s="1"/>
  <c r="CT130" i="33" s="1"/>
  <c r="CU130" i="33" s="1"/>
  <c r="CW130" i="33" s="1"/>
  <c r="CX130" i="33" s="1"/>
  <c r="CY130" i="33" s="1"/>
  <c r="DC130" i="33"/>
  <c r="DD130" i="33" s="1"/>
  <c r="DE130" i="33" s="1"/>
  <c r="DF130" i="33" s="1"/>
  <c r="DG130" i="33" s="1"/>
  <c r="DH130" i="33" s="1"/>
  <c r="DI130" i="33" s="1"/>
  <c r="DJ130" i="33" s="1"/>
  <c r="DK130" i="33" s="1"/>
  <c r="DL130" i="33" s="1"/>
  <c r="DM130" i="33" s="1"/>
  <c r="DN130" i="33" s="1"/>
  <c r="DO130" i="33" s="1"/>
  <c r="DP130" i="33" s="1"/>
  <c r="DQ130" i="33" s="1"/>
  <c r="DR130" i="33" s="1"/>
  <c r="DS130" i="33" s="1"/>
  <c r="DT130" i="33" s="1"/>
  <c r="DU130" i="33" s="1"/>
  <c r="EQ130" i="33"/>
  <c r="ER130" i="33" s="1"/>
  <c r="ES130" i="33" s="1"/>
  <c r="ET130" i="33" s="1"/>
  <c r="EU130" i="33" s="1"/>
  <c r="EV130" i="33" s="1"/>
  <c r="EW130" i="33" s="1"/>
  <c r="EX130" i="33" s="1"/>
  <c r="EY130" i="33" s="1"/>
  <c r="EZ130" i="33" s="1"/>
  <c r="FA130" i="33" s="1"/>
  <c r="FB130" i="33" s="1"/>
  <c r="FC130" i="33" s="1"/>
  <c r="FD130" i="33" s="1"/>
  <c r="FE130" i="33" s="1"/>
  <c r="FF130" i="33" s="1"/>
  <c r="FG130" i="33" s="1"/>
  <c r="FH130" i="33" s="1"/>
  <c r="FI130" i="33" s="1"/>
  <c r="FK130" i="33" s="1"/>
  <c r="FL130" i="33" s="1"/>
  <c r="FM130" i="33" s="1"/>
  <c r="FN130" i="33" s="1"/>
  <c r="FO130" i="33" s="1"/>
  <c r="FP130" i="33" s="1"/>
  <c r="FQ130" i="33" s="1"/>
  <c r="FR130" i="33" s="1"/>
  <c r="FS130" i="33" s="1"/>
  <c r="FT130" i="33" s="1"/>
  <c r="FU130" i="33" s="1"/>
  <c r="FV130" i="33" s="1"/>
  <c r="FW130" i="33" s="1"/>
  <c r="FX130" i="33" s="1"/>
  <c r="FY130" i="33" s="1"/>
  <c r="FZ130" i="33" s="1"/>
  <c r="GA130" i="33" s="1"/>
  <c r="GB130" i="33" s="1"/>
  <c r="GC130" i="33" s="1"/>
  <c r="GE130" i="33" s="1"/>
  <c r="GF130" i="33" s="1"/>
  <c r="GG130" i="33" s="1"/>
  <c r="GH130" i="33" s="1"/>
  <c r="GI130" i="33" s="1"/>
  <c r="GJ130" i="33" s="1"/>
  <c r="GK130" i="33" s="1"/>
  <c r="GL130" i="33" s="1"/>
  <c r="F87" i="33"/>
  <c r="R84" i="33"/>
  <c r="I84" i="33"/>
  <c r="D7" i="22"/>
  <c r="E7" i="22"/>
  <c r="F7" i="22"/>
  <c r="G7" i="22"/>
  <c r="H7" i="22"/>
  <c r="I7" i="22"/>
  <c r="M7" i="22"/>
  <c r="N7" i="22"/>
  <c r="O7" i="22"/>
  <c r="P7" i="22"/>
  <c r="Q7" i="22"/>
  <c r="R7" i="22"/>
  <c r="B170" i="33" l="1"/>
  <c r="B166" i="33" s="1"/>
  <c r="E19" i="53" s="1"/>
  <c r="C161" i="33"/>
  <c r="C157" i="33" s="1"/>
  <c r="B161" i="33"/>
  <c r="B157" i="33" s="1"/>
  <c r="E16" i="53" s="1"/>
  <c r="C170" i="33"/>
  <c r="C166" i="33" s="1"/>
  <c r="B120" i="33"/>
  <c r="B114" i="33"/>
  <c r="B112" i="33"/>
  <c r="B104" i="33"/>
  <c r="B45" i="33" s="1"/>
  <c r="B113" i="33"/>
  <c r="B54" i="33" s="1"/>
  <c r="B106" i="33"/>
  <c r="B47" i="33" s="1"/>
  <c r="B109" i="33"/>
  <c r="F130" i="33"/>
  <c r="G130" i="33" s="1"/>
  <c r="H130" i="33" s="1"/>
  <c r="I130" i="33" s="1"/>
  <c r="J130" i="33" s="1"/>
  <c r="K130" i="33" s="1"/>
  <c r="L130" i="33" s="1"/>
  <c r="M130" i="33" s="1"/>
  <c r="N130" i="33" s="1"/>
  <c r="O130" i="33" s="1"/>
  <c r="P130" i="33" s="1"/>
  <c r="Q130" i="33" s="1"/>
  <c r="R130" i="33" s="1"/>
  <c r="S130" i="33" s="1"/>
  <c r="T130" i="33" s="1"/>
  <c r="U130" i="33" s="1"/>
  <c r="V130" i="33" s="1"/>
  <c r="W130" i="33" s="1"/>
  <c r="X130" i="33" s="1"/>
  <c r="B123" i="33"/>
  <c r="B64" i="33" s="1"/>
  <c r="B125" i="33"/>
  <c r="B116" i="33"/>
  <c r="B118" i="33"/>
  <c r="B59" i="33" s="1"/>
  <c r="B115" i="33"/>
  <c r="B56" i="33" s="1"/>
  <c r="B99" i="33"/>
  <c r="B40" i="33" s="1"/>
  <c r="B121" i="33"/>
  <c r="B126" i="33"/>
  <c r="B67" i="33" s="1"/>
  <c r="B98" i="33"/>
  <c r="B39" i="33" s="1"/>
  <c r="B105" i="33"/>
  <c r="B124" i="33"/>
  <c r="B102" i="33"/>
  <c r="B43" i="33" s="1"/>
  <c r="B100" i="33"/>
  <c r="B107" i="33"/>
  <c r="B48" i="33" s="1"/>
  <c r="B101" i="33"/>
  <c r="B42" i="33" s="1"/>
  <c r="B119" i="33"/>
  <c r="B60" i="33" s="1"/>
  <c r="B111" i="33"/>
  <c r="B52" i="33" s="1"/>
  <c r="B110" i="33"/>
  <c r="B51" i="33" s="1"/>
  <c r="B128" i="33"/>
  <c r="B94" i="33"/>
  <c r="B35" i="33" s="1"/>
  <c r="B103" i="33"/>
  <c r="B44" i="33" s="1"/>
  <c r="B117" i="33"/>
  <c r="B58" i="33" s="1"/>
  <c r="B97" i="33"/>
  <c r="B38" i="33" s="1"/>
  <c r="B122" i="33"/>
  <c r="B95" i="33"/>
  <c r="B36" i="33" s="1"/>
  <c r="B129" i="33"/>
  <c r="B96" i="33"/>
  <c r="F93" i="33"/>
  <c r="G93" i="33" s="1"/>
  <c r="H93" i="33" s="1"/>
  <c r="I93" i="33" s="1"/>
  <c r="J93" i="33" s="1"/>
  <c r="K93" i="33" s="1"/>
  <c r="L93" i="33" s="1"/>
  <c r="M93" i="33" s="1"/>
  <c r="N93" i="33" s="1"/>
  <c r="O93" i="33" s="1"/>
  <c r="P93" i="33" s="1"/>
  <c r="Q93" i="33" s="1"/>
  <c r="R93" i="33" s="1"/>
  <c r="S93" i="33" s="1"/>
  <c r="T93" i="33" s="1"/>
  <c r="U93" i="33" s="1"/>
  <c r="V93" i="33" s="1"/>
  <c r="W93" i="33" s="1"/>
  <c r="X93" i="33" s="1"/>
  <c r="B152" i="33"/>
  <c r="B148" i="33" s="1"/>
  <c r="E13" i="53" s="1"/>
  <c r="C152" i="33"/>
  <c r="C148" i="33" s="1"/>
  <c r="B143" i="33"/>
  <c r="B139" i="33" s="1"/>
  <c r="E10" i="53" s="1"/>
  <c r="C143" i="33"/>
  <c r="C139" i="33" s="1"/>
  <c r="G127" i="33"/>
  <c r="B50" i="33"/>
  <c r="B66" i="33"/>
  <c r="B65" i="33"/>
  <c r="B53" i="33"/>
  <c r="B62" i="33"/>
  <c r="C126" i="33"/>
  <c r="C67" i="33" s="1"/>
  <c r="A38" i="33"/>
  <c r="AZ37" i="33"/>
  <c r="BA37" i="33"/>
  <c r="BB37" i="33"/>
  <c r="BC37" i="33"/>
  <c r="BD37" i="33"/>
  <c r="BF37" i="33"/>
  <c r="BE37" i="33"/>
  <c r="AX37" i="33"/>
  <c r="BG37" i="33"/>
  <c r="B46" i="33"/>
  <c r="AR87" i="33"/>
  <c r="Y87" i="33"/>
  <c r="C121" i="33"/>
  <c r="C62" i="33" s="1"/>
  <c r="C100" i="33"/>
  <c r="C41" i="33" s="1"/>
  <c r="C98" i="33"/>
  <c r="C39" i="33" s="1"/>
  <c r="C105" i="33"/>
  <c r="C46" i="33" s="1"/>
  <c r="C120" i="33"/>
  <c r="C61" i="33" s="1"/>
  <c r="C106" i="33"/>
  <c r="C47" i="33" s="1"/>
  <c r="C119" i="33"/>
  <c r="C60" i="33" s="1"/>
  <c r="C97" i="33"/>
  <c r="C38" i="33" s="1"/>
  <c r="C129" i="33"/>
  <c r="C70" i="33" s="1"/>
  <c r="C117" i="33"/>
  <c r="C58" i="33" s="1"/>
  <c r="C115" i="33"/>
  <c r="C56" i="33" s="1"/>
  <c r="C114" i="33"/>
  <c r="C55" i="33" s="1"/>
  <c r="C109" i="33"/>
  <c r="C50" i="33" s="1"/>
  <c r="G108" i="33"/>
  <c r="H108" i="33" s="1"/>
  <c r="I108" i="33" s="1"/>
  <c r="J108" i="33" s="1"/>
  <c r="K108" i="33" s="1"/>
  <c r="L108" i="33" s="1"/>
  <c r="M108" i="33" s="1"/>
  <c r="N108" i="33" s="1"/>
  <c r="O108" i="33" s="1"/>
  <c r="P108" i="33" s="1"/>
  <c r="Q108" i="33" s="1"/>
  <c r="R108" i="33" s="1"/>
  <c r="S108" i="33" s="1"/>
  <c r="T108" i="33" s="1"/>
  <c r="U108" i="33" s="1"/>
  <c r="V108" i="33" s="1"/>
  <c r="W108" i="33" s="1"/>
  <c r="X108" i="33" s="1"/>
  <c r="C99" i="33"/>
  <c r="C40" i="33" s="1"/>
  <c r="C104" i="33"/>
  <c r="C45" i="33" s="1"/>
  <c r="B63" i="33"/>
  <c r="C102" i="33"/>
  <c r="C43" i="33" s="1"/>
  <c r="B55" i="33"/>
  <c r="C113" i="33"/>
  <c r="C54" i="33" s="1"/>
  <c r="C107" i="33"/>
  <c r="C48" i="33" s="1"/>
  <c r="C128" i="33"/>
  <c r="C69" i="33" s="1"/>
  <c r="C125" i="33"/>
  <c r="C66" i="33" s="1"/>
  <c r="C101" i="33"/>
  <c r="C42" i="33" s="1"/>
  <c r="C95" i="33"/>
  <c r="C36" i="33" s="1"/>
  <c r="C111" i="33"/>
  <c r="C52" i="33" s="1"/>
  <c r="C110" i="33"/>
  <c r="C51" i="33" s="1"/>
  <c r="C112" i="33"/>
  <c r="C53" i="33" s="1"/>
  <c r="C103" i="33"/>
  <c r="C44" i="33" s="1"/>
  <c r="C124" i="33"/>
  <c r="C65" i="33" s="1"/>
  <c r="C123" i="33"/>
  <c r="C64" i="33" s="1"/>
  <c r="C116" i="33"/>
  <c r="C57" i="33" s="1"/>
  <c r="C122" i="33"/>
  <c r="C63" i="33" s="1"/>
  <c r="C94" i="33"/>
  <c r="C35" i="33" s="1"/>
  <c r="C96" i="33"/>
  <c r="C37" i="33" s="1"/>
  <c r="C118" i="33"/>
  <c r="C59" i="33" s="1"/>
  <c r="GO130" i="33"/>
  <c r="GP130" i="33" s="1"/>
  <c r="GQ130" i="33" s="1"/>
  <c r="GR130" i="33" s="1"/>
  <c r="GM130" i="33"/>
  <c r="S84" i="33"/>
  <c r="J84" i="33"/>
  <c r="B93" i="33" l="1"/>
  <c r="B130" i="33"/>
  <c r="B108" i="33"/>
  <c r="B49" i="33" s="1"/>
  <c r="B133" i="33"/>
  <c r="C93" i="33"/>
  <c r="C34" i="33" s="1"/>
  <c r="C54" i="36"/>
  <c r="C62" i="36"/>
  <c r="C66" i="36"/>
  <c r="C51" i="36"/>
  <c r="C34" i="36"/>
  <c r="C47" i="36"/>
  <c r="C35" i="36"/>
  <c r="C52" i="36"/>
  <c r="C46" i="36"/>
  <c r="C37" i="36"/>
  <c r="C53" i="36"/>
  <c r="C64" i="36"/>
  <c r="C55" i="36"/>
  <c r="C50" i="36"/>
  <c r="C57" i="36"/>
  <c r="C41" i="36"/>
  <c r="C39" i="36"/>
  <c r="C44" i="36"/>
  <c r="C65" i="36"/>
  <c r="C63" i="36"/>
  <c r="C43" i="36"/>
  <c r="C45" i="36"/>
  <c r="C61" i="36"/>
  <c r="C49" i="36"/>
  <c r="C38" i="36"/>
  <c r="C59" i="36"/>
  <c r="C42" i="36"/>
  <c r="C58" i="36"/>
  <c r="H127" i="33"/>
  <c r="B41" i="33"/>
  <c r="B57" i="33"/>
  <c r="B69" i="33"/>
  <c r="A39" i="33"/>
  <c r="AZ38" i="33"/>
  <c r="BA38" i="33"/>
  <c r="BB38" i="33"/>
  <c r="BC38" i="33"/>
  <c r="BD38" i="33"/>
  <c r="AX38" i="33"/>
  <c r="BF38" i="33"/>
  <c r="BE38" i="33"/>
  <c r="BG38" i="33"/>
  <c r="B37" i="33"/>
  <c r="B61" i="33"/>
  <c r="AS87" i="33"/>
  <c r="Z87" i="33"/>
  <c r="H87" i="33"/>
  <c r="B70" i="33"/>
  <c r="C130" i="33"/>
  <c r="C71" i="33" s="1"/>
  <c r="C108" i="33"/>
  <c r="C49" i="33" s="1"/>
  <c r="T84" i="33"/>
  <c r="K84" i="33"/>
  <c r="B34" i="33" l="1"/>
  <c r="C133" i="33"/>
  <c r="C69" i="36"/>
  <c r="C48" i="36"/>
  <c r="C60" i="36"/>
  <c r="C40" i="36"/>
  <c r="C36" i="36"/>
  <c r="C56" i="36"/>
  <c r="E7" i="53"/>
  <c r="C68" i="36"/>
  <c r="I127" i="33"/>
  <c r="B71" i="33"/>
  <c r="B73" i="33" s="1"/>
  <c r="A40" i="33"/>
  <c r="AZ39" i="33"/>
  <c r="BA39" i="33"/>
  <c r="BB39" i="33"/>
  <c r="BC39" i="33"/>
  <c r="BD39" i="33"/>
  <c r="BF39" i="33"/>
  <c r="AX39" i="33"/>
  <c r="BE39" i="33"/>
  <c r="BG39" i="33"/>
  <c r="AT87" i="33"/>
  <c r="AA87" i="33"/>
  <c r="I87" i="33"/>
  <c r="U84" i="33"/>
  <c r="L84" i="33"/>
  <c r="K13" i="53" l="1"/>
  <c r="K16" i="53"/>
  <c r="K19" i="53"/>
  <c r="B72" i="33"/>
  <c r="C33" i="36"/>
  <c r="F48" i="36" s="1"/>
  <c r="C70" i="36"/>
  <c r="C76" i="36" s="1"/>
  <c r="K10" i="53"/>
  <c r="J127" i="33"/>
  <c r="A41" i="33"/>
  <c r="AX40" i="33"/>
  <c r="AZ40" i="33"/>
  <c r="BA40" i="33"/>
  <c r="BB40" i="33"/>
  <c r="BC40" i="33"/>
  <c r="BD40" i="33"/>
  <c r="BF40" i="33"/>
  <c r="BE40" i="33"/>
  <c r="BG40" i="33"/>
  <c r="AU87" i="33"/>
  <c r="AB87" i="33"/>
  <c r="J87" i="33"/>
  <c r="B84" i="33"/>
  <c r="F62" i="36" l="1"/>
  <c r="F51" i="36"/>
  <c r="F46" i="36"/>
  <c r="F34" i="36"/>
  <c r="F39" i="36"/>
  <c r="F41" i="36"/>
  <c r="F47" i="36"/>
  <c r="F45" i="36"/>
  <c r="F50" i="36"/>
  <c r="F64" i="36"/>
  <c r="F35" i="36"/>
  <c r="F38" i="36"/>
  <c r="F52" i="36"/>
  <c r="F63" i="36"/>
  <c r="F54" i="36"/>
  <c r="F49" i="36"/>
  <c r="F55" i="36"/>
  <c r="F59" i="36"/>
  <c r="F42" i="36"/>
  <c r="F57" i="36"/>
  <c r="F44" i="36"/>
  <c r="F37" i="36"/>
  <c r="F65" i="36"/>
  <c r="F66" i="36"/>
  <c r="F53" i="36"/>
  <c r="F58" i="36"/>
  <c r="F61" i="36"/>
  <c r="F43" i="36"/>
  <c r="F56" i="36"/>
  <c r="F60" i="36"/>
  <c r="F40" i="36"/>
  <c r="F68" i="36"/>
  <c r="F70" i="36"/>
  <c r="F69" i="36"/>
  <c r="F36" i="36"/>
  <c r="K127" i="33"/>
  <c r="A42" i="33"/>
  <c r="AZ41" i="33"/>
  <c r="AX41" i="33"/>
  <c r="BA41" i="33"/>
  <c r="BB41" i="33"/>
  <c r="BC41" i="33"/>
  <c r="BD41" i="33"/>
  <c r="BF41" i="33"/>
  <c r="BE41" i="33"/>
  <c r="BG41" i="33"/>
  <c r="AV87" i="33"/>
  <c r="AC87" i="33"/>
  <c r="K87" i="33"/>
  <c r="L127" i="33" l="1"/>
  <c r="A43" i="33"/>
  <c r="AZ42" i="33"/>
  <c r="BA42" i="33"/>
  <c r="AX42" i="33"/>
  <c r="BB42" i="33"/>
  <c r="BC42" i="33"/>
  <c r="BD42" i="33"/>
  <c r="BF42" i="33"/>
  <c r="BE42" i="33"/>
  <c r="BG42" i="33"/>
  <c r="AD87" i="33"/>
  <c r="L87" i="33"/>
  <c r="B87" i="33" s="1"/>
  <c r="M127" i="33" l="1"/>
  <c r="N127" i="33" s="1"/>
  <c r="A44" i="33"/>
  <c r="AZ43" i="33"/>
  <c r="BA43" i="33"/>
  <c r="BB43" i="33"/>
  <c r="AX43" i="33"/>
  <c r="BC43" i="33"/>
  <c r="BD43" i="33"/>
  <c r="BF43" i="33"/>
  <c r="BE43" i="33"/>
  <c r="BG43" i="33"/>
  <c r="E62" i="22"/>
  <c r="D62" i="22"/>
  <c r="O62" i="22"/>
  <c r="N62" i="22"/>
  <c r="M62" i="22"/>
  <c r="C62" i="22"/>
  <c r="R62" i="22"/>
  <c r="Q62" i="22"/>
  <c r="P62" i="22"/>
  <c r="K62" i="22"/>
  <c r="I62" i="22"/>
  <c r="H62" i="22"/>
  <c r="G62" i="22"/>
  <c r="F62" i="22"/>
  <c r="B62" i="22"/>
  <c r="E61" i="22"/>
  <c r="M61" i="22"/>
  <c r="R61" i="22"/>
  <c r="Q61" i="22"/>
  <c r="P61" i="22"/>
  <c r="O61" i="22"/>
  <c r="L61" i="22"/>
  <c r="K61" i="22"/>
  <c r="I61" i="22"/>
  <c r="H61" i="22"/>
  <c r="G61" i="22"/>
  <c r="F61" i="22"/>
  <c r="D61" i="22"/>
  <c r="C61" i="22"/>
  <c r="B61" i="22"/>
  <c r="O60" i="22"/>
  <c r="E60" i="22"/>
  <c r="M60" i="22"/>
  <c r="C60" i="22"/>
  <c r="R60" i="22"/>
  <c r="Q60" i="22"/>
  <c r="P60" i="22"/>
  <c r="K60" i="22"/>
  <c r="I60" i="22"/>
  <c r="H60" i="22"/>
  <c r="G60" i="22"/>
  <c r="F60" i="22"/>
  <c r="B60" i="22"/>
  <c r="O59" i="22"/>
  <c r="E59" i="22"/>
  <c r="D59" i="22"/>
  <c r="C59" i="22"/>
  <c r="R59" i="22"/>
  <c r="Q59" i="22"/>
  <c r="P59" i="22"/>
  <c r="L59" i="22"/>
  <c r="K59" i="22"/>
  <c r="I59" i="22"/>
  <c r="H59" i="22"/>
  <c r="G59" i="22"/>
  <c r="B59" i="22"/>
  <c r="N58" i="22"/>
  <c r="M58" i="22"/>
  <c r="L58" i="22"/>
  <c r="R58" i="22"/>
  <c r="Q58" i="22"/>
  <c r="P58" i="22"/>
  <c r="O58" i="22"/>
  <c r="K58" i="22"/>
  <c r="I58" i="22"/>
  <c r="H58" i="22"/>
  <c r="G58" i="22"/>
  <c r="F58" i="22"/>
  <c r="D58" i="22"/>
  <c r="C58" i="22"/>
  <c r="B58" i="22"/>
  <c r="E57" i="22"/>
  <c r="M57" i="22"/>
  <c r="C57" i="22"/>
  <c r="R57" i="22"/>
  <c r="Q57" i="22"/>
  <c r="P57" i="22"/>
  <c r="O57" i="22"/>
  <c r="K57" i="22"/>
  <c r="I57" i="22"/>
  <c r="H57" i="22"/>
  <c r="G57" i="22"/>
  <c r="F57" i="22"/>
  <c r="B57" i="22"/>
  <c r="N56" i="22"/>
  <c r="D56" i="22"/>
  <c r="L56" i="22"/>
  <c r="R56" i="22"/>
  <c r="Q56" i="22"/>
  <c r="P56" i="22"/>
  <c r="O56" i="22"/>
  <c r="K56" i="22"/>
  <c r="I56" i="22"/>
  <c r="H56" i="22"/>
  <c r="G56" i="22"/>
  <c r="F56" i="22"/>
  <c r="C56" i="22"/>
  <c r="B56" i="22"/>
  <c r="M55" i="22"/>
  <c r="L55" i="22"/>
  <c r="R55" i="22"/>
  <c r="Q55" i="22"/>
  <c r="P55" i="22"/>
  <c r="O55" i="22"/>
  <c r="N55" i="22"/>
  <c r="K55" i="22"/>
  <c r="I55" i="22"/>
  <c r="H55" i="22"/>
  <c r="G55" i="22"/>
  <c r="F55" i="22"/>
  <c r="E55" i="22"/>
  <c r="D55" i="22"/>
  <c r="B55" i="22"/>
  <c r="D54" i="22"/>
  <c r="C54" i="22"/>
  <c r="R54" i="22"/>
  <c r="Q54" i="22"/>
  <c r="P54" i="22"/>
  <c r="O54" i="22"/>
  <c r="N54" i="22"/>
  <c r="K54" i="22"/>
  <c r="I54" i="22"/>
  <c r="H54" i="22"/>
  <c r="G54" i="22"/>
  <c r="F54" i="22"/>
  <c r="E54" i="22"/>
  <c r="B54" i="22"/>
  <c r="O53" i="22"/>
  <c r="E53" i="22"/>
  <c r="D53" i="22"/>
  <c r="R53" i="22"/>
  <c r="Q53" i="22"/>
  <c r="P53" i="22"/>
  <c r="L53" i="22"/>
  <c r="K53" i="22"/>
  <c r="I53" i="22"/>
  <c r="H53" i="22"/>
  <c r="G53" i="22"/>
  <c r="C53" i="22"/>
  <c r="B53" i="22"/>
  <c r="O52" i="22"/>
  <c r="E52" i="22"/>
  <c r="M52" i="22"/>
  <c r="C52" i="22"/>
  <c r="R52" i="22"/>
  <c r="Q52" i="22"/>
  <c r="P52" i="22"/>
  <c r="K52" i="22"/>
  <c r="I52" i="22"/>
  <c r="H52" i="22"/>
  <c r="G52" i="22"/>
  <c r="F52" i="22"/>
  <c r="B52" i="22"/>
  <c r="O51" i="22"/>
  <c r="M51" i="22"/>
  <c r="R51" i="22"/>
  <c r="Q51" i="22"/>
  <c r="P51" i="22"/>
  <c r="N51" i="22"/>
  <c r="L51" i="22"/>
  <c r="K51" i="22"/>
  <c r="I51" i="22"/>
  <c r="H51" i="22"/>
  <c r="G51" i="22"/>
  <c r="F51" i="22"/>
  <c r="E51" i="22"/>
  <c r="C51" i="22"/>
  <c r="B51" i="22"/>
  <c r="O50" i="22"/>
  <c r="M50" i="22"/>
  <c r="C50" i="22"/>
  <c r="R50" i="22"/>
  <c r="Q50" i="22"/>
  <c r="P50" i="22"/>
  <c r="N50" i="22"/>
  <c r="K50" i="22"/>
  <c r="I50" i="22"/>
  <c r="H50" i="22"/>
  <c r="G50" i="22"/>
  <c r="F50" i="22"/>
  <c r="E50" i="22"/>
  <c r="B50" i="22"/>
  <c r="O49" i="22"/>
  <c r="E49" i="22"/>
  <c r="M49" i="22"/>
  <c r="L49" i="22"/>
  <c r="R49" i="22"/>
  <c r="Q49" i="22"/>
  <c r="P49" i="22"/>
  <c r="K49" i="22"/>
  <c r="I49" i="22"/>
  <c r="H49" i="22"/>
  <c r="G49" i="22"/>
  <c r="F49" i="22"/>
  <c r="C49" i="22"/>
  <c r="B49" i="22"/>
  <c r="O48" i="22"/>
  <c r="E48" i="22"/>
  <c r="M48" i="22"/>
  <c r="C48" i="22"/>
  <c r="R48" i="22"/>
  <c r="Q48" i="22"/>
  <c r="P48" i="22"/>
  <c r="K48" i="22"/>
  <c r="I48" i="22"/>
  <c r="H48" i="22"/>
  <c r="G48" i="22"/>
  <c r="F48" i="22"/>
  <c r="B48" i="22"/>
  <c r="O47" i="22"/>
  <c r="M47" i="22"/>
  <c r="R47" i="22"/>
  <c r="Q47" i="22"/>
  <c r="P47" i="22"/>
  <c r="N47" i="22"/>
  <c r="L47" i="22"/>
  <c r="K47" i="22"/>
  <c r="I47" i="22"/>
  <c r="H47" i="22"/>
  <c r="G47" i="22"/>
  <c r="E47" i="22"/>
  <c r="D47" i="22"/>
  <c r="C47" i="22"/>
  <c r="B47" i="22"/>
  <c r="N46" i="22"/>
  <c r="M46" i="22"/>
  <c r="C46" i="22"/>
  <c r="R46" i="22"/>
  <c r="Q46" i="22"/>
  <c r="P46" i="22"/>
  <c r="O46" i="22"/>
  <c r="K46" i="22"/>
  <c r="I46" i="22"/>
  <c r="H46" i="22"/>
  <c r="G46" i="22"/>
  <c r="F46" i="22"/>
  <c r="E46" i="22"/>
  <c r="B46" i="22"/>
  <c r="O45" i="22"/>
  <c r="E45" i="22"/>
  <c r="D45" i="22"/>
  <c r="L45" i="22"/>
  <c r="R45" i="22"/>
  <c r="Q45" i="22"/>
  <c r="P45" i="22"/>
  <c r="K45" i="22"/>
  <c r="I45" i="22"/>
  <c r="H45" i="22"/>
  <c r="G45" i="22"/>
  <c r="C45" i="22"/>
  <c r="B45" i="22"/>
  <c r="O44" i="22"/>
  <c r="N44" i="22"/>
  <c r="D44" i="22"/>
  <c r="L44" i="22"/>
  <c r="R44" i="22"/>
  <c r="Q44" i="22"/>
  <c r="P44" i="22"/>
  <c r="K44" i="22"/>
  <c r="I44" i="22"/>
  <c r="H44" i="22"/>
  <c r="G44" i="22"/>
  <c r="C44" i="22"/>
  <c r="B44" i="22"/>
  <c r="E43" i="22"/>
  <c r="L43" i="22"/>
  <c r="R43" i="22"/>
  <c r="Q43" i="22"/>
  <c r="P43" i="22"/>
  <c r="O43" i="22"/>
  <c r="M43" i="22"/>
  <c r="K43" i="22"/>
  <c r="I43" i="22"/>
  <c r="H43" i="22"/>
  <c r="G43" i="22"/>
  <c r="F43" i="22"/>
  <c r="D43" i="22"/>
  <c r="B43" i="22"/>
  <c r="N42" i="22"/>
  <c r="D42" i="22"/>
  <c r="C42" i="22"/>
  <c r="R42" i="22"/>
  <c r="Q42" i="22"/>
  <c r="P42" i="22"/>
  <c r="O42" i="22"/>
  <c r="K42" i="22"/>
  <c r="I42" i="22"/>
  <c r="H42" i="22"/>
  <c r="G42" i="22"/>
  <c r="F42" i="22"/>
  <c r="B42" i="22"/>
  <c r="O41" i="22"/>
  <c r="N41" i="22"/>
  <c r="R41" i="22"/>
  <c r="Q41" i="22"/>
  <c r="P41" i="22"/>
  <c r="M41" i="22"/>
  <c r="L41" i="22"/>
  <c r="K41" i="22"/>
  <c r="I41" i="22"/>
  <c r="H41" i="22"/>
  <c r="G41" i="22"/>
  <c r="F41" i="22"/>
  <c r="D41" i="22"/>
  <c r="C41" i="22"/>
  <c r="B41" i="22"/>
  <c r="O40" i="22"/>
  <c r="N40" i="22"/>
  <c r="M40" i="22"/>
  <c r="C40" i="22"/>
  <c r="R40" i="22"/>
  <c r="Q40" i="22"/>
  <c r="P40" i="22"/>
  <c r="K40" i="22"/>
  <c r="I40" i="22"/>
  <c r="H40" i="22"/>
  <c r="G40" i="22"/>
  <c r="B40" i="22"/>
  <c r="N39" i="22"/>
  <c r="M39" i="22"/>
  <c r="R39" i="22"/>
  <c r="Q39" i="22"/>
  <c r="P39" i="22"/>
  <c r="O39" i="22"/>
  <c r="L39" i="22"/>
  <c r="K39" i="22"/>
  <c r="I39" i="22"/>
  <c r="H39" i="22"/>
  <c r="G39" i="22"/>
  <c r="F39" i="22"/>
  <c r="E39" i="22"/>
  <c r="D39" i="22"/>
  <c r="C39" i="22"/>
  <c r="B39" i="22"/>
  <c r="N38" i="22"/>
  <c r="M38" i="22"/>
  <c r="C38" i="22"/>
  <c r="R38" i="22"/>
  <c r="Q38" i="22"/>
  <c r="P38" i="22"/>
  <c r="O38" i="22"/>
  <c r="K38" i="22"/>
  <c r="I38" i="22"/>
  <c r="H38" i="22"/>
  <c r="G38" i="22"/>
  <c r="F38" i="22"/>
  <c r="B38" i="22"/>
  <c r="O37" i="22"/>
  <c r="N37" i="22"/>
  <c r="D37" i="22"/>
  <c r="R37" i="22"/>
  <c r="Q37" i="22"/>
  <c r="P37" i="22"/>
  <c r="L37" i="22"/>
  <c r="K37" i="22"/>
  <c r="I37" i="22"/>
  <c r="H37" i="22"/>
  <c r="G37" i="22"/>
  <c r="F37" i="22"/>
  <c r="C37" i="22"/>
  <c r="B37" i="22"/>
  <c r="O36" i="22"/>
  <c r="N36" i="22"/>
  <c r="M36" i="22"/>
  <c r="C36" i="22"/>
  <c r="R36" i="22"/>
  <c r="Q36" i="22"/>
  <c r="P36" i="22"/>
  <c r="K36" i="22"/>
  <c r="I36" i="22"/>
  <c r="H36" i="22"/>
  <c r="G36" i="22"/>
  <c r="F36" i="22"/>
  <c r="B36" i="22"/>
  <c r="O35" i="22"/>
  <c r="N35" i="22"/>
  <c r="D35" i="22"/>
  <c r="C35" i="22"/>
  <c r="R35" i="22"/>
  <c r="Q35" i="22"/>
  <c r="P35" i="22"/>
  <c r="L35" i="22"/>
  <c r="K35" i="22"/>
  <c r="I35" i="22"/>
  <c r="H35" i="22"/>
  <c r="G35" i="22"/>
  <c r="B35" i="22"/>
  <c r="O34" i="22"/>
  <c r="N34" i="22"/>
  <c r="L34" i="22"/>
  <c r="R34" i="22"/>
  <c r="Q34" i="22"/>
  <c r="P34" i="22"/>
  <c r="M34" i="22"/>
  <c r="K34" i="22"/>
  <c r="I34" i="22"/>
  <c r="H34" i="22"/>
  <c r="G34" i="22"/>
  <c r="E34" i="22"/>
  <c r="D34" i="22"/>
  <c r="C34" i="22"/>
  <c r="B34" i="22"/>
  <c r="O33" i="22"/>
  <c r="N33" i="22"/>
  <c r="D33" i="22"/>
  <c r="C33" i="22"/>
  <c r="R33" i="22"/>
  <c r="Q33" i="22"/>
  <c r="P33" i="22"/>
  <c r="K33" i="22"/>
  <c r="I33" i="22"/>
  <c r="H33" i="22"/>
  <c r="G33" i="22"/>
  <c r="B33" i="22"/>
  <c r="O32" i="22"/>
  <c r="N32" i="22"/>
  <c r="M32" i="22"/>
  <c r="L32" i="22"/>
  <c r="R32" i="22"/>
  <c r="Q32" i="22"/>
  <c r="P32" i="22"/>
  <c r="K32" i="22"/>
  <c r="I32" i="22"/>
  <c r="H32" i="22"/>
  <c r="G32" i="22"/>
  <c r="D32" i="22"/>
  <c r="C32" i="22"/>
  <c r="B32" i="22"/>
  <c r="N31" i="22"/>
  <c r="D31" i="22"/>
  <c r="L31" i="22"/>
  <c r="R31" i="22"/>
  <c r="Q31" i="22"/>
  <c r="P31" i="22"/>
  <c r="O31" i="22"/>
  <c r="K31" i="22"/>
  <c r="I31" i="22"/>
  <c r="H31" i="22"/>
  <c r="G31" i="22"/>
  <c r="F31" i="22"/>
  <c r="B31" i="22"/>
  <c r="E30" i="22"/>
  <c r="D30" i="22"/>
  <c r="C30" i="22"/>
  <c r="R30" i="22"/>
  <c r="Q30" i="22"/>
  <c r="P30" i="22"/>
  <c r="O30" i="22"/>
  <c r="M30" i="22"/>
  <c r="K30" i="22"/>
  <c r="I30" i="22"/>
  <c r="H30" i="22"/>
  <c r="G30" i="22"/>
  <c r="F30" i="22"/>
  <c r="B30" i="22"/>
  <c r="N29" i="22"/>
  <c r="D29" i="22"/>
  <c r="C29" i="22"/>
  <c r="R29" i="22"/>
  <c r="Q29" i="22"/>
  <c r="P29" i="22"/>
  <c r="O29" i="22"/>
  <c r="M29" i="22"/>
  <c r="K29" i="22"/>
  <c r="I29" i="22"/>
  <c r="H29" i="22"/>
  <c r="G29" i="22"/>
  <c r="F29" i="22"/>
  <c r="B29" i="22"/>
  <c r="O28" i="22"/>
  <c r="E28" i="22"/>
  <c r="R28" i="22"/>
  <c r="Q28" i="22"/>
  <c r="P28" i="22"/>
  <c r="M28" i="22"/>
  <c r="L28" i="22"/>
  <c r="K28" i="22"/>
  <c r="I28" i="22"/>
  <c r="H28" i="22"/>
  <c r="G28" i="22"/>
  <c r="D28" i="22"/>
  <c r="C28" i="22"/>
  <c r="B28" i="22"/>
  <c r="O27" i="22"/>
  <c r="E27" i="22"/>
  <c r="D27" i="22"/>
  <c r="C27" i="22"/>
  <c r="R27" i="22"/>
  <c r="Q27" i="22"/>
  <c r="P27" i="22"/>
  <c r="K27" i="22"/>
  <c r="I27" i="22"/>
  <c r="H27" i="22"/>
  <c r="G27" i="22"/>
  <c r="B27" i="22"/>
  <c r="O26" i="22"/>
  <c r="L26" i="22"/>
  <c r="R26" i="22"/>
  <c r="Q26" i="22"/>
  <c r="P26" i="22"/>
  <c r="N26" i="22"/>
  <c r="M26" i="22"/>
  <c r="K26" i="22"/>
  <c r="I26" i="22"/>
  <c r="H26" i="22"/>
  <c r="G26" i="22"/>
  <c r="E26" i="22"/>
  <c r="D26" i="22"/>
  <c r="C26" i="22"/>
  <c r="B26" i="22"/>
  <c r="O25" i="22"/>
  <c r="D25" i="22"/>
  <c r="C25" i="22"/>
  <c r="R25" i="22"/>
  <c r="Q25" i="22"/>
  <c r="P25" i="22"/>
  <c r="N25" i="22"/>
  <c r="K25" i="22"/>
  <c r="I25" i="22"/>
  <c r="H25" i="22"/>
  <c r="G25" i="22"/>
  <c r="E25" i="22"/>
  <c r="B25" i="22"/>
  <c r="O24" i="22"/>
  <c r="N24" i="22"/>
  <c r="M24" i="22"/>
  <c r="C24" i="22"/>
  <c r="R24" i="22"/>
  <c r="Q24" i="22"/>
  <c r="P24" i="22"/>
  <c r="K24" i="22"/>
  <c r="I24" i="22"/>
  <c r="H24" i="22"/>
  <c r="G24" i="22"/>
  <c r="E24" i="22"/>
  <c r="D24" i="22"/>
  <c r="B24" i="22"/>
  <c r="O23" i="22"/>
  <c r="E23" i="22"/>
  <c r="L23" i="22"/>
  <c r="R23" i="22"/>
  <c r="Q23" i="22"/>
  <c r="P23" i="22"/>
  <c r="M23" i="22"/>
  <c r="K23" i="22"/>
  <c r="I23" i="22"/>
  <c r="H23" i="22"/>
  <c r="G23" i="22"/>
  <c r="F23" i="22"/>
  <c r="D23" i="22"/>
  <c r="C23" i="22"/>
  <c r="B23" i="22"/>
  <c r="O22" i="22"/>
  <c r="E22" i="22"/>
  <c r="D22" i="22"/>
  <c r="C22" i="22"/>
  <c r="R22" i="22"/>
  <c r="Q22" i="22"/>
  <c r="P22" i="22"/>
  <c r="K22" i="22"/>
  <c r="I22" i="22"/>
  <c r="H22" i="22"/>
  <c r="G22" i="22"/>
  <c r="B22" i="22"/>
  <c r="O21" i="22"/>
  <c r="N21" i="22"/>
  <c r="M21" i="22"/>
  <c r="C21" i="22"/>
  <c r="R21" i="22"/>
  <c r="Q21" i="22"/>
  <c r="P21" i="22"/>
  <c r="L21" i="22"/>
  <c r="K21" i="22"/>
  <c r="I21" i="22"/>
  <c r="H21" i="22"/>
  <c r="G21" i="22"/>
  <c r="F21" i="22"/>
  <c r="D21" i="22"/>
  <c r="B21" i="22"/>
  <c r="O20" i="22"/>
  <c r="N20" i="22"/>
  <c r="D20" i="22"/>
  <c r="R20" i="22"/>
  <c r="Q20" i="22"/>
  <c r="P20" i="22"/>
  <c r="L20" i="22"/>
  <c r="K20" i="22"/>
  <c r="I20" i="22"/>
  <c r="H20" i="22"/>
  <c r="G20" i="22"/>
  <c r="C20" i="22"/>
  <c r="B20" i="22"/>
  <c r="R19" i="22"/>
  <c r="Q19" i="22"/>
  <c r="P19" i="22"/>
  <c r="O19" i="22"/>
  <c r="N19" i="22"/>
  <c r="M19" i="22"/>
  <c r="L19" i="22"/>
  <c r="K19" i="22"/>
  <c r="I19" i="22"/>
  <c r="H19" i="22"/>
  <c r="G19" i="22"/>
  <c r="F19" i="22"/>
  <c r="E19" i="22"/>
  <c r="D19" i="22"/>
  <c r="C19" i="22"/>
  <c r="B19" i="22"/>
  <c r="N18" i="22"/>
  <c r="M18" i="22"/>
  <c r="C18" i="22"/>
  <c r="R18" i="22"/>
  <c r="Q18" i="22"/>
  <c r="P18" i="22"/>
  <c r="O18" i="22"/>
  <c r="L18" i="22"/>
  <c r="K18" i="22"/>
  <c r="I18" i="22"/>
  <c r="H18" i="22"/>
  <c r="G18" i="22"/>
  <c r="F18" i="22"/>
  <c r="D18" i="22"/>
  <c r="B18" i="22"/>
  <c r="O17" i="22"/>
  <c r="N17" i="22"/>
  <c r="D17" i="22"/>
  <c r="L17" i="22"/>
  <c r="R17" i="22"/>
  <c r="Q17" i="22"/>
  <c r="P17" i="22"/>
  <c r="M17" i="22"/>
  <c r="K17" i="22"/>
  <c r="I17" i="22"/>
  <c r="H17" i="22"/>
  <c r="G17" i="22"/>
  <c r="C17" i="22"/>
  <c r="B17" i="22"/>
  <c r="O16" i="22"/>
  <c r="N16" i="22"/>
  <c r="M16" i="22"/>
  <c r="C16" i="22"/>
  <c r="R16" i="22"/>
  <c r="Q16" i="22"/>
  <c r="P16" i="22"/>
  <c r="K16" i="22"/>
  <c r="I16" i="22"/>
  <c r="H16" i="22"/>
  <c r="G16" i="22"/>
  <c r="D16" i="22"/>
  <c r="B16" i="22"/>
  <c r="O15" i="22"/>
  <c r="N15" i="22"/>
  <c r="D15" i="22"/>
  <c r="L15" i="22"/>
  <c r="R15" i="22"/>
  <c r="Q15" i="22"/>
  <c r="P15" i="22"/>
  <c r="M15" i="22"/>
  <c r="K15" i="22"/>
  <c r="I15" i="22"/>
  <c r="H15" i="22"/>
  <c r="G15" i="22"/>
  <c r="C15" i="22"/>
  <c r="B15" i="22"/>
  <c r="E14" i="22"/>
  <c r="O14" i="22"/>
  <c r="D14" i="22"/>
  <c r="C14" i="22"/>
  <c r="R14" i="22"/>
  <c r="Q14" i="22"/>
  <c r="P14" i="22"/>
  <c r="K14" i="22"/>
  <c r="I14" i="22"/>
  <c r="H14" i="22"/>
  <c r="G14" i="22"/>
  <c r="F14" i="22"/>
  <c r="B14" i="22"/>
  <c r="O13" i="22"/>
  <c r="D13" i="22"/>
  <c r="L13" i="22"/>
  <c r="R13" i="22"/>
  <c r="Q13" i="22"/>
  <c r="P13" i="22"/>
  <c r="N13" i="22"/>
  <c r="M13" i="22"/>
  <c r="K13" i="22"/>
  <c r="I13" i="22"/>
  <c r="H13" i="22"/>
  <c r="G13" i="22"/>
  <c r="E13" i="22"/>
  <c r="C13" i="22"/>
  <c r="B13" i="22"/>
  <c r="N11" i="22"/>
  <c r="L11" i="22"/>
  <c r="R11" i="22"/>
  <c r="Q11" i="22"/>
  <c r="P11" i="22"/>
  <c r="O11" i="22"/>
  <c r="M11" i="22"/>
  <c r="K11" i="22"/>
  <c r="I11" i="22"/>
  <c r="H11" i="22"/>
  <c r="G11" i="22"/>
  <c r="F11" i="22"/>
  <c r="D11" i="22"/>
  <c r="C11" i="22"/>
  <c r="B11" i="22"/>
  <c r="N9" i="22"/>
  <c r="O9" i="22"/>
  <c r="M9" i="22"/>
  <c r="C9" i="22"/>
  <c r="R9" i="22"/>
  <c r="Q9" i="22"/>
  <c r="P9" i="22"/>
  <c r="K9" i="22"/>
  <c r="I9" i="22"/>
  <c r="H9" i="22"/>
  <c r="G9" i="22"/>
  <c r="F9" i="22"/>
  <c r="E9" i="22"/>
  <c r="B9" i="22"/>
  <c r="O127" i="33" l="1"/>
  <c r="A45" i="33"/>
  <c r="AZ44" i="33"/>
  <c r="BA44" i="33"/>
  <c r="BB44" i="33"/>
  <c r="BC44" i="33"/>
  <c r="AX44" i="33"/>
  <c r="BD44" i="33"/>
  <c r="BF44" i="33"/>
  <c r="BE44" i="33"/>
  <c r="BG44" i="33"/>
  <c r="L25" i="22"/>
  <c r="C55" i="22"/>
  <c r="L9" i="22"/>
  <c r="M20" i="22"/>
  <c r="L22" i="22"/>
  <c r="M25" i="22"/>
  <c r="C31" i="22"/>
  <c r="M31" i="22"/>
  <c r="L33" i="22"/>
  <c r="C43" i="22"/>
  <c r="L54" i="22"/>
  <c r="L57" i="22"/>
  <c r="D9" i="22"/>
  <c r="L14" i="22"/>
  <c r="L16" i="22"/>
  <c r="M22" i="22"/>
  <c r="L30" i="22"/>
  <c r="M33" i="22"/>
  <c r="L38" i="22"/>
  <c r="L46" i="22"/>
  <c r="L50" i="22"/>
  <c r="M14" i="22"/>
  <c r="L24" i="22"/>
  <c r="L27" i="22"/>
  <c r="L40" i="22"/>
  <c r="L42" i="22"/>
  <c r="L48" i="22"/>
  <c r="L52" i="22"/>
  <c r="M27" i="22"/>
  <c r="L29" i="22"/>
  <c r="L36" i="22"/>
  <c r="L60" i="22"/>
  <c r="L62" i="22"/>
  <c r="M35" i="22"/>
  <c r="D36" i="22"/>
  <c r="M37" i="22"/>
  <c r="M45" i="22"/>
  <c r="D48" i="22"/>
  <c r="D49" i="22"/>
  <c r="M53" i="22"/>
  <c r="M54" i="22"/>
  <c r="M56" i="22"/>
  <c r="D57" i="22"/>
  <c r="M59" i="22"/>
  <c r="D60" i="22"/>
  <c r="E11" i="22"/>
  <c r="N14" i="22"/>
  <c r="E17" i="22"/>
  <c r="E18" i="22"/>
  <c r="E20" i="22"/>
  <c r="E21" i="22"/>
  <c r="N22" i="22"/>
  <c r="N23" i="22"/>
  <c r="N27" i="22"/>
  <c r="N28" i="22"/>
  <c r="E29" i="22"/>
  <c r="N30" i="22"/>
  <c r="E31" i="22"/>
  <c r="E36" i="22"/>
  <c r="E37" i="22"/>
  <c r="E38" i="22"/>
  <c r="E41" i="22"/>
  <c r="N43" i="22"/>
  <c r="N45" i="22"/>
  <c r="N48" i="22"/>
  <c r="N49" i="22"/>
  <c r="N52" i="22"/>
  <c r="N53" i="22"/>
  <c r="E56" i="22"/>
  <c r="N57" i="22"/>
  <c r="E58" i="22"/>
  <c r="N60" i="22"/>
  <c r="N61" i="22"/>
  <c r="F13" i="22"/>
  <c r="F15" i="22"/>
  <c r="F16" i="22"/>
  <c r="F17" i="22"/>
  <c r="F22" i="22"/>
  <c r="F24" i="22"/>
  <c r="F25" i="22"/>
  <c r="F27" i="22"/>
  <c r="F28" i="22"/>
  <c r="F32" i="22"/>
  <c r="F34" i="22"/>
  <c r="F35" i="22"/>
  <c r="F40" i="22"/>
  <c r="F45" i="22"/>
  <c r="F53" i="22"/>
  <c r="F59" i="22"/>
  <c r="D40" i="22"/>
  <c r="M42" i="22"/>
  <c r="M44" i="22"/>
  <c r="D46" i="22"/>
  <c r="D50" i="22"/>
  <c r="D51" i="22"/>
  <c r="E15" i="22"/>
  <c r="E16" i="22"/>
  <c r="E32" i="22"/>
  <c r="E35" i="22"/>
  <c r="E40" i="22"/>
  <c r="E42" i="22"/>
  <c r="N59" i="22"/>
  <c r="F20" i="22"/>
  <c r="F26" i="22"/>
  <c r="F33" i="22"/>
  <c r="F44" i="22"/>
  <c r="F47" i="22"/>
  <c r="D38" i="22"/>
  <c r="D52" i="22"/>
  <c r="E33" i="22"/>
  <c r="E44" i="22"/>
  <c r="P127" i="33" l="1"/>
  <c r="A46" i="33"/>
  <c r="AZ45" i="33"/>
  <c r="BA45" i="33"/>
  <c r="BB45" i="33"/>
  <c r="BC45" i="33"/>
  <c r="BD45" i="33"/>
  <c r="BF45" i="33"/>
  <c r="BE45" i="33"/>
  <c r="AX45" i="33"/>
  <c r="BG45" i="33"/>
  <c r="Q127" i="33" l="1"/>
  <c r="A47" i="33"/>
  <c r="AZ46" i="33"/>
  <c r="BA46" i="33"/>
  <c r="BB46" i="33"/>
  <c r="BC46" i="33"/>
  <c r="BD46" i="33"/>
  <c r="AX46" i="33"/>
  <c r="BF46" i="33"/>
  <c r="BE46" i="33"/>
  <c r="BG46" i="33"/>
  <c r="R127" i="33" l="1"/>
  <c r="A48" i="33"/>
  <c r="AZ47" i="33"/>
  <c r="BA47" i="33"/>
  <c r="BB47" i="33"/>
  <c r="BC47" i="33"/>
  <c r="BD47" i="33"/>
  <c r="BF47" i="33"/>
  <c r="AX47" i="33"/>
  <c r="BE47" i="33"/>
  <c r="BG47" i="33"/>
  <c r="S127" i="33" l="1"/>
  <c r="A49" i="33"/>
  <c r="AX48" i="33"/>
  <c r="AZ48" i="33"/>
  <c r="BA48" i="33"/>
  <c r="BB48" i="33"/>
  <c r="BC48" i="33"/>
  <c r="BD48" i="33"/>
  <c r="BF48" i="33"/>
  <c r="BE48" i="33"/>
  <c r="BG48" i="33"/>
  <c r="T127" i="33" l="1"/>
  <c r="A50" i="33"/>
  <c r="AZ49" i="33"/>
  <c r="AX49" i="33"/>
  <c r="BA49" i="33"/>
  <c r="BB49" i="33"/>
  <c r="BC49" i="33"/>
  <c r="BD49" i="33"/>
  <c r="BF49" i="33"/>
  <c r="BE49" i="33"/>
  <c r="BG49" i="33"/>
  <c r="U127" i="33" l="1"/>
  <c r="A51" i="33"/>
  <c r="AZ50" i="33"/>
  <c r="BA50" i="33"/>
  <c r="AX50" i="33"/>
  <c r="BB50" i="33"/>
  <c r="BC50" i="33"/>
  <c r="BD50" i="33"/>
  <c r="BF50" i="33"/>
  <c r="BE50" i="33"/>
  <c r="BG50" i="33"/>
  <c r="V127" i="33" l="1"/>
  <c r="W127" i="33" s="1"/>
  <c r="X127" i="33" s="1"/>
  <c r="B127" i="33" s="1"/>
  <c r="A52" i="33"/>
  <c r="AZ51" i="33"/>
  <c r="BA51" i="33"/>
  <c r="BB51" i="33"/>
  <c r="AX51" i="33"/>
  <c r="BC51" i="33"/>
  <c r="BD51" i="33"/>
  <c r="BF51" i="33"/>
  <c r="BE51" i="33"/>
  <c r="BG51" i="33"/>
  <c r="C127" i="33" l="1"/>
  <c r="C68" i="33" s="1"/>
  <c r="A53" i="33"/>
  <c r="AZ52" i="33"/>
  <c r="BA52" i="33"/>
  <c r="BB52" i="33"/>
  <c r="BC52" i="33"/>
  <c r="AX52" i="33"/>
  <c r="BD52" i="33"/>
  <c r="BF52" i="33"/>
  <c r="BE52" i="33"/>
  <c r="BG52" i="33"/>
  <c r="B68" i="33" l="1"/>
  <c r="A54" i="33"/>
  <c r="AZ53" i="33"/>
  <c r="BA53" i="33"/>
  <c r="BB53" i="33"/>
  <c r="BC53" i="33"/>
  <c r="BD53" i="33"/>
  <c r="BF53" i="33"/>
  <c r="AX53" i="33"/>
  <c r="BE53" i="33"/>
  <c r="BG53" i="33"/>
  <c r="C67" i="36" l="1"/>
  <c r="F67" i="36" s="1"/>
  <c r="A55" i="33"/>
  <c r="AZ54" i="33"/>
  <c r="BA54" i="33"/>
  <c r="BB54" i="33"/>
  <c r="BC54" i="33"/>
  <c r="BD54" i="33"/>
  <c r="AX54" i="33"/>
  <c r="BF54" i="33"/>
  <c r="BE54" i="33"/>
  <c r="BG54" i="33"/>
  <c r="A56" i="33" l="1"/>
  <c r="AZ55" i="33"/>
  <c r="BA55" i="33"/>
  <c r="BB55" i="33"/>
  <c r="BC55" i="33"/>
  <c r="BD55" i="33"/>
  <c r="BF55" i="33"/>
  <c r="AX55" i="33"/>
  <c r="BE55" i="33"/>
  <c r="BG55" i="33"/>
  <c r="A57" i="33" l="1"/>
  <c r="AX56" i="33"/>
  <c r="AZ56" i="33"/>
  <c r="BA56" i="33"/>
  <c r="BB56" i="33"/>
  <c r="BC56" i="33"/>
  <c r="BD56" i="33"/>
  <c r="BF56" i="33"/>
  <c r="BE56" i="33"/>
  <c r="BG56" i="33"/>
  <c r="A58" i="33" l="1"/>
  <c r="AZ57" i="33"/>
  <c r="AX57" i="33"/>
  <c r="BA57" i="33"/>
  <c r="BB57" i="33"/>
  <c r="BC57" i="33"/>
  <c r="BD57" i="33"/>
  <c r="BF57" i="33"/>
  <c r="BE57" i="33"/>
  <c r="BG57" i="33"/>
  <c r="A59" i="33" l="1"/>
  <c r="AZ58" i="33"/>
  <c r="BA58" i="33"/>
  <c r="AX58" i="33"/>
  <c r="BB58" i="33"/>
  <c r="BC58" i="33"/>
  <c r="BD58" i="33"/>
  <c r="BF58" i="33"/>
  <c r="BE58" i="33"/>
  <c r="BG58" i="33"/>
  <c r="A60" i="33" l="1"/>
  <c r="AZ59" i="33"/>
  <c r="BA59" i="33"/>
  <c r="BB59" i="33"/>
  <c r="AX59" i="33"/>
  <c r="BC59" i="33"/>
  <c r="BD59" i="33"/>
  <c r="BF59" i="33"/>
  <c r="BG59" i="33"/>
  <c r="BE59" i="33"/>
  <c r="A61" i="33" l="1"/>
  <c r="AZ60" i="33"/>
  <c r="BA60" i="33"/>
  <c r="BB60" i="33"/>
  <c r="BC60" i="33"/>
  <c r="AX60" i="33"/>
  <c r="BD60" i="33"/>
  <c r="BF60" i="33"/>
  <c r="BE60" i="33"/>
  <c r="BG60" i="33"/>
  <c r="A62" i="33" l="1"/>
  <c r="AZ61" i="33"/>
  <c r="BA61" i="33"/>
  <c r="BB61" i="33"/>
  <c r="BC61" i="33"/>
  <c r="BD61" i="33"/>
  <c r="BF61" i="33"/>
  <c r="AX61" i="33"/>
  <c r="BE61" i="33"/>
  <c r="BG61" i="33"/>
  <c r="A63" i="33" l="1"/>
  <c r="AZ62" i="33"/>
  <c r="BA62" i="33"/>
  <c r="BB62" i="33"/>
  <c r="BC62" i="33"/>
  <c r="BD62" i="33"/>
  <c r="AX62" i="33"/>
  <c r="BF62" i="33"/>
  <c r="BE62" i="33"/>
  <c r="BG62" i="33"/>
  <c r="A64" i="33" l="1"/>
  <c r="AZ63" i="33"/>
  <c r="BA63" i="33"/>
  <c r="BB63" i="33"/>
  <c r="BC63" i="33"/>
  <c r="BD63" i="33"/>
  <c r="BF63" i="33"/>
  <c r="BE63" i="33"/>
  <c r="BG63" i="33"/>
  <c r="AX63" i="33"/>
  <c r="A65" i="33" l="1"/>
  <c r="AX64" i="33"/>
  <c r="AZ64" i="33"/>
  <c r="BA64" i="33"/>
  <c r="BB64" i="33"/>
  <c r="BC64" i="33"/>
  <c r="BD64" i="33"/>
  <c r="BF64" i="33"/>
  <c r="BE64" i="33"/>
  <c r="BG64" i="33"/>
  <c r="A66" i="33" l="1"/>
  <c r="AZ65" i="33"/>
  <c r="AX65" i="33"/>
  <c r="BA65" i="33"/>
  <c r="BB65" i="33"/>
  <c r="BC65" i="33"/>
  <c r="BD65" i="33"/>
  <c r="BF65" i="33"/>
  <c r="BE65" i="33"/>
  <c r="BG65" i="33"/>
  <c r="A67" i="33" l="1"/>
  <c r="AZ66" i="33"/>
  <c r="BA66" i="33"/>
  <c r="AX66" i="33"/>
  <c r="BB66" i="33"/>
  <c r="BC66" i="33"/>
  <c r="BD66" i="33"/>
  <c r="BF66" i="33"/>
  <c r="BE66" i="33"/>
  <c r="BG66" i="33"/>
  <c r="A68" i="33" l="1"/>
  <c r="AZ67" i="33"/>
  <c r="BA67" i="33"/>
  <c r="BB67" i="33"/>
  <c r="AX67" i="33"/>
  <c r="BC67" i="33"/>
  <c r="BD67" i="33"/>
  <c r="BF67" i="33"/>
  <c r="BE67" i="33"/>
  <c r="BG67" i="33"/>
  <c r="A69" i="33" l="1"/>
  <c r="AZ68" i="33"/>
  <c r="BA68" i="33"/>
  <c r="BB68" i="33"/>
  <c r="BC68" i="33"/>
  <c r="AX68" i="33"/>
  <c r="BD68" i="33"/>
  <c r="BF68" i="33"/>
  <c r="BE68" i="33"/>
  <c r="BG68" i="33"/>
  <c r="A70" i="33" l="1"/>
  <c r="AZ69" i="33"/>
  <c r="BA69" i="33"/>
  <c r="BB69" i="33"/>
  <c r="BC69" i="33"/>
  <c r="BD69" i="33"/>
  <c r="BF69" i="33"/>
  <c r="BE69" i="33"/>
  <c r="AX69" i="33"/>
  <c r="BG69" i="33"/>
  <c r="A71" i="33" l="1"/>
  <c r="AZ70" i="33"/>
  <c r="BA70" i="33"/>
  <c r="BB70" i="33"/>
  <c r="BC70" i="33"/>
  <c r="BD70" i="33"/>
  <c r="AX70" i="33"/>
  <c r="BF70" i="33"/>
  <c r="BE70" i="33"/>
  <c r="BG70" i="33"/>
  <c r="AZ71" i="33" l="1"/>
  <c r="BA71" i="33"/>
  <c r="BB71" i="33"/>
  <c r="BC71" i="33"/>
  <c r="BD71" i="33"/>
  <c r="BF71" i="33"/>
  <c r="AX71" i="33"/>
  <c r="BE71" i="33"/>
  <c r="BG71" i="33"/>
  <c r="C75" i="36" l="1"/>
</calcChain>
</file>

<file path=xl/sharedStrings.xml><?xml version="1.0" encoding="utf-8"?>
<sst xmlns="http://schemas.openxmlformats.org/spreadsheetml/2006/main" count="6245" uniqueCount="1069">
  <si>
    <r>
      <rPr>
        <sz val="11"/>
        <color theme="1"/>
        <rFont val="Arial"/>
        <family val="2"/>
      </rPr>
      <t xml:space="preserve">This file presents data that supplement information in CBO's July 2019 slide deck </t>
    </r>
    <r>
      <rPr>
        <i/>
        <sz val="11"/>
        <color theme="1"/>
        <rFont val="Arial"/>
        <family val="2"/>
      </rPr>
      <t>The Distribution of Household Income, 2016</t>
    </r>
    <r>
      <rPr>
        <sz val="11"/>
        <color theme="1"/>
        <rFont val="Calibri"/>
        <family val="2"/>
        <scheme val="minor"/>
      </rPr>
      <t>.</t>
    </r>
  </si>
  <si>
    <t>www.cbo.gov/publication/55413</t>
  </si>
  <si>
    <t>Return to Contents and Notes</t>
  </si>
  <si>
    <t>Year</t>
  </si>
  <si>
    <t>All Quintiles</t>
  </si>
  <si>
    <t>Lowest Quintile</t>
  </si>
  <si>
    <t xml:space="preserve">Second Quintile	</t>
  </si>
  <si>
    <t xml:space="preserve">Middle Quintile	</t>
  </si>
  <si>
    <t xml:space="preserve">Fourth Quintile	</t>
  </si>
  <si>
    <t>Highest Quintile</t>
  </si>
  <si>
    <t>81st to 90th Percentiles</t>
  </si>
  <si>
    <t>91st to 95th Percentiles</t>
  </si>
  <si>
    <t>96th to 99th Percentiles</t>
  </si>
  <si>
    <t>Top 1 Percent</t>
  </si>
  <si>
    <t>Source: Congressional Budget Office.</t>
  </si>
  <si>
    <t>Federal Taxes</t>
  </si>
  <si>
    <t>Individual
 Income Tax</t>
  </si>
  <si>
    <t>Payroll Taxes</t>
  </si>
  <si>
    <t>Corporate
 Income Tax</t>
  </si>
  <si>
    <t>Excise taxes</t>
  </si>
  <si>
    <t>Table 9.</t>
  </si>
  <si>
    <t>Average Federal Tax Rates, by Income Group, 1979 to 2016</t>
  </si>
  <si>
    <t>Percent</t>
  </si>
  <si>
    <t>CBO</t>
  </si>
  <si>
    <t>P0-20</t>
  </si>
  <si>
    <t>P20-40</t>
  </si>
  <si>
    <t>P40-60</t>
  </si>
  <si>
    <t>P60-80</t>
  </si>
  <si>
    <t>Top 1%</t>
  </si>
  <si>
    <t>Bottom quintile</t>
  </si>
  <si>
    <t>2nd quintile</t>
  </si>
  <si>
    <t>3rd quintile</t>
  </si>
  <si>
    <t>4th quintile</t>
  </si>
  <si>
    <t>P80-90</t>
  </si>
  <si>
    <t>[1]</t>
  </si>
  <si>
    <t>[2]</t>
  </si>
  <si>
    <t>[3]</t>
  </si>
  <si>
    <t>[4]</t>
  </si>
  <si>
    <t>[5]</t>
  </si>
  <si>
    <t>[6]</t>
  </si>
  <si>
    <t>[7]</t>
  </si>
  <si>
    <t>[8]</t>
  </si>
  <si>
    <t>[9]</t>
  </si>
  <si>
    <t>[10]</t>
  </si>
  <si>
    <t>[11]</t>
  </si>
  <si>
    <t>[12]</t>
  </si>
  <si>
    <t>[13]</t>
  </si>
  <si>
    <t>[14]</t>
  </si>
  <si>
    <t>All</t>
  </si>
  <si>
    <t>Sales tax</t>
  </si>
  <si>
    <t>Estate tax</t>
  </si>
  <si>
    <t>P90-95</t>
  </si>
  <si>
    <t>P95-99</t>
  </si>
  <si>
    <t>Average Rate of All Taxes</t>
  </si>
  <si>
    <t>Average Rate of All Taxes (excluding payroll tax)</t>
  </si>
  <si>
    <t>Federal Income Tax</t>
  </si>
  <si>
    <t>State and Local Income Tax</t>
  </si>
  <si>
    <t>C Corporation Taxes</t>
  </si>
  <si>
    <t>Property Taxes</t>
  </si>
  <si>
    <t>Estate and Gift Taxes</t>
  </si>
  <si>
    <t>Sales and Other Taxes</t>
  </si>
  <si>
    <t>P99.99-100</t>
  </si>
  <si>
    <t>P99-99.5</t>
  </si>
  <si>
    <t>P99.5-99.9</t>
  </si>
  <si>
    <t>P99.9-99.99</t>
  </si>
  <si>
    <t>AS</t>
  </si>
  <si>
    <t xml:space="preserve">Top 0.01% </t>
  </si>
  <si>
    <t>P0-50</t>
  </si>
  <si>
    <t>P50-90</t>
  </si>
  <si>
    <t>Source</t>
  </si>
  <si>
    <t>Piketty Saez (2007)</t>
  </si>
  <si>
    <t xml:space="preserve">TPC </t>
  </si>
  <si>
    <t>household</t>
  </si>
  <si>
    <t>tax unit</t>
  </si>
  <si>
    <t>exp. cash inc.</t>
  </si>
  <si>
    <t>Notes</t>
  </si>
  <si>
    <t>Sharing unit</t>
  </si>
  <si>
    <t>Grouping unit</t>
  </si>
  <si>
    <t>Income definition</t>
  </si>
  <si>
    <t>indivs.</t>
  </si>
  <si>
    <t>fiscal+CG+PR+corp</t>
  </si>
  <si>
    <t>Center of fractiles</t>
  </si>
  <si>
    <t>0-20</t>
  </si>
  <si>
    <t>20-40</t>
  </si>
  <si>
    <t>40-60</t>
  </si>
  <si>
    <t>60-80</t>
  </si>
  <si>
    <t>80-90</t>
  </si>
  <si>
    <t>90-95</t>
  </si>
  <si>
    <t>95-99</t>
  </si>
  <si>
    <t>99-99.5</t>
  </si>
  <si>
    <t>99.5-99.9</t>
  </si>
  <si>
    <t>99.9-99.99</t>
  </si>
  <si>
    <t xml:space="preserve">https://www.cbo.gov/system/files/2019-07/55413-CBO-supplemental-data.xlsx </t>
  </si>
  <si>
    <t>Table C9a: Average tax rates by subfractile (denominator of all tax rates is pre-tax/after-transfer income)</t>
  </si>
  <si>
    <t>Table 1. Income and Federal Tax Rate Statistics in 2004 (based on 2000 inflated incomes)</t>
  </si>
  <si>
    <t>Average tax rates (percent)</t>
  </si>
  <si>
    <t>Income shares</t>
  </si>
  <si>
    <t>Income Groups</t>
  </si>
  <si>
    <t>Average Income (pre-tax)</t>
  </si>
  <si>
    <t>Federal Individual</t>
  </si>
  <si>
    <t>Payroll (Social security+medicare) Tax</t>
  </si>
  <si>
    <t>Federal Corporate</t>
  </si>
  <si>
    <t>Federal Estate and Gift</t>
  </si>
  <si>
    <t>Total Federal Taxes</t>
  </si>
  <si>
    <t>Pre-tax income share</t>
  </si>
  <si>
    <t>Post-tax income share</t>
  </si>
  <si>
    <t>(1)</t>
  </si>
  <si>
    <t>(2)</t>
  </si>
  <si>
    <t>(3)</t>
  </si>
  <si>
    <t>(4)</t>
  </si>
  <si>
    <t>(5)</t>
  </si>
  <si>
    <t>(6)</t>
  </si>
  <si>
    <t>(7)</t>
  </si>
  <si>
    <t>(8)</t>
  </si>
  <si>
    <t>(9)</t>
  </si>
  <si>
    <t>Full Population</t>
  </si>
  <si>
    <t>(144 million families)</t>
  </si>
  <si>
    <t xml:space="preserve">Notes: Computations are based on income tax return statistics and NBER TAXSIM calculator. </t>
  </si>
  <si>
    <t>They are based on incomes from 2000 adjusted for growth and using 2004 tax law.</t>
  </si>
  <si>
    <t>Families are ranked based on market income excluding realized capital gains and imputed payroll and corporate taxes.</t>
  </si>
  <si>
    <t>P20-40 denotes families between percentile 20th and percentile 40th of the income distribution (second quintile), etc.</t>
  </si>
  <si>
    <t>Average income includes realized capital gains and imputed payroll and corporate taxes. Tax rates are estimated</t>
  </si>
  <si>
    <t>relative to income including realized capital gains and imputed payroll and corporate taxes.</t>
  </si>
  <si>
    <t xml:space="preserve">Payroll tax includes employee+employer Social Security and Medicare taxes (excludes payroll taxes for unemployment </t>
  </si>
  <si>
    <t>and workers compensation)</t>
  </si>
  <si>
    <t>includes state corp. and estate taxes, top 1%=31.1</t>
  </si>
  <si>
    <t>Average tax rate</t>
  </si>
  <si>
    <t xml:space="preserve">http://davidsplinter.com/AutenSplinter-IncomeIneq.xlsx </t>
  </si>
  <si>
    <t>JCT</t>
  </si>
  <si>
    <t>https://www.jct.gov/publications.html?func=startdown&amp;id=5173</t>
  </si>
  <si>
    <t>Less than $10,000..........</t>
  </si>
  <si>
    <t>$10,000 to $20,000........</t>
  </si>
  <si>
    <t>$20,000 to $30,000........</t>
  </si>
  <si>
    <t>$30,000 to $40,000........</t>
  </si>
  <si>
    <t>$40,000 to $50,000........</t>
  </si>
  <si>
    <t>$50,000 to $75,000........</t>
  </si>
  <si>
    <t>$75,000 to $100,000......</t>
  </si>
  <si>
    <t>$100,000 to $200,000.....</t>
  </si>
  <si>
    <t>$200,000 to $500,000.....</t>
  </si>
  <si>
    <t>$500,000 to $1,000,000..</t>
  </si>
  <si>
    <t>$1,000,000 and over........</t>
  </si>
  <si>
    <t>Avg.Federal Tax Rate</t>
  </si>
  <si>
    <t>(thousands)</t>
  </si>
  <si>
    <t>Total</t>
  </si>
  <si>
    <t>Percentile</t>
  </si>
  <si>
    <t>Avg. Tax Rate</t>
  </si>
  <si>
    <t>expanded inc.</t>
  </si>
  <si>
    <t>Cumul.</t>
  </si>
  <si>
    <t>Number</t>
  </si>
  <si>
    <t>https://eml.berkeley.edu/~saez/piketty-saezJEP07taxprog.pdf</t>
  </si>
  <si>
    <t>P99-99.9</t>
  </si>
  <si>
    <t>Author's calculations: JCT rates</t>
  </si>
  <si>
    <t xml:space="preserve">http://davidsplinter.com/AutenSplinter-IncomeIneq.xlsx  </t>
  </si>
  <si>
    <t>Taxes</t>
  </si>
  <si>
    <t>1979-2016</t>
  </si>
  <si>
    <t>Q5-Q1</t>
  </si>
  <si>
    <t>Q5-Q3</t>
  </si>
  <si>
    <t>Q3-Q1</t>
  </si>
  <si>
    <t>Q1</t>
  </si>
  <si>
    <t>Q2</t>
  </si>
  <si>
    <t>Q3</t>
  </si>
  <si>
    <t>Q4</t>
  </si>
  <si>
    <t>Effective Federal Tax Rate (CBO, excluding means-tested transfers)</t>
  </si>
  <si>
    <t>Table 5.</t>
  </si>
  <si>
    <t>Components of Income Before Transfers and Taxes, by Income Group, 1979 to 2016</t>
  </si>
  <si>
    <t>2016 Dollars</t>
  </si>
  <si>
    <t>Income Before
 Transfers and
 Taxes</t>
  </si>
  <si>
    <t>Market Income</t>
  </si>
  <si>
    <t>Cash Wages
 and Salaries</t>
  </si>
  <si>
    <t>Employee's
Contributions to
Deferred
Compensation Plans</t>
  </si>
  <si>
    <t>Employer's
Contributions to
Health
Insurance</t>
  </si>
  <si>
    <t>Employer's
Share of Payroll
Taxes Borne by
Labor</t>
  </si>
  <si>
    <t xml:space="preserve">Federal
Unemployment
 Tax Borne by
Labor	</t>
  </si>
  <si>
    <t>Corporate Tax
 Borne by Labor</t>
  </si>
  <si>
    <t>Business
 Income</t>
  </si>
  <si>
    <t>Capital Gains</t>
  </si>
  <si>
    <t xml:space="preserve">Tax-Exempt
 Interest	</t>
  </si>
  <si>
    <t>Taxable Interest</t>
  </si>
  <si>
    <t>Dividends</t>
  </si>
  <si>
    <t>Positive Rental
 Income</t>
  </si>
  <si>
    <t>Corporate Tax
 Borne by
 Capital</t>
  </si>
  <si>
    <t>Other Market
 Income</t>
  </si>
  <si>
    <t>Social
 Insurance
 Benefits</t>
  </si>
  <si>
    <t>Social Security</t>
  </si>
  <si>
    <t>Medicare</t>
  </si>
  <si>
    <t>Unemployment
 Insurance</t>
  </si>
  <si>
    <t>Workers'
 Compensation</t>
  </si>
  <si>
    <t>Avg. Federal Taxes (CBO)</t>
  </si>
  <si>
    <t>Federal Tax Elasticity</t>
  </si>
  <si>
    <t>EXAMPLES</t>
  </si>
  <si>
    <t>Squared Progressivity: 1 means twice as much income results in four times as much taxes</t>
  </si>
  <si>
    <t>Therefore, negative tax elasticities represent regressive taxes, 0 represent proportional taxes, and positive values represent progressive taxes (e.g., elasticity of 1 means twice as much income results in four times as much taxes)</t>
  </si>
  <si>
    <t>approximately use 2004 income for example</t>
  </si>
  <si>
    <t>Kakwani Index</t>
  </si>
  <si>
    <t>Tax concentration coefficient</t>
  </si>
  <si>
    <t>Gini coefficient</t>
  </si>
  <si>
    <t>Share of Federal Taxes</t>
  </si>
  <si>
    <t>Share of Income (CBO, Before Taxes and Transfers)</t>
  </si>
  <si>
    <t>Total Federal Taxes ($millions)</t>
  </si>
  <si>
    <t>Cumulative Share of Federal Taxes</t>
  </si>
  <si>
    <t>45-degree line</t>
  </si>
  <si>
    <t>Wtd. Change in Cumulative Share of Federal Taxes</t>
  </si>
  <si>
    <t>Wtd. Change in Cumulative Share of Income (CBO)</t>
  </si>
  <si>
    <t>cumulative 45-degree line</t>
  </si>
  <si>
    <t>LN of Real Federal Taxes (CBO)</t>
  </si>
  <si>
    <t>LN of Average Real Income (CBO, excluding means-tested transfers)</t>
  </si>
  <si>
    <t>Average Real Income (CBO, excluding means-tested transfers, $2016)</t>
  </si>
  <si>
    <t>Avg. Real Federal Taxes (CBO, $2016)</t>
  </si>
  <si>
    <t>All federal taxes and individuals (from CBO data)</t>
  </si>
  <si>
    <t>Fraction Paying No Tax</t>
  </si>
  <si>
    <r>
      <rPr>
        <b/>
        <sz val="10"/>
        <rFont val="Arial"/>
        <family val="2"/>
      </rPr>
      <t>Notes:</t>
    </r>
    <r>
      <rPr>
        <sz val="10"/>
        <rFont val="Arial"/>
        <family val="2"/>
      </rPr>
      <t xml:space="preserve"> This table contains a number of simplifications and ignores a number of factors, such as the amount of income or types of income subject to the top rates, or the value of standard and itemized deductions.</t>
    </r>
  </si>
  <si>
    <t>Sources: Tax Policy Center</t>
  </si>
  <si>
    <t>Top marginal federal indiv. income tax rate</t>
  </si>
  <si>
    <t>SOI website: Returns taxed at highest marginal tax rate</t>
  </si>
  <si>
    <t>Number of returns</t>
  </si>
  <si>
    <t>Income taxed at top rate ($billions)</t>
  </si>
  <si>
    <t>Tax from top rate ($billions)</t>
  </si>
  <si>
    <t>SOURCE: IRS, Statistics of Income Division, Publication 1304</t>
  </si>
  <si>
    <t>AGI of these returns ($billions)</t>
  </si>
  <si>
    <t>Number of tax units (thousands)</t>
  </si>
  <si>
    <t>National Income ($billions)</t>
  </si>
  <si>
    <t>taxable income, not AGI</t>
  </si>
  <si>
    <t>no data</t>
  </si>
  <si>
    <t>Table 21</t>
  </si>
  <si>
    <t>Table 26</t>
  </si>
  <si>
    <t>Income taxed at top rate as share of national income</t>
  </si>
  <si>
    <t>Taxes from top rate as share of national income</t>
  </si>
  <si>
    <t>about 0.1% for marginal rates of 60% and above, and about 0.5% at marginal rates of 50% or above</t>
  </si>
  <si>
    <t>ITEP</t>
  </si>
  <si>
    <t xml:space="preserve"> Shares by pre-tax after-transfer income </t>
  </si>
  <si>
    <t xml:space="preserve">Top 1% </t>
  </si>
  <si>
    <t>Payroll taxes</t>
  </si>
  <si>
    <t>Individual income tax</t>
  </si>
  <si>
    <t>Corp. income tax</t>
  </si>
  <si>
    <t>Excise Tax</t>
  </si>
  <si>
    <t>Federal Tax Rates</t>
  </si>
  <si>
    <t>Top quintile</t>
  </si>
  <si>
    <t>Social Security &amp; Medicare benefits</t>
  </si>
  <si>
    <t>Top Quintile</t>
  </si>
  <si>
    <r>
      <t>Source: CBO and a</t>
    </r>
    <r>
      <rPr>
        <sz val="10"/>
        <color theme="1"/>
        <rFont val="Times New Roman"/>
        <family val="1"/>
      </rPr>
      <t>uthors’ calculations.</t>
    </r>
  </si>
  <si>
    <t>Bottom 4 Quintiles (P0-80)</t>
  </si>
  <si>
    <t>Payroll taxes and social insurance transfers as a share of income</t>
  </si>
  <si>
    <t>Means-Tested
 Transfers</t>
  </si>
  <si>
    <t>Medicaid and
 CHIP</t>
  </si>
  <si>
    <t>SNAP</t>
  </si>
  <si>
    <t>SSI</t>
  </si>
  <si>
    <t>Other Transfers</t>
  </si>
  <si>
    <t>CHIP = Children’s Health Insurance Program; SNAP = Supplemental Nutrition Assistance Program; SSI = Supplemental Security Income.</t>
  </si>
  <si>
    <t>Table 6.</t>
  </si>
  <si>
    <t>Components of Means-Tested Transfers by Income Group, 1979 to 2016</t>
  </si>
  <si>
    <t>Table 7.</t>
  </si>
  <si>
    <t>Components of Federal Taxes, by Income Group, 1979 to 2016</t>
  </si>
  <si>
    <t>Market Income (pre-tax/pre-transfer income, $2016)</t>
  </si>
  <si>
    <t>Average Federal Taxes ($2016)</t>
  </si>
  <si>
    <t>Top quintile, Q5 ($2016)</t>
  </si>
  <si>
    <t>R-squared</t>
  </si>
  <si>
    <t>Notes: Bottom-code federal taxes at $100 because cannot take natural log of negative values in 2009 and 2010.</t>
  </si>
  <si>
    <t>Tax elasticity</t>
  </si>
  <si>
    <t>Kakwani index</t>
  </si>
  <si>
    <t>Number of individuals (millions)</t>
  </si>
  <si>
    <t>Weights for regression</t>
  </si>
  <si>
    <t>Replications for correctly weighted regression</t>
  </si>
  <si>
    <t>Intercept</t>
  </si>
  <si>
    <t>Zero Inc.</t>
  </si>
  <si>
    <t>Highest inc.</t>
  </si>
  <si>
    <t>1979 0.1 9.3 20</t>
  </si>
  <si>
    <t>1979 0.3 15 20</t>
  </si>
  <si>
    <t>1979 0.5 19.1 20</t>
  </si>
  <si>
    <t>1979 0.7 21.7 20</t>
  </si>
  <si>
    <t>1979 0.85 23.6 10</t>
  </si>
  <si>
    <t>1979 0.925 25.2 5</t>
  </si>
  <si>
    <t>1979 0.975 27.1 4</t>
  </si>
  <si>
    <t>1979 0.995 35.1 1</t>
  </si>
  <si>
    <t>Upper-right</t>
  </si>
  <si>
    <t>Rescaled to equal 100 in 1979</t>
  </si>
  <si>
    <t>Baseline (2014)</t>
  </si>
  <si>
    <t>New</t>
  </si>
  <si>
    <t>---</t>
  </si>
  <si>
    <t>2014 Sensitivity: +10% effective tax rate to each income group (proportional increase in rates)</t>
  </si>
  <si>
    <t>2014 Sensitivity: -10% effective tax rate to each income group (proportional decrease in rates)</t>
  </si>
  <si>
    <t xml:space="preserve">Tax progressivity </t>
  </si>
  <si>
    <t>Reynolds-Smolensky Index</t>
  </si>
  <si>
    <t>proportion of individuals</t>
  </si>
  <si>
    <t>Number of households (millions)</t>
  </si>
  <si>
    <t>Table 1.</t>
  </si>
  <si>
    <t>Demographics, by Income Group, 1979 to 2016</t>
  </si>
  <si>
    <t>Millions</t>
  </si>
  <si>
    <t>Number of Households</t>
  </si>
  <si>
    <t>Number of People</t>
  </si>
  <si>
    <t>Number of Children</t>
  </si>
  <si>
    <t>Number of Adults</t>
  </si>
  <si>
    <t>Number of Elderly</t>
  </si>
  <si>
    <t>check</t>
  </si>
  <si>
    <t>gap</t>
  </si>
  <si>
    <t>Table 3.</t>
  </si>
  <si>
    <t>Average Household Income, by Income Source and Income Group, 1979 to 2016</t>
  </si>
  <si>
    <t>Income After
 Transfers and
 Taxes</t>
  </si>
  <si>
    <t>Average Income After Transfers &amp; Taxes (CBO, household-level)</t>
  </si>
  <si>
    <t>Total Income After Transfers &amp; Taxes (CBO, $2016)</t>
  </si>
  <si>
    <t>Avg. Income After Transfers &amp; Taxes (CBO, HH-level $2016)</t>
  </si>
  <si>
    <t>Cumulative Share of Income After Taxes and Transfers</t>
  </si>
  <si>
    <t>Wtd. Change in Cum. Share of Income After Taxes and Transfers</t>
  </si>
  <si>
    <t>Cumulative Share of Income (CBO, inc. social insur.)</t>
  </si>
  <si>
    <t>Share of Income After Taxes and Transfers</t>
  </si>
  <si>
    <r>
      <t xml:space="preserve">Source: </t>
    </r>
    <r>
      <rPr>
        <sz val="10"/>
        <color theme="1"/>
        <rFont val="Times New Roman"/>
        <family val="1"/>
      </rPr>
      <t>Author's calculations using CBO data.</t>
    </r>
  </si>
  <si>
    <t>Income Definition</t>
  </si>
  <si>
    <t>Market income</t>
  </si>
  <si>
    <t>After-tax/transfer Income ($2016)</t>
  </si>
  <si>
    <t>Pre-tax/after-social insur. Income ($2016)</t>
  </si>
  <si>
    <t>Q5 redistribution rate</t>
  </si>
  <si>
    <r>
      <t>%</t>
    </r>
    <r>
      <rPr>
        <b/>
        <sz val="10"/>
        <color theme="1"/>
        <rFont val="Calibri"/>
        <family val="2"/>
      </rPr>
      <t>Δ</t>
    </r>
    <r>
      <rPr>
        <b/>
        <sz val="10"/>
        <color theme="1"/>
        <rFont val="Calibri"/>
        <family val="2"/>
        <scheme val="minor"/>
      </rPr>
      <t>Tax progressivity</t>
    </r>
  </si>
  <si>
    <t>ATI elast</t>
  </si>
  <si>
    <t>% Change</t>
  </si>
  <si>
    <t>+10% taxes</t>
  </si>
  <si>
    <t>A</t>
  </si>
  <si>
    <t>B</t>
  </si>
  <si>
    <t>A'</t>
  </si>
  <si>
    <t>B'</t>
  </si>
  <si>
    <t>%Δafter-tax income measures redistribution</t>
  </si>
  <si>
    <t xml:space="preserve">     • not independent of proportional changes</t>
  </si>
  <si>
    <t xml:space="preserve">     • sensitive to size of overall taxation</t>
  </si>
  <si>
    <t>Pre-tax income</t>
  </si>
  <si>
    <t>Tax</t>
  </si>
  <si>
    <t>After-tax income</t>
  </si>
  <si>
    <t>Log of values</t>
  </si>
  <si>
    <t>Dollar-based Values</t>
  </si>
  <si>
    <t>Slopes</t>
  </si>
  <si>
    <t>Intercepts</t>
  </si>
  <si>
    <t>Change</t>
  </si>
  <si>
    <t>Tax elast</t>
  </si>
  <si>
    <t>Net tax rate elast</t>
  </si>
  <si>
    <t>Net tax rate</t>
  </si>
  <si>
    <t>Top 1% or subfractile</t>
  </si>
  <si>
    <t>Top 0.5% shown, Top 1%=30.9</t>
  </si>
  <si>
    <t>Top 1% shown</t>
  </si>
  <si>
    <t>CBO + ITEP</t>
  </si>
  <si>
    <t>mixed</t>
  </si>
  <si>
    <t>Taxes + Means-tested Transfers + Social Insur. Benefits</t>
  </si>
  <si>
    <t>Avg. Federal Taxes ($2016)</t>
  </si>
  <si>
    <t>Avg. Means-tested Transfers ($2016)</t>
  </si>
  <si>
    <t>Avg. Social Insurance Benefits ($2016)</t>
  </si>
  <si>
    <t>Pre-tax/transfer Gini coefficient</t>
  </si>
  <si>
    <t>Source: NIPA 1.12               line 17  ($millions)</t>
  </si>
  <si>
    <t>Fraction taxable (not owned by retire. accts./non-profit)</t>
  </si>
  <si>
    <t>Taxable ret. earnings as share of national income</t>
  </si>
  <si>
    <t>Taxable ret. earnings as share of national income (5-yr MA)</t>
  </si>
  <si>
    <t>NIPA Corporate  retained earnings                                                                                                              (source: Auten-Splinter)</t>
  </si>
  <si>
    <t>Cumulative Share of Market Income (CBO)</t>
  </si>
  <si>
    <t>Wtd. Change in Cumulative Share of Market Income</t>
  </si>
  <si>
    <t>Share of Market Income (CBO)</t>
  </si>
  <si>
    <t>Table 10.</t>
  </si>
  <si>
    <t>Shares of Household Income, by Income Group, 1979 to 2016</t>
  </si>
  <si>
    <t>Income Before Transfers and Taxes</t>
  </si>
  <si>
    <t>Income After Transfers and Taxes</t>
  </si>
  <si>
    <t>Federal Taxes                                             + Means-tested Transfers</t>
  </si>
  <si>
    <t>SZ (2019)</t>
  </si>
  <si>
    <t>remove imputed underreported inc.</t>
  </si>
  <si>
    <t>Table C7: Average tax rates by g-percentile of pre-tax income, 2010</t>
  </si>
  <si>
    <t>Population: equal-split individuals above 1/2 minimum wage</t>
  </si>
  <si>
    <t>Current US$</t>
  </si>
  <si>
    <t>% of pre-tax income (incl. pure capital gains)</t>
  </si>
  <si>
    <t>% of pre-tax income</t>
  </si>
  <si>
    <t>G-percentile</t>
  </si>
  <si>
    <r>
      <t xml:space="preserve">Number of </t>
    </r>
    <r>
      <rPr>
        <sz val="12"/>
        <color theme="1"/>
        <rFont val="Arial"/>
        <family val="2"/>
      </rPr>
      <t>adults</t>
    </r>
  </si>
  <si>
    <t>Average pre-tax income (incl. pure capital gains)</t>
  </si>
  <si>
    <t>Average tax paid</t>
  </si>
  <si>
    <t>Income taxes</t>
  </si>
  <si>
    <t>Corporate taxes</t>
  </si>
  <si>
    <t>Property taxes</t>
  </si>
  <si>
    <t>Average fiscal income (excl. KG)</t>
  </si>
  <si>
    <t>Average realized capital gains</t>
  </si>
  <si>
    <t>Average wealth</t>
  </si>
  <si>
    <t>Of which: Top 400</t>
  </si>
  <si>
    <t>P0-10</t>
  </si>
  <si>
    <t>P10-20</t>
  </si>
  <si>
    <t>P20-30</t>
  </si>
  <si>
    <t>P30-40</t>
  </si>
  <si>
    <t>P40-50</t>
  </si>
  <si>
    <t>P50-60</t>
  </si>
  <si>
    <t>P60-70</t>
  </si>
  <si>
    <t>P70-80</t>
  </si>
  <si>
    <t>P99.99-top 400</t>
  </si>
  <si>
    <t>Top 400</t>
  </si>
  <si>
    <t>"Pre-tax" income</t>
  </si>
  <si>
    <t>Imputed retirement Inc. (PSZ)</t>
  </si>
  <si>
    <t>Imputed underreported income (AS)</t>
  </si>
  <si>
    <t>Downloaded 4/16/2020 from https://eml.berkeley.edu/~saez/SZ2019AppendixTables.xlsx</t>
  </si>
  <si>
    <t>total income ($billions)</t>
  </si>
  <si>
    <t>All Taxes</t>
  </si>
  <si>
    <t>Effective Tax Rates, 2010</t>
  </si>
  <si>
    <t xml:space="preserve">Saez and Zucman (2019) average amounts, 2010 </t>
  </si>
  <si>
    <t>total taxes ($billions)</t>
  </si>
  <si>
    <t>Missing Social Insur. (CBO)</t>
  </si>
  <si>
    <t>OASDI taxes</t>
  </si>
  <si>
    <t>OASDI taxes (estimated)</t>
  </si>
  <si>
    <t>https://www.ssa.gov/OACT/COLA/cbb.html</t>
  </si>
  <si>
    <t>106,800 base</t>
  </si>
  <si>
    <t>Refundable tax credits</t>
  </si>
  <si>
    <t>add Medicare to income</t>
  </si>
  <si>
    <t>remove imputed retirement income</t>
  </si>
  <si>
    <t>deduct refundable tax credits from taxes</t>
  </si>
  <si>
    <t>add OASDI taxes to income</t>
  </si>
  <si>
    <t>SZ pop</t>
  </si>
  <si>
    <t>Census adults</t>
  </si>
  <si>
    <t>missing share</t>
  </si>
  <si>
    <t>payroll tax holiday</t>
  </si>
  <si>
    <t>making work pay credit</t>
  </si>
  <si>
    <t>2008 recovery rebate credit</t>
  </si>
  <si>
    <t>add bottom 11%, deduct some income sources (e.g., sales taxes), &amp; other differences</t>
  </si>
  <si>
    <t>See page 128 of https://itep.org/wp-content/uploads/whopaysreport4th.pdf (excludes federal deduction offset)</t>
  </si>
  <si>
    <t>Estimated shares of PSZ (2018) pre-tax income by income group, 2010</t>
  </si>
  <si>
    <t>based on tab C19 of Auten-Splinter online spreadsheet</t>
  </si>
  <si>
    <t>bottom 90% =</t>
  </si>
  <si>
    <t>Other CBO retirement income</t>
  </si>
  <si>
    <t>employers contributions to deferred compensation plans</t>
  </si>
  <si>
    <t xml:space="preserve">Estimated SZ private retirement income ($billions) </t>
  </si>
  <si>
    <t>SZ pre-tax income ($billions)</t>
  </si>
  <si>
    <t>Passthrough business income on tax returns, 2010 ($billions)</t>
  </si>
  <si>
    <t>Estimated SZ imputed underreported income</t>
  </si>
  <si>
    <t>assumed total imputed underreported income</t>
  </si>
  <si>
    <t>Retirement income on tax returns ($billions)</t>
  </si>
  <si>
    <t xml:space="preserve"> Addenda: Other CBO retirement avg. income</t>
  </si>
  <si>
    <t>allocate bottom 90% (not broken out)</t>
  </si>
  <si>
    <t>author's calculation using INSOLE tax return file for 2010, includes all taxable pensions, annuities, and IRA distributions, groups as in SZ</t>
  </si>
  <si>
    <t>Average tax rates: Effect of adding state/local taxes to federal taxes, 2010</t>
  </si>
  <si>
    <r>
      <t xml:space="preserve">Sources: </t>
    </r>
    <r>
      <rPr>
        <sz val="10"/>
        <color theme="1"/>
        <rFont val="Times New Roman"/>
        <family val="1"/>
      </rPr>
      <t>CBO, Institute for Taxation and Economic Policy, and author's calculations.</t>
    </r>
  </si>
  <si>
    <t>Step-by-step reconciliation of Saez-Zucman and CBO+state/local average tax rates, 2010</t>
  </si>
  <si>
    <t>Average Federal Tax Rates by Income Group</t>
  </si>
  <si>
    <t>Bottom Quintile</t>
  </si>
  <si>
    <t>Middle Quintile</t>
  </si>
  <si>
    <r>
      <t xml:space="preserve">Source: </t>
    </r>
    <r>
      <rPr>
        <sz val="10"/>
        <color theme="1"/>
        <rFont val="Times New Roman"/>
        <family val="1"/>
      </rPr>
      <t>CBO (2019).</t>
    </r>
  </si>
  <si>
    <t>zeros</t>
  </si>
  <si>
    <t>1979-2016 change</t>
  </si>
  <si>
    <r>
      <t xml:space="preserve">Notes: </t>
    </r>
    <r>
      <rPr>
        <sz val="10"/>
        <color theme="1"/>
        <rFont val="Times New Roman"/>
        <family val="1"/>
      </rPr>
      <t>Black line at the top is total federal tax burden. For the bottom quintile, average income tax rates are generally negative and shown with the bold red line at the bottom of the right figure, while other positive taxes stack after these negative tax rates.</t>
    </r>
  </si>
  <si>
    <t>Average transfer rates by type of transfer and income group, 1979-2016</t>
  </si>
  <si>
    <t>household_type</t>
  </si>
  <si>
    <t>income_group</t>
  </si>
  <si>
    <t>year</t>
  </si>
  <si>
    <t>means_tested_transfers</t>
  </si>
  <si>
    <t>medicaid_and_chip</t>
  </si>
  <si>
    <t>snap</t>
  </si>
  <si>
    <t>ssi</t>
  </si>
  <si>
    <t>other_transfers</t>
  </si>
  <si>
    <t>all_households</t>
  </si>
  <si>
    <t>all_quintiles</t>
  </si>
  <si>
    <t>lowest_quintile</t>
  </si>
  <si>
    <t>second_quintile</t>
  </si>
  <si>
    <t>middle_quintile</t>
  </si>
  <si>
    <t>fourth_quintile</t>
  </si>
  <si>
    <t>highest_quintile</t>
  </si>
  <si>
    <t>percentiles_81_90</t>
  </si>
  <si>
    <t>percentiles_91_95</t>
  </si>
  <si>
    <t>percentiles_96_99</t>
  </si>
  <si>
    <t>top_1_percent</t>
  </si>
  <si>
    <t>Transfer Rates (from CBO data for researchers)</t>
  </si>
  <si>
    <t>Ranked by income including social insur. benefits</t>
  </si>
  <si>
    <t>Ranked by market income</t>
  </si>
  <si>
    <t>Medicaid</t>
  </si>
  <si>
    <t>All federal taxes</t>
  </si>
  <si>
    <t>Other transfers</t>
  </si>
  <si>
    <t>Average Redistribution Rates (after-soc insur. income)</t>
  </si>
  <si>
    <t>Average redistribution rates by income group, 1979-2016 (excluding social insurance benefits)</t>
  </si>
  <si>
    <t>Means-tested Transfers</t>
  </si>
  <si>
    <t>Income incl soc. Ins. benefits</t>
  </si>
  <si>
    <t>Red. Rate excl. MTT</t>
  </si>
  <si>
    <t>Average Redistribution Rates (incl. SIBs transfers)</t>
  </si>
  <si>
    <t>Avg. Federal Tax Rate (CBO, excluding means-tested transfers)</t>
  </si>
  <si>
    <t>ADDED BY SPLINTER</t>
  </si>
  <si>
    <t>Means-tested Transfers ($2016)</t>
  </si>
  <si>
    <t>market income</t>
  </si>
  <si>
    <t>federal_taxes</t>
  </si>
  <si>
    <t>market_income</t>
  </si>
  <si>
    <t>social_insurance_benefits</t>
  </si>
  <si>
    <t>CBO Household Income (extra data for researchers): ranked by market income</t>
  </si>
  <si>
    <t>Means-test transfers</t>
  </si>
  <si>
    <t>Soc. Ins.</t>
  </si>
  <si>
    <t>Means-Tested Transfers ($2016)</t>
  </si>
  <si>
    <t>Social Insur. Benefits ($2016)</t>
  </si>
  <si>
    <t>Income Shares ranked by market income</t>
  </si>
  <si>
    <t>market_inc</t>
  </si>
  <si>
    <t>inc_after_transfers_taxes</t>
  </si>
  <si>
    <t>Avg. market income ($2016)</t>
  </si>
  <si>
    <t>Effective Redistribution Rates, 2016 (households ranked by market income)</t>
  </si>
  <si>
    <t>RS index</t>
  </si>
  <si>
    <t>Reynolds-Smolensky index (from market income)</t>
  </si>
  <si>
    <t>social_security</t>
  </si>
  <si>
    <t>medicare</t>
  </si>
  <si>
    <t>unemployment_insurance</t>
  </si>
  <si>
    <t>workers_compensation</t>
  </si>
  <si>
    <t>SNAP+SSI+other transfers</t>
  </si>
  <si>
    <t>transfers</t>
  </si>
  <si>
    <t>Social Security &amp; Disab.</t>
  </si>
  <si>
    <t>All transfers</t>
  </si>
  <si>
    <r>
      <t xml:space="preserve">Notes: </t>
    </r>
    <r>
      <rPr>
        <sz val="10"/>
        <color theme="1"/>
        <rFont val="Times New Roman"/>
        <family val="1"/>
      </rPr>
      <t>Top black line is total transfers as a share of market income. Households are ranked by market income.</t>
    </r>
  </si>
  <si>
    <t>Proportional Tax: 0 represents proportional taxes (twice as much income results in twice as much taxes)</t>
  </si>
  <si>
    <t>Average Federal Tax Rates by Income Group, 1979–2016</t>
  </si>
  <si>
    <t>Average redistribution rates by market income group, 1979–2016 (including social insurance benefits as transfers)</t>
  </si>
  <si>
    <t>Joint Committee on Taxation. 2014. “Distributional Effects of Tax Reform of 2014.” JCX-21-14.</t>
  </si>
  <si>
    <t>https://www.jct.gov/publications.html?func=startdown&amp;id=4563</t>
  </si>
  <si>
    <t>JCT, 2015 Federal Taxes</t>
  </si>
  <si>
    <t>Notes: See JCT for details. Nubmer of returns are from internal model. Excludes estate and gift taxes. For allocating into relative groups, estimates take account of average rates being lower in bottom-portions of absolute income groups.</t>
  </si>
  <si>
    <t>Tax Units</t>
  </si>
  <si>
    <t>After-tax/transfer concentration coefficient</t>
  </si>
  <si>
    <t>Panel A: Baseline tax rates</t>
  </si>
  <si>
    <t>Share of tax units taxed at top federal individual income tax rate</t>
  </si>
  <si>
    <t>Taxable corporate retained earnings as a share of national income</t>
  </si>
  <si>
    <t xml:space="preserve">Source: CBO, TPC, Auten and Splinter (2019). </t>
  </si>
  <si>
    <t>Notes: Average tax rates are federal individual income taxes divided by income.</t>
  </si>
  <si>
    <t>%Δ Taxes measures progressivity</t>
  </si>
  <si>
    <t xml:space="preserve">     • independent of proportional tax changes</t>
  </si>
  <si>
    <t xml:space="preserve">     • not sensitive to amount of total taxation</t>
  </si>
  <si>
    <t>author's calculation using INSOLE tax return file for 2010, includes positive partnership, S corp, self-empl, farm, and rental income, groups as in SZ</t>
  </si>
  <si>
    <t>Other estimates and imputations</t>
  </si>
  <si>
    <t>Reduce by 1 for to make more comparable to other progressivity indexes.</t>
  </si>
  <si>
    <r>
      <t>Notes</t>
    </r>
    <r>
      <rPr>
        <sz val="10"/>
        <color theme="1"/>
        <rFont val="Times New Roman"/>
        <family val="1"/>
      </rPr>
      <t>:Average tax rates are taxes divided by income, defined CBO as market income including social insurance benefits.</t>
    </r>
  </si>
  <si>
    <t>corporate retained earnings ($billion)</t>
  </si>
  <si>
    <t>[All figures are estimates based on samples--money amounts are in thousands of dollars]</t>
  </si>
  <si>
    <t>NIPA table 1.12 line 12</t>
  </si>
  <si>
    <t>TOP AGI PERCENTILES ($thousands)</t>
  </si>
  <si>
    <t>Amount</t>
  </si>
  <si>
    <t>Effective</t>
  </si>
  <si>
    <t>Share of</t>
  </si>
  <si>
    <t xml:space="preserve">Share of </t>
  </si>
  <si>
    <t>AGI plus</t>
  </si>
  <si>
    <t>Total tax</t>
  </si>
  <si>
    <t>New Effective</t>
  </si>
  <si>
    <t>Size of adjusted</t>
  </si>
  <si>
    <t>Number of</t>
  </si>
  <si>
    <t>Top AGI</t>
  </si>
  <si>
    <t>tax rate</t>
  </si>
  <si>
    <t>after credits</t>
  </si>
  <si>
    <t>gross income</t>
  </si>
  <si>
    <t>returns</t>
  </si>
  <si>
    <t>Total Adjusted</t>
  </si>
  <si>
    <t>percentile</t>
  </si>
  <si>
    <t>of top AGI</t>
  </si>
  <si>
    <t>earnings of</t>
  </si>
  <si>
    <t xml:space="preserve">of </t>
  </si>
  <si>
    <t>Gross Income</t>
  </si>
  <si>
    <t>percentiles [1]</t>
  </si>
  <si>
    <t xml:space="preserve"> top percentiles</t>
  </si>
  <si>
    <t>top percentiles</t>
  </si>
  <si>
    <t>percentiles [2]</t>
  </si>
  <si>
    <t>All returns, total</t>
  </si>
  <si>
    <t>-</t>
  </si>
  <si>
    <t>$1,000 under $1,500</t>
  </si>
  <si>
    <t>$1,500 under $2,000</t>
  </si>
  <si>
    <t>$2,000 under $2,500</t>
  </si>
  <si>
    <t>$2,500 under $3,000</t>
  </si>
  <si>
    <t>$10,000 under $15,000</t>
  </si>
  <si>
    <t>$15,000 under $20,000</t>
  </si>
  <si>
    <t>$20,000 under $25,000</t>
  </si>
  <si>
    <t>$50,000 under $100,000</t>
  </si>
  <si>
    <t>$100,000 under $150,000</t>
  </si>
  <si>
    <t>$500,000 under $1,000,000</t>
  </si>
  <si>
    <t>$1,000,000 or more</t>
  </si>
  <si>
    <t>[1] Effective tax rate defined as tax after credits as a proportion of adjusted gross income by AGI level and all higher AGI levels.</t>
  </si>
  <si>
    <t>[2] Including corporate retained earnings in the income denominator.</t>
  </si>
  <si>
    <t>Note: Detail may not add to totals because of rounding. Totals include dependent returns.</t>
  </si>
  <si>
    <t>interpolated top 1%</t>
  </si>
  <si>
    <t>interpolated top 0.1%</t>
  </si>
  <si>
    <t>Added by Splinter</t>
  </si>
  <si>
    <t>https://www.taxpolicycenter.org/statistics/effective-tax-rate-agi-1935-2015</t>
  </si>
  <si>
    <t>1955 Effective Tax Rate by size of Adjusted Gross Income</t>
  </si>
  <si>
    <t>Under $600</t>
  </si>
  <si>
    <t>$600 under $1,000</t>
  </si>
  <si>
    <t>$3,000 under $3,500</t>
  </si>
  <si>
    <t>$3,500 under $4,000</t>
  </si>
  <si>
    <t>$4,000 under $4,500</t>
  </si>
  <si>
    <t>$4,500 under $5,000</t>
  </si>
  <si>
    <t>$5,000 under $6,000</t>
  </si>
  <si>
    <t>$6,000 under $7,000</t>
  </si>
  <si>
    <t>$7,000 under $8,000</t>
  </si>
  <si>
    <t>$8,000 under $9,000</t>
  </si>
  <si>
    <t>$9,000 under $10,000</t>
  </si>
  <si>
    <t>$25,000 under $30,000</t>
  </si>
  <si>
    <t>$30,000 under $50,000</t>
  </si>
  <si>
    <t>$150,000 under $200,000</t>
  </si>
  <si>
    <t>$200,000 under $500,000</t>
  </si>
  <si>
    <t>Source: TPC calculations and IRS, Statistics of Income, Individual Income Tax Returns for 1955, Table 1</t>
  </si>
  <si>
    <t>https://www.irs.gov/pub/irs-soi/55inar.pdf</t>
  </si>
  <si>
    <t>https://www.irs.gov/statistics/soi-tax-stats-archive-1954-to-1999-individual-income-tax-return-reports</t>
  </si>
  <si>
    <t xml:space="preserve"> of</t>
  </si>
  <si>
    <t>dividends</t>
  </si>
  <si>
    <t>From Tax Policy Center</t>
  </si>
  <si>
    <t>CBO Top 1% Average Federal Tax Rate</t>
  </si>
  <si>
    <t>Auten-Splinter Top 1% average federal tax rate</t>
  </si>
  <si>
    <t>Tax  Elasticity</t>
  </si>
  <si>
    <t>Notes: Hypothetical example: initial A income of $10K and tax $1K, B income of $100K and tax of $30K; after 100 percent tax increase, final A tax of $2K and B tax of $60K.</t>
  </si>
  <si>
    <t>Wtd. Change in Cum. Share of Pseudo After-tax/transfer Income</t>
  </si>
  <si>
    <t>Pseudo After-tax/transfer conc. coefficient</t>
  </si>
  <si>
    <t>Cumulative Share of Pseudo After-tax/transfer Income</t>
  </si>
  <si>
    <t>Share of Pseudo After-tax/transfer Income</t>
  </si>
  <si>
    <t>num_households</t>
  </si>
  <si>
    <t>payroll_taxes</t>
  </si>
  <si>
    <t>nonpayroll taxes</t>
  </si>
  <si>
    <t>1985-2016</t>
  </si>
  <si>
    <t>Elasticity of disposable income (EDI)</t>
  </si>
  <si>
    <t>Net of tax elasticity</t>
  </si>
  <si>
    <t>from Feenberg, Ferriere, and Navarro (2017)</t>
  </si>
  <si>
    <t>from Felstein (1969) and Heathcote, Storesletten, and Violante (2017)</t>
  </si>
  <si>
    <t>EDI</t>
  </si>
  <si>
    <t>LN of After tax income</t>
  </si>
  <si>
    <t>LN of Pre-tax Income (CBO, excluding means-tested transfers)</t>
  </si>
  <si>
    <t>Redistribution</t>
  </si>
  <si>
    <t>EDI: elasticity of disposable income</t>
  </si>
  <si>
    <t>%Δ EDI</t>
  </si>
  <si>
    <t>%Δ Net of tax elasticity</t>
  </si>
  <si>
    <t>corp tax of</t>
  </si>
  <si>
    <t>corp ret. earn &amp;</t>
  </si>
  <si>
    <t>corporate taxes ($billion)</t>
  </si>
  <si>
    <t>NIPA table 3.2 line 8</t>
  </si>
  <si>
    <t>corp taxes</t>
  </si>
  <si>
    <t>3/4 of corp tax</t>
  </si>
  <si>
    <t>NBER recession at least one quarter of calendar year</t>
  </si>
  <si>
    <t>size-adjusted rates from spreadsheet: https://www.taxpolicycenter.org/model-estimates/individual-income-tax-expenditures/average-effective-federal-tax-rates-filing-1</t>
  </si>
  <si>
    <t>Size-Adjusted Values</t>
  </si>
  <si>
    <t>Alternative 2: Reynolds-Smolensky Redistribution: Exclude effects of both payroll taxes and social insur. benefits from after-tax/transfer income</t>
  </si>
  <si>
    <t>Alternative 1: Reynolds-Smolensky Redistribution: Include social insurance benefits in pre-tax/transfer income (i.e., only means-tested transfers are considered for redistribution)</t>
  </si>
  <si>
    <t>Alternative 3: Reynolds-Smolensky Tax Redistribution: Only measure redistributive effect of taxes (compare pre-tax and after-tax incomes, without effects of any transfers)</t>
  </si>
  <si>
    <t>Wtd. Change in Cum. Share of  After-tax/pre-transfer Income</t>
  </si>
  <si>
    <t>Cumulative Share of After-tax/pre-transfer Income</t>
  </si>
  <si>
    <t>Share of After-tax/pre-transfer Income</t>
  </si>
  <si>
    <t>Federal tax elasticity in 1979 (elasticity of tax with respect to pre-tax income)</t>
  </si>
  <si>
    <t>Avg. Real Income (CBO, exclud. means-tested transfers, $2016)</t>
  </si>
  <si>
    <t>Average Federal Tax Rate (CBO, excluding means-tested transfers)</t>
  </si>
  <si>
    <t>-(LN of 1 - Federal Average Tax Rate)</t>
  </si>
  <si>
    <t>Panel B: Equal proportionate increase in avg. tax rates of 10 percent (e.g., from tax rate of 10% to 11%)</t>
  </si>
  <si>
    <t>Panel C: Equal proportionate decrease in avg. tax rates of 10 percent (e.g., from tax rate of 10% to 9%)</t>
  </si>
  <si>
    <t>Panel D: Equal proportionate decrease in incomes of 10 percent (e.g., from tax rate of 10% to 11%)</t>
  </si>
  <si>
    <t>adj. to account for negatives (which CBO excludes)</t>
  </si>
  <si>
    <t>Baseline</t>
  </si>
  <si>
    <t>Panel E: Equal proportionate increase in income sof 10 percent (e.g., from tax rate of 10% to 9%)</t>
  </si>
  <si>
    <t>Share of Income (CBO, market plus soc. insur. benefits)</t>
  </si>
  <si>
    <t>Cumulative Share of Income (CBO, market plus soc. insur. benefits)</t>
  </si>
  <si>
    <t>Avg. Federal Tax Rate (CBO)</t>
  </si>
  <si>
    <t>Average Income (CBO, market plus soc. insur. benefits)</t>
  </si>
  <si>
    <t>Share of Income After Taxes and Transfers (CBO)</t>
  </si>
  <si>
    <t>Gini Coefficients                          (CBO, 2019 figure 16)</t>
  </si>
  <si>
    <t>Alternative 4: Reynolds-Smolensky Redistribution with re-ranking (use Gini coefficient instead of concentration index)</t>
  </si>
  <si>
    <t>Income after taxes and transfers</t>
  </si>
  <si>
    <t>%difference from main estimates</t>
  </si>
  <si>
    <t>2014 Sensitivity: -10% income</t>
  </si>
  <si>
    <t xml:space="preserve">2014 Sensitivity: +10% income </t>
  </si>
  <si>
    <t xml:space="preserve">2014 Sensitivity: -10% income </t>
  </si>
  <si>
    <t xml:space="preserve">2014 Sensitivity: +10% incomes </t>
  </si>
  <si>
    <t xml:space="preserve">2014 Sensitivity: -10% income to each income group </t>
  </si>
  <si>
    <t>2014 Sensitivity: +10% income to each income group</t>
  </si>
  <si>
    <t>Insensitivity of tax progressivity measures and sensitivty of redistribution measures to changes in avg. tax rates (and insensitivity of both to changes in income)</t>
  </si>
  <si>
    <t>2014 Sensitivity: +10% incomes</t>
  </si>
  <si>
    <t>Share paying no federal individual income tax (only adults 20-64 years old), from Splinter (2019, Who Pays No Tax?)</t>
  </si>
  <si>
    <t xml:space="preserve">Note: Excludes returns with losses, often wealthy with short-term </t>
  </si>
  <si>
    <t>taxable income losses. Allocate these proportionally over distribution.</t>
  </si>
  <si>
    <t>U.S. Tax Progressivity and Redistribution</t>
  </si>
  <si>
    <t>A1</t>
  </si>
  <si>
    <t>Figures in Main Paper</t>
  </si>
  <si>
    <t>Figure 1: Average Federal Tax Rates by Income Group, 2014 and recent years</t>
  </si>
  <si>
    <t>Average Federal Tax Rates by Income Group, 2014 and recent years</t>
  </si>
  <si>
    <t>Figure 2: Average Federal Tax Rates by Income Group, 1979–2016</t>
  </si>
  <si>
    <r>
      <t>Notes</t>
    </r>
    <r>
      <rPr>
        <sz val="10"/>
        <color theme="1"/>
        <rFont val="Times New Roman"/>
        <family val="1"/>
      </rPr>
      <t>: Percentage point changes between 1979 and 2016 shown at right. Average tax rates are taxes divided by income (market income plus social insurance benefits).</t>
    </r>
  </si>
  <si>
    <t>Figure 3: Kakwani Index of Federal Tax Progressivity, 2016</t>
  </si>
  <si>
    <t>Kakwani Index of Federal Tax Progressivity, 2016</t>
  </si>
  <si>
    <t>Figure 4: Increase in Federal Tax Progressivity, 1979–2016 (1979=100)</t>
  </si>
  <si>
    <t>Increase in Federal Tax Progressivity, 1979–2016 (1979=100)</t>
  </si>
  <si>
    <r>
      <t>Source:</t>
    </r>
    <r>
      <rPr>
        <sz val="10"/>
        <color theme="1"/>
        <rFont val="Times New Roman"/>
        <family val="1"/>
      </rPr>
      <t xml:space="preserve"> Author’s calculations using CBO data.</t>
    </r>
    <r>
      <rPr>
        <i/>
        <sz val="10"/>
        <color theme="1"/>
        <rFont val="Times New Roman"/>
        <family val="1"/>
      </rPr>
      <t xml:space="preserve"> Notes: </t>
    </r>
    <r>
      <rPr>
        <sz val="10"/>
        <color theme="1"/>
        <rFont val="Times New Roman"/>
        <family val="1"/>
      </rPr>
      <t>Income is market income plus social insurance benefits.</t>
    </r>
  </si>
  <si>
    <t>Figure 5: Top Marginal Tax Rates Are Not a Measure of Tax Progressivity</t>
  </si>
  <si>
    <t>Top Marginal Tax Rates Are Not a Measure of Tax Progressivity</t>
  </si>
  <si>
    <t>Progressivity versus Redistribution Measures</t>
  </si>
  <si>
    <t>Average Redistribution Rates (federal taxes less transfers) as a Share of Market Income, 2016</t>
  </si>
  <si>
    <r>
      <t xml:space="preserve">Notes: </t>
    </r>
    <r>
      <rPr>
        <sz val="10"/>
        <color theme="1"/>
        <rFont val="Times New Roman"/>
        <family val="1"/>
      </rPr>
      <t>Individuals are ranked by size-adjusted household market income.</t>
    </r>
  </si>
  <si>
    <t>Reynolds–Smolensky Redistribution Index, 2016</t>
  </si>
  <si>
    <r>
      <t xml:space="preserve">Notes: </t>
    </r>
    <r>
      <rPr>
        <sz val="10"/>
        <color theme="1"/>
        <rFont val="Times New Roman"/>
        <family val="1"/>
      </rPr>
      <t>Individuals are ranked by size-adjusted household market income. Years are shaded if a recession occurs during at least one quarter.</t>
    </r>
  </si>
  <si>
    <t>Figure A1: Average Federal Tax Rates by Type of Tax and Income Group, 1979–2016</t>
  </si>
  <si>
    <t>Average Federal Tax Rates by Type of Tax and Income Group, 1979–2016</t>
  </si>
  <si>
    <t>Online Appendix</t>
  </si>
  <si>
    <t>B1</t>
  </si>
  <si>
    <t>B2</t>
  </si>
  <si>
    <t>B3</t>
  </si>
  <si>
    <t>B4</t>
  </si>
  <si>
    <t>B5</t>
  </si>
  <si>
    <t>B6</t>
  </si>
  <si>
    <t>Federal tax elasticity in 1979</t>
  </si>
  <si>
    <t>Average redistribution rates (federal taxes less transfers) by income group, 1979–2016</t>
  </si>
  <si>
    <t xml:space="preserve">Top federal individual income tax rate and degree of high-income tax sheltering,
 as measured by taxable corporate retained earnings as a share of national income, 1960–2015 </t>
  </si>
  <si>
    <t>Average tax rates in 2010: Effect of adding state/local taxes to federal taxes</t>
  </si>
  <si>
    <t xml:space="preserve">Step-by-step reconciliation of Saez-Zucman and CBO + state/local average tax rates, 2010 </t>
  </si>
  <si>
    <t>Additional Data</t>
  </si>
  <si>
    <t>C0</t>
  </si>
  <si>
    <t>C1</t>
  </si>
  <si>
    <t>C2</t>
  </si>
  <si>
    <t>C3</t>
  </si>
  <si>
    <t>C4a</t>
  </si>
  <si>
    <t>C4b</t>
  </si>
  <si>
    <t>C4c</t>
  </si>
  <si>
    <t>C4d</t>
  </si>
  <si>
    <t>C5</t>
  </si>
  <si>
    <t>C6</t>
  </si>
  <si>
    <t>C7</t>
  </si>
  <si>
    <t>Data Sources</t>
  </si>
  <si>
    <t>CBO Tax Rates</t>
  </si>
  <si>
    <t>CBO Demographics</t>
  </si>
  <si>
    <t>CBO Incomes</t>
  </si>
  <si>
    <t>CBO Taxes</t>
  </si>
  <si>
    <t>CBO Income Shares</t>
  </si>
  <si>
    <t>CBO Transfers</t>
  </si>
  <si>
    <t>CBO Household-level incomes</t>
  </si>
  <si>
    <t>Splinter (2019): Who Pays No Tax?</t>
  </si>
  <si>
    <t>Saez and Zucman (2019)</t>
  </si>
  <si>
    <t>Piketty and Saez (2004)</t>
  </si>
  <si>
    <t>Historical average federal individual income tax rates when including corporate retained earnings and taxes, 1955 and 1965</t>
  </si>
  <si>
    <t xml:space="preserve">Increase in Reynolds-Smolensky Tax/Transfer Redistribution Index, 1979–2016 (1979=100) </t>
  </si>
  <si>
    <t xml:space="preserve">Share of tax units taxed at top federal individual income tax rate and top rate, 1960–2016 </t>
  </si>
  <si>
    <t>Average transfer rates by type of transfer and income group, 1979–2016</t>
  </si>
  <si>
    <t>Average redistribution rates by income group, 1979–2016 (excluding social insurance benefits)</t>
  </si>
  <si>
    <t>Alternative 1: Reynolds–Smolensky Redistribution: Include social insurance benefits in pre-tax/transfer income (i.e., only means-tested transfers are considered for redistribution)</t>
  </si>
  <si>
    <t>Alternative 2: Reynolds–Smolensky Redistribution: Exclude effects of both payroll taxes and social insur. benefits from after-tax/transfer income</t>
  </si>
  <si>
    <t>Alternative 3: Reynolds–Smolensky Tax Redistribution: Only measure redistributive effect of taxes (compare pre-tax and after-tax incomes, without effects of any transfers)</t>
  </si>
  <si>
    <t>Alternative 4: Reynolds–Smolensky Redistribution with re-ranking (use Gini coefficient instead of concentration index)</t>
  </si>
  <si>
    <t>https://www.treasury.gov/resource-center/tax-policy/tax-analysis/Documents/Distribution-of-Tax-Burden-Current-Law-2015-Revised.xlsx</t>
  </si>
  <si>
    <t>Downloaded Oct. 4, 2019</t>
  </si>
  <si>
    <t>Distribution Table:  2015 001</t>
  </si>
  <si>
    <t>Distribution of Families, Cash Income, and Federal Taxes under 2015 Current Law</t>
  </si>
  <si>
    <t>(2015 Income Levels)</t>
  </si>
  <si>
    <r>
      <t>Adjusted Family Cash Income Decile</t>
    </r>
    <r>
      <rPr>
        <vertAlign val="superscript"/>
        <sz val="10"/>
        <rFont val="Arial"/>
        <family val="2"/>
      </rPr>
      <t>1</t>
    </r>
  </si>
  <si>
    <t xml:space="preserve">Number of Families </t>
  </si>
  <si>
    <t>Number of Individuals</t>
  </si>
  <si>
    <t>Family Cash Income</t>
  </si>
  <si>
    <r>
      <t>Total Federal Taxes</t>
    </r>
    <r>
      <rPr>
        <vertAlign val="superscript"/>
        <sz val="10"/>
        <rFont val="Arial"/>
        <family val="2"/>
      </rPr>
      <t>2</t>
    </r>
  </si>
  <si>
    <t>Individual Income Taxes</t>
  </si>
  <si>
    <t>Corporate Income Taxes</t>
  </si>
  <si>
    <t>Excises and Customs Duties</t>
  </si>
  <si>
    <t>Author's calculations: Treasury rates</t>
  </si>
  <si>
    <t>Avg. Fed. Tax Rate</t>
  </si>
  <si>
    <t>---  Millions of Families and Billions of Dollars ---</t>
  </si>
  <si>
    <t>no payroll</t>
  </si>
  <si>
    <r>
      <t>0 to 10</t>
    </r>
    <r>
      <rPr>
        <vertAlign val="superscript"/>
        <sz val="10"/>
        <rFont val="Arial"/>
        <family val="2"/>
      </rPr>
      <t>3</t>
    </r>
  </si>
  <si>
    <t>10 to 20</t>
  </si>
  <si>
    <t>20 to 30</t>
  </si>
  <si>
    <t>30 to 40</t>
  </si>
  <si>
    <t>40 to 50</t>
  </si>
  <si>
    <t>50 to 60</t>
  </si>
  <si>
    <t>60 to 70</t>
  </si>
  <si>
    <t>70 to 80</t>
  </si>
  <si>
    <t>80 to 90</t>
  </si>
  <si>
    <t>Top 0.1%</t>
  </si>
  <si>
    <t>90 to 100</t>
  </si>
  <si>
    <r>
      <t>Total</t>
    </r>
    <r>
      <rPr>
        <vertAlign val="superscript"/>
        <sz val="10"/>
        <rFont val="Arial"/>
        <family val="2"/>
      </rPr>
      <t>3</t>
    </r>
  </si>
  <si>
    <t>90 to 95</t>
  </si>
  <si>
    <t>95 to 99</t>
  </si>
  <si>
    <t>99 to 99.9</t>
  </si>
  <si>
    <t>Top .1</t>
  </si>
  <si>
    <t>---  Percent Distribution ---</t>
  </si>
  <si>
    <r>
      <t>---  Average Rates</t>
    </r>
    <r>
      <rPr>
        <i/>
        <vertAlign val="superscript"/>
        <sz val="10"/>
        <rFont val="Arial"/>
        <family val="2"/>
      </rPr>
      <t>4</t>
    </r>
    <r>
      <rPr>
        <i/>
        <sz val="10"/>
        <rFont val="Arial"/>
        <family val="2"/>
      </rPr>
      <t xml:space="preserve"> ---</t>
    </r>
  </si>
  <si>
    <t>U.S. Department of the Treasury</t>
  </si>
  <si>
    <t>Revised July 24, 2015</t>
  </si>
  <si>
    <t xml:space="preserve">     Office of Tax Analysis</t>
  </si>
  <si>
    <r>
      <rPr>
        <vertAlign val="superscript"/>
        <sz val="11"/>
        <rFont val="Arial"/>
        <family val="2"/>
      </rPr>
      <t>1</t>
    </r>
    <r>
      <rPr>
        <sz val="11"/>
        <rFont val="Arial"/>
        <family val="2"/>
      </rPr>
      <t xml:space="preserve"> Cash Income consists of wages and salaries, net income from a business or farm, taxable and tax-exempt interest, dividends, rental income, realized capital gains, cash and near-cash transfers from the government, retirement benefits, and employer-provided health insurance (and other employer benefits).  Employer contributions for payroll taxes and the federal corporate income tax are added to place cash on a pre-tax basis. Families are placed into deciles based on cash income adjusted for family size, by dividing income by the square root of family size.                                                                                                                                                                                                                                                                                                                                                                      </t>
    </r>
    <r>
      <rPr>
        <vertAlign val="superscript"/>
        <sz val="11"/>
        <rFont val="Arial"/>
        <family val="2"/>
      </rPr>
      <t>2</t>
    </r>
    <r>
      <rPr>
        <sz val="11"/>
        <rFont val="Arial"/>
        <family val="2"/>
      </rPr>
      <t xml:space="preserve"> The taxes included are individual and corporate income, payroll (Social Security, Medicare and unemployment), excises, customs duties, and estate and gift taxes. The individual income tax is assumed to be borne by payers, payroll taxes (employer and employee shares) by labor (wages and self-employment income), excises on purchases by individuals in proportion to relative consumption of the taxed good and proportionately by labor and capital income and excises on purchases by businesses and customs duties proportionately by labor and capital income, and the estate and gift taxes by decedents. The share of the corporate income tax that represents cash flow is assumed to have no burden in the long run; the share of the corporate income tax that represents a tax on supernormal returns is assumed to be borne by supernormal corporate capital income as held by shareholders; and the remainder of the corporate income tax, the normal return, is assumed to be borne equally by labor and positive normal capital income.                                                                                                                                                                                                                                                     </t>
    </r>
    <r>
      <rPr>
        <vertAlign val="superscript"/>
        <sz val="11"/>
        <rFont val="Arial"/>
        <family val="2"/>
      </rPr>
      <t>3</t>
    </r>
    <r>
      <rPr>
        <sz val="11"/>
        <rFont val="Arial"/>
        <family val="2"/>
      </rPr>
      <t xml:space="preserve"> Families with negative incomes are excluded from the lowest income decile but included in the total line.                                                                                                                                                                  </t>
    </r>
    <r>
      <rPr>
        <vertAlign val="superscript"/>
        <sz val="11"/>
        <rFont val="Arial"/>
        <family val="2"/>
      </rPr>
      <t>4</t>
    </r>
    <r>
      <rPr>
        <sz val="11"/>
        <rFont val="Arial"/>
        <family val="2"/>
      </rPr>
      <t xml:space="preserve"> Average tax rates are calculated as total tax burden for the income group divided by cash income for the income group. Negative average tax rates are shown when net federal tax burdens are negative for the income group.</t>
    </r>
  </si>
  <si>
    <t>Note:  Percentiles begin at family size-adjusted cash income of:  $11,167 for 10 to 20;  $16,270 for 20 to 30;  $21,568 for 30 to 40;  $28,279 for 40 to 50; $36,724 50 to 60;  $47,102 60 to 70;  $59,200 for 70 to 80;  $77,072 for 80 to 90;  $110,791 for 90 to 95;  $154,829 for 95 to 99;  $344,073 for 99 to 99.9 and  $1,462,048 for Top .1.</t>
  </si>
  <si>
    <t>all federal taxes</t>
  </si>
  <si>
    <t>OTA</t>
  </si>
  <si>
    <t>bottom quintile is -5.4, but rounded to fit on figure</t>
  </si>
  <si>
    <r>
      <t xml:space="preserve">Sources: </t>
    </r>
    <r>
      <rPr>
        <sz val="10"/>
        <color theme="1"/>
        <rFont val="Times New Roman"/>
        <family val="1"/>
      </rPr>
      <t>JCT, TPC, OTA, CBO, Piketty and Saez (2007), and Auten and Splinter (2019a).</t>
    </r>
  </si>
  <si>
    <t>index</t>
  </si>
  <si>
    <t>Suits Index</t>
  </si>
  <si>
    <t>Change in Cumulative Share of Federal Taxes by share of income</t>
  </si>
  <si>
    <t>Cumul. Share of Income (CBO, market plus soc. insur. benefits)</t>
  </si>
  <si>
    <t>Wtd. Change in Cumulative Share of Income</t>
  </si>
  <si>
    <t>Cumulative Share of federal taxes</t>
  </si>
  <si>
    <t>Cumulative Share of Income</t>
  </si>
  <si>
    <t>45 deg</t>
  </si>
  <si>
    <t>Suits Index of Federal Tax Progressivity</t>
  </si>
  <si>
    <t>C8</t>
  </si>
  <si>
    <t>MIDPOINT: Wtd. Change in Cumulative Share of Federal Taxes</t>
  </si>
  <si>
    <t>MIDPOINT: Wtd. Change in Cumulative Share of Income</t>
  </si>
  <si>
    <t>C9</t>
  </si>
  <si>
    <t>Mid-point Kakwani Index of Federal Tax Progressivity, 2016</t>
  </si>
  <si>
    <t>Bott. 90%</t>
  </si>
  <si>
    <t>Top 10%</t>
  </si>
  <si>
    <t>Top 5%</t>
  </si>
  <si>
    <t>Top 0.5%</t>
  </si>
  <si>
    <t>Top 0.01%</t>
  </si>
  <si>
    <t>P0-90</t>
  </si>
  <si>
    <t>P90-100</t>
  </si>
  <si>
    <t>P95-100</t>
  </si>
  <si>
    <t>P99-100</t>
  </si>
  <si>
    <t>P99.5-100</t>
  </si>
  <si>
    <t>P99.9-100</t>
  </si>
  <si>
    <t>Average tax rates by fractile (denominator of all tax rates is pre-tax/after-transfer income)</t>
  </si>
  <si>
    <t>Auten and Splinter (2019)- Top groups</t>
  </si>
  <si>
    <t>Auten and Splinter (2019) - Subfractiles</t>
  </si>
  <si>
    <t>forecasts</t>
  </si>
  <si>
    <t>1986-2016</t>
  </si>
  <si>
    <r>
      <t>Notes</t>
    </r>
    <r>
      <rPr>
        <sz val="10"/>
        <color theme="1"/>
        <rFont val="Times New Roman"/>
        <family val="1"/>
      </rPr>
      <t xml:space="preserve">: Average tax rates are taxes divided by income, defined by Piketty-Saez as fiscal income plus payroll and corporate taxes, AS as pre-tax/after-transfer national income, JCT as expanded income, TPC and OTA as expanded cash income, and CBO as market income plus social insurance benefits. Incomes include realized capital gains, although AS instead include corporate retained earnings. AS and TPC include income accrued in retirement accounts. P0–20 is the bottom quintile, P20–40 the second quintile, etc. AS taxes include non-federal corporate and estate taxes and their bottom 50% rate is placed in the 2nd quintile bin and P50–90 in the 4th quintile. Rates are for 2014, but OTA and JCT for 2015 and Piketty-Saez for 2004. See text and online data for additional details.  </t>
    </r>
  </si>
  <si>
    <t>Avg middle-quintile CTC rate</t>
  </si>
  <si>
    <t>JCT avg child tax credit for tax units $40-75K</t>
  </si>
  <si>
    <t>CTC</t>
  </si>
  <si>
    <t>inc tax</t>
  </si>
  <si>
    <t># returns (M)</t>
  </si>
  <si>
    <t>tx rt</t>
  </si>
  <si>
    <t>EITC</t>
  </si>
  <si>
    <t>Middle-quintile tax units (JCT tax expenditures, 2017)</t>
  </si>
  <si>
    <t>Bottom-quintile tax units (JCT tax expenditures, 2017)</t>
  </si>
  <si>
    <t>JCT avg child tax credit for tax units $0-20K</t>
  </si>
  <si>
    <t>Hold individual income tax rates constant at 1979 levels: Kakwani Index of Federal Tax Progressivity</t>
  </si>
  <si>
    <t>Avg. Federal Tax Rate: Indiv. Income tax at 1979 rate</t>
  </si>
  <si>
    <t>Hold non-individual income tax rates constant at 1979 levels: Kakwani Index of Federal Tax Progressivity</t>
  </si>
  <si>
    <t>C10a</t>
  </si>
  <si>
    <t>C10b</t>
  </si>
  <si>
    <t>Figure 6: Average Redistribution Rates (federal taxes less transfers) as a Share of Market Income, 2016</t>
  </si>
  <si>
    <t>Figure 7: Reynolds–Smolensky Tax-and-Transfer Redistribution Index, 2016</t>
  </si>
  <si>
    <t xml:space="preserve">Figure 8: Increase in Reynolds-Smolensky Tax-and-Transfer Redistribution Index, 1979–2016 (1979=100) </t>
  </si>
  <si>
    <t>B7</t>
  </si>
  <si>
    <t>AGI+Corp Ret. Earnings</t>
  </si>
  <si>
    <t>AGI + Corp Ret Earn + Corp Tax</t>
  </si>
  <si>
    <t>Bottom-code income tax rates at zero percent: Kakwani Index of Federal Tax Progressivity</t>
  </si>
  <si>
    <t>Avg. Federal Tax Rate: Indiv. Income tax bottom-coded at zero</t>
  </si>
  <si>
    <t>C10c</t>
  </si>
  <si>
    <t>Bottom-code income tax rates at zero percent to control for refundable portion of tax credits: Kakwani Index of Federal Tax Progressivity</t>
  </si>
  <si>
    <t>Returns taxed at highest marginal tax rate</t>
  </si>
  <si>
    <t>Returns as share of tax units</t>
  </si>
  <si>
    <t>Table 3.2. Federal Government Current Receipts and Expenditures</t>
  </si>
  <si>
    <t>[Billions of dollars]</t>
  </si>
  <si>
    <t>Bureau of Economic Analysis</t>
  </si>
  <si>
    <t>Last Revised on: July 30, 2020 - Next Release Date August 27, 2020</t>
  </si>
  <si>
    <t>Line</t>
  </si>
  <si>
    <t/>
  </si>
  <si>
    <t>1940</t>
  </si>
  <si>
    <t>1941</t>
  </si>
  <si>
    <t>1942</t>
  </si>
  <si>
    <t>1943</t>
  </si>
  <si>
    <t>1944</t>
  </si>
  <si>
    <t>1945</t>
  </si>
  <si>
    <t>1946</t>
  </si>
  <si>
    <t>1947</t>
  </si>
  <si>
    <t>1948</t>
  </si>
  <si>
    <t>1949</t>
  </si>
  <si>
    <t>1950</t>
  </si>
  <si>
    <t>1951</t>
  </si>
  <si>
    <t>1952</t>
  </si>
  <si>
    <t>1953</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</si>
  <si>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</si>
  <si>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</si>
  <si>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</si>
  <si>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</si>
  <si>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</si>
  <si>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</si>
  <si>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</si>
  <si>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</si>
  <si>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</si>
  <si>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</si>
  <si>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</si>
  <si>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</si>
  <si>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</si>
  <si>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</si>
  <si>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</si>
  <si>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</si>
  <si>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</si>
  <si>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</si>
  <si>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</si>
  <si>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</si>
  <si>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</si>
  <si>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</si>
  <si>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</si>
  <si>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</si>
  <si>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</si>
  <si>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</si>
  <si>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</si>
  <si>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</si>
  <si>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</si>
  <si>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</si>
  <si>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</si>
  <si>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</si>
  <si>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</si>
  <si>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</si>
  <si>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</si>
  <si>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</si>
  <si>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</si>
  <si>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</si>
  <si>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</si>
  <si>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</si>
  <si>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</si>
  <si>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</si>
  <si>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</si>
  <si>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</si>
  <si>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</si>
  <si>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</si>
  <si>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</si>
  <si>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</si>
  <si>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</si>
  <si>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</si>
  <si>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</si>
  <si>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</si>
  <si>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</si>
  <si>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</si>
  <si>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</si>
  <si>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</si>
  <si>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</si>
  <si>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</si>
  <si>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</si>
  <si>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</si>
  <si>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</si>
  <si>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</si>
  <si>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</si>
  <si>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</si>
  <si>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</si>
  <si>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</si>
  <si>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1</t>
  </si>
  <si>
    <t xml:space="preserve">        Current receipts</t>
  </si>
  <si>
    <t>2</t>
  </si>
  <si>
    <t>Current tax receipts</t>
  </si>
  <si>
    <t>3</t>
  </si>
  <si>
    <t xml:space="preserve">    Personal current taxes1</t>
  </si>
  <si>
    <t>4</t>
  </si>
  <si>
    <t xml:space="preserve">    Taxes on production and imports2</t>
  </si>
  <si>
    <t>5</t>
  </si>
  <si>
    <t xml:space="preserve">        Excise taxes</t>
  </si>
  <si>
    <t>6</t>
  </si>
  <si>
    <t xml:space="preserve">        Customs duties</t>
  </si>
  <si>
    <t>7</t>
  </si>
  <si>
    <t xml:space="preserve">        Other</t>
  </si>
  <si>
    <t>8</t>
  </si>
  <si>
    <t xml:space="preserve">    Taxes on corporate income</t>
  </si>
  <si>
    <t>9</t>
  </si>
  <si>
    <t xml:space="preserve">    Taxes from the rest of the world</t>
  </si>
  <si>
    <t>10</t>
  </si>
  <si>
    <t>Contributions for government social insurance</t>
  </si>
  <si>
    <t>11</t>
  </si>
  <si>
    <t xml:space="preserve">    From persons</t>
  </si>
  <si>
    <t>12</t>
  </si>
  <si>
    <t xml:space="preserve">    From the rest of the world3</t>
  </si>
  <si>
    <t>13</t>
  </si>
  <si>
    <t>Income receipts on assets</t>
  </si>
  <si>
    <t>14</t>
  </si>
  <si>
    <t xml:space="preserve">    Interest receipts4</t>
  </si>
  <si>
    <t>15</t>
  </si>
  <si>
    <t xml:space="preserve">    Dividends</t>
  </si>
  <si>
    <t>16</t>
  </si>
  <si>
    <t xml:space="preserve">        Federal Reserve banks</t>
  </si>
  <si>
    <t>17</t>
  </si>
  <si>
    <t>18</t>
  </si>
  <si>
    <t xml:space="preserve">    Rents and royalties5</t>
  </si>
  <si>
    <t>19</t>
  </si>
  <si>
    <t>Current transfer receipts</t>
  </si>
  <si>
    <t>20</t>
  </si>
  <si>
    <t xml:space="preserve">    From business</t>
  </si>
  <si>
    <t>21</t>
  </si>
  <si>
    <t>22</t>
  </si>
  <si>
    <t xml:space="preserve">    From the rest of the world6</t>
  </si>
  <si>
    <t>23</t>
  </si>
  <si>
    <t>Current surplus of government enterprises7</t>
  </si>
  <si>
    <t>24</t>
  </si>
  <si>
    <t xml:space="preserve">        Current expenditures</t>
  </si>
  <si>
    <t>25</t>
  </si>
  <si>
    <t>Consumption expenditures</t>
  </si>
  <si>
    <t>26</t>
  </si>
  <si>
    <t>Current transfer payments</t>
  </si>
  <si>
    <t>27</t>
  </si>
  <si>
    <t xml:space="preserve">    Government social benefits</t>
  </si>
  <si>
    <t>28</t>
  </si>
  <si>
    <t xml:space="preserve">        To persons</t>
  </si>
  <si>
    <t>29</t>
  </si>
  <si>
    <t xml:space="preserve">        To the rest of the world8</t>
  </si>
  <si>
    <t>30</t>
  </si>
  <si>
    <t xml:space="preserve">    Other current transfer payments</t>
  </si>
  <si>
    <t>31</t>
  </si>
  <si>
    <t xml:space="preserve">        Grants-in-aid to state and local governments</t>
  </si>
  <si>
    <t>32</t>
  </si>
  <si>
    <t xml:space="preserve">        To the rest of the world6,8</t>
  </si>
  <si>
    <t>33</t>
  </si>
  <si>
    <t>Interest payments4</t>
  </si>
  <si>
    <t>34</t>
  </si>
  <si>
    <t xml:space="preserve">    To persons and business4</t>
  </si>
  <si>
    <t>35</t>
  </si>
  <si>
    <t xml:space="preserve">    To the rest of the world</t>
  </si>
  <si>
    <t>36</t>
  </si>
  <si>
    <t>Subsidies7</t>
  </si>
  <si>
    <t>37</t>
  </si>
  <si>
    <t xml:space="preserve">        Net federal government saving</t>
  </si>
  <si>
    <t>38</t>
  </si>
  <si>
    <t>Social insurance funds</t>
  </si>
  <si>
    <t>39</t>
  </si>
  <si>
    <t>Other</t>
  </si>
  <si>
    <t>Addenda:</t>
  </si>
  <si>
    <t>40</t>
  </si>
  <si>
    <t xml:space="preserve">    Total receipts</t>
  </si>
  <si>
    <t>41</t>
  </si>
  <si>
    <t>42</t>
  </si>
  <si>
    <t xml:space="preserve">        Capital transfer receipts</t>
  </si>
  <si>
    <t>43</t>
  </si>
  <si>
    <t xml:space="preserve">    Total expenditures</t>
  </si>
  <si>
    <t>44</t>
  </si>
  <si>
    <t>45</t>
  </si>
  <si>
    <t xml:space="preserve">        Gross government investment</t>
  </si>
  <si>
    <t>46</t>
  </si>
  <si>
    <t xml:space="preserve">        Capital transfer payments</t>
  </si>
  <si>
    <t>47</t>
  </si>
  <si>
    <t xml:space="preserve">        Net purchases of nonproduced assets</t>
  </si>
  <si>
    <t>48</t>
  </si>
  <si>
    <t xml:space="preserve">        Less: Consumption of fixed capital</t>
  </si>
  <si>
    <t>49</t>
  </si>
  <si>
    <t xml:space="preserve">    Net lending or net borrowing (-)</t>
  </si>
  <si>
    <t>Legend / Footnotes:</t>
  </si>
  <si>
    <t>1. Includes dividends tax for 1933-34 and automobile use tax for 1942-46 as shown in table 3.4.</t>
  </si>
  <si>
    <t>2. Includes the capital stock tax for 1933-45 as shown in table 3.5.</t>
  </si>
  <si>
    <t>3. Consists primarily of contributions by residents of the U.S. territories and the Commonwealths of Puerto Rico and Northern Mariana Islands.</t>
  </si>
  <si>
    <t>4. Prior to 1960, interest payments to persons and business (line 34) and interest receipts (line 14) are not shown separately, but are included in interest payments (line 33), which is shown net of interest receipts. Interest payments to persons and business includes interest accrued on the actuarial liabilities of defined benefit pension plans for federal government employees.</t>
  </si>
  <si>
    <t>5. Rents and royalties are receipts from the leasing of federally owned lands and mineral deposits. These values do not include bonus payments made to secure such leases.</t>
  </si>
  <si>
    <t>6. Prior to 1999, current transfer payments to the rest of the world are displayed net of current transfer receipts from the rest of the world.</t>
  </si>
  <si>
    <t>7. Prior to 1959, subsidies (line 36) and the current surplus of government enterprises (line 23) are not shown separately; subsidies are presented net of the current surplus of government enterprises.</t>
  </si>
  <si>
    <t>8. Prior to 1960, government social benefits to the rest of the world (line 29) are included in line 32, 'Other current transfer payments to the rest of the world.'</t>
  </si>
  <si>
    <t>GDP</t>
  </si>
  <si>
    <t>Table 1.1.5 (billions of dollars)</t>
  </si>
  <si>
    <t xml:space="preserve">  </t>
  </si>
  <si>
    <t>Indiv. income taxes</t>
  </si>
  <si>
    <t>Corporate income taxes</t>
  </si>
  <si>
    <t>Other federal taxes</t>
  </si>
  <si>
    <t>Total Federal Taxes (exclud. rest of world)</t>
  </si>
  <si>
    <t>Billions of Dollars</t>
  </si>
  <si>
    <t>Share of federal taxes</t>
  </si>
  <si>
    <t>Share of GDP</t>
  </si>
  <si>
    <t>Avg. disposable income (after-taxes/transfers $2016)</t>
  </si>
  <si>
    <t xml:space="preserve">retained </t>
  </si>
  <si>
    <t>Corporate</t>
  </si>
  <si>
    <t>retained earnings</t>
  </si>
  <si>
    <t>less cap gains</t>
  </si>
  <si>
    <t>AGI plus corp</t>
  </si>
  <si>
    <t xml:space="preserve">Capital </t>
  </si>
  <si>
    <t>gains realiz.</t>
  </si>
  <si>
    <t>in AGI</t>
  </si>
  <si>
    <t>$20K and above</t>
  </si>
  <si>
    <t>$25K and above</t>
  </si>
  <si>
    <t>$50K and above</t>
  </si>
  <si>
    <t>$100K and above</t>
  </si>
  <si>
    <t>Share of Kakwani change explained by refundable portion of credits (incomplete accounting of effects)</t>
  </si>
  <si>
    <t>Kakwani change if no ref. tax credits</t>
  </si>
  <si>
    <t>Kakwani change with ref. tax credits</t>
  </si>
  <si>
    <t>Share of Income (TPC)</t>
  </si>
  <si>
    <t>Share of Federal Taxes (TPC)</t>
  </si>
  <si>
    <t>Cumul. Share of Income (TPC)</t>
  </si>
  <si>
    <t>https://www.taxpolicycenter.org/model-estimates/baseline-distribution-income-and-federal-taxes-feburary-2020/t20-0009-baseline</t>
  </si>
  <si>
    <t>Kakwani Index of Federal Tax Progressivity</t>
  </si>
  <si>
    <t>CBO data</t>
  </si>
  <si>
    <t>TPC data</t>
  </si>
  <si>
    <t>(1) Calendar year. Baseline is current law as of 12/24/2019. For more information on TPC’s baseline definitions, see:</t>
  </si>
  <si>
    <t>http://www.taxpolicycenter.org/taxtopics/Baseline-Definitions.cfm</t>
  </si>
  <si>
    <t>(2) Includes both filing and non-filing units but excludes those that are dependents of other tax units. Tax units with negative adjusted gross income are excluded from their respective income class but are included in the totals. For a description of expanded cash income, see</t>
  </si>
  <si>
    <t>http://www.taxpolicycenter.org/TaxModel/income.cfm</t>
  </si>
  <si>
    <t>(3) The income percentile classes used in this table are based on the income distribution for the entire population and contain an equal number of people, not tax units. The breaks are (in 2019 dollars): 20% $25,000; 40% $50,100; 60% $89,700; 80% $161,900; 90% $237,100; 95% $336,500; 99% $793,500; 99.9% $3,490,900.</t>
  </si>
  <si>
    <t>(4) After-tax income is expanded cash income less: individual income tax net of refundable credits; corporate income tax; payroll taxes (Social Security and Medicare); estate tax; and excise taxes.</t>
  </si>
  <si>
    <t xml:space="preserve">(5) Average federal tax (includes individual and corporate income tax, payroll taxes for Social Security and Medicare, the estate tax, and excise taxes) as a percentage of average expanded cash income.  </t>
  </si>
  <si>
    <t>Source: Tax Policy Center (details below)</t>
  </si>
  <si>
    <t>TPC data details of source: Urban-Brookings Tax Policy Center Microsimulation Model (version 0319-2).</t>
  </si>
  <si>
    <t>TCJA Effects: Kakwani Index of Federal Tax Progressivity, 2011-2028 (based on TPC data)</t>
  </si>
  <si>
    <t>C11</t>
  </si>
  <si>
    <t xml:space="preserve">   version: September 10, 2020</t>
  </si>
  <si>
    <t xml:space="preserve">   current version at http://davidsplinter.com/TaxProgressivity-Splinter.xlsx</t>
  </si>
  <si>
    <r>
      <t xml:space="preserve">   by David Splinter (</t>
    </r>
    <r>
      <rPr>
        <i/>
        <sz val="11"/>
        <color theme="1"/>
        <rFont val="Calibri"/>
        <family val="2"/>
        <scheme val="minor"/>
      </rPr>
      <t>National Tax Journal</t>
    </r>
    <r>
      <rPr>
        <sz val="11"/>
        <color theme="1"/>
        <rFont val="Calibri"/>
        <family val="2"/>
        <scheme val="minor"/>
      </rPr>
      <t>, 2020)</t>
    </r>
  </si>
  <si>
    <t>Elasticity of net of tax rate with respect to pre-tax income (equivalent to EDI)</t>
  </si>
  <si>
    <t>Elast. of net of tax rate</t>
  </si>
  <si>
    <t>Mid-point Kakwani Index of Federal Tax Progressivity, 2016 (using mid-point values computations)</t>
  </si>
  <si>
    <t>little change from TCJA</t>
  </si>
  <si>
    <t>Piketty and Saez (2007) estimates of average tax rates</t>
  </si>
  <si>
    <t>Auten and Splinter (2019) estimates of average tax rates</t>
  </si>
  <si>
    <t>Long-run changes in taxes as a share of GDP</t>
  </si>
  <si>
    <t>Long-run changes in taxes as a share of GDP (data from BEA NIPA tables)</t>
  </si>
  <si>
    <t>Data below from BEA's NIPAs</t>
  </si>
  <si>
    <t>Notes: Bottom 50% values treat refundable portion of tax credits as taxes rather than transfers. Source: Auten and Splinter (2019) online data and calculations for bottom 50% federal income tax rate.</t>
  </si>
  <si>
    <t>Average Rate of All Fedearl Taxes</t>
  </si>
  <si>
    <t>AS bottom 50% treats refundable tax credits as taxes (not transfers) here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</si>
</sst>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44" formatCode="_(&quot;$&quot;* #,##0.00_);_(&quot;$&quot;* \(#,##0.00\);_(&quot;$&quot;* &quot;-&quot;??_);_(@_)"/>
    <numFmt numFmtId="43" formatCode="_(* #,##0.00_);_(* \(#,##0.00\);_(* &quot;-&quot;??_);_(@_)"/>
    <numFmt numFmtId="164" formatCode="#0.0"/>
    <numFmt numFmtId="165" formatCode="0.0%"/>
    <numFmt numFmtId="166" formatCode="0.0"/>
    <numFmt numFmtId="167" formatCode="0.0000"/>
    <numFmt numFmtId="168" formatCode="0.0000%"/>
    <numFmt numFmtId="169" formatCode="&quot;$&quot;#,##0"/>
    <numFmt numFmtId="170" formatCode="#,##0.0000"/>
    <numFmt numFmtId="171" formatCode="#,##0.0"/>
    <numFmt numFmtId="172" formatCode="[$-409]mmmm\ d\,\ yyyy;@"/>
    <numFmt numFmtId="173" formatCode="0.000"/>
    <numFmt numFmtId="174" formatCode="#,###,##0"/>
    <numFmt numFmtId="175" formatCode="##,##0"/>
    <numFmt numFmtId="176" formatCode="#0.00"/>
    <numFmt numFmtId="177" formatCode="#,##0&quot;    &quot;;#,##0&quot;    &quot;;&quot;--    &quot;;@&quot;    &quot;"/>
    <numFmt numFmtId="178" formatCode="\$#,##0\ ;\(\$#,##0\)"/>
    <numFmt numFmtId="179" formatCode="0.000%"/>
    <numFmt numFmtId="180" formatCode="##0.0"/>
    <numFmt numFmtId="181" formatCode="_ * #,##0.00_)\ _€_ ;_ * \(#,##0.00\)\ _€_ ;_ * &quot;-&quot;??_)\ _€_ ;_ @_ "/>
    <numFmt numFmtId="182" formatCode="#,##0.000"/>
    <numFmt numFmtId="183" formatCode="General_)"/>
    <numFmt numFmtId="184" formatCode="_ * #,##0.00_ ;_ * \-#,##0.00_ ;_ * &quot;-&quot;??_ ;_ @_ "/>
    <numFmt numFmtId="185" formatCode="_-* #,##0.00\ _k_r_._-;\-* #,##0.00\ _k_r_._-;_-* &quot;-&quot;??\ _k_r_._-;_-@_-"/>
    <numFmt numFmtId="186" formatCode="_-* #,##0.00\ _€_-;\-* #,##0.00\ _€_-;_-* &quot;-&quot;??\ _€_-;_-@_-"/>
    <numFmt numFmtId="187" formatCode="_-* #,##0.00\ _z_ł_-;\-* #,##0.00\ _z_ł_-;_-* &quot;-&quot;??\ _z_ł_-;_-@_-"/>
    <numFmt numFmtId="188" formatCode="#,##0.00__;\-#,##0.00__;#,##0.00__;@__"/>
    <numFmt numFmtId="189" formatCode="#,##0;[Red]#,##0"/>
    <numFmt numFmtId="190" formatCode="#,##0.0__"/>
  </numFmts>
  <fonts count="164">
    <font>
      <sz val="11"/>
      <color theme="1"/>
      <name val="Calibri"/>
      <family val="2"/>
      <scheme val="minor"/>
    </font>
    <font>
      <sz val="11"/>
      <color theme="1"/>
      <name val="Calibri"/>
      <family val="2"/>
      <scheme val="minor"/>
    </font>
    <font>
      <b/>
      <sz val="11"/>
      <color theme="1"/>
      <name val="Calibri"/>
      <family val="2"/>
      <scheme val="minor"/>
    </font>
    <font>
      <sz val="11"/>
      <color theme="1"/>
      <name val="Arial"/>
      <family val="2"/>
    </font>
    <font>
      <i/>
      <sz val="11"/>
      <color theme="1"/>
      <name val="Arial"/>
      <family val="2"/>
    </font>
    <font>
      <sz val="11"/>
      <color rgb="FF1F497D"/>
      <name val="Arial"/>
      <family val="2"/>
    </font>
    <font>
      <b/>
      <sz val="11"/>
      <color theme="1"/>
      <name val="Arial"/>
      <family val="2"/>
    </font>
    <font>
      <sz val="10"/>
      <name val="Arial"/>
      <family val="2"/>
    </font>
    <font>
      <b/>
      <sz val="10"/>
      <name val="Arial"/>
      <family val="2"/>
    </font>
    <font>
      <sz val="10"/>
      <color theme="1"/>
      <name val="Arial"/>
      <family val="2"/>
    </font>
    <font>
      <u/>
      <sz val="11"/>
      <color theme="10"/>
      <name val="Calibri"/>
      <family val="2"/>
      <scheme val="minor"/>
    </font>
    <font>
      <sz val="10"/>
      <color theme="1"/>
      <name val="Calibri"/>
      <family val="2"/>
      <scheme val="minor"/>
    </font>
    <font>
      <b/>
      <sz val="10"/>
      <color theme="1"/>
      <name val="Calibri"/>
      <family val="2"/>
      <scheme val="minor"/>
    </font>
    <font>
      <sz val="11"/>
      <name val="Calibri"/>
      <family val="2"/>
      <scheme val="minor"/>
    </font>
    <font>
      <u/>
      <sz val="12"/>
      <color indexed="12"/>
      <name val="Calibri"/>
      <family val="2"/>
    </font>
    <font>
      <sz val="12"/>
      <color theme="1"/>
      <name val="Arial"/>
      <family val="2"/>
    </font>
    <font>
      <b/>
      <sz val="14"/>
      <color theme="1"/>
      <name val="Arial"/>
      <family val="2"/>
    </font>
    <font>
      <b/>
      <sz val="12"/>
      <color theme="1"/>
      <name val="Arial"/>
      <family val="2"/>
    </font>
    <font>
      <sz val="11"/>
      <name val="Calibri"/>
      <family val="2"/>
    </font>
    <font>
      <sz val="12"/>
      <name val="Arial"/>
      <family val="2"/>
    </font>
    <font>
      <b/>
      <sz val="12"/>
      <name val="Arial"/>
      <family val="2"/>
    </font>
    <font>
      <sz val="11"/>
      <name val="Arial"/>
      <family val="2"/>
    </font>
    <font>
      <u/>
      <sz val="12"/>
      <color theme="10"/>
      <name val="Calibri"/>
      <family val="2"/>
    </font>
    <font>
      <sz val="8"/>
      <name val="Arial"/>
      <family val="2"/>
    </font>
    <font>
      <b/>
      <sz val="8"/>
      <name val="Arial Narrow"/>
      <family val="2"/>
    </font>
    <font>
      <sz val="9"/>
      <name val="Arial"/>
      <family val="2"/>
    </font>
    <font>
      <sz val="9"/>
      <color theme="1"/>
      <name val="Arial"/>
      <family val="2"/>
    </font>
    <font>
      <sz val="9"/>
      <color theme="1"/>
      <name val="Calibri"/>
      <family val="2"/>
      <scheme val="minor"/>
    </font>
    <font>
      <sz val="11"/>
      <color theme="1" tint="0.499984740745262"/>
      <name val="Calibri"/>
      <family val="2"/>
      <scheme val="minor"/>
    </font>
    <font>
      <i/>
      <sz val="11"/>
      <color theme="1"/>
      <name val="Calibri"/>
      <family val="2"/>
      <scheme val="minor"/>
    </font>
    <font>
      <b/>
      <sz val="9"/>
      <color theme="1"/>
      <name val="Calibri"/>
      <family val="2"/>
      <scheme val="minor"/>
    </font>
    <font>
      <b/>
      <sz val="8"/>
      <color theme="1"/>
      <name val="Calibri"/>
      <family val="2"/>
      <scheme val="minor"/>
    </font>
    <font>
      <sz val="8"/>
      <color theme="1"/>
      <name val="Calibri"/>
      <family val="2"/>
      <scheme val="minor"/>
    </font>
    <font>
      <sz val="11"/>
      <color theme="1" tint="0.34998626667073579"/>
      <name val="Calibri"/>
      <family val="2"/>
      <scheme val="minor"/>
    </font>
    <font>
      <sz val="10"/>
      <color indexed="24"/>
      <name val="Arial"/>
      <family val="2"/>
    </font>
    <font>
      <b/>
      <sz val="12"/>
      <color indexed="8"/>
      <name val="Arial"/>
      <family val="2"/>
    </font>
    <font>
      <b/>
      <sz val="12"/>
      <color indexed="24"/>
      <name val="Arial"/>
      <family val="2"/>
    </font>
    <font>
      <b/>
      <sz val="10"/>
      <color indexed="8"/>
      <name val="Arial"/>
      <family val="2"/>
    </font>
    <font>
      <sz val="9"/>
      <color indexed="24"/>
      <name val="Arial"/>
      <family val="2"/>
    </font>
    <font>
      <sz val="12"/>
      <name val="SWISS"/>
    </font>
    <font>
      <sz val="12"/>
      <name val="Times New Roman"/>
      <family val="1"/>
    </font>
    <font>
      <sz val="8"/>
      <color theme="1"/>
      <name val="Courier New"/>
      <family val="2"/>
    </font>
    <font>
      <sz val="10"/>
      <color theme="1"/>
      <name val="Century Gothic"/>
      <family val="2"/>
    </font>
    <font>
      <i/>
      <sz val="10"/>
      <color theme="1"/>
      <name val="Times New Roman"/>
      <family val="1"/>
    </font>
    <font>
      <sz val="10"/>
      <color theme="1"/>
      <name val="Times New Roman"/>
      <family val="1"/>
    </font>
    <font>
      <sz val="11"/>
      <color theme="0"/>
      <name val="Calibri"/>
      <family val="2"/>
      <scheme val="minor"/>
    </font>
    <font>
      <sz val="8"/>
      <name val="Calibri"/>
      <family val="2"/>
      <scheme val="minor"/>
    </font>
    <font>
      <sz val="10"/>
      <name val="Arial"/>
      <family val="2"/>
    </font>
    <font>
      <sz val="10"/>
      <name val="courier"/>
    </font>
    <font>
      <sz val="10"/>
      <name val="MS Sans Serif"/>
    </font>
    <font>
      <sz val="7"/>
      <name val="Helvetica"/>
    </font>
    <font>
      <sz val="6.5"/>
      <name val="Arial"/>
      <family val="2"/>
    </font>
    <font>
      <sz val="12"/>
      <color indexed="24"/>
      <name val="Arial"/>
      <family val="2"/>
    </font>
    <font>
      <b/>
      <sz val="8"/>
      <color indexed="24"/>
      <name val="Times New Roman"/>
      <family val="1"/>
    </font>
    <font>
      <sz val="8"/>
      <color indexed="24"/>
      <name val="Times New Roman"/>
      <family val="1"/>
    </font>
    <font>
      <b/>
      <sz val="12"/>
      <color theme="1"/>
      <name val="Calibri"/>
      <family val="2"/>
      <scheme val="minor"/>
    </font>
    <font>
      <b/>
      <sz val="11"/>
      <color theme="1"/>
      <name val="Times New Roman"/>
      <family val="1"/>
    </font>
    <font>
      <b/>
      <sz val="10"/>
      <color theme="1"/>
      <name val="Calibri"/>
      <family val="2"/>
    </font>
    <font>
      <b/>
      <sz val="24"/>
      <color rgb="FFA03A49"/>
      <name val="Arial"/>
      <family val="2"/>
    </font>
    <font>
      <sz val="9"/>
      <color theme="1"/>
      <name val="Times New Roman"/>
      <family val="1"/>
    </font>
    <font>
      <b/>
      <sz val="10"/>
      <color rgb="FF000000"/>
      <name val="Times New Roman"/>
      <family val="1"/>
    </font>
    <font>
      <b/>
      <sz val="10"/>
      <color theme="1"/>
      <name val="Arial"/>
      <family val="2"/>
    </font>
    <font>
      <sz val="12"/>
      <color theme="1"/>
      <name val="Calibri"/>
      <family val="2"/>
      <scheme val="minor"/>
    </font>
    <font>
      <b/>
      <sz val="11"/>
      <name val="Arial"/>
      <family val="2"/>
    </font>
    <font>
      <i/>
      <sz val="12"/>
      <name val="Arial"/>
      <family val="2"/>
    </font>
    <font>
      <b/>
      <i/>
      <sz val="12"/>
      <color theme="1"/>
      <name val="Arial"/>
      <family val="2"/>
    </font>
    <font>
      <i/>
      <sz val="12"/>
      <color theme="1"/>
      <name val="Arial"/>
      <family val="2"/>
    </font>
    <font>
      <b/>
      <i/>
      <sz val="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2"/>
      <color indexed="24"/>
      <name val="Arial"/>
      <family val="2"/>
    </font>
    <font>
      <b/>
      <sz val="8"/>
      <color indexed="24"/>
      <name val="Times New Roman"/>
      <family val="1"/>
    </font>
    <font>
      <sz val="8"/>
      <color indexed="24"/>
      <name val="Times New Roman"/>
      <family val="1"/>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2"/>
      <color indexed="8"/>
      <name val="Calibri"/>
      <family val="2"/>
    </font>
    <font>
      <sz val="10"/>
      <name val="Verdana"/>
      <family val="2"/>
    </font>
    <font>
      <b/>
      <sz val="11"/>
      <color indexed="63"/>
      <name val="Calibri"/>
      <family val="2"/>
    </font>
    <font>
      <b/>
      <sz val="18"/>
      <color indexed="56"/>
      <name val="Cambria"/>
      <family val="2"/>
    </font>
    <font>
      <sz val="11"/>
      <color indexed="10"/>
      <name val="Calibri"/>
      <family val="2"/>
    </font>
    <font>
      <u/>
      <sz val="12"/>
      <color theme="10"/>
      <name val="Arial"/>
      <family val="2"/>
    </font>
    <font>
      <b/>
      <sz val="12"/>
      <color theme="1"/>
      <name val="Arial Narrow"/>
      <family val="2"/>
    </font>
    <font>
      <b/>
      <sz val="15"/>
      <color theme="3"/>
      <name val="Arial"/>
      <family val="2"/>
    </font>
    <font>
      <b/>
      <sz val="13"/>
      <color theme="3"/>
      <name val="Arial"/>
      <family val="2"/>
    </font>
    <font>
      <b/>
      <sz val="11"/>
      <color theme="3"/>
      <name val="Arial"/>
      <family val="2"/>
    </font>
    <font>
      <sz val="10"/>
      <color theme="0"/>
      <name val="Arial"/>
      <family val="2"/>
    </font>
    <font>
      <sz val="10"/>
      <color rgb="FF9C0006"/>
      <name val="Arial"/>
      <family val="2"/>
    </font>
    <font>
      <sz val="9"/>
      <color indexed="9"/>
      <name val="Times"/>
      <family val="1"/>
    </font>
    <font>
      <b/>
      <sz val="10"/>
      <color rgb="FFFA7D00"/>
      <name val="Arial"/>
      <family val="2"/>
    </font>
    <font>
      <b/>
      <sz val="10"/>
      <color theme="0"/>
      <name val="Arial"/>
      <family val="2"/>
    </font>
    <font>
      <sz val="12"/>
      <color theme="1"/>
      <name val="Garamond"/>
      <family val="2"/>
    </font>
    <font>
      <sz val="9"/>
      <color indexed="8"/>
      <name val="Times"/>
      <family val="1"/>
    </font>
    <font>
      <sz val="8"/>
      <name val="Helvetica"/>
    </font>
    <font>
      <i/>
      <sz val="10"/>
      <color rgb="FF7F7F7F"/>
      <name val="Arial"/>
      <family val="2"/>
    </font>
    <font>
      <sz val="10"/>
      <color rgb="FF006100"/>
      <name val="Arial"/>
      <family val="2"/>
    </font>
    <font>
      <u/>
      <sz val="10"/>
      <color indexed="12"/>
      <name val="Verdana"/>
      <family val="2"/>
    </font>
    <font>
      <sz val="10"/>
      <color rgb="FF3F3F76"/>
      <name val="Arial"/>
      <family val="2"/>
    </font>
    <font>
      <sz val="10"/>
      <color rgb="FFFA7D00"/>
      <name val="Arial"/>
      <family val="2"/>
    </font>
    <font>
      <sz val="10"/>
      <color rgb="FF9C6500"/>
      <name val="Arial"/>
      <family val="2"/>
    </font>
    <font>
      <sz val="11"/>
      <color indexed="8"/>
      <name val="Calibri"/>
      <family val="2"/>
      <scheme val="minor"/>
    </font>
    <font>
      <sz val="9"/>
      <name val="Times New Roman"/>
      <family val="1"/>
    </font>
    <font>
      <sz val="10"/>
      <color indexed="8"/>
      <name val="Times"/>
      <family val="1"/>
    </font>
    <font>
      <sz val="9"/>
      <name val="Times"/>
    </font>
    <font>
      <sz val="12"/>
      <name val="Arial CE"/>
    </font>
    <font>
      <b/>
      <sz val="10"/>
      <color rgb="FF3F3F3F"/>
      <name val="Arial"/>
      <family val="2"/>
    </font>
    <font>
      <sz val="10"/>
      <color rgb="FFFF0000"/>
      <name val="Arial"/>
      <family val="2"/>
    </font>
    <font>
      <sz val="10"/>
      <name val="Times"/>
      <family val="1"/>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0"/>
      <color theme="1"/>
      <name val="Avenir LT Pro 65 Medium"/>
      <family val="2"/>
    </font>
    <font>
      <sz val="10"/>
      <color theme="1"/>
      <name val="Avenir LT Pro 55 Roman"/>
      <family val="2"/>
    </font>
    <font>
      <b/>
      <sz val="10"/>
      <color theme="1"/>
      <name val="Avenir LT Pro 55 Roman"/>
    </font>
    <font>
      <sz val="10"/>
      <name val="Avenir LT Pro 55 Roman"/>
      <family val="2"/>
    </font>
    <font>
      <sz val="9"/>
      <color theme="1"/>
      <name val="Avenir LT Pro 55 Roman"/>
      <family val="2"/>
    </font>
    <font>
      <b/>
      <sz val="10"/>
      <color theme="1"/>
      <name val="Avenir LT Pro 55 Roman"/>
      <family val="2"/>
    </font>
    <font>
      <u/>
      <sz val="10"/>
      <color theme="10"/>
      <name val="Avenir LT Pro 55 Roman"/>
      <family val="2"/>
    </font>
    <font>
      <sz val="11"/>
      <color theme="8"/>
      <name val="Calibri"/>
      <family val="2"/>
      <scheme val="minor"/>
    </font>
    <font>
      <sz val="12"/>
      <color rgb="FF792B36"/>
      <name val="Arial"/>
      <family val="2"/>
    </font>
    <font>
      <sz val="11"/>
      <color rgb="FF792B36"/>
      <name val="Calibri"/>
      <family val="2"/>
      <scheme val="minor"/>
    </font>
    <font>
      <b/>
      <sz val="11"/>
      <name val="Calibri"/>
      <family val="2"/>
      <scheme val="minor"/>
    </font>
    <font>
      <b/>
      <sz val="16"/>
      <color theme="1"/>
      <name val="Calibri"/>
      <family val="2"/>
      <scheme val="minor"/>
    </font>
    <font>
      <sz val="11"/>
      <color theme="1"/>
      <name val="Times New Roman"/>
      <family val="1"/>
    </font>
    <font>
      <sz val="11"/>
      <color theme="10"/>
      <name val="Calibri"/>
      <family val="2"/>
      <scheme val="minor"/>
    </font>
    <font>
      <b/>
      <sz val="12"/>
      <name val="Arial MT"/>
    </font>
    <font>
      <vertAlign val="superscript"/>
      <sz val="10"/>
      <name val="Arial"/>
      <family val="2"/>
    </font>
    <font>
      <i/>
      <sz val="10"/>
      <name val="Arial"/>
      <family val="2"/>
    </font>
    <font>
      <sz val="12"/>
      <color indexed="8"/>
      <name val="Courier"/>
      <family val="3"/>
    </font>
    <font>
      <sz val="12"/>
      <name val="Courier"/>
      <family val="3"/>
    </font>
    <font>
      <i/>
      <vertAlign val="superscript"/>
      <sz val="10"/>
      <name val="Arial"/>
      <family val="2"/>
    </font>
    <font>
      <vertAlign val="superscript"/>
      <sz val="11"/>
      <name val="Arial"/>
      <family val="2"/>
    </font>
    <font>
      <sz val="10"/>
      <color theme="0"/>
      <name val="Calibri"/>
      <family val="2"/>
      <scheme val="minor"/>
    </font>
    <font>
      <sz val="11"/>
      <color theme="0" tint="-0.499984740745262"/>
      <name val="Calibri"/>
      <family val="2"/>
      <scheme val="minor"/>
    </font>
    <font>
      <b/>
      <sz val="10"/>
      <color indexed="9"/>
      <name val="Arial"/>
      <family val="2"/>
    </font>
    <font>
      <sz val="13"/>
      <name val="Arial"/>
      <family val="2"/>
    </font>
    <font>
      <b/>
      <sz val="10"/>
      <name val="Arial"/>
      <family val="2"/>
    </font>
    <font>
      <i/>
      <sz val="10"/>
      <name val="Arial"/>
      <family val="2"/>
    </font>
    <font>
      <b/>
      <i/>
      <sz val="15"/>
      <name val="Arial"/>
      <family val="2"/>
    </font>
    <font>
      <sz val="10"/>
      <color rgb="FF333333"/>
      <name val="Arial"/>
      <family val="2"/>
    </font>
    <font>
      <sz val="10"/>
      <name val="Times New Roman"/>
      <family val="1"/>
    </font>
    <font>
      <sz val="10"/>
      <name val="Calibri"/>
      <family val="2"/>
      <scheme val="minor"/>
    </font>
    <font>
      <u/>
      <sz val="10"/>
      <color indexed="12"/>
      <name val="Calibri"/>
      <family val="2"/>
      <scheme val="minor"/>
    </font>
    <font>
      <sz val="12"/>
      <color rgb="FF1F7B91"/>
      <name val="Arial"/>
      <family val="2"/>
    </font>
    <font>
      <sz val="11"/>
      <color rgb="FF1F7B91"/>
      <name val="Calibri"/>
      <family val="2"/>
      <scheme val="minor"/>
    </font>
  </fonts>
  <fills count="60">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FFFF00"/>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theme="8" tint="0.79998168889431442"/>
        <bgColor indexed="64"/>
      </patternFill>
    </fill>
    <fill>
      <patternFill patternType="solid">
        <fgColor indexed="56"/>
        <bgColor indexed="23"/>
      </patternFill>
    </fill>
  </fills>
  <borders count="73">
    <border>
      <left/>
      <right/>
      <top/>
      <bottom/>
      <diagonal/>
    </border>
    <border>
      <left/>
      <right/>
      <top style="thin">
        <color auto="1"/>
      </top>
      <bottom style="thin">
        <color auto="1"/>
      </bottom>
      <diagonal/>
    </border>
    <border>
      <left/>
      <right/>
      <top style="thin">
        <color auto="1"/>
      </top>
      <bottom/>
      <diagonal/>
    </border>
    <border>
      <left/>
      <right/>
      <top/>
      <bottom style="thin">
        <color indexed="64"/>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medium">
        <color auto="1"/>
      </left>
      <right/>
      <top/>
      <bottom/>
      <diagonal/>
    </border>
    <border>
      <left style="thick">
        <color auto="1"/>
      </left>
      <right/>
      <top/>
      <bottom style="thick">
        <color auto="1"/>
      </bottom>
      <diagonal/>
    </border>
    <border>
      <left/>
      <right/>
      <top/>
      <bottom style="thick">
        <color auto="1"/>
      </bottom>
      <diagonal/>
    </border>
    <border>
      <left style="medium">
        <color auto="1"/>
      </left>
      <right/>
      <top/>
      <bottom style="thick">
        <color auto="1"/>
      </bottom>
      <diagonal/>
    </border>
    <border>
      <left style="thin">
        <color auto="1"/>
      </left>
      <right/>
      <top/>
      <bottom style="thick">
        <color auto="1"/>
      </bottom>
      <diagonal/>
    </border>
    <border>
      <left style="thin">
        <color indexed="64"/>
      </left>
      <right/>
      <top/>
      <bottom/>
      <diagonal/>
    </border>
    <border>
      <left/>
      <right/>
      <top style="thin">
        <color indexed="64"/>
      </top>
      <bottom/>
      <diagonal/>
    </border>
    <border>
      <left/>
      <right/>
      <top style="thin">
        <color auto="1"/>
      </top>
      <bottom style="thin">
        <color auto="1"/>
      </bottom>
      <diagonal/>
    </border>
    <border>
      <left style="double">
        <color indexed="64"/>
      </left>
      <right/>
      <top/>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indexed="64"/>
      </left>
      <right/>
      <top/>
      <bottom style="thin">
        <color indexed="64"/>
      </bottom>
      <diagonal/>
    </border>
    <border>
      <left/>
      <right style="thin">
        <color auto="1"/>
      </right>
      <top/>
      <bottom style="thick">
        <color auto="1"/>
      </bottom>
      <diagonal/>
    </border>
    <border>
      <left/>
      <right style="thin">
        <color auto="1"/>
      </right>
      <top/>
      <bottom/>
      <diagonal/>
    </border>
    <border>
      <left style="thin">
        <color auto="1"/>
      </left>
      <right/>
      <top style="thin">
        <color auto="1"/>
      </top>
      <bottom/>
      <diagonal/>
    </border>
    <border>
      <left/>
      <right style="thin">
        <color auto="1"/>
      </right>
      <top style="thin">
        <color auto="1"/>
      </top>
      <bottom/>
      <diagonal/>
    </border>
    <border>
      <left style="medium">
        <color auto="1"/>
      </left>
      <right/>
      <top style="thin">
        <color auto="1"/>
      </top>
      <bottom/>
      <diagonal/>
    </border>
    <border>
      <left style="thick">
        <color auto="1"/>
      </left>
      <right/>
      <top style="thin">
        <color auto="1"/>
      </top>
      <bottom/>
      <diagonal/>
    </border>
    <border>
      <left/>
      <right style="thick">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auto="1"/>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auto="1"/>
      </left>
      <right style="thick">
        <color auto="1"/>
      </right>
      <top style="thin">
        <color auto="1"/>
      </top>
      <bottom style="thin">
        <color auto="1"/>
      </bottom>
      <diagonal/>
    </border>
    <border>
      <left style="thin">
        <color auto="1"/>
      </left>
      <right style="thick">
        <color auto="1"/>
      </right>
      <top/>
      <bottom/>
      <diagonal/>
    </border>
    <border>
      <left style="thin">
        <color auto="1"/>
      </left>
      <right style="thick">
        <color auto="1"/>
      </right>
      <top style="thin">
        <color auto="1"/>
      </top>
      <bottom/>
      <diagonal/>
    </border>
    <border>
      <left style="thin">
        <color auto="1"/>
      </left>
      <right style="thick">
        <color auto="1"/>
      </right>
      <top/>
      <bottom style="thick">
        <color auto="1"/>
      </bottom>
      <diagonal/>
    </border>
    <border>
      <left style="thin">
        <color auto="1"/>
      </left>
      <right style="thin">
        <color auto="1"/>
      </right>
      <top style="thin">
        <color auto="1"/>
      </top>
      <bottom style="thin">
        <color auto="1"/>
      </bottom>
      <diagonal/>
    </border>
    <border>
      <left/>
      <right style="thin">
        <color indexed="64"/>
      </right>
      <top style="double">
        <color indexed="64"/>
      </top>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top/>
      <bottom/>
      <diagonal/>
    </border>
    <border>
      <left/>
      <right style="thin">
        <color indexed="8"/>
      </right>
      <top/>
      <bottom/>
      <diagonal/>
    </border>
    <border>
      <left style="thin">
        <color indexed="8"/>
      </left>
      <right style="thin">
        <color indexed="8"/>
      </right>
      <top/>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right/>
      <top style="thin">
        <color auto="1"/>
      </top>
      <bottom style="thin">
        <color auto="1"/>
      </bottom>
      <diagonal/>
    </border>
    <border>
      <left style="thin">
        <color indexed="9"/>
      </left>
      <right style="thin">
        <color indexed="9"/>
      </right>
      <top style="thin">
        <color indexed="9"/>
      </top>
      <bottom style="thin">
        <color indexed="9"/>
      </bottom>
      <diagonal/>
    </border>
    <border>
      <left/>
      <right style="medium">
        <color rgb="FFAAAAAA"/>
      </right>
      <top/>
      <bottom/>
      <diagonal/>
    </border>
    <border>
      <left/>
      <right/>
      <top style="thin">
        <color indexed="64"/>
      </top>
      <bottom/>
      <diagonal/>
    </border>
  </borders>
  <cellStyleXfs count="735">
    <xf numFmtId="0" fontId="0" fillId="0" borderId="0"/>
    <xf numFmtId="9" fontId="1" fillId="0" borderId="0" applyFont="0" applyFill="0" applyBorder="0" applyAlignment="0" applyProtection="0"/>
    <xf numFmtId="0" fontId="7" fillId="0" borderId="0"/>
    <xf numFmtId="0" fontId="10" fillId="0" borderId="0" applyNumberFormat="0" applyFill="0" applyBorder="0" applyAlignment="0" applyProtection="0"/>
    <xf numFmtId="0" fontId="14" fillId="0" borderId="0" applyNumberFormat="0" applyFill="0" applyBorder="0" applyAlignment="0" applyProtection="0"/>
    <xf numFmtId="0" fontId="15" fillId="0" borderId="0"/>
    <xf numFmtId="0" fontId="7" fillId="0" borderId="0"/>
    <xf numFmtId="0" fontId="15" fillId="0" borderId="0"/>
    <xf numFmtId="0" fontId="18" fillId="0" borderId="0"/>
    <xf numFmtId="0" fontId="7" fillId="0" borderId="0"/>
    <xf numFmtId="9" fontId="15" fillId="0" borderId="0" applyFont="0" applyFill="0" applyBorder="0" applyAlignment="0" applyProtection="0"/>
    <xf numFmtId="9" fontId="18" fillId="0" borderId="0" applyFont="0" applyFill="0" applyBorder="0" applyAlignment="0" applyProtection="0"/>
    <xf numFmtId="9" fontId="15" fillId="0" borderId="0" applyFont="0" applyFill="0" applyBorder="0" applyAlignment="0" applyProtection="0"/>
    <xf numFmtId="0" fontId="15" fillId="0" borderId="0"/>
    <xf numFmtId="9" fontId="15" fillId="0" borderId="0" applyFont="0" applyFill="0" applyBorder="0" applyAlignment="0" applyProtection="0"/>
    <xf numFmtId="0" fontId="7" fillId="0" borderId="0"/>
    <xf numFmtId="43" fontId="1" fillId="0" borderId="0" applyFont="0" applyFill="0" applyBorder="0" applyAlignment="0" applyProtection="0"/>
    <xf numFmtId="172" fontId="7" fillId="0" borderId="0"/>
    <xf numFmtId="43" fontId="7" fillId="0" borderId="0" applyFont="0" applyFill="0" applyBorder="0" applyAlignment="0" applyProtection="0"/>
    <xf numFmtId="172" fontId="7" fillId="0" borderId="0"/>
    <xf numFmtId="172"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72" fontId="1" fillId="0" borderId="0"/>
    <xf numFmtId="172" fontId="1" fillId="0" borderId="0"/>
    <xf numFmtId="43" fontId="7" fillId="0" borderId="0" applyFont="0" applyFill="0" applyBorder="0" applyAlignment="0" applyProtection="0"/>
    <xf numFmtId="43" fontId="7" fillId="0" borderId="0" applyFont="0" applyFill="0" applyBorder="0" applyAlignment="0" applyProtection="0"/>
    <xf numFmtId="172" fontId="39" fillId="0" borderId="0"/>
    <xf numFmtId="172" fontId="1" fillId="0" borderId="0"/>
    <xf numFmtId="172" fontId="39" fillId="0" borderId="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171" fontId="40" fillId="0" borderId="0"/>
    <xf numFmtId="9" fontId="7" fillId="0" borderId="0" applyFont="0" applyFill="0" applyBorder="0" applyAlignment="0" applyProtection="0"/>
    <xf numFmtId="172" fontId="1" fillId="0" borderId="0"/>
    <xf numFmtId="43" fontId="1"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172" fontId="7" fillId="0" borderId="0"/>
    <xf numFmtId="172" fontId="7" fillId="0" borderId="0"/>
    <xf numFmtId="172" fontId="7" fillId="0" borderId="0"/>
    <xf numFmtId="172" fontId="7" fillId="0" borderId="0"/>
    <xf numFmtId="172" fontId="7" fillId="0" borderId="0"/>
    <xf numFmtId="9" fontId="1" fillId="0" borderId="0" applyFont="0" applyFill="0" applyBorder="0" applyAlignment="0" applyProtection="0"/>
    <xf numFmtId="9" fontId="7" fillId="0" borderId="0" applyFont="0" applyFill="0" applyBorder="0" applyAlignment="0" applyProtection="0"/>
    <xf numFmtId="172" fontId="41" fillId="0" borderId="0"/>
    <xf numFmtId="9" fontId="41" fillId="0" borderId="0" applyFont="0" applyFill="0" applyBorder="0" applyAlignment="0" applyProtection="0"/>
    <xf numFmtId="172" fontId="1" fillId="0" borderId="0"/>
    <xf numFmtId="172" fontId="1" fillId="0" borderId="0"/>
    <xf numFmtId="172" fontId="1" fillId="0" borderId="0"/>
    <xf numFmtId="172" fontId="1" fillId="0" borderId="0"/>
    <xf numFmtId="43" fontId="1" fillId="0" borderId="0" applyFont="0" applyFill="0" applyBorder="0" applyAlignment="0" applyProtection="0"/>
    <xf numFmtId="9" fontId="1" fillId="0" borderId="0" applyFont="0" applyFill="0" applyBorder="0" applyAlignment="0" applyProtection="0"/>
    <xf numFmtId="0" fontId="41" fillId="0" borderId="0"/>
    <xf numFmtId="0" fontId="7" fillId="0" borderId="0" applyNumberFormat="0" applyFill="0" applyBorder="0" applyAlignment="0" applyProtection="0"/>
    <xf numFmtId="0" fontId="42" fillId="0" borderId="0"/>
    <xf numFmtId="172" fontId="1" fillId="0" borderId="0"/>
    <xf numFmtId="172" fontId="1" fillId="0" borderId="0"/>
    <xf numFmtId="172" fontId="1" fillId="0" borderId="0"/>
    <xf numFmtId="172" fontId="1" fillId="0" borderId="0"/>
    <xf numFmtId="43" fontId="1" fillId="0" borderId="0" applyFont="0" applyFill="0" applyBorder="0" applyAlignment="0" applyProtection="0"/>
    <xf numFmtId="9" fontId="1" fillId="0" borderId="0" applyFont="0" applyFill="0" applyBorder="0" applyAlignment="0" applyProtection="0"/>
    <xf numFmtId="172" fontId="1" fillId="0" borderId="0"/>
    <xf numFmtId="172" fontId="1" fillId="0" borderId="0"/>
    <xf numFmtId="172" fontId="1" fillId="0" borderId="0"/>
    <xf numFmtId="172" fontId="1" fillId="0" borderId="0"/>
    <xf numFmtId="43" fontId="1" fillId="0" borderId="0" applyFont="0" applyFill="0" applyBorder="0" applyAlignment="0" applyProtection="0"/>
    <xf numFmtId="9" fontId="1" fillId="0" borderId="0" applyFont="0" applyFill="0" applyBorder="0" applyAlignment="0" applyProtection="0"/>
    <xf numFmtId="172" fontId="1" fillId="0" borderId="0"/>
    <xf numFmtId="172" fontId="1" fillId="0" borderId="0"/>
    <xf numFmtId="172" fontId="1" fillId="0" borderId="0"/>
    <xf numFmtId="172" fontId="1" fillId="0" borderId="0"/>
    <xf numFmtId="43" fontId="1" fillId="0" borderId="0" applyFont="0" applyFill="0" applyBorder="0" applyAlignment="0" applyProtection="0"/>
    <xf numFmtId="9" fontId="1" fillId="0" borderId="0" applyFont="0" applyFill="0" applyBorder="0" applyAlignment="0" applyProtection="0"/>
    <xf numFmtId="172" fontId="1" fillId="0" borderId="0"/>
    <xf numFmtId="172" fontId="1" fillId="0" borderId="0"/>
    <xf numFmtId="172" fontId="1" fillId="0" borderId="0"/>
    <xf numFmtId="172" fontId="1" fillId="0" borderId="0"/>
    <xf numFmtId="43" fontId="1" fillId="0" borderId="0" applyFont="0" applyFill="0" applyBorder="0" applyAlignment="0" applyProtection="0"/>
    <xf numFmtId="9" fontId="1" fillId="0" borderId="0" applyFont="0" applyFill="0" applyBorder="0" applyAlignment="0" applyProtection="0"/>
    <xf numFmtId="172" fontId="1" fillId="0" borderId="0"/>
    <xf numFmtId="172" fontId="1" fillId="0" borderId="0"/>
    <xf numFmtId="172" fontId="1" fillId="0" borderId="0"/>
    <xf numFmtId="172" fontId="1" fillId="0" borderId="0"/>
    <xf numFmtId="43" fontId="1" fillId="0" borderId="0" applyFont="0" applyFill="0" applyBorder="0" applyAlignment="0" applyProtection="0"/>
    <xf numFmtId="9" fontId="1" fillId="0" borderId="0" applyFont="0" applyFill="0" applyBorder="0" applyAlignment="0" applyProtection="0"/>
    <xf numFmtId="172" fontId="1" fillId="0" borderId="0"/>
    <xf numFmtId="172" fontId="1" fillId="0" borderId="0"/>
    <xf numFmtId="172" fontId="1" fillId="0" borderId="0"/>
    <xf numFmtId="172" fontId="1" fillId="0" borderId="0"/>
    <xf numFmtId="43" fontId="1" fillId="0" borderId="0" applyFont="0" applyFill="0" applyBorder="0" applyAlignment="0" applyProtection="0"/>
    <xf numFmtId="9" fontId="1" fillId="0" borderId="0" applyFont="0" applyFill="0" applyBorder="0" applyAlignment="0" applyProtection="0"/>
    <xf numFmtId="172" fontId="1" fillId="0" borderId="0"/>
    <xf numFmtId="172" fontId="1" fillId="0" borderId="0"/>
    <xf numFmtId="172" fontId="1" fillId="0" borderId="0"/>
    <xf numFmtId="172" fontId="7"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43" fontId="1" fillId="0" borderId="0" applyFont="0" applyFill="0" applyBorder="0" applyAlignment="0" applyProtection="0"/>
    <xf numFmtId="172" fontId="1" fillId="0" borderId="0"/>
    <xf numFmtId="172" fontId="1" fillId="0" borderId="0"/>
    <xf numFmtId="9" fontId="1" fillId="0" borderId="0" applyFont="0" applyFill="0" applyBorder="0" applyAlignment="0" applyProtection="0"/>
    <xf numFmtId="172" fontId="1" fillId="0" borderId="0"/>
    <xf numFmtId="172" fontId="1" fillId="0" borderId="0"/>
    <xf numFmtId="172" fontId="1" fillId="0" borderId="0"/>
    <xf numFmtId="172" fontId="1" fillId="0" borderId="0"/>
    <xf numFmtId="43" fontId="1" fillId="0" borderId="0" applyFont="0" applyFill="0" applyBorder="0" applyAlignment="0" applyProtection="0"/>
    <xf numFmtId="9" fontId="1" fillId="0" borderId="0" applyFont="0" applyFill="0" applyBorder="0" applyAlignment="0" applyProtection="0"/>
    <xf numFmtId="172" fontId="1" fillId="0" borderId="0"/>
    <xf numFmtId="172" fontId="1" fillId="0" borderId="0"/>
    <xf numFmtId="172" fontId="1" fillId="0" borderId="0"/>
    <xf numFmtId="172" fontId="1" fillId="0" borderId="0"/>
    <xf numFmtId="43" fontId="1" fillId="0" borderId="0" applyFont="0" applyFill="0" applyBorder="0" applyAlignment="0" applyProtection="0"/>
    <xf numFmtId="9" fontId="1" fillId="0" borderId="0" applyFont="0" applyFill="0" applyBorder="0" applyAlignment="0" applyProtection="0"/>
    <xf numFmtId="172" fontId="1" fillId="0" borderId="0"/>
    <xf numFmtId="172" fontId="1" fillId="0" borderId="0"/>
    <xf numFmtId="172" fontId="1" fillId="0" borderId="0"/>
    <xf numFmtId="172" fontId="1" fillId="0" borderId="0"/>
    <xf numFmtId="43" fontId="1" fillId="0" borderId="0" applyFont="0" applyFill="0" applyBorder="0" applyAlignment="0" applyProtection="0"/>
    <xf numFmtId="9" fontId="1" fillId="0" borderId="0" applyFont="0" applyFill="0" applyBorder="0" applyAlignment="0" applyProtection="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43" fontId="1" fillId="0" borderId="0" applyFont="0" applyFill="0" applyBorder="0" applyAlignment="0" applyProtection="0"/>
    <xf numFmtId="9" fontId="1" fillId="0" borderId="0" applyFont="0" applyFill="0" applyBorder="0" applyAlignment="0" applyProtection="0"/>
    <xf numFmtId="172" fontId="1" fillId="0" borderId="0"/>
    <xf numFmtId="172" fontId="1" fillId="0" borderId="0"/>
    <xf numFmtId="172" fontId="1" fillId="0" borderId="0"/>
    <xf numFmtId="172" fontId="1" fillId="0" borderId="0"/>
    <xf numFmtId="43" fontId="1" fillId="0" borderId="0" applyFont="0" applyFill="0" applyBorder="0" applyAlignment="0" applyProtection="0"/>
    <xf numFmtId="9" fontId="1" fillId="0" borderId="0" applyFont="0" applyFill="0" applyBorder="0" applyAlignment="0" applyProtection="0"/>
    <xf numFmtId="172" fontId="1" fillId="0" borderId="0"/>
    <xf numFmtId="172" fontId="1" fillId="0" borderId="0"/>
    <xf numFmtId="172" fontId="1" fillId="0" borderId="0"/>
    <xf numFmtId="172" fontId="1" fillId="0" borderId="0"/>
    <xf numFmtId="43" fontId="1" fillId="0" borderId="0" applyFont="0" applyFill="0" applyBorder="0" applyAlignment="0" applyProtection="0"/>
    <xf numFmtId="9" fontId="1" fillId="0" borderId="0" applyFont="0" applyFill="0" applyBorder="0" applyAlignment="0" applyProtection="0"/>
    <xf numFmtId="172" fontId="1" fillId="0" borderId="0"/>
    <xf numFmtId="172" fontId="1" fillId="0" borderId="0"/>
    <xf numFmtId="172" fontId="1" fillId="0" borderId="0"/>
    <xf numFmtId="172" fontId="1" fillId="0" borderId="0"/>
    <xf numFmtId="43" fontId="1" fillId="0" borderId="0" applyFont="0" applyFill="0" applyBorder="0" applyAlignment="0" applyProtection="0"/>
    <xf numFmtId="9" fontId="1" fillId="0" borderId="0" applyFont="0" applyFill="0" applyBorder="0" applyAlignment="0" applyProtection="0"/>
    <xf numFmtId="0" fontId="7" fillId="0" borderId="0" applyNumberFormat="0" applyFill="0" applyBorder="0" applyAlignment="0" applyProtection="0"/>
    <xf numFmtId="172" fontId="1" fillId="0" borderId="0"/>
    <xf numFmtId="172" fontId="1" fillId="0" borderId="0"/>
    <xf numFmtId="172" fontId="1" fillId="0" borderId="0"/>
    <xf numFmtId="172" fontId="1" fillId="0" borderId="0"/>
    <xf numFmtId="43" fontId="1" fillId="0" borderId="0" applyFont="0" applyFill="0" applyBorder="0" applyAlignment="0" applyProtection="0"/>
    <xf numFmtId="9" fontId="1" fillId="0" borderId="0" applyFont="0" applyFill="0" applyBorder="0" applyAlignment="0" applyProtection="0"/>
    <xf numFmtId="172" fontId="1" fillId="0" borderId="0"/>
    <xf numFmtId="172" fontId="1" fillId="0" borderId="0"/>
    <xf numFmtId="172" fontId="1" fillId="0" borderId="0"/>
    <xf numFmtId="172" fontId="1" fillId="0" borderId="0"/>
    <xf numFmtId="43" fontId="1" fillId="0" borderId="0" applyFont="0" applyFill="0" applyBorder="0" applyAlignment="0" applyProtection="0"/>
    <xf numFmtId="9" fontId="1" fillId="0" borderId="0" applyFont="0" applyFill="0" applyBorder="0" applyAlignment="0" applyProtection="0"/>
    <xf numFmtId="172" fontId="1" fillId="0" borderId="0"/>
    <xf numFmtId="172" fontId="1" fillId="0" borderId="0"/>
    <xf numFmtId="172" fontId="1" fillId="0" borderId="0"/>
    <xf numFmtId="172" fontId="1" fillId="0" borderId="0"/>
    <xf numFmtId="43" fontId="1" fillId="0" borderId="0" applyFont="0" applyFill="0" applyBorder="0" applyAlignment="0" applyProtection="0"/>
    <xf numFmtId="9" fontId="1" fillId="0" borderId="0" applyFont="0" applyFill="0" applyBorder="0" applyAlignment="0" applyProtection="0"/>
    <xf numFmtId="172" fontId="1" fillId="0" borderId="0"/>
    <xf numFmtId="172" fontId="1" fillId="0" borderId="0"/>
    <xf numFmtId="172" fontId="1" fillId="0" borderId="0"/>
    <xf numFmtId="172" fontId="1" fillId="0" borderId="0"/>
    <xf numFmtId="43" fontId="1" fillId="0" borderId="0" applyFont="0" applyFill="0" applyBorder="0" applyAlignment="0" applyProtection="0"/>
    <xf numFmtId="9" fontId="1" fillId="0" borderId="0" applyFont="0" applyFill="0" applyBorder="0" applyAlignment="0" applyProtection="0"/>
    <xf numFmtId="172" fontId="1" fillId="0" borderId="0"/>
    <xf numFmtId="172" fontId="1" fillId="0" borderId="0"/>
    <xf numFmtId="172" fontId="1" fillId="0" borderId="0"/>
    <xf numFmtId="172" fontId="1" fillId="0" borderId="0"/>
    <xf numFmtId="43" fontId="1" fillId="0" borderId="0" applyFont="0" applyFill="0" applyBorder="0" applyAlignment="0" applyProtection="0"/>
    <xf numFmtId="9" fontId="1" fillId="0" borderId="0" applyFont="0" applyFill="0" applyBorder="0" applyAlignment="0" applyProtection="0"/>
    <xf numFmtId="172" fontId="1" fillId="0" borderId="0"/>
    <xf numFmtId="172" fontId="1" fillId="0" borderId="0"/>
    <xf numFmtId="172" fontId="1" fillId="0" borderId="0"/>
    <xf numFmtId="172" fontId="1" fillId="0" borderId="0"/>
    <xf numFmtId="43" fontId="1" fillId="0" borderId="0" applyFont="0" applyFill="0" applyBorder="0" applyAlignment="0" applyProtection="0"/>
    <xf numFmtId="9" fontId="1" fillId="0" borderId="0" applyFont="0" applyFill="0" applyBorder="0" applyAlignment="0" applyProtection="0"/>
    <xf numFmtId="172" fontId="1" fillId="0" borderId="0"/>
    <xf numFmtId="172" fontId="1" fillId="0" borderId="0"/>
    <xf numFmtId="172" fontId="1" fillId="0" borderId="0"/>
    <xf numFmtId="172" fontId="1" fillId="0" borderId="0"/>
    <xf numFmtId="43" fontId="1" fillId="0" borderId="0" applyFont="0" applyFill="0" applyBorder="0" applyAlignment="0" applyProtection="0"/>
    <xf numFmtId="9" fontId="1" fillId="0" borderId="0" applyFont="0" applyFill="0" applyBorder="0" applyAlignment="0" applyProtection="0"/>
    <xf numFmtId="172" fontId="1" fillId="0" borderId="0"/>
    <xf numFmtId="172" fontId="1" fillId="0" borderId="0"/>
    <xf numFmtId="172" fontId="1" fillId="0" borderId="0"/>
    <xf numFmtId="172" fontId="1" fillId="0" borderId="0"/>
    <xf numFmtId="43" fontId="1" fillId="0" borderId="0" applyFont="0" applyFill="0" applyBorder="0" applyAlignment="0" applyProtection="0"/>
    <xf numFmtId="9" fontId="1" fillId="0" borderId="0" applyFont="0" applyFill="0" applyBorder="0" applyAlignment="0" applyProtection="0"/>
    <xf numFmtId="172" fontId="1" fillId="0" borderId="0"/>
    <xf numFmtId="172" fontId="1" fillId="0" borderId="0"/>
    <xf numFmtId="172" fontId="1" fillId="0" borderId="0"/>
    <xf numFmtId="172" fontId="1" fillId="0" borderId="0"/>
    <xf numFmtId="43" fontId="1" fillId="0" borderId="0" applyFont="0" applyFill="0" applyBorder="0" applyAlignment="0" applyProtection="0"/>
    <xf numFmtId="9" fontId="1" fillId="0" borderId="0" applyFont="0" applyFill="0" applyBorder="0" applyAlignment="0" applyProtection="0"/>
    <xf numFmtId="172" fontId="1" fillId="0" borderId="0"/>
    <xf numFmtId="172" fontId="1" fillId="0" borderId="0"/>
    <xf numFmtId="172" fontId="1" fillId="0" borderId="0"/>
    <xf numFmtId="172" fontId="1" fillId="0" borderId="0"/>
    <xf numFmtId="43" fontId="1" fillId="0" borderId="0" applyFont="0" applyFill="0" applyBorder="0" applyAlignment="0" applyProtection="0"/>
    <xf numFmtId="9" fontId="1" fillId="0" borderId="0" applyFont="0" applyFill="0" applyBorder="0" applyAlignment="0" applyProtection="0"/>
    <xf numFmtId="172" fontId="1" fillId="0" borderId="0"/>
    <xf numFmtId="172" fontId="1" fillId="0" borderId="0"/>
    <xf numFmtId="172" fontId="1" fillId="0" borderId="0"/>
    <xf numFmtId="172" fontId="1" fillId="0" borderId="0"/>
    <xf numFmtId="43" fontId="1" fillId="0" borderId="0" applyFont="0" applyFill="0" applyBorder="0" applyAlignment="0" applyProtection="0"/>
    <xf numFmtId="9" fontId="1" fillId="0" borderId="0" applyFont="0" applyFill="0" applyBorder="0" applyAlignment="0" applyProtection="0"/>
    <xf numFmtId="172" fontId="1" fillId="0" borderId="0"/>
    <xf numFmtId="172" fontId="1" fillId="0" borderId="0"/>
    <xf numFmtId="172" fontId="1" fillId="0" borderId="0"/>
    <xf numFmtId="172" fontId="1" fillId="0" borderId="0"/>
    <xf numFmtId="43" fontId="1" fillId="0" borderId="0" applyFont="0" applyFill="0" applyBorder="0" applyAlignment="0" applyProtection="0"/>
    <xf numFmtId="9" fontId="1" fillId="0" borderId="0" applyFont="0" applyFill="0" applyBorder="0" applyAlignment="0" applyProtection="0"/>
    <xf numFmtId="172" fontId="1" fillId="0" borderId="0"/>
    <xf numFmtId="172" fontId="1" fillId="0" borderId="0"/>
    <xf numFmtId="172" fontId="1" fillId="0" borderId="0"/>
    <xf numFmtId="172" fontId="1" fillId="0" borderId="0"/>
    <xf numFmtId="43" fontId="1" fillId="0" borderId="0" applyFont="0" applyFill="0" applyBorder="0" applyAlignment="0" applyProtection="0"/>
    <xf numFmtId="9" fontId="1" fillId="0" borderId="0" applyFont="0" applyFill="0" applyBorder="0" applyAlignment="0" applyProtection="0"/>
    <xf numFmtId="172" fontId="1" fillId="0" borderId="0"/>
    <xf numFmtId="172" fontId="1" fillId="0" borderId="0"/>
    <xf numFmtId="172" fontId="1" fillId="0" borderId="0"/>
    <xf numFmtId="172" fontId="1" fillId="0" borderId="0"/>
    <xf numFmtId="43" fontId="1" fillId="0" borderId="0" applyFont="0" applyFill="0" applyBorder="0" applyAlignment="0" applyProtection="0"/>
    <xf numFmtId="9" fontId="1" fillId="0" borderId="0" applyFont="0" applyFill="0" applyBorder="0" applyAlignment="0" applyProtection="0"/>
    <xf numFmtId="172" fontId="1" fillId="0" borderId="0"/>
    <xf numFmtId="172" fontId="1" fillId="0" borderId="0"/>
    <xf numFmtId="172" fontId="1" fillId="0" borderId="0"/>
    <xf numFmtId="172" fontId="1" fillId="0" borderId="0"/>
    <xf numFmtId="43" fontId="1" fillId="0" borderId="0" applyFont="0" applyFill="0" applyBorder="0" applyAlignment="0" applyProtection="0"/>
    <xf numFmtId="9" fontId="1" fillId="0" borderId="0" applyFont="0" applyFill="0" applyBorder="0" applyAlignment="0" applyProtection="0"/>
    <xf numFmtId="172" fontId="1" fillId="0" borderId="0"/>
    <xf numFmtId="172" fontId="1" fillId="0" borderId="0"/>
    <xf numFmtId="172" fontId="1" fillId="0" borderId="0"/>
    <xf numFmtId="172" fontId="1" fillId="0" borderId="0"/>
    <xf numFmtId="43" fontId="1" fillId="0" borderId="0" applyFont="0" applyFill="0" applyBorder="0" applyAlignment="0" applyProtection="0"/>
    <xf numFmtId="9" fontId="1" fillId="0" borderId="0" applyFont="0" applyFill="0" applyBorder="0" applyAlignment="0" applyProtection="0"/>
    <xf numFmtId="0" fontId="7" fillId="0" borderId="0" applyNumberFormat="0" applyFill="0" applyBorder="0" applyAlignment="0" applyProtection="0"/>
    <xf numFmtId="43" fontId="7" fillId="0" borderId="0" applyFont="0" applyFill="0" applyBorder="0" applyAlignment="0" applyProtection="0"/>
    <xf numFmtId="0" fontId="1" fillId="0" borderId="0"/>
    <xf numFmtId="172" fontId="7" fillId="0" borderId="0"/>
    <xf numFmtId="0" fontId="47" fillId="0" borderId="0"/>
    <xf numFmtId="9" fontId="47" fillId="0" borderId="0" applyFont="0" applyFill="0" applyBorder="0" applyAlignment="0" applyProtection="0"/>
    <xf numFmtId="0" fontId="48" fillId="0" borderId="0"/>
    <xf numFmtId="0" fontId="50" fillId="0" borderId="14">
      <alignment horizontal="center"/>
    </xf>
    <xf numFmtId="177" fontId="50" fillId="0" borderId="14">
      <alignment horizontal="right"/>
    </xf>
    <xf numFmtId="177" fontId="51" fillId="0" borderId="14">
      <alignment horizontal="right"/>
    </xf>
    <xf numFmtId="0" fontId="49" fillId="0" borderId="0"/>
    <xf numFmtId="0" fontId="52" fillId="0" borderId="0"/>
    <xf numFmtId="0" fontId="52" fillId="0" borderId="0" applyFont="0" applyFill="0" applyBorder="0" applyAlignment="0" applyProtection="0"/>
    <xf numFmtId="0" fontId="53" fillId="0" borderId="0" applyNumberFormat="0" applyFill="0" applyBorder="0" applyAlignment="0" applyProtection="0"/>
    <xf numFmtId="0" fontId="54" fillId="0" borderId="0" applyNumberFormat="0" applyFill="0" applyBorder="0" applyAlignment="0" applyProtection="0"/>
    <xf numFmtId="3" fontId="52" fillId="0" borderId="0" applyFont="0" applyFill="0" applyBorder="0" applyAlignment="0" applyProtection="0"/>
    <xf numFmtId="178" fontId="52" fillId="0" borderId="0" applyFont="0" applyFill="0" applyBorder="0" applyAlignment="0" applyProtection="0"/>
    <xf numFmtId="0" fontId="47" fillId="0" borderId="0"/>
    <xf numFmtId="2" fontId="52" fillId="0" borderId="0" applyFont="0" applyFill="0" applyBorder="0" applyAlignment="0" applyProtection="0"/>
    <xf numFmtId="0" fontId="62" fillId="0" borderId="0"/>
    <xf numFmtId="9" fontId="62" fillId="0" borderId="0" applyFont="0" applyFill="0" applyBorder="0" applyAlignment="0" applyProtection="0"/>
    <xf numFmtId="0" fontId="18" fillId="0" borderId="0"/>
    <xf numFmtId="0" fontId="68" fillId="40" borderId="0" applyNumberFormat="0" applyBorder="0" applyAlignment="0" applyProtection="0"/>
    <xf numFmtId="0" fontId="68" fillId="41" borderId="0" applyNumberFormat="0" applyBorder="0" applyAlignment="0" applyProtection="0"/>
    <xf numFmtId="0" fontId="68" fillId="42" borderId="0" applyNumberFormat="0" applyBorder="0" applyAlignment="0" applyProtection="0"/>
    <xf numFmtId="0" fontId="68" fillId="43" borderId="0" applyNumberFormat="0" applyBorder="0" applyAlignment="0" applyProtection="0"/>
    <xf numFmtId="0" fontId="68" fillId="44" borderId="0" applyNumberFormat="0" applyBorder="0" applyAlignment="0" applyProtection="0"/>
    <xf numFmtId="0" fontId="68" fillId="45" borderId="0" applyNumberFormat="0" applyBorder="0" applyAlignment="0" applyProtection="0"/>
    <xf numFmtId="0" fontId="68" fillId="46" borderId="0" applyNumberFormat="0" applyBorder="0" applyAlignment="0" applyProtection="0"/>
    <xf numFmtId="0" fontId="68" fillId="47" borderId="0" applyNumberFormat="0" applyBorder="0" applyAlignment="0" applyProtection="0"/>
    <xf numFmtId="0" fontId="68" fillId="48" borderId="0" applyNumberFormat="0" applyBorder="0" applyAlignment="0" applyProtection="0"/>
    <xf numFmtId="0" fontId="68" fillId="43" borderId="0" applyNumberFormat="0" applyBorder="0" applyAlignment="0" applyProtection="0"/>
    <xf numFmtId="0" fontId="68" fillId="46" borderId="0" applyNumberFormat="0" applyBorder="0" applyAlignment="0" applyProtection="0"/>
    <xf numFmtId="0" fontId="68" fillId="49" borderId="0" applyNumberFormat="0" applyBorder="0" applyAlignment="0" applyProtection="0"/>
    <xf numFmtId="0" fontId="69" fillId="50" borderId="0" applyNumberFormat="0" applyBorder="0" applyAlignment="0" applyProtection="0"/>
    <xf numFmtId="0" fontId="69" fillId="47" borderId="0" applyNumberFormat="0" applyBorder="0" applyAlignment="0" applyProtection="0"/>
    <xf numFmtId="0" fontId="69" fillId="48" borderId="0" applyNumberFormat="0" applyBorder="0" applyAlignment="0" applyProtection="0"/>
    <xf numFmtId="0" fontId="69" fillId="51" borderId="0" applyNumberFormat="0" applyBorder="0" applyAlignment="0" applyProtection="0"/>
    <xf numFmtId="0" fontId="69" fillId="52" borderId="0" applyNumberFormat="0" applyBorder="0" applyAlignment="0" applyProtection="0"/>
    <xf numFmtId="0" fontId="69" fillId="53" borderId="0" applyNumberFormat="0" applyBorder="0" applyAlignment="0" applyProtection="0"/>
    <xf numFmtId="0" fontId="70" fillId="41" borderId="0" applyNumberFormat="0" applyBorder="0" applyAlignment="0" applyProtection="0"/>
    <xf numFmtId="0" fontId="71" fillId="54" borderId="39" applyNumberFormat="0" applyAlignment="0" applyProtection="0"/>
    <xf numFmtId="0" fontId="72" fillId="55" borderId="40" applyNumberFormat="0" applyAlignment="0" applyProtection="0"/>
    <xf numFmtId="0" fontId="68" fillId="56" borderId="41" applyNumberFormat="0" applyFont="0" applyAlignment="0" applyProtection="0"/>
    <xf numFmtId="0" fontId="73" fillId="0" borderId="0" applyFont="0" applyFill="0" applyBorder="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76" fillId="0" borderId="0" applyNumberFormat="0" applyFill="0" applyBorder="0" applyAlignment="0" applyProtection="0"/>
    <xf numFmtId="3" fontId="73" fillId="0" borderId="0" applyFont="0" applyFill="0" applyBorder="0" applyAlignment="0" applyProtection="0"/>
    <xf numFmtId="0" fontId="77" fillId="42" borderId="0" applyNumberFormat="0" applyBorder="0" applyAlignment="0" applyProtection="0"/>
    <xf numFmtId="0" fontId="78" fillId="0" borderId="42" applyNumberFormat="0" applyFill="0" applyAlignment="0" applyProtection="0"/>
    <xf numFmtId="0" fontId="79" fillId="0" borderId="43" applyNumberFormat="0" applyFill="0" applyAlignment="0" applyProtection="0"/>
    <xf numFmtId="0" fontId="80" fillId="0" borderId="44" applyNumberFormat="0" applyFill="0" applyAlignment="0" applyProtection="0"/>
    <xf numFmtId="0" fontId="80" fillId="0" borderId="0" applyNumberFormat="0" applyFill="0" applyBorder="0" applyAlignment="0" applyProtection="0"/>
    <xf numFmtId="0" fontId="81" fillId="45" borderId="39" applyNumberFormat="0" applyAlignment="0" applyProtection="0"/>
    <xf numFmtId="0" fontId="82" fillId="0" borderId="45" applyNumberFormat="0" applyFill="0" applyAlignment="0" applyProtection="0"/>
    <xf numFmtId="181" fontId="15" fillId="0" borderId="0" applyFont="0" applyFill="0" applyBorder="0" applyAlignment="0" applyProtection="0"/>
    <xf numFmtId="178" fontId="73" fillId="0" borderId="0" applyFont="0" applyFill="0" applyBorder="0" applyAlignment="0" applyProtection="0"/>
    <xf numFmtId="0" fontId="7" fillId="0" borderId="0"/>
    <xf numFmtId="0" fontId="83" fillId="57"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62" fillId="0" borderId="0"/>
    <xf numFmtId="0" fontId="62" fillId="0" borderId="0"/>
    <xf numFmtId="0" fontId="62" fillId="0" borderId="0"/>
    <xf numFmtId="0" fontId="62" fillId="0" borderId="0"/>
    <xf numFmtId="0" fontId="62" fillId="0" borderId="0"/>
    <xf numFmtId="0" fontId="15" fillId="0" borderId="0"/>
    <xf numFmtId="0" fontId="62" fillId="0" borderId="0"/>
    <xf numFmtId="0" fontId="15" fillId="0" borderId="0"/>
    <xf numFmtId="0" fontId="73" fillId="0" borderId="0"/>
    <xf numFmtId="0" fontId="73" fillId="0" borderId="0"/>
    <xf numFmtId="0" fontId="15" fillId="0" borderId="0"/>
    <xf numFmtId="0" fontId="15" fillId="0" borderId="0"/>
    <xf numFmtId="0" fontId="15" fillId="0" borderId="0"/>
    <xf numFmtId="0" fontId="84" fillId="0" borderId="0"/>
    <xf numFmtId="0" fontId="85" fillId="0" borderId="0"/>
    <xf numFmtId="0" fontId="62" fillId="0" borderId="0"/>
    <xf numFmtId="0" fontId="62" fillId="0" borderId="0"/>
    <xf numFmtId="0" fontId="7" fillId="0" borderId="0"/>
    <xf numFmtId="0" fontId="62" fillId="0" borderId="0"/>
    <xf numFmtId="0" fontId="15" fillId="0" borderId="0"/>
    <xf numFmtId="0" fontId="15" fillId="0" borderId="0"/>
    <xf numFmtId="0" fontId="7" fillId="56" borderId="41" applyNumberFormat="0" applyFont="0" applyAlignment="0" applyProtection="0"/>
    <xf numFmtId="0" fontId="86" fillId="54" borderId="46" applyNumberForma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15" fillId="0" borderId="0" applyFont="0" applyFill="0" applyBorder="0" applyAlignment="0" applyProtection="0"/>
    <xf numFmtId="9" fontId="7" fillId="0" borderId="0" applyFont="0" applyFill="0" applyBorder="0" applyAlignment="0" applyProtection="0"/>
    <xf numFmtId="9" fontId="84" fillId="0" borderId="0" applyFont="0" applyFill="0" applyBorder="0" applyAlignment="0" applyProtection="0"/>
    <xf numFmtId="9" fontId="15" fillId="0" borderId="0" applyFont="0" applyFill="0" applyBorder="0" applyAlignment="0" applyProtection="0"/>
    <xf numFmtId="9" fontId="7" fillId="0" borderId="0" applyFont="0" applyFill="0" applyBorder="0" applyAlignment="0" applyProtection="0"/>
    <xf numFmtId="9" fontId="62" fillId="0" borderId="0" applyFont="0" applyFill="0" applyBorder="0" applyAlignment="0" applyProtection="0"/>
    <xf numFmtId="9" fontId="84"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77" fillId="42" borderId="0" applyNumberFormat="0" applyBorder="0" applyAlignment="0" applyProtection="0"/>
    <xf numFmtId="0" fontId="7" fillId="0" borderId="0"/>
    <xf numFmtId="0" fontId="7" fillId="0" borderId="0"/>
    <xf numFmtId="0" fontId="87" fillId="0" borderId="0" applyNumberFormat="0" applyFill="0" applyBorder="0" applyAlignment="0" applyProtection="0"/>
    <xf numFmtId="0" fontId="87" fillId="0" borderId="0" applyNumberFormat="0" applyFill="0" applyBorder="0" applyAlignment="0" applyProtection="0"/>
    <xf numFmtId="0" fontId="78" fillId="0" borderId="42" applyNumberFormat="0" applyFill="0" applyAlignment="0" applyProtection="0"/>
    <xf numFmtId="0" fontId="79" fillId="0" borderId="43" applyNumberFormat="0" applyFill="0" applyAlignment="0" applyProtection="0"/>
    <xf numFmtId="0" fontId="80" fillId="0" borderId="44" applyNumberFormat="0" applyFill="0" applyAlignment="0" applyProtection="0"/>
    <xf numFmtId="0" fontId="80" fillId="0" borderId="0" applyNumberFormat="0" applyFill="0" applyBorder="0" applyAlignment="0" applyProtection="0"/>
    <xf numFmtId="0" fontId="72" fillId="55" borderId="40" applyNumberFormat="0" applyAlignment="0" applyProtection="0"/>
    <xf numFmtId="2" fontId="73" fillId="0" borderId="0" applyFont="0" applyFill="0" applyBorder="0" applyAlignment="0" applyProtection="0"/>
    <xf numFmtId="0" fontId="88" fillId="0" borderId="0" applyNumberFormat="0" applyFill="0" applyBorder="0" applyAlignment="0" applyProtection="0"/>
    <xf numFmtId="0" fontId="15" fillId="0" borderId="0"/>
    <xf numFmtId="0" fontId="15" fillId="0" borderId="0"/>
    <xf numFmtId="9" fontId="15" fillId="0" borderId="0" applyFont="0" applyFill="0" applyBorder="0" applyAlignment="0" applyProtection="0"/>
    <xf numFmtId="0" fontId="89" fillId="0" borderId="0" applyNumberFormat="0" applyFill="0" applyBorder="0" applyAlignment="0" applyProtection="0"/>
    <xf numFmtId="9" fontId="15" fillId="0" borderId="0" applyFont="0" applyFill="0" applyBorder="0" applyAlignment="0" applyProtection="0"/>
    <xf numFmtId="0" fontId="15" fillId="0" borderId="0"/>
    <xf numFmtId="9" fontId="15" fillId="0" borderId="0" applyFont="0" applyFill="0" applyBorder="0" applyAlignment="0" applyProtection="0"/>
    <xf numFmtId="43" fontId="7" fillId="0" borderId="0" applyFont="0" applyFill="0" applyBorder="0" applyAlignment="0" applyProtection="0"/>
    <xf numFmtId="0" fontId="7" fillId="0" borderId="0"/>
    <xf numFmtId="9" fontId="1" fillId="0" borderId="0" applyFont="0" applyFill="0" applyBorder="0" applyAlignment="0" applyProtection="0"/>
    <xf numFmtId="44" fontId="7" fillId="0" borderId="0" applyFont="0" applyFill="0" applyBorder="0" applyAlignment="0" applyProtection="0"/>
    <xf numFmtId="0" fontId="15" fillId="0" borderId="0"/>
    <xf numFmtId="9" fontId="15" fillId="0" borderId="0" applyFont="0" applyFill="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4" fillId="19" borderId="0" applyNumberFormat="0" applyBorder="0" applyAlignment="0" applyProtection="0"/>
    <xf numFmtId="0" fontId="94" fillId="23" borderId="0" applyNumberFormat="0" applyBorder="0" applyAlignment="0" applyProtection="0"/>
    <xf numFmtId="0" fontId="94" fillId="27" borderId="0" applyNumberFormat="0" applyBorder="0" applyAlignment="0" applyProtection="0"/>
    <xf numFmtId="0" fontId="94" fillId="31" borderId="0" applyNumberFormat="0" applyBorder="0" applyAlignment="0" applyProtection="0"/>
    <xf numFmtId="0" fontId="94" fillId="35" borderId="0" applyNumberFormat="0" applyBorder="0" applyAlignment="0" applyProtection="0"/>
    <xf numFmtId="0" fontId="94" fillId="39" borderId="0" applyNumberFormat="0" applyBorder="0" applyAlignment="0" applyProtection="0"/>
    <xf numFmtId="0" fontId="94" fillId="16" borderId="0" applyNumberFormat="0" applyBorder="0" applyAlignment="0" applyProtection="0"/>
    <xf numFmtId="0" fontId="94" fillId="20" borderId="0" applyNumberFormat="0" applyBorder="0" applyAlignment="0" applyProtection="0"/>
    <xf numFmtId="0" fontId="94" fillId="24" borderId="0" applyNumberFormat="0" applyBorder="0" applyAlignment="0" applyProtection="0"/>
    <xf numFmtId="0" fontId="94" fillId="28" borderId="0" applyNumberFormat="0" applyBorder="0" applyAlignment="0" applyProtection="0"/>
    <xf numFmtId="0" fontId="94" fillId="32" borderId="0" applyNumberFormat="0" applyBorder="0" applyAlignment="0" applyProtection="0"/>
    <xf numFmtId="0" fontId="94" fillId="36" borderId="0" applyNumberFormat="0" applyBorder="0" applyAlignment="0" applyProtection="0"/>
    <xf numFmtId="0" fontId="95" fillId="10" borderId="0" applyNumberFormat="0" applyBorder="0" applyAlignment="0" applyProtection="0"/>
    <xf numFmtId="183" fontId="96" fillId="0" borderId="0">
      <alignment vertical="top"/>
    </xf>
    <xf numFmtId="0" fontId="97" fillId="13" borderId="22" applyNumberFormat="0" applyAlignment="0" applyProtection="0"/>
    <xf numFmtId="0" fontId="98" fillId="14" borderId="25" applyNumberFormat="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7" fillId="0" borderId="0" applyFont="0" applyFill="0" applyBorder="0" applyAlignment="0" applyProtection="0"/>
    <xf numFmtId="185" fontId="7" fillId="0" borderId="0" applyFont="0" applyFill="0" applyBorder="0" applyAlignment="0" applyProtection="0"/>
    <xf numFmtId="184" fontId="99"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4" fontId="62"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4" fontId="62" fillId="0" borderId="0" applyFont="0" applyFill="0" applyBorder="0" applyAlignment="0" applyProtection="0"/>
    <xf numFmtId="184" fontId="62"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7" fontId="21" fillId="0" borderId="0" applyFont="0" applyFill="0" applyBorder="0" applyAlignment="0" applyProtection="0"/>
    <xf numFmtId="184" fontId="1" fillId="0" borderId="0" applyFont="0" applyFill="0" applyBorder="0" applyAlignment="0" applyProtection="0"/>
    <xf numFmtId="3" fontId="100" fillId="0" borderId="0" applyFill="0" applyBorder="0">
      <alignment horizontal="right" vertical="top"/>
    </xf>
    <xf numFmtId="182" fontId="100" fillId="0" borderId="0" applyFill="0" applyBorder="0">
      <alignment horizontal="right" vertical="top"/>
    </xf>
    <xf numFmtId="3" fontId="100" fillId="0" borderId="0" applyFill="0" applyBorder="0">
      <alignment horizontal="right" vertical="top"/>
    </xf>
    <xf numFmtId="171" fontId="96" fillId="0" borderId="0" applyFont="0" applyFill="0" applyBorder="0">
      <alignment horizontal="right" vertical="top"/>
    </xf>
    <xf numFmtId="188" fontId="100" fillId="0" borderId="0" applyFont="0" applyFill="0" applyBorder="0" applyAlignment="0" applyProtection="0">
      <alignment horizontal="right" vertical="top"/>
    </xf>
    <xf numFmtId="182" fontId="100" fillId="0" borderId="0">
      <alignment horizontal="right" vertical="top"/>
    </xf>
    <xf numFmtId="3" fontId="7" fillId="0" borderId="0" applyFont="0" applyFill="0" applyBorder="0" applyAlignment="0" applyProtection="0"/>
    <xf numFmtId="5" fontId="7" fillId="0" borderId="0" applyFont="0" applyFill="0" applyBorder="0" applyAlignment="0" applyProtection="0"/>
    <xf numFmtId="0" fontId="73" fillId="0" borderId="0" applyFont="0" applyFill="0" applyBorder="0" applyAlignment="0" applyProtection="0"/>
    <xf numFmtId="184" fontId="101" fillId="0" borderId="0" applyFont="0" applyFill="0" applyBorder="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102" fillId="0" borderId="0" applyNumberFormat="0" applyFill="0" applyBorder="0" applyAlignment="0" applyProtection="0"/>
    <xf numFmtId="3" fontId="73" fillId="0" borderId="0" applyFont="0" applyFill="0" applyBorder="0" applyAlignment="0" applyProtection="0"/>
    <xf numFmtId="2" fontId="7" fillId="0" borderId="0" applyFont="0" applyFill="0" applyBorder="0" applyAlignment="0" applyProtection="0"/>
    <xf numFmtId="0" fontId="103" fillId="9" borderId="0" applyNumberFormat="0" applyBorder="0" applyAlignment="0" applyProtection="0"/>
    <xf numFmtId="0" fontId="91" fillId="0" borderId="19" applyNumberFormat="0" applyFill="0" applyAlignment="0" applyProtection="0"/>
    <xf numFmtId="0" fontId="92" fillId="0" borderId="20" applyNumberFormat="0" applyFill="0" applyAlignment="0" applyProtection="0"/>
    <xf numFmtId="0" fontId="93" fillId="0" borderId="21" applyNumberFormat="0" applyFill="0" applyAlignment="0" applyProtection="0"/>
    <xf numFmtId="0" fontId="93" fillId="0" borderId="0" applyNumberFormat="0" applyFill="0" applyBorder="0" applyAlignment="0" applyProtection="0"/>
    <xf numFmtId="0" fontId="104" fillId="0" borderId="0" applyNumberFormat="0" applyFill="0" applyBorder="0" applyAlignment="0" applyProtection="0">
      <alignment vertical="top"/>
      <protection locked="0"/>
    </xf>
    <xf numFmtId="0" fontId="105" fillId="12" borderId="22" applyNumberFormat="0" applyAlignment="0" applyProtection="0"/>
    <xf numFmtId="0" fontId="89" fillId="0" borderId="0" applyNumberFormat="0" applyFill="0" applyBorder="0" applyAlignment="0" applyProtection="0"/>
    <xf numFmtId="0" fontId="106" fillId="0" borderId="24" applyNumberFormat="0" applyFill="0" applyAlignment="0" applyProtection="0"/>
    <xf numFmtId="178" fontId="73" fillId="0" borderId="0" applyFont="0" applyFill="0" applyBorder="0" applyAlignment="0" applyProtection="0"/>
    <xf numFmtId="0" fontId="107" fillId="11" borderId="0" applyNumberFormat="0" applyBorder="0" applyAlignment="0" applyProtection="0"/>
    <xf numFmtId="0" fontId="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189" fontId="7" fillId="0" borderId="0" applyNumberFormat="0" applyFont="0" applyFill="0" applyBorder="0" applyAlignment="0" applyProtection="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applyFill="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62"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62" fillId="0" borderId="0"/>
    <xf numFmtId="0" fontId="99" fillId="0" borderId="0"/>
    <xf numFmtId="0" fontId="15" fillId="0" borderId="0"/>
    <xf numFmtId="0" fontId="15" fillId="0" borderId="0"/>
    <xf numFmtId="0" fontId="15" fillId="0" borderId="0"/>
    <xf numFmtId="0" fontId="15" fillId="0" borderId="0"/>
    <xf numFmtId="0" fontId="62" fillId="0" borderId="0"/>
    <xf numFmtId="0" fontId="108" fillId="0" borderId="0"/>
    <xf numFmtId="0" fontId="1" fillId="0" borderId="0"/>
    <xf numFmtId="0" fontId="15" fillId="0" borderId="0"/>
    <xf numFmtId="0" fontId="15" fillId="0" borderId="0"/>
    <xf numFmtId="0" fontId="15" fillId="0" borderId="0"/>
    <xf numFmtId="0" fontId="15" fillId="0" borderId="0"/>
    <xf numFmtId="0" fontId="15" fillId="0" borderId="0"/>
    <xf numFmtId="0" fontId="62" fillId="0" borderId="0"/>
    <xf numFmtId="0" fontId="62" fillId="0" borderId="0"/>
    <xf numFmtId="0" fontId="62" fillId="0" borderId="0"/>
    <xf numFmtId="0" fontId="15" fillId="0" borderId="0"/>
    <xf numFmtId="0" fontId="109" fillId="0" borderId="51" applyNumberFormat="0" applyFill="0" applyAlignment="0" applyProtection="0"/>
    <xf numFmtId="1" fontId="96" fillId="0" borderId="0">
      <alignment vertical="top" wrapText="1"/>
    </xf>
    <xf numFmtId="1" fontId="110" fillId="0" borderId="0" applyFill="0" applyBorder="0" applyProtection="0"/>
    <xf numFmtId="1" fontId="109" fillId="0" borderId="0" applyFont="0" applyFill="0" applyBorder="0" applyProtection="0">
      <alignment vertical="center"/>
    </xf>
    <xf numFmtId="1" fontId="111" fillId="0" borderId="0">
      <alignment horizontal="right" vertical="top"/>
    </xf>
    <xf numFmtId="1" fontId="100" fillId="0" borderId="0" applyNumberFormat="0" applyFill="0" applyBorder="0">
      <alignment vertical="top"/>
    </xf>
    <xf numFmtId="0" fontId="112" fillId="0" borderId="0"/>
    <xf numFmtId="0" fontId="9" fillId="15" borderId="26" applyNumberFormat="0" applyFont="0" applyAlignment="0" applyProtection="0"/>
    <xf numFmtId="0" fontId="1" fillId="15" borderId="26" applyNumberFormat="0" applyFont="0" applyAlignment="0" applyProtection="0"/>
    <xf numFmtId="0" fontId="113" fillId="13" borderId="23"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8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9" fillId="0" borderId="0" applyFont="0" applyFill="0" applyBorder="0" applyAlignment="0" applyProtection="0"/>
    <xf numFmtId="9" fontId="15"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5" fillId="0" borderId="0" applyFont="0" applyFill="0" applyBorder="0" applyAlignment="0" applyProtection="0"/>
    <xf numFmtId="9" fontId="2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21"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86" fontId="7" fillId="0" borderId="0" applyFont="0" applyFill="0" applyBorder="0" applyAlignment="0" applyProtection="0"/>
    <xf numFmtId="9" fontId="62" fillId="0" borderId="0" applyFont="0" applyFill="0" applyBorder="0" applyAlignment="0" applyProtection="0"/>
    <xf numFmtId="9" fontId="9"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85" fillId="0" borderId="0" applyFont="0" applyFill="0" applyBorder="0" applyAlignment="0" applyProtection="0"/>
    <xf numFmtId="9" fontId="62" fillId="0" borderId="0" applyFont="0" applyFill="0" applyBorder="0" applyAlignment="0" applyProtection="0"/>
    <xf numFmtId="9" fontId="18" fillId="0" borderId="0" applyFont="0" applyFill="0" applyBorder="0" applyAlignment="0" applyProtection="0"/>
    <xf numFmtId="9" fontId="15" fillId="0" borderId="0" applyFont="0" applyFill="0" applyBorder="0" applyAlignment="0" applyProtection="0"/>
    <xf numFmtId="2" fontId="7" fillId="0" borderId="0" applyFont="0" applyFill="0" applyBorder="0" applyProtection="0">
      <alignment horizontal="right"/>
    </xf>
    <xf numFmtId="2" fontId="7" fillId="0" borderId="0" applyFont="0" applyFill="0" applyBorder="0" applyProtection="0">
      <alignment horizontal="right"/>
    </xf>
    <xf numFmtId="49" fontId="100" fillId="0" borderId="0" applyFill="0" applyBorder="0" applyAlignment="0" applyProtection="0">
      <alignment vertical="top"/>
    </xf>
    <xf numFmtId="0" fontId="61" fillId="0" borderId="27" applyNumberFormat="0" applyFill="0" applyAlignment="0" applyProtection="0"/>
    <xf numFmtId="2" fontId="73" fillId="0" borderId="0" applyFont="0" applyFill="0" applyBorder="0" applyAlignment="0" applyProtection="0"/>
    <xf numFmtId="0" fontId="114" fillId="0" borderId="0" applyNumberFormat="0" applyFill="0" applyBorder="0" applyAlignment="0" applyProtection="0"/>
    <xf numFmtId="1" fontId="115" fillId="0" borderId="0">
      <alignment vertical="top" wrapText="1"/>
    </xf>
    <xf numFmtId="189" fontId="7" fillId="0" borderId="0" applyNumberFormat="0" applyFont="0" applyFill="0" applyBorder="0" applyAlignment="0" applyProtection="0"/>
    <xf numFmtId="0" fontId="7" fillId="0" borderId="0"/>
    <xf numFmtId="9" fontId="1" fillId="0" borderId="0" applyFont="0" applyFill="0" applyBorder="0" applyAlignment="0" applyProtection="0"/>
    <xf numFmtId="0" fontId="15" fillId="0" borderId="0"/>
    <xf numFmtId="0" fontId="85" fillId="0" borderId="0"/>
    <xf numFmtId="0" fontId="62" fillId="0" borderId="0"/>
    <xf numFmtId="0" fontId="116" fillId="0" borderId="0" applyNumberFormat="0" applyFill="0" applyBorder="0" applyAlignment="0" applyProtection="0"/>
    <xf numFmtId="0" fontId="117" fillId="0" borderId="19" applyNumberFormat="0" applyFill="0" applyAlignment="0" applyProtection="0"/>
    <xf numFmtId="0" fontId="118" fillId="0" borderId="20" applyNumberFormat="0" applyFill="0" applyAlignment="0" applyProtection="0"/>
    <xf numFmtId="0" fontId="119" fillId="0" borderId="21" applyNumberFormat="0" applyFill="0" applyAlignment="0" applyProtection="0"/>
    <xf numFmtId="0" fontId="119" fillId="0" borderId="0" applyNumberFormat="0" applyFill="0" applyBorder="0" applyAlignment="0" applyProtection="0"/>
    <xf numFmtId="0" fontId="120" fillId="9" borderId="0" applyNumberFormat="0" applyBorder="0" applyAlignment="0" applyProtection="0"/>
    <xf numFmtId="0" fontId="121" fillId="10" borderId="0" applyNumberFormat="0" applyBorder="0" applyAlignment="0" applyProtection="0"/>
    <xf numFmtId="0" fontId="122" fillId="11" borderId="0" applyNumberFormat="0" applyBorder="0" applyAlignment="0" applyProtection="0"/>
    <xf numFmtId="0" fontId="123" fillId="12" borderId="22" applyNumberFormat="0" applyAlignment="0" applyProtection="0"/>
    <xf numFmtId="0" fontId="124" fillId="13" borderId="23" applyNumberFormat="0" applyAlignment="0" applyProtection="0"/>
    <xf numFmtId="0" fontId="125" fillId="13" borderId="22" applyNumberFormat="0" applyAlignment="0" applyProtection="0"/>
    <xf numFmtId="0" fontId="126" fillId="0" borderId="24" applyNumberFormat="0" applyFill="0" applyAlignment="0" applyProtection="0"/>
    <xf numFmtId="0" fontId="127" fillId="14" borderId="25" applyNumberFormat="0" applyAlignment="0" applyProtection="0"/>
    <xf numFmtId="0" fontId="128" fillId="0" borderId="0" applyNumberFormat="0" applyFill="0" applyBorder="0" applyAlignment="0" applyProtection="0"/>
    <xf numFmtId="0" fontId="1" fillId="15" borderId="26" applyNumberFormat="0" applyFont="0" applyAlignment="0" applyProtection="0"/>
    <xf numFmtId="0" fontId="129" fillId="0" borderId="0" applyNumberFormat="0" applyFill="0" applyBorder="0" applyAlignment="0" applyProtection="0"/>
    <xf numFmtId="0" fontId="2" fillId="0" borderId="27" applyNumberFormat="0" applyFill="0" applyAlignment="0" applyProtection="0"/>
    <xf numFmtId="0" fontId="45"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45"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45"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45"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5"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45"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44" fontId="1" fillId="0" borderId="0" applyFont="0" applyFill="0" applyBorder="0" applyAlignment="0" applyProtection="0"/>
    <xf numFmtId="0" fontId="159" fillId="0" borderId="0"/>
  </cellStyleXfs>
  <cellXfs count="833">
    <xf numFmtId="0" fontId="0" fillId="0" borderId="0" xfId="0"/>
    <xf numFmtId="0" fontId="6" fillId="0" borderId="0" xfId="0" applyFont="1"/>
    <xf numFmtId="0" fontId="0" fillId="0" borderId="2" xfId="0" applyBorder="1"/>
    <xf numFmtId="3" fontId="0" fillId="0" borderId="0" xfId="0" applyNumberFormat="1"/>
    <xf numFmtId="0" fontId="0" fillId="0" borderId="0" xfId="0" applyBorder="1"/>
    <xf numFmtId="0" fontId="0" fillId="0" borderId="3" xfId="0" applyBorder="1"/>
    <xf numFmtId="0" fontId="2" fillId="0" borderId="3" xfId="0" applyFont="1" applyBorder="1" applyAlignment="1">
      <alignment horizontal="center"/>
    </xf>
    <xf numFmtId="165" fontId="0" fillId="0" borderId="0" xfId="0" applyNumberFormat="1" applyAlignment="1">
      <alignment horizontal="center"/>
    </xf>
    <xf numFmtId="0" fontId="10" fillId="0" borderId="0" xfId="3"/>
    <xf numFmtId="0" fontId="2" fillId="0" borderId="0" xfId="0" applyFont="1"/>
    <xf numFmtId="0" fontId="2" fillId="0" borderId="0" xfId="0" applyFont="1" applyFill="1" applyBorder="1" applyAlignment="1"/>
    <xf numFmtId="0" fontId="11" fillId="0" borderId="0" xfId="0" applyFont="1"/>
    <xf numFmtId="0" fontId="0" fillId="0" borderId="0" xfId="0" applyFill="1"/>
    <xf numFmtId="0" fontId="2" fillId="0" borderId="0" xfId="0" applyFont="1" applyBorder="1"/>
    <xf numFmtId="0" fontId="0" fillId="0" borderId="0" xfId="0" applyFill="1" applyBorder="1"/>
    <xf numFmtId="0" fontId="2" fillId="0" borderId="0" xfId="0" applyFont="1" applyFill="1" applyBorder="1" applyAlignment="1">
      <alignment horizontal="center"/>
    </xf>
    <xf numFmtId="9" fontId="0" fillId="0" borderId="0" xfId="1" applyFont="1" applyAlignment="1">
      <alignment horizontal="center"/>
    </xf>
    <xf numFmtId="9" fontId="0" fillId="0" borderId="0" xfId="1" applyFont="1" applyFill="1" applyBorder="1" applyAlignment="1">
      <alignment horizontal="center"/>
    </xf>
    <xf numFmtId="0" fontId="8" fillId="0" borderId="0" xfId="2" applyFont="1" applyFill="1" applyBorder="1" applyAlignment="1">
      <alignment vertical="center"/>
    </xf>
    <xf numFmtId="0" fontId="22" fillId="0" borderId="3" xfId="3" applyFont="1" applyFill="1" applyBorder="1" applyAlignment="1" applyProtection="1">
      <alignment horizontal="center"/>
    </xf>
    <xf numFmtId="0" fontId="0" fillId="0" borderId="3" xfId="0" applyFill="1" applyBorder="1"/>
    <xf numFmtId="0" fontId="24" fillId="0" borderId="3" xfId="15" applyFont="1" applyFill="1" applyBorder="1" applyAlignment="1">
      <alignment horizontal="center"/>
    </xf>
    <xf numFmtId="0" fontId="23" fillId="0" borderId="3" xfId="2" applyFont="1" applyFill="1" applyBorder="1" applyAlignment="1">
      <alignment horizontal="center"/>
    </xf>
    <xf numFmtId="0" fontId="25" fillId="0" borderId="0" xfId="2" applyFont="1" applyFill="1" applyAlignment="1">
      <alignment horizontal="center"/>
    </xf>
    <xf numFmtId="166" fontId="26" fillId="0" borderId="0" xfId="1" applyNumberFormat="1" applyFont="1" applyFill="1"/>
    <xf numFmtId="3" fontId="26" fillId="0" borderId="0" xfId="0" applyNumberFormat="1" applyFont="1" applyFill="1"/>
    <xf numFmtId="0" fontId="27" fillId="0" borderId="0" xfId="0" applyFont="1" applyFill="1"/>
    <xf numFmtId="166" fontId="27" fillId="0" borderId="0" xfId="0" applyNumberFormat="1" applyFont="1" applyFill="1"/>
    <xf numFmtId="0" fontId="27" fillId="0" borderId="3" xfId="0" applyFont="1" applyFill="1" applyBorder="1"/>
    <xf numFmtId="166" fontId="27" fillId="0" borderId="3" xfId="0" applyNumberFormat="1" applyFont="1" applyFill="1" applyBorder="1"/>
    <xf numFmtId="167" fontId="0" fillId="0" borderId="3" xfId="0" applyNumberFormat="1" applyFill="1" applyBorder="1"/>
    <xf numFmtId="167" fontId="0" fillId="0" borderId="0" xfId="0" applyNumberFormat="1" applyFill="1"/>
    <xf numFmtId="9" fontId="0" fillId="0" borderId="0" xfId="0" applyNumberFormat="1" applyAlignment="1">
      <alignment horizontal="center"/>
    </xf>
    <xf numFmtId="0" fontId="2" fillId="0" borderId="0" xfId="0" applyFont="1" applyFill="1"/>
    <xf numFmtId="0" fontId="27" fillId="0" borderId="0" xfId="0" applyFont="1" applyFill="1" applyAlignment="1">
      <alignment horizontal="center"/>
    </xf>
    <xf numFmtId="167" fontId="27" fillId="0" borderId="0" xfId="0" applyNumberFormat="1" applyFont="1" applyFill="1"/>
    <xf numFmtId="166" fontId="0" fillId="0" borderId="0" xfId="0" applyNumberFormat="1" applyFill="1"/>
    <xf numFmtId="0" fontId="0" fillId="0" borderId="0" xfId="0" applyFill="1" applyAlignment="1">
      <alignment horizontal="center"/>
    </xf>
    <xf numFmtId="0" fontId="0" fillId="0" borderId="0" xfId="0"/>
    <xf numFmtId="166" fontId="0" fillId="0" borderId="0" xfId="0" applyNumberFormat="1" applyAlignment="1">
      <alignment horizontal="center"/>
    </xf>
    <xf numFmtId="0" fontId="0" fillId="0" borderId="0" xfId="0"/>
    <xf numFmtId="1" fontId="0" fillId="0" borderId="0" xfId="0" applyNumberFormat="1"/>
    <xf numFmtId="9" fontId="0" fillId="0" borderId="0" xfId="1" applyFont="1"/>
    <xf numFmtId="166" fontId="0" fillId="0" borderId="0" xfId="0" applyNumberFormat="1" applyFill="1" applyBorder="1" applyAlignment="1">
      <alignment horizontal="center"/>
    </xf>
    <xf numFmtId="166" fontId="0" fillId="0" borderId="0" xfId="0" applyNumberFormat="1"/>
    <xf numFmtId="2" fontId="0" fillId="0" borderId="0" xfId="0" applyNumberFormat="1" applyAlignment="1">
      <alignment horizontal="center"/>
    </xf>
    <xf numFmtId="0" fontId="0" fillId="0" borderId="0" xfId="0" applyAlignment="1">
      <alignment horizontal="center"/>
    </xf>
    <xf numFmtId="2" fontId="0" fillId="0" borderId="0" xfId="0" applyNumberFormat="1" applyFill="1" applyAlignment="1">
      <alignment horizontal="center"/>
    </xf>
    <xf numFmtId="0" fontId="28" fillId="0" borderId="0" xfId="0" applyFont="1"/>
    <xf numFmtId="166" fontId="0" fillId="0" borderId="0" xfId="0" applyNumberFormat="1" applyBorder="1" applyAlignment="1">
      <alignment horizontal="center"/>
    </xf>
    <xf numFmtId="168" fontId="0" fillId="0" borderId="0" xfId="1" applyNumberFormat="1" applyFont="1" applyBorder="1"/>
    <xf numFmtId="0" fontId="12" fillId="0" borderId="3" xfId="0" applyFont="1" applyBorder="1" applyAlignment="1">
      <alignment horizontal="center"/>
    </xf>
    <xf numFmtId="0" fontId="12" fillId="0" borderId="0" xfId="0" applyFont="1" applyBorder="1" applyAlignment="1">
      <alignment horizontal="center"/>
    </xf>
    <xf numFmtId="0" fontId="0" fillId="0" borderId="3" xfId="0" applyBorder="1" applyAlignment="1">
      <alignment horizontal="center"/>
    </xf>
    <xf numFmtId="0" fontId="28" fillId="0" borderId="0" xfId="0" applyFont="1" applyAlignment="1">
      <alignment horizontal="center"/>
    </xf>
    <xf numFmtId="166" fontId="0" fillId="0" borderId="0" xfId="0" applyNumberFormat="1" applyFill="1" applyAlignment="1">
      <alignment horizontal="center"/>
    </xf>
    <xf numFmtId="0" fontId="12" fillId="0" borderId="0" xfId="0" applyFont="1" applyFill="1" applyBorder="1" applyAlignment="1">
      <alignment horizontal="center"/>
    </xf>
    <xf numFmtId="0" fontId="30" fillId="0" borderId="0" xfId="0" applyFont="1" applyFill="1" applyBorder="1" applyAlignment="1">
      <alignment horizontal="center"/>
    </xf>
    <xf numFmtId="0" fontId="31" fillId="0" borderId="0" xfId="0" applyFont="1" applyFill="1" applyBorder="1" applyAlignment="1">
      <alignment horizontal="center"/>
    </xf>
    <xf numFmtId="166" fontId="28" fillId="0" borderId="0" xfId="0" applyNumberFormat="1" applyFont="1" applyAlignment="1">
      <alignment horizontal="center"/>
    </xf>
    <xf numFmtId="0" fontId="32" fillId="0" borderId="0" xfId="0" applyFont="1" applyAlignment="1">
      <alignment horizontal="center"/>
    </xf>
    <xf numFmtId="0" fontId="0" fillId="0" borderId="0" xfId="0" applyFont="1" applyAlignment="1">
      <alignment horizontal="center"/>
    </xf>
    <xf numFmtId="0" fontId="33" fillId="0" borderId="0" xfId="0" applyFont="1"/>
    <xf numFmtId="166" fontId="0" fillId="0" borderId="0" xfId="0" applyNumberFormat="1" applyBorder="1"/>
    <xf numFmtId="0" fontId="0" fillId="0" borderId="0" xfId="0" applyBorder="1" applyAlignment="1">
      <alignment horizontal="center"/>
    </xf>
    <xf numFmtId="0" fontId="0" fillId="0" borderId="0" xfId="0" applyFill="1" applyBorder="1" applyAlignment="1">
      <alignment horizontal="center"/>
    </xf>
    <xf numFmtId="0" fontId="8" fillId="0" borderId="0" xfId="0" applyFont="1" applyAlignment="1">
      <alignment horizontal="center"/>
    </xf>
    <xf numFmtId="166" fontId="8" fillId="0" borderId="0" xfId="0" applyNumberFormat="1" applyFont="1" applyAlignment="1">
      <alignment horizontal="center"/>
    </xf>
    <xf numFmtId="166" fontId="34" fillId="0" borderId="0" xfId="0" applyNumberFormat="1" applyFont="1"/>
    <xf numFmtId="166" fontId="7" fillId="0" borderId="0" xfId="0" applyNumberFormat="1" applyFont="1" applyAlignment="1">
      <alignment horizontal="center"/>
    </xf>
    <xf numFmtId="0" fontId="34" fillId="0" borderId="0" xfId="0" applyFont="1"/>
    <xf numFmtId="0" fontId="35" fillId="0" borderId="0" xfId="0" applyFont="1" applyAlignment="1">
      <alignment horizontal="center"/>
    </xf>
    <xf numFmtId="0" fontId="34" fillId="0" borderId="3" xfId="0" applyFont="1" applyBorder="1"/>
    <xf numFmtId="166" fontId="34" fillId="0" borderId="3" xfId="0" applyNumberFormat="1" applyFont="1" applyBorder="1"/>
    <xf numFmtId="166" fontId="7" fillId="0" borderId="3" xfId="0" applyNumberFormat="1" applyFont="1" applyBorder="1" applyAlignment="1">
      <alignment horizontal="center"/>
    </xf>
    <xf numFmtId="166" fontId="7" fillId="0" borderId="0" xfId="0" applyNumberFormat="1" applyFont="1" applyBorder="1" applyAlignment="1">
      <alignment horizontal="center"/>
    </xf>
    <xf numFmtId="0" fontId="34" fillId="0" borderId="0" xfId="0" applyFont="1" applyBorder="1"/>
    <xf numFmtId="0" fontId="36" fillId="0" borderId="0" xfId="0" applyFont="1" applyBorder="1" applyAlignment="1"/>
    <xf numFmtId="2" fontId="36" fillId="0" borderId="0" xfId="0" applyNumberFormat="1" applyFont="1" applyBorder="1" applyAlignment="1"/>
    <xf numFmtId="0" fontId="8" fillId="0" borderId="0" xfId="0" applyFont="1" applyAlignment="1">
      <alignment horizontal="center" wrapText="1"/>
    </xf>
    <xf numFmtId="166" fontId="8" fillId="0" borderId="0" xfId="0" applyNumberFormat="1" applyFont="1" applyAlignment="1">
      <alignment horizontal="center" wrapText="1"/>
    </xf>
    <xf numFmtId="0" fontId="7" fillId="0" borderId="3" xfId="0" quotePrefix="1" applyFont="1" applyBorder="1" applyAlignment="1">
      <alignment horizontal="center" wrapText="1"/>
    </xf>
    <xf numFmtId="166" fontId="7" fillId="0" borderId="3" xfId="0" quotePrefix="1" applyNumberFormat="1" applyFont="1" applyBorder="1" applyAlignment="1">
      <alignment horizontal="center" wrapText="1"/>
    </xf>
    <xf numFmtId="166" fontId="7" fillId="0" borderId="0" xfId="0" quotePrefix="1" applyNumberFormat="1" applyFont="1" applyBorder="1" applyAlignment="1">
      <alignment horizontal="center" wrapText="1"/>
    </xf>
    <xf numFmtId="0" fontId="7" fillId="0" borderId="0" xfId="0" applyFont="1" applyBorder="1" applyAlignment="1">
      <alignment horizontal="center" wrapText="1"/>
    </xf>
    <xf numFmtId="169" fontId="7" fillId="0" borderId="0" xfId="0" quotePrefix="1" applyNumberFormat="1" applyFont="1" applyAlignment="1">
      <alignment horizontal="center"/>
    </xf>
    <xf numFmtId="166" fontId="7" fillId="0" borderId="0" xfId="0" applyNumberFormat="1" applyFont="1" applyBorder="1" applyAlignment="1">
      <alignment horizontal="center" wrapText="1"/>
    </xf>
    <xf numFmtId="166" fontId="7" fillId="0" borderId="0" xfId="0" quotePrefix="1" applyNumberFormat="1" applyFont="1" applyAlignment="1">
      <alignment horizontal="center"/>
    </xf>
    <xf numFmtId="170" fontId="7" fillId="0" borderId="0" xfId="0" quotePrefix="1" applyNumberFormat="1" applyFont="1" applyBorder="1" applyAlignment="1">
      <alignment horizontal="center" wrapText="1"/>
    </xf>
    <xf numFmtId="0" fontId="7" fillId="0" borderId="0" xfId="0" quotePrefix="1" applyFont="1" applyBorder="1" applyAlignment="1">
      <alignment horizontal="center" wrapText="1"/>
    </xf>
    <xf numFmtId="169" fontId="7" fillId="0" borderId="0" xfId="0" quotePrefix="1" applyNumberFormat="1" applyFont="1" applyBorder="1" applyAlignment="1">
      <alignment horizontal="center" wrapText="1"/>
    </xf>
    <xf numFmtId="3" fontId="7" fillId="0" borderId="0" xfId="0" applyNumberFormat="1" applyFont="1" applyAlignment="1">
      <alignment horizontal="center"/>
    </xf>
    <xf numFmtId="3" fontId="7" fillId="0" borderId="0" xfId="0" applyNumberFormat="1" applyFont="1" applyBorder="1" applyAlignment="1">
      <alignment horizontal="center"/>
    </xf>
    <xf numFmtId="3" fontId="7" fillId="0" borderId="3" xfId="0" applyNumberFormat="1" applyFont="1" applyBorder="1" applyAlignment="1">
      <alignment horizontal="center"/>
    </xf>
    <xf numFmtId="166" fontId="7" fillId="0" borderId="3" xfId="0" quotePrefix="1" applyNumberFormat="1" applyFont="1" applyBorder="1" applyAlignment="1">
      <alignment horizontal="center"/>
    </xf>
    <xf numFmtId="3" fontId="7" fillId="0" borderId="3" xfId="0" quotePrefix="1" applyNumberFormat="1" applyFont="1" applyBorder="1" applyAlignment="1">
      <alignment horizontal="center"/>
    </xf>
    <xf numFmtId="166" fontId="7" fillId="0" borderId="0" xfId="0" quotePrefix="1" applyNumberFormat="1" applyFont="1" applyBorder="1" applyAlignment="1">
      <alignment horizontal="center"/>
    </xf>
    <xf numFmtId="0" fontId="23" fillId="0" borderId="0" xfId="0" applyFont="1" applyAlignment="1">
      <alignment horizontal="left"/>
    </xf>
    <xf numFmtId="166" fontId="23" fillId="0" borderId="0" xfId="0" applyNumberFormat="1" applyFont="1" applyAlignment="1">
      <alignment horizontal="left"/>
    </xf>
    <xf numFmtId="166" fontId="23" fillId="0" borderId="0" xfId="0" applyNumberFormat="1" applyFont="1" applyAlignment="1">
      <alignment horizontal="center"/>
    </xf>
    <xf numFmtId="166" fontId="38" fillId="0" borderId="0" xfId="0" applyNumberFormat="1" applyFont="1"/>
    <xf numFmtId="0" fontId="38" fillId="0" borderId="0" xfId="0" applyFont="1"/>
    <xf numFmtId="1" fontId="0" fillId="0" borderId="0" xfId="0" applyNumberFormat="1" applyAlignment="1">
      <alignment horizontal="center"/>
    </xf>
    <xf numFmtId="0" fontId="0" fillId="0" borderId="0" xfId="0" applyAlignment="1">
      <alignment horizontal="left"/>
    </xf>
    <xf numFmtId="0" fontId="2" fillId="0" borderId="0" xfId="0" applyFont="1" applyFill="1" applyAlignment="1">
      <alignment horizontal="left"/>
    </xf>
    <xf numFmtId="0" fontId="2" fillId="0" borderId="0" xfId="0" applyFont="1" applyBorder="1" applyAlignment="1">
      <alignment horizontal="left"/>
    </xf>
    <xf numFmtId="166" fontId="0" fillId="0" borderId="0" xfId="0" applyNumberFormat="1" applyAlignment="1">
      <alignment horizontal="left"/>
    </xf>
    <xf numFmtId="0" fontId="0" fillId="2" borderId="0" xfId="0" applyFill="1"/>
    <xf numFmtId="10" fontId="0" fillId="0" borderId="0" xfId="0" applyNumberFormat="1"/>
    <xf numFmtId="0" fontId="0" fillId="4" borderId="0" xfId="0" applyFill="1"/>
    <xf numFmtId="166" fontId="0" fillId="0" borderId="0" xfId="1" applyNumberFormat="1" applyFont="1"/>
    <xf numFmtId="0" fontId="2" fillId="0" borderId="0" xfId="0" applyFont="1" applyFill="1" applyBorder="1"/>
    <xf numFmtId="0" fontId="43" fillId="0" borderId="0" xfId="0" applyFont="1" applyAlignment="1">
      <alignment vertical="center"/>
    </xf>
    <xf numFmtId="173" fontId="0" fillId="0" borderId="0" xfId="0" applyNumberFormat="1"/>
    <xf numFmtId="0" fontId="2" fillId="0" borderId="0" xfId="0" applyFont="1" applyBorder="1" applyAlignment="1">
      <alignment horizontal="center"/>
    </xf>
    <xf numFmtId="0" fontId="6" fillId="0" borderId="0" xfId="0" applyFont="1" applyAlignment="1">
      <alignment horizontal="center" vertical="center" wrapText="1"/>
    </xf>
    <xf numFmtId="0" fontId="3" fillId="0" borderId="0" xfId="0" applyFont="1" applyAlignment="1">
      <alignment horizontal="left" vertical="center" wrapText="1"/>
    </xf>
    <xf numFmtId="0" fontId="3" fillId="0" borderId="0" xfId="0" applyFont="1"/>
    <xf numFmtId="164" fontId="3" fillId="0" borderId="0" xfId="0" applyNumberFormat="1" applyFont="1" applyAlignment="1">
      <alignment horizontal="right" vertical="top" wrapText="1"/>
    </xf>
    <xf numFmtId="0" fontId="2" fillId="0" borderId="0" xfId="0" applyFont="1" applyAlignment="1">
      <alignment horizontal="center"/>
    </xf>
    <xf numFmtId="0" fontId="2" fillId="0" borderId="2" xfId="0" applyFont="1" applyBorder="1" applyAlignment="1">
      <alignment horizontal="center"/>
    </xf>
    <xf numFmtId="0" fontId="2" fillId="0" borderId="0" xfId="0" applyFont="1" applyBorder="1" applyAlignment="1">
      <alignment horizontal="center"/>
    </xf>
    <xf numFmtId="0" fontId="33" fillId="0" borderId="0" xfId="0" applyFont="1" applyAlignment="1">
      <alignment horizontal="center"/>
    </xf>
    <xf numFmtId="166" fontId="33" fillId="0" borderId="0" xfId="0" applyNumberFormat="1" applyFont="1" applyAlignment="1">
      <alignment horizontal="center"/>
    </xf>
    <xf numFmtId="0" fontId="2" fillId="0" borderId="0" xfId="0" applyFont="1" applyBorder="1" applyAlignment="1">
      <alignment horizontal="center" wrapText="1"/>
    </xf>
    <xf numFmtId="0" fontId="2" fillId="0" borderId="0" xfId="0" applyFont="1" applyAlignment="1">
      <alignment horizontal="center"/>
    </xf>
    <xf numFmtId="0" fontId="2" fillId="0" borderId="2" xfId="0" applyFont="1" applyBorder="1" applyAlignment="1">
      <alignment horizontal="center"/>
    </xf>
    <xf numFmtId="2" fontId="0" fillId="0" borderId="0" xfId="0" applyNumberFormat="1"/>
    <xf numFmtId="0" fontId="3" fillId="0" borderId="16" xfId="0" applyFont="1" applyBorder="1" applyAlignment="1">
      <alignment horizontal="center" vertical="center" wrapText="1"/>
    </xf>
    <xf numFmtId="0" fontId="3" fillId="0" borderId="0" xfId="0" applyFont="1" applyBorder="1" applyAlignment="1">
      <alignment horizontal="center" vertical="center" wrapText="1"/>
    </xf>
    <xf numFmtId="0" fontId="2" fillId="0" borderId="16" xfId="0" applyFont="1" applyBorder="1" applyAlignment="1">
      <alignment horizontal="center"/>
    </xf>
    <xf numFmtId="0" fontId="0" fillId="0" borderId="0" xfId="0"/>
    <xf numFmtId="0" fontId="3" fillId="0" borderId="0" xfId="0" applyFont="1" applyAlignment="1">
      <alignment horizontal="left" vertical="center" wrapText="1"/>
    </xf>
    <xf numFmtId="0" fontId="6" fillId="0" borderId="0" xfId="0" applyFont="1"/>
    <xf numFmtId="0" fontId="0" fillId="0" borderId="2" xfId="0" applyBorder="1"/>
    <xf numFmtId="0" fontId="3" fillId="0" borderId="0" xfId="0" applyFont="1"/>
    <xf numFmtId="0" fontId="3" fillId="0" borderId="16" xfId="0" applyFont="1" applyBorder="1" applyAlignment="1">
      <alignment horizontal="center" vertical="center" wrapText="1"/>
    </xf>
    <xf numFmtId="174" fontId="3" fillId="0" borderId="0" xfId="0" applyNumberFormat="1" applyFont="1" applyAlignment="1">
      <alignment horizontal="right" vertical="top" wrapText="1"/>
    </xf>
    <xf numFmtId="175" fontId="3" fillId="0" borderId="0" xfId="0" applyNumberFormat="1" applyFont="1" applyAlignment="1">
      <alignment horizontal="right" vertical="top" wrapText="1"/>
    </xf>
    <xf numFmtId="164" fontId="3" fillId="0" borderId="0" xfId="0" applyNumberFormat="1" applyFont="1" applyAlignment="1">
      <alignment horizontal="right" vertical="top" wrapText="1"/>
    </xf>
    <xf numFmtId="0" fontId="0" fillId="0" borderId="0" xfId="0"/>
    <xf numFmtId="173" fontId="0" fillId="0" borderId="0" xfId="0" applyNumberFormat="1" applyAlignment="1">
      <alignment horizontal="center"/>
    </xf>
    <xf numFmtId="173" fontId="32" fillId="0" borderId="0" xfId="0" applyNumberFormat="1" applyFont="1" applyAlignment="1">
      <alignment horizontal="center"/>
    </xf>
    <xf numFmtId="2" fontId="32" fillId="0" borderId="0" xfId="0" applyNumberFormat="1" applyFont="1" applyAlignment="1">
      <alignment horizontal="center"/>
    </xf>
    <xf numFmtId="0" fontId="0" fillId="0" borderId="2" xfId="0" applyBorder="1" applyAlignment="1">
      <alignment horizontal="center"/>
    </xf>
    <xf numFmtId="176" fontId="3" fillId="0" borderId="0" xfId="0" applyNumberFormat="1" applyFont="1" applyAlignment="1">
      <alignment horizontal="center" vertical="top" wrapText="1"/>
    </xf>
    <xf numFmtId="166" fontId="11" fillId="0" borderId="0" xfId="0" applyNumberFormat="1" applyFont="1" applyAlignment="1">
      <alignment horizontal="center"/>
    </xf>
    <xf numFmtId="0" fontId="2" fillId="0" borderId="0" xfId="0" applyFont="1" applyAlignment="1">
      <alignment horizontal="left"/>
    </xf>
    <xf numFmtId="0" fontId="27" fillId="0" borderId="0" xfId="0" applyFont="1"/>
    <xf numFmtId="0" fontId="32" fillId="0" borderId="0" xfId="0" applyFont="1"/>
    <xf numFmtId="0" fontId="12" fillId="0" borderId="2" xfId="0" applyFont="1" applyBorder="1" applyAlignment="1">
      <alignment horizontal="center"/>
    </xf>
    <xf numFmtId="0" fontId="12" fillId="0" borderId="0" xfId="0" applyFont="1" applyBorder="1" applyAlignment="1">
      <alignment horizontal="center"/>
    </xf>
    <xf numFmtId="166" fontId="32" fillId="0" borderId="0" xfId="0" applyNumberFormat="1" applyFont="1" applyAlignment="1">
      <alignment horizontal="center"/>
    </xf>
    <xf numFmtId="1" fontId="32" fillId="0" borderId="0" xfId="0" applyNumberFormat="1" applyFont="1" applyAlignment="1">
      <alignment horizontal="center"/>
    </xf>
    <xf numFmtId="173" fontId="11" fillId="0" borderId="0" xfId="0" applyNumberFormat="1" applyFont="1" applyAlignment="1">
      <alignment horizontal="center"/>
    </xf>
    <xf numFmtId="0" fontId="30" fillId="0" borderId="2" xfId="0" applyFont="1" applyBorder="1" applyAlignment="1">
      <alignment horizontal="center" wrapText="1"/>
    </xf>
    <xf numFmtId="0" fontId="30" fillId="0" borderId="3" xfId="0" applyFont="1" applyBorder="1" applyAlignment="1">
      <alignment horizontal="center" wrapText="1"/>
    </xf>
    <xf numFmtId="173" fontId="27" fillId="0" borderId="0" xfId="0" applyNumberFormat="1" applyFont="1" applyAlignment="1">
      <alignment horizontal="center"/>
    </xf>
    <xf numFmtId="2" fontId="27" fillId="0" borderId="0" xfId="0" applyNumberFormat="1" applyFont="1" applyAlignment="1">
      <alignment horizontal="center"/>
    </xf>
    <xf numFmtId="9" fontId="3" fillId="0" borderId="0" xfId="1" applyFont="1" applyAlignment="1">
      <alignment horizontal="right" vertical="top" wrapText="1"/>
    </xf>
    <xf numFmtId="0" fontId="9" fillId="0" borderId="0" xfId="0" applyFont="1" applyAlignment="1">
      <alignment horizontal="center" vertical="center" wrapText="1"/>
    </xf>
    <xf numFmtId="0" fontId="45" fillId="0" borderId="0" xfId="0" applyFont="1" applyAlignment="1">
      <alignment horizontal="center"/>
    </xf>
    <xf numFmtId="2" fontId="11" fillId="0" borderId="0" xfId="0" applyNumberFormat="1" applyFont="1" applyAlignment="1">
      <alignment horizontal="center"/>
    </xf>
    <xf numFmtId="173" fontId="0" fillId="0" borderId="0" xfId="0" applyNumberFormat="1" applyBorder="1" applyAlignment="1">
      <alignment horizontal="center"/>
    </xf>
    <xf numFmtId="173" fontId="0" fillId="0" borderId="0" xfId="0" applyNumberFormat="1" applyFill="1" applyAlignment="1">
      <alignment horizontal="center"/>
    </xf>
    <xf numFmtId="173" fontId="27" fillId="0" borderId="0" xfId="0" applyNumberFormat="1" applyFont="1" applyFill="1" applyAlignment="1">
      <alignment horizontal="center"/>
    </xf>
    <xf numFmtId="173" fontId="28" fillId="0" borderId="0" xfId="0" applyNumberFormat="1" applyFont="1" applyAlignment="1">
      <alignment horizontal="center"/>
    </xf>
    <xf numFmtId="0" fontId="47" fillId="0" borderId="17" xfId="310" applyBorder="1" applyAlignment="1">
      <alignment horizontal="center"/>
    </xf>
    <xf numFmtId="0" fontId="47" fillId="0" borderId="17" xfId="310" applyFill="1" applyBorder="1" applyAlignment="1">
      <alignment horizontal="center"/>
    </xf>
    <xf numFmtId="0" fontId="7" fillId="0" borderId="0" xfId="310" applyFont="1" applyAlignment="1">
      <alignment horizontal="left" vertical="top" wrapText="1"/>
    </xf>
    <xf numFmtId="0" fontId="47" fillId="0" borderId="17" xfId="310" applyBorder="1" applyAlignment="1">
      <alignment horizontal="center"/>
    </xf>
    <xf numFmtId="0" fontId="47" fillId="0" borderId="17" xfId="310" applyFill="1" applyBorder="1" applyAlignment="1">
      <alignment horizontal="center"/>
    </xf>
    <xf numFmtId="0" fontId="47" fillId="0" borderId="17" xfId="310" applyBorder="1" applyAlignment="1">
      <alignment horizontal="center"/>
    </xf>
    <xf numFmtId="0" fontId="12" fillId="0" borderId="0" xfId="0" applyFont="1" applyBorder="1" applyAlignment="1">
      <alignment horizontal="center" wrapText="1"/>
    </xf>
    <xf numFmtId="0" fontId="30" fillId="0" borderId="0" xfId="0" applyFont="1" applyBorder="1" applyAlignment="1">
      <alignment horizontal="center" wrapText="1"/>
    </xf>
    <xf numFmtId="3" fontId="0" fillId="0" borderId="0" xfId="0" applyNumberFormat="1" applyBorder="1"/>
    <xf numFmtId="3" fontId="0" fillId="0" borderId="0" xfId="0" applyNumberFormat="1" applyFont="1"/>
    <xf numFmtId="3" fontId="0" fillId="0" borderId="0" xfId="0" applyNumberFormat="1" applyFont="1" applyBorder="1"/>
    <xf numFmtId="3" fontId="13" fillId="0" borderId="0" xfId="315" applyNumberFormat="1" applyFont="1" applyBorder="1">
      <alignment horizontal="right"/>
    </xf>
    <xf numFmtId="3" fontId="13" fillId="0" borderId="0" xfId="0" applyNumberFormat="1" applyFont="1" applyBorder="1" applyAlignment="1">
      <alignment horizontal="right"/>
    </xf>
    <xf numFmtId="3" fontId="13" fillId="0" borderId="0" xfId="316" applyNumberFormat="1" applyFont="1" applyBorder="1" applyAlignment="1">
      <alignment horizontal="right"/>
    </xf>
    <xf numFmtId="3" fontId="13" fillId="0" borderId="0" xfId="314" applyNumberFormat="1" applyFont="1" applyBorder="1">
      <alignment horizontal="right"/>
    </xf>
    <xf numFmtId="3" fontId="13" fillId="0" borderId="0" xfId="314" applyNumberFormat="1" applyFont="1" applyFill="1" applyBorder="1" applyAlignment="1">
      <alignment horizontal="right" vertical="center"/>
    </xf>
    <xf numFmtId="3" fontId="0" fillId="0" borderId="0" xfId="0" applyNumberFormat="1" applyFont="1" applyFill="1" applyBorder="1"/>
    <xf numFmtId="3" fontId="0" fillId="0" borderId="0" xfId="0" applyNumberFormat="1" applyFont="1" applyFill="1"/>
    <xf numFmtId="173" fontId="21" fillId="0" borderId="0" xfId="311" applyNumberFormat="1" applyFont="1" applyBorder="1" applyAlignment="1">
      <alignment horizontal="center"/>
    </xf>
    <xf numFmtId="173" fontId="21" fillId="0" borderId="0" xfId="311" applyNumberFormat="1" applyFont="1" applyFill="1" applyBorder="1" applyAlignment="1">
      <alignment horizontal="center"/>
    </xf>
    <xf numFmtId="4" fontId="0" fillId="0" borderId="0" xfId="0" applyNumberFormat="1" applyFont="1"/>
    <xf numFmtId="3" fontId="47" fillId="0" borderId="0" xfId="323" applyNumberFormat="1" applyFont="1" applyAlignment="1">
      <alignment horizontal="center"/>
    </xf>
    <xf numFmtId="179" fontId="0" fillId="0" borderId="0" xfId="1" applyNumberFormat="1" applyFont="1" applyAlignment="1">
      <alignment horizontal="center"/>
    </xf>
    <xf numFmtId="0" fontId="55" fillId="0" borderId="0" xfId="0" applyFont="1"/>
    <xf numFmtId="0" fontId="0" fillId="0" borderId="18" xfId="0" applyBorder="1"/>
    <xf numFmtId="0" fontId="2" fillId="0" borderId="18" xfId="0" applyFont="1" applyBorder="1"/>
    <xf numFmtId="0" fontId="12" fillId="0" borderId="18" xfId="0" applyFont="1" applyBorder="1" applyAlignment="1">
      <alignment horizontal="center"/>
    </xf>
    <xf numFmtId="0" fontId="31" fillId="0" borderId="18" xfId="0" applyFont="1" applyBorder="1" applyAlignment="1">
      <alignment horizontal="center"/>
    </xf>
    <xf numFmtId="0" fontId="30" fillId="0" borderId="18" xfId="0" applyFont="1" applyBorder="1" applyAlignment="1">
      <alignment horizontal="center"/>
    </xf>
    <xf numFmtId="0" fontId="2" fillId="0" borderId="18" xfId="0" applyFont="1" applyBorder="1" applyAlignment="1">
      <alignment horizontal="center"/>
    </xf>
    <xf numFmtId="166" fontId="0" fillId="0" borderId="18" xfId="0" applyNumberFormat="1" applyBorder="1" applyAlignment="1">
      <alignment horizontal="center"/>
    </xf>
    <xf numFmtId="0" fontId="28" fillId="0" borderId="18" xfId="0" applyFont="1" applyBorder="1" applyAlignment="1">
      <alignment horizontal="center"/>
    </xf>
    <xf numFmtId="0" fontId="0" fillId="0" borderId="18" xfId="0" applyBorder="1" applyAlignment="1">
      <alignment horizontal="center"/>
    </xf>
    <xf numFmtId="0" fontId="12" fillId="0" borderId="0" xfId="0" applyFont="1" applyAlignment="1">
      <alignment horizontal="center"/>
    </xf>
    <xf numFmtId="0" fontId="31" fillId="0" borderId="0" xfId="0" applyFont="1" applyAlignment="1">
      <alignment horizontal="center"/>
    </xf>
    <xf numFmtId="0" fontId="30" fillId="0" borderId="0" xfId="0" applyFont="1" applyAlignment="1">
      <alignment horizontal="center"/>
    </xf>
    <xf numFmtId="0" fontId="2" fillId="0" borderId="18" xfId="0" applyFont="1" applyBorder="1" applyAlignment="1">
      <alignment horizontal="center" wrapText="1"/>
    </xf>
    <xf numFmtId="168" fontId="0" fillId="0" borderId="0" xfId="1" applyNumberFormat="1" applyFont="1"/>
    <xf numFmtId="168" fontId="0" fillId="0" borderId="0" xfId="1" applyNumberFormat="1" applyFont="1" applyAlignment="1">
      <alignment horizontal="center"/>
    </xf>
    <xf numFmtId="168" fontId="0" fillId="0" borderId="18" xfId="1" applyNumberFormat="1" applyFont="1" applyBorder="1"/>
    <xf numFmtId="0" fontId="56" fillId="0" borderId="0" xfId="0" applyFont="1" applyAlignment="1">
      <alignment horizontal="left"/>
    </xf>
    <xf numFmtId="0" fontId="43" fillId="0" borderId="0" xfId="0" applyFont="1"/>
    <xf numFmtId="0" fontId="0" fillId="0" borderId="15" xfId="0" applyBorder="1"/>
    <xf numFmtId="0" fontId="8" fillId="0" borderId="18" xfId="2" applyFont="1" applyBorder="1" applyAlignment="1">
      <alignment wrapText="1"/>
    </xf>
    <xf numFmtId="0" fontId="7" fillId="0" borderId="18" xfId="2" applyBorder="1" applyAlignment="1">
      <alignment horizontal="center" wrapText="1"/>
    </xf>
    <xf numFmtId="0" fontId="7" fillId="0" borderId="0" xfId="2" applyAlignment="1">
      <alignment horizontal="center" wrapText="1"/>
    </xf>
    <xf numFmtId="0" fontId="7" fillId="0" borderId="0" xfId="2" applyAlignment="1">
      <alignment wrapText="1"/>
    </xf>
    <xf numFmtId="0" fontId="7" fillId="0" borderId="0" xfId="2"/>
    <xf numFmtId="0" fontId="7" fillId="0" borderId="0" xfId="2" applyAlignment="1">
      <alignment horizontal="center"/>
    </xf>
    <xf numFmtId="165" fontId="9" fillId="0" borderId="0" xfId="1" applyNumberFormat="1" applyFont="1" applyAlignment="1">
      <alignment horizontal="center"/>
    </xf>
    <xf numFmtId="165" fontId="1" fillId="0" borderId="0" xfId="1" applyNumberFormat="1"/>
    <xf numFmtId="9" fontId="7" fillId="0" borderId="0" xfId="1" applyFont="1" applyAlignment="1">
      <alignment horizontal="center"/>
    </xf>
    <xf numFmtId="9" fontId="7" fillId="0" borderId="0" xfId="1" applyFont="1"/>
    <xf numFmtId="3" fontId="7" fillId="0" borderId="0" xfId="2" applyNumberFormat="1" applyAlignment="1">
      <alignment horizontal="center"/>
    </xf>
    <xf numFmtId="3" fontId="7" fillId="0" borderId="0" xfId="2" applyNumberFormat="1" applyAlignment="1">
      <alignment horizontal="left"/>
    </xf>
    <xf numFmtId="166" fontId="0" fillId="0" borderId="18" xfId="0" applyNumberFormat="1" applyFill="1" applyBorder="1" applyAlignment="1">
      <alignment horizontal="center"/>
    </xf>
    <xf numFmtId="0" fontId="43" fillId="0" borderId="0" xfId="0" applyFont="1" applyAlignment="1">
      <alignment vertical="center" wrapText="1"/>
    </xf>
    <xf numFmtId="0" fontId="11" fillId="0" borderId="18" xfId="0" applyFont="1" applyBorder="1"/>
    <xf numFmtId="0" fontId="13" fillId="0" borderId="0" xfId="0" applyFont="1"/>
    <xf numFmtId="0" fontId="13" fillId="0" borderId="0" xfId="0" applyFont="1" applyAlignment="1">
      <alignment horizontal="center"/>
    </xf>
    <xf numFmtId="166" fontId="13" fillId="0" borderId="0" xfId="0" applyNumberFormat="1" applyFont="1" applyAlignment="1">
      <alignment horizontal="center"/>
    </xf>
    <xf numFmtId="3" fontId="0" fillId="0" borderId="18" xfId="0" applyNumberFormat="1" applyBorder="1"/>
    <xf numFmtId="0" fontId="11" fillId="0" borderId="0" xfId="0" applyFont="1" applyBorder="1"/>
    <xf numFmtId="166" fontId="2" fillId="0" borderId="0" xfId="0" applyNumberFormat="1" applyFont="1" applyFill="1" applyBorder="1" applyAlignment="1">
      <alignment horizontal="center"/>
    </xf>
    <xf numFmtId="0" fontId="12" fillId="0" borderId="18" xfId="0" applyFont="1" applyBorder="1" applyAlignment="1">
      <alignment horizontal="left"/>
    </xf>
    <xf numFmtId="0" fontId="12" fillId="0" borderId="0" xfId="0" applyFont="1" applyBorder="1" applyAlignment="1">
      <alignment horizontal="left"/>
    </xf>
    <xf numFmtId="0" fontId="12" fillId="0" borderId="18" xfId="0" applyFont="1" applyBorder="1" applyAlignment="1">
      <alignment horizontal="center" wrapText="1"/>
    </xf>
    <xf numFmtId="0" fontId="10" fillId="0" borderId="0" xfId="3" applyFill="1" applyAlignment="1">
      <alignment horizontal="center"/>
    </xf>
    <xf numFmtId="3" fontId="11" fillId="0" borderId="0" xfId="0" applyNumberFormat="1" applyFont="1" applyAlignment="1">
      <alignment horizontal="center"/>
    </xf>
    <xf numFmtId="0" fontId="2" fillId="0" borderId="18" xfId="0" applyFont="1" applyBorder="1" applyAlignment="1">
      <alignment horizontal="center"/>
    </xf>
    <xf numFmtId="0" fontId="12" fillId="0" borderId="18" xfId="0" applyFont="1" applyFill="1" applyBorder="1" applyAlignment="1">
      <alignment horizontal="center"/>
    </xf>
    <xf numFmtId="2" fontId="2" fillId="0" borderId="0" xfId="0" applyNumberFormat="1" applyFont="1" applyAlignment="1">
      <alignment horizontal="center"/>
    </xf>
    <xf numFmtId="2" fontId="2" fillId="0" borderId="18" xfId="0" applyNumberFormat="1" applyFont="1" applyBorder="1" applyAlignment="1">
      <alignment horizontal="center"/>
    </xf>
    <xf numFmtId="2" fontId="32" fillId="0" borderId="18" xfId="0" applyNumberFormat="1" applyFont="1" applyBorder="1" applyAlignment="1">
      <alignment horizontal="center"/>
    </xf>
    <xf numFmtId="166" fontId="11" fillId="0" borderId="18" xfId="0" applyNumberFormat="1" applyFont="1" applyBorder="1" applyAlignment="1">
      <alignment horizontal="center"/>
    </xf>
    <xf numFmtId="0" fontId="32" fillId="0" borderId="18" xfId="0" applyFont="1" applyBorder="1" applyAlignment="1">
      <alignment horizontal="center"/>
    </xf>
    <xf numFmtId="0" fontId="11" fillId="0" borderId="0" xfId="0" applyFont="1" applyAlignment="1">
      <alignment horizontal="left"/>
    </xf>
    <xf numFmtId="0" fontId="2" fillId="4" borderId="0" xfId="0" applyFont="1" applyFill="1" applyAlignment="1">
      <alignment horizontal="left"/>
    </xf>
    <xf numFmtId="0" fontId="0" fillId="0" borderId="0" xfId="0" applyFont="1" applyFill="1" applyBorder="1" applyAlignment="1">
      <alignment horizontal="left"/>
    </xf>
    <xf numFmtId="166" fontId="11" fillId="5" borderId="0" xfId="0" applyNumberFormat="1" applyFont="1" applyFill="1" applyAlignment="1">
      <alignment horizontal="center"/>
    </xf>
    <xf numFmtId="0" fontId="11" fillId="8" borderId="0" xfId="0" applyFont="1" applyFill="1" applyBorder="1" applyAlignment="1">
      <alignment horizontal="left"/>
    </xf>
    <xf numFmtId="2" fontId="2" fillId="8" borderId="0" xfId="0" applyNumberFormat="1" applyFont="1" applyFill="1" applyBorder="1" applyAlignment="1">
      <alignment horizontal="center"/>
    </xf>
    <xf numFmtId="0" fontId="0" fillId="8" borderId="0" xfId="0" applyFill="1" applyBorder="1"/>
    <xf numFmtId="0" fontId="2" fillId="8" borderId="0" xfId="0" applyFont="1" applyFill="1" applyBorder="1" applyAlignment="1">
      <alignment horizontal="center"/>
    </xf>
    <xf numFmtId="0" fontId="12" fillId="8" borderId="0" xfId="0" applyFont="1" applyFill="1" applyBorder="1" applyAlignment="1">
      <alignment horizontal="center"/>
    </xf>
    <xf numFmtId="0" fontId="2" fillId="8" borderId="0" xfId="0" applyFont="1" applyFill="1" applyBorder="1" applyAlignment="1">
      <alignment horizontal="left"/>
    </xf>
    <xf numFmtId="1" fontId="27" fillId="8" borderId="0" xfId="0" applyNumberFormat="1" applyFont="1" applyFill="1" applyBorder="1" applyAlignment="1">
      <alignment horizontal="center"/>
    </xf>
    <xf numFmtId="167" fontId="32" fillId="0" borderId="0" xfId="0" applyNumberFormat="1" applyFont="1" applyAlignment="1">
      <alignment horizontal="center"/>
    </xf>
    <xf numFmtId="0" fontId="32" fillId="8" borderId="0" xfId="0" applyFont="1" applyFill="1" applyAlignment="1">
      <alignment horizontal="center"/>
    </xf>
    <xf numFmtId="0" fontId="2" fillId="0" borderId="0" xfId="0" applyFont="1" applyFill="1" applyBorder="1" applyAlignment="1">
      <alignment horizontal="left"/>
    </xf>
    <xf numFmtId="2" fontId="32" fillId="6" borderId="0" xfId="0" applyNumberFormat="1" applyFont="1" applyFill="1" applyAlignment="1">
      <alignment horizontal="center"/>
    </xf>
    <xf numFmtId="0" fontId="0" fillId="0" borderId="0" xfId="0" applyFill="1" applyAlignment="1">
      <alignment horizontal="left"/>
    </xf>
    <xf numFmtId="0" fontId="11" fillId="0" borderId="0" xfId="0" applyFont="1" applyFill="1" applyBorder="1" applyAlignment="1">
      <alignment horizontal="left"/>
    </xf>
    <xf numFmtId="173" fontId="0" fillId="0" borderId="0" xfId="0" applyNumberFormat="1" applyFont="1" applyBorder="1" applyAlignment="1">
      <alignment horizontal="center"/>
    </xf>
    <xf numFmtId="173" fontId="0" fillId="0" borderId="0" xfId="0" applyNumberFormat="1" applyFont="1" applyAlignment="1">
      <alignment horizontal="center"/>
    </xf>
    <xf numFmtId="0" fontId="29" fillId="0" borderId="0" xfId="0" applyFont="1" applyFill="1" applyBorder="1" applyAlignment="1">
      <alignment horizontal="left"/>
    </xf>
    <xf numFmtId="166" fontId="0" fillId="0" borderId="0" xfId="0" applyNumberFormat="1" applyFont="1" applyAlignment="1">
      <alignment horizontal="center"/>
    </xf>
    <xf numFmtId="166" fontId="29" fillId="0" borderId="0" xfId="0" applyNumberFormat="1" applyFont="1" applyFill="1" applyBorder="1" applyAlignment="1">
      <alignment horizontal="left"/>
    </xf>
    <xf numFmtId="166" fontId="0" fillId="0" borderId="0" xfId="0" applyNumberFormat="1" applyFont="1"/>
    <xf numFmtId="173" fontId="0" fillId="0" borderId="0" xfId="0" applyNumberFormat="1" applyFill="1"/>
    <xf numFmtId="166" fontId="0" fillId="0" borderId="0" xfId="0" quotePrefix="1" applyNumberFormat="1" applyFont="1" applyAlignment="1">
      <alignment horizontal="center"/>
    </xf>
    <xf numFmtId="166" fontId="11" fillId="4" borderId="0" xfId="0" applyNumberFormat="1" applyFont="1" applyFill="1" applyAlignment="1">
      <alignment horizontal="center"/>
    </xf>
    <xf numFmtId="166" fontId="11" fillId="2" borderId="0" xfId="0" applyNumberFormat="1" applyFont="1" applyFill="1" applyAlignment="1">
      <alignment horizontal="center"/>
    </xf>
    <xf numFmtId="0" fontId="2" fillId="2" borderId="0" xfId="0" applyFont="1" applyFill="1" applyAlignment="1">
      <alignment horizontal="left"/>
    </xf>
    <xf numFmtId="0" fontId="0" fillId="6" borderId="0" xfId="0" applyFill="1"/>
    <xf numFmtId="0" fontId="11" fillId="0" borderId="15" xfId="0" applyFont="1" applyBorder="1"/>
    <xf numFmtId="0" fontId="30" fillId="0" borderId="18" xfId="0" applyFont="1" applyBorder="1" applyAlignment="1">
      <alignment horizontal="center" wrapText="1"/>
    </xf>
    <xf numFmtId="180" fontId="3" fillId="0" borderId="0" xfId="0" applyNumberFormat="1" applyFont="1" applyAlignment="1">
      <alignment horizontal="right" vertical="top" wrapText="1"/>
    </xf>
    <xf numFmtId="0" fontId="0" fillId="0" borderId="0" xfId="0" applyAlignment="1">
      <alignment horizontal="right"/>
    </xf>
    <xf numFmtId="166" fontId="0" fillId="0" borderId="0" xfId="0" applyNumberFormat="1" applyAlignment="1">
      <alignment horizontal="right"/>
    </xf>
    <xf numFmtId="166" fontId="0" fillId="0" borderId="0" xfId="0" applyNumberFormat="1" applyFill="1" applyBorder="1"/>
    <xf numFmtId="166" fontId="33" fillId="0" borderId="0" xfId="0" applyNumberFormat="1" applyFont="1" applyFill="1" applyAlignment="1">
      <alignment horizontal="center"/>
    </xf>
    <xf numFmtId="166" fontId="33" fillId="0" borderId="0" xfId="0" applyNumberFormat="1" applyFont="1" applyFill="1" applyBorder="1" applyAlignment="1"/>
    <xf numFmtId="0" fontId="12" fillId="0" borderId="0" xfId="0" applyFont="1" applyFill="1" applyBorder="1" applyAlignment="1">
      <alignment horizontal="left"/>
    </xf>
    <xf numFmtId="1" fontId="32" fillId="0" borderId="0" xfId="0" applyNumberFormat="1" applyFont="1" applyFill="1"/>
    <xf numFmtId="165" fontId="0" fillId="0" borderId="0" xfId="1" applyNumberFormat="1" applyFont="1" applyAlignment="1">
      <alignment horizontal="center"/>
    </xf>
    <xf numFmtId="0" fontId="2" fillId="0" borderId="0" xfId="0" quotePrefix="1" applyFont="1"/>
    <xf numFmtId="0" fontId="58" fillId="0" borderId="0" xfId="0" applyFont="1"/>
    <xf numFmtId="0" fontId="0" fillId="0" borderId="18" xfId="0" applyBorder="1" applyAlignment="1">
      <alignment horizontal="center" wrapText="1"/>
    </xf>
    <xf numFmtId="165" fontId="0" fillId="0" borderId="18" xfId="1" applyNumberFormat="1" applyFont="1" applyBorder="1" applyAlignment="1">
      <alignment horizontal="center"/>
    </xf>
    <xf numFmtId="9" fontId="0" fillId="0" borderId="18" xfId="1" applyNumberFormat="1" applyFont="1" applyBorder="1" applyAlignment="1">
      <alignment horizontal="center"/>
    </xf>
    <xf numFmtId="164" fontId="6" fillId="0" borderId="0" xfId="0" applyNumberFormat="1" applyFont="1" applyBorder="1" applyAlignment="1">
      <alignment vertical="top" wrapText="1"/>
    </xf>
    <xf numFmtId="0" fontId="9" fillId="0" borderId="0" xfId="0" applyFont="1" applyBorder="1" applyAlignment="1">
      <alignment horizontal="center" vertical="center" wrapText="1"/>
    </xf>
    <xf numFmtId="0" fontId="6" fillId="0" borderId="0" xfId="0" applyFont="1" applyBorder="1" applyAlignment="1">
      <alignment horizontal="center" vertical="center" wrapText="1"/>
    </xf>
    <xf numFmtId="166" fontId="0" fillId="0" borderId="18" xfId="0" applyNumberFormat="1" applyFill="1" applyBorder="1" applyAlignment="1"/>
    <xf numFmtId="0" fontId="33" fillId="0" borderId="0" xfId="0" applyFont="1" applyAlignment="1"/>
    <xf numFmtId="2" fontId="32" fillId="6" borderId="18" xfId="0" applyNumberFormat="1" applyFont="1" applyFill="1" applyBorder="1" applyAlignment="1">
      <alignment horizontal="center"/>
    </xf>
    <xf numFmtId="2" fontId="32" fillId="6" borderId="0" xfId="0" applyNumberFormat="1" applyFont="1" applyFill="1" applyBorder="1" applyAlignment="1">
      <alignment horizontal="center"/>
    </xf>
    <xf numFmtId="0" fontId="2" fillId="0" borderId="0" xfId="0" applyFont="1" applyAlignment="1"/>
    <xf numFmtId="0" fontId="13" fillId="0" borderId="0" xfId="3" applyFont="1"/>
    <xf numFmtId="0" fontId="12" fillId="0" borderId="0" xfId="0" applyFont="1" applyBorder="1" applyAlignment="1">
      <alignment wrapText="1"/>
    </xf>
    <xf numFmtId="0" fontId="11" fillId="0" borderId="0" xfId="0" applyFont="1" applyAlignment="1">
      <alignment wrapText="1"/>
    </xf>
    <xf numFmtId="0" fontId="12" fillId="0" borderId="0" xfId="0" applyFont="1" applyBorder="1"/>
    <xf numFmtId="0" fontId="11" fillId="0" borderId="18" xfId="0" applyFont="1" applyBorder="1" applyAlignment="1">
      <alignment wrapText="1"/>
    </xf>
    <xf numFmtId="1" fontId="0" fillId="0" borderId="18" xfId="0" applyNumberFormat="1" applyBorder="1" applyAlignment="1">
      <alignment horizontal="center"/>
    </xf>
    <xf numFmtId="0" fontId="47" fillId="0" borderId="28" xfId="310" applyBorder="1" applyAlignment="1">
      <alignment horizontal="center"/>
    </xf>
    <xf numFmtId="173" fontId="21" fillId="0" borderId="18" xfId="311" applyNumberFormat="1" applyFont="1" applyBorder="1" applyAlignment="1">
      <alignment horizontal="center"/>
    </xf>
    <xf numFmtId="3" fontId="0" fillId="0" borderId="18" xfId="0" applyNumberFormat="1" applyFont="1" applyBorder="1"/>
    <xf numFmtId="0" fontId="0" fillId="0" borderId="16" xfId="0" applyBorder="1"/>
    <xf numFmtId="0" fontId="30" fillId="0" borderId="16" xfId="0" applyFont="1" applyBorder="1" applyAlignment="1">
      <alignment horizontal="center" wrapText="1"/>
    </xf>
    <xf numFmtId="0" fontId="30" fillId="0" borderId="16" xfId="0" applyFont="1" applyFill="1" applyBorder="1" applyAlignment="1">
      <alignment horizontal="center" wrapText="1"/>
    </xf>
    <xf numFmtId="0" fontId="2" fillId="0" borderId="16" xfId="0" applyFont="1" applyBorder="1" applyAlignment="1">
      <alignment horizontal="center" wrapText="1"/>
    </xf>
    <xf numFmtId="3" fontId="59" fillId="0" borderId="0" xfId="0" applyNumberFormat="1" applyFont="1" applyAlignment="1">
      <alignment horizontal="center"/>
    </xf>
    <xf numFmtId="0" fontId="60" fillId="0" borderId="18" xfId="0" applyFont="1" applyBorder="1" applyAlignment="1">
      <alignment horizontal="center" vertical="center" wrapText="1"/>
    </xf>
    <xf numFmtId="9" fontId="59" fillId="0" borderId="0" xfId="1" applyFont="1" applyAlignment="1">
      <alignment horizontal="center"/>
    </xf>
    <xf numFmtId="164" fontId="3" fillId="0" borderId="0" xfId="0" applyNumberFormat="1" applyFont="1" applyFill="1" applyAlignment="1">
      <alignment horizontal="right" vertical="top" wrapText="1"/>
    </xf>
    <xf numFmtId="0" fontId="3" fillId="0" borderId="0" xfId="0" applyFont="1" applyFill="1" applyAlignment="1">
      <alignment horizontal="left" vertical="center" wrapText="1"/>
    </xf>
    <xf numFmtId="0" fontId="0" fillId="0" borderId="2" xfId="0" applyFill="1" applyBorder="1"/>
    <xf numFmtId="0" fontId="3" fillId="0" borderId="0" xfId="0" applyFont="1" applyFill="1"/>
    <xf numFmtId="0" fontId="62" fillId="0" borderId="0" xfId="325"/>
    <xf numFmtId="0" fontId="19" fillId="0" borderId="0" xfId="8" applyFont="1"/>
    <xf numFmtId="3" fontId="19" fillId="0" borderId="0" xfId="8" applyNumberFormat="1" applyFont="1" applyAlignment="1">
      <alignment horizontal="center"/>
    </xf>
    <xf numFmtId="9" fontId="19" fillId="0" borderId="0" xfId="326" applyFont="1" applyAlignment="1">
      <alignment horizontal="center"/>
    </xf>
    <xf numFmtId="165" fontId="19" fillId="0" borderId="0" xfId="326" applyNumberFormat="1" applyFont="1" applyAlignment="1">
      <alignment horizontal="center"/>
    </xf>
    <xf numFmtId="2" fontId="7" fillId="0" borderId="0" xfId="8" applyNumberFormat="1" applyFont="1" applyAlignment="1">
      <alignment horizontal="center"/>
    </xf>
    <xf numFmtId="0" fontId="7" fillId="0" borderId="0" xfId="8" applyFont="1"/>
    <xf numFmtId="9" fontId="15" fillId="0" borderId="11" xfId="326" applyNumberFormat="1" applyFont="1" applyBorder="1" applyAlignment="1">
      <alignment horizontal="center"/>
    </xf>
    <xf numFmtId="165" fontId="15" fillId="0" borderId="11" xfId="326" applyNumberFormat="1" applyFont="1" applyBorder="1" applyAlignment="1">
      <alignment horizontal="center"/>
    </xf>
    <xf numFmtId="165" fontId="15" fillId="0" borderId="29" xfId="326" applyNumberFormat="1" applyFont="1" applyBorder="1" applyAlignment="1">
      <alignment horizontal="center"/>
    </xf>
    <xf numFmtId="165" fontId="17" fillId="0" borderId="13" xfId="326" applyNumberFormat="1" applyFont="1" applyBorder="1" applyAlignment="1">
      <alignment horizontal="center"/>
    </xf>
    <xf numFmtId="3" fontId="15" fillId="0" borderId="11" xfId="325" applyNumberFormat="1" applyFont="1" applyBorder="1" applyAlignment="1">
      <alignment horizontal="center" vertical="center"/>
    </xf>
    <xf numFmtId="3" fontId="17" fillId="0" borderId="12" xfId="325" applyNumberFormat="1" applyFont="1" applyBorder="1" applyAlignment="1">
      <alignment horizontal="center" vertical="center"/>
    </xf>
    <xf numFmtId="3" fontId="15" fillId="0" borderId="12" xfId="325" applyNumberFormat="1" applyFont="1" applyBorder="1" applyAlignment="1">
      <alignment horizontal="center" vertical="center"/>
    </xf>
    <xf numFmtId="0" fontId="63" fillId="0" borderId="10" xfId="327" applyFont="1" applyBorder="1" applyAlignment="1">
      <alignment horizontal="center"/>
    </xf>
    <xf numFmtId="9" fontId="15" fillId="0" borderId="0" xfId="326" applyNumberFormat="1" applyFont="1" applyBorder="1" applyAlignment="1">
      <alignment horizontal="center"/>
    </xf>
    <xf numFmtId="165" fontId="15" fillId="0" borderId="0" xfId="326" applyNumberFormat="1" applyFont="1" applyBorder="1" applyAlignment="1">
      <alignment horizontal="center"/>
    </xf>
    <xf numFmtId="165" fontId="15" fillId="0" borderId="30" xfId="326" applyNumberFormat="1" applyFont="1" applyBorder="1" applyAlignment="1">
      <alignment horizontal="center"/>
    </xf>
    <xf numFmtId="165" fontId="17" fillId="0" borderId="14" xfId="326" applyNumberFormat="1" applyFont="1" applyBorder="1" applyAlignment="1">
      <alignment horizontal="center" vertical="center"/>
    </xf>
    <xf numFmtId="3" fontId="15" fillId="0" borderId="0" xfId="325" applyNumberFormat="1" applyFont="1" applyBorder="1" applyAlignment="1">
      <alignment horizontal="center" vertical="center"/>
    </xf>
    <xf numFmtId="3" fontId="17" fillId="0" borderId="9" xfId="325" applyNumberFormat="1" applyFont="1" applyBorder="1" applyAlignment="1">
      <alignment horizontal="center" vertical="center"/>
    </xf>
    <xf numFmtId="3" fontId="15" fillId="0" borderId="9" xfId="325" applyNumberFormat="1" applyFont="1" applyBorder="1" applyAlignment="1">
      <alignment horizontal="center" vertical="center"/>
    </xf>
    <xf numFmtId="0" fontId="63" fillId="0" borderId="7" xfId="327" applyFont="1" applyBorder="1" applyAlignment="1">
      <alignment horizontal="center"/>
    </xf>
    <xf numFmtId="165" fontId="17" fillId="0" borderId="14" xfId="326" applyNumberFormat="1" applyFont="1" applyBorder="1" applyAlignment="1">
      <alignment horizontal="center"/>
    </xf>
    <xf numFmtId="9" fontId="15" fillId="0" borderId="15" xfId="326" applyNumberFormat="1" applyFont="1" applyBorder="1" applyAlignment="1">
      <alignment horizontal="center" vertical="center"/>
    </xf>
    <xf numFmtId="165" fontId="15" fillId="0" borderId="15" xfId="326" applyNumberFormat="1" applyFont="1" applyBorder="1" applyAlignment="1">
      <alignment horizontal="center" vertical="center"/>
    </xf>
    <xf numFmtId="165" fontId="15" fillId="0" borderId="32" xfId="326" applyNumberFormat="1" applyFont="1" applyBorder="1" applyAlignment="1">
      <alignment horizontal="center" vertical="center"/>
    </xf>
    <xf numFmtId="165" fontId="17" fillId="0" borderId="31" xfId="326" applyNumberFormat="1" applyFont="1" applyBorder="1" applyAlignment="1">
      <alignment horizontal="center" vertical="center"/>
    </xf>
    <xf numFmtId="3" fontId="15" fillId="0" borderId="15" xfId="325" applyNumberFormat="1" applyFont="1" applyBorder="1" applyAlignment="1">
      <alignment horizontal="center" vertical="center"/>
    </xf>
    <xf numFmtId="3" fontId="17" fillId="0" borderId="33" xfId="325" applyNumberFormat="1" applyFont="1" applyBorder="1" applyAlignment="1">
      <alignment horizontal="center" vertical="center"/>
    </xf>
    <xf numFmtId="3" fontId="15" fillId="0" borderId="33" xfId="325" applyNumberFormat="1" applyFont="1" applyBorder="1" applyAlignment="1">
      <alignment horizontal="center" vertical="center"/>
    </xf>
    <xf numFmtId="0" fontId="63" fillId="0" borderId="34" xfId="327" applyFont="1" applyBorder="1" applyAlignment="1">
      <alignment horizontal="center"/>
    </xf>
    <xf numFmtId="0" fontId="19" fillId="0" borderId="0" xfId="8" applyFont="1" applyAlignment="1">
      <alignment vertical="center"/>
    </xf>
    <xf numFmtId="9" fontId="64" fillId="0" borderId="0" xfId="326" applyNumberFormat="1" applyFont="1" applyBorder="1" applyAlignment="1">
      <alignment horizontal="center" vertical="center"/>
    </xf>
    <xf numFmtId="165" fontId="64" fillId="0" borderId="0" xfId="326" applyNumberFormat="1" applyFont="1" applyBorder="1" applyAlignment="1">
      <alignment horizontal="center" vertical="center"/>
    </xf>
    <xf numFmtId="165" fontId="64" fillId="0" borderId="30" xfId="326" applyNumberFormat="1" applyFont="1" applyBorder="1" applyAlignment="1">
      <alignment horizontal="center" vertical="center"/>
    </xf>
    <xf numFmtId="165" fontId="65" fillId="0" borderId="14" xfId="326" applyNumberFormat="1" applyFont="1" applyBorder="1" applyAlignment="1">
      <alignment horizontal="center" vertical="center"/>
    </xf>
    <xf numFmtId="3" fontId="66" fillId="0" borderId="0" xfId="325" applyNumberFormat="1" applyFont="1" applyBorder="1" applyAlignment="1">
      <alignment horizontal="center" vertical="center"/>
    </xf>
    <xf numFmtId="3" fontId="65" fillId="0" borderId="9" xfId="325" applyNumberFormat="1" applyFont="1" applyBorder="1" applyAlignment="1">
      <alignment horizontal="center" vertical="center"/>
    </xf>
    <xf numFmtId="3" fontId="66" fillId="0" borderId="9" xfId="325" applyNumberFormat="1" applyFont="1" applyBorder="1" applyAlignment="1">
      <alignment horizontal="center" vertical="center"/>
    </xf>
    <xf numFmtId="0" fontId="67" fillId="0" borderId="7" xfId="8" applyFont="1" applyBorder="1" applyAlignment="1">
      <alignment horizontal="center" vertical="center" wrapText="1"/>
    </xf>
    <xf numFmtId="9" fontId="19" fillId="0" borderId="0" xfId="326" applyNumberFormat="1" applyFont="1" applyBorder="1" applyAlignment="1">
      <alignment horizontal="center"/>
    </xf>
    <xf numFmtId="165" fontId="19" fillId="0" borderId="0" xfId="326" applyNumberFormat="1" applyFont="1" applyBorder="1" applyAlignment="1">
      <alignment horizontal="center"/>
    </xf>
    <xf numFmtId="165" fontId="19" fillId="0" borderId="30" xfId="326" applyNumberFormat="1" applyFont="1" applyBorder="1" applyAlignment="1">
      <alignment horizontal="center"/>
    </xf>
    <xf numFmtId="3" fontId="15" fillId="0" borderId="0" xfId="325" applyNumberFormat="1" applyFont="1" applyBorder="1" applyAlignment="1">
      <alignment horizontal="center"/>
    </xf>
    <xf numFmtId="3" fontId="17" fillId="0" borderId="9" xfId="325" applyNumberFormat="1" applyFont="1" applyBorder="1" applyAlignment="1">
      <alignment horizontal="center"/>
    </xf>
    <xf numFmtId="3" fontId="15" fillId="0" borderId="9" xfId="325" applyNumberFormat="1" applyFont="1" applyBorder="1" applyAlignment="1">
      <alignment horizontal="center"/>
    </xf>
    <xf numFmtId="173" fontId="17" fillId="0" borderId="7" xfId="325" applyNumberFormat="1" applyFont="1" applyBorder="1" applyAlignment="1">
      <alignment horizontal="center"/>
    </xf>
    <xf numFmtId="2" fontId="17" fillId="0" borderId="7" xfId="325" applyNumberFormat="1" applyFont="1" applyBorder="1" applyAlignment="1">
      <alignment horizontal="center"/>
    </xf>
    <xf numFmtId="166" fontId="17" fillId="0" borderId="7" xfId="325" applyNumberFormat="1" applyFont="1" applyBorder="1" applyAlignment="1">
      <alignment horizontal="center"/>
    </xf>
    <xf numFmtId="0" fontId="17" fillId="0" borderId="7" xfId="325" applyFont="1" applyBorder="1" applyAlignment="1">
      <alignment horizontal="center"/>
    </xf>
    <xf numFmtId="3" fontId="15" fillId="0" borderId="15" xfId="325" applyNumberFormat="1" applyFont="1" applyBorder="1" applyAlignment="1">
      <alignment horizontal="center"/>
    </xf>
    <xf numFmtId="9" fontId="19" fillId="0" borderId="15" xfId="326" applyNumberFormat="1" applyFont="1" applyBorder="1" applyAlignment="1">
      <alignment horizontal="center"/>
    </xf>
    <xf numFmtId="165" fontId="19" fillId="0" borderId="15" xfId="326" applyNumberFormat="1" applyFont="1" applyBorder="1" applyAlignment="1">
      <alignment horizontal="center"/>
    </xf>
    <xf numFmtId="165" fontId="19" fillId="0" borderId="32" xfId="326" applyNumberFormat="1" applyFont="1" applyBorder="1" applyAlignment="1">
      <alignment horizontal="center"/>
    </xf>
    <xf numFmtId="165" fontId="17" fillId="0" borderId="31" xfId="326" applyNumberFormat="1" applyFont="1" applyBorder="1" applyAlignment="1">
      <alignment horizontal="center"/>
    </xf>
    <xf numFmtId="3" fontId="17" fillId="0" borderId="33" xfId="325" applyNumberFormat="1" applyFont="1" applyBorder="1" applyAlignment="1">
      <alignment horizontal="center"/>
    </xf>
    <xf numFmtId="0" fontId="19" fillId="0" borderId="0" xfId="8" applyFont="1" applyAlignment="1">
      <alignment vertical="center" wrapText="1"/>
    </xf>
    <xf numFmtId="0" fontId="15" fillId="0" borderId="0" xfId="325" applyFont="1" applyBorder="1" applyAlignment="1">
      <alignment horizontal="center" vertical="center" wrapText="1"/>
    </xf>
    <xf numFmtId="0" fontId="15" fillId="0" borderId="30" xfId="325" applyFont="1" applyBorder="1" applyAlignment="1">
      <alignment horizontal="center" vertical="center" wrapText="1"/>
    </xf>
    <xf numFmtId="0" fontId="17" fillId="0" borderId="31" xfId="325" applyFont="1" applyBorder="1" applyAlignment="1">
      <alignment horizontal="center" vertical="center" wrapText="1"/>
    </xf>
    <xf numFmtId="0" fontId="15" fillId="0" borderId="9" xfId="325" applyFont="1" applyBorder="1" applyAlignment="1">
      <alignment horizontal="center" vertical="center" wrapText="1"/>
    </xf>
    <xf numFmtId="0" fontId="17" fillId="0" borderId="7" xfId="325" applyFont="1" applyBorder="1" applyAlignment="1">
      <alignment horizontal="center" vertical="center" wrapText="1"/>
    </xf>
    <xf numFmtId="0" fontId="20" fillId="0" borderId="38" xfId="8" applyFont="1" applyBorder="1" applyAlignment="1">
      <alignment vertical="center"/>
    </xf>
    <xf numFmtId="0" fontId="20" fillId="0" borderId="7" xfId="8" applyFont="1" applyBorder="1" applyAlignment="1">
      <alignment horizontal="center" vertical="center"/>
    </xf>
    <xf numFmtId="0" fontId="19" fillId="0" borderId="34" xfId="8" applyFont="1" applyBorder="1"/>
    <xf numFmtId="0" fontId="9" fillId="0" borderId="0" xfId="6" applyNumberFormat="1" applyFont="1" applyFill="1" applyBorder="1" applyAlignment="1" applyProtection="1">
      <alignment horizontal="center"/>
    </xf>
    <xf numFmtId="0" fontId="17" fillId="0" borderId="7" xfId="5" applyFont="1" applyBorder="1" applyAlignment="1">
      <alignment horizontal="center" vertical="center"/>
    </xf>
    <xf numFmtId="0" fontId="19" fillId="0" borderId="8" xfId="8" applyFont="1" applyBorder="1"/>
    <xf numFmtId="0" fontId="19" fillId="0" borderId="0" xfId="8" applyFont="1" applyBorder="1"/>
    <xf numFmtId="0" fontId="19" fillId="0" borderId="7" xfId="8" applyFont="1" applyBorder="1"/>
    <xf numFmtId="0" fontId="9" fillId="0" borderId="8" xfId="6" applyNumberFormat="1" applyFont="1" applyFill="1" applyBorder="1" applyAlignment="1" applyProtection="1">
      <alignment horizontal="center"/>
    </xf>
    <xf numFmtId="0" fontId="90" fillId="0" borderId="9" xfId="325" applyFont="1" applyBorder="1" applyAlignment="1">
      <alignment horizontal="center" vertical="center" wrapText="1"/>
    </xf>
    <xf numFmtId="0" fontId="19" fillId="0" borderId="47" xfId="8" applyFont="1" applyBorder="1" applyAlignment="1">
      <alignment horizontal="center" vertical="center"/>
    </xf>
    <xf numFmtId="0" fontId="17" fillId="0" borderId="48" xfId="325" applyFont="1" applyBorder="1" applyAlignment="1">
      <alignment horizontal="center" vertical="center" wrapText="1"/>
    </xf>
    <xf numFmtId="3" fontId="17" fillId="0" borderId="49" xfId="325" applyNumberFormat="1" applyFont="1" applyBorder="1" applyAlignment="1">
      <alignment horizontal="center"/>
    </xf>
    <xf numFmtId="3" fontId="17" fillId="0" borderId="48" xfId="325" applyNumberFormat="1" applyFont="1" applyBorder="1" applyAlignment="1">
      <alignment horizontal="center"/>
    </xf>
    <xf numFmtId="3" fontId="65" fillId="0" borderId="48" xfId="325" applyNumberFormat="1" applyFont="1" applyBorder="1" applyAlignment="1">
      <alignment horizontal="center" vertical="center"/>
    </xf>
    <xf numFmtId="3" fontId="17" fillId="0" borderId="49" xfId="325" applyNumberFormat="1" applyFont="1" applyBorder="1" applyAlignment="1">
      <alignment horizontal="center" vertical="center"/>
    </xf>
    <xf numFmtId="3" fontId="17" fillId="0" borderId="48" xfId="325" applyNumberFormat="1" applyFont="1" applyBorder="1" applyAlignment="1">
      <alignment horizontal="center" vertical="center"/>
    </xf>
    <xf numFmtId="3" fontId="17" fillId="0" borderId="50" xfId="325" applyNumberFormat="1" applyFont="1" applyBorder="1" applyAlignment="1">
      <alignment horizontal="center" vertical="center"/>
    </xf>
    <xf numFmtId="0" fontId="19" fillId="0" borderId="0" xfId="8" applyFont="1"/>
    <xf numFmtId="0" fontId="0" fillId="0" borderId="0" xfId="0"/>
    <xf numFmtId="0" fontId="2" fillId="0" borderId="0" xfId="0" applyFont="1" applyAlignment="1">
      <alignment horizontal="center"/>
    </xf>
    <xf numFmtId="0" fontId="2" fillId="0" borderId="16" xfId="0" applyFont="1" applyBorder="1" applyAlignment="1">
      <alignment horizontal="center"/>
    </xf>
    <xf numFmtId="166" fontId="0" fillId="0" borderId="0" xfId="0" applyNumberFormat="1" applyFill="1" applyAlignment="1">
      <alignment horizontal="center"/>
    </xf>
    <xf numFmtId="166" fontId="13" fillId="0" borderId="0" xfId="0" applyNumberFormat="1" applyFont="1" applyAlignment="1">
      <alignment horizontal="center"/>
    </xf>
    <xf numFmtId="166" fontId="0" fillId="0" borderId="0" xfId="0" applyNumberFormat="1" applyAlignment="1">
      <alignment horizontal="center"/>
    </xf>
    <xf numFmtId="0" fontId="12" fillId="0" borderId="18" xfId="0" applyFont="1" applyBorder="1" applyAlignment="1">
      <alignment horizontal="center"/>
    </xf>
    <xf numFmtId="0" fontId="3" fillId="0" borderId="0" xfId="0" applyFont="1" applyAlignment="1">
      <alignment horizontal="left" vertical="center" wrapText="1"/>
    </xf>
    <xf numFmtId="164" fontId="3" fillId="0" borderId="0" xfId="0" applyNumberFormat="1" applyFont="1" applyAlignment="1">
      <alignment horizontal="right" vertical="top" wrapText="1"/>
    </xf>
    <xf numFmtId="0" fontId="12" fillId="0" borderId="3" xfId="0" applyFont="1" applyBorder="1" applyAlignment="1">
      <alignment horizontal="center" wrapText="1"/>
    </xf>
    <xf numFmtId="0" fontId="12" fillId="0" borderId="2" xfId="0" applyFont="1" applyBorder="1" applyAlignment="1">
      <alignment horizontal="center"/>
    </xf>
    <xf numFmtId="0" fontId="2" fillId="0" borderId="2" xfId="0" applyFont="1" applyBorder="1" applyAlignment="1">
      <alignment horizontal="center"/>
    </xf>
    <xf numFmtId="0" fontId="30" fillId="0" borderId="2" xfId="0" applyFont="1" applyBorder="1" applyAlignment="1">
      <alignment horizontal="center" wrapText="1"/>
    </xf>
    <xf numFmtId="0" fontId="30" fillId="0" borderId="3" xfId="0" applyFont="1" applyBorder="1" applyAlignment="1">
      <alignment horizontal="center" wrapText="1"/>
    </xf>
    <xf numFmtId="0" fontId="12" fillId="0" borderId="0" xfId="0" applyFont="1" applyBorder="1" applyAlignment="1">
      <alignment horizontal="center"/>
    </xf>
    <xf numFmtId="0" fontId="12" fillId="0" borderId="18" xfId="0" applyFont="1" applyBorder="1" applyAlignment="1">
      <alignment horizontal="center" wrapText="1"/>
    </xf>
    <xf numFmtId="0" fontId="2" fillId="0" borderId="0" xfId="0" applyFont="1" applyBorder="1" applyAlignment="1">
      <alignment horizontal="center"/>
    </xf>
    <xf numFmtId="0" fontId="2" fillId="0" borderId="18" xfId="0" applyFont="1" applyBorder="1" applyAlignment="1">
      <alignment horizontal="center"/>
    </xf>
    <xf numFmtId="0" fontId="12" fillId="0" borderId="0" xfId="0" applyFont="1" applyBorder="1" applyAlignment="1">
      <alignment horizontal="center" wrapText="1"/>
    </xf>
    <xf numFmtId="0" fontId="33" fillId="0" borderId="0" xfId="0" applyFont="1" applyAlignment="1">
      <alignment horizontal="center"/>
    </xf>
    <xf numFmtId="174" fontId="3" fillId="3" borderId="0" xfId="0" applyNumberFormat="1" applyFont="1" applyFill="1" applyAlignment="1">
      <alignment horizontal="right" vertical="top" wrapText="1"/>
    </xf>
    <xf numFmtId="0" fontId="0" fillId="3" borderId="0" xfId="0" applyFill="1"/>
    <xf numFmtId="174" fontId="3" fillId="6" borderId="0" xfId="0" applyNumberFormat="1" applyFont="1" applyFill="1" applyAlignment="1">
      <alignment horizontal="right" vertical="top" wrapText="1"/>
    </xf>
    <xf numFmtId="174" fontId="3" fillId="4" borderId="0" xfId="0" applyNumberFormat="1" applyFont="1" applyFill="1" applyAlignment="1">
      <alignment horizontal="right" vertical="top" wrapText="1"/>
    </xf>
    <xf numFmtId="0" fontId="0" fillId="0" borderId="0" xfId="0" applyAlignment="1"/>
    <xf numFmtId="0" fontId="0" fillId="0" borderId="0" xfId="0"/>
    <xf numFmtId="0" fontId="12" fillId="0" borderId="18" xfId="0" applyFont="1" applyBorder="1" applyAlignment="1">
      <alignment horizontal="center"/>
    </xf>
    <xf numFmtId="164" fontId="3" fillId="0" borderId="0" xfId="0" applyNumberFormat="1" applyFont="1" applyAlignment="1">
      <alignment horizontal="right" vertical="top" wrapText="1"/>
    </xf>
    <xf numFmtId="0" fontId="2" fillId="0" borderId="18" xfId="0" applyFont="1" applyBorder="1" applyAlignment="1">
      <alignment horizontal="center"/>
    </xf>
    <xf numFmtId="0" fontId="12" fillId="0" borderId="0" xfId="0" applyFont="1" applyBorder="1" applyAlignment="1">
      <alignment horizontal="center" wrapText="1"/>
    </xf>
    <xf numFmtId="0" fontId="12" fillId="0" borderId="18" xfId="0" applyFont="1" applyBorder="1" applyAlignment="1"/>
    <xf numFmtId="166" fontId="0" fillId="0" borderId="0" xfId="0" applyNumberFormat="1" applyAlignment="1"/>
    <xf numFmtId="164" fontId="6" fillId="0" borderId="0" xfId="0" applyNumberFormat="1" applyFont="1" applyAlignment="1">
      <alignment horizontal="center" vertical="center" wrapText="1"/>
    </xf>
    <xf numFmtId="0" fontId="3" fillId="0" borderId="0" xfId="0" applyFont="1" applyFill="1" applyBorder="1" applyAlignment="1">
      <alignment horizontal="center" vertical="center" wrapText="1"/>
    </xf>
    <xf numFmtId="1" fontId="2" fillId="0" borderId="18" xfId="0" applyNumberFormat="1" applyFont="1" applyBorder="1" applyAlignment="1">
      <alignment horizontal="center"/>
    </xf>
    <xf numFmtId="1" fontId="2" fillId="0" borderId="0" xfId="0" applyNumberFormat="1" applyFont="1" applyBorder="1" applyAlignment="1">
      <alignment horizontal="center"/>
    </xf>
    <xf numFmtId="1" fontId="0" fillId="0" borderId="0" xfId="0" applyNumberFormat="1" applyBorder="1" applyAlignment="1">
      <alignment horizontal="center"/>
    </xf>
    <xf numFmtId="0" fontId="12" fillId="0" borderId="18" xfId="0" applyFont="1" applyFill="1" applyBorder="1" applyAlignment="1">
      <alignment horizontal="center" wrapText="1"/>
    </xf>
    <xf numFmtId="0" fontId="0" fillId="7" borderId="0" xfId="0" applyFill="1"/>
    <xf numFmtId="0" fontId="0" fillId="0" borderId="0" xfId="0"/>
    <xf numFmtId="0" fontId="10" fillId="7" borderId="0" xfId="3" applyFill="1"/>
    <xf numFmtId="0" fontId="62" fillId="7" borderId="0" xfId="325" applyFill="1"/>
    <xf numFmtId="0" fontId="19" fillId="7" borderId="0" xfId="8" applyFont="1" applyFill="1" applyAlignment="1">
      <alignment vertical="center"/>
    </xf>
    <xf numFmtId="0" fontId="21" fillId="7" borderId="0" xfId="8" applyFont="1" applyFill="1" applyBorder="1" applyAlignment="1">
      <alignment vertical="center" wrapText="1"/>
    </xf>
    <xf numFmtId="0" fontId="3" fillId="7" borderId="0" xfId="325" applyFont="1" applyFill="1" applyBorder="1" applyAlignment="1">
      <alignment horizontal="center" vertical="center" wrapText="1"/>
    </xf>
    <xf numFmtId="1" fontId="19" fillId="7" borderId="0" xfId="8" applyNumberFormat="1" applyFont="1" applyFill="1"/>
    <xf numFmtId="166" fontId="0" fillId="7" borderId="0" xfId="0" applyNumberFormat="1" applyFill="1"/>
    <xf numFmtId="9" fontId="19" fillId="7" borderId="0" xfId="326" applyFont="1" applyFill="1"/>
    <xf numFmtId="9" fontId="19" fillId="7" borderId="0" xfId="8" applyNumberFormat="1" applyFont="1" applyFill="1"/>
    <xf numFmtId="3" fontId="0" fillId="7" borderId="0" xfId="0" applyNumberFormat="1" applyFont="1" applyFill="1"/>
    <xf numFmtId="3" fontId="0" fillId="7" borderId="0" xfId="325" applyNumberFormat="1" applyFont="1" applyFill="1"/>
    <xf numFmtId="9" fontId="2" fillId="7" borderId="0" xfId="1" applyNumberFormat="1" applyFont="1" applyFill="1" applyAlignment="1">
      <alignment horizontal="center"/>
    </xf>
    <xf numFmtId="3" fontId="2" fillId="0" borderId="0" xfId="0" applyNumberFormat="1" applyFont="1"/>
    <xf numFmtId="9" fontId="2" fillId="0" borderId="0" xfId="1" applyFont="1" applyAlignment="1">
      <alignment horizontal="center"/>
    </xf>
    <xf numFmtId="1" fontId="0" fillId="0" borderId="0" xfId="0" applyNumberFormat="1" applyFill="1" applyBorder="1" applyAlignment="1">
      <alignment horizontal="center"/>
    </xf>
    <xf numFmtId="0" fontId="0" fillId="0" borderId="15" xfId="0" applyBorder="1" applyAlignment="1">
      <alignment horizontal="center"/>
    </xf>
    <xf numFmtId="1" fontId="2" fillId="0" borderId="0" xfId="0" applyNumberFormat="1" applyFont="1" applyFill="1" applyBorder="1" applyAlignment="1">
      <alignment horizontal="center"/>
    </xf>
    <xf numFmtId="1" fontId="0" fillId="0" borderId="0" xfId="0" applyNumberFormat="1" applyFill="1" applyAlignment="1">
      <alignment horizontal="center"/>
    </xf>
    <xf numFmtId="0" fontId="12" fillId="0" borderId="0" xfId="0" applyFont="1" applyFill="1" applyBorder="1" applyAlignment="1">
      <alignment wrapText="1"/>
    </xf>
    <xf numFmtId="0" fontId="30" fillId="0" borderId="0" xfId="0" applyFont="1" applyFill="1" applyBorder="1" applyAlignment="1">
      <alignment horizontal="center" wrapText="1"/>
    </xf>
    <xf numFmtId="173" fontId="0" fillId="0" borderId="0" xfId="0" applyNumberFormat="1" applyFill="1" applyBorder="1" applyAlignment="1">
      <alignment horizontal="center"/>
    </xf>
    <xf numFmtId="173" fontId="9" fillId="0" borderId="0" xfId="0" applyNumberFormat="1" applyFont="1" applyFill="1" applyBorder="1" applyAlignment="1">
      <alignment horizontal="center" vertical="top" wrapText="1"/>
    </xf>
    <xf numFmtId="0" fontId="0" fillId="0" borderId="0" xfId="0"/>
    <xf numFmtId="0" fontId="0" fillId="0" borderId="0" xfId="0"/>
    <xf numFmtId="0" fontId="0" fillId="0" borderId="0" xfId="0"/>
    <xf numFmtId="1" fontId="2" fillId="0" borderId="0" xfId="0" applyNumberFormat="1" applyFont="1" applyFill="1" applyAlignment="1">
      <alignment horizontal="center"/>
    </xf>
    <xf numFmtId="0" fontId="0" fillId="0" borderId="0" xfId="0"/>
    <xf numFmtId="0" fontId="0" fillId="0" borderId="0" xfId="0"/>
    <xf numFmtId="0" fontId="12" fillId="0" borderId="18" xfId="0" applyFont="1" applyBorder="1" applyAlignment="1">
      <alignment horizontal="center" wrapText="1"/>
    </xf>
    <xf numFmtId="0" fontId="12" fillId="0" borderId="2" xfId="0" applyFont="1" applyBorder="1" applyAlignment="1">
      <alignment horizontal="center"/>
    </xf>
    <xf numFmtId="0" fontId="2" fillId="0" borderId="2" xfId="0" applyFont="1" applyBorder="1" applyAlignment="1">
      <alignment horizontal="center"/>
    </xf>
    <xf numFmtId="0" fontId="30" fillId="0" borderId="2" xfId="0" applyFont="1" applyBorder="1" applyAlignment="1">
      <alignment horizontal="center" wrapText="1"/>
    </xf>
    <xf numFmtId="0" fontId="30" fillId="0" borderId="3" xfId="0" applyFont="1" applyBorder="1" applyAlignment="1">
      <alignment horizontal="center" wrapText="1"/>
    </xf>
    <xf numFmtId="0" fontId="12" fillId="8" borderId="0" xfId="0" applyFont="1" applyFill="1" applyBorder="1" applyAlignment="1">
      <alignment horizontal="center"/>
    </xf>
    <xf numFmtId="0" fontId="3" fillId="0" borderId="0" xfId="0" applyFont="1" applyAlignment="1">
      <alignment horizontal="left" vertical="center" wrapText="1"/>
    </xf>
    <xf numFmtId="164" fontId="3" fillId="0" borderId="0" xfId="0" applyNumberFormat="1" applyFont="1" applyAlignment="1">
      <alignment horizontal="right" vertical="top" wrapText="1"/>
    </xf>
    <xf numFmtId="0" fontId="0" fillId="0" borderId="0" xfId="0"/>
    <xf numFmtId="0" fontId="2" fillId="0" borderId="0" xfId="0" applyFont="1" applyBorder="1" applyAlignment="1"/>
    <xf numFmtId="0" fontId="30" fillId="0" borderId="0" xfId="0" applyFont="1" applyBorder="1" applyAlignment="1">
      <alignment horizontal="center"/>
    </xf>
    <xf numFmtId="10" fontId="0" fillId="0" borderId="0" xfId="0" quotePrefix="1" applyNumberFormat="1"/>
    <xf numFmtId="165" fontId="0" fillId="0" borderId="0" xfId="0" applyNumberFormat="1"/>
    <xf numFmtId="165" fontId="0" fillId="0" borderId="0" xfId="1" applyNumberFormat="1" applyFont="1"/>
    <xf numFmtId="166" fontId="13" fillId="0" borderId="0" xfId="0" applyNumberFormat="1" applyFont="1" applyAlignment="1">
      <alignment horizontal="center"/>
    </xf>
    <xf numFmtId="0" fontId="2" fillId="0" borderId="0" xfId="0" applyFont="1" applyAlignment="1">
      <alignment horizontal="center"/>
    </xf>
    <xf numFmtId="166" fontId="33" fillId="0" borderId="0" xfId="0" applyNumberFormat="1" applyFont="1" applyAlignment="1">
      <alignment horizontal="center"/>
    </xf>
    <xf numFmtId="0" fontId="30" fillId="0" borderId="0" xfId="0" applyFont="1" applyBorder="1" applyAlignment="1">
      <alignment horizontal="center" wrapText="1"/>
    </xf>
    <xf numFmtId="0" fontId="12" fillId="0" borderId="3" xfId="0" applyFont="1" applyBorder="1" applyAlignment="1">
      <alignment horizontal="center" wrapText="1"/>
    </xf>
    <xf numFmtId="0" fontId="12" fillId="0" borderId="2" xfId="0" applyFont="1" applyBorder="1" applyAlignment="1">
      <alignment horizontal="center"/>
    </xf>
    <xf numFmtId="0" fontId="2" fillId="0" borderId="2" xfId="0" applyFont="1" applyBorder="1" applyAlignment="1">
      <alignment horizontal="center"/>
    </xf>
    <xf numFmtId="0" fontId="30" fillId="0" borderId="2" xfId="0" applyFont="1" applyBorder="1" applyAlignment="1">
      <alignment horizontal="center" wrapText="1"/>
    </xf>
    <xf numFmtId="0" fontId="30" fillId="0" borderId="3" xfId="0" applyFont="1" applyBorder="1" applyAlignment="1">
      <alignment horizontal="center" wrapText="1"/>
    </xf>
    <xf numFmtId="0" fontId="12" fillId="0" borderId="0" xfId="0" applyFont="1" applyBorder="1" applyAlignment="1">
      <alignment horizontal="center"/>
    </xf>
    <xf numFmtId="0" fontId="2" fillId="0" borderId="0" xfId="0" applyFont="1" applyBorder="1" applyAlignment="1">
      <alignment horizontal="center"/>
    </xf>
    <xf numFmtId="0" fontId="12" fillId="0" borderId="18" xfId="0" applyFont="1" applyBorder="1" applyAlignment="1">
      <alignment horizontal="center"/>
    </xf>
    <xf numFmtId="0" fontId="2" fillId="0" borderId="18" xfId="0" applyFont="1" applyBorder="1" applyAlignment="1">
      <alignment horizontal="center"/>
    </xf>
    <xf numFmtId="0" fontId="12" fillId="8" borderId="0" xfId="0" applyFont="1" applyFill="1" applyBorder="1" applyAlignment="1">
      <alignment horizontal="center"/>
    </xf>
    <xf numFmtId="0" fontId="10" fillId="0" borderId="0" xfId="3"/>
    <xf numFmtId="0" fontId="131" fillId="8" borderId="0" xfId="0" applyFont="1" applyFill="1"/>
    <xf numFmtId="0" fontId="1" fillId="8" borderId="0" xfId="0" applyFont="1" applyFill="1"/>
    <xf numFmtId="0" fontId="131" fillId="0" borderId="0" xfId="0" applyFont="1"/>
    <xf numFmtId="0" fontId="131" fillId="0" borderId="0" xfId="0" applyFont="1" applyAlignment="1">
      <alignment horizontal="center"/>
    </xf>
    <xf numFmtId="0" fontId="131" fillId="0" borderId="0" xfId="0" applyFont="1" applyAlignment="1">
      <alignment horizontal="right" indent="1"/>
    </xf>
    <xf numFmtId="0" fontId="133" fillId="0" borderId="52" xfId="0" applyFont="1" applyBorder="1" applyAlignment="1">
      <alignment horizontal="center"/>
    </xf>
    <xf numFmtId="0" fontId="131" fillId="8" borderId="55" xfId="0" applyFont="1" applyFill="1" applyBorder="1" applyAlignment="1">
      <alignment horizontal="center"/>
    </xf>
    <xf numFmtId="0" fontId="133" fillId="8" borderId="30" xfId="0" applyFont="1" applyFill="1" applyBorder="1" applyAlignment="1">
      <alignment horizontal="center"/>
    </xf>
    <xf numFmtId="0" fontId="131" fillId="0" borderId="30" xfId="0" applyFont="1" applyBorder="1" applyAlignment="1">
      <alignment horizontal="center"/>
    </xf>
    <xf numFmtId="0" fontId="133" fillId="0" borderId="32" xfId="0" applyFont="1" applyBorder="1"/>
    <xf numFmtId="0" fontId="133" fillId="0" borderId="55" xfId="0" applyFont="1" applyBorder="1" applyAlignment="1">
      <alignment horizontal="center"/>
    </xf>
    <xf numFmtId="0" fontId="131" fillId="8" borderId="30" xfId="0" applyFont="1" applyFill="1" applyBorder="1" applyAlignment="1">
      <alignment horizontal="center"/>
    </xf>
    <xf numFmtId="0" fontId="131" fillId="0" borderId="56" xfId="0" applyFont="1" applyBorder="1"/>
    <xf numFmtId="0" fontId="131" fillId="0" borderId="57" xfId="0" applyFont="1" applyBorder="1" applyAlignment="1">
      <alignment horizontal="center"/>
    </xf>
    <xf numFmtId="0" fontId="131" fillId="0" borderId="56" xfId="0" applyFont="1" applyBorder="1" applyAlignment="1">
      <alignment horizontal="center"/>
    </xf>
    <xf numFmtId="0" fontId="134" fillId="8" borderId="57" xfId="0" applyFont="1" applyFill="1" applyBorder="1"/>
    <xf numFmtId="0" fontId="134" fillId="8" borderId="57" xfId="0" applyFont="1" applyFill="1" applyBorder="1" applyAlignment="1">
      <alignment horizontal="center"/>
    </xf>
    <xf numFmtId="0" fontId="131" fillId="8" borderId="56" xfId="0" applyFont="1" applyFill="1" applyBorder="1" applyAlignment="1">
      <alignment horizontal="center"/>
    </xf>
    <xf numFmtId="0" fontId="131" fillId="0" borderId="32" xfId="0" applyFont="1" applyBorder="1"/>
    <xf numFmtId="0" fontId="131" fillId="0" borderId="32" xfId="0" applyFont="1" applyBorder="1" applyAlignment="1">
      <alignment horizontal="right" indent="1"/>
    </xf>
    <xf numFmtId="0" fontId="131" fillId="8" borderId="58" xfId="0" applyFont="1" applyFill="1" applyBorder="1"/>
    <xf numFmtId="0" fontId="131" fillId="8" borderId="32" xfId="0" applyFont="1" applyFill="1" applyBorder="1"/>
    <xf numFmtId="0" fontId="130" fillId="0" borderId="30" xfId="0" applyFont="1" applyBorder="1"/>
    <xf numFmtId="3" fontId="131" fillId="0" borderId="30" xfId="0" applyNumberFormat="1" applyFont="1" applyBorder="1" applyAlignment="1">
      <alignment horizontal="right" indent="1"/>
    </xf>
    <xf numFmtId="169" fontId="131" fillId="0" borderId="30" xfId="733" applyNumberFormat="1" applyFont="1" applyBorder="1" applyAlignment="1">
      <alignment horizontal="right" indent="1"/>
    </xf>
    <xf numFmtId="10" fontId="131" fillId="0" borderId="55" xfId="0" applyNumberFormat="1" applyFont="1" applyBorder="1" applyAlignment="1">
      <alignment horizontal="right" indent="1"/>
    </xf>
    <xf numFmtId="10" fontId="131" fillId="0" borderId="30" xfId="326" applyNumberFormat="1" applyFont="1" applyBorder="1" applyAlignment="1">
      <alignment horizontal="right" indent="1"/>
    </xf>
    <xf numFmtId="3" fontId="131" fillId="8" borderId="55" xfId="0" applyNumberFormat="1" applyFont="1" applyFill="1" applyBorder="1" applyAlignment="1">
      <alignment horizontal="right" indent="1"/>
    </xf>
    <xf numFmtId="3" fontId="131" fillId="8" borderId="30" xfId="0" applyNumberFormat="1" applyFont="1" applyFill="1" applyBorder="1" applyAlignment="1">
      <alignment horizontal="right" indent="1"/>
    </xf>
    <xf numFmtId="0" fontId="131" fillId="8" borderId="55" xfId="0" applyFont="1" applyFill="1" applyBorder="1"/>
    <xf numFmtId="0" fontId="135" fillId="0" borderId="30" xfId="0" applyFont="1" applyBorder="1"/>
    <xf numFmtId="0" fontId="131" fillId="0" borderId="55" xfId="0" applyFont="1" applyBorder="1" applyAlignment="1">
      <alignment horizontal="right" indent="1"/>
    </xf>
    <xf numFmtId="0" fontId="131" fillId="0" borderId="30" xfId="0" applyFont="1" applyBorder="1" applyAlignment="1">
      <alignment horizontal="left" indent="2"/>
    </xf>
    <xf numFmtId="10" fontId="131" fillId="0" borderId="30" xfId="0" applyNumberFormat="1" applyFont="1" applyBorder="1" applyAlignment="1">
      <alignment horizontal="right" indent="1"/>
    </xf>
    <xf numFmtId="9" fontId="131" fillId="8" borderId="55" xfId="326" applyFont="1" applyFill="1" applyBorder="1" applyAlignment="1">
      <alignment horizontal="right" indent="1"/>
    </xf>
    <xf numFmtId="3" fontId="131" fillId="8" borderId="30" xfId="326" applyNumberFormat="1" applyFont="1" applyFill="1" applyBorder="1" applyAlignment="1">
      <alignment horizontal="right" indent="1"/>
    </xf>
    <xf numFmtId="10" fontId="131" fillId="8" borderId="55" xfId="0" applyNumberFormat="1" applyFont="1" applyFill="1" applyBorder="1" applyAlignment="1">
      <alignment horizontal="right" indent="1"/>
    </xf>
    <xf numFmtId="3" fontId="131" fillId="8" borderId="55" xfId="0" applyNumberFormat="1" applyFont="1" applyFill="1" applyBorder="1"/>
    <xf numFmtId="0" fontId="133" fillId="0" borderId="0" xfId="0" applyFont="1"/>
    <xf numFmtId="0" fontId="131" fillId="0" borderId="56" xfId="0" applyFont="1" applyBorder="1" applyAlignment="1">
      <alignment horizontal="right" indent="1"/>
    </xf>
    <xf numFmtId="0" fontId="131" fillId="8" borderId="57" xfId="0" applyFont="1" applyFill="1" applyBorder="1" applyAlignment="1">
      <alignment horizontal="center"/>
    </xf>
    <xf numFmtId="0" fontId="131" fillId="8" borderId="57" xfId="0" applyFont="1" applyFill="1" applyBorder="1"/>
    <xf numFmtId="49" fontId="133" fillId="0" borderId="0" xfId="0" applyNumberFormat="1" applyFont="1"/>
    <xf numFmtId="49" fontId="133" fillId="0" borderId="0" xfId="0" applyNumberFormat="1" applyFont="1" applyAlignment="1">
      <alignment horizontal="left"/>
    </xf>
    <xf numFmtId="165" fontId="131" fillId="0" borderId="0" xfId="0" applyNumberFormat="1" applyFont="1"/>
    <xf numFmtId="0" fontId="136" fillId="0" borderId="0" xfId="3" applyFont="1"/>
    <xf numFmtId="0" fontId="10" fillId="8" borderId="0" xfId="3" applyFill="1"/>
    <xf numFmtId="0" fontId="10" fillId="2" borderId="0" xfId="3" applyFill="1"/>
    <xf numFmtId="0" fontId="9" fillId="0" borderId="0" xfId="0" applyFont="1" applyFill="1" applyAlignment="1">
      <alignment horizontal="center" vertical="center" wrapText="1"/>
    </xf>
    <xf numFmtId="9" fontId="0" fillId="0" borderId="0" xfId="1" applyFont="1" applyFill="1" applyAlignment="1">
      <alignment horizontal="center"/>
    </xf>
    <xf numFmtId="0" fontId="137" fillId="0" borderId="0" xfId="0" applyFont="1"/>
    <xf numFmtId="0" fontId="138" fillId="0" borderId="0" xfId="0" applyFont="1"/>
    <xf numFmtId="0" fontId="139" fillId="0" borderId="0" xfId="0" applyFont="1"/>
    <xf numFmtId="0" fontId="0" fillId="0" borderId="0" xfId="0" applyFont="1" applyFill="1" applyBorder="1"/>
    <xf numFmtId="0" fontId="0" fillId="0" borderId="0" xfId="0" applyFont="1" applyFill="1" applyBorder="1" applyAlignment="1">
      <alignment horizontal="center"/>
    </xf>
    <xf numFmtId="0" fontId="12" fillId="0" borderId="59" xfId="0" applyFont="1" applyBorder="1" applyAlignment="1">
      <alignment horizontal="center" wrapText="1"/>
    </xf>
    <xf numFmtId="166" fontId="0" fillId="0" borderId="0" xfId="0" applyNumberFormat="1" applyFont="1" applyFill="1" applyBorder="1" applyAlignment="1">
      <alignment horizontal="center"/>
    </xf>
    <xf numFmtId="166" fontId="2" fillId="0" borderId="0" xfId="0" applyNumberFormat="1" applyFont="1" applyFill="1" applyAlignment="1">
      <alignment horizontal="center"/>
    </xf>
    <xf numFmtId="0" fontId="9" fillId="0" borderId="0" xfId="0" applyFont="1" applyAlignment="1">
      <alignment horizontal="center" vertical="center" wrapText="1"/>
    </xf>
    <xf numFmtId="0" fontId="12" fillId="0" borderId="59" xfId="0" applyFont="1" applyBorder="1" applyAlignment="1">
      <alignment horizontal="center" vertical="center" wrapText="1"/>
    </xf>
    <xf numFmtId="0" fontId="0" fillId="0" borderId="0" xfId="0"/>
    <xf numFmtId="0" fontId="0" fillId="0" borderId="0" xfId="0"/>
    <xf numFmtId="0" fontId="2" fillId="0" borderId="0" xfId="0" applyFont="1" applyAlignment="1">
      <alignment horizontal="center"/>
    </xf>
    <xf numFmtId="0" fontId="30" fillId="0" borderId="0" xfId="0" applyFont="1" applyBorder="1" applyAlignment="1">
      <alignment horizontal="center" wrapText="1"/>
    </xf>
    <xf numFmtId="0" fontId="12" fillId="0" borderId="2" xfId="0" applyFont="1" applyBorder="1" applyAlignment="1">
      <alignment horizontal="center"/>
    </xf>
    <xf numFmtId="0" fontId="30" fillId="0" borderId="2" xfId="0" applyFont="1" applyBorder="1" applyAlignment="1">
      <alignment horizontal="center" wrapText="1"/>
    </xf>
    <xf numFmtId="0" fontId="30" fillId="0" borderId="3" xfId="0" applyFont="1" applyBorder="1" applyAlignment="1">
      <alignment horizontal="center" wrapText="1"/>
    </xf>
    <xf numFmtId="0" fontId="12" fillId="0" borderId="0" xfId="0" applyFont="1" applyBorder="1" applyAlignment="1">
      <alignment horizontal="center"/>
    </xf>
    <xf numFmtId="0" fontId="2" fillId="0" borderId="0" xfId="0" applyFont="1" applyBorder="1" applyAlignment="1">
      <alignment horizontal="center"/>
    </xf>
    <xf numFmtId="0" fontId="0" fillId="0" borderId="0" xfId="0"/>
    <xf numFmtId="0" fontId="10" fillId="0" borderId="0" xfId="3"/>
    <xf numFmtId="0" fontId="131" fillId="8" borderId="0" xfId="0" quotePrefix="1" applyFont="1" applyFill="1"/>
    <xf numFmtId="0" fontId="7" fillId="0" borderId="0" xfId="440" applyAlignment="1">
      <alignment horizontal="center"/>
    </xf>
    <xf numFmtId="0" fontId="12" fillId="0" borderId="0" xfId="0" applyFont="1" applyFill="1" applyBorder="1" applyAlignment="1">
      <alignment horizontal="center" wrapText="1"/>
    </xf>
    <xf numFmtId="0" fontId="0" fillId="0" borderId="18" xfId="0" applyFill="1" applyBorder="1"/>
    <xf numFmtId="1" fontId="9" fillId="0" borderId="0" xfId="0" applyNumberFormat="1" applyFont="1" applyFill="1" applyBorder="1" applyAlignment="1">
      <alignment horizontal="center" vertical="top" wrapText="1"/>
    </xf>
    <xf numFmtId="166" fontId="2" fillId="0" borderId="0" xfId="0" applyNumberFormat="1" applyFont="1" applyBorder="1" applyAlignment="1">
      <alignment horizontal="center"/>
    </xf>
    <xf numFmtId="0" fontId="2" fillId="3" borderId="0" xfId="0" applyFont="1" applyFill="1" applyAlignment="1">
      <alignment horizontal="left"/>
    </xf>
    <xf numFmtId="166" fontId="11" fillId="0" borderId="0" xfId="0" applyNumberFormat="1" applyFont="1" applyFill="1" applyAlignment="1">
      <alignment horizontal="center"/>
    </xf>
    <xf numFmtId="9" fontId="2" fillId="0" borderId="0" xfId="1" applyNumberFormat="1" applyFont="1" applyAlignment="1">
      <alignment horizontal="center"/>
    </xf>
    <xf numFmtId="0" fontId="2" fillId="6" borderId="0" xfId="0" applyFont="1" applyFill="1" applyAlignment="1">
      <alignment horizontal="left"/>
    </xf>
    <xf numFmtId="0" fontId="32" fillId="4" borderId="0" xfId="0" applyFont="1" applyFill="1" applyAlignment="1">
      <alignment horizontal="center"/>
    </xf>
    <xf numFmtId="0" fontId="27" fillId="4" borderId="0" xfId="0" applyFont="1" applyFill="1"/>
    <xf numFmtId="173" fontId="27" fillId="0" borderId="0" xfId="0" applyNumberFormat="1" applyFont="1"/>
    <xf numFmtId="0" fontId="32" fillId="3" borderId="0" xfId="0" applyFont="1" applyFill="1" applyAlignment="1">
      <alignment horizontal="center"/>
    </xf>
    <xf numFmtId="166" fontId="140" fillId="3" borderId="0" xfId="0" applyNumberFormat="1" applyFont="1" applyFill="1" applyAlignment="1">
      <alignment horizontal="center"/>
    </xf>
    <xf numFmtId="166" fontId="140" fillId="3" borderId="0" xfId="0" applyNumberFormat="1" applyFont="1" applyFill="1" applyBorder="1" applyAlignment="1">
      <alignment horizontal="center"/>
    </xf>
    <xf numFmtId="166" fontId="2" fillId="4" borderId="0" xfId="0" applyNumberFormat="1" applyFont="1" applyFill="1" applyAlignment="1">
      <alignment horizontal="center"/>
    </xf>
    <xf numFmtId="166" fontId="2" fillId="4" borderId="0" xfId="0" applyNumberFormat="1" applyFont="1" applyFill="1" applyBorder="1" applyAlignment="1">
      <alignment horizontal="center"/>
    </xf>
    <xf numFmtId="0" fontId="29" fillId="8" borderId="0" xfId="0" applyFont="1" applyFill="1" applyBorder="1" applyAlignment="1">
      <alignment horizontal="left"/>
    </xf>
    <xf numFmtId="166" fontId="29" fillId="8" borderId="0" xfId="0" applyNumberFormat="1" applyFont="1" applyFill="1" applyBorder="1" applyAlignment="1">
      <alignment horizontal="left"/>
    </xf>
    <xf numFmtId="173" fontId="0" fillId="8" borderId="0" xfId="0" applyNumberFormat="1" applyFill="1"/>
    <xf numFmtId="0" fontId="0" fillId="8" borderId="0" xfId="0" applyFill="1"/>
    <xf numFmtId="166" fontId="0" fillId="8" borderId="0" xfId="0" applyNumberFormat="1" applyFont="1" applyFill="1" applyBorder="1" applyAlignment="1">
      <alignment horizontal="center"/>
    </xf>
    <xf numFmtId="0" fontId="0" fillId="8" borderId="0" xfId="0" applyFont="1" applyFill="1" applyBorder="1" applyAlignment="1">
      <alignment horizontal="center"/>
    </xf>
    <xf numFmtId="173" fontId="0" fillId="8" borderId="0" xfId="0" applyNumberFormat="1" applyFont="1" applyFill="1" applyAlignment="1">
      <alignment horizontal="center"/>
    </xf>
    <xf numFmtId="0" fontId="0" fillId="8" borderId="0" xfId="0" applyFont="1" applyFill="1" applyBorder="1"/>
    <xf numFmtId="166" fontId="2" fillId="8" borderId="0" xfId="0" applyNumberFormat="1" applyFont="1" applyFill="1" applyAlignment="1">
      <alignment horizontal="center"/>
    </xf>
    <xf numFmtId="166" fontId="140" fillId="8" borderId="0" xfId="0" applyNumberFormat="1" applyFont="1" applyFill="1" applyAlignment="1">
      <alignment horizontal="center"/>
    </xf>
    <xf numFmtId="166" fontId="0" fillId="8" borderId="0" xfId="0" applyNumberFormat="1" applyFont="1" applyFill="1"/>
    <xf numFmtId="166" fontId="0" fillId="8" borderId="18" xfId="0" applyNumberFormat="1" applyFont="1" applyFill="1" applyBorder="1" applyAlignment="1">
      <alignment horizontal="center"/>
    </xf>
    <xf numFmtId="0" fontId="0" fillId="8" borderId="18" xfId="0" applyFont="1" applyFill="1" applyBorder="1" applyAlignment="1">
      <alignment horizontal="center"/>
    </xf>
    <xf numFmtId="173" fontId="0" fillId="8" borderId="18" xfId="0" applyNumberFormat="1" applyFont="1" applyFill="1" applyBorder="1" applyAlignment="1">
      <alignment horizontal="center"/>
    </xf>
    <xf numFmtId="0" fontId="0" fillId="8" borderId="18" xfId="0" applyFont="1" applyFill="1" applyBorder="1"/>
    <xf numFmtId="166" fontId="2" fillId="8" borderId="18" xfId="0" applyNumberFormat="1" applyFont="1" applyFill="1" applyBorder="1" applyAlignment="1">
      <alignment horizontal="center"/>
    </xf>
    <xf numFmtId="166" fontId="140" fillId="8" borderId="18" xfId="0" applyNumberFormat="1" applyFont="1" applyFill="1" applyBorder="1" applyAlignment="1">
      <alignment horizontal="center"/>
    </xf>
    <xf numFmtId="0" fontId="61" fillId="0" borderId="0" xfId="0" applyFont="1" applyAlignment="1">
      <alignment horizontal="center" vertical="center" wrapText="1"/>
    </xf>
    <xf numFmtId="0" fontId="141" fillId="0" borderId="0" xfId="0" applyFont="1"/>
    <xf numFmtId="0" fontId="142" fillId="0" borderId="0" xfId="0" applyFont="1"/>
    <xf numFmtId="0" fontId="44" fillId="0" borderId="0" xfId="0" applyFont="1"/>
    <xf numFmtId="0" fontId="143" fillId="0" borderId="0" xfId="3" applyFont="1" applyAlignment="1">
      <alignment horizontal="center"/>
    </xf>
    <xf numFmtId="0" fontId="143" fillId="0" borderId="0" xfId="3" applyFont="1"/>
    <xf numFmtId="0" fontId="1" fillId="0" borderId="0" xfId="0" applyFont="1"/>
    <xf numFmtId="0" fontId="10" fillId="0" borderId="0" xfId="3" applyAlignment="1"/>
    <xf numFmtId="0" fontId="143" fillId="0" borderId="0" xfId="3" applyFont="1" applyAlignment="1">
      <alignment horizontal="left" vertical="center"/>
    </xf>
    <xf numFmtId="0" fontId="143" fillId="0" borderId="0" xfId="3" applyFont="1" applyAlignment="1"/>
    <xf numFmtId="0" fontId="2" fillId="58" borderId="0" xfId="0" applyFont="1" applyFill="1"/>
    <xf numFmtId="0" fontId="1" fillId="58" borderId="0" xfId="0" applyFont="1" applyFill="1"/>
    <xf numFmtId="0" fontId="2" fillId="4" borderId="0" xfId="0" applyFont="1" applyFill="1"/>
    <xf numFmtId="0" fontId="1" fillId="4" borderId="0" xfId="0" applyFont="1" applyFill="1"/>
    <xf numFmtId="0" fontId="2" fillId="7" borderId="0" xfId="0" applyFont="1" applyFill="1"/>
    <xf numFmtId="0" fontId="2" fillId="3" borderId="0" xfId="0" applyFont="1" applyFill="1"/>
    <xf numFmtId="0" fontId="1" fillId="3" borderId="0" xfId="0" applyFont="1" applyFill="1"/>
    <xf numFmtId="172" fontId="7" fillId="0" borderId="14" xfId="17" applyBorder="1"/>
    <xf numFmtId="172" fontId="144" fillId="0" borderId="0" xfId="17" applyFont="1" applyAlignment="1">
      <alignment horizontal="center"/>
    </xf>
    <xf numFmtId="172" fontId="7" fillId="0" borderId="0" xfId="17"/>
    <xf numFmtId="172" fontId="7" fillId="0" borderId="0" xfId="17" applyAlignment="1">
      <alignment horizontal="center"/>
    </xf>
    <xf numFmtId="172" fontId="7" fillId="0" borderId="0" xfId="17" applyAlignment="1">
      <alignment horizontal="center" vertical="center" wrapText="1"/>
    </xf>
    <xf numFmtId="0" fontId="11" fillId="0" borderId="18" xfId="0" applyFont="1" applyBorder="1" applyAlignment="1">
      <alignment horizontal="center"/>
    </xf>
    <xf numFmtId="0" fontId="7" fillId="0" borderId="0" xfId="17" applyNumberFormat="1" applyAlignment="1">
      <alignment horizontal="left" indent="1"/>
    </xf>
    <xf numFmtId="171" fontId="147" fillId="0" borderId="0" xfId="17" applyNumberFormat="1" applyFont="1"/>
    <xf numFmtId="190" fontId="147" fillId="0" borderId="0" xfId="17" applyNumberFormat="1" applyFont="1"/>
    <xf numFmtId="172" fontId="7" fillId="0" borderId="0" xfId="17" applyAlignment="1">
      <alignment horizontal="left" indent="1"/>
    </xf>
    <xf numFmtId="171" fontId="148" fillId="0" borderId="0" xfId="18" applyNumberFormat="1" applyFont="1"/>
    <xf numFmtId="190" fontId="148" fillId="0" borderId="0" xfId="18" applyNumberFormat="1" applyFont="1"/>
    <xf numFmtId="171" fontId="7" fillId="0" borderId="0" xfId="17" applyNumberFormat="1"/>
    <xf numFmtId="171" fontId="146" fillId="0" borderId="0" xfId="18" quotePrefix="1" applyNumberFormat="1" applyFont="1"/>
    <xf numFmtId="171" fontId="7" fillId="0" borderId="0" xfId="18" applyNumberFormat="1"/>
    <xf numFmtId="190" fontId="146" fillId="0" borderId="0" xfId="18" quotePrefix="1" applyNumberFormat="1" applyFont="1" applyAlignment="1">
      <alignment horizontal="center"/>
    </xf>
    <xf numFmtId="190" fontId="7" fillId="0" borderId="0" xfId="18" applyNumberFormat="1"/>
    <xf numFmtId="172" fontId="7" fillId="0" borderId="15" xfId="17" applyBorder="1"/>
    <xf numFmtId="190" fontId="7" fillId="0" borderId="15" xfId="18" applyNumberFormat="1" applyBorder="1"/>
    <xf numFmtId="172" fontId="7" fillId="0" borderId="0" xfId="18" applyNumberFormat="1" applyAlignment="1">
      <alignment horizontal="center"/>
    </xf>
    <xf numFmtId="0" fontId="7" fillId="0" borderId="0" xfId="17" applyNumberFormat="1"/>
    <xf numFmtId="0" fontId="25" fillId="0" borderId="0" xfId="17" applyNumberFormat="1" applyFont="1" applyAlignment="1">
      <alignment horizontal="left" wrapText="1"/>
    </xf>
    <xf numFmtId="166" fontId="7" fillId="0" borderId="0" xfId="17" applyNumberFormat="1"/>
    <xf numFmtId="0" fontId="143" fillId="2" borderId="0" xfId="3" applyFont="1" applyFill="1" applyAlignment="1">
      <alignment horizontal="center"/>
    </xf>
    <xf numFmtId="0" fontId="143" fillId="2" borderId="0" xfId="3" applyFont="1" applyFill="1" applyAlignment="1">
      <alignment horizontal="left"/>
    </xf>
    <xf numFmtId="173" fontId="151" fillId="0" borderId="0" xfId="0" applyNumberFormat="1" applyFont="1" applyAlignment="1">
      <alignment horizontal="center"/>
    </xf>
    <xf numFmtId="1" fontId="11" fillId="0" borderId="0" xfId="0" applyNumberFormat="1" applyFont="1" applyAlignment="1">
      <alignment horizontal="center"/>
    </xf>
    <xf numFmtId="166" fontId="11" fillId="0" borderId="0" xfId="0" applyNumberFormat="1" applyFont="1" applyAlignment="1">
      <alignment horizontal="left"/>
    </xf>
    <xf numFmtId="166" fontId="27" fillId="0" borderId="0" xfId="0" applyNumberFormat="1" applyFont="1" applyFill="1" applyBorder="1" applyAlignment="1">
      <alignment horizontal="center"/>
    </xf>
    <xf numFmtId="9" fontId="2" fillId="0" borderId="18" xfId="1" applyFont="1" applyBorder="1" applyAlignment="1">
      <alignment horizontal="center"/>
    </xf>
    <xf numFmtId="0" fontId="8" fillId="0" borderId="0" xfId="2" applyFont="1" applyAlignment="1">
      <alignment vertical="center"/>
    </xf>
    <xf numFmtId="0" fontId="22" fillId="0" borderId="18" xfId="3" applyFont="1" applyBorder="1" applyAlignment="1">
      <alignment horizontal="center"/>
    </xf>
    <xf numFmtId="0" fontId="23" fillId="0" borderId="0" xfId="2" applyFont="1" applyAlignment="1">
      <alignment horizontal="center"/>
    </xf>
    <xf numFmtId="0" fontId="24" fillId="0" borderId="18" xfId="15" applyFont="1" applyBorder="1" applyAlignment="1">
      <alignment horizontal="center"/>
    </xf>
    <xf numFmtId="0" fontId="23" fillId="0" borderId="18" xfId="2" applyFont="1" applyBorder="1" applyAlignment="1">
      <alignment horizontal="center"/>
    </xf>
    <xf numFmtId="0" fontId="25" fillId="0" borderId="0" xfId="2" applyFont="1" applyAlignment="1">
      <alignment horizontal="center"/>
    </xf>
    <xf numFmtId="166" fontId="26" fillId="0" borderId="0" xfId="1" applyNumberFormat="1" applyFont="1"/>
    <xf numFmtId="3" fontId="26" fillId="0" borderId="0" xfId="0" applyNumberFormat="1" applyFont="1"/>
    <xf numFmtId="166" fontId="27" fillId="0" borderId="0" xfId="0" applyNumberFormat="1" applyFont="1"/>
    <xf numFmtId="0" fontId="27" fillId="0" borderId="18" xfId="0" applyFont="1" applyBorder="1"/>
    <xf numFmtId="166" fontId="27" fillId="0" borderId="18" xfId="0" applyNumberFormat="1" applyFont="1" applyBorder="1"/>
    <xf numFmtId="167" fontId="0" fillId="0" borderId="18" xfId="0" applyNumberFormat="1" applyBorder="1"/>
    <xf numFmtId="167" fontId="0" fillId="0" borderId="0" xfId="0" applyNumberFormat="1"/>
    <xf numFmtId="0" fontId="27" fillId="0" borderId="0" xfId="0" applyFont="1" applyAlignment="1">
      <alignment horizontal="center"/>
    </xf>
    <xf numFmtId="167" fontId="27" fillId="0" borderId="0" xfId="0" applyNumberFormat="1" applyFont="1"/>
    <xf numFmtId="0" fontId="27" fillId="0" borderId="0" xfId="0" quotePrefix="1" applyFont="1" applyAlignment="1">
      <alignment horizontal="center"/>
    </xf>
    <xf numFmtId="0" fontId="22" fillId="0" borderId="18" xfId="3" applyFont="1" applyFill="1" applyBorder="1" applyAlignment="1">
      <alignment horizontal="center"/>
    </xf>
    <xf numFmtId="0" fontId="2" fillId="0" borderId="0" xfId="0" applyFont="1" applyAlignment="1">
      <alignment horizontal="center"/>
    </xf>
    <xf numFmtId="0" fontId="30" fillId="0" borderId="0" xfId="0" applyFont="1" applyBorder="1" applyAlignment="1">
      <alignment horizontal="center" wrapText="1"/>
    </xf>
    <xf numFmtId="0" fontId="12" fillId="0" borderId="2" xfId="0" applyFont="1" applyBorder="1" applyAlignment="1">
      <alignment horizontal="center"/>
    </xf>
    <xf numFmtId="0" fontId="30" fillId="0" borderId="2" xfId="0" applyFont="1" applyBorder="1" applyAlignment="1">
      <alignment horizontal="center" wrapText="1"/>
    </xf>
    <xf numFmtId="0" fontId="30" fillId="0" borderId="3" xfId="0" applyFont="1" applyBorder="1" applyAlignment="1">
      <alignment horizontal="center" wrapText="1"/>
    </xf>
    <xf numFmtId="0" fontId="12" fillId="0" borderId="0" xfId="0" applyFont="1" applyBorder="1" applyAlignment="1">
      <alignment horizontal="center"/>
    </xf>
    <xf numFmtId="0" fontId="2" fillId="0" borderId="0" xfId="0" applyFont="1" applyBorder="1" applyAlignment="1">
      <alignment horizontal="center"/>
    </xf>
    <xf numFmtId="0" fontId="2" fillId="0" borderId="18" xfId="0" applyFont="1" applyBorder="1" applyAlignment="1">
      <alignment horizontal="center"/>
    </xf>
    <xf numFmtId="0" fontId="0" fillId="0" borderId="0" xfId="0"/>
    <xf numFmtId="0" fontId="152" fillId="0" borderId="0" xfId="0" applyFont="1" applyAlignment="1">
      <alignment horizontal="center"/>
    </xf>
    <xf numFmtId="173" fontId="152" fillId="0" borderId="0" xfId="0" applyNumberFormat="1" applyFont="1" applyAlignment="1">
      <alignment horizontal="center"/>
    </xf>
    <xf numFmtId="0" fontId="152" fillId="0" borderId="0" xfId="0" applyFont="1"/>
    <xf numFmtId="0" fontId="0" fillId="0" borderId="0" xfId="0"/>
    <xf numFmtId="0" fontId="11" fillId="0" borderId="0" xfId="0" applyFont="1" applyFill="1" applyBorder="1"/>
    <xf numFmtId="0" fontId="47" fillId="0" borderId="0" xfId="310"/>
    <xf numFmtId="0" fontId="155" fillId="0" borderId="0" xfId="310" applyFont="1"/>
    <xf numFmtId="0" fontId="153" fillId="59" borderId="70" xfId="310" applyFont="1" applyFill="1" applyBorder="1" applyAlignment="1">
      <alignment horizontal="center"/>
    </xf>
    <xf numFmtId="0" fontId="155" fillId="0" borderId="0" xfId="310" applyFont="1" applyFill="1" applyBorder="1" applyAlignment="1">
      <alignment horizontal="center"/>
    </xf>
    <xf numFmtId="0" fontId="13" fillId="0" borderId="0" xfId="0" applyFont="1" applyFill="1"/>
    <xf numFmtId="0" fontId="158" fillId="0" borderId="71" xfId="0" applyFont="1" applyFill="1" applyBorder="1" applyAlignment="1">
      <alignment horizontal="right" vertical="center"/>
    </xf>
    <xf numFmtId="4" fontId="158" fillId="0" borderId="71" xfId="0" applyNumberFormat="1" applyFont="1" applyFill="1" applyBorder="1" applyAlignment="1">
      <alignment horizontal="right" vertical="center"/>
    </xf>
    <xf numFmtId="166" fontId="2" fillId="0" borderId="0" xfId="0" applyNumberFormat="1" applyFont="1" applyAlignment="1">
      <alignment horizontal="center"/>
    </xf>
    <xf numFmtId="165" fontId="0" fillId="6" borderId="0" xfId="1" applyNumberFormat="1" applyFont="1" applyFill="1" applyAlignment="1">
      <alignment horizontal="center"/>
    </xf>
    <xf numFmtId="2" fontId="0" fillId="0" borderId="0" xfId="0" applyNumberFormat="1" applyFill="1" applyBorder="1"/>
    <xf numFmtId="0" fontId="130" fillId="8" borderId="0" xfId="0" applyFont="1" applyFill="1" applyAlignment="1">
      <alignment horizontal="center"/>
    </xf>
    <xf numFmtId="0" fontId="131" fillId="8" borderId="0" xfId="0" applyFont="1" applyFill="1" applyAlignment="1">
      <alignment horizontal="center"/>
    </xf>
    <xf numFmtId="0" fontId="0" fillId="0" borderId="0" xfId="0" applyAlignment="1">
      <alignment wrapText="1"/>
    </xf>
    <xf numFmtId="0" fontId="12" fillId="0" borderId="2" xfId="0" applyFont="1" applyBorder="1" applyAlignment="1">
      <alignment horizontal="center"/>
    </xf>
    <xf numFmtId="0" fontId="30" fillId="0" borderId="2" xfId="0" applyFont="1" applyBorder="1" applyAlignment="1">
      <alignment horizontal="center" wrapText="1"/>
    </xf>
    <xf numFmtId="0" fontId="30" fillId="0" borderId="3" xfId="0" applyFont="1" applyBorder="1" applyAlignment="1">
      <alignment horizontal="center" wrapText="1"/>
    </xf>
    <xf numFmtId="0" fontId="0" fillId="0" borderId="0" xfId="0"/>
    <xf numFmtId="0" fontId="0" fillId="0" borderId="0" xfId="0"/>
    <xf numFmtId="0" fontId="10" fillId="0" borderId="0" xfId="3"/>
    <xf numFmtId="0" fontId="10" fillId="0" borderId="0" xfId="3" applyAlignment="1">
      <alignment horizontal="left"/>
    </xf>
    <xf numFmtId="173" fontId="0" fillId="5" borderId="0" xfId="0" applyNumberFormat="1" applyFill="1" applyAlignment="1">
      <alignment horizontal="center"/>
    </xf>
    <xf numFmtId="0" fontId="160" fillId="0" borderId="0" xfId="734" applyFont="1"/>
    <xf numFmtId="172" fontId="7" fillId="0" borderId="0" xfId="20"/>
    <xf numFmtId="0" fontId="160" fillId="0" borderId="0" xfId="734" applyFont="1" applyAlignment="1">
      <alignment horizontal="left"/>
    </xf>
    <xf numFmtId="0" fontId="161" fillId="0" borderId="0" xfId="3" applyFont="1" applyAlignment="1" applyProtection="1"/>
    <xf numFmtId="0" fontId="160" fillId="0" borderId="0" xfId="734" applyFont="1" applyAlignment="1">
      <alignment wrapText="1"/>
    </xf>
    <xf numFmtId="0" fontId="161" fillId="0" borderId="0" xfId="3" applyFont="1" applyAlignment="1" applyProtection="1">
      <alignment wrapText="1"/>
    </xf>
    <xf numFmtId="0" fontId="0" fillId="0" borderId="72" xfId="0" applyBorder="1"/>
    <xf numFmtId="0" fontId="162" fillId="0" borderId="0" xfId="0" applyFont="1"/>
    <xf numFmtId="0" fontId="163" fillId="0" borderId="0" xfId="0" applyFont="1"/>
    <xf numFmtId="0" fontId="143" fillId="0" borderId="0" xfId="3" applyFont="1" applyFill="1" applyAlignment="1">
      <alignment horizontal="center"/>
    </xf>
    <xf numFmtId="173" fontId="0" fillId="0" borderId="18" xfId="0" applyNumberFormat="1" applyBorder="1" applyAlignment="1">
      <alignment horizontal="center"/>
    </xf>
    <xf numFmtId="173" fontId="27" fillId="0" borderId="18" xfId="0" applyNumberFormat="1" applyFont="1" applyBorder="1" applyAlignment="1">
      <alignment horizontal="center"/>
    </xf>
    <xf numFmtId="0" fontId="45" fillId="0" borderId="18" xfId="0" applyFont="1" applyBorder="1" applyAlignment="1">
      <alignment horizontal="center"/>
    </xf>
    <xf numFmtId="173" fontId="11" fillId="0" borderId="18" xfId="0" applyNumberFormat="1" applyFont="1" applyBorder="1" applyAlignment="1">
      <alignment horizontal="center"/>
    </xf>
    <xf numFmtId="2" fontId="27" fillId="0" borderId="18" xfId="0" applyNumberFormat="1" applyFont="1" applyBorder="1" applyAlignment="1">
      <alignment horizontal="center"/>
    </xf>
    <xf numFmtId="173" fontId="32" fillId="0" borderId="18" xfId="0" applyNumberFormat="1" applyFont="1" applyBorder="1" applyAlignment="1">
      <alignment horizontal="center"/>
    </xf>
    <xf numFmtId="166" fontId="32" fillId="0" borderId="18" xfId="0" applyNumberFormat="1" applyFont="1" applyBorder="1" applyAlignment="1">
      <alignment horizontal="center"/>
    </xf>
    <xf numFmtId="165" fontId="0" fillId="0" borderId="0" xfId="1" applyNumberFormat="1" applyFont="1" applyFill="1" applyAlignment="1">
      <alignment horizontal="center"/>
    </xf>
    <xf numFmtId="0" fontId="43" fillId="0" borderId="0" xfId="0" applyFont="1" applyAlignment="1">
      <alignment horizontal="left" vertical="center" wrapText="1"/>
    </xf>
    <xf numFmtId="0" fontId="2" fillId="0" borderId="15" xfId="0" applyFont="1" applyBorder="1" applyAlignment="1">
      <alignment horizontal="center" wrapText="1"/>
    </xf>
    <xf numFmtId="0" fontId="2" fillId="0" borderId="18" xfId="0" applyFont="1" applyBorder="1" applyAlignment="1">
      <alignment horizontal="center" wrapText="1"/>
    </xf>
    <xf numFmtId="0" fontId="2" fillId="0" borderId="16" xfId="0" applyFont="1" applyBorder="1" applyAlignment="1">
      <alignment horizontal="center"/>
    </xf>
    <xf numFmtId="166" fontId="0" fillId="0" borderId="0" xfId="0" applyNumberFormat="1" applyFill="1" applyAlignment="1">
      <alignment horizontal="center"/>
    </xf>
    <xf numFmtId="166" fontId="13" fillId="0" borderId="0" xfId="0" applyNumberFormat="1" applyFont="1" applyAlignment="1">
      <alignment horizontal="center"/>
    </xf>
    <xf numFmtId="0" fontId="2" fillId="0" borderId="0" xfId="0" applyFont="1" applyAlignment="1">
      <alignment horizontal="center"/>
    </xf>
    <xf numFmtId="166" fontId="33" fillId="0" borderId="0" xfId="0" applyNumberFormat="1" applyFont="1" applyAlignment="1">
      <alignment horizontal="center"/>
    </xf>
    <xf numFmtId="2" fontId="33" fillId="0" borderId="0" xfId="0" applyNumberFormat="1" applyFont="1" applyAlignment="1">
      <alignment horizontal="center"/>
    </xf>
    <xf numFmtId="0" fontId="9" fillId="0" borderId="0" xfId="0" applyFont="1" applyAlignment="1">
      <alignment horizontal="center" vertical="center" wrapText="1"/>
    </xf>
    <xf numFmtId="0" fontId="30" fillId="0" borderId="0" xfId="0" applyFont="1" applyBorder="1" applyAlignment="1">
      <alignment horizontal="center" wrapText="1"/>
    </xf>
    <xf numFmtId="0" fontId="12" fillId="0" borderId="2" xfId="0" applyFont="1" applyBorder="1" applyAlignment="1">
      <alignment horizontal="center" wrapText="1"/>
    </xf>
    <xf numFmtId="0" fontId="12" fillId="0" borderId="3" xfId="0" applyFont="1" applyBorder="1" applyAlignment="1">
      <alignment horizontal="center" wrapText="1"/>
    </xf>
    <xf numFmtId="0" fontId="12" fillId="0" borderId="2" xfId="0" applyFont="1" applyBorder="1" applyAlignment="1">
      <alignment horizontal="center"/>
    </xf>
    <xf numFmtId="0" fontId="31" fillId="0" borderId="2" xfId="0" applyFont="1" applyBorder="1" applyAlignment="1">
      <alignment horizontal="center"/>
    </xf>
    <xf numFmtId="0" fontId="30" fillId="0" borderId="2" xfId="0" applyFont="1" applyBorder="1" applyAlignment="1">
      <alignment horizontal="center" wrapText="1"/>
    </xf>
    <xf numFmtId="0" fontId="30" fillId="0" borderId="3" xfId="0" applyFont="1" applyBorder="1" applyAlignment="1">
      <alignment horizontal="center" wrapText="1"/>
    </xf>
    <xf numFmtId="0" fontId="12" fillId="0" borderId="0" xfId="0" applyFont="1" applyBorder="1" applyAlignment="1">
      <alignment horizontal="center"/>
    </xf>
    <xf numFmtId="0" fontId="30" fillId="0" borderId="2" xfId="0" applyFont="1" applyBorder="1" applyAlignment="1">
      <alignment horizontal="center"/>
    </xf>
    <xf numFmtId="0" fontId="60" fillId="0" borderId="16" xfId="0" applyFont="1" applyBorder="1" applyAlignment="1">
      <alignment horizontal="center" wrapText="1"/>
    </xf>
    <xf numFmtId="0" fontId="7" fillId="0" borderId="0" xfId="310" applyFont="1" applyAlignment="1">
      <alignment horizontal="left" vertical="top" wrapText="1"/>
    </xf>
    <xf numFmtId="0" fontId="2" fillId="0" borderId="16" xfId="0" applyFont="1" applyBorder="1" applyAlignment="1">
      <alignment horizontal="center" wrapText="1"/>
    </xf>
    <xf numFmtId="0" fontId="2" fillId="0" borderId="69" xfId="0" applyFont="1" applyBorder="1" applyAlignment="1">
      <alignment horizontal="center"/>
    </xf>
    <xf numFmtId="0" fontId="2" fillId="0" borderId="0" xfId="0" applyFont="1" applyBorder="1" applyAlignment="1">
      <alignment horizontal="center"/>
    </xf>
    <xf numFmtId="0" fontId="12" fillId="0" borderId="15" xfId="0" applyFont="1" applyBorder="1" applyAlignment="1">
      <alignment horizontal="center" wrapText="1"/>
    </xf>
    <xf numFmtId="0" fontId="12" fillId="0" borderId="15" xfId="0" applyFont="1" applyFill="1" applyBorder="1" applyAlignment="1">
      <alignment horizontal="center" wrapText="1"/>
    </xf>
    <xf numFmtId="0" fontId="12" fillId="0" borderId="18" xfId="0" applyFont="1" applyFill="1" applyBorder="1" applyAlignment="1">
      <alignment horizontal="center" wrapText="1"/>
    </xf>
    <xf numFmtId="0" fontId="31" fillId="8" borderId="0" xfId="0" applyFont="1" applyFill="1" applyAlignment="1">
      <alignment horizontal="center"/>
    </xf>
    <xf numFmtId="0" fontId="12" fillId="8" borderId="0" xfId="0" applyFont="1" applyFill="1" applyBorder="1" applyAlignment="1">
      <alignment horizontal="center"/>
    </xf>
    <xf numFmtId="0" fontId="12" fillId="0" borderId="18" xfId="0" applyFont="1" applyBorder="1" applyAlignment="1">
      <alignment horizontal="center"/>
    </xf>
    <xf numFmtId="0" fontId="2" fillId="0" borderId="18" xfId="0" applyFont="1" applyBorder="1" applyAlignment="1">
      <alignment horizontal="center"/>
    </xf>
    <xf numFmtId="0" fontId="2" fillId="0" borderId="59" xfId="0" applyFont="1" applyBorder="1" applyAlignment="1">
      <alignment horizontal="center"/>
    </xf>
    <xf numFmtId="0" fontId="12" fillId="0" borderId="18" xfId="0" applyFont="1" applyBorder="1" applyAlignment="1">
      <alignment horizontal="center" wrapText="1"/>
    </xf>
    <xf numFmtId="43" fontId="12" fillId="0" borderId="16" xfId="16" quotePrefix="1" applyFont="1" applyBorder="1" applyAlignment="1">
      <alignment horizontal="center"/>
    </xf>
    <xf numFmtId="0" fontId="12" fillId="0" borderId="16" xfId="0" applyFont="1" applyBorder="1" applyAlignment="1">
      <alignment horizontal="center"/>
    </xf>
    <xf numFmtId="0" fontId="12" fillId="0" borderId="2" xfId="0" quotePrefix="1" applyFont="1" applyBorder="1" applyAlignment="1">
      <alignment horizontal="center"/>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0" fontId="12" fillId="0" borderId="15" xfId="0" applyFont="1" applyBorder="1" applyAlignment="1">
      <alignment horizontal="center"/>
    </xf>
    <xf numFmtId="0" fontId="0" fillId="0" borderId="16" xfId="0" applyBorder="1" applyAlignment="1">
      <alignment horizontal="center" wrapText="1"/>
    </xf>
    <xf numFmtId="0" fontId="132" fillId="8" borderId="16" xfId="0" applyFont="1" applyFill="1" applyBorder="1" applyAlignment="1">
      <alignment horizontal="center"/>
    </xf>
    <xf numFmtId="0" fontId="130" fillId="0" borderId="0" xfId="0" applyFont="1" applyAlignment="1">
      <alignment horizontal="center"/>
    </xf>
    <xf numFmtId="0" fontId="131" fillId="0" borderId="0" xfId="0" applyFont="1" applyAlignment="1">
      <alignment horizontal="center"/>
    </xf>
    <xf numFmtId="0" fontId="133" fillId="0" borderId="53" xfId="0" applyFont="1" applyBorder="1" applyAlignment="1">
      <alignment horizontal="center"/>
    </xf>
    <xf numFmtId="0" fontId="133" fillId="0" borderId="54" xfId="0" applyFont="1" applyBorder="1" applyAlignment="1">
      <alignment horizontal="center"/>
    </xf>
    <xf numFmtId="0" fontId="132" fillId="8" borderId="69" xfId="0" applyFont="1" applyFill="1" applyBorder="1" applyAlignment="1">
      <alignment horizontal="center"/>
    </xf>
    <xf numFmtId="0" fontId="30" fillId="0" borderId="15" xfId="0" applyFont="1" applyBorder="1" applyAlignment="1">
      <alignment horizontal="center"/>
    </xf>
    <xf numFmtId="0" fontId="12" fillId="5" borderId="2" xfId="0" applyFont="1" applyFill="1" applyBorder="1" applyAlignment="1">
      <alignment horizontal="center"/>
    </xf>
    <xf numFmtId="0" fontId="160" fillId="0" borderId="0" xfId="734" applyFont="1" applyAlignment="1">
      <alignment horizontal="left" wrapText="1"/>
    </xf>
    <xf numFmtId="0" fontId="161" fillId="0" borderId="0" xfId="3" applyFont="1" applyAlignment="1" applyProtection="1">
      <alignment horizontal="left" wrapText="1"/>
    </xf>
    <xf numFmtId="0" fontId="160" fillId="0" borderId="0" xfId="734" applyFont="1" applyAlignment="1">
      <alignment wrapText="1"/>
    </xf>
    <xf numFmtId="0" fontId="160" fillId="0" borderId="0" xfId="0" applyFont="1" applyAlignment="1">
      <alignment wrapText="1"/>
    </xf>
    <xf numFmtId="0" fontId="3" fillId="0" borderId="0" xfId="0" applyFont="1" applyAlignment="1">
      <alignment horizontal="left" vertical="center" wrapText="1"/>
    </xf>
    <xf numFmtId="0" fontId="3" fillId="0" borderId="0" xfId="0" applyFont="1"/>
    <xf numFmtId="0" fontId="5" fillId="0" borderId="0" xfId="0" applyFont="1"/>
    <xf numFmtId="164" fontId="3" fillId="0" borderId="0" xfId="0" applyNumberFormat="1" applyFont="1" applyAlignment="1">
      <alignment horizontal="right" vertical="top" wrapText="1"/>
    </xf>
    <xf numFmtId="0" fontId="6" fillId="0" borderId="0" xfId="0" applyFont="1" applyAlignment="1">
      <alignment horizontal="center" vertical="center" wrapText="1"/>
    </xf>
    <xf numFmtId="180" fontId="3" fillId="0" borderId="0" xfId="0" applyNumberFormat="1" applyFont="1" applyAlignment="1">
      <alignment horizontal="right" vertical="top" wrapText="1"/>
    </xf>
    <xf numFmtId="0" fontId="0" fillId="0" borderId="0" xfId="0"/>
    <xf numFmtId="174" fontId="3" fillId="0" borderId="0" xfId="0" applyNumberFormat="1" applyFont="1" applyAlignment="1">
      <alignment horizontal="right" vertical="top" wrapText="1"/>
    </xf>
    <xf numFmtId="0" fontId="5" fillId="0" borderId="0" xfId="0" applyFont="1" applyFill="1"/>
    <xf numFmtId="0" fontId="10" fillId="0" borderId="0" xfId="3"/>
    <xf numFmtId="0" fontId="6" fillId="0" borderId="0" xfId="0" applyFont="1" applyFill="1" applyAlignment="1">
      <alignment horizontal="center" vertical="center" wrapText="1"/>
    </xf>
    <xf numFmtId="175" fontId="3" fillId="0" borderId="0" xfId="0" applyNumberFormat="1" applyFont="1" applyAlignment="1">
      <alignment horizontal="right" vertical="top" wrapText="1"/>
    </xf>
    <xf numFmtId="0" fontId="2" fillId="0" borderId="15" xfId="0" applyFont="1" applyBorder="1" applyAlignment="1">
      <alignment horizontal="center"/>
    </xf>
    <xf numFmtId="0" fontId="21" fillId="0" borderId="0" xfId="17" applyNumberFormat="1" applyFont="1" applyAlignment="1">
      <alignment horizontal="left" wrapText="1"/>
    </xf>
    <xf numFmtId="171" fontId="146" fillId="0" borderId="0" xfId="17" quotePrefix="1" applyNumberFormat="1" applyFont="1" applyAlignment="1">
      <alignment horizontal="center"/>
    </xf>
    <xf numFmtId="171" fontId="7" fillId="0" borderId="0" xfId="17" applyNumberFormat="1"/>
    <xf numFmtId="171" fontId="146" fillId="0" borderId="0" xfId="18" quotePrefix="1" applyNumberFormat="1" applyFont="1" applyAlignment="1">
      <alignment horizontal="center"/>
    </xf>
    <xf numFmtId="172" fontId="7" fillId="0" borderId="15" xfId="18" applyNumberFormat="1" applyBorder="1" applyAlignment="1">
      <alignment horizontal="right"/>
    </xf>
    <xf numFmtId="0" fontId="21" fillId="0" borderId="0" xfId="17" applyNumberFormat="1" applyFont="1" applyAlignment="1">
      <alignment vertical="center" wrapText="1"/>
    </xf>
    <xf numFmtId="172" fontId="21" fillId="0" borderId="0" xfId="17" applyFont="1" applyAlignment="1">
      <alignment vertical="center" wrapText="1"/>
    </xf>
    <xf numFmtId="166" fontId="146" fillId="0" borderId="0" xfId="17" quotePrefix="1" applyNumberFormat="1" applyFont="1" applyAlignment="1">
      <alignment horizontal="center"/>
    </xf>
    <xf numFmtId="166" fontId="7" fillId="0" borderId="0" xfId="17" applyNumberFormat="1"/>
    <xf numFmtId="172" fontId="144" fillId="0" borderId="0" xfId="17" applyFont="1" applyAlignment="1">
      <alignment horizontal="center"/>
    </xf>
    <xf numFmtId="172" fontId="7" fillId="0" borderId="0" xfId="17" applyAlignment="1">
      <alignment horizontal="center"/>
    </xf>
    <xf numFmtId="172" fontId="7" fillId="0" borderId="60" xfId="17" applyBorder="1" applyAlignment="1">
      <alignment horizontal="center" vertical="center" wrapText="1"/>
    </xf>
    <xf numFmtId="172" fontId="7" fillId="0" borderId="63" xfId="17" applyBorder="1" applyAlignment="1">
      <alignment horizontal="center" vertical="center" wrapText="1"/>
    </xf>
    <xf numFmtId="172" fontId="7" fillId="0" borderId="66" xfId="17" applyBorder="1" applyAlignment="1">
      <alignment horizontal="center" vertical="center" wrapText="1"/>
    </xf>
    <xf numFmtId="172" fontId="7" fillId="0" borderId="58" xfId="17" applyBorder="1" applyAlignment="1">
      <alignment horizontal="center" vertical="center" wrapText="1"/>
    </xf>
    <xf numFmtId="172" fontId="7" fillId="0" borderId="55" xfId="17" applyBorder="1" applyAlignment="1">
      <alignment horizontal="center" vertical="center" wrapText="1"/>
    </xf>
    <xf numFmtId="172" fontId="7" fillId="0" borderId="57" xfId="17" applyBorder="1" applyAlignment="1">
      <alignment horizontal="center" vertical="center" wrapText="1"/>
    </xf>
    <xf numFmtId="172" fontId="7" fillId="0" borderId="61" xfId="17" applyBorder="1" applyAlignment="1">
      <alignment horizontal="center" vertical="center" wrapText="1"/>
    </xf>
    <xf numFmtId="172" fontId="7" fillId="0" borderId="64" xfId="17" applyBorder="1" applyAlignment="1">
      <alignment horizontal="center" vertical="center" wrapText="1"/>
    </xf>
    <xf numFmtId="172" fontId="7" fillId="0" borderId="67" xfId="17" applyBorder="1" applyAlignment="1">
      <alignment horizontal="center" vertical="center" wrapText="1"/>
    </xf>
    <xf numFmtId="172" fontId="7" fillId="0" borderId="62" xfId="17" applyBorder="1" applyAlignment="1">
      <alignment horizontal="center" vertical="center" wrapText="1"/>
    </xf>
    <xf numFmtId="172" fontId="7" fillId="0" borderId="65" xfId="17" applyBorder="1" applyAlignment="1">
      <alignment horizontal="center" vertical="center" wrapText="1"/>
    </xf>
    <xf numFmtId="172" fontId="7" fillId="0" borderId="68" xfId="17" applyBorder="1" applyAlignment="1">
      <alignment horizontal="center" vertical="center" wrapText="1"/>
    </xf>
    <xf numFmtId="0" fontId="2" fillId="7" borderId="0" xfId="0" applyFont="1" applyFill="1" applyAlignment="1">
      <alignment horizontal="center"/>
    </xf>
    <xf numFmtId="0" fontId="16" fillId="0" borderId="4" xfId="5" applyFont="1" applyBorder="1" applyAlignment="1">
      <alignment horizontal="center" vertical="center"/>
    </xf>
    <xf numFmtId="0" fontId="16" fillId="0" borderId="5" xfId="5" applyFont="1" applyBorder="1" applyAlignment="1">
      <alignment horizontal="center" vertical="center"/>
    </xf>
    <xf numFmtId="0" fontId="16" fillId="0" borderId="6" xfId="5" applyFont="1" applyBorder="1" applyAlignment="1">
      <alignment horizontal="center" vertical="center"/>
    </xf>
    <xf numFmtId="3" fontId="20" fillId="0" borderId="38" xfId="8" applyNumberFormat="1" applyFont="1" applyBorder="1" applyAlignment="1">
      <alignment horizontal="center" vertical="center"/>
    </xf>
    <xf numFmtId="3" fontId="20" fillId="0" borderId="16" xfId="8" applyNumberFormat="1" applyFont="1" applyBorder="1" applyAlignment="1">
      <alignment horizontal="center" vertical="center"/>
    </xf>
    <xf numFmtId="3" fontId="20" fillId="0" borderId="35" xfId="8" applyNumberFormat="1" applyFont="1" applyBorder="1" applyAlignment="1">
      <alignment horizontal="center" vertical="center"/>
    </xf>
    <xf numFmtId="0" fontId="19" fillId="0" borderId="38" xfId="8" applyFont="1" applyBorder="1" applyAlignment="1">
      <alignment horizontal="center" vertical="center"/>
    </xf>
    <xf numFmtId="0" fontId="19" fillId="0" borderId="16" xfId="8" applyFont="1" applyBorder="1" applyAlignment="1">
      <alignment horizontal="center" vertical="center"/>
    </xf>
    <xf numFmtId="0" fontId="19" fillId="0" borderId="36" xfId="8" applyFont="1" applyBorder="1" applyAlignment="1">
      <alignment horizontal="center" vertical="center"/>
    </xf>
    <xf numFmtId="0" fontId="19" fillId="0" borderId="37" xfId="8" applyFont="1" applyBorder="1" applyAlignment="1">
      <alignment horizontal="center" vertical="center"/>
    </xf>
    <xf numFmtId="0" fontId="35" fillId="0" borderId="0" xfId="0" applyFont="1" applyAlignment="1">
      <alignment horizontal="center"/>
    </xf>
    <xf numFmtId="166" fontId="37" fillId="0" borderId="1" xfId="0" applyNumberFormat="1" applyFont="1" applyBorder="1" applyAlignment="1">
      <alignment horizontal="center"/>
    </xf>
    <xf numFmtId="166" fontId="35" fillId="0" borderId="1" xfId="0" applyNumberFormat="1" applyFont="1" applyBorder="1" applyAlignment="1">
      <alignment horizontal="center"/>
    </xf>
    <xf numFmtId="166" fontId="0" fillId="0" borderId="1" xfId="0" applyNumberFormat="1" applyBorder="1" applyAlignment="1"/>
    <xf numFmtId="2" fontId="8" fillId="0" borderId="1" xfId="0" applyNumberFormat="1" applyFont="1" applyBorder="1" applyAlignment="1">
      <alignment horizontal="center"/>
    </xf>
    <xf numFmtId="2" fontId="36" fillId="0" borderId="1" xfId="0" applyNumberFormat="1" applyFont="1" applyBorder="1" applyAlignment="1"/>
    <xf numFmtId="0" fontId="2" fillId="0" borderId="3" xfId="0" applyFont="1" applyFill="1" applyBorder="1" applyAlignment="1">
      <alignment horizontal="center"/>
    </xf>
    <xf numFmtId="0" fontId="2" fillId="0" borderId="1" xfId="0" applyFont="1" applyFill="1" applyBorder="1" applyAlignment="1">
      <alignment horizontal="center"/>
    </xf>
    <xf numFmtId="0" fontId="63" fillId="0" borderId="0" xfId="310" applyFont="1"/>
    <xf numFmtId="0" fontId="21" fillId="0" borderId="0" xfId="310" applyFont="1"/>
    <xf numFmtId="0" fontId="154" fillId="0" borderId="0" xfId="310" applyFont="1"/>
    <xf numFmtId="0" fontId="47" fillId="0" borderId="0" xfId="310"/>
    <xf numFmtId="0" fontId="153" fillId="59" borderId="70" xfId="310" applyFont="1" applyFill="1" applyBorder="1" applyAlignment="1">
      <alignment horizontal="center"/>
    </xf>
    <xf numFmtId="0" fontId="156" fillId="0" borderId="0" xfId="310" applyFont="1" applyAlignment="1">
      <alignment wrapText="1"/>
    </xf>
    <xf numFmtId="0" fontId="157" fillId="0" borderId="0" xfId="310" applyFont="1" applyAlignment="1">
      <alignment wrapText="1"/>
    </xf>
    <xf numFmtId="166" fontId="26" fillId="0" borderId="0" xfId="1" applyNumberFormat="1" applyFont="1" applyFill="1" applyAlignment="1">
      <alignment horizontal="center"/>
    </xf>
  </cellXfs>
  <cellStyles count="735">
    <cellStyle name="20% - Accent1" xfId="710" builtinId="30" customBuiltin="1"/>
    <cellStyle name="20% - Accent1 2" xfId="445" xr:uid="{5C8074E3-151A-4969-BA86-EB934E2131DA}"/>
    <cellStyle name="20% - Accent1 3" xfId="328" xr:uid="{44755419-CC94-4389-BB18-D2B3E0CE9068}"/>
    <cellStyle name="20% - Accent2" xfId="714" builtinId="34" customBuiltin="1"/>
    <cellStyle name="20% - Accent2 2" xfId="446" xr:uid="{35278C85-D6F8-46D9-8219-F81041931673}"/>
    <cellStyle name="20% - Accent2 3" xfId="329" xr:uid="{CA7BC013-D5FE-418D-BFE2-52E212CE5C81}"/>
    <cellStyle name="20% - Accent3" xfId="718" builtinId="38" customBuiltin="1"/>
    <cellStyle name="20% - Accent3 2" xfId="447" xr:uid="{E014E3B6-25FF-4918-A156-0529DEB5010C}"/>
    <cellStyle name="20% - Accent3 3" xfId="330" xr:uid="{B48F97AA-9E54-4EBB-871E-9BD972D2FD2E}"/>
    <cellStyle name="20% - Accent4" xfId="722" builtinId="42" customBuiltin="1"/>
    <cellStyle name="20% - Accent4 2" xfId="448" xr:uid="{1DB19CA4-13F0-4ECC-8543-2CE8A0D43C0D}"/>
    <cellStyle name="20% - Accent4 3" xfId="331" xr:uid="{7881FD85-CD42-41CB-94BA-C07070B45CF2}"/>
    <cellStyle name="20% - Accent5" xfId="726" builtinId="46" customBuiltin="1"/>
    <cellStyle name="20% - Accent5 2" xfId="449" xr:uid="{625AA502-3151-401B-AE6E-1D8E7E116D8B}"/>
    <cellStyle name="20% - Accent5 3" xfId="332" xr:uid="{5E8E5993-DC3A-4FC9-B6FC-B8C9A8BDECEA}"/>
    <cellStyle name="20% - Accent6" xfId="730" builtinId="50" customBuiltin="1"/>
    <cellStyle name="20% - Accent6 2" xfId="450" xr:uid="{667E3F12-F72C-4965-954D-651FCEB26FDC}"/>
    <cellStyle name="20% - Accent6 3" xfId="333" xr:uid="{2A573E51-0B7A-45BF-B2FB-9790CAB0000E}"/>
    <cellStyle name="40% - Accent1" xfId="711" builtinId="31" customBuiltin="1"/>
    <cellStyle name="40% - Accent1 2" xfId="451" xr:uid="{21940E97-7B7C-4BB7-AC0D-CE46645E963B}"/>
    <cellStyle name="40% - Accent1 3" xfId="334" xr:uid="{B8021B81-BFDB-463D-8AE0-CA2ED119C680}"/>
    <cellStyle name="40% - Accent2" xfId="715" builtinId="35" customBuiltin="1"/>
    <cellStyle name="40% - Accent2 2" xfId="452" xr:uid="{194E96EA-9080-4438-88AE-1CE7A8906F9B}"/>
    <cellStyle name="40% - Accent2 3" xfId="335" xr:uid="{D32A8B4E-D1FC-43BC-8359-0C5631BC892B}"/>
    <cellStyle name="40% - Accent3" xfId="719" builtinId="39" customBuiltin="1"/>
    <cellStyle name="40% - Accent3 2" xfId="453" xr:uid="{974262F2-F788-41D3-AD66-A0DE9895F772}"/>
    <cellStyle name="40% - Accent3 3" xfId="336" xr:uid="{AA56CC25-CCFF-48BD-B6F3-7BA1EC85131E}"/>
    <cellStyle name="40% - Accent4" xfId="723" builtinId="43" customBuiltin="1"/>
    <cellStyle name="40% - Accent4 2" xfId="454" xr:uid="{187765C2-5327-418D-902B-1F0EE5DAC7F2}"/>
    <cellStyle name="40% - Accent4 3" xfId="337" xr:uid="{E0FDA276-4569-40B5-9916-4121043352C0}"/>
    <cellStyle name="40% - Accent5" xfId="727" builtinId="47" customBuiltin="1"/>
    <cellStyle name="40% - Accent5 2" xfId="455" xr:uid="{C9DB7A93-FEA1-4D71-BCEC-04D69D881D7A}"/>
    <cellStyle name="40% - Accent5 3" xfId="338" xr:uid="{A726D4C5-72B9-46D7-BC3A-F20F388AC007}"/>
    <cellStyle name="40% - Accent6" xfId="731" builtinId="51" customBuiltin="1"/>
    <cellStyle name="40% - Accent6 2" xfId="456" xr:uid="{9900C3B6-CDCC-447B-8322-0B7716A84F9C}"/>
    <cellStyle name="40% - Accent6 3" xfId="339" xr:uid="{591A430B-5287-4691-850E-6F05538B8001}"/>
    <cellStyle name="60% - Accent1" xfId="712" builtinId="32" customBuiltin="1"/>
    <cellStyle name="60% - Accent1 2" xfId="457" xr:uid="{70845060-BDB0-4309-8FE5-99D025540027}"/>
    <cellStyle name="60% - Accent1 3" xfId="340" xr:uid="{CA6AB9B8-4CDF-4FD0-BB02-DF0A3BCE09B5}"/>
    <cellStyle name="60% - Accent2" xfId="716" builtinId="36" customBuiltin="1"/>
    <cellStyle name="60% - Accent2 2" xfId="458" xr:uid="{696F6A13-983E-4C1B-B2CC-777806391198}"/>
    <cellStyle name="60% - Accent2 3" xfId="341" xr:uid="{BD58FB48-975E-422D-A7F4-87476D6C81DE}"/>
    <cellStyle name="60% - Accent3" xfId="720" builtinId="40" customBuiltin="1"/>
    <cellStyle name="60% - Accent3 2" xfId="459" xr:uid="{D4AE6358-DBC9-49F0-9D76-C8E91926F0C9}"/>
    <cellStyle name="60% - Accent3 3" xfId="342" xr:uid="{C4B06DFC-F5F4-4BA7-A8B1-84905FFD4F7D}"/>
    <cellStyle name="60% - Accent4" xfId="724" builtinId="44" customBuiltin="1"/>
    <cellStyle name="60% - Accent4 2" xfId="460" xr:uid="{BDF2D55A-85AB-4E92-9F93-C5E4CD1C3475}"/>
    <cellStyle name="60% - Accent4 3" xfId="343" xr:uid="{2E4EC977-0C9A-4BB6-88D1-65DB2578012D}"/>
    <cellStyle name="60% - Accent5" xfId="728" builtinId="48" customBuiltin="1"/>
    <cellStyle name="60% - Accent5 2" xfId="461" xr:uid="{8EFA56C5-3D76-4C18-8ADC-43E27B76B9D0}"/>
    <cellStyle name="60% - Accent5 3" xfId="344" xr:uid="{A9205254-CC17-4CFC-8BFC-26E31746D83F}"/>
    <cellStyle name="60% - Accent6" xfId="732" builtinId="52" customBuiltin="1"/>
    <cellStyle name="60% - Accent6 2" xfId="462" xr:uid="{B05F7E72-4FBA-4751-8D21-208DC5F671ED}"/>
    <cellStyle name="60% - Accent6 3" xfId="345" xr:uid="{879656A4-0C78-48ED-98F8-C06330006061}"/>
    <cellStyle name="Accent1" xfId="709" builtinId="29" customBuiltin="1"/>
    <cellStyle name="Accent1 2" xfId="463" xr:uid="{EE9B699F-756C-46FA-928A-F23C74E29103}"/>
    <cellStyle name="Accent2" xfId="713" builtinId="33" customBuiltin="1"/>
    <cellStyle name="Accent2 2" xfId="464" xr:uid="{AE46153C-663F-44B3-9EAC-FD595722A02A}"/>
    <cellStyle name="Accent3" xfId="717" builtinId="37" customBuiltin="1"/>
    <cellStyle name="Accent3 2" xfId="465" xr:uid="{CBEDCA7F-26DE-4376-AE6C-AA30067225D1}"/>
    <cellStyle name="Accent4" xfId="721" builtinId="41" customBuiltin="1"/>
    <cellStyle name="Accent4 2" xfId="466" xr:uid="{699D4E8F-10B1-4DF2-A3A8-390AA8C2B7C6}"/>
    <cellStyle name="Accent5" xfId="725" builtinId="45" customBuiltin="1"/>
    <cellStyle name="Accent5 2" xfId="467" xr:uid="{B962D18B-55E4-4BB2-9DAD-DBB965EC6296}"/>
    <cellStyle name="Accent6" xfId="729" builtinId="49" customBuiltin="1"/>
    <cellStyle name="Accent6 2" xfId="468" xr:uid="{312F4484-81D8-4A71-BFEC-0632BC992585}"/>
    <cellStyle name="Bad" xfId="698" builtinId="27" customBuiltin="1"/>
    <cellStyle name="Bad 2" xfId="469" xr:uid="{EF29178E-5A52-4800-935F-CC7640CCF69D}"/>
    <cellStyle name="Bad 3" xfId="346" xr:uid="{4AA09742-7C47-4807-9AA9-B700A8D551CA}"/>
    <cellStyle name="caché" xfId="470" xr:uid="{F41CF130-480B-4ABB-BAF6-84BC18284A30}"/>
    <cellStyle name="Calculation" xfId="702" builtinId="22" customBuiltin="1"/>
    <cellStyle name="Calculation 2" xfId="471" xr:uid="{83A1329E-B896-4559-9231-4FCBD423291F}"/>
    <cellStyle name="Calculation 3" xfId="347" xr:uid="{93C613CF-88D1-42BF-AAA7-79729D0CE937}"/>
    <cellStyle name="Check Cell" xfId="704" builtinId="23" customBuiltin="1"/>
    <cellStyle name="Check Cell 2" xfId="472" xr:uid="{702467B2-9329-41C3-ADCB-68D49BC85722}"/>
    <cellStyle name="Check Cell 3" xfId="348" xr:uid="{792E3E60-9226-4DCA-8C6E-7804BE32A19C}"/>
    <cellStyle name="Comma" xfId="16" builtinId="3"/>
    <cellStyle name="Comma 10" xfId="473" xr:uid="{E4DE2ABA-6EF7-4CE2-A5D3-43F2AB2EEBB7}"/>
    <cellStyle name="Comma 10 2" xfId="474" xr:uid="{D5FD30CD-2973-487E-B958-A912915C0E78}"/>
    <cellStyle name="Comma 11" xfId="475" xr:uid="{E605F4D4-3727-4D67-A3C8-90E0920DAF37}"/>
    <cellStyle name="Comma 11 2" xfId="476" xr:uid="{BC8661EB-BE23-4670-B3B0-B321C4E95D77}"/>
    <cellStyle name="Comma 12" xfId="477" xr:uid="{650DD2B9-50C3-4AF5-9173-AB93A3EB79A8}"/>
    <cellStyle name="Comma 12 2" xfId="478" xr:uid="{A1DA1E41-CBAC-4DB8-8377-D5D15DAAE7D5}"/>
    <cellStyle name="Comma 13" xfId="479" xr:uid="{E9698E3A-F80C-4D53-A0C4-861720BA75BD}"/>
    <cellStyle name="Comma 14" xfId="480" xr:uid="{E86D6F96-17A3-4E30-A468-1AA03FB62566}"/>
    <cellStyle name="Comma 15" xfId="481" xr:uid="{786F1DB8-A0CC-4324-AB2F-57DB2B83278B}"/>
    <cellStyle name="Comma 16" xfId="482" xr:uid="{F0CEAAF5-AB8D-48BF-A091-BEA67612774B}"/>
    <cellStyle name="Comma 2" xfId="75" xr:uid="{00000000-0005-0000-0000-000001000000}"/>
    <cellStyle name="Comma 2 10" xfId="21" xr:uid="{00000000-0005-0000-0000-000002000000}"/>
    <cellStyle name="Comma 2 11" xfId="22" xr:uid="{00000000-0005-0000-0000-000003000000}"/>
    <cellStyle name="Comma 2 12" xfId="23" xr:uid="{00000000-0005-0000-0000-000004000000}"/>
    <cellStyle name="Comma 2 13" xfId="24" xr:uid="{00000000-0005-0000-0000-000005000000}"/>
    <cellStyle name="Comma 2 14" xfId="87" xr:uid="{00000000-0005-0000-0000-000006000000}"/>
    <cellStyle name="Comma 2 2" xfId="25" xr:uid="{00000000-0005-0000-0000-000007000000}"/>
    <cellStyle name="Comma 2 2 2" xfId="88" xr:uid="{00000000-0005-0000-0000-000008000000}"/>
    <cellStyle name="Comma 2 2 2 2" xfId="485" xr:uid="{DA2C4776-A4E9-4054-B9E4-C123D97D19D0}"/>
    <cellStyle name="Comma 2 2 2 2 2" xfId="486" xr:uid="{CD7C78BC-6F87-49D4-93B6-B888A6879D60}"/>
    <cellStyle name="Comma 2 2 2 3" xfId="487" xr:uid="{235AEE1D-C5BD-421E-90AB-F740BF7FF92C}"/>
    <cellStyle name="Comma 2 2 2 4" xfId="484" xr:uid="{134A2EAD-A741-442F-AC3F-BB28BFC9C7E2}"/>
    <cellStyle name="Comma 2 2 3" xfId="488" xr:uid="{348A2180-6B6A-4977-958E-7C8BC7BB8D77}"/>
    <cellStyle name="Comma 2 2 4" xfId="483" xr:uid="{AACF1643-7716-42F1-B233-5E8B9C088A68}"/>
    <cellStyle name="Comma 2 3" xfId="26" xr:uid="{00000000-0005-0000-0000-000009000000}"/>
    <cellStyle name="Comma 2 3 2" xfId="490" xr:uid="{A57E866D-66F3-4E41-93C5-8E30808B0F38}"/>
    <cellStyle name="Comma 2 3 3" xfId="489" xr:uid="{7AD3703F-6721-48A0-9762-2341294A4E7C}"/>
    <cellStyle name="Comma 2 4" xfId="27" xr:uid="{00000000-0005-0000-0000-00000A000000}"/>
    <cellStyle name="Comma 2 4 2" xfId="491" xr:uid="{1D743EBE-48A5-4ED5-AA50-9EA150CAD3A5}"/>
    <cellStyle name="Comma 2 5" xfId="28" xr:uid="{00000000-0005-0000-0000-00000B000000}"/>
    <cellStyle name="Comma 2 6" xfId="29" xr:uid="{00000000-0005-0000-0000-00000C000000}"/>
    <cellStyle name="Comma 2 7" xfId="30" xr:uid="{00000000-0005-0000-0000-00000D000000}"/>
    <cellStyle name="Comma 2 8" xfId="31" xr:uid="{00000000-0005-0000-0000-00000E000000}"/>
    <cellStyle name="Comma 2 9" xfId="32" xr:uid="{00000000-0005-0000-0000-00000F000000}"/>
    <cellStyle name="Comma 3" xfId="76" xr:uid="{00000000-0005-0000-0000-000010000000}"/>
    <cellStyle name="Comma 3 2" xfId="493" xr:uid="{8AC5EC80-1E0F-4D4B-A66C-920060269D75}"/>
    <cellStyle name="Comma 3 3" xfId="492" xr:uid="{24EF9F22-3128-44ED-B84C-BCE4EA81F77B}"/>
    <cellStyle name="Comma 4" xfId="82" xr:uid="{00000000-0005-0000-0000-000011000000}"/>
    <cellStyle name="Comma 4 2" xfId="495" xr:uid="{4E8A3D1A-18AA-44BC-89F8-0A38FE8DC20A}"/>
    <cellStyle name="Comma 4 3" xfId="494" xr:uid="{F7C7CE53-E4C1-4679-8743-7EB328B47392}"/>
    <cellStyle name="Comma 5" xfId="33" xr:uid="{00000000-0005-0000-0000-000012000000}"/>
    <cellStyle name="Comma 5 2" xfId="89" xr:uid="{00000000-0005-0000-0000-000013000000}"/>
    <cellStyle name="Comma 5 2 2" xfId="497" xr:uid="{3B0E11A3-F853-4275-B5F9-8795D3A634CB}"/>
    <cellStyle name="Comma 5 3" xfId="498" xr:uid="{D30E7F02-243B-41AD-BCCF-560B22A50040}"/>
    <cellStyle name="Comma 5 4" xfId="496" xr:uid="{41E0972F-CCAE-4D78-AA26-300FA2BA8889}"/>
    <cellStyle name="Comma 6" xfId="86" xr:uid="{00000000-0005-0000-0000-000014000000}"/>
    <cellStyle name="Comma 6 2" xfId="103" xr:uid="{00000000-0005-0000-0000-000015000000}"/>
    <cellStyle name="Comma 6 2 2" xfId="118" xr:uid="{00000000-0005-0000-0000-000016000000}"/>
    <cellStyle name="Comma 6 2 2 2" xfId="142" xr:uid="{00000000-0005-0000-0000-000017000000}"/>
    <cellStyle name="Comma 6 2 2 2 2" xfId="256" xr:uid="{00000000-0005-0000-0000-000018000000}"/>
    <cellStyle name="Comma 6 2 2 3" xfId="179" xr:uid="{00000000-0005-0000-0000-000019000000}"/>
    <cellStyle name="Comma 6 2 2 3 2" xfId="280" xr:uid="{00000000-0005-0000-0000-00001A000000}"/>
    <cellStyle name="Comma 6 2 2 4" xfId="207" xr:uid="{00000000-0005-0000-0000-00001B000000}"/>
    <cellStyle name="Comma 6 2 2 4 2" xfId="304" xr:uid="{00000000-0005-0000-0000-00001C000000}"/>
    <cellStyle name="Comma 6 2 2 5" xfId="232" xr:uid="{00000000-0005-0000-0000-00001D000000}"/>
    <cellStyle name="Comma 6 2 3" xfId="130" xr:uid="{00000000-0005-0000-0000-00001E000000}"/>
    <cellStyle name="Comma 6 2 3 2" xfId="244" xr:uid="{00000000-0005-0000-0000-00001F000000}"/>
    <cellStyle name="Comma 6 2 4" xfId="167" xr:uid="{00000000-0005-0000-0000-000020000000}"/>
    <cellStyle name="Comma 6 2 4 2" xfId="268" xr:uid="{00000000-0005-0000-0000-000021000000}"/>
    <cellStyle name="Comma 6 2 5" xfId="195" xr:uid="{00000000-0005-0000-0000-000022000000}"/>
    <cellStyle name="Comma 6 2 5 2" xfId="292" xr:uid="{00000000-0005-0000-0000-000023000000}"/>
    <cellStyle name="Comma 6 2 6" xfId="220" xr:uid="{00000000-0005-0000-0000-000024000000}"/>
    <cellStyle name="Comma 6 2 7" xfId="500" xr:uid="{57317D5B-E0C2-4723-9B25-CCB355896B03}"/>
    <cellStyle name="Comma 6 3" xfId="112" xr:uid="{00000000-0005-0000-0000-000025000000}"/>
    <cellStyle name="Comma 6 3 2" xfId="136" xr:uid="{00000000-0005-0000-0000-000026000000}"/>
    <cellStyle name="Comma 6 3 2 2" xfId="250" xr:uid="{00000000-0005-0000-0000-000027000000}"/>
    <cellStyle name="Comma 6 3 3" xfId="173" xr:uid="{00000000-0005-0000-0000-000028000000}"/>
    <cellStyle name="Comma 6 3 3 2" xfId="274" xr:uid="{00000000-0005-0000-0000-000029000000}"/>
    <cellStyle name="Comma 6 3 4" xfId="201" xr:uid="{00000000-0005-0000-0000-00002A000000}"/>
    <cellStyle name="Comma 6 3 4 2" xfId="298" xr:uid="{00000000-0005-0000-0000-00002B000000}"/>
    <cellStyle name="Comma 6 3 5" xfId="226" xr:uid="{00000000-0005-0000-0000-00002C000000}"/>
    <cellStyle name="Comma 6 4" xfId="124" xr:uid="{00000000-0005-0000-0000-00002D000000}"/>
    <cellStyle name="Comma 6 4 2" xfId="238" xr:uid="{00000000-0005-0000-0000-00002E000000}"/>
    <cellStyle name="Comma 6 5" xfId="159" xr:uid="{00000000-0005-0000-0000-00002F000000}"/>
    <cellStyle name="Comma 6 5 2" xfId="262" xr:uid="{00000000-0005-0000-0000-000030000000}"/>
    <cellStyle name="Comma 6 6" xfId="189" xr:uid="{00000000-0005-0000-0000-000031000000}"/>
    <cellStyle name="Comma 6 6 2" xfId="286" xr:uid="{00000000-0005-0000-0000-000032000000}"/>
    <cellStyle name="Comma 6 7" xfId="214" xr:uid="{00000000-0005-0000-0000-000033000000}"/>
    <cellStyle name="Comma 6 8" xfId="499" xr:uid="{EED548F2-D597-4391-98F3-00E01E360096}"/>
    <cellStyle name="Comma 7" xfId="307" xr:uid="{00000000-0005-0000-0000-000034000000}"/>
    <cellStyle name="Comma 7 2" xfId="502" xr:uid="{C6FD80C2-3093-46E3-888C-FBFF0533FD46}"/>
    <cellStyle name="Comma 7 3" xfId="501" xr:uid="{8C58EAFA-F401-44E6-8E72-1FA34A5E9F70}"/>
    <cellStyle name="Comma 8" xfId="18" xr:uid="{00000000-0005-0000-0000-000035000000}"/>
    <cellStyle name="Comma 8 2" xfId="503" xr:uid="{B6BC9BC7-0BC1-4A47-9F56-0C9F5B045078}"/>
    <cellStyle name="Comma 9" xfId="504" xr:uid="{77460776-D556-4676-98CC-D40A59EBA81B}"/>
    <cellStyle name="Comma(0)" xfId="505" xr:uid="{8A582771-C35A-4B9A-BE55-B5B48B2E2E19}"/>
    <cellStyle name="Comma(3)" xfId="506" xr:uid="{CE95775B-03F4-4AA5-BDFA-EEA536152154}"/>
    <cellStyle name="Comma[0]" xfId="507" xr:uid="{9843BB65-CD5A-42AD-9389-163ECD8B5CB0}"/>
    <cellStyle name="Comma[1]" xfId="508" xr:uid="{B946FD89-55C2-47E1-B3BB-3AA968D3E14A}"/>
    <cellStyle name="Comma[2]__" xfId="509" xr:uid="{A6BA3E78-BE22-4982-A48E-141E6B099EB4}"/>
    <cellStyle name="Comma[3]" xfId="510" xr:uid="{621C88B5-8E0C-4AD1-B9BD-8AF1B14ECBC8}"/>
    <cellStyle name="Comma0" xfId="511" xr:uid="{E868DF7F-298D-487D-8688-54D57CD2F60D}"/>
    <cellStyle name="Commentaire" xfId="349" xr:uid="{FE5879B9-02B3-40E9-9FDA-ADF5EE3C092A}"/>
    <cellStyle name="Currency" xfId="733" builtinId="4"/>
    <cellStyle name="Currency 2" xfId="442" xr:uid="{604AC31A-0515-4AED-B8AA-3BC087B75AF5}"/>
    <cellStyle name="Currency0" xfId="512" xr:uid="{D6E99CAD-6ED3-4FFE-95F8-64DA90743621}"/>
    <cellStyle name="Date" xfId="318" xr:uid="{D04153AF-93E0-43B1-B03A-FD91FC1D10FC}"/>
    <cellStyle name="Date 2" xfId="513" xr:uid="{2A4979A3-50B0-4464-A62F-85B2F50A4CC3}"/>
    <cellStyle name="Date 3" xfId="350" xr:uid="{C9818DEC-C7DB-42F8-A979-652B73556C9F}"/>
    <cellStyle name="Dezimal_03-09-03" xfId="514" xr:uid="{0047F9AD-F3B8-47A3-84FD-EAB418E65866}"/>
    <cellStyle name="En-tête 1" xfId="319" xr:uid="{2A4BA02D-599E-41F3-A0EB-1167936AB689}"/>
    <cellStyle name="En-tête 1 2" xfId="515" xr:uid="{A30B3565-2C61-4AD9-908D-313D61DC7F3B}"/>
    <cellStyle name="En-tête 1 3" xfId="351" xr:uid="{DD495FD2-CF21-43B5-940E-5D65E2821719}"/>
    <cellStyle name="En-tête 2" xfId="320" xr:uid="{A0CE407D-C6B4-468D-AF9B-9CFE76A4D1E7}"/>
    <cellStyle name="En-tête 2 2" xfId="516" xr:uid="{77C36BD3-A4A7-48AA-87E8-A9E61F17FE83}"/>
    <cellStyle name="En-tête 2 3" xfId="352" xr:uid="{99C8795B-ABBE-4F32-BC96-E6DF890FB371}"/>
    <cellStyle name="Explanatory Text" xfId="707" builtinId="53" customBuiltin="1"/>
    <cellStyle name="Explanatory Text 2" xfId="517" xr:uid="{24BD27A0-3BFF-4F78-8C62-7A9DF3650CF8}"/>
    <cellStyle name="Explanatory Text 3" xfId="353" xr:uid="{B7BE0615-C61A-4BC9-9015-0FD77117C301}"/>
    <cellStyle name="Financier0" xfId="321" xr:uid="{AB4E5153-446F-4E33-BBE0-22C24F1E04BC}"/>
    <cellStyle name="Financier0 2" xfId="518" xr:uid="{CE795F2F-4198-48E7-8AB5-4BEB95EEA096}"/>
    <cellStyle name="Financier0 3" xfId="354" xr:uid="{DB597C57-26A3-4A32-9109-3918A2D2AC10}"/>
    <cellStyle name="Fixed" xfId="519" xr:uid="{77ED8A02-EA3D-4BFF-A1BD-C9F6B783189F}"/>
    <cellStyle name="Good" xfId="697" builtinId="26" customBuiltin="1"/>
    <cellStyle name="Good 2" xfId="520" xr:uid="{BC81F85E-28B7-4DBA-BBBA-29623F1953A1}"/>
    <cellStyle name="Good 3" xfId="355" xr:uid="{0FE043A3-72CB-4AA2-A032-1A33B52A78F3}"/>
    <cellStyle name="Heading 1" xfId="693" builtinId="16" customBuiltin="1"/>
    <cellStyle name="Heading 1 2" xfId="521" xr:uid="{0EB2FF9A-9EF5-4980-95C4-C09B385D5006}"/>
    <cellStyle name="Heading 1 3" xfId="356" xr:uid="{56902506-68A8-41E5-B53A-E40031ABA921}"/>
    <cellStyle name="Heading 2" xfId="694" builtinId="17" customBuiltin="1"/>
    <cellStyle name="Heading 2 2" xfId="522" xr:uid="{D6EF7F0F-096A-438A-8553-C51FBF8E142E}"/>
    <cellStyle name="Heading 2 3" xfId="357" xr:uid="{80A2E1DF-AC5B-4C69-95E9-1FE85EB0E2C4}"/>
    <cellStyle name="Heading 3" xfId="695" builtinId="18" customBuiltin="1"/>
    <cellStyle name="Heading 3 2" xfId="523" xr:uid="{7AD44F8A-3307-40B8-A3CA-D35A656D3579}"/>
    <cellStyle name="Heading 3 3" xfId="358" xr:uid="{B05FE793-2BF1-4F39-ADBE-0C5C580545F4}"/>
    <cellStyle name="Heading 4" xfId="696" builtinId="19" customBuiltin="1"/>
    <cellStyle name="Heading 4 2" xfId="524" xr:uid="{2309DA9D-A00E-4487-8429-2341842D62DF}"/>
    <cellStyle name="Heading 4 3" xfId="359" xr:uid="{0FCA2E95-5096-48B2-B3B1-F444A5F7D83B}"/>
    <cellStyle name="Hyperlink" xfId="3" builtinId="8"/>
    <cellStyle name="Hyperlink 2" xfId="525" xr:uid="{A0106A59-9D5D-4974-8D56-A58D867A998D}"/>
    <cellStyle name="Hyperlink 3" xfId="435" xr:uid="{9E60E9C4-9307-4DEA-BF46-981A925922C6}"/>
    <cellStyle name="Input" xfId="700" builtinId="20" customBuiltin="1"/>
    <cellStyle name="Input 2" xfId="526" xr:uid="{00A00CE0-71FC-4814-9816-66DCDAD48670}"/>
    <cellStyle name="Input 3" xfId="360" xr:uid="{B4A366F7-9B42-439C-B983-FE1CDBAAFED0}"/>
    <cellStyle name="Lien hypertexte 2" xfId="4" xr:uid="{00000000-0005-0000-0000-000037000000}"/>
    <cellStyle name="Lien hypertexte 3" xfId="527" xr:uid="{7E5823D4-2A63-4E84-A934-906BBE97A2E8}"/>
    <cellStyle name="Linked Cell" xfId="703" builtinId="24" customBuiltin="1"/>
    <cellStyle name="Linked Cell 2" xfId="528" xr:uid="{14039558-6141-49B4-B4F9-494BE1FA2EE1}"/>
    <cellStyle name="Linked Cell 3" xfId="361" xr:uid="{B7BF9A02-1BCF-4CD9-B400-F8A57B1B3A39}"/>
    <cellStyle name="Milliers 2" xfId="362" xr:uid="{2A430775-9F25-47C6-81C6-F7107D8E9D7B}"/>
    <cellStyle name="Milliers 3" xfId="439" xr:uid="{4485D4C3-8AF6-4716-B235-1C3EBBA89765}"/>
    <cellStyle name="Monétaire0" xfId="322" xr:uid="{C350EAD8-7B73-457C-AFF4-0538FD505BF3}"/>
    <cellStyle name="Monétaire0 2" xfId="529" xr:uid="{BA89C6DD-6F12-4EAA-84EB-799724516A9B}"/>
    <cellStyle name="Monétaire0 3" xfId="363" xr:uid="{83195FC3-EF05-47AE-AE78-3C459F473D2D}"/>
    <cellStyle name="Motif" xfId="364" xr:uid="{7D75E4BD-2E5C-4B04-978A-A6C54B0B1B3C}"/>
    <cellStyle name="Neutral" xfId="699" builtinId="28" customBuiltin="1"/>
    <cellStyle name="Neutral 2" xfId="530" xr:uid="{25B6C118-CC38-4603-ACAE-805AF77A9AF7}"/>
    <cellStyle name="Neutral 3" xfId="365" xr:uid="{4A543CEA-3AE7-4ECD-A4A2-450D75313075}"/>
    <cellStyle name="Normaali_Eduskuntavaalit" xfId="531" xr:uid="{158FEC2F-2756-4E9C-9B41-7B08B410A03D}"/>
    <cellStyle name="Normal" xfId="0" builtinId="0"/>
    <cellStyle name="Normal 10" xfId="13" xr:uid="{00000000-0005-0000-0000-000039000000}"/>
    <cellStyle name="Normal 10 2" xfId="106" xr:uid="{00000000-0005-0000-0000-00003A000000}"/>
    <cellStyle name="Normal 10 2 2" xfId="367" xr:uid="{CD296976-8211-4DEA-89B3-E6542B8BCBC0}"/>
    <cellStyle name="Normal 10 2 3" xfId="366" xr:uid="{B0AE571F-2C25-41C1-B82C-09C649D98CA1}"/>
    <cellStyle name="Normal 10 3" xfId="532" xr:uid="{002CC95B-8E93-433D-882A-CF701CCC3952}"/>
    <cellStyle name="Normal 10 3 2" xfId="533" xr:uid="{6228DA62-0B16-4D4B-AC66-BD87B8FB3498}"/>
    <cellStyle name="Normal 10 4" xfId="534" xr:uid="{8C5541F4-6122-4B71-A3D0-D96D11F9238B}"/>
    <cellStyle name="Normal 10 4 2" xfId="535" xr:uid="{21607833-D456-4294-AD86-4D343D5DB30C}"/>
    <cellStyle name="Normal 10 5" xfId="536" xr:uid="{3BE89822-E080-4143-A4DC-3CC3E39E0B9B}"/>
    <cellStyle name="Normal 11" xfId="107" xr:uid="{00000000-0005-0000-0000-00003B000000}"/>
    <cellStyle name="Normal 11 2" xfId="369" xr:uid="{7CEC5F7C-C3D2-484F-8835-2E2B49BC76E4}"/>
    <cellStyle name="Normal 11 2 2" xfId="370" xr:uid="{2AEEC40E-BCDB-4AB6-889C-BFA999233427}"/>
    <cellStyle name="Normal 11 3" xfId="371" xr:uid="{A51F51C8-6705-40DA-909F-0DFA0A9C34BC}"/>
    <cellStyle name="Normal 11 4" xfId="537" xr:uid="{A11210EF-C606-44E3-B294-A7306261E5E3}"/>
    <cellStyle name="Normal 11 5" xfId="368" xr:uid="{55E776A8-4C35-498D-A071-3DAC0B18CC0F}"/>
    <cellStyle name="Normal 12" xfId="209" xr:uid="{00000000-0005-0000-0000-00003C000000}"/>
    <cellStyle name="Normal 12 2" xfId="306" xr:uid="{00000000-0005-0000-0000-00003D000000}"/>
    <cellStyle name="Normal 12 2 2" xfId="538" xr:uid="{447A2E52-95C1-47BA-83C4-9603B49A50DF}"/>
    <cellStyle name="Normal 12 2 3" xfId="373" xr:uid="{9A3F987E-F4BD-4474-B9B7-D5EC40966928}"/>
    <cellStyle name="Normal 12 3" xfId="539" xr:uid="{8EF75285-313B-4E30-9646-106E599B0C0D}"/>
    <cellStyle name="Normal 12 4" xfId="372" xr:uid="{79C76C73-C6EA-4567-86A7-40771C89D996}"/>
    <cellStyle name="Normal 13" xfId="309" xr:uid="{00000000-0005-0000-0000-00003E000000}"/>
    <cellStyle name="Normal 13 2" xfId="375" xr:uid="{4F26A5ED-B480-43F5-956D-C4E99AA4B8FE}"/>
    <cellStyle name="Normal 13 3" xfId="376" xr:uid="{EDEA1866-997B-4861-911D-F2616E3BAE25}"/>
    <cellStyle name="Normal 13 4" xfId="540" xr:uid="{3F2A365B-1A43-4737-B0CD-3A692DC7C660}"/>
    <cellStyle name="Normal 13 5" xfId="374" xr:uid="{FCB5C056-E847-4BA4-A14D-659DB509C34B}"/>
    <cellStyle name="Normal 14" xfId="308" xr:uid="{00000000-0005-0000-0000-00003F000000}"/>
    <cellStyle name="Normal 14 2" xfId="377" xr:uid="{C5D38DF9-4253-4A4C-B384-E33A60F2C229}"/>
    <cellStyle name="Normal 15" xfId="17" xr:uid="{00000000-0005-0000-0000-000040000000}"/>
    <cellStyle name="Normal 15 2" xfId="541" xr:uid="{9C0D504A-831D-498F-B592-0D4EF99AE26C}"/>
    <cellStyle name="Normal 15 2 2" xfId="542" xr:uid="{B3342774-C956-4CD3-89B1-B2F878E5F86E}"/>
    <cellStyle name="Normal 15 3" xfId="543" xr:uid="{AB4C494B-4786-4B72-80C7-ADE48663F546}"/>
    <cellStyle name="Normal 15 4" xfId="544" xr:uid="{AACB1D28-988B-49C2-9A0E-EF9E04A15EB9}"/>
    <cellStyle name="Normal 15 5" xfId="378" xr:uid="{FDA97653-037C-485E-956A-42BA83E69837}"/>
    <cellStyle name="Normal 16" xfId="310" xr:uid="{6D7255D3-B4B8-49C2-9DD6-E2AFC65EA0BE}"/>
    <cellStyle name="Normal 16 2" xfId="545" xr:uid="{264CCDED-93D8-4E14-A46C-B9446B47E24C}"/>
    <cellStyle name="Normal 16 3" xfId="379" xr:uid="{416E47BE-1C23-44BC-9F9B-136BC96AE5AC}"/>
    <cellStyle name="Normal 17" xfId="312" xr:uid="{E3959D48-4D25-43FA-BBCE-0EDD81FA834F}"/>
    <cellStyle name="Normal 17 2" xfId="443" xr:uid="{1F3FD895-6D89-4482-9355-5D9E527B0A00}"/>
    <cellStyle name="Normal 18" xfId="316" xr:uid="{91B5013C-EDF6-4FF1-88A2-B917EBD886C2}"/>
    <cellStyle name="Normal 18 2" xfId="546" xr:uid="{FD8317AC-C308-44E6-85CB-5526E523A47D}"/>
    <cellStyle name="Normal 19" xfId="317" xr:uid="{06F7F362-E2E6-4757-B2C5-0D089BC7B430}"/>
    <cellStyle name="Normal 19 2" xfId="547" xr:uid="{8542E0DE-6802-452C-B9B4-1FAFBB3A289F}"/>
    <cellStyle name="Normal 2" xfId="8" xr:uid="{00000000-0005-0000-0000-000041000000}"/>
    <cellStyle name="Normal 2 10" xfId="34" xr:uid="{00000000-0005-0000-0000-000042000000}"/>
    <cellStyle name="Normal 2 11" xfId="35" xr:uid="{00000000-0005-0000-0000-000043000000}"/>
    <cellStyle name="Normal 2 12" xfId="36" xr:uid="{00000000-0005-0000-0000-000044000000}"/>
    <cellStyle name="Normal 2 13" xfId="37" xr:uid="{00000000-0005-0000-0000-000045000000}"/>
    <cellStyle name="Normal 2 14" xfId="38" xr:uid="{00000000-0005-0000-0000-000046000000}"/>
    <cellStyle name="Normal 2 15" xfId="77" xr:uid="{00000000-0005-0000-0000-000047000000}"/>
    <cellStyle name="Normal 2 16" xfId="83" xr:uid="{00000000-0005-0000-0000-000048000000}"/>
    <cellStyle name="Normal 2 17" xfId="90" xr:uid="{00000000-0005-0000-0000-000049000000}"/>
    <cellStyle name="Normal 2 18" xfId="73" xr:uid="{00000000-0005-0000-0000-00004A000000}"/>
    <cellStyle name="Normal 2 18 2" xfId="99" xr:uid="{00000000-0005-0000-0000-00004B000000}"/>
    <cellStyle name="Normal 2 18 2 2" xfId="114" xr:uid="{00000000-0005-0000-0000-00004C000000}"/>
    <cellStyle name="Normal 2 18 2 2 2" xfId="138" xr:uid="{00000000-0005-0000-0000-00004D000000}"/>
    <cellStyle name="Normal 2 18 2 2 2 2" xfId="252" xr:uid="{00000000-0005-0000-0000-00004E000000}"/>
    <cellStyle name="Normal 2 18 2 2 3" xfId="175" xr:uid="{00000000-0005-0000-0000-00004F000000}"/>
    <cellStyle name="Normal 2 18 2 2 3 2" xfId="276" xr:uid="{00000000-0005-0000-0000-000050000000}"/>
    <cellStyle name="Normal 2 18 2 2 4" xfId="203" xr:uid="{00000000-0005-0000-0000-000051000000}"/>
    <cellStyle name="Normal 2 18 2 2 4 2" xfId="300" xr:uid="{00000000-0005-0000-0000-000052000000}"/>
    <cellStyle name="Normal 2 18 2 2 5" xfId="228" xr:uid="{00000000-0005-0000-0000-000053000000}"/>
    <cellStyle name="Normal 2 18 2 2_Tax Expenditures" xfId="150" xr:uid="{00000000-0005-0000-0000-000054000000}"/>
    <cellStyle name="Normal 2 18 2 3" xfId="126" xr:uid="{00000000-0005-0000-0000-000055000000}"/>
    <cellStyle name="Normal 2 18 2 3 2" xfId="240" xr:uid="{00000000-0005-0000-0000-000056000000}"/>
    <cellStyle name="Normal 2 18 2 4" xfId="163" xr:uid="{00000000-0005-0000-0000-000057000000}"/>
    <cellStyle name="Normal 2 18 2 4 2" xfId="264" xr:uid="{00000000-0005-0000-0000-000058000000}"/>
    <cellStyle name="Normal 2 18 2 5" xfId="191" xr:uid="{00000000-0005-0000-0000-000059000000}"/>
    <cellStyle name="Normal 2 18 2 5 2" xfId="288" xr:uid="{00000000-0005-0000-0000-00005A000000}"/>
    <cellStyle name="Normal 2 18 2 6" xfId="216" xr:uid="{00000000-0005-0000-0000-00005B000000}"/>
    <cellStyle name="Normal 2 18 2_Tax Expenditures" xfId="160" xr:uid="{00000000-0005-0000-0000-00005C000000}"/>
    <cellStyle name="Normal 2 18 3" xfId="108" xr:uid="{00000000-0005-0000-0000-00005D000000}"/>
    <cellStyle name="Normal 2 18 3 2" xfId="132" xr:uid="{00000000-0005-0000-0000-00005E000000}"/>
    <cellStyle name="Normal 2 18 3 2 2" xfId="246" xr:uid="{00000000-0005-0000-0000-00005F000000}"/>
    <cellStyle name="Normal 2 18 3 3" xfId="169" xr:uid="{00000000-0005-0000-0000-000060000000}"/>
    <cellStyle name="Normal 2 18 3 3 2" xfId="270" xr:uid="{00000000-0005-0000-0000-000061000000}"/>
    <cellStyle name="Normal 2 18 3 4" xfId="197" xr:uid="{00000000-0005-0000-0000-000062000000}"/>
    <cellStyle name="Normal 2 18 3 4 2" xfId="294" xr:uid="{00000000-0005-0000-0000-000063000000}"/>
    <cellStyle name="Normal 2 18 3 5" xfId="222" xr:uid="{00000000-0005-0000-0000-000064000000}"/>
    <cellStyle name="Normal 2 18 3_Tax Expenditures" xfId="152" xr:uid="{00000000-0005-0000-0000-000065000000}"/>
    <cellStyle name="Normal 2 18 4" xfId="120" xr:uid="{00000000-0005-0000-0000-000066000000}"/>
    <cellStyle name="Normal 2 18 4 2" xfId="234" xr:uid="{00000000-0005-0000-0000-000067000000}"/>
    <cellStyle name="Normal 2 18 5" xfId="155" xr:uid="{00000000-0005-0000-0000-000068000000}"/>
    <cellStyle name="Normal 2 18 5 2" xfId="258" xr:uid="{00000000-0005-0000-0000-000069000000}"/>
    <cellStyle name="Normal 2 18 6" xfId="185" xr:uid="{00000000-0005-0000-0000-00006A000000}"/>
    <cellStyle name="Normal 2 18 6 2" xfId="282" xr:uid="{00000000-0005-0000-0000-00006B000000}"/>
    <cellStyle name="Normal 2 18 7" xfId="210" xr:uid="{00000000-0005-0000-0000-00006C000000}"/>
    <cellStyle name="Normal 2 18_Tax Expenditures" xfId="161" xr:uid="{00000000-0005-0000-0000-00006D000000}"/>
    <cellStyle name="Normal 2 19" xfId="19" xr:uid="{00000000-0005-0000-0000-00006E000000}"/>
    <cellStyle name="Normal 2 2" xfId="20" xr:uid="{00000000-0005-0000-0000-00006F000000}"/>
    <cellStyle name="Normal 2 2 10" xfId="40" xr:uid="{00000000-0005-0000-0000-000070000000}"/>
    <cellStyle name="Normal 2 2 11" xfId="41" xr:uid="{00000000-0005-0000-0000-000071000000}"/>
    <cellStyle name="Normal 2 2 12" xfId="42" xr:uid="{00000000-0005-0000-0000-000072000000}"/>
    <cellStyle name="Normal 2 2 13" xfId="43" xr:uid="{00000000-0005-0000-0000-000073000000}"/>
    <cellStyle name="Normal 2 2 14" xfId="91" xr:uid="{00000000-0005-0000-0000-000074000000}"/>
    <cellStyle name="Normal 2 2 15" xfId="39" xr:uid="{00000000-0005-0000-0000-000075000000}"/>
    <cellStyle name="Normal 2 2 16" xfId="380" xr:uid="{451F38F1-4374-49B8-B4AA-159D8EBD4A69}"/>
    <cellStyle name="Normal 2 2 2" xfId="44" xr:uid="{00000000-0005-0000-0000-000076000000}"/>
    <cellStyle name="Normal 2 2 2 2" xfId="381" xr:uid="{A7191AB3-5E9A-43CB-896C-322F4F5360C6}"/>
    <cellStyle name="Normal 2 2 3" xfId="45" xr:uid="{00000000-0005-0000-0000-000077000000}"/>
    <cellStyle name="Normal 2 2 3 2" xfId="440" xr:uid="{2FCABCD2-54C8-45CA-BA8A-62FD031D0528}"/>
    <cellStyle name="Normal 2 2 4" xfId="46" xr:uid="{00000000-0005-0000-0000-000078000000}"/>
    <cellStyle name="Normal 2 2 5" xfId="47" xr:uid="{00000000-0005-0000-0000-000079000000}"/>
    <cellStyle name="Normal 2 2 6" xfId="48" xr:uid="{00000000-0005-0000-0000-00007A000000}"/>
    <cellStyle name="Normal 2 2 7" xfId="49" xr:uid="{00000000-0005-0000-0000-00007B000000}"/>
    <cellStyle name="Normal 2 2 8" xfId="50" xr:uid="{00000000-0005-0000-0000-00007C000000}"/>
    <cellStyle name="Normal 2 2 9" xfId="51" xr:uid="{00000000-0005-0000-0000-00007D000000}"/>
    <cellStyle name="Normal 2 2_Tax Expenditures" xfId="147" xr:uid="{00000000-0005-0000-0000-00007E000000}"/>
    <cellStyle name="Normal 2 3" xfId="9" xr:uid="{00000000-0005-0000-0000-00007F000000}"/>
    <cellStyle name="Normal 2 3 2" xfId="92" xr:uid="{00000000-0005-0000-0000-000080000000}"/>
    <cellStyle name="Normal 2 3 3" xfId="52" xr:uid="{00000000-0005-0000-0000-000081000000}"/>
    <cellStyle name="Normal 2 4" xfId="53" xr:uid="{00000000-0005-0000-0000-000082000000}"/>
    <cellStyle name="Normal 2 4 2" xfId="383" xr:uid="{28C3BDCC-097A-4D32-9FF8-D3979435B937}"/>
    <cellStyle name="Normal 2 4 3" xfId="384" xr:uid="{05F5D8D3-5515-4564-8135-6B9990661D9A}"/>
    <cellStyle name="Normal 2 4 4" xfId="382" xr:uid="{A521C907-5DCF-41FF-B615-90B44F6F0D4E}"/>
    <cellStyle name="Normal 2 5" xfId="54" xr:uid="{00000000-0005-0000-0000-000083000000}"/>
    <cellStyle name="Normal 2 5 2" xfId="327" xr:uid="{4A8BA83B-439D-461D-ADA1-78698DAD710B}"/>
    <cellStyle name="Normal 2 6" xfId="55" xr:uid="{00000000-0005-0000-0000-000084000000}"/>
    <cellStyle name="Normal 2 6 2" xfId="548" xr:uid="{25D8D0F5-E3E9-40AC-B327-D85C581943E0}"/>
    <cellStyle name="Normal 2 7" xfId="56" xr:uid="{00000000-0005-0000-0000-000085000000}"/>
    <cellStyle name="Normal 2 7 2" xfId="549" xr:uid="{969DC183-1147-4566-AD40-7E1F28DEC6A3}"/>
    <cellStyle name="Normal 2 8" xfId="57" xr:uid="{00000000-0005-0000-0000-000086000000}"/>
    <cellStyle name="Normal 2 9" xfId="58" xr:uid="{00000000-0005-0000-0000-000087000000}"/>
    <cellStyle name="Normal 2_AccumulationEquation" xfId="6" xr:uid="{00000000-0005-0000-0000-000088000000}"/>
    <cellStyle name="Normal 20" xfId="550" xr:uid="{7A795EB6-E9D4-4E32-8D2F-D85396166EBA}"/>
    <cellStyle name="Normal 20 2" xfId="551" xr:uid="{0D55F4DE-613A-447D-893B-FA48398CE7B8}"/>
    <cellStyle name="Normal 21" xfId="552" xr:uid="{4F4A2285-8A73-47DF-8851-4701B829C717}"/>
    <cellStyle name="Normal 21 2" xfId="553" xr:uid="{6D5C37BA-370D-4292-A611-F544E45BFA82}"/>
    <cellStyle name="Normal 22" xfId="554" xr:uid="{83C8B325-92E2-466B-A4BA-D22E6BD7CCD8}"/>
    <cellStyle name="Normal 22 2" xfId="555" xr:uid="{0F9B9D0F-FE5A-4E62-B20E-1AA00F6329F3}"/>
    <cellStyle name="Normal 23" xfId="556" xr:uid="{B80AD94D-28E9-4A74-9889-E2044441F125}"/>
    <cellStyle name="Normal 23 2" xfId="557" xr:uid="{9FA4C96F-14EE-4856-B630-EE4F62B7FD16}"/>
    <cellStyle name="Normal 24" xfId="558" xr:uid="{CC6B5DD4-517E-4BB4-BAEB-25CF2BEB0864}"/>
    <cellStyle name="Normal 24 2" xfId="559" xr:uid="{E8105DEA-3B7B-4470-A5F1-CDD379821B0B}"/>
    <cellStyle name="Normal 25" xfId="560" xr:uid="{BFAB1898-C3BE-4B99-A664-EF422FD1FBF2}"/>
    <cellStyle name="Normal 25 2" xfId="561" xr:uid="{0E155CA5-86DD-4EBB-8799-022EF0084AA3}"/>
    <cellStyle name="Normal 26" xfId="562" xr:uid="{DFEC3375-2AB8-4E28-9EEF-86630E6F53D3}"/>
    <cellStyle name="Normal 27" xfId="563" xr:uid="{AFA832C6-BE9D-49D0-AE57-AA03CF645745}"/>
    <cellStyle name="Normal 27 2" xfId="564" xr:uid="{F64AE9D4-8161-49BA-93FF-C0077922B9CF}"/>
    <cellStyle name="Normal 28" xfId="565" xr:uid="{C749125A-806D-4CD6-9068-7AC65ABBBC9E}"/>
    <cellStyle name="Normal 28 2" xfId="566" xr:uid="{77E4B9E9-8B8B-4534-A7AB-DFA7D4DA3D7A}"/>
    <cellStyle name="Normal 29" xfId="567" xr:uid="{8EC2BCED-1B05-4266-AACA-8FEAA712F1B3}"/>
    <cellStyle name="Normal 29 2" xfId="568" xr:uid="{23B33B89-887C-4FE1-9FA5-E6A080729EDA}"/>
    <cellStyle name="Normal 3" xfId="78" xr:uid="{00000000-0005-0000-0000-000089000000}"/>
    <cellStyle name="Normal 3 10" xfId="569" xr:uid="{0C66872B-F89D-4E68-A068-A3D8998BA7F6}"/>
    <cellStyle name="Normal 3 11" xfId="385" xr:uid="{F67D33A2-26CB-41E2-9ECD-A8C90C2FBF93}"/>
    <cellStyle name="Normal 3 2" xfId="101" xr:uid="{00000000-0005-0000-0000-00008A000000}"/>
    <cellStyle name="Normal 3 2 2" xfId="116" xr:uid="{00000000-0005-0000-0000-00008B000000}"/>
    <cellStyle name="Normal 3 2 2 2" xfId="140" xr:uid="{00000000-0005-0000-0000-00008C000000}"/>
    <cellStyle name="Normal 3 2 2 2 2" xfId="254" xr:uid="{00000000-0005-0000-0000-00008D000000}"/>
    <cellStyle name="Normal 3 2 2 2 3" xfId="571" xr:uid="{19917D1E-43BE-40C3-874D-061F8CF4B1A2}"/>
    <cellStyle name="Normal 3 2 2 3" xfId="177" xr:uid="{00000000-0005-0000-0000-00008E000000}"/>
    <cellStyle name="Normal 3 2 2 3 2" xfId="278" xr:uid="{00000000-0005-0000-0000-00008F000000}"/>
    <cellStyle name="Normal 3 2 2 3 2 2" xfId="573" xr:uid="{E932B515-3D89-4BA0-9068-931A1459ACE1}"/>
    <cellStyle name="Normal 3 2 2 3 3" xfId="572" xr:uid="{5148D26A-6293-4DD6-A6DB-DEB9A289D9D4}"/>
    <cellStyle name="Normal 3 2 2 4" xfId="205" xr:uid="{00000000-0005-0000-0000-000090000000}"/>
    <cellStyle name="Normal 3 2 2 4 2" xfId="302" xr:uid="{00000000-0005-0000-0000-000091000000}"/>
    <cellStyle name="Normal 3 2 2 4 3" xfId="574" xr:uid="{7411DC1A-D6AD-4E50-ACBB-306AE9C7CBAA}"/>
    <cellStyle name="Normal 3 2 2 5" xfId="230" xr:uid="{00000000-0005-0000-0000-000092000000}"/>
    <cellStyle name="Normal 3 2 2 5 2" xfId="575" xr:uid="{F990C31E-FBA9-48E5-B635-49F66AC2D570}"/>
    <cellStyle name="Normal 3 2 2 6" xfId="570" xr:uid="{D54F3EF9-EC2F-4063-9B17-ED0C5187CD37}"/>
    <cellStyle name="Normal 3 2 2_Tax Expenditures" xfId="182" xr:uid="{00000000-0005-0000-0000-000093000000}"/>
    <cellStyle name="Normal 3 2 3" xfId="128" xr:uid="{00000000-0005-0000-0000-000094000000}"/>
    <cellStyle name="Normal 3 2 3 2" xfId="242" xr:uid="{00000000-0005-0000-0000-000095000000}"/>
    <cellStyle name="Normal 3 2 3 3" xfId="576" xr:uid="{A20699F2-C4DC-4ACD-8DC1-E838CF39902B}"/>
    <cellStyle name="Normal 3 2 4" xfId="165" xr:uid="{00000000-0005-0000-0000-000096000000}"/>
    <cellStyle name="Normal 3 2 4 2" xfId="266" xr:uid="{00000000-0005-0000-0000-000097000000}"/>
    <cellStyle name="Normal 3 2 4 2 2" xfId="579" xr:uid="{69FD52DC-9284-4959-B7FF-C3D542ECA15A}"/>
    <cellStyle name="Normal 3 2 4 2 3" xfId="578" xr:uid="{FFF975F5-F0BD-431C-98F1-0EEB8E10BC46}"/>
    <cellStyle name="Normal 3 2 4 3" xfId="577" xr:uid="{FC65E821-A463-4F8F-B87B-AD9443A59551}"/>
    <cellStyle name="Normal 3 2 5" xfId="193" xr:uid="{00000000-0005-0000-0000-000098000000}"/>
    <cellStyle name="Normal 3 2 5 2" xfId="290" xr:uid="{00000000-0005-0000-0000-000099000000}"/>
    <cellStyle name="Normal 3 2 5 3" xfId="580" xr:uid="{799D1FD3-F96A-4122-9855-D39AFB626C31}"/>
    <cellStyle name="Normal 3 2 6" xfId="218" xr:uid="{00000000-0005-0000-0000-00009A000000}"/>
    <cellStyle name="Normal 3 2 6 2" xfId="582" xr:uid="{964DED25-4470-4E8C-B754-F251F86CB4DF}"/>
    <cellStyle name="Normal 3 2 6 3" xfId="581" xr:uid="{6E547F75-2C69-4324-87BD-53DB3D5FBD5B}"/>
    <cellStyle name="Normal 3 2 7" xfId="583" xr:uid="{0E70B006-9DED-4DC9-81E7-02A696EF53B6}"/>
    <cellStyle name="Normal 3 2 7 2" xfId="584" xr:uid="{5DB07416-2B41-40DC-9627-7819AB3A5DE6}"/>
    <cellStyle name="Normal 3 2 8" xfId="386" xr:uid="{89923D97-7EC4-498D-86D9-B47C604B6331}"/>
    <cellStyle name="Normal 3 2 9" xfId="690" xr:uid="{3278C492-6CF6-488C-8C0B-1A2054A65179}"/>
    <cellStyle name="Normal 3 2_Tax Expenditures" xfId="145" xr:uid="{00000000-0005-0000-0000-00009B000000}"/>
    <cellStyle name="Normal 3 3" xfId="110" xr:uid="{00000000-0005-0000-0000-00009C000000}"/>
    <cellStyle name="Normal 3 3 2" xfId="134" xr:uid="{00000000-0005-0000-0000-00009D000000}"/>
    <cellStyle name="Normal 3 3 2 2" xfId="248" xr:uid="{00000000-0005-0000-0000-00009E000000}"/>
    <cellStyle name="Normal 3 3 3" xfId="171" xr:uid="{00000000-0005-0000-0000-00009F000000}"/>
    <cellStyle name="Normal 3 3 3 2" xfId="272" xr:uid="{00000000-0005-0000-0000-0000A0000000}"/>
    <cellStyle name="Normal 3 3 4" xfId="199" xr:uid="{00000000-0005-0000-0000-0000A1000000}"/>
    <cellStyle name="Normal 3 3 4 2" xfId="296" xr:uid="{00000000-0005-0000-0000-0000A2000000}"/>
    <cellStyle name="Normal 3 3 5" xfId="224" xr:uid="{00000000-0005-0000-0000-0000A3000000}"/>
    <cellStyle name="Normal 3 3 6" xfId="585" xr:uid="{03958BEA-071D-4D4C-B1DA-FE9E4C635DCF}"/>
    <cellStyle name="Normal 3 3_Tax Expenditures" xfId="148" xr:uid="{00000000-0005-0000-0000-0000A4000000}"/>
    <cellStyle name="Normal 3 4" xfId="122" xr:uid="{00000000-0005-0000-0000-0000A5000000}"/>
    <cellStyle name="Normal 3 4 2" xfId="236" xr:uid="{00000000-0005-0000-0000-0000A6000000}"/>
    <cellStyle name="Normal 3 4 2 2" xfId="587" xr:uid="{FC071D9B-7323-4C09-80ED-74957EDCBA13}"/>
    <cellStyle name="Normal 3 4 3" xfId="586" xr:uid="{667E2AE9-5888-4A09-BB94-CDD391DC5DD2}"/>
    <cellStyle name="Normal 3 5" xfId="157" xr:uid="{00000000-0005-0000-0000-0000A7000000}"/>
    <cellStyle name="Normal 3 5 2" xfId="260" xr:uid="{00000000-0005-0000-0000-0000A8000000}"/>
    <cellStyle name="Normal 3 5 3" xfId="588" xr:uid="{49A193AF-9FA4-4FFA-AF52-8187EB84DC7E}"/>
    <cellStyle name="Normal 3 6" xfId="187" xr:uid="{00000000-0005-0000-0000-0000A9000000}"/>
    <cellStyle name="Normal 3 6 2" xfId="284" xr:uid="{00000000-0005-0000-0000-0000AA000000}"/>
    <cellStyle name="Normal 3 6 3" xfId="589" xr:uid="{19328F09-9B45-4C4D-89DA-001B82F2682B}"/>
    <cellStyle name="Normal 3 7" xfId="212" xr:uid="{00000000-0005-0000-0000-0000AB000000}"/>
    <cellStyle name="Normal 3 7 2" xfId="590" xr:uid="{4D21B743-51A1-4F7A-A5FD-5A677F7F5B64}"/>
    <cellStyle name="Normal 3 8" xfId="591" xr:uid="{52ADF903-04C1-4859-A653-5BCFAA261D35}"/>
    <cellStyle name="Normal 3 8 2" xfId="592" xr:uid="{DB4A449F-2435-44A3-94D0-3301BE609D3B}"/>
    <cellStyle name="Normal 3 9" xfId="593" xr:uid="{29D38CE8-6552-488C-B902-EB13A43265E4}"/>
    <cellStyle name="Normal 3_Tax Expenditures" xfId="181" xr:uid="{00000000-0005-0000-0000-0000AC000000}"/>
    <cellStyle name="Normal 30" xfId="594" xr:uid="{FEA1BB00-D8E0-470E-AACB-B6B8D71C0622}"/>
    <cellStyle name="Normal 30 2" xfId="595" xr:uid="{4910FAC9-C46E-40AA-9AAC-2510A6082300}"/>
    <cellStyle name="Normal 31" xfId="596" xr:uid="{955AD2AA-A531-4C2A-AC9C-8096CC324DC7}"/>
    <cellStyle name="Normal 31 2" xfId="597" xr:uid="{69295BAB-E805-4F47-9D13-6D7E3B384E3B}"/>
    <cellStyle name="Normal 32" xfId="598" xr:uid="{2CABEB8B-1256-4BC1-B990-AFBEF538A1D9}"/>
    <cellStyle name="Normal 33" xfId="599" xr:uid="{6E9708D8-EA03-4280-8051-6C40BAC4411F}"/>
    <cellStyle name="Normal 33 2" xfId="600" xr:uid="{B5DA897F-999C-4819-9054-DE685F8F27DC}"/>
    <cellStyle name="Normal 34" xfId="601" xr:uid="{1FADEB64-3403-4CBA-9258-E73AF0762C61}"/>
    <cellStyle name="Normal 35" xfId="602" xr:uid="{CD87CBDD-566A-4636-B5BC-8BB58E880410}"/>
    <cellStyle name="Normal 36" xfId="603" xr:uid="{8C57DBE2-B80C-49E7-861F-350FA1B60609}"/>
    <cellStyle name="Normal 36 2" xfId="604" xr:uid="{D47E612A-2D02-4ED4-9B29-8536AC743B8D}"/>
    <cellStyle name="Normal 37" xfId="605" xr:uid="{0C1D180D-5502-4B77-BD4C-F2FF4F75F6DB}"/>
    <cellStyle name="Normal 38" xfId="606" xr:uid="{FD9616C4-A0F3-4D3A-BBCF-43668DF45AF5}"/>
    <cellStyle name="Normal 39" xfId="607" xr:uid="{CDD6F380-A0F9-48F4-BFEC-B90FD8B7AEA1}"/>
    <cellStyle name="Normal 4" xfId="79" xr:uid="{00000000-0005-0000-0000-0000AD000000}"/>
    <cellStyle name="Normal 4 2" xfId="388" xr:uid="{B9C2A8E0-3BA9-4C38-B141-456B3F09C129}"/>
    <cellStyle name="Normal 4 3" xfId="608" xr:uid="{D68041BC-D21D-4743-97EE-0DDBF178ED9C}"/>
    <cellStyle name="Normal 4 4" xfId="609" xr:uid="{AB2F4DF7-FBEE-43F9-9297-538DFBBA0BF9}"/>
    <cellStyle name="Normal 4 4 2" xfId="610" xr:uid="{3A93BD82-3FD3-451E-937D-DF15386F2A15}"/>
    <cellStyle name="Normal 4 5" xfId="611" xr:uid="{AD923BB5-EFF0-4F70-ADCA-24E704C5E82E}"/>
    <cellStyle name="Normal 4 5 2" xfId="612" xr:uid="{3C2DFEE3-C6DF-4254-8D7C-07A3F958B9E0}"/>
    <cellStyle name="Normal 4 6" xfId="613" xr:uid="{B160DB37-EB2B-416D-A6AD-91734A0B8E3D}"/>
    <cellStyle name="Normal 4 7" xfId="387" xr:uid="{DE6582F3-36FE-4033-BEA9-12C5E1DEF61C}"/>
    <cellStyle name="Normal 40" xfId="325" xr:uid="{32A766BD-72DA-46F4-9A73-C11B91B2379F}"/>
    <cellStyle name="Normal 5" xfId="59" xr:uid="{00000000-0005-0000-0000-0000AE000000}"/>
    <cellStyle name="Normal 5 2" xfId="93" xr:uid="{00000000-0005-0000-0000-0000AF000000}"/>
    <cellStyle name="Normal 5 2 2" xfId="614" xr:uid="{C6D3ED13-D4D7-426C-AAD2-B3F4F76D8B5B}"/>
    <cellStyle name="Normal 5 3" xfId="389" xr:uid="{D3B93051-97C0-4ECB-A3B1-54A6C4E46E9A}"/>
    <cellStyle name="Normal 6" xfId="74" xr:uid="{00000000-0005-0000-0000-0000B0000000}"/>
    <cellStyle name="Normal 6 2" xfId="94" xr:uid="{00000000-0005-0000-0000-0000B1000000}"/>
    <cellStyle name="Normal 6 2 2" xfId="615" xr:uid="{5C09A6ED-2567-4ABA-9072-E1F9E9FEA9E5}"/>
    <cellStyle name="Normal 6 3" xfId="100" xr:uid="{00000000-0005-0000-0000-0000B2000000}"/>
    <cellStyle name="Normal 6 3 2" xfId="115" xr:uid="{00000000-0005-0000-0000-0000B3000000}"/>
    <cellStyle name="Normal 6 3 2 2" xfId="139" xr:uid="{00000000-0005-0000-0000-0000B4000000}"/>
    <cellStyle name="Normal 6 3 2 2 2" xfId="253" xr:uid="{00000000-0005-0000-0000-0000B5000000}"/>
    <cellStyle name="Normal 6 3 2 3" xfId="176" xr:uid="{00000000-0005-0000-0000-0000B6000000}"/>
    <cellStyle name="Normal 6 3 2 3 2" xfId="277" xr:uid="{00000000-0005-0000-0000-0000B7000000}"/>
    <cellStyle name="Normal 6 3 2 4" xfId="204" xr:uid="{00000000-0005-0000-0000-0000B8000000}"/>
    <cellStyle name="Normal 6 3 2 4 2" xfId="301" xr:uid="{00000000-0005-0000-0000-0000B9000000}"/>
    <cellStyle name="Normal 6 3 2 5" xfId="229" xr:uid="{00000000-0005-0000-0000-0000BA000000}"/>
    <cellStyle name="Normal 6 3 2_Tax Expenditures" xfId="183" xr:uid="{00000000-0005-0000-0000-0000BB000000}"/>
    <cellStyle name="Normal 6 3 3" xfId="127" xr:uid="{00000000-0005-0000-0000-0000BC000000}"/>
    <cellStyle name="Normal 6 3 3 2" xfId="241" xr:uid="{00000000-0005-0000-0000-0000BD000000}"/>
    <cellStyle name="Normal 6 3 4" xfId="164" xr:uid="{00000000-0005-0000-0000-0000BE000000}"/>
    <cellStyle name="Normal 6 3 4 2" xfId="265" xr:uid="{00000000-0005-0000-0000-0000BF000000}"/>
    <cellStyle name="Normal 6 3 5" xfId="192" xr:uid="{00000000-0005-0000-0000-0000C0000000}"/>
    <cellStyle name="Normal 6 3 5 2" xfId="289" xr:uid="{00000000-0005-0000-0000-0000C1000000}"/>
    <cellStyle name="Normal 6 3 6" xfId="217" xr:uid="{00000000-0005-0000-0000-0000C2000000}"/>
    <cellStyle name="Normal 6 3_Tax Expenditures" xfId="154" xr:uid="{00000000-0005-0000-0000-0000C3000000}"/>
    <cellStyle name="Normal 6 4" xfId="109" xr:uid="{00000000-0005-0000-0000-0000C4000000}"/>
    <cellStyle name="Normal 6 4 2" xfId="133" xr:uid="{00000000-0005-0000-0000-0000C5000000}"/>
    <cellStyle name="Normal 6 4 2 2" xfId="247" xr:uid="{00000000-0005-0000-0000-0000C6000000}"/>
    <cellStyle name="Normal 6 4 3" xfId="170" xr:uid="{00000000-0005-0000-0000-0000C7000000}"/>
    <cellStyle name="Normal 6 4 3 2" xfId="271" xr:uid="{00000000-0005-0000-0000-0000C8000000}"/>
    <cellStyle name="Normal 6 4 4" xfId="198" xr:uid="{00000000-0005-0000-0000-0000C9000000}"/>
    <cellStyle name="Normal 6 4 4 2" xfId="295" xr:uid="{00000000-0005-0000-0000-0000CA000000}"/>
    <cellStyle name="Normal 6 4 5" xfId="223" xr:uid="{00000000-0005-0000-0000-0000CB000000}"/>
    <cellStyle name="Normal 6 4_Tax Expenditures" xfId="151" xr:uid="{00000000-0005-0000-0000-0000CC000000}"/>
    <cellStyle name="Normal 6 5" xfId="121" xr:uid="{00000000-0005-0000-0000-0000CD000000}"/>
    <cellStyle name="Normal 6 5 2" xfId="235" xr:uid="{00000000-0005-0000-0000-0000CE000000}"/>
    <cellStyle name="Normal 6 6" xfId="156" xr:uid="{00000000-0005-0000-0000-0000CF000000}"/>
    <cellStyle name="Normal 6 6 2" xfId="259" xr:uid="{00000000-0005-0000-0000-0000D0000000}"/>
    <cellStyle name="Normal 6 7" xfId="186" xr:uid="{00000000-0005-0000-0000-0000D1000000}"/>
    <cellStyle name="Normal 6 7 2" xfId="283" xr:uid="{00000000-0005-0000-0000-0000D2000000}"/>
    <cellStyle name="Normal 6 8" xfId="211" xr:uid="{00000000-0005-0000-0000-0000D3000000}"/>
    <cellStyle name="Normal 6 9" xfId="390" xr:uid="{BF799B09-00ED-4D1F-95E1-D4A7BA2C94D5}"/>
    <cellStyle name="Normal 6_Tax Expenditures" xfId="144" xr:uid="{00000000-0005-0000-0000-0000D4000000}"/>
    <cellStyle name="Normal 7" xfId="85" xr:uid="{00000000-0005-0000-0000-0000D5000000}"/>
    <cellStyle name="Normal 7 2" xfId="102" xr:uid="{00000000-0005-0000-0000-0000D6000000}"/>
    <cellStyle name="Normal 7 2 2" xfId="117" xr:uid="{00000000-0005-0000-0000-0000D7000000}"/>
    <cellStyle name="Normal 7 2 2 2" xfId="141" xr:uid="{00000000-0005-0000-0000-0000D8000000}"/>
    <cellStyle name="Normal 7 2 2 2 2" xfId="255" xr:uid="{00000000-0005-0000-0000-0000D9000000}"/>
    <cellStyle name="Normal 7 2 2 3" xfId="178" xr:uid="{00000000-0005-0000-0000-0000DA000000}"/>
    <cellStyle name="Normal 7 2 2 3 2" xfId="279" xr:uid="{00000000-0005-0000-0000-0000DB000000}"/>
    <cellStyle name="Normal 7 2 2 4" xfId="206" xr:uid="{00000000-0005-0000-0000-0000DC000000}"/>
    <cellStyle name="Normal 7 2 2 4 2" xfId="303" xr:uid="{00000000-0005-0000-0000-0000DD000000}"/>
    <cellStyle name="Normal 7 2 2 5" xfId="231" xr:uid="{00000000-0005-0000-0000-0000DE000000}"/>
    <cellStyle name="Normal 7 2 2_Tax Expenditures" xfId="184" xr:uid="{00000000-0005-0000-0000-0000DF000000}"/>
    <cellStyle name="Normal 7 2 3" xfId="129" xr:uid="{00000000-0005-0000-0000-0000E0000000}"/>
    <cellStyle name="Normal 7 2 3 2" xfId="243" xr:uid="{00000000-0005-0000-0000-0000E1000000}"/>
    <cellStyle name="Normal 7 2 4" xfId="166" xr:uid="{00000000-0005-0000-0000-0000E2000000}"/>
    <cellStyle name="Normal 7 2 4 2" xfId="267" xr:uid="{00000000-0005-0000-0000-0000E3000000}"/>
    <cellStyle name="Normal 7 2 5" xfId="194" xr:uid="{00000000-0005-0000-0000-0000E4000000}"/>
    <cellStyle name="Normal 7 2 5 2" xfId="291" xr:uid="{00000000-0005-0000-0000-0000E5000000}"/>
    <cellStyle name="Normal 7 2 6" xfId="219" xr:uid="{00000000-0005-0000-0000-0000E6000000}"/>
    <cellStyle name="Normal 7 2 7" xfId="616" xr:uid="{5DFD0D46-251F-473C-8CE6-760632475B72}"/>
    <cellStyle name="Normal 7 2 8" xfId="691" xr:uid="{2973792C-873F-417D-8E54-B681B3311840}"/>
    <cellStyle name="Normal 7 2_Tax Expenditures" xfId="146" xr:uid="{00000000-0005-0000-0000-0000E7000000}"/>
    <cellStyle name="Normal 7 3" xfId="111" xr:uid="{00000000-0005-0000-0000-0000E8000000}"/>
    <cellStyle name="Normal 7 3 2" xfId="135" xr:uid="{00000000-0005-0000-0000-0000E9000000}"/>
    <cellStyle name="Normal 7 3 2 2" xfId="249" xr:uid="{00000000-0005-0000-0000-0000EA000000}"/>
    <cellStyle name="Normal 7 3 3" xfId="172" xr:uid="{00000000-0005-0000-0000-0000EB000000}"/>
    <cellStyle name="Normal 7 3 3 2" xfId="273" xr:uid="{00000000-0005-0000-0000-0000EC000000}"/>
    <cellStyle name="Normal 7 3 4" xfId="200" xr:uid="{00000000-0005-0000-0000-0000ED000000}"/>
    <cellStyle name="Normal 7 3 4 2" xfId="297" xr:uid="{00000000-0005-0000-0000-0000EE000000}"/>
    <cellStyle name="Normal 7 3 5" xfId="225" xr:uid="{00000000-0005-0000-0000-0000EF000000}"/>
    <cellStyle name="Normal 7 3_Tax Expenditures" xfId="149" xr:uid="{00000000-0005-0000-0000-0000F0000000}"/>
    <cellStyle name="Normal 7 4" xfId="123" xr:uid="{00000000-0005-0000-0000-0000F1000000}"/>
    <cellStyle name="Normal 7 4 2" xfId="237" xr:uid="{00000000-0005-0000-0000-0000F2000000}"/>
    <cellStyle name="Normal 7 5" xfId="158" xr:uid="{00000000-0005-0000-0000-0000F3000000}"/>
    <cellStyle name="Normal 7 5 2" xfId="261" xr:uid="{00000000-0005-0000-0000-0000F4000000}"/>
    <cellStyle name="Normal 7 6" xfId="188" xr:uid="{00000000-0005-0000-0000-0000F5000000}"/>
    <cellStyle name="Normal 7 6 2" xfId="285" xr:uid="{00000000-0005-0000-0000-0000F6000000}"/>
    <cellStyle name="Normal 7 7" xfId="213" xr:uid="{00000000-0005-0000-0000-0000F7000000}"/>
    <cellStyle name="Normal 7 8" xfId="391" xr:uid="{2989FE18-E30E-44FA-8DBF-164C90F90427}"/>
    <cellStyle name="Normal 7 9" xfId="689" xr:uid="{E51CC4D1-93F2-42F7-B7DB-69703AEA61E2}"/>
    <cellStyle name="Normal 7_Tax Expenditures" xfId="153" xr:uid="{00000000-0005-0000-0000-0000F8000000}"/>
    <cellStyle name="Normal 8" xfId="5" xr:uid="{00000000-0005-0000-0000-0000F9000000}"/>
    <cellStyle name="Normal 8 2" xfId="97" xr:uid="{00000000-0005-0000-0000-0000FA000000}"/>
    <cellStyle name="Normal 8 2 2" xfId="433" xr:uid="{A4A4920E-A01B-4337-91DA-844329DEABE3}"/>
    <cellStyle name="Normal 8 2 3" xfId="392" xr:uid="{D46FD181-132C-4D96-85A1-D268BAAD2BBF}"/>
    <cellStyle name="Normal 8 3" xfId="432" xr:uid="{08D3C8E7-5DF9-4180-8D3C-E2C41BABC043}"/>
    <cellStyle name="Normal 8 4" xfId="617" xr:uid="{8F78DFB8-6887-4DC2-AC0D-5A663E9EC176}"/>
    <cellStyle name="Normal 9" xfId="7" xr:uid="{00000000-0005-0000-0000-0000FB000000}"/>
    <cellStyle name="Normal 9 2" xfId="105" xr:uid="{00000000-0005-0000-0000-0000FC000000}"/>
    <cellStyle name="Normal 9 2 2" xfId="437" xr:uid="{2C5AC31C-EDF5-441B-BCA9-936F8E3CF4DF}"/>
    <cellStyle name="Normal GHG whole table" xfId="618" xr:uid="{FDDA9FE6-4128-443D-826C-5D02EE6E32AE}"/>
    <cellStyle name="Normal_Acc and Freeze Options" xfId="734" xr:uid="{CC21B393-7D15-4592-B44D-8BFBB782B2DE}"/>
    <cellStyle name="Normal_Comp1398" xfId="15" xr:uid="{00000000-0005-0000-0000-0000FD000000}"/>
    <cellStyle name="Normal_TabAnnexeB" xfId="2" xr:uid="{00000000-0005-0000-0000-0000FE000000}"/>
    <cellStyle name="Normal_TabAnnexeB 2" xfId="323" xr:uid="{DC2C5B44-223F-43F2-9C02-67A533BF7FAC}"/>
    <cellStyle name="Normal-blank" xfId="619" xr:uid="{A3CD1D4B-A4A4-41FD-9FAE-5401AA3B6C02}"/>
    <cellStyle name="Normal-bottom" xfId="620" xr:uid="{B18B7E1C-5711-4114-A4D4-0322B42E3041}"/>
    <cellStyle name="Normal-center" xfId="621" xr:uid="{0F4BBEA6-26B1-4E52-A12A-111260D8CFC0}"/>
    <cellStyle name="Normal-droit" xfId="622" xr:uid="{73E954A8-E237-494A-8A58-4CD50DE06F94}"/>
    <cellStyle name="normální_Nove vystupy_DOPOCTENE" xfId="624" xr:uid="{82B43C1A-90BB-4392-8BE1-0558067E09E5}"/>
    <cellStyle name="Normal-top" xfId="623" xr:uid="{2B048E38-7446-4522-9E80-AB3CB740CB39}"/>
    <cellStyle name="Note" xfId="706" builtinId="10" customBuiltin="1"/>
    <cellStyle name="Note 2" xfId="625" xr:uid="{1EB72286-FDD2-43EC-A83F-30F3A6429749}"/>
    <cellStyle name="Note 3" xfId="626" xr:uid="{2DB25111-1C94-4CB6-9036-2B10A7E2A725}"/>
    <cellStyle name="Note 4" xfId="393" xr:uid="{241CD652-90D2-41FF-9E68-3D267BB830EB}"/>
    <cellStyle name="Output" xfId="701" builtinId="21" customBuiltin="1"/>
    <cellStyle name="Output 2" xfId="627" xr:uid="{FFAFE435-95CE-4242-8F85-7918F2367226}"/>
    <cellStyle name="Output 3" xfId="394" xr:uid="{A3DDA02A-0F0C-4367-B6F2-F341C83F2718}"/>
    <cellStyle name="Percent" xfId="1" builtinId="5"/>
    <cellStyle name="Percent 10" xfId="628" xr:uid="{F1B558D3-5C85-464A-893C-C0AF75834400}"/>
    <cellStyle name="Percent 10 2" xfId="629" xr:uid="{AA8090BA-0DE0-4DD7-ACEB-0D4D160BAA29}"/>
    <cellStyle name="Percent 11" xfId="630" xr:uid="{E9BC72F9-976F-4539-B8C5-2C0FA79AF1E4}"/>
    <cellStyle name="Percent 12" xfId="631" xr:uid="{6076EC67-EF0C-4D0C-BCF9-F6665966DF23}"/>
    <cellStyle name="Percent 12 2" xfId="632" xr:uid="{D3702DF7-64DC-4F86-BD28-654BD44A3E7B}"/>
    <cellStyle name="Percent 12 2 2" xfId="633" xr:uid="{27F999DA-FBCE-49E3-9106-2214259AD392}"/>
    <cellStyle name="Percent 13" xfId="634" xr:uid="{941DA16C-0999-45D6-B3A7-53594C762A8C}"/>
    <cellStyle name="Percent 14" xfId="635" xr:uid="{0A0CDD97-CAF1-4585-ACA7-1251A5704047}"/>
    <cellStyle name="Percent 15" xfId="636" xr:uid="{FF183290-0DCD-4763-9A24-41269F984A13}"/>
    <cellStyle name="Percent 15 2" xfId="637" xr:uid="{EA763909-4C42-408B-8BC9-56432714611B}"/>
    <cellStyle name="Percent 16" xfId="638" xr:uid="{CFBD9ADD-1F69-4580-BFF0-8E1CF532927D}"/>
    <cellStyle name="Percent 16 2" xfId="639" xr:uid="{F4642CCB-D5A9-4548-B76A-C469B3A5905E}"/>
    <cellStyle name="Percent 17" xfId="640" xr:uid="{62702F52-9FC1-4DE9-8F7E-C23D3A6E323B}"/>
    <cellStyle name="Percent 18" xfId="641" xr:uid="{07DAF3A4-0019-49E6-BCC0-25AA662B3F80}"/>
    <cellStyle name="Percent 19" xfId="642" xr:uid="{08E440EF-474A-4DB3-83D0-69936844C413}"/>
    <cellStyle name="Percent 2" xfId="80" xr:uid="{00000000-0005-0000-0000-000000010000}"/>
    <cellStyle name="Percent 2 10" xfId="61" xr:uid="{00000000-0005-0000-0000-000001010000}"/>
    <cellStyle name="Percent 2 11" xfId="62" xr:uid="{00000000-0005-0000-0000-000002010000}"/>
    <cellStyle name="Percent 2 12" xfId="63" xr:uid="{00000000-0005-0000-0000-000003010000}"/>
    <cellStyle name="Percent 2 13" xfId="64" xr:uid="{00000000-0005-0000-0000-000004010000}"/>
    <cellStyle name="Percent 2 14" xfId="96" xr:uid="{00000000-0005-0000-0000-000005010000}"/>
    <cellStyle name="Percent 2 15" xfId="395" xr:uid="{FCF4CAEE-48DD-4F37-8EB8-8C8196CC4745}"/>
    <cellStyle name="Percent 2 2" xfId="65" xr:uid="{00000000-0005-0000-0000-000006010000}"/>
    <cellStyle name="Percent 2 2 2" xfId="643" xr:uid="{3DF04597-156D-4D3A-B4A1-AE7975739D5E}"/>
    <cellStyle name="Percent 2 2 3" xfId="396" xr:uid="{1BD7A6ED-BF59-47F4-9463-D0B77BEE7002}"/>
    <cellStyle name="Percent 2 3" xfId="66" xr:uid="{00000000-0005-0000-0000-000007010000}"/>
    <cellStyle name="Percent 2 3 2" xfId="397" xr:uid="{4D53465A-0B0B-44C0-8617-028D8A61A903}"/>
    <cellStyle name="Percent 2 4" xfId="67" xr:uid="{00000000-0005-0000-0000-000008010000}"/>
    <cellStyle name="Percent 2 4 2" xfId="644" xr:uid="{FA4B2F6D-08C7-4B17-A903-0E0163E4EE61}"/>
    <cellStyle name="Percent 2 5" xfId="68" xr:uid="{00000000-0005-0000-0000-000009010000}"/>
    <cellStyle name="Percent 2 5 2" xfId="645" xr:uid="{0881E152-3019-4412-86FE-0EF8B64C4FCA}"/>
    <cellStyle name="Percent 2 6" xfId="69" xr:uid="{00000000-0005-0000-0000-00000A010000}"/>
    <cellStyle name="Percent 2 7" xfId="70" xr:uid="{00000000-0005-0000-0000-00000B010000}"/>
    <cellStyle name="Percent 2 8" xfId="71" xr:uid="{00000000-0005-0000-0000-00000C010000}"/>
    <cellStyle name="Percent 2 9" xfId="72" xr:uid="{00000000-0005-0000-0000-00000D010000}"/>
    <cellStyle name="Percent 20" xfId="326" xr:uid="{F63AD2C7-2C1B-4556-ADC3-A55FDCCC7BF7}"/>
    <cellStyle name="Percent 3" xfId="81" xr:uid="{00000000-0005-0000-0000-00000E010000}"/>
    <cellStyle name="Percent 3 2" xfId="646" xr:uid="{A0D9676C-6586-4C37-9893-8E3CE788302D}"/>
    <cellStyle name="Percent 3 3" xfId="647" xr:uid="{0B3A6FBA-D074-4691-A519-100BA0C5FB0D}"/>
    <cellStyle name="Percent 4" xfId="84" xr:uid="{00000000-0005-0000-0000-00000F010000}"/>
    <cellStyle name="Percent 4 2" xfId="649" xr:uid="{DDFC290E-53BD-4422-AFF4-7C7149FACB32}"/>
    <cellStyle name="Percent 4 2 2" xfId="650" xr:uid="{53546F94-27D5-4C76-90DA-E7B4B4B78564}"/>
    <cellStyle name="Percent 4 3" xfId="651" xr:uid="{38A57945-59E2-48AB-8F6B-3E28B1AC3ECD}"/>
    <cellStyle name="Percent 4 3 2" xfId="652" xr:uid="{20FB9005-DC47-4906-8A21-017B30057225}"/>
    <cellStyle name="Percent 4 4" xfId="653" xr:uid="{15BCDB9D-7957-41ED-9487-5CC030B87994}"/>
    <cellStyle name="Percent 4 5" xfId="648" xr:uid="{4F4D1CAC-519E-4F0C-A405-16BECF0D91D8}"/>
    <cellStyle name="Percent 5" xfId="95" xr:uid="{00000000-0005-0000-0000-000010010000}"/>
    <cellStyle name="Percent 5 2" xfId="104" xr:uid="{00000000-0005-0000-0000-000011010000}"/>
    <cellStyle name="Percent 5 2 2" xfId="119" xr:uid="{00000000-0005-0000-0000-000012010000}"/>
    <cellStyle name="Percent 5 2 2 2" xfId="143" xr:uid="{00000000-0005-0000-0000-000013010000}"/>
    <cellStyle name="Percent 5 2 2 2 2" xfId="257" xr:uid="{00000000-0005-0000-0000-000014010000}"/>
    <cellStyle name="Percent 5 2 2 3" xfId="180" xr:uid="{00000000-0005-0000-0000-000015010000}"/>
    <cellStyle name="Percent 5 2 2 3 2" xfId="281" xr:uid="{00000000-0005-0000-0000-000016010000}"/>
    <cellStyle name="Percent 5 2 2 4" xfId="208" xr:uid="{00000000-0005-0000-0000-000017010000}"/>
    <cellStyle name="Percent 5 2 2 4 2" xfId="305" xr:uid="{00000000-0005-0000-0000-000018010000}"/>
    <cellStyle name="Percent 5 2 2 5" xfId="233" xr:uid="{00000000-0005-0000-0000-000019010000}"/>
    <cellStyle name="Percent 5 2 3" xfId="131" xr:uid="{00000000-0005-0000-0000-00001A010000}"/>
    <cellStyle name="Percent 5 2 3 2" xfId="245" xr:uid="{00000000-0005-0000-0000-00001B010000}"/>
    <cellStyle name="Percent 5 2 4" xfId="168" xr:uid="{00000000-0005-0000-0000-00001C010000}"/>
    <cellStyle name="Percent 5 2 4 2" xfId="269" xr:uid="{00000000-0005-0000-0000-00001D010000}"/>
    <cellStyle name="Percent 5 2 5" xfId="196" xr:uid="{00000000-0005-0000-0000-00001E010000}"/>
    <cellStyle name="Percent 5 2 5 2" xfId="293" xr:uid="{00000000-0005-0000-0000-00001F010000}"/>
    <cellStyle name="Percent 5 2 6" xfId="221" xr:uid="{00000000-0005-0000-0000-000020010000}"/>
    <cellStyle name="Percent 5 3" xfId="113" xr:uid="{00000000-0005-0000-0000-000021010000}"/>
    <cellStyle name="Percent 5 3 2" xfId="137" xr:uid="{00000000-0005-0000-0000-000022010000}"/>
    <cellStyle name="Percent 5 3 2 2" xfId="251" xr:uid="{00000000-0005-0000-0000-000023010000}"/>
    <cellStyle name="Percent 5 3 3" xfId="174" xr:uid="{00000000-0005-0000-0000-000024010000}"/>
    <cellStyle name="Percent 5 3 3 2" xfId="275" xr:uid="{00000000-0005-0000-0000-000025010000}"/>
    <cellStyle name="Percent 5 3 4" xfId="202" xr:uid="{00000000-0005-0000-0000-000026010000}"/>
    <cellStyle name="Percent 5 3 4 2" xfId="299" xr:uid="{00000000-0005-0000-0000-000027010000}"/>
    <cellStyle name="Percent 5 3 5" xfId="227" xr:uid="{00000000-0005-0000-0000-000028010000}"/>
    <cellStyle name="Percent 5 4" xfId="125" xr:uid="{00000000-0005-0000-0000-000029010000}"/>
    <cellStyle name="Percent 5 4 2" xfId="239" xr:uid="{00000000-0005-0000-0000-00002A010000}"/>
    <cellStyle name="Percent 5 5" xfId="162" xr:uid="{00000000-0005-0000-0000-00002B010000}"/>
    <cellStyle name="Percent 5 5 2" xfId="263" xr:uid="{00000000-0005-0000-0000-00002C010000}"/>
    <cellStyle name="Percent 5 6" xfId="190" xr:uid="{00000000-0005-0000-0000-00002D010000}"/>
    <cellStyle name="Percent 5 6 2" xfId="287" xr:uid="{00000000-0005-0000-0000-00002E010000}"/>
    <cellStyle name="Percent 5 7" xfId="215" xr:uid="{00000000-0005-0000-0000-00002F010000}"/>
    <cellStyle name="Percent 5 8" xfId="654" xr:uid="{06EBBD5D-9CA8-4AF3-BC25-E17B6F5735B7}"/>
    <cellStyle name="Percent 6" xfId="60" xr:uid="{00000000-0005-0000-0000-000030010000}"/>
    <cellStyle name="Percent 6 2" xfId="656" xr:uid="{E852313E-BE7F-49C3-8885-D8A50D320833}"/>
    <cellStyle name="Percent 6 3" xfId="655" xr:uid="{EAB230CF-7ECD-456B-93FA-ED0E51771868}"/>
    <cellStyle name="Percent 7" xfId="98" xr:uid="{00000000-0005-0000-0000-000031010000}"/>
    <cellStyle name="Percent 7 2" xfId="658" xr:uid="{E8117257-B67F-4582-904A-EEB5D162299D}"/>
    <cellStyle name="Percent 7 2 2" xfId="659" xr:uid="{B0267EF3-F25E-4F22-9052-87AB49504E43}"/>
    <cellStyle name="Percent 7 3" xfId="657" xr:uid="{F25A575C-45FC-467E-8301-7CFDEE20D9D2}"/>
    <cellStyle name="Percent 8" xfId="311" xr:uid="{1F9BA7A0-68B1-418B-879C-EAB2F378021C}"/>
    <cellStyle name="Percent 8 2" xfId="661" xr:uid="{3274FC4C-00FE-4660-A1B8-9EF6269118AB}"/>
    <cellStyle name="Percent 8 3" xfId="662" xr:uid="{512058ED-1BBF-4288-A960-85A3DE7A1F92}"/>
    <cellStyle name="Percent 8 4" xfId="660" xr:uid="{22587A98-8EFC-40D1-B906-FF8EDD249BD2}"/>
    <cellStyle name="Percent 9" xfId="663" xr:uid="{B4AFDDDF-6AF7-4943-AA54-BF97296E451B}"/>
    <cellStyle name="Percent 9 2" xfId="664" xr:uid="{91CB4409-C950-4F5A-AB1B-D6B1C5E7B65D}"/>
    <cellStyle name="Percent 9 3" xfId="665" xr:uid="{ED51721E-DF33-4193-A978-835DA17CF1FA}"/>
    <cellStyle name="Pilkku_Esimerkkejä kaavioista.xls Kaavio 1" xfId="666" xr:uid="{284FD3A2-4476-4C3E-AAC3-CD4516FAEF63}"/>
    <cellStyle name="Pourcentage 10" xfId="398" xr:uid="{A2096A5D-1FB4-4E69-9F69-42010F0AD98E}"/>
    <cellStyle name="Pourcentage 10 2" xfId="399" xr:uid="{16C76C70-DE16-4AB2-B166-56DE04ED6E7C}"/>
    <cellStyle name="Pourcentage 10 2 2" xfId="400" xr:uid="{DC30AD90-751E-493D-97C6-83503DD59262}"/>
    <cellStyle name="Pourcentage 10 3" xfId="401" xr:uid="{B0E88893-704C-4381-9568-6DBFFBF4565C}"/>
    <cellStyle name="Pourcentage 10 4" xfId="402" xr:uid="{5D16B30B-DC35-4019-8E50-1733DCB71CDE}"/>
    <cellStyle name="Pourcentage 10 5" xfId="436" xr:uid="{D25085DE-92CA-4380-83BB-0C5DB69CA2ED}"/>
    <cellStyle name="Pourcentage 11" xfId="403" xr:uid="{B063278F-6581-4CA6-9711-3BDD070BC9DB}"/>
    <cellStyle name="Pourcentage 12" xfId="404" xr:uid="{1423BB6F-0993-46FF-92AF-20C7E0BA36CF}"/>
    <cellStyle name="Pourcentage 12 2" xfId="405" xr:uid="{13B54AA3-1856-4F87-A1F3-51210D67B8F7}"/>
    <cellStyle name="Pourcentage 12 3" xfId="406" xr:uid="{F6C2109B-1AA7-472F-92EA-1C18C84085F0}"/>
    <cellStyle name="Pourcentage 13" xfId="407" xr:uid="{E71C2E1F-7060-4302-87E7-917A54A9F607}"/>
    <cellStyle name="Pourcentage 13 2" xfId="667" xr:uid="{D2C0EEBA-0C61-4F83-B2F7-9B3B9E25CC30}"/>
    <cellStyle name="Pourcentage 14" xfId="441" xr:uid="{92A9E007-E46D-4933-BEA1-F80118B3F856}"/>
    <cellStyle name="Pourcentage 15" xfId="444" xr:uid="{DD8404A4-9212-49A4-A5EA-35DDDFE34360}"/>
    <cellStyle name="Pourcentage 15 2" xfId="688" xr:uid="{07BC89FD-987E-4B77-B365-E7C76BD29A32}"/>
    <cellStyle name="Pourcentage 16" xfId="668" xr:uid="{AD4654DB-F0FB-4555-AD0F-A7585370A9B0}"/>
    <cellStyle name="Pourcentage 17" xfId="669" xr:uid="{E9D30B36-AD9E-47A7-BE63-B0CCC3BB1A39}"/>
    <cellStyle name="Pourcentage 18" xfId="670" xr:uid="{DACD064B-A1D8-4967-9FBC-A1AB8F350DEA}"/>
    <cellStyle name="Pourcentage 19" xfId="671" xr:uid="{9AECB7E8-20F2-4590-A023-3AF3D795FE4B}"/>
    <cellStyle name="Pourcentage 2" xfId="408" xr:uid="{8C47453A-2B40-4D23-AE12-12BE7E9D1871}"/>
    <cellStyle name="Pourcentage 2 2" xfId="409" xr:uid="{647BF1DC-5FAA-44F8-9381-24DD4CFF5E95}"/>
    <cellStyle name="Pourcentage 2 3" xfId="410" xr:uid="{5CBBDEEB-2691-4556-AC0C-53C2B89A74B3}"/>
    <cellStyle name="Pourcentage 2 3 2" xfId="672" xr:uid="{7B3728F4-5BB6-4EC5-963E-6E4321173502}"/>
    <cellStyle name="Pourcentage 2 3 2 2" xfId="673" xr:uid="{58894309-2277-4CED-843D-1725BFCC87D0}"/>
    <cellStyle name="Pourcentage 2 3 3" xfId="674" xr:uid="{FB5CD3CA-DF58-46E4-92D2-E85166599F93}"/>
    <cellStyle name="Pourcentage 2 4" xfId="675" xr:uid="{34DA89FF-3E56-410D-A051-66A6A2FC8FC2}"/>
    <cellStyle name="Pourcentage 3" xfId="411" xr:uid="{31DD6D19-3B0B-4CFB-A3EA-C0B0F2BB26DE}"/>
    <cellStyle name="Pourcentage 3 2" xfId="412" xr:uid="{549A5591-3377-45D4-8D79-8F73B14B31CD}"/>
    <cellStyle name="Pourcentage 4" xfId="413" xr:uid="{E778ADA1-5B7B-4A4C-898E-290BCDEC420C}"/>
    <cellStyle name="Pourcentage 4 2" xfId="676" xr:uid="{87ED3E47-F02F-46A7-ACBD-7EDD5D948EEA}"/>
    <cellStyle name="Pourcentage 5" xfId="414" xr:uid="{D32F0024-A344-4190-929A-676EB9193440}"/>
    <cellStyle name="Pourcentage 5 2" xfId="415" xr:uid="{851DF8C9-178C-4AE1-ACED-640B84D11821}"/>
    <cellStyle name="Pourcentage 6" xfId="416" xr:uid="{A7435AB0-321C-44EE-9338-243B2BCB1137}"/>
    <cellStyle name="Pourcentage 6 2" xfId="11" xr:uid="{00000000-0005-0000-0000-000032010000}"/>
    <cellStyle name="Pourcentage 6 2 2" xfId="677" xr:uid="{0899E841-6388-4E73-8056-3DD58BAB4F95}"/>
    <cellStyle name="Pourcentage 7" xfId="10" xr:uid="{00000000-0005-0000-0000-000033010000}"/>
    <cellStyle name="Pourcentage 7 2" xfId="417" xr:uid="{1A0958B6-BE8B-4EA9-A862-25D667CBC1B2}"/>
    <cellStyle name="Pourcentage 7 3" xfId="434" xr:uid="{18C7F026-F96E-4D35-B678-9DFB8DB7B775}"/>
    <cellStyle name="Pourcentage 8" xfId="12" xr:uid="{00000000-0005-0000-0000-000034010000}"/>
    <cellStyle name="Pourcentage 8 2" xfId="438" xr:uid="{2E90749E-009F-4B2B-B0C0-D107A34F2D6D}"/>
    <cellStyle name="Pourcentage 8 2 2" xfId="678" xr:uid="{5581534F-2913-4F07-A9FF-0A54B885E8BA}"/>
    <cellStyle name="Pourcentage 9" xfId="14" xr:uid="{00000000-0005-0000-0000-000035010000}"/>
    <cellStyle name="Pourcentage 9 2" xfId="418" xr:uid="{09FE73A6-DE4A-4BEB-8D6D-DFF042A37368}"/>
    <cellStyle name="Pourcentage 9 2 2" xfId="419" xr:uid="{B1FBFE5F-27D6-4697-B2D8-995FD4425393}"/>
    <cellStyle name="Satisfaisant" xfId="420" xr:uid="{22011BB5-5D57-4287-9A08-E1B8C268AC5E}"/>
    <cellStyle name="Standard 11" xfId="421" xr:uid="{0188CB86-4C4D-4029-81DB-FEC0FE73D903}"/>
    <cellStyle name="Standard_2 + 3" xfId="422" xr:uid="{A79F0073-BEBB-49CD-93AB-F24B84925E38}"/>
    <cellStyle name="Style 24" xfId="679" xr:uid="{5B453243-4675-4B6D-8873-DCA54B990CF6}"/>
    <cellStyle name="Style 25" xfId="680" xr:uid="{C52A2926-E635-4AE3-9726-BC75769FCA78}"/>
    <cellStyle name="style_col_headings" xfId="313" xr:uid="{2817EA36-536A-44D2-8D0E-86563731481F}"/>
    <cellStyle name="style_data" xfId="314" xr:uid="{F8F3FCB1-DE7F-4FA8-8079-3AC3DDB9B6E2}"/>
    <cellStyle name="style_data 2" xfId="315" xr:uid="{80D5B82C-552B-41F6-AB33-33275A70BD50}"/>
    <cellStyle name="TEXT" xfId="681" xr:uid="{764AAD28-353A-466F-8C11-46A95BC687AB}"/>
    <cellStyle name="Title" xfId="692" builtinId="15" customBuiltin="1"/>
    <cellStyle name="Title 2" xfId="423" xr:uid="{9AB2A428-5306-4D43-92CD-B5441D7B4BB8}"/>
    <cellStyle name="Titre" xfId="424" xr:uid="{79275B37-C72E-4A02-8312-A303A80D94B9}"/>
    <cellStyle name="Titre 1" xfId="425" xr:uid="{716BA49C-0102-42D2-A459-16AA406C4CCE}"/>
    <cellStyle name="Titre 2" xfId="426" xr:uid="{96EB91A8-C715-4037-96F9-C23484C343B4}"/>
    <cellStyle name="Titre 3" xfId="427" xr:uid="{2F3C839F-6C13-4479-8902-9F9475F153D1}"/>
    <cellStyle name="Titre 4" xfId="428" xr:uid="{2CFD0CF5-F843-4402-BB52-124035BB1BBA}"/>
    <cellStyle name="Total" xfId="708" builtinId="25" customBuiltin="1"/>
    <cellStyle name="Total 2" xfId="682" xr:uid="{D8807B54-68A4-4596-A012-06E008A27B92}"/>
    <cellStyle name="Vérification" xfId="429" xr:uid="{2BD92844-D031-48E7-A2F7-71B9FF5AB87B}"/>
    <cellStyle name="Virgule fixe" xfId="324" xr:uid="{DB87AD32-9DB8-4FA5-9BF3-31DB6155077E}"/>
    <cellStyle name="Virgule fixe 2" xfId="683" xr:uid="{0D566EAE-908C-4D51-B99F-D692DC3E682A}"/>
    <cellStyle name="Virgule fixe 3" xfId="430" xr:uid="{05615FEC-699E-4C50-B481-F99A5A31E316}"/>
    <cellStyle name="Warning Text" xfId="705" builtinId="11" customBuiltin="1"/>
    <cellStyle name="Warning Text 2" xfId="684" xr:uid="{EBDFC5FB-33A4-4D68-B083-B7506DBE5D78}"/>
    <cellStyle name="Warning Text 3" xfId="431" xr:uid="{F0F14513-7FD8-41A2-ACC0-0802AD5D9530}"/>
    <cellStyle name="Wrapped" xfId="685" xr:uid="{EAB6B04D-3133-443B-B17E-5E74665910D4}"/>
    <cellStyle name="一般 2 3" xfId="686" xr:uid="{40263780-51B8-4E3D-B5CC-866D3F1C016F}"/>
    <cellStyle name="一般 3" xfId="687" xr:uid="{B55BBFC9-FFCB-48AF-BFDB-C075BEEA0F82}"/>
  </cellStyles>
  <dxfs count="0"/>
  <tableStyles count="0" defaultTableStyle="TableStyleMedium2" defaultPivotStyle="PivotStyleLight16"/>
  <colors>
    <mruColors>
      <color rgb="FFA03A49"/>
      <color rgb="FF1F7B91"/>
      <color rgb="FF792B36"/>
      <color rgb="FF2699B4"/>
      <color rgb="FFB57A0F"/>
      <color rgb="FFD58F11"/>
      <color rgb="FFAF3F4F"/>
      <color rgb="FF28B2B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468167587235837"/>
          <c:y val="1.912437220292031E-2"/>
          <c:w val="0.85720152285785978"/>
          <c:h val="0.83983704919368452"/>
        </c:manualLayout>
      </c:layout>
      <c:scatterChart>
        <c:scatterStyle val="lineMarker"/>
        <c:varyColors val="0"/>
        <c:ser>
          <c:idx val="4"/>
          <c:order val="0"/>
          <c:tx>
            <c:v>OTA</c:v>
          </c:tx>
          <c:spPr>
            <a:ln w="22225">
              <a:solidFill>
                <a:schemeClr val="accent6">
                  <a:lumMod val="75000"/>
                </a:schemeClr>
              </a:solidFill>
              <a:prstDash val="sysDash"/>
            </a:ln>
          </c:spPr>
          <c:marker>
            <c:symbol val="diamond"/>
            <c:size val="5"/>
            <c:spPr>
              <a:solidFill>
                <a:schemeClr val="bg1"/>
              </a:solidFill>
              <a:ln>
                <a:solidFill>
                  <a:schemeClr val="accent6">
                    <a:lumMod val="75000"/>
                  </a:schemeClr>
                </a:solidFill>
              </a:ln>
            </c:spPr>
          </c:marker>
          <c:dPt>
            <c:idx val="9"/>
            <c:bubble3D val="0"/>
            <c:spPr>
              <a:ln w="19050">
                <a:solidFill>
                  <a:schemeClr val="accent6">
                    <a:lumMod val="75000"/>
                  </a:schemeClr>
                </a:solidFill>
                <a:prstDash val="sysDash"/>
              </a:ln>
            </c:spPr>
            <c:extLst>
              <c:ext xmlns:c16="http://schemas.microsoft.com/office/drawing/2014/chart" uri="{C3380CC4-5D6E-409C-BE32-E72D297353CC}">
                <c16:uniqueId val="{00000003-C1C2-4DF7-83CF-A26553C94C92}"/>
              </c:ext>
            </c:extLst>
          </c:dPt>
          <c:xVal>
            <c:numRef>
              <c:f>'1-Prog'!$F$47:$P$47</c:f>
              <c:numCache>
                <c:formatCode>General</c:formatCode>
                <c:ptCount val="11"/>
                <c:pt idx="0">
                  <c:v>10</c:v>
                </c:pt>
                <c:pt idx="1">
                  <c:v>30</c:v>
                </c:pt>
                <c:pt idx="2">
                  <c:v>50</c:v>
                </c:pt>
                <c:pt idx="3">
                  <c:v>70</c:v>
                </c:pt>
                <c:pt idx="4">
                  <c:v>85</c:v>
                </c:pt>
                <c:pt idx="5">
                  <c:v>92.5</c:v>
                </c:pt>
                <c:pt idx="6">
                  <c:v>97</c:v>
                </c:pt>
                <c:pt idx="7" formatCode="0.0">
                  <c:v>99.5</c:v>
                </c:pt>
                <c:pt idx="9" formatCode="0.00">
                  <c:v>99.95</c:v>
                </c:pt>
              </c:numCache>
            </c:numRef>
          </c:xVal>
          <c:yVal>
            <c:numRef>
              <c:f>'1-Prog'!$F$37:$P$37</c:f>
              <c:numCache>
                <c:formatCode>0.0</c:formatCode>
                <c:ptCount val="11"/>
                <c:pt idx="0">
                  <c:v>-5</c:v>
                </c:pt>
                <c:pt idx="1">
                  <c:v>3.788748564867968</c:v>
                </c:pt>
                <c:pt idx="2">
                  <c:v>11.383337346496509</c:v>
                </c:pt>
                <c:pt idx="3">
                  <c:v>16.551450997335635</c:v>
                </c:pt>
                <c:pt idx="4">
                  <c:v>20.841609312208416</c:v>
                </c:pt>
                <c:pt idx="5">
                  <c:v>23.225388601036272</c:v>
                </c:pt>
                <c:pt idx="6">
                  <c:v>25.325086446208537</c:v>
                </c:pt>
                <c:pt idx="7">
                  <c:v>32.633771227170776</c:v>
                </c:pt>
                <c:pt idx="9">
                  <c:v>38.992521982085599</c:v>
                </c:pt>
              </c:numCache>
            </c:numRef>
          </c:yVal>
          <c:smooth val="0"/>
          <c:extLst>
            <c:ext xmlns:c16="http://schemas.microsoft.com/office/drawing/2014/chart" uri="{C3380CC4-5D6E-409C-BE32-E72D297353CC}">
              <c16:uniqueId val="{00000002-C1C2-4DF7-83CF-A26553C94C92}"/>
            </c:ext>
          </c:extLst>
        </c:ser>
        <c:ser>
          <c:idx val="2"/>
          <c:order val="1"/>
          <c:tx>
            <c:v>TPC</c:v>
          </c:tx>
          <c:spPr>
            <a:ln>
              <a:solidFill>
                <a:srgbClr val="D58F11"/>
              </a:solidFill>
              <a:prstDash val="sysDot"/>
            </a:ln>
          </c:spPr>
          <c:marker>
            <c:symbol val="square"/>
            <c:size val="5"/>
            <c:spPr>
              <a:solidFill>
                <a:srgbClr val="D58F11"/>
              </a:solidFill>
              <a:ln>
                <a:noFill/>
              </a:ln>
            </c:spPr>
          </c:marker>
          <c:xVal>
            <c:numRef>
              <c:f>'1-Prog'!$F$46:$P$46</c:f>
              <c:numCache>
                <c:formatCode>General</c:formatCode>
                <c:ptCount val="11"/>
                <c:pt idx="0">
                  <c:v>10</c:v>
                </c:pt>
                <c:pt idx="1">
                  <c:v>30</c:v>
                </c:pt>
                <c:pt idx="2">
                  <c:v>50</c:v>
                </c:pt>
                <c:pt idx="3">
                  <c:v>70</c:v>
                </c:pt>
                <c:pt idx="4">
                  <c:v>85</c:v>
                </c:pt>
                <c:pt idx="5">
                  <c:v>92.5</c:v>
                </c:pt>
                <c:pt idx="6">
                  <c:v>97</c:v>
                </c:pt>
                <c:pt idx="7" formatCode="0.0">
                  <c:v>99.5</c:v>
                </c:pt>
                <c:pt idx="9" formatCode="0.00">
                  <c:v>99.95</c:v>
                </c:pt>
              </c:numCache>
            </c:numRef>
          </c:xVal>
          <c:yVal>
            <c:numRef>
              <c:f>'1-Prog'!$F$36:$P$36</c:f>
              <c:numCache>
                <c:formatCode>0.0</c:formatCode>
                <c:ptCount val="11"/>
                <c:pt idx="0">
                  <c:v>-0.6</c:v>
                </c:pt>
                <c:pt idx="1">
                  <c:v>6</c:v>
                </c:pt>
                <c:pt idx="2">
                  <c:v>12</c:v>
                </c:pt>
                <c:pt idx="3">
                  <c:v>16.2</c:v>
                </c:pt>
                <c:pt idx="4">
                  <c:v>18.7</c:v>
                </c:pt>
                <c:pt idx="5">
                  <c:v>20.9</c:v>
                </c:pt>
                <c:pt idx="6">
                  <c:v>23.5</c:v>
                </c:pt>
                <c:pt idx="7">
                  <c:v>33.200000000000003</c:v>
                </c:pt>
                <c:pt idx="9">
                  <c:v>35.700000000000003</c:v>
                </c:pt>
              </c:numCache>
            </c:numRef>
          </c:yVal>
          <c:smooth val="1"/>
          <c:extLst>
            <c:ext xmlns:c16="http://schemas.microsoft.com/office/drawing/2014/chart" uri="{C3380CC4-5D6E-409C-BE32-E72D297353CC}">
              <c16:uniqueId val="{00000000-0386-4EA5-B8F2-0DF035736603}"/>
            </c:ext>
          </c:extLst>
        </c:ser>
        <c:ser>
          <c:idx val="1"/>
          <c:order val="2"/>
          <c:tx>
            <c:v>PS</c:v>
          </c:tx>
          <c:spPr>
            <a:ln w="22225">
              <a:solidFill>
                <a:srgbClr val="2699B4"/>
              </a:solidFill>
            </a:ln>
          </c:spPr>
          <c:marker>
            <c:symbol val="diamond"/>
            <c:size val="5"/>
            <c:spPr>
              <a:solidFill>
                <a:srgbClr val="2699B4"/>
              </a:solidFill>
              <a:ln>
                <a:noFill/>
              </a:ln>
            </c:spPr>
          </c:marker>
          <c:xVal>
            <c:numRef>
              <c:f>'1-Prog'!$F$44:$P$44</c:f>
              <c:numCache>
                <c:formatCode>General</c:formatCode>
                <c:ptCount val="11"/>
                <c:pt idx="0">
                  <c:v>10</c:v>
                </c:pt>
                <c:pt idx="1">
                  <c:v>30</c:v>
                </c:pt>
                <c:pt idx="2">
                  <c:v>50</c:v>
                </c:pt>
                <c:pt idx="3">
                  <c:v>70</c:v>
                </c:pt>
                <c:pt idx="4">
                  <c:v>85</c:v>
                </c:pt>
                <c:pt idx="5">
                  <c:v>92.5</c:v>
                </c:pt>
                <c:pt idx="6">
                  <c:v>97</c:v>
                </c:pt>
                <c:pt idx="7">
                  <c:v>99.25</c:v>
                </c:pt>
                <c:pt idx="8">
                  <c:v>99.7</c:v>
                </c:pt>
                <c:pt idx="9">
                  <c:v>99.944999999999993</c:v>
                </c:pt>
                <c:pt idx="10">
                  <c:v>99.995000000000005</c:v>
                </c:pt>
              </c:numCache>
            </c:numRef>
          </c:xVal>
          <c:yVal>
            <c:numRef>
              <c:f>'1-Prog'!$F$34:$P$34</c:f>
              <c:numCache>
                <c:formatCode>0.0</c:formatCode>
                <c:ptCount val="11"/>
                <c:pt idx="1">
                  <c:v>9.4</c:v>
                </c:pt>
                <c:pt idx="2">
                  <c:v>16.100000000000001</c:v>
                </c:pt>
                <c:pt idx="3">
                  <c:v>20.5</c:v>
                </c:pt>
                <c:pt idx="4">
                  <c:v>22.7</c:v>
                </c:pt>
                <c:pt idx="5">
                  <c:v>24.9</c:v>
                </c:pt>
                <c:pt idx="6">
                  <c:v>27.2</c:v>
                </c:pt>
                <c:pt idx="7">
                  <c:v>31.3</c:v>
                </c:pt>
                <c:pt idx="8">
                  <c:v>33</c:v>
                </c:pt>
                <c:pt idx="9">
                  <c:v>34.1</c:v>
                </c:pt>
                <c:pt idx="10">
                  <c:v>34.700000000000003</c:v>
                </c:pt>
              </c:numCache>
            </c:numRef>
          </c:yVal>
          <c:smooth val="0"/>
          <c:extLst>
            <c:ext xmlns:c16="http://schemas.microsoft.com/office/drawing/2014/chart" uri="{C3380CC4-5D6E-409C-BE32-E72D297353CC}">
              <c16:uniqueId val="{00000001-0386-4EA5-B8F2-0DF035736603}"/>
            </c:ext>
          </c:extLst>
        </c:ser>
        <c:ser>
          <c:idx val="5"/>
          <c:order val="3"/>
          <c:tx>
            <c:v>JCT</c:v>
          </c:tx>
          <c:spPr>
            <a:ln>
              <a:solidFill>
                <a:schemeClr val="tx1">
                  <a:lumMod val="75000"/>
                  <a:lumOff val="25000"/>
                </a:schemeClr>
              </a:solidFill>
              <a:prstDash val="sysDash"/>
            </a:ln>
          </c:spPr>
          <c:marker>
            <c:symbol val="square"/>
            <c:size val="4"/>
            <c:spPr>
              <a:solidFill>
                <a:schemeClr val="tx1">
                  <a:lumMod val="75000"/>
                  <a:lumOff val="25000"/>
                </a:schemeClr>
              </a:solidFill>
              <a:ln>
                <a:noFill/>
              </a:ln>
            </c:spPr>
          </c:marker>
          <c:dPt>
            <c:idx val="4"/>
            <c:bubble3D val="0"/>
            <c:spPr>
              <a:ln>
                <a:solidFill>
                  <a:schemeClr val="tx1">
                    <a:lumMod val="85000"/>
                    <a:lumOff val="15000"/>
                  </a:schemeClr>
                </a:solidFill>
                <a:prstDash val="sysDash"/>
              </a:ln>
            </c:spPr>
            <c:extLst>
              <c:ext xmlns:c16="http://schemas.microsoft.com/office/drawing/2014/chart" uri="{C3380CC4-5D6E-409C-BE32-E72D297353CC}">
                <c16:uniqueId val="{00000003-0386-4EA5-B8F2-0DF035736603}"/>
              </c:ext>
            </c:extLst>
          </c:dPt>
          <c:xVal>
            <c:numRef>
              <c:f>'1-Prog'!$F$48:$P$48</c:f>
              <c:numCache>
                <c:formatCode>General</c:formatCode>
                <c:ptCount val="11"/>
                <c:pt idx="0">
                  <c:v>10</c:v>
                </c:pt>
                <c:pt idx="1">
                  <c:v>30</c:v>
                </c:pt>
                <c:pt idx="2">
                  <c:v>50</c:v>
                </c:pt>
                <c:pt idx="3">
                  <c:v>70</c:v>
                </c:pt>
                <c:pt idx="4">
                  <c:v>85</c:v>
                </c:pt>
                <c:pt idx="5">
                  <c:v>92.5</c:v>
                </c:pt>
                <c:pt idx="6">
                  <c:v>97</c:v>
                </c:pt>
                <c:pt idx="7" formatCode="0.00">
                  <c:v>99.75</c:v>
                </c:pt>
              </c:numCache>
            </c:numRef>
          </c:xVal>
          <c:yVal>
            <c:numRef>
              <c:f>'1-Prog'!$F$38:$P$38</c:f>
              <c:numCache>
                <c:formatCode>0.0</c:formatCode>
                <c:ptCount val="11"/>
                <c:pt idx="1">
                  <c:v>7.5876563957800043</c:v>
                </c:pt>
                <c:pt idx="2">
                  <c:v>14.462509150498795</c:v>
                </c:pt>
                <c:pt idx="3">
                  <c:v>18.671001052606393</c:v>
                </c:pt>
                <c:pt idx="4">
                  <c:v>22.1</c:v>
                </c:pt>
                <c:pt idx="5">
                  <c:v>24.538890313628858</c:v>
                </c:pt>
                <c:pt idx="6">
                  <c:v>27.337901246381669</c:v>
                </c:pt>
                <c:pt idx="7">
                  <c:v>31.7</c:v>
                </c:pt>
              </c:numCache>
            </c:numRef>
          </c:yVal>
          <c:smooth val="0"/>
          <c:extLst>
            <c:ext xmlns:c16="http://schemas.microsoft.com/office/drawing/2014/chart" uri="{C3380CC4-5D6E-409C-BE32-E72D297353CC}">
              <c16:uniqueId val="{00000004-0386-4EA5-B8F2-0DF035736603}"/>
            </c:ext>
          </c:extLst>
        </c:ser>
        <c:ser>
          <c:idx val="3"/>
          <c:order val="4"/>
          <c:tx>
            <c:v>AS</c:v>
          </c:tx>
          <c:spPr>
            <a:ln w="22225">
              <a:solidFill>
                <a:schemeClr val="tx1">
                  <a:lumMod val="50000"/>
                  <a:lumOff val="50000"/>
                </a:schemeClr>
              </a:solidFill>
            </a:ln>
          </c:spPr>
          <c:marker>
            <c:symbol val="triangle"/>
            <c:size val="5"/>
            <c:spPr>
              <a:solidFill>
                <a:schemeClr val="tx1">
                  <a:lumMod val="50000"/>
                  <a:lumOff val="50000"/>
                </a:schemeClr>
              </a:solidFill>
              <a:ln>
                <a:noFill/>
              </a:ln>
            </c:spPr>
          </c:marker>
          <c:dPt>
            <c:idx val="8"/>
            <c:bubble3D val="0"/>
            <c:spPr>
              <a:ln w="22225">
                <a:noFill/>
              </a:ln>
            </c:spPr>
            <c:extLst>
              <c:ext xmlns:c16="http://schemas.microsoft.com/office/drawing/2014/chart" uri="{C3380CC4-5D6E-409C-BE32-E72D297353CC}">
                <c16:uniqueId val="{00000004-C1C2-4DF7-83CF-A26553C94C92}"/>
              </c:ext>
            </c:extLst>
          </c:dPt>
          <c:xVal>
            <c:numRef>
              <c:f>'1-Prog'!$H$49:$P$49</c:f>
              <c:numCache>
                <c:formatCode>0.00</c:formatCode>
                <c:ptCount val="9"/>
                <c:pt idx="0" formatCode="General">
                  <c:v>30</c:v>
                </c:pt>
                <c:pt idx="1">
                  <c:v>50</c:v>
                </c:pt>
                <c:pt idx="2" formatCode="General">
                  <c:v>70</c:v>
                </c:pt>
                <c:pt idx="3" formatCode="General">
                  <c:v>92.5</c:v>
                </c:pt>
                <c:pt idx="4" formatCode="General">
                  <c:v>97</c:v>
                </c:pt>
                <c:pt idx="5" formatCode="General">
                  <c:v>99.25</c:v>
                </c:pt>
                <c:pt idx="6" formatCode="General">
                  <c:v>99.7</c:v>
                </c:pt>
                <c:pt idx="7" formatCode="General">
                  <c:v>99.944999999999993</c:v>
                </c:pt>
                <c:pt idx="8" formatCode="General">
                  <c:v>99.995000000000005</c:v>
                </c:pt>
              </c:numCache>
            </c:numRef>
          </c:xVal>
          <c:yVal>
            <c:numRef>
              <c:f>'1-Prog'!$H$41:$P$41</c:f>
              <c:numCache>
                <c:formatCode>0.00</c:formatCode>
                <c:ptCount val="9"/>
                <c:pt idx="0" formatCode="0.0">
                  <c:v>4.9000000000000004</c:v>
                </c:pt>
                <c:pt idx="1">
                  <c:v>10.15</c:v>
                </c:pt>
                <c:pt idx="2" formatCode="0.0">
                  <c:v>15.4</c:v>
                </c:pt>
                <c:pt idx="3" formatCode="0.0">
                  <c:v>19</c:v>
                </c:pt>
                <c:pt idx="4" formatCode="0.0">
                  <c:v>21.9</c:v>
                </c:pt>
                <c:pt idx="5" formatCode="0.0">
                  <c:v>26</c:v>
                </c:pt>
                <c:pt idx="6" formatCode="0.0">
                  <c:v>28.7</c:v>
                </c:pt>
                <c:pt idx="7" formatCode="0.0">
                  <c:v>34.6</c:v>
                </c:pt>
                <c:pt idx="8" formatCode="0.0">
                  <c:v>37.4</c:v>
                </c:pt>
              </c:numCache>
            </c:numRef>
          </c:yVal>
          <c:smooth val="0"/>
          <c:extLst>
            <c:ext xmlns:c16="http://schemas.microsoft.com/office/drawing/2014/chart" uri="{C3380CC4-5D6E-409C-BE32-E72D297353CC}">
              <c16:uniqueId val="{00000005-0386-4EA5-B8F2-0DF035736603}"/>
            </c:ext>
          </c:extLst>
        </c:ser>
        <c:ser>
          <c:idx val="0"/>
          <c:order val="5"/>
          <c:tx>
            <c:v>CBO</c:v>
          </c:tx>
          <c:spPr>
            <a:ln w="25400">
              <a:solidFill>
                <a:srgbClr val="A03A49"/>
              </a:solidFill>
            </a:ln>
          </c:spPr>
          <c:marker>
            <c:symbol val="circle"/>
            <c:size val="6"/>
            <c:spPr>
              <a:solidFill>
                <a:srgbClr val="A03A49"/>
              </a:solidFill>
              <a:ln>
                <a:solidFill>
                  <a:srgbClr val="A03A49"/>
                </a:solidFill>
              </a:ln>
            </c:spPr>
          </c:marker>
          <c:xVal>
            <c:numRef>
              <c:f>'1-Prog'!$F$45:$P$45</c:f>
              <c:numCache>
                <c:formatCode>General</c:formatCode>
                <c:ptCount val="11"/>
                <c:pt idx="0">
                  <c:v>10</c:v>
                </c:pt>
                <c:pt idx="1">
                  <c:v>30</c:v>
                </c:pt>
                <c:pt idx="2">
                  <c:v>50</c:v>
                </c:pt>
                <c:pt idx="3">
                  <c:v>70</c:v>
                </c:pt>
                <c:pt idx="4">
                  <c:v>85</c:v>
                </c:pt>
                <c:pt idx="5">
                  <c:v>92.5</c:v>
                </c:pt>
                <c:pt idx="6">
                  <c:v>97</c:v>
                </c:pt>
                <c:pt idx="7" formatCode="0.0">
                  <c:v>99.5</c:v>
                </c:pt>
              </c:numCache>
            </c:numRef>
          </c:xVal>
          <c:yVal>
            <c:numRef>
              <c:f>'1-Prog'!$F$35:$P$35</c:f>
              <c:numCache>
                <c:formatCode>0.0</c:formatCode>
                <c:ptCount val="11"/>
                <c:pt idx="0">
                  <c:v>1.9</c:v>
                </c:pt>
                <c:pt idx="1">
                  <c:v>9</c:v>
                </c:pt>
                <c:pt idx="2">
                  <c:v>14</c:v>
                </c:pt>
                <c:pt idx="3">
                  <c:v>17.8</c:v>
                </c:pt>
                <c:pt idx="4">
                  <c:v>21.2</c:v>
                </c:pt>
                <c:pt idx="5">
                  <c:v>23.4</c:v>
                </c:pt>
                <c:pt idx="6">
                  <c:v>26.7</c:v>
                </c:pt>
                <c:pt idx="7">
                  <c:v>32.633771227170797</c:v>
                </c:pt>
              </c:numCache>
            </c:numRef>
          </c:yVal>
          <c:smooth val="0"/>
          <c:extLst>
            <c:ext xmlns:c16="http://schemas.microsoft.com/office/drawing/2014/chart" uri="{C3380CC4-5D6E-409C-BE32-E72D297353CC}">
              <c16:uniqueId val="{00000006-0386-4EA5-B8F2-0DF035736603}"/>
            </c:ext>
          </c:extLst>
        </c:ser>
        <c:dLbls>
          <c:showLegendKey val="0"/>
          <c:showVal val="0"/>
          <c:showCatName val="0"/>
          <c:showSerName val="0"/>
          <c:showPercent val="0"/>
          <c:showBubbleSize val="0"/>
        </c:dLbls>
        <c:axId val="717093464"/>
        <c:axId val="717093856"/>
      </c:scatterChart>
      <c:valAx>
        <c:axId val="717093464"/>
        <c:scaling>
          <c:orientation val="minMax"/>
          <c:max val="100"/>
        </c:scaling>
        <c:delete val="0"/>
        <c:axPos val="b"/>
        <c:title>
          <c:tx>
            <c:rich>
              <a:bodyPr/>
              <a:lstStyle/>
              <a:p>
                <a:pPr>
                  <a:defRPr/>
                </a:pPr>
                <a:r>
                  <a:rPr lang="en-US" sz="1200" b="0" i="0" baseline="0">
                    <a:effectLst/>
                    <a:latin typeface="Arial" panose="020B0604020202020204" pitchFamily="34" charset="0"/>
                    <a:cs typeface="Arial" panose="020B0604020202020204" pitchFamily="34" charset="0"/>
                  </a:rPr>
                  <a:t>Income quintile </a:t>
                </a:r>
                <a:endParaRPr lang="en-US" sz="700" b="0">
                  <a:effectLst/>
                  <a:latin typeface="Arial" panose="020B0604020202020204" pitchFamily="34" charset="0"/>
                  <a:cs typeface="Arial" panose="020B0604020202020204" pitchFamily="34" charset="0"/>
                </a:endParaRPr>
              </a:p>
            </c:rich>
          </c:tx>
          <c:layout>
            <c:manualLayout>
              <c:xMode val="edge"/>
              <c:yMode val="edge"/>
              <c:x val="0.41390927828936641"/>
              <c:y val="0.91791748869528778"/>
            </c:manualLayout>
          </c:layout>
          <c:overlay val="0"/>
        </c:title>
        <c:numFmt formatCode="0" sourceLinked="0"/>
        <c:majorTickMark val="out"/>
        <c:minorTickMark val="none"/>
        <c:tickLblPos val="nextTo"/>
        <c:spPr>
          <a:ln>
            <a:noFill/>
          </a:ln>
        </c:spPr>
        <c:txPr>
          <a:bodyPr rot="0" vert="horz"/>
          <a:lstStyle/>
          <a:p>
            <a:pPr>
              <a:defRPr sz="1100" b="0" i="0" u="none" strike="noStrike" kern="0" spc="-20" baseline="0">
                <a:solidFill>
                  <a:srgbClr val="000000"/>
                </a:solidFill>
                <a:latin typeface="Arial" panose="020B0604020202020204" pitchFamily="34" charset="0"/>
                <a:ea typeface="Arial"/>
                <a:cs typeface="Arial" panose="020B0604020202020204" pitchFamily="34" charset="0"/>
              </a:defRPr>
            </a:pPr>
            <a:endParaRPr lang="en-US"/>
          </a:p>
        </c:txPr>
        <c:crossAx val="717093856"/>
        <c:crossesAt val="-5"/>
        <c:crossBetween val="midCat"/>
        <c:majorUnit val="20"/>
        <c:minorUnit val="1"/>
      </c:valAx>
      <c:valAx>
        <c:axId val="717093856"/>
        <c:scaling>
          <c:orientation val="minMax"/>
          <c:max val="40"/>
          <c:min val="-5"/>
        </c:scaling>
        <c:delete val="0"/>
        <c:axPos val="l"/>
        <c:majorGridlines>
          <c:spPr>
            <a:ln>
              <a:solidFill>
                <a:schemeClr val="bg1">
                  <a:lumMod val="75000"/>
                </a:schemeClr>
              </a:solidFill>
              <a:prstDash val="sysDash"/>
            </a:ln>
          </c:spPr>
        </c:majorGridlines>
        <c:title>
          <c:tx>
            <c:rich>
              <a:bodyPr/>
              <a:lstStyle/>
              <a:p>
                <a:pPr>
                  <a:defRPr sz="1200" b="0">
                    <a:latin typeface="Arial" panose="020B0604020202020204" pitchFamily="34" charset="0"/>
                    <a:cs typeface="Arial" panose="020B0604020202020204" pitchFamily="34" charset="0"/>
                  </a:defRPr>
                </a:pPr>
                <a:r>
                  <a:rPr lang="en-US" sz="1200" b="0" baseline="0">
                    <a:latin typeface="Arial" panose="020B0604020202020204" pitchFamily="34" charset="0"/>
                    <a:cs typeface="Arial" panose="020B0604020202020204" pitchFamily="34" charset="0"/>
                  </a:rPr>
                  <a:t>Average federal tax rate (%)</a:t>
                </a:r>
                <a:endParaRPr lang="en-US" sz="1200" b="0">
                  <a:latin typeface="Arial" panose="020B0604020202020204" pitchFamily="34" charset="0"/>
                  <a:cs typeface="Arial" panose="020B0604020202020204" pitchFamily="34" charset="0"/>
                </a:endParaRPr>
              </a:p>
            </c:rich>
          </c:tx>
          <c:layout>
            <c:manualLayout>
              <c:xMode val="edge"/>
              <c:yMode val="edge"/>
              <c:x val="3.2065612051658098E-4"/>
              <c:y val="0.25409268409076358"/>
            </c:manualLayout>
          </c:layout>
          <c:overlay val="0"/>
        </c:title>
        <c:numFmt formatCode="#,##0" sourceLinked="0"/>
        <c:majorTickMark val="out"/>
        <c:minorTickMark val="none"/>
        <c:tickLblPos val="nextTo"/>
        <c:spPr>
          <a:ln>
            <a:noFill/>
          </a:ln>
        </c:spPr>
        <c:txPr>
          <a:bodyPr rot="0" vert="horz"/>
          <a:lstStyle/>
          <a:p>
            <a:pPr>
              <a:defRPr sz="1200" b="0" i="0" u="none" strike="noStrike" baseline="0">
                <a:solidFill>
                  <a:sysClr val="windowText" lastClr="000000"/>
                </a:solidFill>
                <a:latin typeface="Arial" panose="020B0604020202020204" pitchFamily="34" charset="0"/>
                <a:ea typeface="Calibri"/>
                <a:cs typeface="Arial" panose="020B0604020202020204" pitchFamily="34" charset="0"/>
              </a:defRPr>
            </a:pPr>
            <a:endParaRPr lang="en-US"/>
          </a:p>
        </c:txPr>
        <c:crossAx val="717093464"/>
        <c:crossesAt val="-5"/>
        <c:crossBetween val="midCat"/>
        <c:majorUnit val="10"/>
        <c:minorUnit val="5.000000000000001E-3"/>
      </c:valAx>
      <c:spPr>
        <a:ln>
          <a:noFill/>
        </a:ln>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1" l="0.75000000000000611" r="0.75000000000000611" t="1" header="0.5" footer="0.5"/>
    <c:pageSetup orientation="landscape" horizontalDpi="1200" verticalDpi="1200"/>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51738515702916"/>
          <c:y val="3.3777574141508858E-2"/>
          <c:w val="0.83985244345468169"/>
          <c:h val="0.90203526840513759"/>
        </c:manualLayout>
      </c:layout>
      <c:scatterChart>
        <c:scatterStyle val="smoothMarker"/>
        <c:varyColors val="0"/>
        <c:ser>
          <c:idx val="2"/>
          <c:order val="0"/>
          <c:tx>
            <c:strRef>
              <c:f>'5-Top'!$B$34</c:f>
              <c:strCache>
                <c:ptCount val="1"/>
                <c:pt idx="0">
                  <c:v>Top marginal federal indiv. income tax rate</c:v>
                </c:pt>
              </c:strCache>
            </c:strRef>
          </c:tx>
          <c:spPr>
            <a:ln w="28575">
              <a:solidFill>
                <a:schemeClr val="tx1">
                  <a:lumMod val="50000"/>
                  <a:lumOff val="50000"/>
                </a:schemeClr>
              </a:solidFill>
              <a:prstDash val="solid"/>
            </a:ln>
          </c:spPr>
          <c:marker>
            <c:symbol val="none"/>
          </c:marker>
          <c:xVal>
            <c:numRef>
              <c:f>'5-Top'!$A$35:$A$95</c:f>
              <c:numCache>
                <c:formatCode>General</c:formatCode>
                <c:ptCount val="6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numCache>
            </c:numRef>
          </c:xVal>
          <c:yVal>
            <c:numRef>
              <c:f>'5-Top'!$B$35:$B$95</c:f>
              <c:numCache>
                <c:formatCode>0.000</c:formatCode>
                <c:ptCount val="61"/>
                <c:pt idx="0">
                  <c:v>0.91</c:v>
                </c:pt>
                <c:pt idx="1">
                  <c:v>0.91</c:v>
                </c:pt>
                <c:pt idx="2">
                  <c:v>0.91</c:v>
                </c:pt>
                <c:pt idx="3">
                  <c:v>0.91</c:v>
                </c:pt>
                <c:pt idx="4">
                  <c:v>0.77</c:v>
                </c:pt>
                <c:pt idx="5">
                  <c:v>0.7</c:v>
                </c:pt>
                <c:pt idx="6">
                  <c:v>0.7</c:v>
                </c:pt>
                <c:pt idx="7">
                  <c:v>0.7</c:v>
                </c:pt>
                <c:pt idx="8">
                  <c:v>0.75249999999999995</c:v>
                </c:pt>
                <c:pt idx="9">
                  <c:v>0.77</c:v>
                </c:pt>
                <c:pt idx="10">
                  <c:v>0.71750000000000003</c:v>
                </c:pt>
                <c:pt idx="11">
                  <c:v>0.7</c:v>
                </c:pt>
                <c:pt idx="12">
                  <c:v>0.7</c:v>
                </c:pt>
                <c:pt idx="13">
                  <c:v>0.7</c:v>
                </c:pt>
                <c:pt idx="14">
                  <c:v>0.7</c:v>
                </c:pt>
                <c:pt idx="15">
                  <c:v>0.7</c:v>
                </c:pt>
                <c:pt idx="16">
                  <c:v>0.7</c:v>
                </c:pt>
                <c:pt idx="17">
                  <c:v>0.7</c:v>
                </c:pt>
                <c:pt idx="18">
                  <c:v>0.7</c:v>
                </c:pt>
                <c:pt idx="19">
                  <c:v>0.7</c:v>
                </c:pt>
                <c:pt idx="20">
                  <c:v>0.7</c:v>
                </c:pt>
                <c:pt idx="21">
                  <c:v>0.69125000000000003</c:v>
                </c:pt>
                <c:pt idx="22">
                  <c:v>0.5</c:v>
                </c:pt>
                <c:pt idx="23">
                  <c:v>0.5</c:v>
                </c:pt>
                <c:pt idx="24">
                  <c:v>0.5</c:v>
                </c:pt>
                <c:pt idx="25">
                  <c:v>0.5</c:v>
                </c:pt>
                <c:pt idx="26">
                  <c:v>0.5</c:v>
                </c:pt>
                <c:pt idx="27">
                  <c:v>0.38500000000000001</c:v>
                </c:pt>
                <c:pt idx="28">
                  <c:v>0.28000000000000003</c:v>
                </c:pt>
                <c:pt idx="29">
                  <c:v>0.28000000000000003</c:v>
                </c:pt>
                <c:pt idx="30">
                  <c:v>0.28000000000000003</c:v>
                </c:pt>
                <c:pt idx="31">
                  <c:v>0.31</c:v>
                </c:pt>
                <c:pt idx="32">
                  <c:v>0.31</c:v>
                </c:pt>
                <c:pt idx="33">
                  <c:v>0.39600000000000002</c:v>
                </c:pt>
                <c:pt idx="34">
                  <c:v>0.39600000000000002</c:v>
                </c:pt>
                <c:pt idx="35">
                  <c:v>0.39600000000000002</c:v>
                </c:pt>
                <c:pt idx="36">
                  <c:v>0.39600000000000002</c:v>
                </c:pt>
                <c:pt idx="37">
                  <c:v>0.39600000000000002</c:v>
                </c:pt>
                <c:pt idx="38">
                  <c:v>0.39600000000000002</c:v>
                </c:pt>
                <c:pt idx="39">
                  <c:v>0.39600000000000002</c:v>
                </c:pt>
                <c:pt idx="40">
                  <c:v>0.39600000000000002</c:v>
                </c:pt>
                <c:pt idx="41">
                  <c:v>0.39100000000000001</c:v>
                </c:pt>
                <c:pt idx="42">
                  <c:v>0.38600000000000001</c:v>
                </c:pt>
                <c:pt idx="43">
                  <c:v>0.35</c:v>
                </c:pt>
                <c:pt idx="44">
                  <c:v>0.35</c:v>
                </c:pt>
                <c:pt idx="45">
                  <c:v>0.35</c:v>
                </c:pt>
                <c:pt idx="46">
                  <c:v>0.35</c:v>
                </c:pt>
                <c:pt idx="47">
                  <c:v>0.35</c:v>
                </c:pt>
                <c:pt idx="48">
                  <c:v>0.35</c:v>
                </c:pt>
                <c:pt idx="49">
                  <c:v>0.35</c:v>
                </c:pt>
                <c:pt idx="50">
                  <c:v>0.35</c:v>
                </c:pt>
                <c:pt idx="51">
                  <c:v>0.35</c:v>
                </c:pt>
                <c:pt idx="52">
                  <c:v>0.35</c:v>
                </c:pt>
                <c:pt idx="53">
                  <c:v>0.39600000000000002</c:v>
                </c:pt>
                <c:pt idx="54">
                  <c:v>0.39600000000000002</c:v>
                </c:pt>
                <c:pt idx="55">
                  <c:v>0.39600000000000002</c:v>
                </c:pt>
                <c:pt idx="56">
                  <c:v>0.39600000000000002</c:v>
                </c:pt>
                <c:pt idx="57">
                  <c:v>0.39600000000000002</c:v>
                </c:pt>
                <c:pt idx="58">
                  <c:v>0.37</c:v>
                </c:pt>
                <c:pt idx="59">
                  <c:v>0.37</c:v>
                </c:pt>
                <c:pt idx="60">
                  <c:v>0.37</c:v>
                </c:pt>
              </c:numCache>
            </c:numRef>
          </c:yVal>
          <c:smooth val="1"/>
          <c:extLst>
            <c:ext xmlns:c16="http://schemas.microsoft.com/office/drawing/2014/chart" uri="{C3380CC4-5D6E-409C-BE32-E72D297353CC}">
              <c16:uniqueId val="{00000000-310B-4F41-B70E-33F9A185F875}"/>
            </c:ext>
          </c:extLst>
        </c:ser>
        <c:ser>
          <c:idx val="3"/>
          <c:order val="1"/>
          <c:tx>
            <c:v>Cbo top 1%</c:v>
          </c:tx>
          <c:spPr>
            <a:ln w="25400">
              <a:solidFill>
                <a:schemeClr val="tx1"/>
              </a:solidFill>
              <a:prstDash val="sysDash"/>
            </a:ln>
          </c:spPr>
          <c:marker>
            <c:symbol val="none"/>
          </c:marker>
          <c:xVal>
            <c:numRef>
              <c:f>'5-Top'!$A$35:$A$94</c:f>
              <c:numCache>
                <c:formatCode>General</c:formatCode>
                <c:ptCount val="60"/>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numCache>
            </c:numRef>
          </c:xVal>
          <c:yVal>
            <c:numRef>
              <c:f>'5-Top'!$R$35:$R$91</c:f>
              <c:numCache>
                <c:formatCode>General</c:formatCode>
                <c:ptCount val="57"/>
                <c:pt idx="19">
                  <c:v>0.22600000000000001</c:v>
                </c:pt>
                <c:pt idx="20">
                  <c:v>0.22899999999999998</c:v>
                </c:pt>
                <c:pt idx="21">
                  <c:v>0.21899999999999997</c:v>
                </c:pt>
                <c:pt idx="22">
                  <c:v>0.20600000000000002</c:v>
                </c:pt>
                <c:pt idx="23">
                  <c:v>0.19699999999999998</c:v>
                </c:pt>
                <c:pt idx="24">
                  <c:v>0.19500000000000001</c:v>
                </c:pt>
                <c:pt idx="25">
                  <c:v>0.191</c:v>
                </c:pt>
                <c:pt idx="26">
                  <c:v>0.18600000000000003</c:v>
                </c:pt>
                <c:pt idx="27">
                  <c:v>0.218</c:v>
                </c:pt>
                <c:pt idx="28">
                  <c:v>0.21100000000000002</c:v>
                </c:pt>
                <c:pt idx="29">
                  <c:v>0.20399999999999999</c:v>
                </c:pt>
                <c:pt idx="30">
                  <c:v>0.20300000000000001</c:v>
                </c:pt>
                <c:pt idx="31">
                  <c:v>0.21</c:v>
                </c:pt>
                <c:pt idx="32">
                  <c:v>0.21600000000000003</c:v>
                </c:pt>
                <c:pt idx="33">
                  <c:v>0.23699999999999999</c:v>
                </c:pt>
                <c:pt idx="34">
                  <c:v>0.23699999999999999</c:v>
                </c:pt>
                <c:pt idx="35">
                  <c:v>0.24399999999999999</c:v>
                </c:pt>
                <c:pt idx="36">
                  <c:v>0.248</c:v>
                </c:pt>
                <c:pt idx="37">
                  <c:v>0.24399999999999999</c:v>
                </c:pt>
                <c:pt idx="38">
                  <c:v>0.23899999999999999</c:v>
                </c:pt>
                <c:pt idx="39">
                  <c:v>0.245</c:v>
                </c:pt>
                <c:pt idx="40">
                  <c:v>0.247</c:v>
                </c:pt>
                <c:pt idx="41">
                  <c:v>0.24600000000000002</c:v>
                </c:pt>
                <c:pt idx="42">
                  <c:v>0.24199999999999999</c:v>
                </c:pt>
                <c:pt idx="43">
                  <c:v>0.21</c:v>
                </c:pt>
                <c:pt idx="44">
                  <c:v>0.20199999999999999</c:v>
                </c:pt>
                <c:pt idx="45">
                  <c:v>0.19800000000000001</c:v>
                </c:pt>
                <c:pt idx="46">
                  <c:v>0.19500000000000001</c:v>
                </c:pt>
                <c:pt idx="47">
                  <c:v>0.19500000000000001</c:v>
                </c:pt>
                <c:pt idx="48">
                  <c:v>0.20499999999999999</c:v>
                </c:pt>
                <c:pt idx="49">
                  <c:v>0.21100000000000002</c:v>
                </c:pt>
                <c:pt idx="50">
                  <c:v>0.20199999999999999</c:v>
                </c:pt>
                <c:pt idx="51">
                  <c:v>0.20300000000000001</c:v>
                </c:pt>
                <c:pt idx="52">
                  <c:v>0.19899999999999998</c:v>
                </c:pt>
                <c:pt idx="53">
                  <c:v>0.23699999999999999</c:v>
                </c:pt>
                <c:pt idx="54">
                  <c:v>0.24</c:v>
                </c:pt>
                <c:pt idx="55">
                  <c:v>0.24</c:v>
                </c:pt>
                <c:pt idx="56">
                  <c:v>0.23699999999999999</c:v>
                </c:pt>
              </c:numCache>
            </c:numRef>
          </c:yVal>
          <c:smooth val="1"/>
          <c:extLst>
            <c:ext xmlns:c16="http://schemas.microsoft.com/office/drawing/2014/chart" uri="{C3380CC4-5D6E-409C-BE32-E72D297353CC}">
              <c16:uniqueId val="{00000001-310B-4F41-B70E-33F9A185F875}"/>
            </c:ext>
          </c:extLst>
        </c:ser>
        <c:ser>
          <c:idx val="4"/>
          <c:order val="2"/>
          <c:tx>
            <c:v>AS top 1%</c:v>
          </c:tx>
          <c:spPr>
            <a:ln w="28575">
              <a:solidFill>
                <a:schemeClr val="tx1"/>
              </a:solidFill>
            </a:ln>
          </c:spPr>
          <c:marker>
            <c:symbol val="none"/>
          </c:marker>
          <c:xVal>
            <c:numRef>
              <c:f>'5-Top'!$A$35:$A$94</c:f>
              <c:numCache>
                <c:formatCode>General</c:formatCode>
                <c:ptCount val="60"/>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numCache>
            </c:numRef>
          </c:xVal>
          <c:yVal>
            <c:numRef>
              <c:f>'5-Top'!$T$35:$T$93</c:f>
              <c:numCache>
                <c:formatCode>0.000</c:formatCode>
                <c:ptCount val="59"/>
                <c:pt idx="0">
                  <c:v>0.16225464954458724</c:v>
                </c:pt>
                <c:pt idx="2">
                  <c:v>0.15754037767074094</c:v>
                </c:pt>
                <c:pt idx="4">
                  <c:v>0.14626151036320612</c:v>
                </c:pt>
                <c:pt idx="6">
                  <c:v>0.15190501162204501</c:v>
                </c:pt>
                <c:pt idx="7">
                  <c:v>0.16573598901727693</c:v>
                </c:pt>
                <c:pt idx="8">
                  <c:v>0.17901577657705203</c:v>
                </c:pt>
                <c:pt idx="9">
                  <c:v>0.19756614083601159</c:v>
                </c:pt>
                <c:pt idx="10">
                  <c:v>0.18011655120863548</c:v>
                </c:pt>
                <c:pt idx="11">
                  <c:v>0.16198344272613241</c:v>
                </c:pt>
                <c:pt idx="12">
                  <c:v>0.17283660672052448</c:v>
                </c:pt>
                <c:pt idx="13">
                  <c:v>0.15470084649185409</c:v>
                </c:pt>
                <c:pt idx="14">
                  <c:v>0.17461403624635174</c:v>
                </c:pt>
                <c:pt idx="15">
                  <c:v>0.15717772456012485</c:v>
                </c:pt>
                <c:pt idx="16">
                  <c:v>0.16725837179228681</c:v>
                </c:pt>
                <c:pt idx="17">
                  <c:v>0.16922551037021624</c:v>
                </c:pt>
                <c:pt idx="18">
                  <c:v>0.17092870011683292</c:v>
                </c:pt>
                <c:pt idx="19">
                  <c:v>0.1935110292703518</c:v>
                </c:pt>
                <c:pt idx="20">
                  <c:v>0.19999652680173041</c:v>
                </c:pt>
                <c:pt idx="21">
                  <c:v>0.198648451666328</c:v>
                </c:pt>
                <c:pt idx="22">
                  <c:v>0.20807875183709096</c:v>
                </c:pt>
                <c:pt idx="23">
                  <c:v>0.19889624371494782</c:v>
                </c:pt>
                <c:pt idx="24">
                  <c:v>0.18960621479659348</c:v>
                </c:pt>
                <c:pt idx="25">
                  <c:v>0.20506562307040013</c:v>
                </c:pt>
                <c:pt idx="26">
                  <c:v>0.23487075840260713</c:v>
                </c:pt>
                <c:pt idx="27">
                  <c:v>0.22703236548111458</c:v>
                </c:pt>
                <c:pt idx="28">
                  <c:v>0.20135952415482972</c:v>
                </c:pt>
                <c:pt idx="29">
                  <c:v>0.20423433158029813</c:v>
                </c:pt>
                <c:pt idx="30">
                  <c:v>0.19956064874174756</c:v>
                </c:pt>
                <c:pt idx="31">
                  <c:v>0.19458636454181039</c:v>
                </c:pt>
                <c:pt idx="32">
                  <c:v>0.19961834893882474</c:v>
                </c:pt>
                <c:pt idx="33">
                  <c:v>0.22341165185697881</c:v>
                </c:pt>
                <c:pt idx="34">
                  <c:v>0.22315008287772337</c:v>
                </c:pt>
                <c:pt idx="35">
                  <c:v>0.22789969402708907</c:v>
                </c:pt>
                <c:pt idx="36">
                  <c:v>0.24702011836930793</c:v>
                </c:pt>
                <c:pt idx="37">
                  <c:v>0.25626001626348094</c:v>
                </c:pt>
                <c:pt idx="38">
                  <c:v>0.27353308312481345</c:v>
                </c:pt>
                <c:pt idx="39">
                  <c:v>0.27621794690704349</c:v>
                </c:pt>
                <c:pt idx="40">
                  <c:v>0.28742855939745882</c:v>
                </c:pt>
                <c:pt idx="41">
                  <c:v>0.26951771185277729</c:v>
                </c:pt>
                <c:pt idx="42">
                  <c:v>0.22969141555302069</c:v>
                </c:pt>
                <c:pt idx="43">
                  <c:v>0.20503902984042655</c:v>
                </c:pt>
                <c:pt idx="44">
                  <c:v>0.19906462907226533</c:v>
                </c:pt>
                <c:pt idx="45">
                  <c:v>0.21729079655519457</c:v>
                </c:pt>
                <c:pt idx="46">
                  <c:v>0.22551062843771402</c:v>
                </c:pt>
                <c:pt idx="47">
                  <c:v>0.2474632324322901</c:v>
                </c:pt>
                <c:pt idx="48">
                  <c:v>0.23728518510614355</c:v>
                </c:pt>
                <c:pt idx="49">
                  <c:v>0.17834359556902643</c:v>
                </c:pt>
                <c:pt idx="50">
                  <c:v>0.17580129690239985</c:v>
                </c:pt>
                <c:pt idx="51">
                  <c:v>0.20199179717002252</c:v>
                </c:pt>
                <c:pt idx="52">
                  <c:v>0.1987892753517384</c:v>
                </c:pt>
                <c:pt idx="53">
                  <c:v>0.23629619505734908</c:v>
                </c:pt>
                <c:pt idx="54">
                  <c:v>0.24505667675764325</c:v>
                </c:pt>
                <c:pt idx="55">
                  <c:v>0.2540702729627185</c:v>
                </c:pt>
              </c:numCache>
            </c:numRef>
          </c:yVal>
          <c:smooth val="1"/>
          <c:extLst>
            <c:ext xmlns:c16="http://schemas.microsoft.com/office/drawing/2014/chart" uri="{C3380CC4-5D6E-409C-BE32-E72D297353CC}">
              <c16:uniqueId val="{00000002-310B-4F41-B70E-33F9A185F875}"/>
            </c:ext>
          </c:extLst>
        </c:ser>
        <c:dLbls>
          <c:showLegendKey val="0"/>
          <c:showVal val="0"/>
          <c:showCatName val="0"/>
          <c:showSerName val="0"/>
          <c:showPercent val="0"/>
          <c:showBubbleSize val="0"/>
        </c:dLbls>
        <c:axId val="1117966680"/>
        <c:axId val="1117967072"/>
      </c:scatterChart>
      <c:valAx>
        <c:axId val="1117966680"/>
        <c:scaling>
          <c:orientation val="minMax"/>
          <c:max val="2016"/>
          <c:min val="1960"/>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300" b="0" i="0" u="none" strike="noStrike" baseline="0">
                <a:solidFill>
                  <a:srgbClr val="000000"/>
                </a:solidFill>
                <a:latin typeface="Arial"/>
                <a:ea typeface="Arial"/>
                <a:cs typeface="Arial"/>
              </a:defRPr>
            </a:pPr>
            <a:endParaRPr lang="en-US"/>
          </a:p>
        </c:txPr>
        <c:crossAx val="1117967072"/>
        <c:crossesAt val="0"/>
        <c:crossBetween val="midCat"/>
        <c:majorUnit val="10"/>
        <c:minorUnit val="10"/>
      </c:valAx>
      <c:valAx>
        <c:axId val="1117967072"/>
        <c:scaling>
          <c:orientation val="minMax"/>
          <c:max val="0.92"/>
          <c:min val="0"/>
        </c:scaling>
        <c:delete val="0"/>
        <c:axPos val="l"/>
        <c:majorGridlines>
          <c:spPr>
            <a:ln w="6350">
              <a:solidFill>
                <a:schemeClr val="bg1">
                  <a:lumMod val="75000"/>
                </a:schemeClr>
              </a:solidFill>
              <a:prstDash val="sysDot"/>
            </a:ln>
          </c:spPr>
        </c:majorGridlines>
        <c:title>
          <c:tx>
            <c:rich>
              <a:bodyPr/>
              <a:lstStyle/>
              <a:p>
                <a:pPr>
                  <a:defRPr sz="1200" b="0" i="0" u="none" strike="noStrike" baseline="0">
                    <a:solidFill>
                      <a:srgbClr val="000000"/>
                    </a:solidFill>
                    <a:latin typeface="Arial"/>
                    <a:ea typeface="Arial"/>
                    <a:cs typeface="Arial"/>
                  </a:defRPr>
                </a:pPr>
                <a:r>
                  <a:rPr lang="en-US" sz="1300" b="0" baseline="0"/>
                  <a:t>Top statutory &amp; avg. individual income tax rates</a:t>
                </a:r>
                <a:endParaRPr lang="en-US" sz="1300" b="0"/>
              </a:p>
            </c:rich>
          </c:tx>
          <c:layout>
            <c:manualLayout>
              <c:xMode val="edge"/>
              <c:yMode val="edge"/>
              <c:x val="0"/>
              <c:y val="0.12406288098555218"/>
            </c:manualLayout>
          </c:layout>
          <c:overlay val="0"/>
          <c:spPr>
            <a:noFill/>
            <a:ln w="25400">
              <a:noFill/>
            </a:ln>
          </c:spPr>
        </c:title>
        <c:numFmt formatCode="0%" sourceLinked="0"/>
        <c:majorTickMark val="out"/>
        <c:minorTickMark val="none"/>
        <c:tickLblPos val="nextTo"/>
        <c:spPr>
          <a:ln w="3175">
            <a:noFill/>
            <a:prstDash val="solid"/>
          </a:ln>
        </c:spPr>
        <c:txPr>
          <a:bodyPr rot="0" vert="horz"/>
          <a:lstStyle/>
          <a:p>
            <a:pPr>
              <a:defRPr sz="1300" b="0" i="0" u="none" strike="noStrike" baseline="0">
                <a:solidFill>
                  <a:srgbClr val="000000"/>
                </a:solidFill>
                <a:latin typeface="Arial"/>
                <a:ea typeface="Arial"/>
                <a:cs typeface="Arial"/>
              </a:defRPr>
            </a:pPr>
            <a:endParaRPr lang="en-US"/>
          </a:p>
        </c:txPr>
        <c:crossAx val="1117966680"/>
        <c:crosses val="autoZero"/>
        <c:crossBetween val="midCat"/>
        <c:majorUnit val="0.30000000000000004"/>
      </c:valAx>
      <c:spPr>
        <a:solidFill>
          <a:srgbClr val="FFFFFF"/>
        </a:solidFill>
        <a:ln w="3175">
          <a:noFill/>
          <a:prstDash val="solid"/>
        </a:ln>
      </c:spPr>
    </c:plotArea>
    <c:plotVisOnly val="1"/>
    <c:dispBlanksAs val="span"/>
    <c:showDLblsOverMax val="0"/>
  </c:chart>
  <c:spPr>
    <a:solidFill>
      <a:schemeClr val="bg1"/>
    </a:solidFill>
    <a:ln w="9525">
      <a:noFill/>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0866" r="0.75000000000000866" t="1" header="0.5" footer="0.5"/>
    <c:pageSetup orientation="landscape" verticalDpi="96"/>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2961738638045564"/>
          <c:y val="1.912437220292031E-2"/>
          <c:w val="0.83226579685491997"/>
          <c:h val="0.83983704919368452"/>
        </c:manualLayout>
      </c:layout>
      <c:scatterChart>
        <c:scatterStyle val="lineMarker"/>
        <c:varyColors val="0"/>
        <c:ser>
          <c:idx val="0"/>
          <c:order val="0"/>
          <c:tx>
            <c:v>Taxes</c:v>
          </c:tx>
          <c:spPr>
            <a:ln w="25400">
              <a:solidFill>
                <a:srgbClr val="2699B4"/>
              </a:solidFill>
            </a:ln>
          </c:spPr>
          <c:marker>
            <c:symbol val="circle"/>
            <c:size val="7"/>
            <c:spPr>
              <a:solidFill>
                <a:srgbClr val="2699B4"/>
              </a:solidFill>
              <a:ln>
                <a:noFill/>
              </a:ln>
            </c:spPr>
          </c:marker>
          <c:xVal>
            <c:numRef>
              <c:f>'6-Red'!$B$39:$I$39</c:f>
              <c:numCache>
                <c:formatCode>General</c:formatCode>
                <c:ptCount val="8"/>
                <c:pt idx="0">
                  <c:v>10</c:v>
                </c:pt>
                <c:pt idx="1">
                  <c:v>30</c:v>
                </c:pt>
                <c:pt idx="2">
                  <c:v>50</c:v>
                </c:pt>
                <c:pt idx="3">
                  <c:v>70</c:v>
                </c:pt>
                <c:pt idx="4">
                  <c:v>85</c:v>
                </c:pt>
                <c:pt idx="5">
                  <c:v>92.5</c:v>
                </c:pt>
                <c:pt idx="6" formatCode="0.0">
                  <c:v>97</c:v>
                </c:pt>
                <c:pt idx="7" formatCode="0.0">
                  <c:v>99.5</c:v>
                </c:pt>
              </c:numCache>
            </c:numRef>
          </c:xVal>
          <c:yVal>
            <c:numRef>
              <c:f>'6-Red'!$B$32:$I$32</c:f>
              <c:numCache>
                <c:formatCode>0</c:formatCode>
                <c:ptCount val="8"/>
                <c:pt idx="0">
                  <c:v>1.1235955056179776</c:v>
                </c:pt>
                <c:pt idx="1">
                  <c:v>10.10928961748634</c:v>
                </c:pt>
                <c:pt idx="2">
                  <c:v>16.770186335403729</c:v>
                </c:pt>
                <c:pt idx="3">
                  <c:v>20.386473429951689</c:v>
                </c:pt>
                <c:pt idx="4">
                  <c:v>23.05699481865285</c:v>
                </c:pt>
                <c:pt idx="5">
                  <c:v>24.894712213383247</c:v>
                </c:pt>
                <c:pt idx="6">
                  <c:v>27.64341957255343</c:v>
                </c:pt>
                <c:pt idx="7">
                  <c:v>33.497096918267083</c:v>
                </c:pt>
              </c:numCache>
            </c:numRef>
          </c:yVal>
          <c:smooth val="0"/>
          <c:extLst>
            <c:ext xmlns:c16="http://schemas.microsoft.com/office/drawing/2014/chart" uri="{C3380CC4-5D6E-409C-BE32-E72D297353CC}">
              <c16:uniqueId val="{00000000-CEB2-4BAF-A0E0-82C1913D5D01}"/>
            </c:ext>
          </c:extLst>
        </c:ser>
        <c:ser>
          <c:idx val="1"/>
          <c:order val="1"/>
          <c:tx>
            <c:v>Taxes Transfers</c:v>
          </c:tx>
          <c:spPr>
            <a:ln w="25400">
              <a:solidFill>
                <a:srgbClr val="D58F11"/>
              </a:solidFill>
              <a:prstDash val="sysDash"/>
            </a:ln>
          </c:spPr>
          <c:marker>
            <c:symbol val="circle"/>
            <c:size val="7"/>
            <c:spPr>
              <a:solidFill>
                <a:srgbClr val="D58F11"/>
              </a:solidFill>
              <a:ln>
                <a:solidFill>
                  <a:srgbClr val="D58F11"/>
                </a:solidFill>
              </a:ln>
            </c:spPr>
          </c:marker>
          <c:xVal>
            <c:numRef>
              <c:f>'6-Red'!$B$39:$I$39</c:f>
              <c:numCache>
                <c:formatCode>General</c:formatCode>
                <c:ptCount val="8"/>
                <c:pt idx="0">
                  <c:v>10</c:v>
                </c:pt>
                <c:pt idx="1">
                  <c:v>30</c:v>
                </c:pt>
                <c:pt idx="2">
                  <c:v>50</c:v>
                </c:pt>
                <c:pt idx="3">
                  <c:v>70</c:v>
                </c:pt>
                <c:pt idx="4">
                  <c:v>85</c:v>
                </c:pt>
                <c:pt idx="5">
                  <c:v>92.5</c:v>
                </c:pt>
                <c:pt idx="6" formatCode="0.0">
                  <c:v>97</c:v>
                </c:pt>
                <c:pt idx="7" formatCode="0.0">
                  <c:v>99.5</c:v>
                </c:pt>
              </c:numCache>
            </c:numRef>
          </c:xVal>
          <c:yVal>
            <c:numRef>
              <c:f>'6-Red'!$B$33:$I$33</c:f>
              <c:numCache>
                <c:formatCode>0</c:formatCode>
                <c:ptCount val="8"/>
                <c:pt idx="0">
                  <c:v>-133.70786516853931</c:v>
                </c:pt>
                <c:pt idx="1">
                  <c:v>-10.928961748633879</c:v>
                </c:pt>
                <c:pt idx="2">
                  <c:v>11.024844720496894</c:v>
                </c:pt>
                <c:pt idx="3">
                  <c:v>18.647342995169083</c:v>
                </c:pt>
                <c:pt idx="4">
                  <c:v>22.344559585492227</c:v>
                </c:pt>
                <c:pt idx="5">
                  <c:v>24.47356106691624</c:v>
                </c:pt>
                <c:pt idx="6">
                  <c:v>27.418447694038246</c:v>
                </c:pt>
                <c:pt idx="7">
                  <c:v>33.435685573916928</c:v>
                </c:pt>
              </c:numCache>
            </c:numRef>
          </c:yVal>
          <c:smooth val="0"/>
          <c:extLst>
            <c:ext xmlns:c16="http://schemas.microsoft.com/office/drawing/2014/chart" uri="{C3380CC4-5D6E-409C-BE32-E72D297353CC}">
              <c16:uniqueId val="{00000001-CEB2-4BAF-A0E0-82C1913D5D01}"/>
            </c:ext>
          </c:extLst>
        </c:ser>
        <c:ser>
          <c:idx val="2"/>
          <c:order val="2"/>
          <c:tx>
            <c:v>Taxes Transfers and Soc Ins</c:v>
          </c:tx>
          <c:spPr>
            <a:ln w="25400">
              <a:solidFill>
                <a:srgbClr val="A03A49"/>
              </a:solidFill>
            </a:ln>
          </c:spPr>
          <c:marker>
            <c:symbol val="circle"/>
            <c:size val="7"/>
            <c:spPr>
              <a:solidFill>
                <a:srgbClr val="A03A49"/>
              </a:solidFill>
              <a:ln>
                <a:solidFill>
                  <a:srgbClr val="A03A49"/>
                </a:solidFill>
              </a:ln>
            </c:spPr>
          </c:marker>
          <c:xVal>
            <c:numRef>
              <c:f>'6-Red'!$B$39:$I$39</c:f>
              <c:numCache>
                <c:formatCode>General</c:formatCode>
                <c:ptCount val="8"/>
                <c:pt idx="0">
                  <c:v>10</c:v>
                </c:pt>
                <c:pt idx="1">
                  <c:v>30</c:v>
                </c:pt>
                <c:pt idx="2">
                  <c:v>50</c:v>
                </c:pt>
                <c:pt idx="3">
                  <c:v>70</c:v>
                </c:pt>
                <c:pt idx="4">
                  <c:v>85</c:v>
                </c:pt>
                <c:pt idx="5">
                  <c:v>92.5</c:v>
                </c:pt>
                <c:pt idx="6" formatCode="0.0">
                  <c:v>97</c:v>
                </c:pt>
                <c:pt idx="7" formatCode="0.0">
                  <c:v>99.5</c:v>
                </c:pt>
              </c:numCache>
            </c:numRef>
          </c:xVal>
          <c:yVal>
            <c:numRef>
              <c:f>'6-Red'!$B$34:$I$34</c:f>
              <c:numCache>
                <c:formatCode>0</c:formatCode>
                <c:ptCount val="8"/>
                <c:pt idx="0">
                  <c:v>-337.07865168539325</c:v>
                </c:pt>
                <c:pt idx="1">
                  <c:v>-43.442622950819668</c:v>
                </c:pt>
                <c:pt idx="2">
                  <c:v>-2.9503105590062111</c:v>
                </c:pt>
                <c:pt idx="3">
                  <c:v>11.980676328502415</c:v>
                </c:pt>
                <c:pt idx="4">
                  <c:v>18.523316062176164</c:v>
                </c:pt>
                <c:pt idx="5">
                  <c:v>21.665886757136171</c:v>
                </c:pt>
                <c:pt idx="6">
                  <c:v>25.449943757030368</c:v>
                </c:pt>
                <c:pt idx="7">
                  <c:v>32.949977668602052</c:v>
                </c:pt>
              </c:numCache>
            </c:numRef>
          </c:yVal>
          <c:smooth val="0"/>
          <c:extLst>
            <c:ext xmlns:c16="http://schemas.microsoft.com/office/drawing/2014/chart" uri="{C3380CC4-5D6E-409C-BE32-E72D297353CC}">
              <c16:uniqueId val="{00000002-CEB2-4BAF-A0E0-82C1913D5D01}"/>
            </c:ext>
          </c:extLst>
        </c:ser>
        <c:dLbls>
          <c:showLegendKey val="0"/>
          <c:showVal val="0"/>
          <c:showCatName val="0"/>
          <c:showSerName val="0"/>
          <c:showPercent val="0"/>
          <c:showBubbleSize val="0"/>
        </c:dLbls>
        <c:axId val="717093464"/>
        <c:axId val="717093856"/>
      </c:scatterChart>
      <c:valAx>
        <c:axId val="717093464"/>
        <c:scaling>
          <c:orientation val="minMax"/>
          <c:max val="100"/>
        </c:scaling>
        <c:delete val="0"/>
        <c:axPos val="b"/>
        <c:title>
          <c:tx>
            <c:rich>
              <a:bodyPr/>
              <a:lstStyle/>
              <a:p>
                <a:pPr>
                  <a:defRPr/>
                </a:pPr>
                <a:r>
                  <a:rPr lang="en-US" sz="1200" b="0" i="0" baseline="0">
                    <a:effectLst/>
                    <a:latin typeface="Arial" panose="020B0604020202020204" pitchFamily="34" charset="0"/>
                    <a:cs typeface="Arial" panose="020B0604020202020204" pitchFamily="34" charset="0"/>
                  </a:rPr>
                  <a:t>Income quintile </a:t>
                </a:r>
                <a:endParaRPr lang="en-US" sz="700" b="0">
                  <a:effectLst/>
                  <a:latin typeface="Arial" panose="020B0604020202020204" pitchFamily="34" charset="0"/>
                  <a:cs typeface="Arial" panose="020B0604020202020204" pitchFamily="34" charset="0"/>
                </a:endParaRPr>
              </a:p>
            </c:rich>
          </c:tx>
          <c:layout>
            <c:manualLayout>
              <c:xMode val="edge"/>
              <c:yMode val="edge"/>
              <c:x val="0.41390928786748094"/>
              <c:y val="0.90904830909440082"/>
            </c:manualLayout>
          </c:layout>
          <c:overlay val="0"/>
        </c:title>
        <c:numFmt formatCode="0" sourceLinked="0"/>
        <c:majorTickMark val="out"/>
        <c:minorTickMark val="none"/>
        <c:tickLblPos val="nextTo"/>
        <c:spPr>
          <a:ln>
            <a:solidFill>
              <a:schemeClr val="tx1"/>
            </a:solidFill>
          </a:ln>
        </c:spPr>
        <c:txPr>
          <a:bodyPr rot="0" vert="horz"/>
          <a:lstStyle/>
          <a:p>
            <a:pPr>
              <a:defRPr sz="1100" b="0" i="0" u="none" strike="noStrike" kern="0" spc="-20" baseline="0">
                <a:solidFill>
                  <a:srgbClr val="000000"/>
                </a:solidFill>
                <a:latin typeface="Arial" panose="020B0604020202020204" pitchFamily="34" charset="0"/>
                <a:ea typeface="Arial"/>
                <a:cs typeface="Arial" panose="020B0604020202020204" pitchFamily="34" charset="0"/>
              </a:defRPr>
            </a:pPr>
            <a:endParaRPr lang="en-US"/>
          </a:p>
        </c:txPr>
        <c:crossAx val="717093856"/>
        <c:crossesAt val="-350"/>
        <c:crossBetween val="midCat"/>
        <c:majorUnit val="20"/>
        <c:minorUnit val="1"/>
      </c:valAx>
      <c:valAx>
        <c:axId val="717093856"/>
        <c:scaling>
          <c:orientation val="minMax"/>
          <c:max val="50"/>
          <c:min val="-350"/>
        </c:scaling>
        <c:delete val="0"/>
        <c:axPos val="l"/>
        <c:majorGridlines>
          <c:spPr>
            <a:ln>
              <a:solidFill>
                <a:schemeClr val="bg1">
                  <a:lumMod val="75000"/>
                </a:schemeClr>
              </a:solidFill>
              <a:prstDash val="sysDash"/>
            </a:ln>
          </c:spPr>
        </c:majorGridlines>
        <c:title>
          <c:tx>
            <c:rich>
              <a:bodyPr/>
              <a:lstStyle/>
              <a:p>
                <a:pPr>
                  <a:defRPr sz="1200" b="0">
                    <a:latin typeface="Arial" panose="020B0604020202020204" pitchFamily="34" charset="0"/>
                    <a:cs typeface="Arial" panose="020B0604020202020204" pitchFamily="34" charset="0"/>
                  </a:defRPr>
                </a:pPr>
                <a:r>
                  <a:rPr lang="en-US" sz="1200" b="0" baseline="0">
                    <a:latin typeface="Arial" panose="020B0604020202020204" pitchFamily="34" charset="0"/>
                    <a:cs typeface="Arial" panose="020B0604020202020204" pitchFamily="34" charset="0"/>
                  </a:rPr>
                  <a:t>Average tax/redistribution rates</a:t>
                </a:r>
                <a:endParaRPr lang="en-US" sz="1200" b="0">
                  <a:latin typeface="Arial" panose="020B0604020202020204" pitchFamily="34" charset="0"/>
                  <a:cs typeface="Arial" panose="020B0604020202020204" pitchFamily="34" charset="0"/>
                </a:endParaRPr>
              </a:p>
            </c:rich>
          </c:tx>
          <c:layout>
            <c:manualLayout>
              <c:xMode val="edge"/>
              <c:yMode val="edge"/>
              <c:x val="3.2065150734662839E-4"/>
              <c:y val="0.1742700676827813"/>
            </c:manualLayout>
          </c:layout>
          <c:overlay val="0"/>
        </c:title>
        <c:numFmt formatCode="#,##0" sourceLinked="0"/>
        <c:majorTickMark val="out"/>
        <c:minorTickMark val="none"/>
        <c:tickLblPos val="nextTo"/>
        <c:spPr>
          <a:ln>
            <a:noFill/>
          </a:ln>
        </c:spPr>
        <c:txPr>
          <a:bodyPr rot="0" vert="horz"/>
          <a:lstStyle/>
          <a:p>
            <a:pPr>
              <a:defRPr sz="1100" b="0" i="0" u="none" strike="noStrike" baseline="0">
                <a:solidFill>
                  <a:sysClr val="windowText" lastClr="000000"/>
                </a:solidFill>
                <a:latin typeface="Arial" panose="020B0604020202020204" pitchFamily="34" charset="0"/>
                <a:ea typeface="Calibri"/>
                <a:cs typeface="Arial" panose="020B0604020202020204" pitchFamily="34" charset="0"/>
              </a:defRPr>
            </a:pPr>
            <a:endParaRPr lang="en-US"/>
          </a:p>
        </c:txPr>
        <c:crossAx val="717093464"/>
        <c:crosses val="autoZero"/>
        <c:crossBetween val="midCat"/>
        <c:majorUnit val="175"/>
        <c:minorUnit val="5.000000000000001E-3"/>
      </c:valAx>
      <c:spPr>
        <a:ln>
          <a:noFill/>
        </a:ln>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1" l="0.75000000000000611" r="0.75000000000000611" t="1" header="0.5" footer="0.5"/>
    <c:pageSetup orientation="landscape" horizontalDpi="1200" verticalDpi="1200"/>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2961738638045564"/>
          <c:y val="1.912437220292031E-2"/>
          <c:w val="0.83226579685491997"/>
          <c:h val="0.83983704919368452"/>
        </c:manualLayout>
      </c:layout>
      <c:scatterChart>
        <c:scatterStyle val="lineMarker"/>
        <c:varyColors val="0"/>
        <c:ser>
          <c:idx val="0"/>
          <c:order val="0"/>
          <c:tx>
            <c:v>Taxes</c:v>
          </c:tx>
          <c:spPr>
            <a:ln w="25400">
              <a:solidFill>
                <a:schemeClr val="tx1"/>
              </a:solidFill>
            </a:ln>
          </c:spPr>
          <c:marker>
            <c:symbol val="circle"/>
            <c:size val="7"/>
            <c:spPr>
              <a:solidFill>
                <a:schemeClr val="tx1"/>
              </a:solidFill>
              <a:ln>
                <a:noFill/>
              </a:ln>
            </c:spPr>
          </c:marker>
          <c:xVal>
            <c:numRef>
              <c:f>'6-Red'!$B$39:$I$39</c:f>
              <c:numCache>
                <c:formatCode>General</c:formatCode>
                <c:ptCount val="8"/>
                <c:pt idx="0">
                  <c:v>10</c:v>
                </c:pt>
                <c:pt idx="1">
                  <c:v>30</c:v>
                </c:pt>
                <c:pt idx="2">
                  <c:v>50</c:v>
                </c:pt>
                <c:pt idx="3">
                  <c:v>70</c:v>
                </c:pt>
                <c:pt idx="4">
                  <c:v>85</c:v>
                </c:pt>
                <c:pt idx="5">
                  <c:v>92.5</c:v>
                </c:pt>
                <c:pt idx="6" formatCode="0.0">
                  <c:v>97</c:v>
                </c:pt>
                <c:pt idx="7" formatCode="0.0">
                  <c:v>99.5</c:v>
                </c:pt>
              </c:numCache>
            </c:numRef>
          </c:xVal>
          <c:yVal>
            <c:numRef>
              <c:f>'6-Red'!$B$32:$I$32</c:f>
              <c:numCache>
                <c:formatCode>0</c:formatCode>
                <c:ptCount val="8"/>
                <c:pt idx="0">
                  <c:v>1.1235955056179776</c:v>
                </c:pt>
                <c:pt idx="1">
                  <c:v>10.10928961748634</c:v>
                </c:pt>
                <c:pt idx="2">
                  <c:v>16.770186335403729</c:v>
                </c:pt>
                <c:pt idx="3">
                  <c:v>20.386473429951689</c:v>
                </c:pt>
                <c:pt idx="4">
                  <c:v>23.05699481865285</c:v>
                </c:pt>
                <c:pt idx="5">
                  <c:v>24.894712213383247</c:v>
                </c:pt>
                <c:pt idx="6">
                  <c:v>27.64341957255343</c:v>
                </c:pt>
                <c:pt idx="7">
                  <c:v>33.497096918267083</c:v>
                </c:pt>
              </c:numCache>
            </c:numRef>
          </c:yVal>
          <c:smooth val="0"/>
          <c:extLst>
            <c:ext xmlns:c16="http://schemas.microsoft.com/office/drawing/2014/chart" uri="{C3380CC4-5D6E-409C-BE32-E72D297353CC}">
              <c16:uniqueId val="{00000000-6DBA-478C-A4C0-EE66E60035A4}"/>
            </c:ext>
          </c:extLst>
        </c:ser>
        <c:ser>
          <c:idx val="1"/>
          <c:order val="1"/>
          <c:tx>
            <c:v>Taxes Transfers</c:v>
          </c:tx>
          <c:spPr>
            <a:ln w="25400">
              <a:solidFill>
                <a:schemeClr val="tx1">
                  <a:lumMod val="50000"/>
                  <a:lumOff val="50000"/>
                </a:schemeClr>
              </a:solidFill>
              <a:prstDash val="sysDash"/>
            </a:ln>
          </c:spPr>
          <c:marker>
            <c:symbol val="circle"/>
            <c:size val="7"/>
            <c:spPr>
              <a:solidFill>
                <a:schemeClr val="tx1">
                  <a:lumMod val="50000"/>
                  <a:lumOff val="50000"/>
                </a:schemeClr>
              </a:solidFill>
              <a:ln>
                <a:noFill/>
              </a:ln>
            </c:spPr>
          </c:marker>
          <c:xVal>
            <c:numRef>
              <c:f>'6-Red'!$B$39:$I$39</c:f>
              <c:numCache>
                <c:formatCode>General</c:formatCode>
                <c:ptCount val="8"/>
                <c:pt idx="0">
                  <c:v>10</c:v>
                </c:pt>
                <c:pt idx="1">
                  <c:v>30</c:v>
                </c:pt>
                <c:pt idx="2">
                  <c:v>50</c:v>
                </c:pt>
                <c:pt idx="3">
                  <c:v>70</c:v>
                </c:pt>
                <c:pt idx="4">
                  <c:v>85</c:v>
                </c:pt>
                <c:pt idx="5">
                  <c:v>92.5</c:v>
                </c:pt>
                <c:pt idx="6" formatCode="0.0">
                  <c:v>97</c:v>
                </c:pt>
                <c:pt idx="7" formatCode="0.0">
                  <c:v>99.5</c:v>
                </c:pt>
              </c:numCache>
            </c:numRef>
          </c:xVal>
          <c:yVal>
            <c:numRef>
              <c:f>'6-Red'!$B$33:$I$33</c:f>
              <c:numCache>
                <c:formatCode>0</c:formatCode>
                <c:ptCount val="8"/>
                <c:pt idx="0">
                  <c:v>-133.70786516853931</c:v>
                </c:pt>
                <c:pt idx="1">
                  <c:v>-10.928961748633879</c:v>
                </c:pt>
                <c:pt idx="2">
                  <c:v>11.024844720496894</c:v>
                </c:pt>
                <c:pt idx="3">
                  <c:v>18.647342995169083</c:v>
                </c:pt>
                <c:pt idx="4">
                  <c:v>22.344559585492227</c:v>
                </c:pt>
                <c:pt idx="5">
                  <c:v>24.47356106691624</c:v>
                </c:pt>
                <c:pt idx="6">
                  <c:v>27.418447694038246</c:v>
                </c:pt>
                <c:pt idx="7">
                  <c:v>33.435685573916928</c:v>
                </c:pt>
              </c:numCache>
            </c:numRef>
          </c:yVal>
          <c:smooth val="0"/>
          <c:extLst>
            <c:ext xmlns:c16="http://schemas.microsoft.com/office/drawing/2014/chart" uri="{C3380CC4-5D6E-409C-BE32-E72D297353CC}">
              <c16:uniqueId val="{00000001-6DBA-478C-A4C0-EE66E60035A4}"/>
            </c:ext>
          </c:extLst>
        </c:ser>
        <c:ser>
          <c:idx val="2"/>
          <c:order val="2"/>
          <c:tx>
            <c:v>Taxes Transfers and Soc Ins</c:v>
          </c:tx>
          <c:spPr>
            <a:ln w="25400">
              <a:solidFill>
                <a:schemeClr val="tx1">
                  <a:lumMod val="75000"/>
                  <a:lumOff val="25000"/>
                </a:schemeClr>
              </a:solidFill>
            </a:ln>
          </c:spPr>
          <c:marker>
            <c:symbol val="circle"/>
            <c:size val="7"/>
            <c:spPr>
              <a:solidFill>
                <a:schemeClr val="tx1">
                  <a:lumMod val="75000"/>
                  <a:lumOff val="25000"/>
                </a:schemeClr>
              </a:solidFill>
              <a:ln>
                <a:noFill/>
              </a:ln>
            </c:spPr>
          </c:marker>
          <c:xVal>
            <c:numRef>
              <c:f>'6-Red'!$B$39:$I$39</c:f>
              <c:numCache>
                <c:formatCode>General</c:formatCode>
                <c:ptCount val="8"/>
                <c:pt idx="0">
                  <c:v>10</c:v>
                </c:pt>
                <c:pt idx="1">
                  <c:v>30</c:v>
                </c:pt>
                <c:pt idx="2">
                  <c:v>50</c:v>
                </c:pt>
                <c:pt idx="3">
                  <c:v>70</c:v>
                </c:pt>
                <c:pt idx="4">
                  <c:v>85</c:v>
                </c:pt>
                <c:pt idx="5">
                  <c:v>92.5</c:v>
                </c:pt>
                <c:pt idx="6" formatCode="0.0">
                  <c:v>97</c:v>
                </c:pt>
                <c:pt idx="7" formatCode="0.0">
                  <c:v>99.5</c:v>
                </c:pt>
              </c:numCache>
            </c:numRef>
          </c:xVal>
          <c:yVal>
            <c:numRef>
              <c:f>'6-Red'!$B$34:$I$34</c:f>
              <c:numCache>
                <c:formatCode>0</c:formatCode>
                <c:ptCount val="8"/>
                <c:pt idx="0">
                  <c:v>-337.07865168539325</c:v>
                </c:pt>
                <c:pt idx="1">
                  <c:v>-43.442622950819668</c:v>
                </c:pt>
                <c:pt idx="2">
                  <c:v>-2.9503105590062111</c:v>
                </c:pt>
                <c:pt idx="3">
                  <c:v>11.980676328502415</c:v>
                </c:pt>
                <c:pt idx="4">
                  <c:v>18.523316062176164</c:v>
                </c:pt>
                <c:pt idx="5">
                  <c:v>21.665886757136171</c:v>
                </c:pt>
                <c:pt idx="6">
                  <c:v>25.449943757030368</c:v>
                </c:pt>
                <c:pt idx="7">
                  <c:v>32.949977668602052</c:v>
                </c:pt>
              </c:numCache>
            </c:numRef>
          </c:yVal>
          <c:smooth val="0"/>
          <c:extLst>
            <c:ext xmlns:c16="http://schemas.microsoft.com/office/drawing/2014/chart" uri="{C3380CC4-5D6E-409C-BE32-E72D297353CC}">
              <c16:uniqueId val="{00000002-6DBA-478C-A4C0-EE66E60035A4}"/>
            </c:ext>
          </c:extLst>
        </c:ser>
        <c:dLbls>
          <c:showLegendKey val="0"/>
          <c:showVal val="0"/>
          <c:showCatName val="0"/>
          <c:showSerName val="0"/>
          <c:showPercent val="0"/>
          <c:showBubbleSize val="0"/>
        </c:dLbls>
        <c:axId val="717093464"/>
        <c:axId val="717093856"/>
      </c:scatterChart>
      <c:valAx>
        <c:axId val="717093464"/>
        <c:scaling>
          <c:orientation val="minMax"/>
          <c:max val="100"/>
        </c:scaling>
        <c:delete val="0"/>
        <c:axPos val="b"/>
        <c:title>
          <c:tx>
            <c:rich>
              <a:bodyPr/>
              <a:lstStyle/>
              <a:p>
                <a:pPr>
                  <a:defRPr/>
                </a:pPr>
                <a:r>
                  <a:rPr lang="en-US" sz="1200" b="0" i="0" baseline="0">
                    <a:effectLst/>
                    <a:latin typeface="Arial" panose="020B0604020202020204" pitchFamily="34" charset="0"/>
                    <a:cs typeface="Arial" panose="020B0604020202020204" pitchFamily="34" charset="0"/>
                  </a:rPr>
                  <a:t>Income quintile </a:t>
                </a:r>
                <a:endParaRPr lang="en-US" sz="700" b="0">
                  <a:effectLst/>
                  <a:latin typeface="Arial" panose="020B0604020202020204" pitchFamily="34" charset="0"/>
                  <a:cs typeface="Arial" panose="020B0604020202020204" pitchFamily="34" charset="0"/>
                </a:endParaRPr>
              </a:p>
            </c:rich>
          </c:tx>
          <c:layout>
            <c:manualLayout>
              <c:xMode val="edge"/>
              <c:yMode val="edge"/>
              <c:x val="0.41390928786748094"/>
              <c:y val="0.90904830909440082"/>
            </c:manualLayout>
          </c:layout>
          <c:overlay val="0"/>
        </c:title>
        <c:numFmt formatCode="0" sourceLinked="0"/>
        <c:majorTickMark val="out"/>
        <c:minorTickMark val="none"/>
        <c:tickLblPos val="nextTo"/>
        <c:spPr>
          <a:ln>
            <a:solidFill>
              <a:schemeClr val="tx1"/>
            </a:solidFill>
          </a:ln>
        </c:spPr>
        <c:txPr>
          <a:bodyPr rot="0" vert="horz"/>
          <a:lstStyle/>
          <a:p>
            <a:pPr>
              <a:defRPr sz="1100" b="0" i="0" u="none" strike="noStrike" kern="0" spc="-20" baseline="0">
                <a:solidFill>
                  <a:srgbClr val="000000"/>
                </a:solidFill>
                <a:latin typeface="Arial" panose="020B0604020202020204" pitchFamily="34" charset="0"/>
                <a:ea typeface="Arial"/>
                <a:cs typeface="Arial" panose="020B0604020202020204" pitchFamily="34" charset="0"/>
              </a:defRPr>
            </a:pPr>
            <a:endParaRPr lang="en-US"/>
          </a:p>
        </c:txPr>
        <c:crossAx val="717093856"/>
        <c:crossesAt val="-350"/>
        <c:crossBetween val="midCat"/>
        <c:majorUnit val="20"/>
        <c:minorUnit val="1"/>
      </c:valAx>
      <c:valAx>
        <c:axId val="717093856"/>
        <c:scaling>
          <c:orientation val="minMax"/>
          <c:max val="50"/>
          <c:min val="-350"/>
        </c:scaling>
        <c:delete val="0"/>
        <c:axPos val="l"/>
        <c:majorGridlines>
          <c:spPr>
            <a:ln>
              <a:solidFill>
                <a:schemeClr val="bg1">
                  <a:lumMod val="75000"/>
                </a:schemeClr>
              </a:solidFill>
              <a:prstDash val="sysDash"/>
            </a:ln>
          </c:spPr>
        </c:majorGridlines>
        <c:title>
          <c:tx>
            <c:rich>
              <a:bodyPr/>
              <a:lstStyle/>
              <a:p>
                <a:pPr>
                  <a:defRPr sz="1200" b="0">
                    <a:latin typeface="Arial" panose="020B0604020202020204" pitchFamily="34" charset="0"/>
                    <a:cs typeface="Arial" panose="020B0604020202020204" pitchFamily="34" charset="0"/>
                  </a:defRPr>
                </a:pPr>
                <a:r>
                  <a:rPr lang="en-US" sz="1200" b="0" baseline="0">
                    <a:latin typeface="Arial" panose="020B0604020202020204" pitchFamily="34" charset="0"/>
                    <a:cs typeface="Arial" panose="020B0604020202020204" pitchFamily="34" charset="0"/>
                  </a:rPr>
                  <a:t>Average tax/redistribution rates</a:t>
                </a:r>
                <a:endParaRPr lang="en-US" sz="1200" b="0">
                  <a:latin typeface="Arial" panose="020B0604020202020204" pitchFamily="34" charset="0"/>
                  <a:cs typeface="Arial" panose="020B0604020202020204" pitchFamily="34" charset="0"/>
                </a:endParaRPr>
              </a:p>
            </c:rich>
          </c:tx>
          <c:layout>
            <c:manualLayout>
              <c:xMode val="edge"/>
              <c:yMode val="edge"/>
              <c:x val="3.2065150734662839E-4"/>
              <c:y val="0.1742700676827813"/>
            </c:manualLayout>
          </c:layout>
          <c:overlay val="0"/>
        </c:title>
        <c:numFmt formatCode="#,##0" sourceLinked="0"/>
        <c:majorTickMark val="out"/>
        <c:minorTickMark val="none"/>
        <c:tickLblPos val="nextTo"/>
        <c:spPr>
          <a:ln>
            <a:noFill/>
          </a:ln>
        </c:spPr>
        <c:txPr>
          <a:bodyPr rot="0" vert="horz"/>
          <a:lstStyle/>
          <a:p>
            <a:pPr>
              <a:defRPr sz="1100" b="0" i="0" u="none" strike="noStrike" baseline="0">
                <a:solidFill>
                  <a:sysClr val="windowText" lastClr="000000"/>
                </a:solidFill>
                <a:latin typeface="Arial" panose="020B0604020202020204" pitchFamily="34" charset="0"/>
                <a:ea typeface="Calibri"/>
                <a:cs typeface="Arial" panose="020B0604020202020204" pitchFamily="34" charset="0"/>
              </a:defRPr>
            </a:pPr>
            <a:endParaRPr lang="en-US"/>
          </a:p>
        </c:txPr>
        <c:crossAx val="717093464"/>
        <c:crosses val="autoZero"/>
        <c:crossBetween val="midCat"/>
        <c:majorUnit val="175"/>
        <c:minorUnit val="5.000000000000001E-3"/>
      </c:valAx>
      <c:spPr>
        <a:ln>
          <a:noFill/>
        </a:ln>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1" l="0.75000000000000611" r="0.75000000000000611" t="1" header="0.5" footer="0.5"/>
    <c:pageSetup orientation="landscape" horizontalDpi="1200" verticalDpi="1200"/>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9246941965858"/>
          <c:y val="3.3777574141508858E-2"/>
          <c:w val="0.8427330747890629"/>
          <c:h val="0.86629650675108916"/>
        </c:manualLayout>
      </c:layout>
      <c:scatterChart>
        <c:scatterStyle val="smoothMarker"/>
        <c:varyColors val="0"/>
        <c:ser>
          <c:idx val="0"/>
          <c:order val="0"/>
          <c:tx>
            <c:strRef>
              <c:f>'7-RS'!$P$6:$W$6</c:f>
              <c:strCache>
                <c:ptCount val="8"/>
                <c:pt idx="0">
                  <c:v>Cumulative Share of Income After Taxes and Transfers</c:v>
                </c:pt>
              </c:strCache>
            </c:strRef>
          </c:tx>
          <c:spPr>
            <a:ln w="25400">
              <a:solidFill>
                <a:srgbClr val="2699B4"/>
              </a:solidFill>
            </a:ln>
          </c:spPr>
          <c:marker>
            <c:symbol val="none"/>
          </c:marker>
          <c:xVal>
            <c:numRef>
              <c:f>'7-RS'!$O$4:$W$4</c:f>
              <c:numCache>
                <c:formatCode>0.00</c:formatCode>
                <c:ptCount val="9"/>
                <c:pt idx="0" formatCode="General">
                  <c:v>0</c:v>
                </c:pt>
                <c:pt idx="1">
                  <c:v>0.2</c:v>
                </c:pt>
                <c:pt idx="2">
                  <c:v>0.4</c:v>
                </c:pt>
                <c:pt idx="3">
                  <c:v>0.60000000000000009</c:v>
                </c:pt>
                <c:pt idx="4">
                  <c:v>0.8</c:v>
                </c:pt>
                <c:pt idx="5">
                  <c:v>0.9</c:v>
                </c:pt>
                <c:pt idx="6">
                  <c:v>0.95000000000000007</c:v>
                </c:pt>
                <c:pt idx="7">
                  <c:v>0.9900000000000001</c:v>
                </c:pt>
                <c:pt idx="8">
                  <c:v>1</c:v>
                </c:pt>
              </c:numCache>
            </c:numRef>
          </c:xVal>
          <c:yVal>
            <c:numRef>
              <c:f>'7-RS'!$O$45:$W$45</c:f>
              <c:numCache>
                <c:formatCode>0.000</c:formatCode>
                <c:ptCount val="9"/>
                <c:pt idx="0" formatCode="General">
                  <c:v>0</c:v>
                </c:pt>
                <c:pt idx="1">
                  <c:v>0.10157790927021697</c:v>
                </c:pt>
                <c:pt idx="2">
                  <c:v>0.21203155818540431</c:v>
                </c:pt>
                <c:pt idx="3">
                  <c:v>0.35009861932938852</c:v>
                </c:pt>
                <c:pt idx="4">
                  <c:v>0.53944773175542404</c:v>
                </c:pt>
                <c:pt idx="5">
                  <c:v>0.67357001972386588</c:v>
                </c:pt>
                <c:pt idx="6">
                  <c:v>0.76429980276134124</c:v>
                </c:pt>
                <c:pt idx="7">
                  <c:v>0.87672583826429984</c:v>
                </c:pt>
                <c:pt idx="8" formatCode="0.00">
                  <c:v>1</c:v>
                </c:pt>
              </c:numCache>
            </c:numRef>
          </c:yVal>
          <c:smooth val="1"/>
          <c:extLst>
            <c:ext xmlns:c16="http://schemas.microsoft.com/office/drawing/2014/chart" uri="{C3380CC4-5D6E-409C-BE32-E72D297353CC}">
              <c16:uniqueId val="{00000000-063E-46DA-BCD8-0FB7080DDBAC}"/>
            </c:ext>
          </c:extLst>
        </c:ser>
        <c:ser>
          <c:idx val="1"/>
          <c:order val="1"/>
          <c:tx>
            <c:strRef>
              <c:f>'7-RS'!$AH$6</c:f>
              <c:strCache>
                <c:ptCount val="1"/>
                <c:pt idx="0">
                  <c:v>Cumulative Share of Market Income (CBO)</c:v>
                </c:pt>
              </c:strCache>
            </c:strRef>
          </c:tx>
          <c:spPr>
            <a:ln w="25400">
              <a:solidFill>
                <a:srgbClr val="A03A49"/>
              </a:solidFill>
            </a:ln>
          </c:spPr>
          <c:marker>
            <c:symbol val="none"/>
          </c:marker>
          <c:xVal>
            <c:numRef>
              <c:f>'7-RS'!$O$4:$W$4</c:f>
              <c:numCache>
                <c:formatCode>0.00</c:formatCode>
                <c:ptCount val="9"/>
                <c:pt idx="0" formatCode="General">
                  <c:v>0</c:v>
                </c:pt>
                <c:pt idx="1">
                  <c:v>0.2</c:v>
                </c:pt>
                <c:pt idx="2">
                  <c:v>0.4</c:v>
                </c:pt>
                <c:pt idx="3">
                  <c:v>0.60000000000000009</c:v>
                </c:pt>
                <c:pt idx="4">
                  <c:v>0.8</c:v>
                </c:pt>
                <c:pt idx="5">
                  <c:v>0.9</c:v>
                </c:pt>
                <c:pt idx="6">
                  <c:v>0.95000000000000007</c:v>
                </c:pt>
                <c:pt idx="7">
                  <c:v>0.9900000000000001</c:v>
                </c:pt>
                <c:pt idx="8">
                  <c:v>1</c:v>
                </c:pt>
              </c:numCache>
            </c:numRef>
          </c:xVal>
          <c:yVal>
            <c:numRef>
              <c:f>'7-RS'!$AG$45:$AO$45</c:f>
              <c:numCache>
                <c:formatCode>0.00</c:formatCode>
                <c:ptCount val="9"/>
                <c:pt idx="0" formatCode="General">
                  <c:v>0</c:v>
                </c:pt>
                <c:pt idx="1">
                  <c:v>2.1717670286278381E-2</c:v>
                </c:pt>
                <c:pt idx="2">
                  <c:v>9.3780848963474814E-2</c:v>
                </c:pt>
                <c:pt idx="3">
                  <c:v>0.22013820335636719</c:v>
                </c:pt>
                <c:pt idx="4">
                  <c:v>0.42250740375123391</c:v>
                </c:pt>
                <c:pt idx="5">
                  <c:v>0.57650542941757155</c:v>
                </c:pt>
                <c:pt idx="6">
                  <c:v>0.68509378084896344</c:v>
                </c:pt>
                <c:pt idx="7">
                  <c:v>0.82724580454096741</c:v>
                </c:pt>
                <c:pt idx="8">
                  <c:v>1</c:v>
                </c:pt>
              </c:numCache>
            </c:numRef>
          </c:yVal>
          <c:smooth val="1"/>
          <c:extLst>
            <c:ext xmlns:c16="http://schemas.microsoft.com/office/drawing/2014/chart" uri="{C3380CC4-5D6E-409C-BE32-E72D297353CC}">
              <c16:uniqueId val="{00000001-063E-46DA-BCD8-0FB7080DDBAC}"/>
            </c:ext>
          </c:extLst>
        </c:ser>
        <c:ser>
          <c:idx val="2"/>
          <c:order val="2"/>
          <c:tx>
            <c:strRef>
              <c:f>'7-RS'!$M$3</c:f>
              <c:strCache>
                <c:ptCount val="1"/>
                <c:pt idx="0">
                  <c:v>45-degree line</c:v>
                </c:pt>
              </c:strCache>
            </c:strRef>
          </c:tx>
          <c:spPr>
            <a:ln w="15875">
              <a:solidFill>
                <a:schemeClr val="bg1">
                  <a:lumMod val="50000"/>
                </a:schemeClr>
              </a:solidFill>
              <a:prstDash val="sysDash"/>
            </a:ln>
          </c:spPr>
          <c:marker>
            <c:symbol val="none"/>
          </c:marker>
          <c:xVal>
            <c:numRef>
              <c:f>'7-RS'!$O$4:$W$4</c:f>
              <c:numCache>
                <c:formatCode>0.00</c:formatCode>
                <c:ptCount val="9"/>
                <c:pt idx="0" formatCode="General">
                  <c:v>0</c:v>
                </c:pt>
                <c:pt idx="1">
                  <c:v>0.2</c:v>
                </c:pt>
                <c:pt idx="2">
                  <c:v>0.4</c:v>
                </c:pt>
                <c:pt idx="3">
                  <c:v>0.60000000000000009</c:v>
                </c:pt>
                <c:pt idx="4">
                  <c:v>0.8</c:v>
                </c:pt>
                <c:pt idx="5">
                  <c:v>0.9</c:v>
                </c:pt>
                <c:pt idx="6">
                  <c:v>0.95000000000000007</c:v>
                </c:pt>
                <c:pt idx="7">
                  <c:v>0.9900000000000001</c:v>
                </c:pt>
                <c:pt idx="8">
                  <c:v>1</c:v>
                </c:pt>
              </c:numCache>
            </c:numRef>
          </c:xVal>
          <c:yVal>
            <c:numRef>
              <c:f>'7-RS'!$O$4:$W$4</c:f>
              <c:numCache>
                <c:formatCode>0.00</c:formatCode>
                <c:ptCount val="9"/>
                <c:pt idx="0" formatCode="General">
                  <c:v>0</c:v>
                </c:pt>
                <c:pt idx="1">
                  <c:v>0.2</c:v>
                </c:pt>
                <c:pt idx="2">
                  <c:v>0.4</c:v>
                </c:pt>
                <c:pt idx="3">
                  <c:v>0.60000000000000009</c:v>
                </c:pt>
                <c:pt idx="4">
                  <c:v>0.8</c:v>
                </c:pt>
                <c:pt idx="5">
                  <c:v>0.9</c:v>
                </c:pt>
                <c:pt idx="6">
                  <c:v>0.95000000000000007</c:v>
                </c:pt>
                <c:pt idx="7">
                  <c:v>0.9900000000000001</c:v>
                </c:pt>
                <c:pt idx="8">
                  <c:v>1</c:v>
                </c:pt>
              </c:numCache>
            </c:numRef>
          </c:yVal>
          <c:smooth val="1"/>
          <c:extLst>
            <c:ext xmlns:c16="http://schemas.microsoft.com/office/drawing/2014/chart" uri="{C3380CC4-5D6E-409C-BE32-E72D297353CC}">
              <c16:uniqueId val="{00000002-063E-46DA-BCD8-0FB7080DDBAC}"/>
            </c:ext>
          </c:extLst>
        </c:ser>
        <c:dLbls>
          <c:showLegendKey val="0"/>
          <c:showVal val="0"/>
          <c:showCatName val="0"/>
          <c:showSerName val="0"/>
          <c:showPercent val="0"/>
          <c:showBubbleSize val="0"/>
        </c:dLbls>
        <c:axId val="1117966680"/>
        <c:axId val="1117967072"/>
      </c:scatterChart>
      <c:valAx>
        <c:axId val="1117966680"/>
        <c:scaling>
          <c:orientation val="minMax"/>
          <c:max val="1"/>
        </c:scaling>
        <c:delete val="0"/>
        <c:axPos val="b"/>
        <c:title>
          <c:tx>
            <c:rich>
              <a:bodyPr/>
              <a:lstStyle/>
              <a:p>
                <a:pPr>
                  <a:defRPr/>
                </a:pPr>
                <a:r>
                  <a:rPr lang="en-US" sz="1200" b="0" i="0" baseline="0">
                    <a:effectLst/>
                  </a:rPr>
                  <a:t>Market income individuals</a:t>
                </a:r>
                <a:endParaRPr lang="en-US" sz="600">
                  <a:effectLst/>
                </a:endParaRPr>
              </a:p>
            </c:rich>
          </c:tx>
          <c:overlay val="0"/>
        </c:title>
        <c:numFmt formatCode="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117967072"/>
        <c:crossesAt val="0"/>
        <c:crossBetween val="midCat"/>
        <c:majorUnit val="0.25"/>
      </c:valAx>
      <c:valAx>
        <c:axId val="1117967072"/>
        <c:scaling>
          <c:orientation val="minMax"/>
          <c:max val="1"/>
          <c:min val="0"/>
        </c:scaling>
        <c:delete val="0"/>
        <c:axPos val="l"/>
        <c:majorGridlines>
          <c:spPr>
            <a:ln w="6350">
              <a:solidFill>
                <a:schemeClr val="bg1">
                  <a:lumMod val="75000"/>
                </a:schemeClr>
              </a:solidFill>
              <a:prstDash val="sysDot"/>
            </a:ln>
          </c:spPr>
        </c:majorGridlines>
        <c:title>
          <c:tx>
            <c:rich>
              <a:bodyPr/>
              <a:lstStyle/>
              <a:p>
                <a:pPr>
                  <a:defRPr sz="1200" b="0" i="0" u="none" strike="noStrike" baseline="0">
                    <a:solidFill>
                      <a:srgbClr val="000000"/>
                    </a:solidFill>
                    <a:latin typeface="Arial"/>
                    <a:ea typeface="Arial"/>
                    <a:cs typeface="Arial"/>
                  </a:defRPr>
                </a:pPr>
                <a:r>
                  <a:rPr lang="en-US" sz="1200" b="0" baseline="0"/>
                  <a:t>Cumulative share of income</a:t>
                </a:r>
                <a:endParaRPr lang="en-US" sz="1400" b="0"/>
              </a:p>
            </c:rich>
          </c:tx>
          <c:layout>
            <c:manualLayout>
              <c:xMode val="edge"/>
              <c:yMode val="edge"/>
              <c:x val="0"/>
              <c:y val="0.25510187515220389"/>
            </c:manualLayout>
          </c:layout>
          <c:overlay val="0"/>
          <c:spPr>
            <a:noFill/>
            <a:ln w="25400">
              <a:noFill/>
            </a:ln>
          </c:spPr>
        </c:title>
        <c:numFmt formatCode="0%" sourceLinked="0"/>
        <c:majorTickMark val="out"/>
        <c:minorTickMark val="none"/>
        <c:tickLblPos val="nextTo"/>
        <c:spPr>
          <a:ln w="3175">
            <a:no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117966680"/>
        <c:crosses val="autoZero"/>
        <c:crossBetween val="midCat"/>
        <c:majorUnit val="0.25"/>
        <c:minorUnit val="0.05"/>
      </c:valAx>
      <c:spPr>
        <a:solidFill>
          <a:srgbClr val="FFFFFF"/>
        </a:solidFill>
        <a:ln w="3175">
          <a:noFill/>
          <a:prstDash val="solid"/>
        </a:ln>
      </c:spPr>
    </c:plotArea>
    <c:plotVisOnly val="1"/>
    <c:dispBlanksAs val="span"/>
    <c:showDLblsOverMax val="0"/>
  </c:chart>
  <c:spPr>
    <a:solidFill>
      <a:schemeClr val="bg1"/>
    </a:solidFill>
    <a:ln w="9525">
      <a:noFill/>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0866" r="0.75000000000000866" t="1" header="0.5" footer="0.5"/>
    <c:pageSetup orientation="landscape" verticalDpi="96"/>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9246941965858"/>
          <c:y val="3.3777574141508858E-2"/>
          <c:w val="0.8427330747890629"/>
          <c:h val="0.86629650675108916"/>
        </c:manualLayout>
      </c:layout>
      <c:scatterChart>
        <c:scatterStyle val="smoothMarker"/>
        <c:varyColors val="0"/>
        <c:ser>
          <c:idx val="0"/>
          <c:order val="0"/>
          <c:tx>
            <c:strRef>
              <c:f>'7-RS'!$P$6:$W$6</c:f>
              <c:strCache>
                <c:ptCount val="8"/>
                <c:pt idx="0">
                  <c:v>Cumulative Share of Income After Taxes and Transfers</c:v>
                </c:pt>
              </c:strCache>
            </c:strRef>
          </c:tx>
          <c:spPr>
            <a:ln w="19050">
              <a:solidFill>
                <a:schemeClr val="bg1">
                  <a:lumMod val="50000"/>
                </a:schemeClr>
              </a:solidFill>
            </a:ln>
          </c:spPr>
          <c:marker>
            <c:symbol val="none"/>
          </c:marker>
          <c:xVal>
            <c:numRef>
              <c:f>'7-RS'!$O$4:$W$4</c:f>
              <c:numCache>
                <c:formatCode>0.00</c:formatCode>
                <c:ptCount val="9"/>
                <c:pt idx="0" formatCode="General">
                  <c:v>0</c:v>
                </c:pt>
                <c:pt idx="1">
                  <c:v>0.2</c:v>
                </c:pt>
                <c:pt idx="2">
                  <c:v>0.4</c:v>
                </c:pt>
                <c:pt idx="3">
                  <c:v>0.60000000000000009</c:v>
                </c:pt>
                <c:pt idx="4">
                  <c:v>0.8</c:v>
                </c:pt>
                <c:pt idx="5">
                  <c:v>0.9</c:v>
                </c:pt>
                <c:pt idx="6">
                  <c:v>0.95000000000000007</c:v>
                </c:pt>
                <c:pt idx="7">
                  <c:v>0.9900000000000001</c:v>
                </c:pt>
                <c:pt idx="8">
                  <c:v>1</c:v>
                </c:pt>
              </c:numCache>
            </c:numRef>
          </c:xVal>
          <c:yVal>
            <c:numRef>
              <c:f>'7-RS'!$O$45:$W$45</c:f>
              <c:numCache>
                <c:formatCode>0.000</c:formatCode>
                <c:ptCount val="9"/>
                <c:pt idx="0" formatCode="General">
                  <c:v>0</c:v>
                </c:pt>
                <c:pt idx="1">
                  <c:v>0.10157790927021697</c:v>
                </c:pt>
                <c:pt idx="2">
                  <c:v>0.21203155818540431</c:v>
                </c:pt>
                <c:pt idx="3">
                  <c:v>0.35009861932938852</c:v>
                </c:pt>
                <c:pt idx="4">
                  <c:v>0.53944773175542404</c:v>
                </c:pt>
                <c:pt idx="5">
                  <c:v>0.67357001972386588</c:v>
                </c:pt>
                <c:pt idx="6">
                  <c:v>0.76429980276134124</c:v>
                </c:pt>
                <c:pt idx="7">
                  <c:v>0.87672583826429984</c:v>
                </c:pt>
                <c:pt idx="8" formatCode="0.00">
                  <c:v>1</c:v>
                </c:pt>
              </c:numCache>
            </c:numRef>
          </c:yVal>
          <c:smooth val="1"/>
          <c:extLst>
            <c:ext xmlns:c16="http://schemas.microsoft.com/office/drawing/2014/chart" uri="{C3380CC4-5D6E-409C-BE32-E72D297353CC}">
              <c16:uniqueId val="{00000000-1A52-42C2-AEB4-30B15B96AB34}"/>
            </c:ext>
          </c:extLst>
        </c:ser>
        <c:ser>
          <c:idx val="1"/>
          <c:order val="1"/>
          <c:tx>
            <c:strRef>
              <c:f>'7-RS'!$AH$6</c:f>
              <c:strCache>
                <c:ptCount val="1"/>
                <c:pt idx="0">
                  <c:v>Cumulative Share of Market Income (CBO)</c:v>
                </c:pt>
              </c:strCache>
            </c:strRef>
          </c:tx>
          <c:spPr>
            <a:ln w="25400">
              <a:solidFill>
                <a:schemeClr val="tx1"/>
              </a:solidFill>
            </a:ln>
          </c:spPr>
          <c:marker>
            <c:symbol val="none"/>
          </c:marker>
          <c:xVal>
            <c:numRef>
              <c:f>'7-RS'!$O$4:$W$4</c:f>
              <c:numCache>
                <c:formatCode>0.00</c:formatCode>
                <c:ptCount val="9"/>
                <c:pt idx="0" formatCode="General">
                  <c:v>0</c:v>
                </c:pt>
                <c:pt idx="1">
                  <c:v>0.2</c:v>
                </c:pt>
                <c:pt idx="2">
                  <c:v>0.4</c:v>
                </c:pt>
                <c:pt idx="3">
                  <c:v>0.60000000000000009</c:v>
                </c:pt>
                <c:pt idx="4">
                  <c:v>0.8</c:v>
                </c:pt>
                <c:pt idx="5">
                  <c:v>0.9</c:v>
                </c:pt>
                <c:pt idx="6">
                  <c:v>0.95000000000000007</c:v>
                </c:pt>
                <c:pt idx="7">
                  <c:v>0.9900000000000001</c:v>
                </c:pt>
                <c:pt idx="8">
                  <c:v>1</c:v>
                </c:pt>
              </c:numCache>
            </c:numRef>
          </c:xVal>
          <c:yVal>
            <c:numRef>
              <c:f>'7-RS'!$AG$45:$AO$45</c:f>
              <c:numCache>
                <c:formatCode>0.00</c:formatCode>
                <c:ptCount val="9"/>
                <c:pt idx="0" formatCode="General">
                  <c:v>0</c:v>
                </c:pt>
                <c:pt idx="1">
                  <c:v>2.1717670286278381E-2</c:v>
                </c:pt>
                <c:pt idx="2">
                  <c:v>9.3780848963474814E-2</c:v>
                </c:pt>
                <c:pt idx="3">
                  <c:v>0.22013820335636719</c:v>
                </c:pt>
                <c:pt idx="4">
                  <c:v>0.42250740375123391</c:v>
                </c:pt>
                <c:pt idx="5">
                  <c:v>0.57650542941757155</c:v>
                </c:pt>
                <c:pt idx="6">
                  <c:v>0.68509378084896344</c:v>
                </c:pt>
                <c:pt idx="7">
                  <c:v>0.82724580454096741</c:v>
                </c:pt>
                <c:pt idx="8">
                  <c:v>1</c:v>
                </c:pt>
              </c:numCache>
            </c:numRef>
          </c:yVal>
          <c:smooth val="1"/>
          <c:extLst>
            <c:ext xmlns:c16="http://schemas.microsoft.com/office/drawing/2014/chart" uri="{C3380CC4-5D6E-409C-BE32-E72D297353CC}">
              <c16:uniqueId val="{00000001-1A52-42C2-AEB4-30B15B96AB34}"/>
            </c:ext>
          </c:extLst>
        </c:ser>
        <c:ser>
          <c:idx val="2"/>
          <c:order val="2"/>
          <c:tx>
            <c:strRef>
              <c:f>'7-RS'!$M$3</c:f>
              <c:strCache>
                <c:ptCount val="1"/>
                <c:pt idx="0">
                  <c:v>45-degree line</c:v>
                </c:pt>
              </c:strCache>
            </c:strRef>
          </c:tx>
          <c:spPr>
            <a:ln w="12700">
              <a:solidFill>
                <a:schemeClr val="bg1">
                  <a:lumMod val="50000"/>
                </a:schemeClr>
              </a:solidFill>
              <a:prstDash val="sysDash"/>
            </a:ln>
          </c:spPr>
          <c:marker>
            <c:symbol val="none"/>
          </c:marker>
          <c:xVal>
            <c:numRef>
              <c:f>'7-RS'!$O$4:$W$4</c:f>
              <c:numCache>
                <c:formatCode>0.00</c:formatCode>
                <c:ptCount val="9"/>
                <c:pt idx="0" formatCode="General">
                  <c:v>0</c:v>
                </c:pt>
                <c:pt idx="1">
                  <c:v>0.2</c:v>
                </c:pt>
                <c:pt idx="2">
                  <c:v>0.4</c:v>
                </c:pt>
                <c:pt idx="3">
                  <c:v>0.60000000000000009</c:v>
                </c:pt>
                <c:pt idx="4">
                  <c:v>0.8</c:v>
                </c:pt>
                <c:pt idx="5">
                  <c:v>0.9</c:v>
                </c:pt>
                <c:pt idx="6">
                  <c:v>0.95000000000000007</c:v>
                </c:pt>
                <c:pt idx="7">
                  <c:v>0.9900000000000001</c:v>
                </c:pt>
                <c:pt idx="8">
                  <c:v>1</c:v>
                </c:pt>
              </c:numCache>
            </c:numRef>
          </c:xVal>
          <c:yVal>
            <c:numRef>
              <c:f>'7-RS'!$O$4:$W$4</c:f>
              <c:numCache>
                <c:formatCode>0.00</c:formatCode>
                <c:ptCount val="9"/>
                <c:pt idx="0" formatCode="General">
                  <c:v>0</c:v>
                </c:pt>
                <c:pt idx="1">
                  <c:v>0.2</c:v>
                </c:pt>
                <c:pt idx="2">
                  <c:v>0.4</c:v>
                </c:pt>
                <c:pt idx="3">
                  <c:v>0.60000000000000009</c:v>
                </c:pt>
                <c:pt idx="4">
                  <c:v>0.8</c:v>
                </c:pt>
                <c:pt idx="5">
                  <c:v>0.9</c:v>
                </c:pt>
                <c:pt idx="6">
                  <c:v>0.95000000000000007</c:v>
                </c:pt>
                <c:pt idx="7">
                  <c:v>0.9900000000000001</c:v>
                </c:pt>
                <c:pt idx="8">
                  <c:v>1</c:v>
                </c:pt>
              </c:numCache>
            </c:numRef>
          </c:yVal>
          <c:smooth val="1"/>
          <c:extLst>
            <c:ext xmlns:c16="http://schemas.microsoft.com/office/drawing/2014/chart" uri="{C3380CC4-5D6E-409C-BE32-E72D297353CC}">
              <c16:uniqueId val="{00000002-1A52-42C2-AEB4-30B15B96AB34}"/>
            </c:ext>
          </c:extLst>
        </c:ser>
        <c:dLbls>
          <c:showLegendKey val="0"/>
          <c:showVal val="0"/>
          <c:showCatName val="0"/>
          <c:showSerName val="0"/>
          <c:showPercent val="0"/>
          <c:showBubbleSize val="0"/>
        </c:dLbls>
        <c:axId val="1117966680"/>
        <c:axId val="1117967072"/>
      </c:scatterChart>
      <c:valAx>
        <c:axId val="1117966680"/>
        <c:scaling>
          <c:orientation val="minMax"/>
          <c:max val="1"/>
        </c:scaling>
        <c:delete val="0"/>
        <c:axPos val="b"/>
        <c:title>
          <c:tx>
            <c:rich>
              <a:bodyPr/>
              <a:lstStyle/>
              <a:p>
                <a:pPr>
                  <a:defRPr/>
                </a:pPr>
                <a:r>
                  <a:rPr lang="en-US" sz="1200" b="0" i="0" baseline="0">
                    <a:effectLst/>
                  </a:rPr>
                  <a:t>Market income individuals</a:t>
                </a:r>
                <a:endParaRPr lang="en-US" sz="600">
                  <a:effectLst/>
                </a:endParaRPr>
              </a:p>
            </c:rich>
          </c:tx>
          <c:overlay val="0"/>
        </c:title>
        <c:numFmt formatCode="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117967072"/>
        <c:crossesAt val="0"/>
        <c:crossBetween val="midCat"/>
        <c:majorUnit val="0.25"/>
      </c:valAx>
      <c:valAx>
        <c:axId val="1117967072"/>
        <c:scaling>
          <c:orientation val="minMax"/>
          <c:max val="1"/>
          <c:min val="0"/>
        </c:scaling>
        <c:delete val="0"/>
        <c:axPos val="l"/>
        <c:majorGridlines>
          <c:spPr>
            <a:ln w="6350">
              <a:solidFill>
                <a:schemeClr val="bg1">
                  <a:lumMod val="75000"/>
                </a:schemeClr>
              </a:solidFill>
              <a:prstDash val="sysDot"/>
            </a:ln>
          </c:spPr>
        </c:majorGridlines>
        <c:title>
          <c:tx>
            <c:rich>
              <a:bodyPr/>
              <a:lstStyle/>
              <a:p>
                <a:pPr>
                  <a:defRPr sz="1200" b="0" i="0" u="none" strike="noStrike" baseline="0">
                    <a:solidFill>
                      <a:srgbClr val="000000"/>
                    </a:solidFill>
                    <a:latin typeface="Arial"/>
                    <a:ea typeface="Arial"/>
                    <a:cs typeface="Arial"/>
                  </a:defRPr>
                </a:pPr>
                <a:r>
                  <a:rPr lang="en-US" sz="1200" b="0" baseline="0"/>
                  <a:t>Cumulative share of income</a:t>
                </a:r>
                <a:endParaRPr lang="en-US" sz="1400" b="0"/>
              </a:p>
            </c:rich>
          </c:tx>
          <c:layout>
            <c:manualLayout>
              <c:xMode val="edge"/>
              <c:yMode val="edge"/>
              <c:x val="0"/>
              <c:y val="0.25510187515220389"/>
            </c:manualLayout>
          </c:layout>
          <c:overlay val="0"/>
          <c:spPr>
            <a:noFill/>
            <a:ln w="25400">
              <a:noFill/>
            </a:ln>
          </c:spPr>
        </c:title>
        <c:numFmt formatCode="0%" sourceLinked="0"/>
        <c:majorTickMark val="out"/>
        <c:minorTickMark val="none"/>
        <c:tickLblPos val="nextTo"/>
        <c:spPr>
          <a:ln w="3175">
            <a:no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117966680"/>
        <c:crosses val="autoZero"/>
        <c:crossBetween val="midCat"/>
        <c:majorUnit val="0.25"/>
        <c:minorUnit val="0.05"/>
      </c:valAx>
      <c:spPr>
        <a:solidFill>
          <a:srgbClr val="FFFFFF"/>
        </a:solidFill>
        <a:ln w="3175">
          <a:noFill/>
          <a:prstDash val="solid"/>
        </a:ln>
      </c:spPr>
    </c:plotArea>
    <c:plotVisOnly val="1"/>
    <c:dispBlanksAs val="span"/>
    <c:showDLblsOverMax val="0"/>
  </c:chart>
  <c:spPr>
    <a:solidFill>
      <a:schemeClr val="bg1"/>
    </a:solidFill>
    <a:ln w="9525">
      <a:noFill/>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0866" r="0.75000000000000866" t="1" header="0.5" footer="0.5"/>
    <c:pageSetup orientation="landscape" verticalDpi="96"/>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439307195113082E-2"/>
          <c:y val="4.5054524498952662E-2"/>
          <c:w val="0.8175667775868396"/>
          <c:h val="0.89075831719486309"/>
        </c:manualLayout>
      </c:layout>
      <c:barChart>
        <c:barDir val="col"/>
        <c:grouping val="clustered"/>
        <c:varyColors val="0"/>
        <c:ser>
          <c:idx val="1"/>
          <c:order val="1"/>
          <c:tx>
            <c:strRef>
              <c:f>'8-Redist'!$F$31:$F$32</c:f>
              <c:strCache>
                <c:ptCount val="2"/>
                <c:pt idx="0">
                  <c:v>NBER recession at least one quarter of calendar year</c:v>
                </c:pt>
              </c:strCache>
            </c:strRef>
          </c:tx>
          <c:spPr>
            <a:solidFill>
              <a:schemeClr val="bg1">
                <a:lumMod val="85000"/>
              </a:schemeClr>
            </a:solidFill>
            <a:ln>
              <a:solidFill>
                <a:schemeClr val="bg1">
                  <a:lumMod val="85000"/>
                </a:schemeClr>
              </a:solidFill>
            </a:ln>
          </c:spPr>
          <c:invertIfNegative val="0"/>
          <c:val>
            <c:numRef>
              <c:f>'8-Redist'!$G$33:$G$73</c:f>
              <c:numCache>
                <c:formatCode>0</c:formatCode>
                <c:ptCount val="41"/>
                <c:pt idx="0">
                  <c:v>0</c:v>
                </c:pt>
                <c:pt idx="1">
                  <c:v>165</c:v>
                </c:pt>
                <c:pt idx="2">
                  <c:v>165</c:v>
                </c:pt>
                <c:pt idx="3">
                  <c:v>165</c:v>
                </c:pt>
                <c:pt idx="4">
                  <c:v>0</c:v>
                </c:pt>
                <c:pt idx="5">
                  <c:v>0</c:v>
                </c:pt>
                <c:pt idx="6">
                  <c:v>0</c:v>
                </c:pt>
                <c:pt idx="7">
                  <c:v>0</c:v>
                </c:pt>
                <c:pt idx="8">
                  <c:v>0</c:v>
                </c:pt>
                <c:pt idx="9">
                  <c:v>0</c:v>
                </c:pt>
                <c:pt idx="10">
                  <c:v>0</c:v>
                </c:pt>
                <c:pt idx="11">
                  <c:v>165</c:v>
                </c:pt>
                <c:pt idx="12">
                  <c:v>165</c:v>
                </c:pt>
                <c:pt idx="13">
                  <c:v>0</c:v>
                </c:pt>
                <c:pt idx="14">
                  <c:v>0</c:v>
                </c:pt>
                <c:pt idx="15">
                  <c:v>0</c:v>
                </c:pt>
                <c:pt idx="16">
                  <c:v>0</c:v>
                </c:pt>
                <c:pt idx="17">
                  <c:v>0</c:v>
                </c:pt>
                <c:pt idx="18">
                  <c:v>0</c:v>
                </c:pt>
                <c:pt idx="19">
                  <c:v>0</c:v>
                </c:pt>
                <c:pt idx="20">
                  <c:v>0</c:v>
                </c:pt>
                <c:pt idx="21">
                  <c:v>0</c:v>
                </c:pt>
                <c:pt idx="22">
                  <c:v>165</c:v>
                </c:pt>
                <c:pt idx="23">
                  <c:v>0</c:v>
                </c:pt>
                <c:pt idx="24">
                  <c:v>0</c:v>
                </c:pt>
                <c:pt idx="25">
                  <c:v>0</c:v>
                </c:pt>
                <c:pt idx="26">
                  <c:v>0</c:v>
                </c:pt>
                <c:pt idx="27">
                  <c:v>0</c:v>
                </c:pt>
                <c:pt idx="28">
                  <c:v>0</c:v>
                </c:pt>
                <c:pt idx="29">
                  <c:v>165</c:v>
                </c:pt>
                <c:pt idx="30">
                  <c:v>165</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1-ACF8-4378-BCC8-F1BDC7A3B470}"/>
            </c:ext>
          </c:extLst>
        </c:ser>
        <c:dLbls>
          <c:showLegendKey val="0"/>
          <c:showVal val="0"/>
          <c:showCatName val="0"/>
          <c:showSerName val="0"/>
          <c:showPercent val="0"/>
          <c:showBubbleSize val="0"/>
        </c:dLbls>
        <c:gapWidth val="0"/>
        <c:axId val="1117966680"/>
        <c:axId val="1117967072"/>
      </c:barChart>
      <c:lineChart>
        <c:grouping val="standard"/>
        <c:varyColors val="0"/>
        <c:ser>
          <c:idx val="0"/>
          <c:order val="0"/>
          <c:tx>
            <c:strRef>
              <c:f>'8-Redist'!$B$31:$D$31</c:f>
              <c:strCache>
                <c:ptCount val="1"/>
                <c:pt idx="0">
                  <c:v>Reynolds-Smolensky index (from market income)</c:v>
                </c:pt>
              </c:strCache>
            </c:strRef>
          </c:tx>
          <c:spPr>
            <a:ln w="34925">
              <a:solidFill>
                <a:srgbClr val="2699B4"/>
              </a:solidFill>
            </a:ln>
          </c:spPr>
          <c:marker>
            <c:symbol val="none"/>
          </c:marker>
          <c:cat>
            <c:numRef>
              <c:f>'8-Redist'!$A$33:$A$73</c:f>
              <c:numCache>
                <c:formatCode>General</c:formatCode>
                <c:ptCount val="41"/>
                <c:pt idx="0">
                  <c:v>1979</c:v>
                </c:pt>
                <c:pt idx="1">
                  <c:v>1980</c:v>
                </c:pt>
                <c:pt idx="2">
                  <c:v>1981</c:v>
                </c:pt>
                <c:pt idx="3">
                  <c:v>1982</c:v>
                </c:pt>
                <c:pt idx="4">
                  <c:v>1983</c:v>
                </c:pt>
                <c:pt idx="5">
                  <c:v>1984</c:v>
                </c:pt>
                <c:pt idx="6">
                  <c:v>1985</c:v>
                </c:pt>
                <c:pt idx="7">
                  <c:v>1986</c:v>
                </c:pt>
                <c:pt idx="8">
                  <c:v>1987</c:v>
                </c:pt>
                <c:pt idx="9">
                  <c:v>1988</c:v>
                </c:pt>
                <c:pt idx="10">
                  <c:v>1989</c:v>
                </c:pt>
                <c:pt idx="11">
                  <c:v>1990</c:v>
                </c:pt>
                <c:pt idx="12">
                  <c:v>1991</c:v>
                </c:pt>
                <c:pt idx="13">
                  <c:v>1992</c:v>
                </c:pt>
                <c:pt idx="14">
                  <c:v>1993</c:v>
                </c:pt>
                <c:pt idx="15">
                  <c:v>1994</c:v>
                </c:pt>
                <c:pt idx="16">
                  <c:v>1995</c:v>
                </c:pt>
                <c:pt idx="17">
                  <c:v>1996</c:v>
                </c:pt>
                <c:pt idx="18">
                  <c:v>1997</c:v>
                </c:pt>
                <c:pt idx="19">
                  <c:v>1998</c:v>
                </c:pt>
                <c:pt idx="20">
                  <c:v>1999</c:v>
                </c:pt>
                <c:pt idx="21">
                  <c:v>2000</c:v>
                </c:pt>
                <c:pt idx="22">
                  <c:v>2001</c:v>
                </c:pt>
                <c:pt idx="23">
                  <c:v>2002</c:v>
                </c:pt>
                <c:pt idx="24">
                  <c:v>2003</c:v>
                </c:pt>
                <c:pt idx="25">
                  <c:v>2004</c:v>
                </c:pt>
                <c:pt idx="26">
                  <c:v>2005</c:v>
                </c:pt>
                <c:pt idx="27">
                  <c:v>2006</c:v>
                </c:pt>
                <c:pt idx="28">
                  <c:v>2007</c:v>
                </c:pt>
                <c:pt idx="29">
                  <c:v>2008</c:v>
                </c:pt>
                <c:pt idx="30">
                  <c:v>2009</c:v>
                </c:pt>
                <c:pt idx="31">
                  <c:v>2010</c:v>
                </c:pt>
                <c:pt idx="32">
                  <c:v>2011</c:v>
                </c:pt>
                <c:pt idx="33">
                  <c:v>2012</c:v>
                </c:pt>
                <c:pt idx="34">
                  <c:v>2013</c:v>
                </c:pt>
                <c:pt idx="35">
                  <c:v>2014</c:v>
                </c:pt>
                <c:pt idx="36">
                  <c:v>2015</c:v>
                </c:pt>
                <c:pt idx="37">
                  <c:v>2016</c:v>
                </c:pt>
                <c:pt idx="38">
                  <c:v>2017</c:v>
                </c:pt>
                <c:pt idx="39">
                  <c:v>2018</c:v>
                </c:pt>
                <c:pt idx="40">
                  <c:v>2019</c:v>
                </c:pt>
              </c:numCache>
            </c:numRef>
          </c:cat>
          <c:val>
            <c:numRef>
              <c:f>'8-Redist'!$D$33:$D$73</c:f>
              <c:numCache>
                <c:formatCode>0</c:formatCode>
                <c:ptCount val="41"/>
                <c:pt idx="0" formatCode="General">
                  <c:v>100</c:v>
                </c:pt>
                <c:pt idx="1">
                  <c:v>105.36570658577713</c:v>
                </c:pt>
                <c:pt idx="2">
                  <c:v>105.38152519855008</c:v>
                </c:pt>
                <c:pt idx="3">
                  <c:v>104.65354239758753</c:v>
                </c:pt>
                <c:pt idx="4">
                  <c:v>104.58393800006193</c:v>
                </c:pt>
                <c:pt idx="5">
                  <c:v>94.21829513952342</c:v>
                </c:pt>
                <c:pt idx="6">
                  <c:v>96.891901336708727</c:v>
                </c:pt>
                <c:pt idx="7">
                  <c:v>95.828321590496046</c:v>
                </c:pt>
                <c:pt idx="8">
                  <c:v>103.32567245640722</c:v>
                </c:pt>
                <c:pt idx="9">
                  <c:v>102.05336689026316</c:v>
                </c:pt>
                <c:pt idx="10">
                  <c:v>100.89939731018755</c:v>
                </c:pt>
                <c:pt idx="11">
                  <c:v>104.55865071331645</c:v>
                </c:pt>
                <c:pt idx="12">
                  <c:v>114.63995681574946</c:v>
                </c:pt>
                <c:pt idx="13">
                  <c:v>118.46542107564677</c:v>
                </c:pt>
                <c:pt idx="14">
                  <c:v>126.93490646956019</c:v>
                </c:pt>
                <c:pt idx="15">
                  <c:v>127.53559115006065</c:v>
                </c:pt>
                <c:pt idx="16">
                  <c:v>129.14236904659475</c:v>
                </c:pt>
                <c:pt idx="17">
                  <c:v>127.69951615727659</c:v>
                </c:pt>
                <c:pt idx="18">
                  <c:v>122.4321062166607</c:v>
                </c:pt>
                <c:pt idx="19">
                  <c:v>117.68097107253659</c:v>
                </c:pt>
                <c:pt idx="20">
                  <c:v>114.4295507989337</c:v>
                </c:pt>
                <c:pt idx="21">
                  <c:v>114.58859867975252</c:v>
                </c:pt>
                <c:pt idx="22">
                  <c:v>121.33407582284114</c:v>
                </c:pt>
                <c:pt idx="23">
                  <c:v>130.75777276088431</c:v>
                </c:pt>
                <c:pt idx="24">
                  <c:v>129.69115949502699</c:v>
                </c:pt>
                <c:pt idx="25">
                  <c:v>129.43022912029772</c:v>
                </c:pt>
                <c:pt idx="26">
                  <c:v>126.78463536486679</c:v>
                </c:pt>
                <c:pt idx="27">
                  <c:v>124.88386277874307</c:v>
                </c:pt>
                <c:pt idx="28">
                  <c:v>120.39209454339692</c:v>
                </c:pt>
                <c:pt idx="29">
                  <c:v>134.5826555769477</c:v>
                </c:pt>
                <c:pt idx="30">
                  <c:v>149.7106406701275</c:v>
                </c:pt>
                <c:pt idx="31">
                  <c:v>153.7273836839619</c:v>
                </c:pt>
                <c:pt idx="32">
                  <c:v>149.48826666673847</c:v>
                </c:pt>
                <c:pt idx="33">
                  <c:v>148.15602570511271</c:v>
                </c:pt>
                <c:pt idx="34">
                  <c:v>151.72694374865375</c:v>
                </c:pt>
                <c:pt idx="35">
                  <c:v>155.14468311609309</c:v>
                </c:pt>
                <c:pt idx="36">
                  <c:v>155.98002894614106</c:v>
                </c:pt>
                <c:pt idx="37">
                  <c:v>158.62512439403505</c:v>
                </c:pt>
              </c:numCache>
            </c:numRef>
          </c:val>
          <c:smooth val="1"/>
          <c:extLst>
            <c:ext xmlns:c16="http://schemas.microsoft.com/office/drawing/2014/chart" uri="{C3380CC4-5D6E-409C-BE32-E72D297353CC}">
              <c16:uniqueId val="{00000000-ACF8-4378-BCC8-F1BDC7A3B470}"/>
            </c:ext>
          </c:extLst>
        </c:ser>
        <c:dLbls>
          <c:showLegendKey val="0"/>
          <c:showVal val="0"/>
          <c:showCatName val="0"/>
          <c:showSerName val="0"/>
          <c:showPercent val="0"/>
          <c:showBubbleSize val="0"/>
        </c:dLbls>
        <c:marker val="1"/>
        <c:smooth val="0"/>
        <c:axId val="1117966680"/>
        <c:axId val="1117967072"/>
      </c:lineChart>
      <c:dateAx>
        <c:axId val="1117966680"/>
        <c:scaling>
          <c:orientation val="minMax"/>
        </c:scaling>
        <c:delete val="0"/>
        <c:axPos val="b"/>
        <c:numFmt formatCode="General"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117967072"/>
        <c:crossesAt val="0"/>
        <c:auto val="0"/>
        <c:lblOffset val="100"/>
        <c:baseTimeUnit val="days"/>
        <c:majorUnit val="10"/>
      </c:dateAx>
      <c:valAx>
        <c:axId val="1117967072"/>
        <c:scaling>
          <c:orientation val="minMax"/>
          <c:max val="165"/>
          <c:min val="80"/>
        </c:scaling>
        <c:delete val="0"/>
        <c:axPos val="l"/>
        <c:majorGridlines>
          <c:spPr>
            <a:ln w="6350">
              <a:solidFill>
                <a:schemeClr val="bg1">
                  <a:lumMod val="75000"/>
                </a:schemeClr>
              </a:solidFill>
              <a:prstDash val="sysDot"/>
            </a:ln>
          </c:spPr>
        </c:majorGridlines>
        <c:title>
          <c:tx>
            <c:rich>
              <a:bodyPr/>
              <a:lstStyle/>
              <a:p>
                <a:pPr>
                  <a:defRPr sz="1200" b="0" i="0" u="none" strike="noStrike" baseline="0">
                    <a:solidFill>
                      <a:srgbClr val="000000"/>
                    </a:solidFill>
                    <a:latin typeface="Arial"/>
                    <a:ea typeface="Arial"/>
                    <a:cs typeface="Arial"/>
                  </a:defRPr>
                </a:pPr>
                <a:r>
                  <a:rPr lang="en-US" sz="1150" b="0" baseline="0"/>
                  <a:t>Reynolds-Smolensky redistribution index (1979=100)</a:t>
                </a:r>
                <a:endParaRPr lang="en-US" sz="1150" b="0"/>
              </a:p>
            </c:rich>
          </c:tx>
          <c:layout>
            <c:manualLayout>
              <c:xMode val="edge"/>
              <c:yMode val="edge"/>
              <c:x val="0"/>
              <c:y val="0.12304795545338224"/>
            </c:manualLayout>
          </c:layout>
          <c:overlay val="0"/>
          <c:spPr>
            <a:noFill/>
            <a:ln w="25400">
              <a:noFill/>
            </a:ln>
          </c:spPr>
        </c:title>
        <c:numFmt formatCode="#,##0" sourceLinked="0"/>
        <c:majorTickMark val="out"/>
        <c:minorTickMark val="none"/>
        <c:tickLblPos val="nextTo"/>
        <c:spPr>
          <a:ln w="3175">
            <a:no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117966680"/>
        <c:crossesAt val="1"/>
        <c:crossBetween val="between"/>
        <c:majorUnit val="20"/>
        <c:minorUnit val="0.05"/>
      </c:valAx>
      <c:spPr>
        <a:solidFill>
          <a:srgbClr val="FFFFFF"/>
        </a:solidFill>
        <a:ln w="3175">
          <a:noFill/>
          <a:prstDash val="solid"/>
        </a:ln>
      </c:spPr>
    </c:plotArea>
    <c:plotVisOnly val="1"/>
    <c:dispBlanksAs val="span"/>
    <c:showDLblsOverMax val="0"/>
  </c:chart>
  <c:spPr>
    <a:solidFill>
      <a:schemeClr val="bg1"/>
    </a:solidFill>
    <a:ln w="9525">
      <a:noFill/>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0866" r="0.75000000000000866" t="1" header="0.5" footer="0.5"/>
    <c:pageSetup orientation="landscape" verticalDpi="96"/>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439307195113082E-2"/>
          <c:y val="4.5054524498952662E-2"/>
          <c:w val="0.8175667775868396"/>
          <c:h val="0.89075831719486309"/>
        </c:manualLayout>
      </c:layout>
      <c:barChart>
        <c:barDir val="col"/>
        <c:grouping val="clustered"/>
        <c:varyColors val="0"/>
        <c:ser>
          <c:idx val="1"/>
          <c:order val="1"/>
          <c:tx>
            <c:strRef>
              <c:f>'8-Redist'!$F$31:$F$32</c:f>
              <c:strCache>
                <c:ptCount val="2"/>
                <c:pt idx="0">
                  <c:v>NBER recession at least one quarter of calendar year</c:v>
                </c:pt>
              </c:strCache>
            </c:strRef>
          </c:tx>
          <c:spPr>
            <a:solidFill>
              <a:schemeClr val="bg1">
                <a:lumMod val="85000"/>
              </a:schemeClr>
            </a:solidFill>
            <a:ln>
              <a:solidFill>
                <a:schemeClr val="bg1">
                  <a:lumMod val="85000"/>
                </a:schemeClr>
              </a:solidFill>
            </a:ln>
          </c:spPr>
          <c:invertIfNegative val="0"/>
          <c:val>
            <c:numRef>
              <c:f>'8-Redist'!$G$33:$G$73</c:f>
              <c:numCache>
                <c:formatCode>0</c:formatCode>
                <c:ptCount val="41"/>
                <c:pt idx="0">
                  <c:v>0</c:v>
                </c:pt>
                <c:pt idx="1">
                  <c:v>165</c:v>
                </c:pt>
                <c:pt idx="2">
                  <c:v>165</c:v>
                </c:pt>
                <c:pt idx="3">
                  <c:v>165</c:v>
                </c:pt>
                <c:pt idx="4">
                  <c:v>0</c:v>
                </c:pt>
                <c:pt idx="5">
                  <c:v>0</c:v>
                </c:pt>
                <c:pt idx="6">
                  <c:v>0</c:v>
                </c:pt>
                <c:pt idx="7">
                  <c:v>0</c:v>
                </c:pt>
                <c:pt idx="8">
                  <c:v>0</c:v>
                </c:pt>
                <c:pt idx="9">
                  <c:v>0</c:v>
                </c:pt>
                <c:pt idx="10">
                  <c:v>0</c:v>
                </c:pt>
                <c:pt idx="11">
                  <c:v>165</c:v>
                </c:pt>
                <c:pt idx="12">
                  <c:v>165</c:v>
                </c:pt>
                <c:pt idx="13">
                  <c:v>0</c:v>
                </c:pt>
                <c:pt idx="14">
                  <c:v>0</c:v>
                </c:pt>
                <c:pt idx="15">
                  <c:v>0</c:v>
                </c:pt>
                <c:pt idx="16">
                  <c:v>0</c:v>
                </c:pt>
                <c:pt idx="17">
                  <c:v>0</c:v>
                </c:pt>
                <c:pt idx="18">
                  <c:v>0</c:v>
                </c:pt>
                <c:pt idx="19">
                  <c:v>0</c:v>
                </c:pt>
                <c:pt idx="20">
                  <c:v>0</c:v>
                </c:pt>
                <c:pt idx="21">
                  <c:v>0</c:v>
                </c:pt>
                <c:pt idx="22">
                  <c:v>165</c:v>
                </c:pt>
                <c:pt idx="23">
                  <c:v>0</c:v>
                </c:pt>
                <c:pt idx="24">
                  <c:v>0</c:v>
                </c:pt>
                <c:pt idx="25">
                  <c:v>0</c:v>
                </c:pt>
                <c:pt idx="26">
                  <c:v>0</c:v>
                </c:pt>
                <c:pt idx="27">
                  <c:v>0</c:v>
                </c:pt>
                <c:pt idx="28">
                  <c:v>0</c:v>
                </c:pt>
                <c:pt idx="29">
                  <c:v>165</c:v>
                </c:pt>
                <c:pt idx="30">
                  <c:v>165</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0-3DC4-4175-B61C-69B768F00A3D}"/>
            </c:ext>
          </c:extLst>
        </c:ser>
        <c:dLbls>
          <c:showLegendKey val="0"/>
          <c:showVal val="0"/>
          <c:showCatName val="0"/>
          <c:showSerName val="0"/>
          <c:showPercent val="0"/>
          <c:showBubbleSize val="0"/>
        </c:dLbls>
        <c:gapWidth val="0"/>
        <c:axId val="1117966680"/>
        <c:axId val="1117967072"/>
      </c:barChart>
      <c:lineChart>
        <c:grouping val="standard"/>
        <c:varyColors val="0"/>
        <c:ser>
          <c:idx val="0"/>
          <c:order val="0"/>
          <c:tx>
            <c:strRef>
              <c:f>'8-Redist'!$B$31:$D$31</c:f>
              <c:strCache>
                <c:ptCount val="1"/>
                <c:pt idx="0">
                  <c:v>Reynolds-Smolensky index (from market income)</c:v>
                </c:pt>
              </c:strCache>
            </c:strRef>
          </c:tx>
          <c:spPr>
            <a:ln w="28575">
              <a:solidFill>
                <a:schemeClr val="tx1"/>
              </a:solidFill>
            </a:ln>
          </c:spPr>
          <c:marker>
            <c:symbol val="none"/>
          </c:marker>
          <c:cat>
            <c:numRef>
              <c:f>'8-Redist'!$A$33:$A$73</c:f>
              <c:numCache>
                <c:formatCode>General</c:formatCode>
                <c:ptCount val="41"/>
                <c:pt idx="0">
                  <c:v>1979</c:v>
                </c:pt>
                <c:pt idx="1">
                  <c:v>1980</c:v>
                </c:pt>
                <c:pt idx="2">
                  <c:v>1981</c:v>
                </c:pt>
                <c:pt idx="3">
                  <c:v>1982</c:v>
                </c:pt>
                <c:pt idx="4">
                  <c:v>1983</c:v>
                </c:pt>
                <c:pt idx="5">
                  <c:v>1984</c:v>
                </c:pt>
                <c:pt idx="6">
                  <c:v>1985</c:v>
                </c:pt>
                <c:pt idx="7">
                  <c:v>1986</c:v>
                </c:pt>
                <c:pt idx="8">
                  <c:v>1987</c:v>
                </c:pt>
                <c:pt idx="9">
                  <c:v>1988</c:v>
                </c:pt>
                <c:pt idx="10">
                  <c:v>1989</c:v>
                </c:pt>
                <c:pt idx="11">
                  <c:v>1990</c:v>
                </c:pt>
                <c:pt idx="12">
                  <c:v>1991</c:v>
                </c:pt>
                <c:pt idx="13">
                  <c:v>1992</c:v>
                </c:pt>
                <c:pt idx="14">
                  <c:v>1993</c:v>
                </c:pt>
                <c:pt idx="15">
                  <c:v>1994</c:v>
                </c:pt>
                <c:pt idx="16">
                  <c:v>1995</c:v>
                </c:pt>
                <c:pt idx="17">
                  <c:v>1996</c:v>
                </c:pt>
                <c:pt idx="18">
                  <c:v>1997</c:v>
                </c:pt>
                <c:pt idx="19">
                  <c:v>1998</c:v>
                </c:pt>
                <c:pt idx="20">
                  <c:v>1999</c:v>
                </c:pt>
                <c:pt idx="21">
                  <c:v>2000</c:v>
                </c:pt>
                <c:pt idx="22">
                  <c:v>2001</c:v>
                </c:pt>
                <c:pt idx="23">
                  <c:v>2002</c:v>
                </c:pt>
                <c:pt idx="24">
                  <c:v>2003</c:v>
                </c:pt>
                <c:pt idx="25">
                  <c:v>2004</c:v>
                </c:pt>
                <c:pt idx="26">
                  <c:v>2005</c:v>
                </c:pt>
                <c:pt idx="27">
                  <c:v>2006</c:v>
                </c:pt>
                <c:pt idx="28">
                  <c:v>2007</c:v>
                </c:pt>
                <c:pt idx="29">
                  <c:v>2008</c:v>
                </c:pt>
                <c:pt idx="30">
                  <c:v>2009</c:v>
                </c:pt>
                <c:pt idx="31">
                  <c:v>2010</c:v>
                </c:pt>
                <c:pt idx="32">
                  <c:v>2011</c:v>
                </c:pt>
                <c:pt idx="33">
                  <c:v>2012</c:v>
                </c:pt>
                <c:pt idx="34">
                  <c:v>2013</c:v>
                </c:pt>
                <c:pt idx="35">
                  <c:v>2014</c:v>
                </c:pt>
                <c:pt idx="36">
                  <c:v>2015</c:v>
                </c:pt>
                <c:pt idx="37">
                  <c:v>2016</c:v>
                </c:pt>
                <c:pt idx="38">
                  <c:v>2017</c:v>
                </c:pt>
                <c:pt idx="39">
                  <c:v>2018</c:v>
                </c:pt>
                <c:pt idx="40">
                  <c:v>2019</c:v>
                </c:pt>
              </c:numCache>
            </c:numRef>
          </c:cat>
          <c:val>
            <c:numRef>
              <c:f>'8-Redist'!$D$33:$D$73</c:f>
              <c:numCache>
                <c:formatCode>0</c:formatCode>
                <c:ptCount val="41"/>
                <c:pt idx="0" formatCode="General">
                  <c:v>100</c:v>
                </c:pt>
                <c:pt idx="1">
                  <c:v>105.36570658577713</c:v>
                </c:pt>
                <c:pt idx="2">
                  <c:v>105.38152519855008</c:v>
                </c:pt>
                <c:pt idx="3">
                  <c:v>104.65354239758753</c:v>
                </c:pt>
                <c:pt idx="4">
                  <c:v>104.58393800006193</c:v>
                </c:pt>
                <c:pt idx="5">
                  <c:v>94.21829513952342</c:v>
                </c:pt>
                <c:pt idx="6">
                  <c:v>96.891901336708727</c:v>
                </c:pt>
                <c:pt idx="7">
                  <c:v>95.828321590496046</c:v>
                </c:pt>
                <c:pt idx="8">
                  <c:v>103.32567245640722</c:v>
                </c:pt>
                <c:pt idx="9">
                  <c:v>102.05336689026316</c:v>
                </c:pt>
                <c:pt idx="10">
                  <c:v>100.89939731018755</c:v>
                </c:pt>
                <c:pt idx="11">
                  <c:v>104.55865071331645</c:v>
                </c:pt>
                <c:pt idx="12">
                  <c:v>114.63995681574946</c:v>
                </c:pt>
                <c:pt idx="13">
                  <c:v>118.46542107564677</c:v>
                </c:pt>
                <c:pt idx="14">
                  <c:v>126.93490646956019</c:v>
                </c:pt>
                <c:pt idx="15">
                  <c:v>127.53559115006065</c:v>
                </c:pt>
                <c:pt idx="16">
                  <c:v>129.14236904659475</c:v>
                </c:pt>
                <c:pt idx="17">
                  <c:v>127.69951615727659</c:v>
                </c:pt>
                <c:pt idx="18">
                  <c:v>122.4321062166607</c:v>
                </c:pt>
                <c:pt idx="19">
                  <c:v>117.68097107253659</c:v>
                </c:pt>
                <c:pt idx="20">
                  <c:v>114.4295507989337</c:v>
                </c:pt>
                <c:pt idx="21">
                  <c:v>114.58859867975252</c:v>
                </c:pt>
                <c:pt idx="22">
                  <c:v>121.33407582284114</c:v>
                </c:pt>
                <c:pt idx="23">
                  <c:v>130.75777276088431</c:v>
                </c:pt>
                <c:pt idx="24">
                  <c:v>129.69115949502699</c:v>
                </c:pt>
                <c:pt idx="25">
                  <c:v>129.43022912029772</c:v>
                </c:pt>
                <c:pt idx="26">
                  <c:v>126.78463536486679</c:v>
                </c:pt>
                <c:pt idx="27">
                  <c:v>124.88386277874307</c:v>
                </c:pt>
                <c:pt idx="28">
                  <c:v>120.39209454339692</c:v>
                </c:pt>
                <c:pt idx="29">
                  <c:v>134.5826555769477</c:v>
                </c:pt>
                <c:pt idx="30">
                  <c:v>149.7106406701275</c:v>
                </c:pt>
                <c:pt idx="31">
                  <c:v>153.7273836839619</c:v>
                </c:pt>
                <c:pt idx="32">
                  <c:v>149.48826666673847</c:v>
                </c:pt>
                <c:pt idx="33">
                  <c:v>148.15602570511271</c:v>
                </c:pt>
                <c:pt idx="34">
                  <c:v>151.72694374865375</c:v>
                </c:pt>
                <c:pt idx="35">
                  <c:v>155.14468311609309</c:v>
                </c:pt>
                <c:pt idx="36">
                  <c:v>155.98002894614106</c:v>
                </c:pt>
                <c:pt idx="37">
                  <c:v>158.62512439403505</c:v>
                </c:pt>
              </c:numCache>
            </c:numRef>
          </c:val>
          <c:smooth val="1"/>
          <c:extLst>
            <c:ext xmlns:c16="http://schemas.microsoft.com/office/drawing/2014/chart" uri="{C3380CC4-5D6E-409C-BE32-E72D297353CC}">
              <c16:uniqueId val="{00000001-3DC4-4175-B61C-69B768F00A3D}"/>
            </c:ext>
          </c:extLst>
        </c:ser>
        <c:dLbls>
          <c:showLegendKey val="0"/>
          <c:showVal val="0"/>
          <c:showCatName val="0"/>
          <c:showSerName val="0"/>
          <c:showPercent val="0"/>
          <c:showBubbleSize val="0"/>
        </c:dLbls>
        <c:marker val="1"/>
        <c:smooth val="0"/>
        <c:axId val="1117966680"/>
        <c:axId val="1117967072"/>
      </c:lineChart>
      <c:dateAx>
        <c:axId val="1117966680"/>
        <c:scaling>
          <c:orientation val="minMax"/>
        </c:scaling>
        <c:delete val="0"/>
        <c:axPos val="b"/>
        <c:numFmt formatCode="General"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117967072"/>
        <c:crossesAt val="0"/>
        <c:auto val="0"/>
        <c:lblOffset val="100"/>
        <c:baseTimeUnit val="days"/>
        <c:majorUnit val="10"/>
      </c:dateAx>
      <c:valAx>
        <c:axId val="1117967072"/>
        <c:scaling>
          <c:orientation val="minMax"/>
          <c:max val="165"/>
          <c:min val="80"/>
        </c:scaling>
        <c:delete val="0"/>
        <c:axPos val="l"/>
        <c:majorGridlines>
          <c:spPr>
            <a:ln w="6350">
              <a:solidFill>
                <a:schemeClr val="bg1">
                  <a:lumMod val="75000"/>
                </a:schemeClr>
              </a:solidFill>
              <a:prstDash val="sysDot"/>
            </a:ln>
          </c:spPr>
        </c:majorGridlines>
        <c:title>
          <c:tx>
            <c:rich>
              <a:bodyPr/>
              <a:lstStyle/>
              <a:p>
                <a:pPr>
                  <a:defRPr sz="1200" b="0" i="0" u="none" strike="noStrike" baseline="0">
                    <a:solidFill>
                      <a:srgbClr val="000000"/>
                    </a:solidFill>
                    <a:latin typeface="Arial"/>
                    <a:ea typeface="Arial"/>
                    <a:cs typeface="Arial"/>
                  </a:defRPr>
                </a:pPr>
                <a:r>
                  <a:rPr lang="en-US" sz="1150" b="0" baseline="0"/>
                  <a:t>Reynolds-Smolensky redistribution index (1979=100)</a:t>
                </a:r>
                <a:endParaRPr lang="en-US" sz="1150" b="0"/>
              </a:p>
            </c:rich>
          </c:tx>
          <c:layout>
            <c:manualLayout>
              <c:xMode val="edge"/>
              <c:yMode val="edge"/>
              <c:x val="0"/>
              <c:y val="0.12304795545338224"/>
            </c:manualLayout>
          </c:layout>
          <c:overlay val="0"/>
          <c:spPr>
            <a:noFill/>
            <a:ln w="25400">
              <a:noFill/>
            </a:ln>
          </c:spPr>
        </c:title>
        <c:numFmt formatCode="#,##0" sourceLinked="0"/>
        <c:majorTickMark val="out"/>
        <c:minorTickMark val="none"/>
        <c:tickLblPos val="nextTo"/>
        <c:spPr>
          <a:ln w="3175">
            <a:no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117966680"/>
        <c:crossesAt val="1"/>
        <c:crossBetween val="between"/>
        <c:majorUnit val="20"/>
        <c:minorUnit val="0.05"/>
      </c:valAx>
      <c:spPr>
        <a:solidFill>
          <a:srgbClr val="FFFFFF"/>
        </a:solidFill>
        <a:ln w="3175">
          <a:noFill/>
          <a:prstDash val="solid"/>
        </a:ln>
      </c:spPr>
    </c:plotArea>
    <c:plotVisOnly val="1"/>
    <c:dispBlanksAs val="span"/>
    <c:showDLblsOverMax val="0"/>
  </c:chart>
  <c:spPr>
    <a:solidFill>
      <a:schemeClr val="bg1"/>
    </a:solidFill>
    <a:ln w="9525">
      <a:noFill/>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0866" r="0.75000000000000866" t="1" header="0.5" footer="0.5"/>
    <c:pageSetup orientation="landscape" verticalDpi="96"/>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807882282431235E-2"/>
          <c:y val="3.6498794793507955E-2"/>
          <c:w val="0.83684179635025935"/>
          <c:h val="0.90203526840513759"/>
        </c:manualLayout>
      </c:layout>
      <c:areaChart>
        <c:grouping val="stacked"/>
        <c:varyColors val="0"/>
        <c:ser>
          <c:idx val="3"/>
          <c:order val="1"/>
          <c:tx>
            <c:v>Individual</c:v>
          </c:tx>
          <c:spPr>
            <a:solidFill>
              <a:schemeClr val="bg1"/>
            </a:solidFill>
            <a:ln w="25400">
              <a:noFill/>
            </a:ln>
          </c:spPr>
          <c:cat>
            <c:numRef>
              <c:f>TxRt!$A$136:$A$172</c:f>
              <c:numCache>
                <c:formatCode>General</c:formatCode>
                <c:ptCount val="37"/>
                <c:pt idx="0">
                  <c:v>1979</c:v>
                </c:pt>
                <c:pt idx="1">
                  <c:v>1980</c:v>
                </c:pt>
                <c:pt idx="2">
                  <c:v>1981</c:v>
                </c:pt>
                <c:pt idx="3">
                  <c:v>1982</c:v>
                </c:pt>
                <c:pt idx="4">
                  <c:v>1983</c:v>
                </c:pt>
                <c:pt idx="5">
                  <c:v>1984</c:v>
                </c:pt>
                <c:pt idx="6">
                  <c:v>1985</c:v>
                </c:pt>
                <c:pt idx="7">
                  <c:v>1986</c:v>
                </c:pt>
                <c:pt idx="8">
                  <c:v>1987</c:v>
                </c:pt>
                <c:pt idx="9">
                  <c:v>1988</c:v>
                </c:pt>
                <c:pt idx="10">
                  <c:v>1989</c:v>
                </c:pt>
                <c:pt idx="11">
                  <c:v>1990</c:v>
                </c:pt>
                <c:pt idx="12">
                  <c:v>1991</c:v>
                </c:pt>
                <c:pt idx="13">
                  <c:v>1992</c:v>
                </c:pt>
                <c:pt idx="14">
                  <c:v>1993</c:v>
                </c:pt>
                <c:pt idx="15">
                  <c:v>1994</c:v>
                </c:pt>
                <c:pt idx="16">
                  <c:v>1995</c:v>
                </c:pt>
                <c:pt idx="17">
                  <c:v>1996</c:v>
                </c:pt>
                <c:pt idx="18">
                  <c:v>1997</c:v>
                </c:pt>
                <c:pt idx="19">
                  <c:v>1998</c:v>
                </c:pt>
                <c:pt idx="20">
                  <c:v>1999</c:v>
                </c:pt>
                <c:pt idx="21">
                  <c:v>2000</c:v>
                </c:pt>
                <c:pt idx="22">
                  <c:v>2001</c:v>
                </c:pt>
                <c:pt idx="23">
                  <c:v>2002</c:v>
                </c:pt>
                <c:pt idx="24">
                  <c:v>2003</c:v>
                </c:pt>
                <c:pt idx="25">
                  <c:v>2004</c:v>
                </c:pt>
                <c:pt idx="26">
                  <c:v>2005</c:v>
                </c:pt>
                <c:pt idx="27">
                  <c:v>2006</c:v>
                </c:pt>
                <c:pt idx="28">
                  <c:v>2007</c:v>
                </c:pt>
                <c:pt idx="29">
                  <c:v>2008</c:v>
                </c:pt>
                <c:pt idx="30">
                  <c:v>2009</c:v>
                </c:pt>
                <c:pt idx="31">
                  <c:v>2010</c:v>
                </c:pt>
                <c:pt idx="32">
                  <c:v>2011</c:v>
                </c:pt>
                <c:pt idx="33">
                  <c:v>2012</c:v>
                </c:pt>
                <c:pt idx="34">
                  <c:v>2013</c:v>
                </c:pt>
                <c:pt idx="35">
                  <c:v>2014</c:v>
                </c:pt>
                <c:pt idx="36">
                  <c:v>2015</c:v>
                </c:pt>
              </c:numCache>
            </c:numRef>
          </c:cat>
          <c:val>
            <c:numRef>
              <c:f>TxRt!$C$53:$C$90</c:f>
              <c:numCache>
                <c:formatCode>#0.0</c:formatCode>
                <c:ptCount val="38"/>
                <c:pt idx="0">
                  <c:v>-0.2</c:v>
                </c:pt>
                <c:pt idx="1">
                  <c:v>0</c:v>
                </c:pt>
                <c:pt idx="2">
                  <c:v>0.4</c:v>
                </c:pt>
                <c:pt idx="3">
                  <c:v>0.4</c:v>
                </c:pt>
                <c:pt idx="4">
                  <c:v>0.4</c:v>
                </c:pt>
                <c:pt idx="5">
                  <c:v>0.8</c:v>
                </c:pt>
                <c:pt idx="6">
                  <c:v>0.6</c:v>
                </c:pt>
                <c:pt idx="7">
                  <c:v>0.4</c:v>
                </c:pt>
                <c:pt idx="8">
                  <c:v>-0.7</c:v>
                </c:pt>
                <c:pt idx="9">
                  <c:v>-1.4</c:v>
                </c:pt>
                <c:pt idx="10">
                  <c:v>-1.9</c:v>
                </c:pt>
                <c:pt idx="11">
                  <c:v>-1.2</c:v>
                </c:pt>
                <c:pt idx="12">
                  <c:v>-2.1</c:v>
                </c:pt>
                <c:pt idx="13">
                  <c:v>-2.7</c:v>
                </c:pt>
                <c:pt idx="14">
                  <c:v>-3.2</c:v>
                </c:pt>
                <c:pt idx="15">
                  <c:v>-5.0999999999999996</c:v>
                </c:pt>
                <c:pt idx="16">
                  <c:v>-5.7</c:v>
                </c:pt>
                <c:pt idx="17">
                  <c:v>-6.4</c:v>
                </c:pt>
                <c:pt idx="18">
                  <c:v>-6.2</c:v>
                </c:pt>
                <c:pt idx="19">
                  <c:v>-6.1</c:v>
                </c:pt>
                <c:pt idx="20">
                  <c:v>-5.7</c:v>
                </c:pt>
                <c:pt idx="21">
                  <c:v>-6.1</c:v>
                </c:pt>
                <c:pt idx="22">
                  <c:v>-6.5</c:v>
                </c:pt>
                <c:pt idx="23">
                  <c:v>-7</c:v>
                </c:pt>
                <c:pt idx="24">
                  <c:v>-7</c:v>
                </c:pt>
                <c:pt idx="25">
                  <c:v>-7.2</c:v>
                </c:pt>
                <c:pt idx="26">
                  <c:v>-7.5</c:v>
                </c:pt>
                <c:pt idx="27">
                  <c:v>-7.5</c:v>
                </c:pt>
                <c:pt idx="28">
                  <c:v>-7.5</c:v>
                </c:pt>
                <c:pt idx="29">
                  <c:v>-11.6</c:v>
                </c:pt>
                <c:pt idx="30">
                  <c:v>-12.8</c:v>
                </c:pt>
                <c:pt idx="31">
                  <c:v>-13</c:v>
                </c:pt>
                <c:pt idx="32">
                  <c:v>-11.1</c:v>
                </c:pt>
                <c:pt idx="33">
                  <c:v>-10.9</c:v>
                </c:pt>
                <c:pt idx="34">
                  <c:v>-11</c:v>
                </c:pt>
                <c:pt idx="35">
                  <c:v>-11.5</c:v>
                </c:pt>
                <c:pt idx="36">
                  <c:v>-11.6</c:v>
                </c:pt>
                <c:pt idx="37">
                  <c:v>-10.9</c:v>
                </c:pt>
              </c:numCache>
            </c:numRef>
          </c:val>
          <c:extLst>
            <c:ext xmlns:c16="http://schemas.microsoft.com/office/drawing/2014/chart" uri="{C3380CC4-5D6E-409C-BE32-E72D297353CC}">
              <c16:uniqueId val="{00000000-2FAF-45BD-85D4-730A630EC11C}"/>
            </c:ext>
          </c:extLst>
        </c:ser>
        <c:ser>
          <c:idx val="1"/>
          <c:order val="2"/>
          <c:tx>
            <c:v>Excise</c:v>
          </c:tx>
          <c:spPr>
            <a:solidFill>
              <a:schemeClr val="bg1">
                <a:lumMod val="85000"/>
              </a:schemeClr>
            </a:solidFill>
            <a:ln w="25400">
              <a:noFill/>
            </a:ln>
          </c:spPr>
          <c:cat>
            <c:numRef>
              <c:f>TxRt!$A$136:$A$172</c:f>
              <c:numCache>
                <c:formatCode>General</c:formatCode>
                <c:ptCount val="37"/>
                <c:pt idx="0">
                  <c:v>1979</c:v>
                </c:pt>
                <c:pt idx="1">
                  <c:v>1980</c:v>
                </c:pt>
                <c:pt idx="2">
                  <c:v>1981</c:v>
                </c:pt>
                <c:pt idx="3">
                  <c:v>1982</c:v>
                </c:pt>
                <c:pt idx="4">
                  <c:v>1983</c:v>
                </c:pt>
                <c:pt idx="5">
                  <c:v>1984</c:v>
                </c:pt>
                <c:pt idx="6">
                  <c:v>1985</c:v>
                </c:pt>
                <c:pt idx="7">
                  <c:v>1986</c:v>
                </c:pt>
                <c:pt idx="8">
                  <c:v>1987</c:v>
                </c:pt>
                <c:pt idx="9">
                  <c:v>1988</c:v>
                </c:pt>
                <c:pt idx="10">
                  <c:v>1989</c:v>
                </c:pt>
                <c:pt idx="11">
                  <c:v>1990</c:v>
                </c:pt>
                <c:pt idx="12">
                  <c:v>1991</c:v>
                </c:pt>
                <c:pt idx="13">
                  <c:v>1992</c:v>
                </c:pt>
                <c:pt idx="14">
                  <c:v>1993</c:v>
                </c:pt>
                <c:pt idx="15">
                  <c:v>1994</c:v>
                </c:pt>
                <c:pt idx="16">
                  <c:v>1995</c:v>
                </c:pt>
                <c:pt idx="17">
                  <c:v>1996</c:v>
                </c:pt>
                <c:pt idx="18">
                  <c:v>1997</c:v>
                </c:pt>
                <c:pt idx="19">
                  <c:v>1998</c:v>
                </c:pt>
                <c:pt idx="20">
                  <c:v>1999</c:v>
                </c:pt>
                <c:pt idx="21">
                  <c:v>2000</c:v>
                </c:pt>
                <c:pt idx="22">
                  <c:v>2001</c:v>
                </c:pt>
                <c:pt idx="23">
                  <c:v>2002</c:v>
                </c:pt>
                <c:pt idx="24">
                  <c:v>2003</c:v>
                </c:pt>
                <c:pt idx="25">
                  <c:v>2004</c:v>
                </c:pt>
                <c:pt idx="26">
                  <c:v>2005</c:v>
                </c:pt>
                <c:pt idx="27">
                  <c:v>2006</c:v>
                </c:pt>
                <c:pt idx="28">
                  <c:v>2007</c:v>
                </c:pt>
                <c:pt idx="29">
                  <c:v>2008</c:v>
                </c:pt>
                <c:pt idx="30">
                  <c:v>2009</c:v>
                </c:pt>
                <c:pt idx="31">
                  <c:v>2010</c:v>
                </c:pt>
                <c:pt idx="32">
                  <c:v>2011</c:v>
                </c:pt>
                <c:pt idx="33">
                  <c:v>2012</c:v>
                </c:pt>
                <c:pt idx="34">
                  <c:v>2013</c:v>
                </c:pt>
                <c:pt idx="35">
                  <c:v>2014</c:v>
                </c:pt>
                <c:pt idx="36">
                  <c:v>2015</c:v>
                </c:pt>
              </c:numCache>
            </c:numRef>
          </c:cat>
          <c:val>
            <c:numRef>
              <c:f>TxRt!$F$53:$F$90</c:f>
              <c:numCache>
                <c:formatCode>#0.0</c:formatCode>
                <c:ptCount val="38"/>
                <c:pt idx="0">
                  <c:v>1.9</c:v>
                </c:pt>
                <c:pt idx="1">
                  <c:v>1.6</c:v>
                </c:pt>
                <c:pt idx="2">
                  <c:v>1.5</c:v>
                </c:pt>
                <c:pt idx="3">
                  <c:v>1.7</c:v>
                </c:pt>
                <c:pt idx="4">
                  <c:v>2.4</c:v>
                </c:pt>
                <c:pt idx="5">
                  <c:v>2.6</c:v>
                </c:pt>
                <c:pt idx="6">
                  <c:v>2.6</c:v>
                </c:pt>
                <c:pt idx="7">
                  <c:v>2.4</c:v>
                </c:pt>
                <c:pt idx="8">
                  <c:v>2.6</c:v>
                </c:pt>
                <c:pt idx="9">
                  <c:v>2.4</c:v>
                </c:pt>
                <c:pt idx="10">
                  <c:v>2.2000000000000002</c:v>
                </c:pt>
                <c:pt idx="11">
                  <c:v>2.2999999999999998</c:v>
                </c:pt>
                <c:pt idx="12">
                  <c:v>2.6</c:v>
                </c:pt>
                <c:pt idx="13">
                  <c:v>2.7</c:v>
                </c:pt>
                <c:pt idx="14">
                  <c:v>3</c:v>
                </c:pt>
                <c:pt idx="15">
                  <c:v>3.1</c:v>
                </c:pt>
                <c:pt idx="16">
                  <c:v>2.8</c:v>
                </c:pt>
                <c:pt idx="17">
                  <c:v>2.7</c:v>
                </c:pt>
                <c:pt idx="18">
                  <c:v>2.6</c:v>
                </c:pt>
                <c:pt idx="19">
                  <c:v>2.5</c:v>
                </c:pt>
                <c:pt idx="20">
                  <c:v>2.6</c:v>
                </c:pt>
                <c:pt idx="21">
                  <c:v>2.4</c:v>
                </c:pt>
                <c:pt idx="22">
                  <c:v>2.5</c:v>
                </c:pt>
                <c:pt idx="23">
                  <c:v>2.5</c:v>
                </c:pt>
                <c:pt idx="24">
                  <c:v>2.6</c:v>
                </c:pt>
                <c:pt idx="25">
                  <c:v>2.2000000000000002</c:v>
                </c:pt>
                <c:pt idx="26">
                  <c:v>2.4</c:v>
                </c:pt>
                <c:pt idx="27">
                  <c:v>2.4</c:v>
                </c:pt>
                <c:pt idx="28">
                  <c:v>1.8</c:v>
                </c:pt>
                <c:pt idx="29">
                  <c:v>2</c:v>
                </c:pt>
                <c:pt idx="30">
                  <c:v>2.1</c:v>
                </c:pt>
                <c:pt idx="31">
                  <c:v>2.4</c:v>
                </c:pt>
                <c:pt idx="32">
                  <c:v>2.4</c:v>
                </c:pt>
                <c:pt idx="33">
                  <c:v>2.5</c:v>
                </c:pt>
                <c:pt idx="34">
                  <c:v>2.5</c:v>
                </c:pt>
                <c:pt idx="35">
                  <c:v>2.6</c:v>
                </c:pt>
                <c:pt idx="36">
                  <c:v>2.4</c:v>
                </c:pt>
                <c:pt idx="37">
                  <c:v>2.2000000000000002</c:v>
                </c:pt>
              </c:numCache>
            </c:numRef>
          </c:val>
          <c:extLst>
            <c:ext xmlns:c16="http://schemas.microsoft.com/office/drawing/2014/chart" uri="{C3380CC4-5D6E-409C-BE32-E72D297353CC}">
              <c16:uniqueId val="{00000001-2FAF-45BD-85D4-730A630EC11C}"/>
            </c:ext>
          </c:extLst>
        </c:ser>
        <c:ser>
          <c:idx val="2"/>
          <c:order val="3"/>
          <c:tx>
            <c:v>Corporat</c:v>
          </c:tx>
          <c:spPr>
            <a:solidFill>
              <a:schemeClr val="bg1">
                <a:lumMod val="50000"/>
                <a:alpha val="55000"/>
              </a:schemeClr>
            </a:solidFill>
          </c:spPr>
          <c:cat>
            <c:numRef>
              <c:f>TxRt!$A$136:$A$172</c:f>
              <c:numCache>
                <c:formatCode>General</c:formatCode>
                <c:ptCount val="37"/>
                <c:pt idx="0">
                  <c:v>1979</c:v>
                </c:pt>
                <c:pt idx="1">
                  <c:v>1980</c:v>
                </c:pt>
                <c:pt idx="2">
                  <c:v>1981</c:v>
                </c:pt>
                <c:pt idx="3">
                  <c:v>1982</c:v>
                </c:pt>
                <c:pt idx="4">
                  <c:v>1983</c:v>
                </c:pt>
                <c:pt idx="5">
                  <c:v>1984</c:v>
                </c:pt>
                <c:pt idx="6">
                  <c:v>1985</c:v>
                </c:pt>
                <c:pt idx="7">
                  <c:v>1986</c:v>
                </c:pt>
                <c:pt idx="8">
                  <c:v>1987</c:v>
                </c:pt>
                <c:pt idx="9">
                  <c:v>1988</c:v>
                </c:pt>
                <c:pt idx="10">
                  <c:v>1989</c:v>
                </c:pt>
                <c:pt idx="11">
                  <c:v>1990</c:v>
                </c:pt>
                <c:pt idx="12">
                  <c:v>1991</c:v>
                </c:pt>
                <c:pt idx="13">
                  <c:v>1992</c:v>
                </c:pt>
                <c:pt idx="14">
                  <c:v>1993</c:v>
                </c:pt>
                <c:pt idx="15">
                  <c:v>1994</c:v>
                </c:pt>
                <c:pt idx="16">
                  <c:v>1995</c:v>
                </c:pt>
                <c:pt idx="17">
                  <c:v>1996</c:v>
                </c:pt>
                <c:pt idx="18">
                  <c:v>1997</c:v>
                </c:pt>
                <c:pt idx="19">
                  <c:v>1998</c:v>
                </c:pt>
                <c:pt idx="20">
                  <c:v>1999</c:v>
                </c:pt>
                <c:pt idx="21">
                  <c:v>2000</c:v>
                </c:pt>
                <c:pt idx="22">
                  <c:v>2001</c:v>
                </c:pt>
                <c:pt idx="23">
                  <c:v>2002</c:v>
                </c:pt>
                <c:pt idx="24">
                  <c:v>2003</c:v>
                </c:pt>
                <c:pt idx="25">
                  <c:v>2004</c:v>
                </c:pt>
                <c:pt idx="26">
                  <c:v>2005</c:v>
                </c:pt>
                <c:pt idx="27">
                  <c:v>2006</c:v>
                </c:pt>
                <c:pt idx="28">
                  <c:v>2007</c:v>
                </c:pt>
                <c:pt idx="29">
                  <c:v>2008</c:v>
                </c:pt>
                <c:pt idx="30">
                  <c:v>2009</c:v>
                </c:pt>
                <c:pt idx="31">
                  <c:v>2010</c:v>
                </c:pt>
                <c:pt idx="32">
                  <c:v>2011</c:v>
                </c:pt>
                <c:pt idx="33">
                  <c:v>2012</c:v>
                </c:pt>
                <c:pt idx="34">
                  <c:v>2013</c:v>
                </c:pt>
                <c:pt idx="35">
                  <c:v>2014</c:v>
                </c:pt>
                <c:pt idx="36">
                  <c:v>2015</c:v>
                </c:pt>
              </c:numCache>
            </c:numRef>
          </c:cat>
          <c:val>
            <c:numRef>
              <c:f>TxRt!$E$53:$E$90</c:f>
              <c:numCache>
                <c:formatCode>#0.0</c:formatCode>
                <c:ptCount val="38"/>
                <c:pt idx="0">
                  <c:v>1.5</c:v>
                </c:pt>
                <c:pt idx="1">
                  <c:v>1.2</c:v>
                </c:pt>
                <c:pt idx="2">
                  <c:v>1</c:v>
                </c:pt>
                <c:pt idx="3">
                  <c:v>0.7</c:v>
                </c:pt>
                <c:pt idx="4">
                  <c:v>0.9</c:v>
                </c:pt>
                <c:pt idx="5">
                  <c:v>1</c:v>
                </c:pt>
                <c:pt idx="6">
                  <c:v>0.8</c:v>
                </c:pt>
                <c:pt idx="7">
                  <c:v>0.9</c:v>
                </c:pt>
                <c:pt idx="8">
                  <c:v>1.1000000000000001</c:v>
                </c:pt>
                <c:pt idx="9">
                  <c:v>1.1000000000000001</c:v>
                </c:pt>
                <c:pt idx="10">
                  <c:v>1</c:v>
                </c:pt>
                <c:pt idx="11">
                  <c:v>1</c:v>
                </c:pt>
                <c:pt idx="12">
                  <c:v>0.9</c:v>
                </c:pt>
                <c:pt idx="13">
                  <c:v>1</c:v>
                </c:pt>
                <c:pt idx="14">
                  <c:v>1.1000000000000001</c:v>
                </c:pt>
                <c:pt idx="15">
                  <c:v>1.2</c:v>
                </c:pt>
                <c:pt idx="16">
                  <c:v>1.2</c:v>
                </c:pt>
                <c:pt idx="17">
                  <c:v>1.2</c:v>
                </c:pt>
                <c:pt idx="18">
                  <c:v>1.1000000000000001</c:v>
                </c:pt>
                <c:pt idx="19">
                  <c:v>1</c:v>
                </c:pt>
                <c:pt idx="20">
                  <c:v>1</c:v>
                </c:pt>
                <c:pt idx="21">
                  <c:v>1</c:v>
                </c:pt>
                <c:pt idx="22">
                  <c:v>0.7</c:v>
                </c:pt>
                <c:pt idx="23">
                  <c:v>0.6</c:v>
                </c:pt>
                <c:pt idx="24">
                  <c:v>0.8</c:v>
                </c:pt>
                <c:pt idx="25">
                  <c:v>1</c:v>
                </c:pt>
                <c:pt idx="26">
                  <c:v>1.2</c:v>
                </c:pt>
                <c:pt idx="27">
                  <c:v>1.3</c:v>
                </c:pt>
                <c:pt idx="28">
                  <c:v>1.1000000000000001</c:v>
                </c:pt>
                <c:pt idx="29">
                  <c:v>0.7</c:v>
                </c:pt>
                <c:pt idx="30">
                  <c:v>0.6</c:v>
                </c:pt>
                <c:pt idx="31">
                  <c:v>0.8</c:v>
                </c:pt>
                <c:pt idx="32">
                  <c:v>0.7</c:v>
                </c:pt>
                <c:pt idx="33">
                  <c:v>0.8</c:v>
                </c:pt>
                <c:pt idx="34">
                  <c:v>0.9</c:v>
                </c:pt>
                <c:pt idx="35">
                  <c:v>1</c:v>
                </c:pt>
                <c:pt idx="36">
                  <c:v>0.9</c:v>
                </c:pt>
                <c:pt idx="37">
                  <c:v>0.9</c:v>
                </c:pt>
              </c:numCache>
            </c:numRef>
          </c:val>
          <c:extLst>
            <c:ext xmlns:c16="http://schemas.microsoft.com/office/drawing/2014/chart" uri="{C3380CC4-5D6E-409C-BE32-E72D297353CC}">
              <c16:uniqueId val="{00000002-2FAF-45BD-85D4-730A630EC11C}"/>
            </c:ext>
          </c:extLst>
        </c:ser>
        <c:ser>
          <c:idx val="0"/>
          <c:order val="4"/>
          <c:tx>
            <c:v>Payroll</c:v>
          </c:tx>
          <c:spPr>
            <a:solidFill>
              <a:schemeClr val="bg1">
                <a:lumMod val="95000"/>
              </a:schemeClr>
            </a:solidFill>
          </c:spPr>
          <c:cat>
            <c:numRef>
              <c:f>TxRt!$A$136:$A$172</c:f>
              <c:numCache>
                <c:formatCode>General</c:formatCode>
                <c:ptCount val="37"/>
                <c:pt idx="0">
                  <c:v>1979</c:v>
                </c:pt>
                <c:pt idx="1">
                  <c:v>1980</c:v>
                </c:pt>
                <c:pt idx="2">
                  <c:v>1981</c:v>
                </c:pt>
                <c:pt idx="3">
                  <c:v>1982</c:v>
                </c:pt>
                <c:pt idx="4">
                  <c:v>1983</c:v>
                </c:pt>
                <c:pt idx="5">
                  <c:v>1984</c:v>
                </c:pt>
                <c:pt idx="6">
                  <c:v>1985</c:v>
                </c:pt>
                <c:pt idx="7">
                  <c:v>1986</c:v>
                </c:pt>
                <c:pt idx="8">
                  <c:v>1987</c:v>
                </c:pt>
                <c:pt idx="9">
                  <c:v>1988</c:v>
                </c:pt>
                <c:pt idx="10">
                  <c:v>1989</c:v>
                </c:pt>
                <c:pt idx="11">
                  <c:v>1990</c:v>
                </c:pt>
                <c:pt idx="12">
                  <c:v>1991</c:v>
                </c:pt>
                <c:pt idx="13">
                  <c:v>1992</c:v>
                </c:pt>
                <c:pt idx="14">
                  <c:v>1993</c:v>
                </c:pt>
                <c:pt idx="15">
                  <c:v>1994</c:v>
                </c:pt>
                <c:pt idx="16">
                  <c:v>1995</c:v>
                </c:pt>
                <c:pt idx="17">
                  <c:v>1996</c:v>
                </c:pt>
                <c:pt idx="18">
                  <c:v>1997</c:v>
                </c:pt>
                <c:pt idx="19">
                  <c:v>1998</c:v>
                </c:pt>
                <c:pt idx="20">
                  <c:v>1999</c:v>
                </c:pt>
                <c:pt idx="21">
                  <c:v>2000</c:v>
                </c:pt>
                <c:pt idx="22">
                  <c:v>2001</c:v>
                </c:pt>
                <c:pt idx="23">
                  <c:v>2002</c:v>
                </c:pt>
                <c:pt idx="24">
                  <c:v>2003</c:v>
                </c:pt>
                <c:pt idx="25">
                  <c:v>2004</c:v>
                </c:pt>
                <c:pt idx="26">
                  <c:v>2005</c:v>
                </c:pt>
                <c:pt idx="27">
                  <c:v>2006</c:v>
                </c:pt>
                <c:pt idx="28">
                  <c:v>2007</c:v>
                </c:pt>
                <c:pt idx="29">
                  <c:v>2008</c:v>
                </c:pt>
                <c:pt idx="30">
                  <c:v>2009</c:v>
                </c:pt>
                <c:pt idx="31">
                  <c:v>2010</c:v>
                </c:pt>
                <c:pt idx="32">
                  <c:v>2011</c:v>
                </c:pt>
                <c:pt idx="33">
                  <c:v>2012</c:v>
                </c:pt>
                <c:pt idx="34">
                  <c:v>2013</c:v>
                </c:pt>
                <c:pt idx="35">
                  <c:v>2014</c:v>
                </c:pt>
                <c:pt idx="36">
                  <c:v>2015</c:v>
                </c:pt>
              </c:numCache>
            </c:numRef>
          </c:cat>
          <c:val>
            <c:numRef>
              <c:f>TxRt!$D$53:$D$90</c:f>
              <c:numCache>
                <c:formatCode>#0.0</c:formatCode>
                <c:ptCount val="38"/>
                <c:pt idx="0">
                  <c:v>6</c:v>
                </c:pt>
                <c:pt idx="1">
                  <c:v>6</c:v>
                </c:pt>
                <c:pt idx="2">
                  <c:v>6.7</c:v>
                </c:pt>
                <c:pt idx="3">
                  <c:v>7.1</c:v>
                </c:pt>
                <c:pt idx="4">
                  <c:v>7.4</c:v>
                </c:pt>
                <c:pt idx="5">
                  <c:v>7.6</c:v>
                </c:pt>
                <c:pt idx="6">
                  <c:v>7.8</c:v>
                </c:pt>
                <c:pt idx="7">
                  <c:v>8</c:v>
                </c:pt>
                <c:pt idx="8">
                  <c:v>7.8</c:v>
                </c:pt>
                <c:pt idx="9">
                  <c:v>8.1</c:v>
                </c:pt>
                <c:pt idx="10">
                  <c:v>8.3000000000000007</c:v>
                </c:pt>
                <c:pt idx="11">
                  <c:v>8.6</c:v>
                </c:pt>
                <c:pt idx="12">
                  <c:v>8.8000000000000007</c:v>
                </c:pt>
                <c:pt idx="13">
                  <c:v>9</c:v>
                </c:pt>
                <c:pt idx="14">
                  <c:v>9.1</c:v>
                </c:pt>
                <c:pt idx="15">
                  <c:v>9</c:v>
                </c:pt>
                <c:pt idx="16">
                  <c:v>9.1999999999999993</c:v>
                </c:pt>
                <c:pt idx="17">
                  <c:v>9.4</c:v>
                </c:pt>
                <c:pt idx="18">
                  <c:v>9.4</c:v>
                </c:pt>
                <c:pt idx="19">
                  <c:v>9.5</c:v>
                </c:pt>
                <c:pt idx="20">
                  <c:v>9.1999999999999993</c:v>
                </c:pt>
                <c:pt idx="21">
                  <c:v>9.3000000000000007</c:v>
                </c:pt>
                <c:pt idx="22">
                  <c:v>9.4</c:v>
                </c:pt>
                <c:pt idx="23">
                  <c:v>9.4</c:v>
                </c:pt>
                <c:pt idx="24">
                  <c:v>9.3000000000000007</c:v>
                </c:pt>
                <c:pt idx="25">
                  <c:v>9.3000000000000007</c:v>
                </c:pt>
                <c:pt idx="26">
                  <c:v>9.4</c:v>
                </c:pt>
                <c:pt idx="27">
                  <c:v>9.6999999999999993</c:v>
                </c:pt>
                <c:pt idx="28">
                  <c:v>9.8000000000000007</c:v>
                </c:pt>
                <c:pt idx="29">
                  <c:v>9.8000000000000007</c:v>
                </c:pt>
                <c:pt idx="30">
                  <c:v>9.8000000000000007</c:v>
                </c:pt>
                <c:pt idx="31">
                  <c:v>9.8000000000000007</c:v>
                </c:pt>
                <c:pt idx="32">
                  <c:v>8.5</c:v>
                </c:pt>
                <c:pt idx="33">
                  <c:v>8.5</c:v>
                </c:pt>
                <c:pt idx="34">
                  <c:v>9.9</c:v>
                </c:pt>
                <c:pt idx="35">
                  <c:v>9.8000000000000007</c:v>
                </c:pt>
                <c:pt idx="36">
                  <c:v>9.8000000000000007</c:v>
                </c:pt>
                <c:pt idx="37">
                  <c:v>9.5</c:v>
                </c:pt>
              </c:numCache>
            </c:numRef>
          </c:val>
          <c:extLst>
            <c:ext xmlns:c16="http://schemas.microsoft.com/office/drawing/2014/chart" uri="{C3380CC4-5D6E-409C-BE32-E72D297353CC}">
              <c16:uniqueId val="{00000003-2FAF-45BD-85D4-730A630EC11C}"/>
            </c:ext>
          </c:extLst>
        </c:ser>
        <c:ser>
          <c:idx val="4"/>
          <c:order val="5"/>
          <c:tx>
            <c:v>zeros-total</c:v>
          </c:tx>
          <c:spPr>
            <a:noFill/>
            <a:ln w="25400">
              <a:solidFill>
                <a:srgbClr val="000000"/>
              </a:solidFill>
            </a:ln>
          </c:spPr>
          <c:val>
            <c:numRef>
              <c:f>TxRt!$I$10:$I$47</c:f>
              <c:numCache>
                <c:formatCode>#0.0</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4-2FAF-45BD-85D4-730A630EC11C}"/>
            </c:ext>
          </c:extLst>
        </c:ser>
        <c:dLbls>
          <c:showLegendKey val="0"/>
          <c:showVal val="0"/>
          <c:showCatName val="0"/>
          <c:showSerName val="0"/>
          <c:showPercent val="0"/>
          <c:showBubbleSize val="0"/>
        </c:dLbls>
        <c:axId val="1117966680"/>
        <c:axId val="1117967072"/>
      </c:areaChart>
      <c:lineChart>
        <c:grouping val="standard"/>
        <c:varyColors val="0"/>
        <c:ser>
          <c:idx val="5"/>
          <c:order val="0"/>
          <c:tx>
            <c:v>zeros-inc tax</c:v>
          </c:tx>
          <c:spPr>
            <a:ln w="25400">
              <a:solidFill>
                <a:schemeClr val="tx1">
                  <a:lumMod val="65000"/>
                  <a:lumOff val="35000"/>
                </a:schemeClr>
              </a:solidFill>
            </a:ln>
          </c:spPr>
          <c:marker>
            <c:symbol val="none"/>
          </c:marker>
          <c:val>
            <c:numRef>
              <c:f>TxRt!$C$53:$C$90</c:f>
              <c:numCache>
                <c:formatCode>#0.0</c:formatCode>
                <c:ptCount val="38"/>
                <c:pt idx="0">
                  <c:v>-0.2</c:v>
                </c:pt>
                <c:pt idx="1">
                  <c:v>0</c:v>
                </c:pt>
                <c:pt idx="2">
                  <c:v>0.4</c:v>
                </c:pt>
                <c:pt idx="3">
                  <c:v>0.4</c:v>
                </c:pt>
                <c:pt idx="4">
                  <c:v>0.4</c:v>
                </c:pt>
                <c:pt idx="5">
                  <c:v>0.8</c:v>
                </c:pt>
                <c:pt idx="6">
                  <c:v>0.6</c:v>
                </c:pt>
                <c:pt idx="7">
                  <c:v>0.4</c:v>
                </c:pt>
                <c:pt idx="8">
                  <c:v>-0.7</c:v>
                </c:pt>
                <c:pt idx="9">
                  <c:v>-1.4</c:v>
                </c:pt>
                <c:pt idx="10">
                  <c:v>-1.9</c:v>
                </c:pt>
                <c:pt idx="11">
                  <c:v>-1.2</c:v>
                </c:pt>
                <c:pt idx="12">
                  <c:v>-2.1</c:v>
                </c:pt>
                <c:pt idx="13">
                  <c:v>-2.7</c:v>
                </c:pt>
                <c:pt idx="14">
                  <c:v>-3.2</c:v>
                </c:pt>
                <c:pt idx="15">
                  <c:v>-5.0999999999999996</c:v>
                </c:pt>
                <c:pt idx="16">
                  <c:v>-5.7</c:v>
                </c:pt>
                <c:pt idx="17">
                  <c:v>-6.4</c:v>
                </c:pt>
                <c:pt idx="18">
                  <c:v>-6.2</c:v>
                </c:pt>
                <c:pt idx="19">
                  <c:v>-6.1</c:v>
                </c:pt>
                <c:pt idx="20">
                  <c:v>-5.7</c:v>
                </c:pt>
                <c:pt idx="21">
                  <c:v>-6.1</c:v>
                </c:pt>
                <c:pt idx="22">
                  <c:v>-6.5</c:v>
                </c:pt>
                <c:pt idx="23">
                  <c:v>-7</c:v>
                </c:pt>
                <c:pt idx="24">
                  <c:v>-7</c:v>
                </c:pt>
                <c:pt idx="25">
                  <c:v>-7.2</c:v>
                </c:pt>
                <c:pt idx="26">
                  <c:v>-7.5</c:v>
                </c:pt>
                <c:pt idx="27">
                  <c:v>-7.5</c:v>
                </c:pt>
                <c:pt idx="28">
                  <c:v>-7.5</c:v>
                </c:pt>
                <c:pt idx="29">
                  <c:v>-11.6</c:v>
                </c:pt>
                <c:pt idx="30">
                  <c:v>-12.8</c:v>
                </c:pt>
                <c:pt idx="31">
                  <c:v>-13</c:v>
                </c:pt>
                <c:pt idx="32">
                  <c:v>-11.1</c:v>
                </c:pt>
                <c:pt idx="33">
                  <c:v>-10.9</c:v>
                </c:pt>
                <c:pt idx="34">
                  <c:v>-11</c:v>
                </c:pt>
                <c:pt idx="35">
                  <c:v>-11.5</c:v>
                </c:pt>
                <c:pt idx="36">
                  <c:v>-11.6</c:v>
                </c:pt>
                <c:pt idx="37">
                  <c:v>-10.9</c:v>
                </c:pt>
              </c:numCache>
            </c:numRef>
          </c:val>
          <c:smooth val="0"/>
          <c:extLst>
            <c:ext xmlns:c16="http://schemas.microsoft.com/office/drawing/2014/chart" uri="{C3380CC4-5D6E-409C-BE32-E72D297353CC}">
              <c16:uniqueId val="{00000005-2FAF-45BD-85D4-730A630EC11C}"/>
            </c:ext>
          </c:extLst>
        </c:ser>
        <c:dLbls>
          <c:showLegendKey val="0"/>
          <c:showVal val="0"/>
          <c:showCatName val="0"/>
          <c:showSerName val="0"/>
          <c:showPercent val="0"/>
          <c:showBubbleSize val="0"/>
        </c:dLbls>
        <c:marker val="1"/>
        <c:smooth val="0"/>
        <c:axId val="1117966680"/>
        <c:axId val="1117967072"/>
      </c:lineChart>
      <c:catAx>
        <c:axId val="1117966680"/>
        <c:scaling>
          <c:orientation val="minMax"/>
        </c:scaling>
        <c:delete val="0"/>
        <c:axPos val="b"/>
        <c:numFmt formatCode="General"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1117967072"/>
        <c:crossesAt val="-15"/>
        <c:auto val="1"/>
        <c:lblAlgn val="ctr"/>
        <c:lblOffset val="100"/>
        <c:tickLblSkip val="10"/>
        <c:tickMarkSkip val="10"/>
        <c:noMultiLvlLbl val="0"/>
      </c:catAx>
      <c:valAx>
        <c:axId val="1117967072"/>
        <c:scaling>
          <c:orientation val="minMax"/>
          <c:max val="35"/>
          <c:min val="-15"/>
        </c:scaling>
        <c:delete val="0"/>
        <c:axPos val="l"/>
        <c:majorGridlines>
          <c:spPr>
            <a:ln w="9525">
              <a:solidFill>
                <a:schemeClr val="bg1">
                  <a:lumMod val="75000"/>
                </a:schemeClr>
              </a:solidFill>
              <a:prstDash val="sysDot"/>
            </a:ln>
          </c:spPr>
        </c:majorGridlines>
        <c:title>
          <c:tx>
            <c:rich>
              <a:bodyPr/>
              <a:lstStyle/>
              <a:p>
                <a:pPr>
                  <a:defRPr sz="1200" b="0" i="0" u="none" strike="noStrike" baseline="0">
                    <a:solidFill>
                      <a:srgbClr val="000000"/>
                    </a:solidFill>
                    <a:latin typeface="Arial"/>
                    <a:ea typeface="Arial"/>
                    <a:cs typeface="Arial"/>
                  </a:defRPr>
                </a:pPr>
                <a:r>
                  <a:rPr lang="en-US" sz="1200" b="0"/>
                  <a:t>Bottom quintile</a:t>
                </a:r>
                <a:r>
                  <a:rPr lang="en-US" sz="1200" b="0" baseline="0"/>
                  <a:t>  average federal tax rates</a:t>
                </a:r>
                <a:endParaRPr lang="en-US" sz="1200" b="0"/>
              </a:p>
            </c:rich>
          </c:tx>
          <c:layout>
            <c:manualLayout>
              <c:xMode val="edge"/>
              <c:yMode val="edge"/>
              <c:x val="3.0204690867315711E-4"/>
              <c:y val="0.17597064652632705"/>
            </c:manualLayout>
          </c:layout>
          <c:overlay val="0"/>
          <c:spPr>
            <a:noFill/>
            <a:ln w="25400">
              <a:noFill/>
            </a:ln>
          </c:spPr>
        </c:title>
        <c:numFmt formatCode="#,##0" sourceLinked="0"/>
        <c:majorTickMark val="out"/>
        <c:minorTickMark val="none"/>
        <c:tickLblPos val="nextTo"/>
        <c:spPr>
          <a:ln w="3175">
            <a:no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117966680"/>
        <c:crosses val="autoZero"/>
        <c:crossBetween val="midCat"/>
        <c:majorUnit val="15"/>
        <c:minorUnit val="0.05"/>
      </c:valAx>
      <c:spPr>
        <a:solidFill>
          <a:srgbClr val="FFFFFF"/>
        </a:solidFill>
        <a:ln w="3175">
          <a:noFill/>
          <a:prstDash val="solid"/>
        </a:ln>
      </c:spPr>
    </c:plotArea>
    <c:plotVisOnly val="1"/>
    <c:dispBlanksAs val="span"/>
    <c:showDLblsOverMax val="0"/>
  </c:chart>
  <c:spPr>
    <a:solidFill>
      <a:schemeClr val="bg1"/>
    </a:solidFill>
    <a:ln w="9525">
      <a:noFill/>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0866" r="0.75000000000000866" t="1" header="0.5" footer="0.5"/>
    <c:pageSetup orientation="landscape" verticalDpi="96"/>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807882282431235E-2"/>
          <c:y val="3.6498794793507955E-2"/>
          <c:w val="0.83684179635025935"/>
          <c:h val="0.90203526840513759"/>
        </c:manualLayout>
      </c:layout>
      <c:areaChart>
        <c:grouping val="stacked"/>
        <c:varyColors val="0"/>
        <c:ser>
          <c:idx val="3"/>
          <c:order val="0"/>
          <c:tx>
            <c:v>Individual</c:v>
          </c:tx>
          <c:spPr>
            <a:solidFill>
              <a:schemeClr val="bg1">
                <a:lumMod val="65000"/>
              </a:schemeClr>
            </a:solidFill>
            <a:ln w="25400">
              <a:noFill/>
            </a:ln>
          </c:spPr>
          <c:cat>
            <c:numRef>
              <c:f>TxRt!$A$136:$A$172</c:f>
              <c:numCache>
                <c:formatCode>General</c:formatCode>
                <c:ptCount val="37"/>
                <c:pt idx="0">
                  <c:v>1979</c:v>
                </c:pt>
                <c:pt idx="1">
                  <c:v>1980</c:v>
                </c:pt>
                <c:pt idx="2">
                  <c:v>1981</c:v>
                </c:pt>
                <c:pt idx="3">
                  <c:v>1982</c:v>
                </c:pt>
                <c:pt idx="4">
                  <c:v>1983</c:v>
                </c:pt>
                <c:pt idx="5">
                  <c:v>1984</c:v>
                </c:pt>
                <c:pt idx="6">
                  <c:v>1985</c:v>
                </c:pt>
                <c:pt idx="7">
                  <c:v>1986</c:v>
                </c:pt>
                <c:pt idx="8">
                  <c:v>1987</c:v>
                </c:pt>
                <c:pt idx="9">
                  <c:v>1988</c:v>
                </c:pt>
                <c:pt idx="10">
                  <c:v>1989</c:v>
                </c:pt>
                <c:pt idx="11">
                  <c:v>1990</c:v>
                </c:pt>
                <c:pt idx="12">
                  <c:v>1991</c:v>
                </c:pt>
                <c:pt idx="13">
                  <c:v>1992</c:v>
                </c:pt>
                <c:pt idx="14">
                  <c:v>1993</c:v>
                </c:pt>
                <c:pt idx="15">
                  <c:v>1994</c:v>
                </c:pt>
                <c:pt idx="16">
                  <c:v>1995</c:v>
                </c:pt>
                <c:pt idx="17">
                  <c:v>1996</c:v>
                </c:pt>
                <c:pt idx="18">
                  <c:v>1997</c:v>
                </c:pt>
                <c:pt idx="19">
                  <c:v>1998</c:v>
                </c:pt>
                <c:pt idx="20">
                  <c:v>1999</c:v>
                </c:pt>
                <c:pt idx="21">
                  <c:v>2000</c:v>
                </c:pt>
                <c:pt idx="22">
                  <c:v>2001</c:v>
                </c:pt>
                <c:pt idx="23">
                  <c:v>2002</c:v>
                </c:pt>
                <c:pt idx="24">
                  <c:v>2003</c:v>
                </c:pt>
                <c:pt idx="25">
                  <c:v>2004</c:v>
                </c:pt>
                <c:pt idx="26">
                  <c:v>2005</c:v>
                </c:pt>
                <c:pt idx="27">
                  <c:v>2006</c:v>
                </c:pt>
                <c:pt idx="28">
                  <c:v>2007</c:v>
                </c:pt>
                <c:pt idx="29">
                  <c:v>2008</c:v>
                </c:pt>
                <c:pt idx="30">
                  <c:v>2009</c:v>
                </c:pt>
                <c:pt idx="31">
                  <c:v>2010</c:v>
                </c:pt>
                <c:pt idx="32">
                  <c:v>2011</c:v>
                </c:pt>
                <c:pt idx="33">
                  <c:v>2012</c:v>
                </c:pt>
                <c:pt idx="34">
                  <c:v>2013</c:v>
                </c:pt>
                <c:pt idx="35">
                  <c:v>2014</c:v>
                </c:pt>
                <c:pt idx="36">
                  <c:v>2015</c:v>
                </c:pt>
              </c:numCache>
            </c:numRef>
          </c:cat>
          <c:val>
            <c:numRef>
              <c:f>TxRt!$C$216:$C$253</c:f>
              <c:numCache>
                <c:formatCode>#0.0</c:formatCode>
                <c:ptCount val="38"/>
                <c:pt idx="0">
                  <c:v>15.9</c:v>
                </c:pt>
                <c:pt idx="1">
                  <c:v>16.600000000000001</c:v>
                </c:pt>
                <c:pt idx="2">
                  <c:v>16.7</c:v>
                </c:pt>
                <c:pt idx="3">
                  <c:v>15.3</c:v>
                </c:pt>
                <c:pt idx="4">
                  <c:v>14.1</c:v>
                </c:pt>
                <c:pt idx="5">
                  <c:v>13.9</c:v>
                </c:pt>
                <c:pt idx="6">
                  <c:v>14</c:v>
                </c:pt>
                <c:pt idx="7">
                  <c:v>14.2</c:v>
                </c:pt>
                <c:pt idx="8">
                  <c:v>14.9</c:v>
                </c:pt>
                <c:pt idx="9">
                  <c:v>14.9</c:v>
                </c:pt>
                <c:pt idx="10">
                  <c:v>14.7</c:v>
                </c:pt>
                <c:pt idx="11">
                  <c:v>14.5</c:v>
                </c:pt>
                <c:pt idx="12">
                  <c:v>14.4</c:v>
                </c:pt>
                <c:pt idx="13">
                  <c:v>14.6</c:v>
                </c:pt>
                <c:pt idx="14">
                  <c:v>14.9</c:v>
                </c:pt>
                <c:pt idx="15">
                  <c:v>15.1</c:v>
                </c:pt>
                <c:pt idx="16">
                  <c:v>15.6</c:v>
                </c:pt>
                <c:pt idx="17">
                  <c:v>16.100000000000001</c:v>
                </c:pt>
                <c:pt idx="18">
                  <c:v>16.399999999999999</c:v>
                </c:pt>
                <c:pt idx="19">
                  <c:v>16.600000000000001</c:v>
                </c:pt>
                <c:pt idx="20">
                  <c:v>17.2</c:v>
                </c:pt>
                <c:pt idx="21">
                  <c:v>17.600000000000001</c:v>
                </c:pt>
                <c:pt idx="22">
                  <c:v>16.5</c:v>
                </c:pt>
                <c:pt idx="23">
                  <c:v>15.6</c:v>
                </c:pt>
                <c:pt idx="24">
                  <c:v>13.8</c:v>
                </c:pt>
                <c:pt idx="25">
                  <c:v>14</c:v>
                </c:pt>
                <c:pt idx="26">
                  <c:v>14.2</c:v>
                </c:pt>
                <c:pt idx="27">
                  <c:v>14.3</c:v>
                </c:pt>
                <c:pt idx="28">
                  <c:v>14.5</c:v>
                </c:pt>
                <c:pt idx="29">
                  <c:v>14.1</c:v>
                </c:pt>
                <c:pt idx="30">
                  <c:v>13.4</c:v>
                </c:pt>
                <c:pt idx="31">
                  <c:v>13.8</c:v>
                </c:pt>
                <c:pt idx="32">
                  <c:v>14.2</c:v>
                </c:pt>
                <c:pt idx="33">
                  <c:v>14.7</c:v>
                </c:pt>
                <c:pt idx="34">
                  <c:v>15.5</c:v>
                </c:pt>
                <c:pt idx="35">
                  <c:v>16</c:v>
                </c:pt>
                <c:pt idx="36">
                  <c:v>16.2</c:v>
                </c:pt>
                <c:pt idx="37">
                  <c:v>16</c:v>
                </c:pt>
              </c:numCache>
            </c:numRef>
          </c:val>
          <c:extLst>
            <c:ext xmlns:c16="http://schemas.microsoft.com/office/drawing/2014/chart" uri="{C3380CC4-5D6E-409C-BE32-E72D297353CC}">
              <c16:uniqueId val="{00000000-2CC9-477E-9C9B-9650C19CE11E}"/>
            </c:ext>
          </c:extLst>
        </c:ser>
        <c:ser>
          <c:idx val="1"/>
          <c:order val="1"/>
          <c:tx>
            <c:v>Excise</c:v>
          </c:tx>
          <c:spPr>
            <a:solidFill>
              <a:schemeClr val="bg1">
                <a:lumMod val="85000"/>
              </a:schemeClr>
            </a:solidFill>
            <a:ln w="25400">
              <a:noFill/>
            </a:ln>
          </c:spPr>
          <c:cat>
            <c:numRef>
              <c:f>TxRt!$A$136:$A$172</c:f>
              <c:numCache>
                <c:formatCode>General</c:formatCode>
                <c:ptCount val="37"/>
                <c:pt idx="0">
                  <c:v>1979</c:v>
                </c:pt>
                <c:pt idx="1">
                  <c:v>1980</c:v>
                </c:pt>
                <c:pt idx="2">
                  <c:v>1981</c:v>
                </c:pt>
                <c:pt idx="3">
                  <c:v>1982</c:v>
                </c:pt>
                <c:pt idx="4">
                  <c:v>1983</c:v>
                </c:pt>
                <c:pt idx="5">
                  <c:v>1984</c:v>
                </c:pt>
                <c:pt idx="6">
                  <c:v>1985</c:v>
                </c:pt>
                <c:pt idx="7">
                  <c:v>1986</c:v>
                </c:pt>
                <c:pt idx="8">
                  <c:v>1987</c:v>
                </c:pt>
                <c:pt idx="9">
                  <c:v>1988</c:v>
                </c:pt>
                <c:pt idx="10">
                  <c:v>1989</c:v>
                </c:pt>
                <c:pt idx="11">
                  <c:v>1990</c:v>
                </c:pt>
                <c:pt idx="12">
                  <c:v>1991</c:v>
                </c:pt>
                <c:pt idx="13">
                  <c:v>1992</c:v>
                </c:pt>
                <c:pt idx="14">
                  <c:v>1993</c:v>
                </c:pt>
                <c:pt idx="15">
                  <c:v>1994</c:v>
                </c:pt>
                <c:pt idx="16">
                  <c:v>1995</c:v>
                </c:pt>
                <c:pt idx="17">
                  <c:v>1996</c:v>
                </c:pt>
                <c:pt idx="18">
                  <c:v>1997</c:v>
                </c:pt>
                <c:pt idx="19">
                  <c:v>1998</c:v>
                </c:pt>
                <c:pt idx="20">
                  <c:v>1999</c:v>
                </c:pt>
                <c:pt idx="21">
                  <c:v>2000</c:v>
                </c:pt>
                <c:pt idx="22">
                  <c:v>2001</c:v>
                </c:pt>
                <c:pt idx="23">
                  <c:v>2002</c:v>
                </c:pt>
                <c:pt idx="24">
                  <c:v>2003</c:v>
                </c:pt>
                <c:pt idx="25">
                  <c:v>2004</c:v>
                </c:pt>
                <c:pt idx="26">
                  <c:v>2005</c:v>
                </c:pt>
                <c:pt idx="27">
                  <c:v>2006</c:v>
                </c:pt>
                <c:pt idx="28">
                  <c:v>2007</c:v>
                </c:pt>
                <c:pt idx="29">
                  <c:v>2008</c:v>
                </c:pt>
                <c:pt idx="30">
                  <c:v>2009</c:v>
                </c:pt>
                <c:pt idx="31">
                  <c:v>2010</c:v>
                </c:pt>
                <c:pt idx="32">
                  <c:v>2011</c:v>
                </c:pt>
                <c:pt idx="33">
                  <c:v>2012</c:v>
                </c:pt>
                <c:pt idx="34">
                  <c:v>2013</c:v>
                </c:pt>
                <c:pt idx="35">
                  <c:v>2014</c:v>
                </c:pt>
                <c:pt idx="36">
                  <c:v>2015</c:v>
                </c:pt>
              </c:numCache>
            </c:numRef>
          </c:cat>
          <c:val>
            <c:numRef>
              <c:f>TxRt!$F$216:$F$253</c:f>
              <c:numCache>
                <c:formatCode>#0.0</c:formatCode>
                <c:ptCount val="38"/>
                <c:pt idx="0">
                  <c:v>0.7</c:v>
                </c:pt>
                <c:pt idx="1">
                  <c:v>0.6</c:v>
                </c:pt>
                <c:pt idx="2">
                  <c:v>0.6</c:v>
                </c:pt>
                <c:pt idx="3">
                  <c:v>0.6</c:v>
                </c:pt>
                <c:pt idx="4">
                  <c:v>0.7</c:v>
                </c:pt>
                <c:pt idx="5">
                  <c:v>0.7</c:v>
                </c:pt>
                <c:pt idx="6">
                  <c:v>0.7</c:v>
                </c:pt>
                <c:pt idx="7">
                  <c:v>0.6</c:v>
                </c:pt>
                <c:pt idx="8">
                  <c:v>0.7</c:v>
                </c:pt>
                <c:pt idx="9">
                  <c:v>0.6</c:v>
                </c:pt>
                <c:pt idx="10">
                  <c:v>0.6</c:v>
                </c:pt>
                <c:pt idx="11">
                  <c:v>0.6</c:v>
                </c:pt>
                <c:pt idx="12">
                  <c:v>0.7</c:v>
                </c:pt>
                <c:pt idx="13">
                  <c:v>0.7</c:v>
                </c:pt>
                <c:pt idx="14">
                  <c:v>0.7</c:v>
                </c:pt>
                <c:pt idx="15">
                  <c:v>0.7</c:v>
                </c:pt>
                <c:pt idx="16">
                  <c:v>0.7</c:v>
                </c:pt>
                <c:pt idx="17">
                  <c:v>0.6</c:v>
                </c:pt>
                <c:pt idx="18">
                  <c:v>0.6</c:v>
                </c:pt>
                <c:pt idx="19">
                  <c:v>0.6</c:v>
                </c:pt>
                <c:pt idx="20">
                  <c:v>0.6</c:v>
                </c:pt>
                <c:pt idx="21">
                  <c:v>0.5</c:v>
                </c:pt>
                <c:pt idx="22">
                  <c:v>0.5</c:v>
                </c:pt>
                <c:pt idx="23">
                  <c:v>0.5</c:v>
                </c:pt>
                <c:pt idx="24">
                  <c:v>0.5</c:v>
                </c:pt>
                <c:pt idx="25">
                  <c:v>0.5</c:v>
                </c:pt>
                <c:pt idx="26">
                  <c:v>0.5</c:v>
                </c:pt>
                <c:pt idx="27">
                  <c:v>0.4</c:v>
                </c:pt>
                <c:pt idx="28">
                  <c:v>0.4</c:v>
                </c:pt>
                <c:pt idx="29">
                  <c:v>0.4</c:v>
                </c:pt>
                <c:pt idx="30">
                  <c:v>0.4</c:v>
                </c:pt>
                <c:pt idx="31">
                  <c:v>0.4</c:v>
                </c:pt>
                <c:pt idx="32">
                  <c:v>0.4</c:v>
                </c:pt>
                <c:pt idx="33">
                  <c:v>0.4</c:v>
                </c:pt>
                <c:pt idx="34">
                  <c:v>0.4</c:v>
                </c:pt>
                <c:pt idx="35">
                  <c:v>0.5</c:v>
                </c:pt>
                <c:pt idx="36">
                  <c:v>0.4</c:v>
                </c:pt>
                <c:pt idx="37">
                  <c:v>0.4</c:v>
                </c:pt>
              </c:numCache>
            </c:numRef>
          </c:val>
          <c:extLst>
            <c:ext xmlns:c16="http://schemas.microsoft.com/office/drawing/2014/chart" uri="{C3380CC4-5D6E-409C-BE32-E72D297353CC}">
              <c16:uniqueId val="{00000001-2CC9-477E-9C9B-9650C19CE11E}"/>
            </c:ext>
          </c:extLst>
        </c:ser>
        <c:ser>
          <c:idx val="2"/>
          <c:order val="2"/>
          <c:tx>
            <c:v>Corporate</c:v>
          </c:tx>
          <c:spPr>
            <a:solidFill>
              <a:schemeClr val="bg1">
                <a:lumMod val="65000"/>
                <a:alpha val="76000"/>
              </a:schemeClr>
            </a:solidFill>
            <a:ln w="25400">
              <a:noFill/>
            </a:ln>
          </c:spPr>
          <c:cat>
            <c:numRef>
              <c:f>TxRt!$A$136:$A$172</c:f>
              <c:numCache>
                <c:formatCode>General</c:formatCode>
                <c:ptCount val="37"/>
                <c:pt idx="0">
                  <c:v>1979</c:v>
                </c:pt>
                <c:pt idx="1">
                  <c:v>1980</c:v>
                </c:pt>
                <c:pt idx="2">
                  <c:v>1981</c:v>
                </c:pt>
                <c:pt idx="3">
                  <c:v>1982</c:v>
                </c:pt>
                <c:pt idx="4">
                  <c:v>1983</c:v>
                </c:pt>
                <c:pt idx="5">
                  <c:v>1984</c:v>
                </c:pt>
                <c:pt idx="6">
                  <c:v>1985</c:v>
                </c:pt>
                <c:pt idx="7">
                  <c:v>1986</c:v>
                </c:pt>
                <c:pt idx="8">
                  <c:v>1987</c:v>
                </c:pt>
                <c:pt idx="9">
                  <c:v>1988</c:v>
                </c:pt>
                <c:pt idx="10">
                  <c:v>1989</c:v>
                </c:pt>
                <c:pt idx="11">
                  <c:v>1990</c:v>
                </c:pt>
                <c:pt idx="12">
                  <c:v>1991</c:v>
                </c:pt>
                <c:pt idx="13">
                  <c:v>1992</c:v>
                </c:pt>
                <c:pt idx="14">
                  <c:v>1993</c:v>
                </c:pt>
                <c:pt idx="15">
                  <c:v>1994</c:v>
                </c:pt>
                <c:pt idx="16">
                  <c:v>1995</c:v>
                </c:pt>
                <c:pt idx="17">
                  <c:v>1996</c:v>
                </c:pt>
                <c:pt idx="18">
                  <c:v>1997</c:v>
                </c:pt>
                <c:pt idx="19">
                  <c:v>1998</c:v>
                </c:pt>
                <c:pt idx="20">
                  <c:v>1999</c:v>
                </c:pt>
                <c:pt idx="21">
                  <c:v>2000</c:v>
                </c:pt>
                <c:pt idx="22">
                  <c:v>2001</c:v>
                </c:pt>
                <c:pt idx="23">
                  <c:v>2002</c:v>
                </c:pt>
                <c:pt idx="24">
                  <c:v>2003</c:v>
                </c:pt>
                <c:pt idx="25">
                  <c:v>2004</c:v>
                </c:pt>
                <c:pt idx="26">
                  <c:v>2005</c:v>
                </c:pt>
                <c:pt idx="27">
                  <c:v>2006</c:v>
                </c:pt>
                <c:pt idx="28">
                  <c:v>2007</c:v>
                </c:pt>
                <c:pt idx="29">
                  <c:v>2008</c:v>
                </c:pt>
                <c:pt idx="30">
                  <c:v>2009</c:v>
                </c:pt>
                <c:pt idx="31">
                  <c:v>2010</c:v>
                </c:pt>
                <c:pt idx="32">
                  <c:v>2011</c:v>
                </c:pt>
                <c:pt idx="33">
                  <c:v>2012</c:v>
                </c:pt>
                <c:pt idx="34">
                  <c:v>2013</c:v>
                </c:pt>
                <c:pt idx="35">
                  <c:v>2014</c:v>
                </c:pt>
                <c:pt idx="36">
                  <c:v>2015</c:v>
                </c:pt>
              </c:numCache>
            </c:numRef>
          </c:cat>
          <c:val>
            <c:numRef>
              <c:f>TxRt!$E$216:$E$253</c:f>
              <c:numCache>
                <c:formatCode>#0.0</c:formatCode>
                <c:ptCount val="38"/>
                <c:pt idx="0">
                  <c:v>5</c:v>
                </c:pt>
                <c:pt idx="1">
                  <c:v>4.0999999999999996</c:v>
                </c:pt>
                <c:pt idx="2">
                  <c:v>3.2</c:v>
                </c:pt>
                <c:pt idx="3">
                  <c:v>1.9</c:v>
                </c:pt>
                <c:pt idx="4">
                  <c:v>2.5</c:v>
                </c:pt>
                <c:pt idx="5">
                  <c:v>2.8</c:v>
                </c:pt>
                <c:pt idx="6">
                  <c:v>2.6</c:v>
                </c:pt>
                <c:pt idx="7">
                  <c:v>2.6</c:v>
                </c:pt>
                <c:pt idx="8">
                  <c:v>3.3</c:v>
                </c:pt>
                <c:pt idx="9">
                  <c:v>3.2</c:v>
                </c:pt>
                <c:pt idx="10">
                  <c:v>3.1</c:v>
                </c:pt>
                <c:pt idx="11">
                  <c:v>3</c:v>
                </c:pt>
                <c:pt idx="12">
                  <c:v>2.7</c:v>
                </c:pt>
                <c:pt idx="13">
                  <c:v>3</c:v>
                </c:pt>
                <c:pt idx="14">
                  <c:v>3.5</c:v>
                </c:pt>
                <c:pt idx="15">
                  <c:v>3.7</c:v>
                </c:pt>
                <c:pt idx="16">
                  <c:v>4</c:v>
                </c:pt>
                <c:pt idx="17">
                  <c:v>4</c:v>
                </c:pt>
                <c:pt idx="18">
                  <c:v>4</c:v>
                </c:pt>
                <c:pt idx="19">
                  <c:v>3.6</c:v>
                </c:pt>
                <c:pt idx="20">
                  <c:v>3.5</c:v>
                </c:pt>
                <c:pt idx="21">
                  <c:v>3.3</c:v>
                </c:pt>
                <c:pt idx="22">
                  <c:v>2.5</c:v>
                </c:pt>
                <c:pt idx="23">
                  <c:v>2.2999999999999998</c:v>
                </c:pt>
                <c:pt idx="24">
                  <c:v>3.1</c:v>
                </c:pt>
                <c:pt idx="25">
                  <c:v>3.8</c:v>
                </c:pt>
                <c:pt idx="26">
                  <c:v>4.7</c:v>
                </c:pt>
                <c:pt idx="27">
                  <c:v>4.9000000000000004</c:v>
                </c:pt>
                <c:pt idx="28">
                  <c:v>4.0999999999999996</c:v>
                </c:pt>
                <c:pt idx="29">
                  <c:v>2.7</c:v>
                </c:pt>
                <c:pt idx="30">
                  <c:v>2.2000000000000002</c:v>
                </c:pt>
                <c:pt idx="31">
                  <c:v>3</c:v>
                </c:pt>
                <c:pt idx="32">
                  <c:v>2.9</c:v>
                </c:pt>
                <c:pt idx="33">
                  <c:v>3.3</c:v>
                </c:pt>
                <c:pt idx="34">
                  <c:v>3.6</c:v>
                </c:pt>
                <c:pt idx="35">
                  <c:v>3.8</c:v>
                </c:pt>
                <c:pt idx="36">
                  <c:v>3.5</c:v>
                </c:pt>
                <c:pt idx="37">
                  <c:v>3.5</c:v>
                </c:pt>
              </c:numCache>
            </c:numRef>
          </c:val>
          <c:extLst>
            <c:ext xmlns:c16="http://schemas.microsoft.com/office/drawing/2014/chart" uri="{C3380CC4-5D6E-409C-BE32-E72D297353CC}">
              <c16:uniqueId val="{00000002-2CC9-477E-9C9B-9650C19CE11E}"/>
            </c:ext>
          </c:extLst>
        </c:ser>
        <c:ser>
          <c:idx val="0"/>
          <c:order val="3"/>
          <c:tx>
            <c:v>Payroll</c:v>
          </c:tx>
          <c:spPr>
            <a:solidFill>
              <a:schemeClr val="bg1">
                <a:lumMod val="95000"/>
              </a:schemeClr>
            </a:solidFill>
            <a:ln w="25400">
              <a:noFill/>
            </a:ln>
          </c:spPr>
          <c:cat>
            <c:numRef>
              <c:f>TxRt!$A$136:$A$172</c:f>
              <c:numCache>
                <c:formatCode>General</c:formatCode>
                <c:ptCount val="37"/>
                <c:pt idx="0">
                  <c:v>1979</c:v>
                </c:pt>
                <c:pt idx="1">
                  <c:v>1980</c:v>
                </c:pt>
                <c:pt idx="2">
                  <c:v>1981</c:v>
                </c:pt>
                <c:pt idx="3">
                  <c:v>1982</c:v>
                </c:pt>
                <c:pt idx="4">
                  <c:v>1983</c:v>
                </c:pt>
                <c:pt idx="5">
                  <c:v>1984</c:v>
                </c:pt>
                <c:pt idx="6">
                  <c:v>1985</c:v>
                </c:pt>
                <c:pt idx="7">
                  <c:v>1986</c:v>
                </c:pt>
                <c:pt idx="8">
                  <c:v>1987</c:v>
                </c:pt>
                <c:pt idx="9">
                  <c:v>1988</c:v>
                </c:pt>
                <c:pt idx="10">
                  <c:v>1989</c:v>
                </c:pt>
                <c:pt idx="11">
                  <c:v>1990</c:v>
                </c:pt>
                <c:pt idx="12">
                  <c:v>1991</c:v>
                </c:pt>
                <c:pt idx="13">
                  <c:v>1992</c:v>
                </c:pt>
                <c:pt idx="14">
                  <c:v>1993</c:v>
                </c:pt>
                <c:pt idx="15">
                  <c:v>1994</c:v>
                </c:pt>
                <c:pt idx="16">
                  <c:v>1995</c:v>
                </c:pt>
                <c:pt idx="17">
                  <c:v>1996</c:v>
                </c:pt>
                <c:pt idx="18">
                  <c:v>1997</c:v>
                </c:pt>
                <c:pt idx="19">
                  <c:v>1998</c:v>
                </c:pt>
                <c:pt idx="20">
                  <c:v>1999</c:v>
                </c:pt>
                <c:pt idx="21">
                  <c:v>2000</c:v>
                </c:pt>
                <c:pt idx="22">
                  <c:v>2001</c:v>
                </c:pt>
                <c:pt idx="23">
                  <c:v>2002</c:v>
                </c:pt>
                <c:pt idx="24">
                  <c:v>2003</c:v>
                </c:pt>
                <c:pt idx="25">
                  <c:v>2004</c:v>
                </c:pt>
                <c:pt idx="26">
                  <c:v>2005</c:v>
                </c:pt>
                <c:pt idx="27">
                  <c:v>2006</c:v>
                </c:pt>
                <c:pt idx="28">
                  <c:v>2007</c:v>
                </c:pt>
                <c:pt idx="29">
                  <c:v>2008</c:v>
                </c:pt>
                <c:pt idx="30">
                  <c:v>2009</c:v>
                </c:pt>
                <c:pt idx="31">
                  <c:v>2010</c:v>
                </c:pt>
                <c:pt idx="32">
                  <c:v>2011</c:v>
                </c:pt>
                <c:pt idx="33">
                  <c:v>2012</c:v>
                </c:pt>
                <c:pt idx="34">
                  <c:v>2013</c:v>
                </c:pt>
                <c:pt idx="35">
                  <c:v>2014</c:v>
                </c:pt>
                <c:pt idx="36">
                  <c:v>2015</c:v>
                </c:pt>
              </c:numCache>
            </c:numRef>
          </c:cat>
          <c:val>
            <c:numRef>
              <c:f>TxRt!$D$216:$D$253</c:f>
              <c:numCache>
                <c:formatCode>#0.0</c:formatCode>
                <c:ptCount val="38"/>
                <c:pt idx="0">
                  <c:v>5.5</c:v>
                </c:pt>
                <c:pt idx="1">
                  <c:v>5.6</c:v>
                </c:pt>
                <c:pt idx="2">
                  <c:v>6.1</c:v>
                </c:pt>
                <c:pt idx="3">
                  <c:v>6.3</c:v>
                </c:pt>
                <c:pt idx="4">
                  <c:v>6.3</c:v>
                </c:pt>
                <c:pt idx="5">
                  <c:v>6.4</c:v>
                </c:pt>
                <c:pt idx="6">
                  <c:v>6.5</c:v>
                </c:pt>
                <c:pt idx="7">
                  <c:v>6.1</c:v>
                </c:pt>
                <c:pt idx="8">
                  <c:v>6.7</c:v>
                </c:pt>
                <c:pt idx="9">
                  <c:v>6.6</c:v>
                </c:pt>
                <c:pt idx="10">
                  <c:v>6.6</c:v>
                </c:pt>
                <c:pt idx="11">
                  <c:v>6.9</c:v>
                </c:pt>
                <c:pt idx="12">
                  <c:v>7.4</c:v>
                </c:pt>
                <c:pt idx="13">
                  <c:v>7.2</c:v>
                </c:pt>
                <c:pt idx="14">
                  <c:v>7.3</c:v>
                </c:pt>
                <c:pt idx="15">
                  <c:v>7.5</c:v>
                </c:pt>
                <c:pt idx="16">
                  <c:v>7.3</c:v>
                </c:pt>
                <c:pt idx="17">
                  <c:v>6.9</c:v>
                </c:pt>
                <c:pt idx="18">
                  <c:v>6.7</c:v>
                </c:pt>
                <c:pt idx="19">
                  <c:v>6.6</c:v>
                </c:pt>
                <c:pt idx="20">
                  <c:v>6.5</c:v>
                </c:pt>
                <c:pt idx="21">
                  <c:v>6.3</c:v>
                </c:pt>
                <c:pt idx="22">
                  <c:v>7.2</c:v>
                </c:pt>
                <c:pt idx="23">
                  <c:v>7.4</c:v>
                </c:pt>
                <c:pt idx="24">
                  <c:v>7.3</c:v>
                </c:pt>
                <c:pt idx="25">
                  <c:v>6.7</c:v>
                </c:pt>
                <c:pt idx="26">
                  <c:v>6.2</c:v>
                </c:pt>
                <c:pt idx="27">
                  <c:v>6</c:v>
                </c:pt>
                <c:pt idx="28">
                  <c:v>5.8</c:v>
                </c:pt>
                <c:pt idx="29">
                  <c:v>6.6</c:v>
                </c:pt>
                <c:pt idx="30">
                  <c:v>7.2</c:v>
                </c:pt>
                <c:pt idx="31">
                  <c:v>6.8</c:v>
                </c:pt>
                <c:pt idx="32">
                  <c:v>5.9</c:v>
                </c:pt>
                <c:pt idx="33">
                  <c:v>5.6</c:v>
                </c:pt>
                <c:pt idx="34">
                  <c:v>6.7</c:v>
                </c:pt>
                <c:pt idx="35">
                  <c:v>6.4</c:v>
                </c:pt>
                <c:pt idx="36">
                  <c:v>6.5</c:v>
                </c:pt>
                <c:pt idx="37">
                  <c:v>6.6</c:v>
                </c:pt>
              </c:numCache>
            </c:numRef>
          </c:val>
          <c:extLst>
            <c:ext xmlns:c16="http://schemas.microsoft.com/office/drawing/2014/chart" uri="{C3380CC4-5D6E-409C-BE32-E72D297353CC}">
              <c16:uniqueId val="{00000003-2CC9-477E-9C9B-9650C19CE11E}"/>
            </c:ext>
          </c:extLst>
        </c:ser>
        <c:ser>
          <c:idx val="4"/>
          <c:order val="4"/>
          <c:tx>
            <c:v>zeros-total</c:v>
          </c:tx>
          <c:spPr>
            <a:noFill/>
            <a:ln w="25400">
              <a:solidFill>
                <a:srgbClr val="000000"/>
              </a:solidFill>
            </a:ln>
          </c:spPr>
          <c:val>
            <c:numRef>
              <c:f>TxRt!$I$10:$I$47</c:f>
              <c:numCache>
                <c:formatCode>#0.0</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4-2CC9-477E-9C9B-9650C19CE11E}"/>
            </c:ext>
          </c:extLst>
        </c:ser>
        <c:dLbls>
          <c:showLegendKey val="0"/>
          <c:showVal val="0"/>
          <c:showCatName val="0"/>
          <c:showSerName val="0"/>
          <c:showPercent val="0"/>
          <c:showBubbleSize val="0"/>
        </c:dLbls>
        <c:axId val="1117966680"/>
        <c:axId val="1117967072"/>
      </c:areaChart>
      <c:catAx>
        <c:axId val="1117966680"/>
        <c:scaling>
          <c:orientation val="minMax"/>
        </c:scaling>
        <c:delete val="0"/>
        <c:axPos val="b"/>
        <c:numFmt formatCode="General"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1117967072"/>
        <c:crossesAt val="-15"/>
        <c:auto val="1"/>
        <c:lblAlgn val="ctr"/>
        <c:lblOffset val="100"/>
        <c:tickLblSkip val="10"/>
        <c:tickMarkSkip val="10"/>
        <c:noMultiLvlLbl val="0"/>
      </c:catAx>
      <c:valAx>
        <c:axId val="1117967072"/>
        <c:scaling>
          <c:orientation val="minMax"/>
          <c:max val="35"/>
          <c:min val="-15"/>
        </c:scaling>
        <c:delete val="0"/>
        <c:axPos val="l"/>
        <c:majorGridlines>
          <c:spPr>
            <a:ln w="9525">
              <a:solidFill>
                <a:schemeClr val="bg1">
                  <a:lumMod val="75000"/>
                </a:schemeClr>
              </a:solidFill>
              <a:prstDash val="sysDot"/>
            </a:ln>
          </c:spPr>
        </c:majorGridlines>
        <c:title>
          <c:tx>
            <c:rich>
              <a:bodyPr/>
              <a:lstStyle/>
              <a:p>
                <a:pPr>
                  <a:defRPr sz="1200" b="0" i="0" u="none" strike="noStrike" baseline="0">
                    <a:solidFill>
                      <a:srgbClr val="000000"/>
                    </a:solidFill>
                    <a:latin typeface="Arial"/>
                    <a:ea typeface="Arial"/>
                    <a:cs typeface="Arial"/>
                  </a:defRPr>
                </a:pPr>
                <a:r>
                  <a:rPr lang="en-US" sz="1200" b="0"/>
                  <a:t>Top quintile</a:t>
                </a:r>
                <a:r>
                  <a:rPr lang="en-US" sz="1200" b="0" baseline="0"/>
                  <a:t>  average federal tax rates</a:t>
                </a:r>
                <a:endParaRPr lang="en-US" sz="1200" b="0"/>
              </a:p>
            </c:rich>
          </c:tx>
          <c:layout>
            <c:manualLayout>
              <c:xMode val="edge"/>
              <c:yMode val="edge"/>
              <c:x val="3.0204690867315711E-4"/>
              <c:y val="0.21134479618619098"/>
            </c:manualLayout>
          </c:layout>
          <c:overlay val="0"/>
          <c:spPr>
            <a:noFill/>
            <a:ln w="25400">
              <a:noFill/>
            </a:ln>
          </c:spPr>
        </c:title>
        <c:numFmt formatCode="#,##0" sourceLinked="0"/>
        <c:majorTickMark val="out"/>
        <c:minorTickMark val="none"/>
        <c:tickLblPos val="nextTo"/>
        <c:spPr>
          <a:ln w="3175">
            <a:no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117966680"/>
        <c:crosses val="autoZero"/>
        <c:crossBetween val="midCat"/>
        <c:majorUnit val="15"/>
        <c:minorUnit val="0.05"/>
      </c:valAx>
      <c:spPr>
        <a:solidFill>
          <a:srgbClr val="FFFFFF"/>
        </a:solidFill>
        <a:ln w="3175">
          <a:noFill/>
          <a:prstDash val="solid"/>
        </a:ln>
      </c:spPr>
    </c:plotArea>
    <c:plotVisOnly val="1"/>
    <c:dispBlanksAs val="span"/>
    <c:showDLblsOverMax val="0"/>
  </c:chart>
  <c:spPr>
    <a:solidFill>
      <a:schemeClr val="bg1"/>
    </a:solidFill>
    <a:ln w="9525">
      <a:noFill/>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0866" r="0.75000000000000866" t="1" header="0.5" footer="0.5"/>
    <c:pageSetup orientation="landscape" verticalDpi="96"/>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7245449135553"/>
          <c:y val="3.3777574141508858E-2"/>
          <c:w val="0.85724359397281158"/>
          <c:h val="0.8653851788906145"/>
        </c:manualLayout>
      </c:layout>
      <c:scatterChart>
        <c:scatterStyle val="smoothMarker"/>
        <c:varyColors val="0"/>
        <c:ser>
          <c:idx val="1"/>
          <c:order val="0"/>
          <c:tx>
            <c:v>Taxes vs Income 1979</c:v>
          </c:tx>
          <c:spPr>
            <a:ln>
              <a:noFill/>
              <a:prstDash val="sysDash"/>
            </a:ln>
          </c:spPr>
          <c:marker>
            <c:symbol val="circle"/>
            <c:size val="7"/>
            <c:spPr>
              <a:solidFill>
                <a:schemeClr val="bg1"/>
              </a:solidFill>
              <a:ln>
                <a:solidFill>
                  <a:schemeClr val="tx1">
                    <a:lumMod val="95000"/>
                    <a:lumOff val="5000"/>
                  </a:schemeClr>
                </a:solidFill>
              </a:ln>
            </c:spPr>
          </c:marker>
          <c:xVal>
            <c:numRef>
              <c:f>'B1-Elast'!$N$34:$U$34</c:f>
              <c:numCache>
                <c:formatCode>0.00</c:formatCode>
                <c:ptCount val="8"/>
                <c:pt idx="0">
                  <c:v>9.6485953029073386</c:v>
                </c:pt>
                <c:pt idx="1">
                  <c:v>10.521372248595526</c:v>
                </c:pt>
                <c:pt idx="2">
                  <c:v>10.949050620114422</c:v>
                </c:pt>
                <c:pt idx="3">
                  <c:v>11.255449234575513</c:v>
                </c:pt>
                <c:pt idx="4">
                  <c:v>11.517913006481267</c:v>
                </c:pt>
                <c:pt idx="5">
                  <c:v>11.729648448481516</c:v>
                </c:pt>
                <c:pt idx="6">
                  <c:v>12.099600401019657</c:v>
                </c:pt>
                <c:pt idx="7">
                  <c:v>13.241390083825969</c:v>
                </c:pt>
              </c:numCache>
            </c:numRef>
          </c:xVal>
          <c:yVal>
            <c:numRef>
              <c:f>'B1-Elast'!$E$34:$L$34</c:f>
              <c:numCache>
                <c:formatCode>0.00</c:formatCode>
                <c:ptCount val="8"/>
                <c:pt idx="0">
                  <c:v>7.2734395170784572</c:v>
                </c:pt>
                <c:pt idx="1">
                  <c:v>8.6242522637096446</c:v>
                </c:pt>
                <c:pt idx="2">
                  <c:v>9.2935687691789148</c:v>
                </c:pt>
                <c:pt idx="3">
                  <c:v>9.7275913091338353</c:v>
                </c:pt>
                <c:pt idx="4">
                  <c:v>10.07398953252474</c:v>
                </c:pt>
                <c:pt idx="5">
                  <c:v>10.351322257010802</c:v>
                </c:pt>
                <c:pt idx="6">
                  <c:v>10.793963942917221</c:v>
                </c:pt>
                <c:pt idx="7">
                  <c:v>12.194421028309698</c:v>
                </c:pt>
              </c:numCache>
            </c:numRef>
          </c:yVal>
          <c:smooth val="1"/>
          <c:extLst>
            <c:ext xmlns:c16="http://schemas.microsoft.com/office/drawing/2014/chart" uri="{C3380CC4-5D6E-409C-BE32-E72D297353CC}">
              <c16:uniqueId val="{00000001-A4EB-439E-8B98-23D172028D17}"/>
            </c:ext>
          </c:extLst>
        </c:ser>
        <c:ser>
          <c:idx val="0"/>
          <c:order val="1"/>
          <c:tx>
            <c:v>1979</c:v>
          </c:tx>
          <c:dPt>
            <c:idx val="1"/>
            <c:bubble3D val="0"/>
            <c:spPr>
              <a:ln>
                <a:solidFill>
                  <a:schemeClr val="tx1">
                    <a:lumMod val="65000"/>
                    <a:lumOff val="35000"/>
                  </a:schemeClr>
                </a:solidFill>
                <a:prstDash val="sysDash"/>
              </a:ln>
            </c:spPr>
            <c:extLst>
              <c:ext xmlns:c16="http://schemas.microsoft.com/office/drawing/2014/chart" uri="{C3380CC4-5D6E-409C-BE32-E72D297353CC}">
                <c16:uniqueId val="{00000006-A4EB-439E-8B98-23D172028D17}"/>
              </c:ext>
            </c:extLst>
          </c:dPt>
          <c:xVal>
            <c:numRef>
              <c:f>'B1-Elast'!$E$133:$F$133</c:f>
              <c:numCache>
                <c:formatCode>0.00</c:formatCode>
                <c:ptCount val="2"/>
                <c:pt idx="0">
                  <c:v>0</c:v>
                </c:pt>
                <c:pt idx="1">
                  <c:v>15</c:v>
                </c:pt>
              </c:numCache>
            </c:numRef>
          </c:xVal>
          <c:yVal>
            <c:numRef>
              <c:f>'B1-Elast'!$B$133:$C$133</c:f>
              <c:numCache>
                <c:formatCode>0.00</c:formatCode>
                <c:ptCount val="2"/>
                <c:pt idx="0">
                  <c:v>-6.8143004890865679</c:v>
                </c:pt>
                <c:pt idx="1">
                  <c:v>15.176525343721925</c:v>
                </c:pt>
              </c:numCache>
            </c:numRef>
          </c:yVal>
          <c:smooth val="1"/>
          <c:extLst>
            <c:ext xmlns:c16="http://schemas.microsoft.com/office/drawing/2014/chart" uri="{C3380CC4-5D6E-409C-BE32-E72D297353CC}">
              <c16:uniqueId val="{00000004-A4EB-439E-8B98-23D172028D17}"/>
            </c:ext>
          </c:extLst>
        </c:ser>
        <c:dLbls>
          <c:showLegendKey val="0"/>
          <c:showVal val="0"/>
          <c:showCatName val="0"/>
          <c:showSerName val="0"/>
          <c:showPercent val="0"/>
          <c:showBubbleSize val="0"/>
        </c:dLbls>
        <c:axId val="1117966680"/>
        <c:axId val="1117967072"/>
      </c:scatterChart>
      <c:valAx>
        <c:axId val="1117966680"/>
        <c:scaling>
          <c:orientation val="minMax"/>
          <c:max val="15"/>
          <c:min val="9"/>
        </c:scaling>
        <c:delete val="0"/>
        <c:axPos val="b"/>
        <c:title>
          <c:tx>
            <c:rich>
              <a:bodyPr/>
              <a:lstStyle/>
              <a:p>
                <a:pPr>
                  <a:defRPr/>
                </a:pPr>
                <a:r>
                  <a:rPr lang="en-US" sz="1200"/>
                  <a:t>Log income ($2016)</a:t>
                </a:r>
              </a:p>
            </c:rich>
          </c:tx>
          <c:layout>
            <c:manualLayout>
              <c:xMode val="edge"/>
              <c:yMode val="edge"/>
              <c:x val="0.42053223349630048"/>
              <c:y val="0.95262260131718335"/>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117967072"/>
        <c:crossesAt val="0"/>
        <c:crossBetween val="midCat"/>
        <c:majorUnit val="2"/>
      </c:valAx>
      <c:valAx>
        <c:axId val="1117967072"/>
        <c:scaling>
          <c:orientation val="minMax"/>
          <c:max val="13"/>
          <c:min val="7"/>
        </c:scaling>
        <c:delete val="0"/>
        <c:axPos val="l"/>
        <c:majorGridlines>
          <c:spPr>
            <a:ln w="6350">
              <a:solidFill>
                <a:schemeClr val="bg1">
                  <a:lumMod val="75000"/>
                </a:schemeClr>
              </a:solidFill>
              <a:prstDash val="sysDot"/>
            </a:ln>
          </c:spPr>
        </c:majorGridlines>
        <c:title>
          <c:tx>
            <c:rich>
              <a:bodyPr/>
              <a:lstStyle/>
              <a:p>
                <a:pPr>
                  <a:defRPr sz="1200" b="0" i="0" u="none" strike="noStrike" baseline="0">
                    <a:solidFill>
                      <a:srgbClr val="000000"/>
                    </a:solidFill>
                    <a:latin typeface="Arial"/>
                    <a:ea typeface="Arial"/>
                    <a:cs typeface="Arial"/>
                  </a:defRPr>
                </a:pPr>
                <a:r>
                  <a:rPr lang="en-US" sz="1200" b="0" baseline="0"/>
                  <a:t>Log federal taxes ($2016)</a:t>
                </a:r>
                <a:endParaRPr lang="en-US" sz="1400" b="0"/>
              </a:p>
            </c:rich>
          </c:tx>
          <c:layout>
            <c:manualLayout>
              <c:xMode val="edge"/>
              <c:yMode val="edge"/>
              <c:x val="6.221980673646172E-3"/>
              <c:y val="0.27215743155468303"/>
            </c:manualLayout>
          </c:layout>
          <c:overlay val="0"/>
          <c:spPr>
            <a:noFill/>
            <a:ln w="25400">
              <a:noFill/>
            </a:ln>
          </c:spPr>
        </c:title>
        <c:numFmt formatCode="#,##0" sourceLinked="0"/>
        <c:majorTickMark val="out"/>
        <c:minorTickMark val="none"/>
        <c:tickLblPos val="nextTo"/>
        <c:spPr>
          <a:ln w="3175">
            <a:no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117966680"/>
        <c:crosses val="autoZero"/>
        <c:crossBetween val="midCat"/>
        <c:majorUnit val="2"/>
        <c:minorUnit val="0.05"/>
      </c:valAx>
      <c:spPr>
        <a:solidFill>
          <a:srgbClr val="FFFFFF"/>
        </a:solidFill>
        <a:ln w="3175">
          <a:noFill/>
          <a:prstDash val="solid"/>
        </a:ln>
      </c:spPr>
    </c:plotArea>
    <c:plotVisOnly val="1"/>
    <c:dispBlanksAs val="span"/>
    <c:showDLblsOverMax val="0"/>
  </c:chart>
  <c:spPr>
    <a:solidFill>
      <a:schemeClr val="bg1"/>
    </a:solidFill>
    <a:ln w="9525">
      <a:noFill/>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0866" r="0.75000000000000866" t="1" header="0.5" footer="0.5"/>
    <c:pageSetup orientation="landscape" verticalDpi="96"/>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468167587235837"/>
          <c:y val="1.912437220292031E-2"/>
          <c:w val="0.85720152285785978"/>
          <c:h val="0.83983704919368452"/>
        </c:manualLayout>
      </c:layout>
      <c:scatterChart>
        <c:scatterStyle val="lineMarker"/>
        <c:varyColors val="0"/>
        <c:ser>
          <c:idx val="4"/>
          <c:order val="0"/>
          <c:tx>
            <c:v>OTA</c:v>
          </c:tx>
          <c:spPr>
            <a:ln w="22225">
              <a:solidFill>
                <a:schemeClr val="tx1">
                  <a:lumMod val="65000"/>
                  <a:lumOff val="35000"/>
                </a:schemeClr>
              </a:solidFill>
              <a:prstDash val="sysDash"/>
            </a:ln>
          </c:spPr>
          <c:marker>
            <c:symbol val="diamond"/>
            <c:size val="5"/>
            <c:spPr>
              <a:solidFill>
                <a:schemeClr val="bg1"/>
              </a:solidFill>
              <a:ln>
                <a:solidFill>
                  <a:schemeClr val="tx1">
                    <a:lumMod val="65000"/>
                    <a:lumOff val="35000"/>
                  </a:schemeClr>
                </a:solidFill>
              </a:ln>
            </c:spPr>
          </c:marker>
          <c:dPt>
            <c:idx val="9"/>
            <c:bubble3D val="0"/>
            <c:spPr>
              <a:ln w="19050">
                <a:solidFill>
                  <a:schemeClr val="tx1">
                    <a:lumMod val="65000"/>
                    <a:lumOff val="35000"/>
                  </a:schemeClr>
                </a:solidFill>
                <a:prstDash val="sysDash"/>
              </a:ln>
            </c:spPr>
            <c:extLst>
              <c:ext xmlns:c16="http://schemas.microsoft.com/office/drawing/2014/chart" uri="{C3380CC4-5D6E-409C-BE32-E72D297353CC}">
                <c16:uniqueId val="{00000001-182D-4D74-BFB6-4BAE7B903179}"/>
              </c:ext>
            </c:extLst>
          </c:dPt>
          <c:xVal>
            <c:numRef>
              <c:f>'1-Prog'!$F$47:$P$47</c:f>
              <c:numCache>
                <c:formatCode>General</c:formatCode>
                <c:ptCount val="11"/>
                <c:pt idx="0">
                  <c:v>10</c:v>
                </c:pt>
                <c:pt idx="1">
                  <c:v>30</c:v>
                </c:pt>
                <c:pt idx="2">
                  <c:v>50</c:v>
                </c:pt>
                <c:pt idx="3">
                  <c:v>70</c:v>
                </c:pt>
                <c:pt idx="4">
                  <c:v>85</c:v>
                </c:pt>
                <c:pt idx="5">
                  <c:v>92.5</c:v>
                </c:pt>
                <c:pt idx="6">
                  <c:v>97</c:v>
                </c:pt>
                <c:pt idx="7" formatCode="0.0">
                  <c:v>99.5</c:v>
                </c:pt>
                <c:pt idx="9" formatCode="0.00">
                  <c:v>99.95</c:v>
                </c:pt>
              </c:numCache>
            </c:numRef>
          </c:xVal>
          <c:yVal>
            <c:numRef>
              <c:f>'1-Prog'!$F$37:$P$37</c:f>
              <c:numCache>
                <c:formatCode>0.0</c:formatCode>
                <c:ptCount val="11"/>
                <c:pt idx="0">
                  <c:v>-5</c:v>
                </c:pt>
                <c:pt idx="1">
                  <c:v>3.788748564867968</c:v>
                </c:pt>
                <c:pt idx="2">
                  <c:v>11.383337346496509</c:v>
                </c:pt>
                <c:pt idx="3">
                  <c:v>16.551450997335635</c:v>
                </c:pt>
                <c:pt idx="4">
                  <c:v>20.841609312208416</c:v>
                </c:pt>
                <c:pt idx="5">
                  <c:v>23.225388601036272</c:v>
                </c:pt>
                <c:pt idx="6">
                  <c:v>25.325086446208537</c:v>
                </c:pt>
                <c:pt idx="7">
                  <c:v>32.633771227170776</c:v>
                </c:pt>
                <c:pt idx="9">
                  <c:v>38.992521982085599</c:v>
                </c:pt>
              </c:numCache>
            </c:numRef>
          </c:yVal>
          <c:smooth val="0"/>
          <c:extLst>
            <c:ext xmlns:c16="http://schemas.microsoft.com/office/drawing/2014/chart" uri="{C3380CC4-5D6E-409C-BE32-E72D297353CC}">
              <c16:uniqueId val="{00000002-182D-4D74-BFB6-4BAE7B903179}"/>
            </c:ext>
          </c:extLst>
        </c:ser>
        <c:ser>
          <c:idx val="2"/>
          <c:order val="1"/>
          <c:tx>
            <c:v>TPC</c:v>
          </c:tx>
          <c:spPr>
            <a:ln>
              <a:solidFill>
                <a:schemeClr val="bg1">
                  <a:lumMod val="65000"/>
                </a:schemeClr>
              </a:solidFill>
              <a:prstDash val="sysDot"/>
            </a:ln>
          </c:spPr>
          <c:marker>
            <c:symbol val="square"/>
            <c:size val="5"/>
            <c:spPr>
              <a:solidFill>
                <a:schemeClr val="bg1">
                  <a:lumMod val="65000"/>
                </a:schemeClr>
              </a:solidFill>
              <a:ln>
                <a:noFill/>
              </a:ln>
            </c:spPr>
          </c:marker>
          <c:xVal>
            <c:numRef>
              <c:f>'1-Prog'!$F$46:$P$46</c:f>
              <c:numCache>
                <c:formatCode>General</c:formatCode>
                <c:ptCount val="11"/>
                <c:pt idx="0">
                  <c:v>10</c:v>
                </c:pt>
                <c:pt idx="1">
                  <c:v>30</c:v>
                </c:pt>
                <c:pt idx="2">
                  <c:v>50</c:v>
                </c:pt>
                <c:pt idx="3">
                  <c:v>70</c:v>
                </c:pt>
                <c:pt idx="4">
                  <c:v>85</c:v>
                </c:pt>
                <c:pt idx="5">
                  <c:v>92.5</c:v>
                </c:pt>
                <c:pt idx="6">
                  <c:v>97</c:v>
                </c:pt>
                <c:pt idx="7" formatCode="0.0">
                  <c:v>99.5</c:v>
                </c:pt>
                <c:pt idx="9" formatCode="0.00">
                  <c:v>99.95</c:v>
                </c:pt>
              </c:numCache>
            </c:numRef>
          </c:xVal>
          <c:yVal>
            <c:numRef>
              <c:f>'1-Prog'!$F$36:$P$36</c:f>
              <c:numCache>
                <c:formatCode>0.0</c:formatCode>
                <c:ptCount val="11"/>
                <c:pt idx="0">
                  <c:v>-0.6</c:v>
                </c:pt>
                <c:pt idx="1">
                  <c:v>6</c:v>
                </c:pt>
                <c:pt idx="2">
                  <c:v>12</c:v>
                </c:pt>
                <c:pt idx="3">
                  <c:v>16.2</c:v>
                </c:pt>
                <c:pt idx="4">
                  <c:v>18.7</c:v>
                </c:pt>
                <c:pt idx="5">
                  <c:v>20.9</c:v>
                </c:pt>
                <c:pt idx="6">
                  <c:v>23.5</c:v>
                </c:pt>
                <c:pt idx="7">
                  <c:v>33.200000000000003</c:v>
                </c:pt>
                <c:pt idx="9">
                  <c:v>35.700000000000003</c:v>
                </c:pt>
              </c:numCache>
            </c:numRef>
          </c:yVal>
          <c:smooth val="1"/>
          <c:extLst>
            <c:ext xmlns:c16="http://schemas.microsoft.com/office/drawing/2014/chart" uri="{C3380CC4-5D6E-409C-BE32-E72D297353CC}">
              <c16:uniqueId val="{00000003-182D-4D74-BFB6-4BAE7B903179}"/>
            </c:ext>
          </c:extLst>
        </c:ser>
        <c:ser>
          <c:idx val="1"/>
          <c:order val="2"/>
          <c:tx>
            <c:v>PS</c:v>
          </c:tx>
          <c:spPr>
            <a:ln w="22225">
              <a:solidFill>
                <a:schemeClr val="tx1">
                  <a:lumMod val="85000"/>
                  <a:lumOff val="15000"/>
                </a:schemeClr>
              </a:solidFill>
            </a:ln>
          </c:spPr>
          <c:marker>
            <c:symbol val="diamond"/>
            <c:size val="5"/>
            <c:spPr>
              <a:solidFill>
                <a:schemeClr val="tx1">
                  <a:lumMod val="85000"/>
                  <a:lumOff val="15000"/>
                </a:schemeClr>
              </a:solidFill>
              <a:ln>
                <a:noFill/>
              </a:ln>
            </c:spPr>
          </c:marker>
          <c:xVal>
            <c:numRef>
              <c:f>'1-Prog'!$F$44:$P$44</c:f>
              <c:numCache>
                <c:formatCode>General</c:formatCode>
                <c:ptCount val="11"/>
                <c:pt idx="0">
                  <c:v>10</c:v>
                </c:pt>
                <c:pt idx="1">
                  <c:v>30</c:v>
                </c:pt>
                <c:pt idx="2">
                  <c:v>50</c:v>
                </c:pt>
                <c:pt idx="3">
                  <c:v>70</c:v>
                </c:pt>
                <c:pt idx="4">
                  <c:v>85</c:v>
                </c:pt>
                <c:pt idx="5">
                  <c:v>92.5</c:v>
                </c:pt>
                <c:pt idx="6">
                  <c:v>97</c:v>
                </c:pt>
                <c:pt idx="7">
                  <c:v>99.25</c:v>
                </c:pt>
                <c:pt idx="8">
                  <c:v>99.7</c:v>
                </c:pt>
                <c:pt idx="9">
                  <c:v>99.944999999999993</c:v>
                </c:pt>
                <c:pt idx="10">
                  <c:v>99.995000000000005</c:v>
                </c:pt>
              </c:numCache>
            </c:numRef>
          </c:xVal>
          <c:yVal>
            <c:numRef>
              <c:f>'1-Prog'!$F$34:$P$34</c:f>
              <c:numCache>
                <c:formatCode>0.0</c:formatCode>
                <c:ptCount val="11"/>
                <c:pt idx="1">
                  <c:v>9.4</c:v>
                </c:pt>
                <c:pt idx="2">
                  <c:v>16.100000000000001</c:v>
                </c:pt>
                <c:pt idx="3">
                  <c:v>20.5</c:v>
                </c:pt>
                <c:pt idx="4">
                  <c:v>22.7</c:v>
                </c:pt>
                <c:pt idx="5">
                  <c:v>24.9</c:v>
                </c:pt>
                <c:pt idx="6">
                  <c:v>27.2</c:v>
                </c:pt>
                <c:pt idx="7">
                  <c:v>31.3</c:v>
                </c:pt>
                <c:pt idx="8">
                  <c:v>33</c:v>
                </c:pt>
                <c:pt idx="9">
                  <c:v>34.1</c:v>
                </c:pt>
                <c:pt idx="10">
                  <c:v>34.700000000000003</c:v>
                </c:pt>
              </c:numCache>
            </c:numRef>
          </c:yVal>
          <c:smooth val="0"/>
          <c:extLst>
            <c:ext xmlns:c16="http://schemas.microsoft.com/office/drawing/2014/chart" uri="{C3380CC4-5D6E-409C-BE32-E72D297353CC}">
              <c16:uniqueId val="{00000004-182D-4D74-BFB6-4BAE7B903179}"/>
            </c:ext>
          </c:extLst>
        </c:ser>
        <c:ser>
          <c:idx val="5"/>
          <c:order val="3"/>
          <c:tx>
            <c:v>JCT</c:v>
          </c:tx>
          <c:spPr>
            <a:ln>
              <a:solidFill>
                <a:schemeClr val="tx1">
                  <a:lumMod val="75000"/>
                  <a:lumOff val="25000"/>
                </a:schemeClr>
              </a:solidFill>
              <a:prstDash val="sysDash"/>
            </a:ln>
          </c:spPr>
          <c:marker>
            <c:symbol val="square"/>
            <c:size val="4"/>
            <c:spPr>
              <a:solidFill>
                <a:schemeClr val="tx1">
                  <a:lumMod val="75000"/>
                  <a:lumOff val="25000"/>
                </a:schemeClr>
              </a:solidFill>
              <a:ln>
                <a:noFill/>
              </a:ln>
            </c:spPr>
          </c:marker>
          <c:dPt>
            <c:idx val="4"/>
            <c:bubble3D val="0"/>
            <c:spPr>
              <a:ln>
                <a:solidFill>
                  <a:schemeClr val="tx1">
                    <a:lumMod val="85000"/>
                    <a:lumOff val="15000"/>
                  </a:schemeClr>
                </a:solidFill>
                <a:prstDash val="sysDash"/>
              </a:ln>
            </c:spPr>
            <c:extLst>
              <c:ext xmlns:c16="http://schemas.microsoft.com/office/drawing/2014/chart" uri="{C3380CC4-5D6E-409C-BE32-E72D297353CC}">
                <c16:uniqueId val="{00000006-182D-4D74-BFB6-4BAE7B903179}"/>
              </c:ext>
            </c:extLst>
          </c:dPt>
          <c:xVal>
            <c:numRef>
              <c:f>'1-Prog'!$F$48:$P$48</c:f>
              <c:numCache>
                <c:formatCode>General</c:formatCode>
                <c:ptCount val="11"/>
                <c:pt idx="0">
                  <c:v>10</c:v>
                </c:pt>
                <c:pt idx="1">
                  <c:v>30</c:v>
                </c:pt>
                <c:pt idx="2">
                  <c:v>50</c:v>
                </c:pt>
                <c:pt idx="3">
                  <c:v>70</c:v>
                </c:pt>
                <c:pt idx="4">
                  <c:v>85</c:v>
                </c:pt>
                <c:pt idx="5">
                  <c:v>92.5</c:v>
                </c:pt>
                <c:pt idx="6">
                  <c:v>97</c:v>
                </c:pt>
                <c:pt idx="7" formatCode="0.00">
                  <c:v>99.75</c:v>
                </c:pt>
              </c:numCache>
            </c:numRef>
          </c:xVal>
          <c:yVal>
            <c:numRef>
              <c:f>'1-Prog'!$F$38:$P$38</c:f>
              <c:numCache>
                <c:formatCode>0.0</c:formatCode>
                <c:ptCount val="11"/>
                <c:pt idx="1">
                  <c:v>7.5876563957800043</c:v>
                </c:pt>
                <c:pt idx="2">
                  <c:v>14.462509150498795</c:v>
                </c:pt>
                <c:pt idx="3">
                  <c:v>18.671001052606393</c:v>
                </c:pt>
                <c:pt idx="4">
                  <c:v>22.1</c:v>
                </c:pt>
                <c:pt idx="5">
                  <c:v>24.538890313628858</c:v>
                </c:pt>
                <c:pt idx="6">
                  <c:v>27.337901246381669</c:v>
                </c:pt>
                <c:pt idx="7">
                  <c:v>31.7</c:v>
                </c:pt>
              </c:numCache>
            </c:numRef>
          </c:yVal>
          <c:smooth val="0"/>
          <c:extLst>
            <c:ext xmlns:c16="http://schemas.microsoft.com/office/drawing/2014/chart" uri="{C3380CC4-5D6E-409C-BE32-E72D297353CC}">
              <c16:uniqueId val="{00000007-182D-4D74-BFB6-4BAE7B903179}"/>
            </c:ext>
          </c:extLst>
        </c:ser>
        <c:ser>
          <c:idx val="3"/>
          <c:order val="4"/>
          <c:tx>
            <c:v>AS</c:v>
          </c:tx>
          <c:spPr>
            <a:ln w="22225">
              <a:solidFill>
                <a:schemeClr val="tx1">
                  <a:lumMod val="50000"/>
                  <a:lumOff val="50000"/>
                </a:schemeClr>
              </a:solidFill>
            </a:ln>
          </c:spPr>
          <c:marker>
            <c:symbol val="circle"/>
            <c:size val="5"/>
            <c:spPr>
              <a:solidFill>
                <a:schemeClr val="tx1">
                  <a:lumMod val="50000"/>
                  <a:lumOff val="50000"/>
                </a:schemeClr>
              </a:solidFill>
              <a:ln>
                <a:noFill/>
              </a:ln>
            </c:spPr>
          </c:marker>
          <c:dPt>
            <c:idx val="8"/>
            <c:bubble3D val="0"/>
            <c:spPr>
              <a:ln w="22225">
                <a:noFill/>
              </a:ln>
            </c:spPr>
            <c:extLst>
              <c:ext xmlns:c16="http://schemas.microsoft.com/office/drawing/2014/chart" uri="{C3380CC4-5D6E-409C-BE32-E72D297353CC}">
                <c16:uniqueId val="{00000009-182D-4D74-BFB6-4BAE7B903179}"/>
              </c:ext>
            </c:extLst>
          </c:dPt>
          <c:xVal>
            <c:numRef>
              <c:f>'1-Prog'!$H$49:$P$49</c:f>
              <c:numCache>
                <c:formatCode>0.00</c:formatCode>
                <c:ptCount val="9"/>
                <c:pt idx="0" formatCode="General">
                  <c:v>30</c:v>
                </c:pt>
                <c:pt idx="1">
                  <c:v>50</c:v>
                </c:pt>
                <c:pt idx="2" formatCode="General">
                  <c:v>70</c:v>
                </c:pt>
                <c:pt idx="3" formatCode="General">
                  <c:v>92.5</c:v>
                </c:pt>
                <c:pt idx="4" formatCode="General">
                  <c:v>97</c:v>
                </c:pt>
                <c:pt idx="5" formatCode="General">
                  <c:v>99.25</c:v>
                </c:pt>
                <c:pt idx="6" formatCode="General">
                  <c:v>99.7</c:v>
                </c:pt>
                <c:pt idx="7" formatCode="General">
                  <c:v>99.944999999999993</c:v>
                </c:pt>
                <c:pt idx="8" formatCode="General">
                  <c:v>99.995000000000005</c:v>
                </c:pt>
              </c:numCache>
            </c:numRef>
          </c:xVal>
          <c:yVal>
            <c:numRef>
              <c:f>'1-Prog'!$H$41:$P$41</c:f>
              <c:numCache>
                <c:formatCode>0.00</c:formatCode>
                <c:ptCount val="9"/>
                <c:pt idx="0" formatCode="0.0">
                  <c:v>4.9000000000000004</c:v>
                </c:pt>
                <c:pt idx="1">
                  <c:v>10.15</c:v>
                </c:pt>
                <c:pt idx="2" formatCode="0.0">
                  <c:v>15.4</c:v>
                </c:pt>
                <c:pt idx="3" formatCode="0.0">
                  <c:v>19</c:v>
                </c:pt>
                <c:pt idx="4" formatCode="0.0">
                  <c:v>21.9</c:v>
                </c:pt>
                <c:pt idx="5" formatCode="0.0">
                  <c:v>26</c:v>
                </c:pt>
                <c:pt idx="6" formatCode="0.0">
                  <c:v>28.7</c:v>
                </c:pt>
                <c:pt idx="7" formatCode="0.0">
                  <c:v>34.6</c:v>
                </c:pt>
                <c:pt idx="8" formatCode="0.0">
                  <c:v>37.4</c:v>
                </c:pt>
              </c:numCache>
            </c:numRef>
          </c:yVal>
          <c:smooth val="0"/>
          <c:extLst>
            <c:ext xmlns:c16="http://schemas.microsoft.com/office/drawing/2014/chart" uri="{C3380CC4-5D6E-409C-BE32-E72D297353CC}">
              <c16:uniqueId val="{0000000A-182D-4D74-BFB6-4BAE7B903179}"/>
            </c:ext>
          </c:extLst>
        </c:ser>
        <c:ser>
          <c:idx val="0"/>
          <c:order val="5"/>
          <c:tx>
            <c:v>CBO</c:v>
          </c:tx>
          <c:spPr>
            <a:ln w="25400">
              <a:solidFill>
                <a:schemeClr val="tx1"/>
              </a:solidFill>
            </a:ln>
          </c:spPr>
          <c:marker>
            <c:symbol val="circle"/>
            <c:size val="6"/>
            <c:spPr>
              <a:solidFill>
                <a:schemeClr val="tx1"/>
              </a:solidFill>
              <a:ln>
                <a:noFill/>
              </a:ln>
            </c:spPr>
          </c:marker>
          <c:xVal>
            <c:numRef>
              <c:f>'1-Prog'!$F$45:$P$45</c:f>
              <c:numCache>
                <c:formatCode>General</c:formatCode>
                <c:ptCount val="11"/>
                <c:pt idx="0">
                  <c:v>10</c:v>
                </c:pt>
                <c:pt idx="1">
                  <c:v>30</c:v>
                </c:pt>
                <c:pt idx="2">
                  <c:v>50</c:v>
                </c:pt>
                <c:pt idx="3">
                  <c:v>70</c:v>
                </c:pt>
                <c:pt idx="4">
                  <c:v>85</c:v>
                </c:pt>
                <c:pt idx="5">
                  <c:v>92.5</c:v>
                </c:pt>
                <c:pt idx="6">
                  <c:v>97</c:v>
                </c:pt>
                <c:pt idx="7" formatCode="0.0">
                  <c:v>99.5</c:v>
                </c:pt>
              </c:numCache>
            </c:numRef>
          </c:xVal>
          <c:yVal>
            <c:numRef>
              <c:f>'1-Prog'!$F$35:$P$35</c:f>
              <c:numCache>
                <c:formatCode>0.0</c:formatCode>
                <c:ptCount val="11"/>
                <c:pt idx="0">
                  <c:v>1.9</c:v>
                </c:pt>
                <c:pt idx="1">
                  <c:v>9</c:v>
                </c:pt>
                <c:pt idx="2">
                  <c:v>14</c:v>
                </c:pt>
                <c:pt idx="3">
                  <c:v>17.8</c:v>
                </c:pt>
                <c:pt idx="4">
                  <c:v>21.2</c:v>
                </c:pt>
                <c:pt idx="5">
                  <c:v>23.4</c:v>
                </c:pt>
                <c:pt idx="6">
                  <c:v>26.7</c:v>
                </c:pt>
                <c:pt idx="7">
                  <c:v>32.633771227170797</c:v>
                </c:pt>
              </c:numCache>
            </c:numRef>
          </c:yVal>
          <c:smooth val="0"/>
          <c:extLst>
            <c:ext xmlns:c16="http://schemas.microsoft.com/office/drawing/2014/chart" uri="{C3380CC4-5D6E-409C-BE32-E72D297353CC}">
              <c16:uniqueId val="{0000000B-182D-4D74-BFB6-4BAE7B903179}"/>
            </c:ext>
          </c:extLst>
        </c:ser>
        <c:dLbls>
          <c:showLegendKey val="0"/>
          <c:showVal val="0"/>
          <c:showCatName val="0"/>
          <c:showSerName val="0"/>
          <c:showPercent val="0"/>
          <c:showBubbleSize val="0"/>
        </c:dLbls>
        <c:axId val="717093464"/>
        <c:axId val="717093856"/>
      </c:scatterChart>
      <c:valAx>
        <c:axId val="717093464"/>
        <c:scaling>
          <c:orientation val="minMax"/>
          <c:max val="100"/>
        </c:scaling>
        <c:delete val="0"/>
        <c:axPos val="b"/>
        <c:title>
          <c:tx>
            <c:rich>
              <a:bodyPr/>
              <a:lstStyle/>
              <a:p>
                <a:pPr>
                  <a:defRPr/>
                </a:pPr>
                <a:r>
                  <a:rPr lang="en-US" sz="1200" b="0" i="0" baseline="0">
                    <a:effectLst/>
                    <a:latin typeface="Arial" panose="020B0604020202020204" pitchFamily="34" charset="0"/>
                    <a:cs typeface="Arial" panose="020B0604020202020204" pitchFamily="34" charset="0"/>
                  </a:rPr>
                  <a:t>Income quintile </a:t>
                </a:r>
                <a:endParaRPr lang="en-US" sz="700" b="0">
                  <a:effectLst/>
                  <a:latin typeface="Arial" panose="020B0604020202020204" pitchFamily="34" charset="0"/>
                  <a:cs typeface="Arial" panose="020B0604020202020204" pitchFamily="34" charset="0"/>
                </a:endParaRPr>
              </a:p>
            </c:rich>
          </c:tx>
          <c:layout>
            <c:manualLayout>
              <c:xMode val="edge"/>
              <c:yMode val="edge"/>
              <c:x val="0.41390927828936641"/>
              <c:y val="0.91791748869528778"/>
            </c:manualLayout>
          </c:layout>
          <c:overlay val="0"/>
        </c:title>
        <c:numFmt formatCode="0" sourceLinked="0"/>
        <c:majorTickMark val="out"/>
        <c:minorTickMark val="none"/>
        <c:tickLblPos val="nextTo"/>
        <c:spPr>
          <a:ln>
            <a:noFill/>
          </a:ln>
        </c:spPr>
        <c:txPr>
          <a:bodyPr rot="0" vert="horz"/>
          <a:lstStyle/>
          <a:p>
            <a:pPr>
              <a:defRPr sz="1100" b="0" i="0" u="none" strike="noStrike" kern="0" spc="-20" baseline="0">
                <a:solidFill>
                  <a:srgbClr val="000000"/>
                </a:solidFill>
                <a:latin typeface="Arial" panose="020B0604020202020204" pitchFamily="34" charset="0"/>
                <a:ea typeface="Arial"/>
                <a:cs typeface="Arial" panose="020B0604020202020204" pitchFamily="34" charset="0"/>
              </a:defRPr>
            </a:pPr>
            <a:endParaRPr lang="en-US"/>
          </a:p>
        </c:txPr>
        <c:crossAx val="717093856"/>
        <c:crossesAt val="-5"/>
        <c:crossBetween val="midCat"/>
        <c:majorUnit val="20"/>
        <c:minorUnit val="1"/>
      </c:valAx>
      <c:valAx>
        <c:axId val="717093856"/>
        <c:scaling>
          <c:orientation val="minMax"/>
          <c:max val="40"/>
          <c:min val="-5"/>
        </c:scaling>
        <c:delete val="0"/>
        <c:axPos val="l"/>
        <c:majorGridlines>
          <c:spPr>
            <a:ln>
              <a:solidFill>
                <a:schemeClr val="bg1">
                  <a:lumMod val="75000"/>
                </a:schemeClr>
              </a:solidFill>
              <a:prstDash val="sysDash"/>
            </a:ln>
          </c:spPr>
        </c:majorGridlines>
        <c:title>
          <c:tx>
            <c:rich>
              <a:bodyPr/>
              <a:lstStyle/>
              <a:p>
                <a:pPr>
                  <a:defRPr sz="1200" b="0">
                    <a:latin typeface="Arial" panose="020B0604020202020204" pitchFamily="34" charset="0"/>
                    <a:cs typeface="Arial" panose="020B0604020202020204" pitchFamily="34" charset="0"/>
                  </a:defRPr>
                </a:pPr>
                <a:r>
                  <a:rPr lang="en-US" sz="1200" b="0" baseline="0">
                    <a:latin typeface="Arial" panose="020B0604020202020204" pitchFamily="34" charset="0"/>
                    <a:cs typeface="Arial" panose="020B0604020202020204" pitchFamily="34" charset="0"/>
                  </a:rPr>
                  <a:t>Average federal tax rate (%)</a:t>
                </a:r>
                <a:endParaRPr lang="en-US" sz="1200" b="0">
                  <a:latin typeface="Arial" panose="020B0604020202020204" pitchFamily="34" charset="0"/>
                  <a:cs typeface="Arial" panose="020B0604020202020204" pitchFamily="34" charset="0"/>
                </a:endParaRPr>
              </a:p>
            </c:rich>
          </c:tx>
          <c:layout>
            <c:manualLayout>
              <c:xMode val="edge"/>
              <c:yMode val="edge"/>
              <c:x val="3.2065612051658098E-4"/>
              <c:y val="0.25113629089046796"/>
            </c:manualLayout>
          </c:layout>
          <c:overlay val="0"/>
        </c:title>
        <c:numFmt formatCode="#,##0" sourceLinked="0"/>
        <c:majorTickMark val="out"/>
        <c:minorTickMark val="none"/>
        <c:tickLblPos val="nextTo"/>
        <c:spPr>
          <a:ln>
            <a:noFill/>
          </a:ln>
        </c:spPr>
        <c:txPr>
          <a:bodyPr rot="0" vert="horz"/>
          <a:lstStyle/>
          <a:p>
            <a:pPr>
              <a:defRPr sz="1200" b="0" i="0" u="none" strike="noStrike" baseline="0">
                <a:solidFill>
                  <a:sysClr val="windowText" lastClr="000000"/>
                </a:solidFill>
                <a:latin typeface="Arial" panose="020B0604020202020204" pitchFamily="34" charset="0"/>
                <a:ea typeface="Calibri"/>
                <a:cs typeface="Arial" panose="020B0604020202020204" pitchFamily="34" charset="0"/>
              </a:defRPr>
            </a:pPr>
            <a:endParaRPr lang="en-US"/>
          </a:p>
        </c:txPr>
        <c:crossAx val="717093464"/>
        <c:crossesAt val="-5"/>
        <c:crossBetween val="midCat"/>
        <c:majorUnit val="10"/>
        <c:minorUnit val="5.000000000000001E-3"/>
      </c:valAx>
      <c:spPr>
        <a:noFill/>
        <a:ln>
          <a:noFill/>
        </a:ln>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1" l="0.75000000000000611" r="0.75000000000000611" t="1" header="0.5" footer="0.5"/>
    <c:pageSetup orientation="landscape" horizontalDpi="1200" verticalDpi="1200"/>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54097112668004"/>
          <c:y val="4.7873762088313614E-2"/>
          <c:w val="0.82944628464407877"/>
          <c:h val="0.88793907960550211"/>
        </c:manualLayout>
      </c:layout>
      <c:lineChart>
        <c:grouping val="standard"/>
        <c:varyColors val="0"/>
        <c:ser>
          <c:idx val="3"/>
          <c:order val="0"/>
          <c:tx>
            <c:v>middle quin</c:v>
          </c:tx>
          <c:spPr>
            <a:ln w="34925">
              <a:solidFill>
                <a:srgbClr val="2699B4"/>
              </a:solidFill>
            </a:ln>
          </c:spPr>
          <c:marker>
            <c:symbol val="none"/>
          </c:marker>
          <c:cat>
            <c:numRef>
              <c:f>TxRt!$A$10:$A$50</c:f>
              <c:numCache>
                <c:formatCode>General</c:formatCode>
                <c:ptCount val="41"/>
                <c:pt idx="0">
                  <c:v>1979</c:v>
                </c:pt>
                <c:pt idx="1">
                  <c:v>1980</c:v>
                </c:pt>
                <c:pt idx="2">
                  <c:v>1981</c:v>
                </c:pt>
                <c:pt idx="3">
                  <c:v>1982</c:v>
                </c:pt>
                <c:pt idx="4">
                  <c:v>1983</c:v>
                </c:pt>
                <c:pt idx="5">
                  <c:v>1984</c:v>
                </c:pt>
                <c:pt idx="6">
                  <c:v>1985</c:v>
                </c:pt>
                <c:pt idx="7">
                  <c:v>1986</c:v>
                </c:pt>
                <c:pt idx="8">
                  <c:v>1987</c:v>
                </c:pt>
                <c:pt idx="9">
                  <c:v>1988</c:v>
                </c:pt>
                <c:pt idx="10">
                  <c:v>1989</c:v>
                </c:pt>
                <c:pt idx="11">
                  <c:v>1990</c:v>
                </c:pt>
                <c:pt idx="12">
                  <c:v>1991</c:v>
                </c:pt>
                <c:pt idx="13">
                  <c:v>1992</c:v>
                </c:pt>
                <c:pt idx="14">
                  <c:v>1993</c:v>
                </c:pt>
                <c:pt idx="15">
                  <c:v>1994</c:v>
                </c:pt>
                <c:pt idx="16">
                  <c:v>1995</c:v>
                </c:pt>
                <c:pt idx="17">
                  <c:v>1996</c:v>
                </c:pt>
                <c:pt idx="18">
                  <c:v>1997</c:v>
                </c:pt>
                <c:pt idx="19">
                  <c:v>1998</c:v>
                </c:pt>
                <c:pt idx="20">
                  <c:v>1999</c:v>
                </c:pt>
                <c:pt idx="21">
                  <c:v>2000</c:v>
                </c:pt>
                <c:pt idx="22">
                  <c:v>2001</c:v>
                </c:pt>
                <c:pt idx="23">
                  <c:v>2002</c:v>
                </c:pt>
                <c:pt idx="24">
                  <c:v>2003</c:v>
                </c:pt>
                <c:pt idx="25">
                  <c:v>2004</c:v>
                </c:pt>
                <c:pt idx="26">
                  <c:v>2005</c:v>
                </c:pt>
                <c:pt idx="27">
                  <c:v>2006</c:v>
                </c:pt>
                <c:pt idx="28">
                  <c:v>2007</c:v>
                </c:pt>
                <c:pt idx="29">
                  <c:v>2008</c:v>
                </c:pt>
                <c:pt idx="30">
                  <c:v>2009</c:v>
                </c:pt>
                <c:pt idx="31">
                  <c:v>2010</c:v>
                </c:pt>
                <c:pt idx="32">
                  <c:v>2011</c:v>
                </c:pt>
                <c:pt idx="33">
                  <c:v>2012</c:v>
                </c:pt>
                <c:pt idx="34">
                  <c:v>2013</c:v>
                </c:pt>
                <c:pt idx="35">
                  <c:v>2014</c:v>
                </c:pt>
                <c:pt idx="36">
                  <c:v>2015</c:v>
                </c:pt>
                <c:pt idx="37">
                  <c:v>2016</c:v>
                </c:pt>
                <c:pt idx="38">
                  <c:v>2017</c:v>
                </c:pt>
                <c:pt idx="39">
                  <c:v>2018</c:v>
                </c:pt>
                <c:pt idx="40">
                  <c:v>2019</c:v>
                </c:pt>
              </c:numCache>
            </c:numRef>
          </c:cat>
          <c:val>
            <c:numRef>
              <c:f>'B2-RdTr'!$D$31:$D$71</c:f>
              <c:numCache>
                <c:formatCode>0.0</c:formatCode>
                <c:ptCount val="41"/>
                <c:pt idx="0">
                  <c:v>14.416058394160583</c:v>
                </c:pt>
                <c:pt idx="1">
                  <c:v>13.601532567049809</c:v>
                </c:pt>
                <c:pt idx="2">
                  <c:v>13.872832369942195</c:v>
                </c:pt>
                <c:pt idx="3">
                  <c:v>10.714285714285714</c:v>
                </c:pt>
                <c:pt idx="4">
                  <c:v>10.1010101010101</c:v>
                </c:pt>
                <c:pt idx="5">
                  <c:v>11.005692599620494</c:v>
                </c:pt>
                <c:pt idx="6">
                  <c:v>10.964083175803403</c:v>
                </c:pt>
                <c:pt idx="7">
                  <c:v>10.946196660482375</c:v>
                </c:pt>
                <c:pt idx="8">
                  <c:v>11.194029850746269</c:v>
                </c:pt>
                <c:pt idx="9">
                  <c:v>11.721611721611721</c:v>
                </c:pt>
                <c:pt idx="10">
                  <c:v>11.636363636363637</c:v>
                </c:pt>
                <c:pt idx="11">
                  <c:v>11.05072463768116</c:v>
                </c:pt>
                <c:pt idx="12">
                  <c:v>9.5327102803738324</c:v>
                </c:pt>
                <c:pt idx="13">
                  <c:v>8.5501858736059475</c:v>
                </c:pt>
                <c:pt idx="14">
                  <c:v>8.7198515769944329</c:v>
                </c:pt>
                <c:pt idx="15">
                  <c:v>9.3577981651376145</c:v>
                </c:pt>
                <c:pt idx="16">
                  <c:v>9.557522123893806</c:v>
                </c:pt>
                <c:pt idx="17">
                  <c:v>8.9473684210526319</c:v>
                </c:pt>
                <c:pt idx="18">
                  <c:v>9.2624356775300178</c:v>
                </c:pt>
                <c:pt idx="19">
                  <c:v>8.9256198347107443</c:v>
                </c:pt>
                <c:pt idx="20">
                  <c:v>9.5693779904306222</c:v>
                </c:pt>
                <c:pt idx="21">
                  <c:v>9.0476190476190474</c:v>
                </c:pt>
                <c:pt idx="22">
                  <c:v>5.9390048154093105</c:v>
                </c:pt>
                <c:pt idx="23">
                  <c:v>4.3117744610281923</c:v>
                </c:pt>
                <c:pt idx="24">
                  <c:v>2.9850746268656714</c:v>
                </c:pt>
                <c:pt idx="25">
                  <c:v>3.3707865168539324</c:v>
                </c:pt>
                <c:pt idx="26">
                  <c:v>3.9494470774091628</c:v>
                </c:pt>
                <c:pt idx="27">
                  <c:v>3.7676609105180532</c:v>
                </c:pt>
                <c:pt idx="28">
                  <c:v>3.9334341906202726</c:v>
                </c:pt>
                <c:pt idx="29">
                  <c:v>-0.63191153238546605</c:v>
                </c:pt>
                <c:pt idx="30">
                  <c:v>-4.9751243781094532</c:v>
                </c:pt>
                <c:pt idx="31">
                  <c:v>-5.4054054054054053</c:v>
                </c:pt>
                <c:pt idx="32">
                  <c:v>-4.9069373942470387</c:v>
                </c:pt>
                <c:pt idx="33">
                  <c:v>-4.7377326565143827</c:v>
                </c:pt>
                <c:pt idx="34">
                  <c:v>-2.3102310231023102</c:v>
                </c:pt>
                <c:pt idx="35">
                  <c:v>-2.9079159935379644</c:v>
                </c:pt>
                <c:pt idx="36">
                  <c:v>-3.1298904538341157</c:v>
                </c:pt>
                <c:pt idx="37">
                  <c:v>-2.9503105590062111</c:v>
                </c:pt>
              </c:numCache>
            </c:numRef>
          </c:val>
          <c:smooth val="1"/>
          <c:extLst>
            <c:ext xmlns:c16="http://schemas.microsoft.com/office/drawing/2014/chart" uri="{C3380CC4-5D6E-409C-BE32-E72D297353CC}">
              <c16:uniqueId val="{00000000-75F7-4FEF-9FA7-C41EEDE01C10}"/>
            </c:ext>
          </c:extLst>
        </c:ser>
        <c:ser>
          <c:idx val="0"/>
          <c:order val="1"/>
          <c:tx>
            <c:v>bottom</c:v>
          </c:tx>
          <c:spPr>
            <a:ln w="34925">
              <a:solidFill>
                <a:srgbClr val="A03A49"/>
              </a:solidFill>
            </a:ln>
          </c:spPr>
          <c:marker>
            <c:symbol val="none"/>
          </c:marker>
          <c:val>
            <c:numRef>
              <c:f>'B2-RdTr'!$B$31:$B$71</c:f>
              <c:numCache>
                <c:formatCode>0.0</c:formatCode>
                <c:ptCount val="41"/>
                <c:pt idx="0">
                  <c:v>-173.68421052631581</c:v>
                </c:pt>
                <c:pt idx="1">
                  <c:v>-198.55072463768116</c:v>
                </c:pt>
                <c:pt idx="2">
                  <c:v>-211.94029850746267</c:v>
                </c:pt>
                <c:pt idx="3">
                  <c:v>-237.09677419354841</c:v>
                </c:pt>
                <c:pt idx="4">
                  <c:v>-252.54237288135593</c:v>
                </c:pt>
                <c:pt idx="5">
                  <c:v>-190.27777777777777</c:v>
                </c:pt>
                <c:pt idx="6">
                  <c:v>-210.14492753623188</c:v>
                </c:pt>
                <c:pt idx="7">
                  <c:v>-214.70588235294116</c:v>
                </c:pt>
                <c:pt idx="8">
                  <c:v>-250.81967213114754</c:v>
                </c:pt>
                <c:pt idx="9">
                  <c:v>-247.61904761904762</c:v>
                </c:pt>
                <c:pt idx="10">
                  <c:v>-225.71428571428572</c:v>
                </c:pt>
                <c:pt idx="11">
                  <c:v>-224.65753424657535</c:v>
                </c:pt>
                <c:pt idx="12">
                  <c:v>-244.44444444444446</c:v>
                </c:pt>
                <c:pt idx="13">
                  <c:v>-272.46376811594206</c:v>
                </c:pt>
                <c:pt idx="14">
                  <c:v>-288.23529411764707</c:v>
                </c:pt>
                <c:pt idx="15">
                  <c:v>-310.76923076923077</c:v>
                </c:pt>
                <c:pt idx="16">
                  <c:v>-272</c:v>
                </c:pt>
                <c:pt idx="17">
                  <c:v>-259.74025974025972</c:v>
                </c:pt>
                <c:pt idx="18">
                  <c:v>-238.0952380952381</c:v>
                </c:pt>
                <c:pt idx="19">
                  <c:v>-211.57894736842104</c:v>
                </c:pt>
                <c:pt idx="20">
                  <c:v>-188.34951456310679</c:v>
                </c:pt>
                <c:pt idx="21">
                  <c:v>-189.32038834951456</c:v>
                </c:pt>
                <c:pt idx="22">
                  <c:v>-225.80645161290326</c:v>
                </c:pt>
                <c:pt idx="23">
                  <c:v>-249.43820224719099</c:v>
                </c:pt>
                <c:pt idx="24">
                  <c:v>-271.42857142857144</c:v>
                </c:pt>
                <c:pt idx="25">
                  <c:v>-268.60465116279067</c:v>
                </c:pt>
                <c:pt idx="26">
                  <c:v>-254.94505494505492</c:v>
                </c:pt>
                <c:pt idx="27">
                  <c:v>-244.89795918367346</c:v>
                </c:pt>
                <c:pt idx="28">
                  <c:v>-211.60714285714283</c:v>
                </c:pt>
                <c:pt idx="29">
                  <c:v>-253.92156862745097</c:v>
                </c:pt>
                <c:pt idx="30">
                  <c:v>-331.0344827586207</c:v>
                </c:pt>
                <c:pt idx="31">
                  <c:v>-335.29411764705884</c:v>
                </c:pt>
                <c:pt idx="32">
                  <c:v>-324.41860465116281</c:v>
                </c:pt>
                <c:pt idx="33">
                  <c:v>-344.44444444444446</c:v>
                </c:pt>
                <c:pt idx="34">
                  <c:v>-312.35955056179773</c:v>
                </c:pt>
                <c:pt idx="35">
                  <c:v>-335.29411764705884</c:v>
                </c:pt>
                <c:pt idx="36">
                  <c:v>-328.88888888888886</c:v>
                </c:pt>
                <c:pt idx="37">
                  <c:v>-337.07865168539325</c:v>
                </c:pt>
              </c:numCache>
            </c:numRef>
          </c:val>
          <c:smooth val="1"/>
          <c:extLst>
            <c:ext xmlns:c16="http://schemas.microsoft.com/office/drawing/2014/chart" uri="{C3380CC4-5D6E-409C-BE32-E72D297353CC}">
              <c16:uniqueId val="{00000001-75F7-4FEF-9FA7-C41EEDE01C10}"/>
            </c:ext>
          </c:extLst>
        </c:ser>
        <c:ser>
          <c:idx val="1"/>
          <c:order val="2"/>
          <c:tx>
            <c:v>top quin</c:v>
          </c:tx>
          <c:spPr>
            <a:ln w="34925">
              <a:solidFill>
                <a:srgbClr val="D58F11"/>
              </a:solidFill>
            </a:ln>
          </c:spPr>
          <c:marker>
            <c:symbol val="none"/>
          </c:marker>
          <c:val>
            <c:numRef>
              <c:f>'B2-RdTr'!$AZ$31:$AZ$71</c:f>
              <c:numCache>
                <c:formatCode>0.0</c:formatCode>
                <c:ptCount val="41"/>
                <c:pt idx="0">
                  <c:v>26.083964211975225</c:v>
                </c:pt>
                <c:pt idx="1">
                  <c:v>25.868178596739899</c:v>
                </c:pt>
                <c:pt idx="2">
                  <c:v>25.533428165007109</c:v>
                </c:pt>
                <c:pt idx="3">
                  <c:v>22.929936305732486</c:v>
                </c:pt>
                <c:pt idx="4">
                  <c:v>22.328114363512594</c:v>
                </c:pt>
                <c:pt idx="5">
                  <c:v>22.501571338780639</c:v>
                </c:pt>
                <c:pt idx="6">
                  <c:v>22.560596643878185</c:v>
                </c:pt>
                <c:pt idx="7">
                  <c:v>22.430939226519335</c:v>
                </c:pt>
                <c:pt idx="8">
                  <c:v>24.634289057928612</c:v>
                </c:pt>
                <c:pt idx="9">
                  <c:v>24.439584472389285</c:v>
                </c:pt>
                <c:pt idx="10">
                  <c:v>24</c:v>
                </c:pt>
                <c:pt idx="11">
                  <c:v>23.833614390106803</c:v>
                </c:pt>
                <c:pt idx="12">
                  <c:v>24.083769633507853</c:v>
                </c:pt>
                <c:pt idx="13">
                  <c:v>24.37115707098938</c:v>
                </c:pt>
                <c:pt idx="14">
                  <c:v>25.404801786711335</c:v>
                </c:pt>
                <c:pt idx="15">
                  <c:v>25.915800984144344</c:v>
                </c:pt>
                <c:pt idx="16">
                  <c:v>26.403326403326403</c:v>
                </c:pt>
                <c:pt idx="17">
                  <c:v>26.561731431382196</c:v>
                </c:pt>
                <c:pt idx="18">
                  <c:v>26.697459584295615</c:v>
                </c:pt>
                <c:pt idx="19">
                  <c:v>26.27484874675886</c:v>
                </c:pt>
                <c:pt idx="20">
                  <c:v>26.848090982940697</c:v>
                </c:pt>
                <c:pt idx="21">
                  <c:v>26.808510638297872</c:v>
                </c:pt>
                <c:pt idx="22">
                  <c:v>25.626859328516787</c:v>
                </c:pt>
                <c:pt idx="23">
                  <c:v>24.821109123434702</c:v>
                </c:pt>
                <c:pt idx="24">
                  <c:v>23.595505617977526</c:v>
                </c:pt>
                <c:pt idx="25">
                  <c:v>23.968253968253968</c:v>
                </c:pt>
                <c:pt idx="26">
                  <c:v>24.341142020497806</c:v>
                </c:pt>
                <c:pt idx="27">
                  <c:v>24.351786965662228</c:v>
                </c:pt>
                <c:pt idx="28">
                  <c:v>23.608768971332207</c:v>
                </c:pt>
                <c:pt idx="29">
                  <c:v>22.607076350093109</c:v>
                </c:pt>
                <c:pt idx="30">
                  <c:v>21.827201322860688</c:v>
                </c:pt>
                <c:pt idx="31">
                  <c:v>22.560252864480443</c:v>
                </c:pt>
                <c:pt idx="32">
                  <c:v>22.109375</c:v>
                </c:pt>
                <c:pt idx="33">
                  <c:v>22.586455331412104</c:v>
                </c:pt>
                <c:pt idx="34">
                  <c:v>24.962518740629687</c:v>
                </c:pt>
                <c:pt idx="35">
                  <c:v>25.354609929078016</c:v>
                </c:pt>
                <c:pt idx="36">
                  <c:v>25.341997264021888</c:v>
                </c:pt>
                <c:pt idx="37">
                  <c:v>25.138696255201111</c:v>
                </c:pt>
              </c:numCache>
            </c:numRef>
          </c:val>
          <c:smooth val="1"/>
          <c:extLst>
            <c:ext xmlns:c16="http://schemas.microsoft.com/office/drawing/2014/chart" uri="{C3380CC4-5D6E-409C-BE32-E72D297353CC}">
              <c16:uniqueId val="{00000002-75F7-4FEF-9FA7-C41EEDE01C10}"/>
            </c:ext>
          </c:extLst>
        </c:ser>
        <c:dLbls>
          <c:showLegendKey val="0"/>
          <c:showVal val="0"/>
          <c:showCatName val="0"/>
          <c:showSerName val="0"/>
          <c:showPercent val="0"/>
          <c:showBubbleSize val="0"/>
        </c:dLbls>
        <c:smooth val="0"/>
        <c:axId val="1117966680"/>
        <c:axId val="1117967072"/>
      </c:lineChart>
      <c:catAx>
        <c:axId val="1117966680"/>
        <c:scaling>
          <c:orientation val="minMax"/>
        </c:scaling>
        <c:delete val="0"/>
        <c:axPos val="b"/>
        <c:numFmt formatCode="General"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117967072"/>
        <c:crossesAt val="-350"/>
        <c:auto val="1"/>
        <c:lblAlgn val="ctr"/>
        <c:lblOffset val="100"/>
        <c:tickLblSkip val="10"/>
        <c:tickMarkSkip val="10"/>
        <c:noMultiLvlLbl val="0"/>
      </c:catAx>
      <c:valAx>
        <c:axId val="1117967072"/>
        <c:scaling>
          <c:orientation val="minMax"/>
          <c:max val="30"/>
          <c:min val="-350"/>
        </c:scaling>
        <c:delete val="0"/>
        <c:axPos val="l"/>
        <c:majorGridlines>
          <c:spPr>
            <a:ln w="6350">
              <a:solidFill>
                <a:schemeClr val="bg1">
                  <a:lumMod val="75000"/>
                </a:schemeClr>
              </a:solidFill>
              <a:prstDash val="sysDot"/>
            </a:ln>
          </c:spPr>
        </c:majorGridlines>
        <c:title>
          <c:tx>
            <c:rich>
              <a:bodyPr/>
              <a:lstStyle/>
              <a:p>
                <a:pPr>
                  <a:defRPr sz="1200" b="0" i="0" u="none" strike="noStrike" baseline="0">
                    <a:solidFill>
                      <a:srgbClr val="000000"/>
                    </a:solidFill>
                    <a:latin typeface="Arial"/>
                    <a:ea typeface="Arial"/>
                    <a:cs typeface="Arial"/>
                  </a:defRPr>
                </a:pPr>
                <a:r>
                  <a:rPr lang="en-US" sz="1400" b="0"/>
                  <a:t>Average </a:t>
                </a:r>
                <a:r>
                  <a:rPr lang="en-US" sz="1400" b="0" baseline="0"/>
                  <a:t>redistribution rate</a:t>
                </a:r>
                <a:endParaRPr lang="en-US" sz="1600" b="0"/>
              </a:p>
            </c:rich>
          </c:tx>
          <c:layout>
            <c:manualLayout>
              <c:xMode val="edge"/>
              <c:yMode val="edge"/>
              <c:x val="0"/>
              <c:y val="0.26544143045007462"/>
            </c:manualLayout>
          </c:layout>
          <c:overlay val="0"/>
          <c:spPr>
            <a:noFill/>
            <a:ln w="25400">
              <a:noFill/>
            </a:ln>
          </c:spPr>
        </c:title>
        <c:numFmt formatCode="#,##0" sourceLinked="0"/>
        <c:majorTickMark val="out"/>
        <c:minorTickMark val="none"/>
        <c:tickLblPos val="nextTo"/>
        <c:spPr>
          <a:ln w="3175">
            <a:no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117966680"/>
        <c:crosses val="autoZero"/>
        <c:crossBetween val="midCat"/>
        <c:majorUnit val="175"/>
        <c:minorUnit val="0.05"/>
      </c:valAx>
      <c:spPr>
        <a:solidFill>
          <a:srgbClr val="FFFFFF"/>
        </a:solidFill>
        <a:ln w="3175">
          <a:noFill/>
          <a:prstDash val="solid"/>
        </a:ln>
      </c:spPr>
    </c:plotArea>
    <c:plotVisOnly val="1"/>
    <c:dispBlanksAs val="span"/>
    <c:showDLblsOverMax val="0"/>
  </c:chart>
  <c:spPr>
    <a:solidFill>
      <a:schemeClr val="bg1"/>
    </a:solidFill>
    <a:ln w="9525">
      <a:noFill/>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0866" r="0.75000000000000866" t="1" header="0.5" footer="0.5"/>
    <c:pageSetup orientation="landscape" verticalDpi="96"/>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49596070162592"/>
          <c:y val="3.3777574141508858E-2"/>
          <c:w val="0.83697210194029859"/>
          <c:h val="0.90203526840513759"/>
        </c:manualLayout>
      </c:layout>
      <c:scatterChart>
        <c:scatterStyle val="smoothMarker"/>
        <c:varyColors val="0"/>
        <c:ser>
          <c:idx val="2"/>
          <c:order val="1"/>
          <c:tx>
            <c:strRef>
              <c:f>'5-Top'!$B$34</c:f>
              <c:strCache>
                <c:ptCount val="1"/>
                <c:pt idx="0">
                  <c:v>Top marginal federal indiv. income tax rate</c:v>
                </c:pt>
              </c:strCache>
            </c:strRef>
          </c:tx>
          <c:spPr>
            <a:ln w="28575">
              <a:solidFill>
                <a:srgbClr val="D58F11"/>
              </a:solidFill>
              <a:prstDash val="solid"/>
            </a:ln>
          </c:spPr>
          <c:marker>
            <c:symbol val="none"/>
          </c:marker>
          <c:xVal>
            <c:numRef>
              <c:f>'5-Top'!$A$35:$A$95</c:f>
              <c:numCache>
                <c:formatCode>General</c:formatCode>
                <c:ptCount val="6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numCache>
            </c:numRef>
          </c:xVal>
          <c:yVal>
            <c:numRef>
              <c:f>'5-Top'!$B$35:$B$95</c:f>
              <c:numCache>
                <c:formatCode>0.000</c:formatCode>
                <c:ptCount val="61"/>
                <c:pt idx="0">
                  <c:v>0.91</c:v>
                </c:pt>
                <c:pt idx="1">
                  <c:v>0.91</c:v>
                </c:pt>
                <c:pt idx="2">
                  <c:v>0.91</c:v>
                </c:pt>
                <c:pt idx="3">
                  <c:v>0.91</c:v>
                </c:pt>
                <c:pt idx="4">
                  <c:v>0.77</c:v>
                </c:pt>
                <c:pt idx="5">
                  <c:v>0.7</c:v>
                </c:pt>
                <c:pt idx="6">
                  <c:v>0.7</c:v>
                </c:pt>
                <c:pt idx="7">
                  <c:v>0.7</c:v>
                </c:pt>
                <c:pt idx="8">
                  <c:v>0.75249999999999995</c:v>
                </c:pt>
                <c:pt idx="9">
                  <c:v>0.77</c:v>
                </c:pt>
                <c:pt idx="10">
                  <c:v>0.71750000000000003</c:v>
                </c:pt>
                <c:pt idx="11">
                  <c:v>0.7</c:v>
                </c:pt>
                <c:pt idx="12">
                  <c:v>0.7</c:v>
                </c:pt>
                <c:pt idx="13">
                  <c:v>0.7</c:v>
                </c:pt>
                <c:pt idx="14">
                  <c:v>0.7</c:v>
                </c:pt>
                <c:pt idx="15">
                  <c:v>0.7</c:v>
                </c:pt>
                <c:pt idx="16">
                  <c:v>0.7</c:v>
                </c:pt>
                <c:pt idx="17">
                  <c:v>0.7</c:v>
                </c:pt>
                <c:pt idx="18">
                  <c:v>0.7</c:v>
                </c:pt>
                <c:pt idx="19">
                  <c:v>0.7</c:v>
                </c:pt>
                <c:pt idx="20">
                  <c:v>0.7</c:v>
                </c:pt>
                <c:pt idx="21">
                  <c:v>0.69125000000000003</c:v>
                </c:pt>
                <c:pt idx="22">
                  <c:v>0.5</c:v>
                </c:pt>
                <c:pt idx="23">
                  <c:v>0.5</c:v>
                </c:pt>
                <c:pt idx="24">
                  <c:v>0.5</c:v>
                </c:pt>
                <c:pt idx="25">
                  <c:v>0.5</c:v>
                </c:pt>
                <c:pt idx="26">
                  <c:v>0.5</c:v>
                </c:pt>
                <c:pt idx="27">
                  <c:v>0.38500000000000001</c:v>
                </c:pt>
                <c:pt idx="28">
                  <c:v>0.28000000000000003</c:v>
                </c:pt>
                <c:pt idx="29">
                  <c:v>0.28000000000000003</c:v>
                </c:pt>
                <c:pt idx="30">
                  <c:v>0.28000000000000003</c:v>
                </c:pt>
                <c:pt idx="31">
                  <c:v>0.31</c:v>
                </c:pt>
                <c:pt idx="32">
                  <c:v>0.31</c:v>
                </c:pt>
                <c:pt idx="33">
                  <c:v>0.39600000000000002</c:v>
                </c:pt>
                <c:pt idx="34">
                  <c:v>0.39600000000000002</c:v>
                </c:pt>
                <c:pt idx="35">
                  <c:v>0.39600000000000002</c:v>
                </c:pt>
                <c:pt idx="36">
                  <c:v>0.39600000000000002</c:v>
                </c:pt>
                <c:pt idx="37">
                  <c:v>0.39600000000000002</c:v>
                </c:pt>
                <c:pt idx="38">
                  <c:v>0.39600000000000002</c:v>
                </c:pt>
                <c:pt idx="39">
                  <c:v>0.39600000000000002</c:v>
                </c:pt>
                <c:pt idx="40">
                  <c:v>0.39600000000000002</c:v>
                </c:pt>
                <c:pt idx="41">
                  <c:v>0.39100000000000001</c:v>
                </c:pt>
                <c:pt idx="42">
                  <c:v>0.38600000000000001</c:v>
                </c:pt>
                <c:pt idx="43">
                  <c:v>0.35</c:v>
                </c:pt>
                <c:pt idx="44">
                  <c:v>0.35</c:v>
                </c:pt>
                <c:pt idx="45">
                  <c:v>0.35</c:v>
                </c:pt>
                <c:pt idx="46">
                  <c:v>0.35</c:v>
                </c:pt>
                <c:pt idx="47">
                  <c:v>0.35</c:v>
                </c:pt>
                <c:pt idx="48">
                  <c:v>0.35</c:v>
                </c:pt>
                <c:pt idx="49">
                  <c:v>0.35</c:v>
                </c:pt>
                <c:pt idx="50">
                  <c:v>0.35</c:v>
                </c:pt>
                <c:pt idx="51">
                  <c:v>0.35</c:v>
                </c:pt>
                <c:pt idx="52">
                  <c:v>0.35</c:v>
                </c:pt>
                <c:pt idx="53">
                  <c:v>0.39600000000000002</c:v>
                </c:pt>
                <c:pt idx="54">
                  <c:v>0.39600000000000002</c:v>
                </c:pt>
                <c:pt idx="55">
                  <c:v>0.39600000000000002</c:v>
                </c:pt>
                <c:pt idx="56">
                  <c:v>0.39600000000000002</c:v>
                </c:pt>
                <c:pt idx="57">
                  <c:v>0.39600000000000002</c:v>
                </c:pt>
                <c:pt idx="58">
                  <c:v>0.37</c:v>
                </c:pt>
                <c:pt idx="59">
                  <c:v>0.37</c:v>
                </c:pt>
                <c:pt idx="60">
                  <c:v>0.37</c:v>
                </c:pt>
              </c:numCache>
            </c:numRef>
          </c:yVal>
          <c:smooth val="1"/>
          <c:extLst>
            <c:ext xmlns:c16="http://schemas.microsoft.com/office/drawing/2014/chart" uri="{C3380CC4-5D6E-409C-BE32-E72D297353CC}">
              <c16:uniqueId val="{00000000-C77F-4282-B3EF-A86E13499F97}"/>
            </c:ext>
          </c:extLst>
        </c:ser>
        <c:ser>
          <c:idx val="0"/>
          <c:order val="0"/>
          <c:tx>
            <c:strRef>
              <c:f>'5-Top'!$M$34</c:f>
              <c:strCache>
                <c:ptCount val="1"/>
                <c:pt idx="0">
                  <c:v>Returns as share of tax units</c:v>
                </c:pt>
              </c:strCache>
            </c:strRef>
          </c:tx>
          <c:spPr>
            <a:ln w="28575">
              <a:solidFill>
                <a:srgbClr val="2699B4"/>
              </a:solidFill>
            </a:ln>
          </c:spPr>
          <c:marker>
            <c:symbol val="none"/>
          </c:marker>
          <c:dPt>
            <c:idx val="27"/>
            <c:bubble3D val="0"/>
            <c:spPr>
              <a:ln w="28575">
                <a:solidFill>
                  <a:srgbClr val="2699B4"/>
                </a:solidFill>
                <a:prstDash val="solid"/>
              </a:ln>
            </c:spPr>
            <c:extLst>
              <c:ext xmlns:c16="http://schemas.microsoft.com/office/drawing/2014/chart" uri="{C3380CC4-5D6E-409C-BE32-E72D297353CC}">
                <c16:uniqueId val="{00000002-C77F-4282-B3EF-A86E13499F97}"/>
              </c:ext>
            </c:extLst>
          </c:dPt>
          <c:dPt>
            <c:idx val="28"/>
            <c:bubble3D val="0"/>
            <c:spPr>
              <a:ln w="28575">
                <a:solidFill>
                  <a:srgbClr val="2699B4"/>
                </a:solidFill>
                <a:prstDash val="solid"/>
              </a:ln>
            </c:spPr>
            <c:extLst>
              <c:ext xmlns:c16="http://schemas.microsoft.com/office/drawing/2014/chart" uri="{C3380CC4-5D6E-409C-BE32-E72D297353CC}">
                <c16:uniqueId val="{00000004-C77F-4282-B3EF-A86E13499F97}"/>
              </c:ext>
            </c:extLst>
          </c:dPt>
          <c:dPt>
            <c:idx val="31"/>
            <c:bubble3D val="0"/>
            <c:spPr>
              <a:ln w="28575">
                <a:solidFill>
                  <a:srgbClr val="2699B4"/>
                </a:solidFill>
                <a:prstDash val="solid"/>
              </a:ln>
            </c:spPr>
            <c:extLst>
              <c:ext xmlns:c16="http://schemas.microsoft.com/office/drawing/2014/chart" uri="{C3380CC4-5D6E-409C-BE32-E72D297353CC}">
                <c16:uniqueId val="{00000006-C77F-4282-B3EF-A86E13499F97}"/>
              </c:ext>
            </c:extLst>
          </c:dPt>
          <c:dPt>
            <c:idx val="32"/>
            <c:bubble3D val="0"/>
            <c:spPr>
              <a:ln w="28575">
                <a:solidFill>
                  <a:srgbClr val="2699B4"/>
                </a:solidFill>
                <a:prstDash val="solid"/>
              </a:ln>
            </c:spPr>
            <c:extLst>
              <c:ext xmlns:c16="http://schemas.microsoft.com/office/drawing/2014/chart" uri="{C3380CC4-5D6E-409C-BE32-E72D297353CC}">
                <c16:uniqueId val="{00000008-C77F-4282-B3EF-A86E13499F97}"/>
              </c:ext>
            </c:extLst>
          </c:dPt>
          <c:dPt>
            <c:idx val="33"/>
            <c:bubble3D val="0"/>
            <c:spPr>
              <a:ln w="28575">
                <a:solidFill>
                  <a:srgbClr val="2699B4"/>
                </a:solidFill>
                <a:prstDash val="solid"/>
              </a:ln>
            </c:spPr>
            <c:extLst>
              <c:ext xmlns:c16="http://schemas.microsoft.com/office/drawing/2014/chart" uri="{C3380CC4-5D6E-409C-BE32-E72D297353CC}">
                <c16:uniqueId val="{0000000A-C77F-4282-B3EF-A86E13499F97}"/>
              </c:ext>
            </c:extLst>
          </c:dPt>
          <c:xVal>
            <c:numRef>
              <c:f>'5-Top'!$A$35:$A$95</c:f>
              <c:numCache>
                <c:formatCode>General</c:formatCode>
                <c:ptCount val="6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numCache>
            </c:numRef>
          </c:xVal>
          <c:yVal>
            <c:numRef>
              <c:f>'5-Top'!$M$35:$M$95</c:f>
              <c:numCache>
                <c:formatCode>0.000%</c:formatCode>
                <c:ptCount val="61"/>
                <c:pt idx="1">
                  <c:v>6.3716763805453264E-6</c:v>
                </c:pt>
                <c:pt idx="2">
                  <c:v>6.2732890687413456E-6</c:v>
                </c:pt>
                <c:pt idx="4">
                  <c:v>8.9465568816413359E-6</c:v>
                </c:pt>
                <c:pt idx="5">
                  <c:v>4.8493917834890879E-5</c:v>
                </c:pt>
                <c:pt idx="6">
                  <c:v>6.1729234546708191E-5</c:v>
                </c:pt>
                <c:pt idx="7">
                  <c:v>3.0758912702295014E-5</c:v>
                </c:pt>
                <c:pt idx="8">
                  <c:v>8.6089829540076125E-5</c:v>
                </c:pt>
                <c:pt idx="9">
                  <c:v>4.8253090538908287E-5</c:v>
                </c:pt>
                <c:pt idx="10">
                  <c:v>1.0097092237625745E-4</c:v>
                </c:pt>
                <c:pt idx="11">
                  <c:v>1.249980404518756E-4</c:v>
                </c:pt>
                <c:pt idx="12">
                  <c:v>1.9145560075813247E-4</c:v>
                </c:pt>
                <c:pt idx="13">
                  <c:v>2.0471236340083486E-4</c:v>
                </c:pt>
                <c:pt idx="14">
                  <c:v>2.5980269792749992E-4</c:v>
                </c:pt>
                <c:pt idx="15">
                  <c:v>2.680206340374038E-4</c:v>
                </c:pt>
                <c:pt idx="19">
                  <c:v>6.4758786425422714E-4</c:v>
                </c:pt>
                <c:pt idx="23">
                  <c:v>5.3090804531816735E-3</c:v>
                </c:pt>
                <c:pt idx="24">
                  <c:v>2.8390636891440823E-3</c:v>
                </c:pt>
                <c:pt idx="25">
                  <c:v>3.1365766602140313E-3</c:v>
                </c:pt>
                <c:pt idx="26">
                  <c:v>3.6467716661875058E-3</c:v>
                </c:pt>
                <c:pt idx="27">
                  <c:v>1.2860343604849164E-2</c:v>
                </c:pt>
                <c:pt idx="28">
                  <c:v>0.22589774685279157</c:v>
                </c:pt>
                <c:pt idx="29">
                  <c:v>0.23149499410435984</c:v>
                </c:pt>
                <c:pt idx="30">
                  <c:v>0.226179135693587</c:v>
                </c:pt>
                <c:pt idx="31">
                  <c:v>2.7999831257859258E-2</c:v>
                </c:pt>
                <c:pt idx="32">
                  <c:v>2.7785069948619952E-2</c:v>
                </c:pt>
                <c:pt idx="33">
                  <c:v>3.6725281834392599E-3</c:v>
                </c:pt>
                <c:pt idx="34">
                  <c:v>4.0150003287916045E-3</c:v>
                </c:pt>
                <c:pt idx="35">
                  <c:v>4.486776223387794E-3</c:v>
                </c:pt>
                <c:pt idx="36">
                  <c:v>4.8940157540307795E-3</c:v>
                </c:pt>
                <c:pt idx="37">
                  <c:v>5.3468853680902978E-3</c:v>
                </c:pt>
                <c:pt idx="38">
                  <c:v>5.7537515750887775E-3</c:v>
                </c:pt>
                <c:pt idx="39">
                  <c:v>6.5332169021751459E-3</c:v>
                </c:pt>
                <c:pt idx="40">
                  <c:v>6.8516058985818714E-3</c:v>
                </c:pt>
                <c:pt idx="41">
                  <c:v>6.1737351190476186E-3</c:v>
                </c:pt>
                <c:pt idx="42">
                  <c:v>5.4839552479187988E-3</c:v>
                </c:pt>
                <c:pt idx="43">
                  <c:v>5.3018337175609652E-3</c:v>
                </c:pt>
                <c:pt idx="44">
                  <c:v>5.8530996930171823E-3</c:v>
                </c:pt>
                <c:pt idx="45">
                  <c:v>6.5327561505610738E-3</c:v>
                </c:pt>
                <c:pt idx="46">
                  <c:v>6.7541402390116001E-3</c:v>
                </c:pt>
                <c:pt idx="47">
                  <c:v>7.0773244370308597E-3</c:v>
                </c:pt>
                <c:pt idx="48">
                  <c:v>6.372145190276921E-3</c:v>
                </c:pt>
                <c:pt idx="49">
                  <c:v>5.1455488039181202E-3</c:v>
                </c:pt>
                <c:pt idx="50">
                  <c:v>5.4698623909020467E-3</c:v>
                </c:pt>
                <c:pt idx="51">
                  <c:v>5.8241047693016858E-3</c:v>
                </c:pt>
                <c:pt idx="52">
                  <c:v>6.4394359009465963E-3</c:v>
                </c:pt>
                <c:pt idx="53">
                  <c:v>5.4750365035153804E-3</c:v>
                </c:pt>
                <c:pt idx="54">
                  <c:v>5.9315409645343663E-3</c:v>
                </c:pt>
                <c:pt idx="55">
                  <c:v>6.1348422726131705E-3</c:v>
                </c:pt>
                <c:pt idx="56">
                  <c:v>5.9949246956880545E-3</c:v>
                </c:pt>
              </c:numCache>
            </c:numRef>
          </c:yVal>
          <c:smooth val="1"/>
          <c:extLst>
            <c:ext xmlns:c16="http://schemas.microsoft.com/office/drawing/2014/chart" uri="{C3380CC4-5D6E-409C-BE32-E72D297353CC}">
              <c16:uniqueId val="{0000000B-C77F-4282-B3EF-A86E13499F97}"/>
            </c:ext>
          </c:extLst>
        </c:ser>
        <c:dLbls>
          <c:showLegendKey val="0"/>
          <c:showVal val="0"/>
          <c:showCatName val="0"/>
          <c:showSerName val="0"/>
          <c:showPercent val="0"/>
          <c:showBubbleSize val="0"/>
        </c:dLbls>
        <c:axId val="1117966680"/>
        <c:axId val="1117967072"/>
      </c:scatterChart>
      <c:valAx>
        <c:axId val="1117966680"/>
        <c:scaling>
          <c:orientation val="minMax"/>
          <c:max val="2020"/>
          <c:min val="1960"/>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117967072"/>
        <c:crossesAt val="0"/>
        <c:crossBetween val="midCat"/>
        <c:majorUnit val="10"/>
        <c:minorUnit val="10"/>
      </c:valAx>
      <c:valAx>
        <c:axId val="1117967072"/>
        <c:scaling>
          <c:orientation val="minMax"/>
          <c:max val="0.92"/>
          <c:min val="0"/>
        </c:scaling>
        <c:delete val="0"/>
        <c:axPos val="l"/>
        <c:majorGridlines>
          <c:spPr>
            <a:ln w="6350">
              <a:solidFill>
                <a:schemeClr val="bg1">
                  <a:lumMod val="75000"/>
                </a:schemeClr>
              </a:solidFill>
              <a:prstDash val="sysDot"/>
            </a:ln>
          </c:spPr>
        </c:majorGridlines>
        <c:title>
          <c:tx>
            <c:rich>
              <a:bodyPr/>
              <a:lstStyle/>
              <a:p>
                <a:pPr>
                  <a:defRPr sz="1200" b="0" i="0" u="none" strike="noStrike" baseline="0">
                    <a:solidFill>
                      <a:srgbClr val="000000"/>
                    </a:solidFill>
                    <a:latin typeface="Arial"/>
                    <a:ea typeface="Arial"/>
                    <a:cs typeface="Arial"/>
                  </a:defRPr>
                </a:pPr>
                <a:r>
                  <a:rPr lang="en-US" sz="1050" b="0" baseline="0"/>
                  <a:t>Share of tax units taxed at top indiv. inc. tax rate</a:t>
                </a:r>
                <a:endParaRPr lang="en-US" sz="1100" b="0"/>
              </a:p>
            </c:rich>
          </c:tx>
          <c:layout>
            <c:manualLayout>
              <c:xMode val="edge"/>
              <c:yMode val="edge"/>
              <c:x val="0"/>
              <c:y val="0.14943601928980074"/>
            </c:manualLayout>
          </c:layout>
          <c:overlay val="0"/>
          <c:spPr>
            <a:noFill/>
            <a:ln w="25400">
              <a:noFill/>
            </a:ln>
          </c:spPr>
        </c:title>
        <c:numFmt formatCode="0%" sourceLinked="0"/>
        <c:majorTickMark val="out"/>
        <c:minorTickMark val="none"/>
        <c:tickLblPos val="nextTo"/>
        <c:spPr>
          <a:ln w="3175">
            <a:no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117966680"/>
        <c:crosses val="autoZero"/>
        <c:crossBetween val="midCat"/>
        <c:majorUnit val="0.30000000000000004"/>
      </c:valAx>
      <c:spPr>
        <a:solidFill>
          <a:srgbClr val="FFFFFF"/>
        </a:solidFill>
        <a:ln w="3175">
          <a:noFill/>
          <a:prstDash val="solid"/>
        </a:ln>
      </c:spPr>
    </c:plotArea>
    <c:plotVisOnly val="1"/>
    <c:dispBlanksAs val="span"/>
    <c:showDLblsOverMax val="0"/>
  </c:chart>
  <c:spPr>
    <a:solidFill>
      <a:schemeClr val="bg1"/>
    </a:solidFill>
    <a:ln w="9525">
      <a:noFill/>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0866" r="0.75000000000000866" t="1" header="0.5" footer="0.5"/>
    <c:pageSetup orientation="landscape" verticalDpi="96"/>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49596070162592"/>
          <c:y val="3.3777574141508858E-2"/>
          <c:w val="0.83697210194029859"/>
          <c:h val="0.90203526840513759"/>
        </c:manualLayout>
      </c:layout>
      <c:scatterChart>
        <c:scatterStyle val="smoothMarker"/>
        <c:varyColors val="0"/>
        <c:ser>
          <c:idx val="2"/>
          <c:order val="1"/>
          <c:tx>
            <c:strRef>
              <c:f>'5-Top'!$B$34</c:f>
              <c:strCache>
                <c:ptCount val="1"/>
                <c:pt idx="0">
                  <c:v>Top marginal federal indiv. income tax rate</c:v>
                </c:pt>
              </c:strCache>
            </c:strRef>
          </c:tx>
          <c:spPr>
            <a:ln w="28575">
              <a:solidFill>
                <a:srgbClr val="D58F11"/>
              </a:solidFill>
              <a:prstDash val="solid"/>
            </a:ln>
          </c:spPr>
          <c:marker>
            <c:symbol val="none"/>
          </c:marker>
          <c:xVal>
            <c:numRef>
              <c:f>'5-Top'!$A$35:$A$95</c:f>
              <c:numCache>
                <c:formatCode>General</c:formatCode>
                <c:ptCount val="6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numCache>
            </c:numRef>
          </c:xVal>
          <c:yVal>
            <c:numRef>
              <c:f>'5-Top'!$B$35:$B$95</c:f>
              <c:numCache>
                <c:formatCode>0.000</c:formatCode>
                <c:ptCount val="61"/>
                <c:pt idx="0">
                  <c:v>0.91</c:v>
                </c:pt>
                <c:pt idx="1">
                  <c:v>0.91</c:v>
                </c:pt>
                <c:pt idx="2">
                  <c:v>0.91</c:v>
                </c:pt>
                <c:pt idx="3">
                  <c:v>0.91</c:v>
                </c:pt>
                <c:pt idx="4">
                  <c:v>0.77</c:v>
                </c:pt>
                <c:pt idx="5">
                  <c:v>0.7</c:v>
                </c:pt>
                <c:pt idx="6">
                  <c:v>0.7</c:v>
                </c:pt>
                <c:pt idx="7">
                  <c:v>0.7</c:v>
                </c:pt>
                <c:pt idx="8">
                  <c:v>0.75249999999999995</c:v>
                </c:pt>
                <c:pt idx="9">
                  <c:v>0.77</c:v>
                </c:pt>
                <c:pt idx="10">
                  <c:v>0.71750000000000003</c:v>
                </c:pt>
                <c:pt idx="11">
                  <c:v>0.7</c:v>
                </c:pt>
                <c:pt idx="12">
                  <c:v>0.7</c:v>
                </c:pt>
                <c:pt idx="13">
                  <c:v>0.7</c:v>
                </c:pt>
                <c:pt idx="14">
                  <c:v>0.7</c:v>
                </c:pt>
                <c:pt idx="15">
                  <c:v>0.7</c:v>
                </c:pt>
                <c:pt idx="16">
                  <c:v>0.7</c:v>
                </c:pt>
                <c:pt idx="17">
                  <c:v>0.7</c:v>
                </c:pt>
                <c:pt idx="18">
                  <c:v>0.7</c:v>
                </c:pt>
                <c:pt idx="19">
                  <c:v>0.7</c:v>
                </c:pt>
                <c:pt idx="20">
                  <c:v>0.7</c:v>
                </c:pt>
                <c:pt idx="21">
                  <c:v>0.69125000000000003</c:v>
                </c:pt>
                <c:pt idx="22">
                  <c:v>0.5</c:v>
                </c:pt>
                <c:pt idx="23">
                  <c:v>0.5</c:v>
                </c:pt>
                <c:pt idx="24">
                  <c:v>0.5</c:v>
                </c:pt>
                <c:pt idx="25">
                  <c:v>0.5</c:v>
                </c:pt>
                <c:pt idx="26">
                  <c:v>0.5</c:v>
                </c:pt>
                <c:pt idx="27">
                  <c:v>0.38500000000000001</c:v>
                </c:pt>
                <c:pt idx="28">
                  <c:v>0.28000000000000003</c:v>
                </c:pt>
                <c:pt idx="29">
                  <c:v>0.28000000000000003</c:v>
                </c:pt>
                <c:pt idx="30">
                  <c:v>0.28000000000000003</c:v>
                </c:pt>
                <c:pt idx="31">
                  <c:v>0.31</c:v>
                </c:pt>
                <c:pt idx="32">
                  <c:v>0.31</c:v>
                </c:pt>
                <c:pt idx="33">
                  <c:v>0.39600000000000002</c:v>
                </c:pt>
                <c:pt idx="34">
                  <c:v>0.39600000000000002</c:v>
                </c:pt>
                <c:pt idx="35">
                  <c:v>0.39600000000000002</c:v>
                </c:pt>
                <c:pt idx="36">
                  <c:v>0.39600000000000002</c:v>
                </c:pt>
                <c:pt idx="37">
                  <c:v>0.39600000000000002</c:v>
                </c:pt>
                <c:pt idx="38">
                  <c:v>0.39600000000000002</c:v>
                </c:pt>
                <c:pt idx="39">
                  <c:v>0.39600000000000002</c:v>
                </c:pt>
                <c:pt idx="40">
                  <c:v>0.39600000000000002</c:v>
                </c:pt>
                <c:pt idx="41">
                  <c:v>0.39100000000000001</c:v>
                </c:pt>
                <c:pt idx="42">
                  <c:v>0.38600000000000001</c:v>
                </c:pt>
                <c:pt idx="43">
                  <c:v>0.35</c:v>
                </c:pt>
                <c:pt idx="44">
                  <c:v>0.35</c:v>
                </c:pt>
                <c:pt idx="45">
                  <c:v>0.35</c:v>
                </c:pt>
                <c:pt idx="46">
                  <c:v>0.35</c:v>
                </c:pt>
                <c:pt idx="47">
                  <c:v>0.35</c:v>
                </c:pt>
                <c:pt idx="48">
                  <c:v>0.35</c:v>
                </c:pt>
                <c:pt idx="49">
                  <c:v>0.35</c:v>
                </c:pt>
                <c:pt idx="50">
                  <c:v>0.35</c:v>
                </c:pt>
                <c:pt idx="51">
                  <c:v>0.35</c:v>
                </c:pt>
                <c:pt idx="52">
                  <c:v>0.35</c:v>
                </c:pt>
                <c:pt idx="53">
                  <c:v>0.39600000000000002</c:v>
                </c:pt>
                <c:pt idx="54">
                  <c:v>0.39600000000000002</c:v>
                </c:pt>
                <c:pt idx="55">
                  <c:v>0.39600000000000002</c:v>
                </c:pt>
                <c:pt idx="56">
                  <c:v>0.39600000000000002</c:v>
                </c:pt>
                <c:pt idx="57">
                  <c:v>0.39600000000000002</c:v>
                </c:pt>
                <c:pt idx="58">
                  <c:v>0.37</c:v>
                </c:pt>
                <c:pt idx="59">
                  <c:v>0.37</c:v>
                </c:pt>
                <c:pt idx="60">
                  <c:v>0.37</c:v>
                </c:pt>
              </c:numCache>
            </c:numRef>
          </c:yVal>
          <c:smooth val="1"/>
          <c:extLst>
            <c:ext xmlns:c16="http://schemas.microsoft.com/office/drawing/2014/chart" uri="{C3380CC4-5D6E-409C-BE32-E72D297353CC}">
              <c16:uniqueId val="{00000000-4027-438A-9943-949B5FA091BA}"/>
            </c:ext>
          </c:extLst>
        </c:ser>
        <c:dLbls>
          <c:showLegendKey val="0"/>
          <c:showVal val="0"/>
          <c:showCatName val="0"/>
          <c:showSerName val="0"/>
          <c:showPercent val="0"/>
          <c:showBubbleSize val="0"/>
        </c:dLbls>
        <c:axId val="1117966680"/>
        <c:axId val="1117967072"/>
      </c:scatterChart>
      <c:scatterChart>
        <c:scatterStyle val="smoothMarker"/>
        <c:varyColors val="0"/>
        <c:ser>
          <c:idx val="1"/>
          <c:order val="0"/>
          <c:tx>
            <c:strRef>
              <c:f>'5-Top'!$X$34</c:f>
              <c:strCache>
                <c:ptCount val="1"/>
                <c:pt idx="0">
                  <c:v>Taxable ret. earnings as share of national income</c:v>
                </c:pt>
              </c:strCache>
            </c:strRef>
          </c:tx>
          <c:spPr>
            <a:ln w="28575">
              <a:solidFill>
                <a:srgbClr val="A03A49"/>
              </a:solidFill>
            </a:ln>
          </c:spPr>
          <c:marker>
            <c:symbol val="none"/>
          </c:marker>
          <c:xVal>
            <c:numRef>
              <c:f>'5-Top'!$A$35:$A$95</c:f>
              <c:numCache>
                <c:formatCode>General</c:formatCode>
                <c:ptCount val="6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numCache>
            </c:numRef>
          </c:xVal>
          <c:yVal>
            <c:numRef>
              <c:f>'5-Top'!$Y$35:$Y$95</c:f>
              <c:numCache>
                <c:formatCode>General</c:formatCode>
                <c:ptCount val="61"/>
                <c:pt idx="2" formatCode="0.0%">
                  <c:v>4.0256473323485253E-2</c:v>
                </c:pt>
                <c:pt idx="3" formatCode="0.0%">
                  <c:v>4.3455639092903245E-2</c:v>
                </c:pt>
                <c:pt idx="4" formatCode="0.0%">
                  <c:v>4.6672181813153461E-2</c:v>
                </c:pt>
                <c:pt idx="5" formatCode="0.0%">
                  <c:v>4.7380160466214551E-2</c:v>
                </c:pt>
                <c:pt idx="6" formatCode="0.0%">
                  <c:v>4.670463003480884E-2</c:v>
                </c:pt>
                <c:pt idx="7" formatCode="0.0%">
                  <c:v>4.4056123403137158E-2</c:v>
                </c:pt>
                <c:pt idx="8" formatCode="0.0%">
                  <c:v>3.8741459902011478E-2</c:v>
                </c:pt>
                <c:pt idx="9" formatCode="0.0%">
                  <c:v>3.4687707165811113E-2</c:v>
                </c:pt>
                <c:pt idx="10" formatCode="0.0%">
                  <c:v>3.2669245501936547E-2</c:v>
                </c:pt>
                <c:pt idx="11" formatCode="0.0%">
                  <c:v>3.1429642356815821E-2</c:v>
                </c:pt>
                <c:pt idx="12" formatCode="0.0%">
                  <c:v>2.9453993845513539E-2</c:v>
                </c:pt>
                <c:pt idx="13" formatCode="0.0%">
                  <c:v>3.0252583469717521E-2</c:v>
                </c:pt>
                <c:pt idx="14" formatCode="0.0%">
                  <c:v>3.0816619671916699E-2</c:v>
                </c:pt>
                <c:pt idx="15" formatCode="0.0%">
                  <c:v>3.0903658460726801E-2</c:v>
                </c:pt>
                <c:pt idx="16" formatCode="0.0%">
                  <c:v>3.1290566806295869E-2</c:v>
                </c:pt>
                <c:pt idx="17" formatCode="0.0%">
                  <c:v>3.3207116285810655E-2</c:v>
                </c:pt>
                <c:pt idx="18" formatCode="0.0%">
                  <c:v>3.1847864984641545E-2</c:v>
                </c:pt>
                <c:pt idx="19" formatCode="0.0%">
                  <c:v>2.9674250060005243E-2</c:v>
                </c:pt>
                <c:pt idx="20" formatCode="0.0%">
                  <c:v>2.6335673991159936E-2</c:v>
                </c:pt>
                <c:pt idx="21" formatCode="0.0%">
                  <c:v>2.3592245193800453E-2</c:v>
                </c:pt>
                <c:pt idx="22" formatCode="0.0%">
                  <c:v>2.1839334227471828E-2</c:v>
                </c:pt>
                <c:pt idx="23" formatCode="0.0%">
                  <c:v>2.1868225335870496E-2</c:v>
                </c:pt>
                <c:pt idx="24" formatCode="0.0%">
                  <c:v>2.0368576842443621E-2</c:v>
                </c:pt>
                <c:pt idx="25" formatCode="0.0%">
                  <c:v>1.9331069229237087E-2</c:v>
                </c:pt>
                <c:pt idx="26" formatCode="0.0%">
                  <c:v>1.7917956090315969E-2</c:v>
                </c:pt>
                <c:pt idx="27" formatCode="0.0%">
                  <c:v>1.545982306308169E-2</c:v>
                </c:pt>
                <c:pt idx="28" formatCode="0.0%">
                  <c:v>1.2831674929851803E-2</c:v>
                </c:pt>
                <c:pt idx="29" formatCode="0.0%">
                  <c:v>1.2319552856020582E-2</c:v>
                </c:pt>
                <c:pt idx="30" formatCode="0.0%">
                  <c:v>1.1983866076999933E-2</c:v>
                </c:pt>
                <c:pt idx="31" formatCode="0.0%">
                  <c:v>1.1371025157335107E-2</c:v>
                </c:pt>
                <c:pt idx="32" formatCode="0.0%">
                  <c:v>1.1951364921703008E-2</c:v>
                </c:pt>
                <c:pt idx="33" formatCode="0.0%">
                  <c:v>1.3559199892043452E-2</c:v>
                </c:pt>
                <c:pt idx="34" formatCode="0.0%">
                  <c:v>1.4342600012674553E-2</c:v>
                </c:pt>
                <c:pt idx="35" formatCode="0.0%">
                  <c:v>1.5491112088049805E-2</c:v>
                </c:pt>
                <c:pt idx="36" formatCode="0.0%">
                  <c:v>1.5427244090192615E-2</c:v>
                </c:pt>
                <c:pt idx="37" formatCode="0.0%">
                  <c:v>1.5292035522772215E-2</c:v>
                </c:pt>
                <c:pt idx="38" formatCode="0.0%">
                  <c:v>1.3287060614982771E-2</c:v>
                </c:pt>
                <c:pt idx="39" formatCode="0.0%">
                  <c:v>1.1662046743386372E-2</c:v>
                </c:pt>
                <c:pt idx="40" formatCode="0.0%">
                  <c:v>1.0534320643172864E-2</c:v>
                </c:pt>
                <c:pt idx="41" formatCode="0.0%">
                  <c:v>1.1068441781582915E-2</c:v>
                </c:pt>
                <c:pt idx="42" formatCode="0.0%">
                  <c:v>1.1387682467852642E-2</c:v>
                </c:pt>
                <c:pt idx="43" formatCode="0.0%">
                  <c:v>1.3427074225711266E-2</c:v>
                </c:pt>
                <c:pt idx="44" formatCode="0.0%">
                  <c:v>1.4942869151354347E-2</c:v>
                </c:pt>
                <c:pt idx="45" formatCode="0.0%">
                  <c:v>1.4085502714680485E-2</c:v>
                </c:pt>
                <c:pt idx="46" formatCode="0.0%">
                  <c:v>1.2061389720351354E-2</c:v>
                </c:pt>
                <c:pt idx="47" formatCode="0.0%">
                  <c:v>1.2414871713781596E-2</c:v>
                </c:pt>
                <c:pt idx="48" formatCode="0.0%">
                  <c:v>1.3946235028960984E-2</c:v>
                </c:pt>
                <c:pt idx="49" formatCode="0.0%">
                  <c:v>1.4877633968918308E-2</c:v>
                </c:pt>
                <c:pt idx="50" formatCode="0.0%">
                  <c:v>1.7106093653304393E-2</c:v>
                </c:pt>
                <c:pt idx="51" formatCode="0.0%">
                  <c:v>1.9804145477277459E-2</c:v>
                </c:pt>
                <c:pt idx="52" formatCode="0.0%">
                  <c:v>2.0064327901505648E-2</c:v>
                </c:pt>
                <c:pt idx="53" formatCode="0.0%">
                  <c:v>1.825892132683456E-2</c:v>
                </c:pt>
                <c:pt idx="54" formatCode="0.0%">
                  <c:v>1.7721656543156574E-2</c:v>
                </c:pt>
                <c:pt idx="55" formatCode="0.0%">
                  <c:v>1.7231974401541592E-2</c:v>
                </c:pt>
              </c:numCache>
            </c:numRef>
          </c:yVal>
          <c:smooth val="1"/>
          <c:extLst>
            <c:ext xmlns:c16="http://schemas.microsoft.com/office/drawing/2014/chart" uri="{C3380CC4-5D6E-409C-BE32-E72D297353CC}">
              <c16:uniqueId val="{00000001-4027-438A-9943-949B5FA091BA}"/>
            </c:ext>
          </c:extLst>
        </c:ser>
        <c:dLbls>
          <c:showLegendKey val="0"/>
          <c:showVal val="0"/>
          <c:showCatName val="0"/>
          <c:showSerName val="0"/>
          <c:showPercent val="0"/>
          <c:showBubbleSize val="0"/>
        </c:dLbls>
        <c:axId val="615813776"/>
        <c:axId val="615816272"/>
      </c:scatterChart>
      <c:valAx>
        <c:axId val="1117966680"/>
        <c:scaling>
          <c:orientation val="minMax"/>
          <c:max val="2020"/>
          <c:min val="1960"/>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117967072"/>
        <c:crossesAt val="0"/>
        <c:crossBetween val="midCat"/>
        <c:majorUnit val="10"/>
        <c:minorUnit val="10"/>
      </c:valAx>
      <c:valAx>
        <c:axId val="1117967072"/>
        <c:scaling>
          <c:orientation val="minMax"/>
          <c:max val="0.92"/>
          <c:min val="0"/>
        </c:scaling>
        <c:delete val="0"/>
        <c:axPos val="l"/>
        <c:majorGridlines>
          <c:spPr>
            <a:ln w="6350">
              <a:solidFill>
                <a:schemeClr val="bg1">
                  <a:lumMod val="75000"/>
                </a:schemeClr>
              </a:solidFill>
              <a:prstDash val="sysDot"/>
            </a:ln>
          </c:spPr>
        </c:majorGridlines>
        <c:numFmt formatCode="0%" sourceLinked="0"/>
        <c:majorTickMark val="out"/>
        <c:minorTickMark val="none"/>
        <c:tickLblPos val="nextTo"/>
        <c:spPr>
          <a:ln w="3175">
            <a:no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117966680"/>
        <c:crosses val="autoZero"/>
        <c:crossBetween val="midCat"/>
        <c:majorUnit val="0.30000000000000004"/>
      </c:valAx>
      <c:valAx>
        <c:axId val="615816272"/>
        <c:scaling>
          <c:orientation val="minMax"/>
          <c:max val="9.2000000000000026E-2"/>
          <c:min val="0"/>
        </c:scaling>
        <c:delete val="0"/>
        <c:axPos val="r"/>
        <c:numFmt formatCode="0%" sourceLinked="0"/>
        <c:majorTickMark val="out"/>
        <c:minorTickMark val="none"/>
        <c:tickLblPos val="nextTo"/>
        <c:spPr>
          <a:ln>
            <a:noFill/>
          </a:ln>
        </c:spPr>
        <c:txPr>
          <a:bodyPr/>
          <a:lstStyle/>
          <a:p>
            <a:pPr>
              <a:defRPr sz="1200">
                <a:solidFill>
                  <a:srgbClr val="792B36"/>
                </a:solidFill>
              </a:defRPr>
            </a:pPr>
            <a:endParaRPr lang="en-US"/>
          </a:p>
        </c:txPr>
        <c:crossAx val="615813776"/>
        <c:crosses val="max"/>
        <c:crossBetween val="midCat"/>
        <c:majorUnit val="3.0000000000000006E-2"/>
      </c:valAx>
      <c:valAx>
        <c:axId val="615813776"/>
        <c:scaling>
          <c:orientation val="minMax"/>
        </c:scaling>
        <c:delete val="1"/>
        <c:axPos val="b"/>
        <c:numFmt formatCode="General" sourceLinked="1"/>
        <c:majorTickMark val="out"/>
        <c:minorTickMark val="none"/>
        <c:tickLblPos val="nextTo"/>
        <c:crossAx val="615816272"/>
        <c:crosses val="autoZero"/>
        <c:crossBetween val="midCat"/>
      </c:valAx>
      <c:spPr>
        <a:solidFill>
          <a:srgbClr val="FFFFFF"/>
        </a:solidFill>
        <a:ln w="3175">
          <a:noFill/>
          <a:prstDash val="solid"/>
        </a:ln>
      </c:spPr>
    </c:plotArea>
    <c:plotVisOnly val="1"/>
    <c:dispBlanksAs val="span"/>
    <c:showDLblsOverMax val="0"/>
  </c:chart>
  <c:spPr>
    <a:solidFill>
      <a:schemeClr val="bg1"/>
    </a:solidFill>
    <a:ln w="9525">
      <a:noFill/>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0866" r="0.75000000000000866" t="1" header="0.5" footer="0.5"/>
    <c:pageSetup orientation="landscape" verticalDpi="96"/>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b="1" baseline="0"/>
              <a:t>C</a:t>
            </a:r>
            <a:r>
              <a:rPr lang="en-US" sz="1400" b="1"/>
              <a:t>hange in After-Tax</a:t>
            </a:r>
            <a:r>
              <a:rPr lang="en-US" sz="1400" b="1" baseline="0"/>
              <a:t> Income </a:t>
            </a:r>
            <a:endParaRPr lang="en-US" sz="1400" b="1"/>
          </a:p>
        </c:rich>
      </c:tx>
      <c:overlay val="0"/>
    </c:title>
    <c:autoTitleDeleted val="0"/>
    <c:plotArea>
      <c:layout>
        <c:manualLayout>
          <c:layoutTarget val="inner"/>
          <c:xMode val="edge"/>
          <c:yMode val="edge"/>
          <c:x val="0.12153689122193059"/>
          <c:y val="8.1396555081476044E-2"/>
          <c:w val="0.8385480703800916"/>
          <c:h val="0.80682094567655405"/>
        </c:manualLayout>
      </c:layout>
      <c:scatterChart>
        <c:scatterStyle val="smoothMarker"/>
        <c:varyColors val="0"/>
        <c:ser>
          <c:idx val="0"/>
          <c:order val="2"/>
          <c:tx>
            <c:v>initial</c:v>
          </c:tx>
          <c:spPr>
            <a:ln>
              <a:solidFill>
                <a:schemeClr val="tx1">
                  <a:lumMod val="50000"/>
                  <a:lumOff val="50000"/>
                </a:schemeClr>
              </a:solidFill>
              <a:prstDash val="sysDash"/>
            </a:ln>
          </c:spPr>
          <c:marker>
            <c:symbol val="none"/>
          </c:marker>
          <c:xVal>
            <c:numRef>
              <c:f>'B5-PrVsRd'!$G$39:$G$40</c:f>
              <c:numCache>
                <c:formatCode>0.00</c:formatCode>
                <c:ptCount val="2"/>
                <c:pt idx="0">
                  <c:v>9.2103403719761836</c:v>
                </c:pt>
                <c:pt idx="1">
                  <c:v>11.512925464970229</c:v>
                </c:pt>
              </c:numCache>
            </c:numRef>
          </c:xVal>
          <c:yVal>
            <c:numRef>
              <c:f>'B5-PrVsRd'!$I$39:$I$40</c:f>
              <c:numCache>
                <c:formatCode>0.00</c:formatCode>
                <c:ptCount val="2"/>
                <c:pt idx="0">
                  <c:v>9.1049798563183568</c:v>
                </c:pt>
                <c:pt idx="1">
                  <c:v>11.156250521031495</c:v>
                </c:pt>
              </c:numCache>
            </c:numRef>
          </c:yVal>
          <c:smooth val="1"/>
          <c:extLst>
            <c:ext xmlns:c16="http://schemas.microsoft.com/office/drawing/2014/chart" uri="{C3380CC4-5D6E-409C-BE32-E72D297353CC}">
              <c16:uniqueId val="{00000000-CFCB-4980-AA9C-5DCADCD7381F}"/>
            </c:ext>
          </c:extLst>
        </c:ser>
        <c:ser>
          <c:idx val="2"/>
          <c:order val="3"/>
          <c:tx>
            <c:v>final</c:v>
          </c:tx>
          <c:spPr>
            <a:ln>
              <a:solidFill>
                <a:srgbClr val="A03A49"/>
              </a:solidFill>
            </a:ln>
          </c:spPr>
          <c:marker>
            <c:symbol val="none"/>
          </c:marker>
          <c:dPt>
            <c:idx val="1"/>
            <c:bubble3D val="0"/>
            <c:extLst>
              <c:ext xmlns:c16="http://schemas.microsoft.com/office/drawing/2014/chart" uri="{C3380CC4-5D6E-409C-BE32-E72D297353CC}">
                <c16:uniqueId val="{00000000-948E-4C76-9ED2-2B719B6F9195}"/>
              </c:ext>
            </c:extLst>
          </c:dPt>
          <c:xVal>
            <c:numRef>
              <c:f>'B5-PrVsRd'!$G$44:$G$45</c:f>
              <c:numCache>
                <c:formatCode>0.00</c:formatCode>
                <c:ptCount val="2"/>
                <c:pt idx="0">
                  <c:v>9.2103403719761836</c:v>
                </c:pt>
                <c:pt idx="1">
                  <c:v>11.512925464970229</c:v>
                </c:pt>
              </c:numCache>
            </c:numRef>
          </c:xVal>
          <c:yVal>
            <c:numRef>
              <c:f>'B5-PrVsRd'!$I$44:$I$45</c:f>
              <c:numCache>
                <c:formatCode>0.00</c:formatCode>
                <c:ptCount val="2"/>
                <c:pt idx="0">
                  <c:v>8.987196820661973</c:v>
                </c:pt>
                <c:pt idx="1">
                  <c:v>10.596634733096073</c:v>
                </c:pt>
              </c:numCache>
            </c:numRef>
          </c:yVal>
          <c:smooth val="1"/>
          <c:extLst>
            <c:ext xmlns:c16="http://schemas.microsoft.com/office/drawing/2014/chart" uri="{C3380CC4-5D6E-409C-BE32-E72D297353CC}">
              <c16:uniqueId val="{00000001-CFCB-4980-AA9C-5DCADCD7381F}"/>
            </c:ext>
          </c:extLst>
        </c:ser>
        <c:dLbls>
          <c:showLegendKey val="0"/>
          <c:showVal val="0"/>
          <c:showCatName val="0"/>
          <c:showSerName val="0"/>
          <c:showPercent val="0"/>
          <c:showBubbleSize val="0"/>
        </c:dLbls>
        <c:axId val="1117966680"/>
        <c:axId val="1117967072"/>
        <c:extLst>
          <c:ext xmlns:c15="http://schemas.microsoft.com/office/drawing/2012/chart" uri="{02D57815-91ED-43cb-92C2-25804820EDAC}">
            <c15:filteredScatterSeries>
              <c15:ser>
                <c:idx val="1"/>
                <c:order val="0"/>
                <c:tx>
                  <c:v>Taxes vs Income 1979</c:v>
                </c:tx>
                <c:spPr>
                  <a:ln>
                    <a:noFill/>
                    <a:prstDash val="sysDash"/>
                  </a:ln>
                </c:spPr>
                <c:marker>
                  <c:symbol val="circle"/>
                  <c:size val="6"/>
                  <c:spPr>
                    <a:solidFill>
                      <a:schemeClr val="bg1"/>
                    </a:solidFill>
                    <a:ln>
                      <a:solidFill>
                        <a:schemeClr val="tx1">
                          <a:lumMod val="65000"/>
                          <a:lumOff val="35000"/>
                        </a:schemeClr>
                      </a:solidFill>
                    </a:ln>
                  </c:spPr>
                </c:marker>
                <c:xVal>
                  <c:numRef>
                    <c:extLst>
                      <c:ext uri="{02D57815-91ED-43cb-92C2-25804820EDAC}">
                        <c15:formulaRef>
                          <c15:sqref>'C2-NetEl'!#REF!</c15:sqref>
                        </c15:formulaRef>
                      </c:ext>
                    </c:extLst>
                  </c:numRef>
                </c:xVal>
                <c:yVal>
                  <c:numRef>
                    <c:extLst>
                      <c:ext uri="{02D57815-91ED-43cb-92C2-25804820EDAC}">
                        <c15:formulaRef>
                          <c15:sqref>'C2-NetEl'!#REF!</c15:sqref>
                        </c15:formulaRef>
                      </c:ext>
                    </c:extLst>
                    <c:numCache>
                      <c:formatCode>General</c:formatCode>
                      <c:ptCount val="1"/>
                      <c:pt idx="0">
                        <c:v>1</c:v>
                      </c:pt>
                    </c:numCache>
                  </c:numRef>
                </c:yVal>
                <c:smooth val="1"/>
                <c:extLst>
                  <c:ext xmlns:c16="http://schemas.microsoft.com/office/drawing/2014/chart" uri="{C3380CC4-5D6E-409C-BE32-E72D297353CC}">
                    <c16:uniqueId val="{00000002-CFCB-4980-AA9C-5DCADCD7381F}"/>
                  </c:ext>
                </c:extLst>
              </c15:ser>
            </c15:filteredScatterSeries>
            <c15:filteredScatterSeries>
              <c15:ser>
                <c:idx val="3"/>
                <c:order val="1"/>
                <c:tx>
                  <c:v>1986</c:v>
                </c:tx>
                <c:spPr>
                  <a:ln>
                    <a:noFill/>
                  </a:ln>
                </c:spPr>
                <c:marker>
                  <c:symbol val="square"/>
                  <c:size val="7"/>
                  <c:spPr>
                    <a:solidFill>
                      <a:srgbClr val="A03A49"/>
                    </a:solidFill>
                    <a:ln>
                      <a:solidFill>
                        <a:srgbClr val="A03A49"/>
                      </a:solidFill>
                    </a:ln>
                  </c:spPr>
                </c:marker>
                <c:xVal>
                  <c:numRef>
                    <c:extLst xmlns:c15="http://schemas.microsoft.com/office/drawing/2012/chart">
                      <c:ext xmlns:c15="http://schemas.microsoft.com/office/drawing/2012/chart" uri="{02D57815-91ED-43cb-92C2-25804820EDAC}">
                        <c15:formulaRef>
                          <c15:sqref>'C2-NetEl'!#REF!</c15:sqref>
                        </c15:formulaRef>
                      </c:ext>
                    </c:extLst>
                  </c:numRef>
                </c:xVal>
                <c:yVal>
                  <c:numRef>
                    <c:extLst xmlns:c15="http://schemas.microsoft.com/office/drawing/2012/chart">
                      <c:ext xmlns:c15="http://schemas.microsoft.com/office/drawing/2012/chart" uri="{02D57815-91ED-43cb-92C2-25804820EDAC}">
                        <c15:formulaRef>
                          <c15:sqref>'C2-NetEl'!#REF!</c15:sqref>
                        </c15:formulaRef>
                      </c:ext>
                    </c:extLst>
                    <c:numCache>
                      <c:formatCode>General</c:formatCode>
                      <c:ptCount val="1"/>
                      <c:pt idx="0">
                        <c:v>1</c:v>
                      </c:pt>
                    </c:numCache>
                  </c:numRef>
                </c:yVal>
                <c:smooth val="1"/>
                <c:extLst xmlns:c15="http://schemas.microsoft.com/office/drawing/2012/chart">
                  <c:ext xmlns:c16="http://schemas.microsoft.com/office/drawing/2014/chart" uri="{C3380CC4-5D6E-409C-BE32-E72D297353CC}">
                    <c16:uniqueId val="{00000003-CFCB-4980-AA9C-5DCADCD7381F}"/>
                  </c:ext>
                </c:extLst>
              </c15:ser>
            </c15:filteredScatterSeries>
          </c:ext>
        </c:extLst>
      </c:scatterChart>
      <c:valAx>
        <c:axId val="1117966680"/>
        <c:scaling>
          <c:orientation val="minMax"/>
          <c:max val="11"/>
          <c:min val="9"/>
        </c:scaling>
        <c:delete val="0"/>
        <c:axPos val="b"/>
        <c:title>
          <c:tx>
            <c:rich>
              <a:bodyPr/>
              <a:lstStyle/>
              <a:p>
                <a:pPr>
                  <a:defRPr/>
                </a:pPr>
                <a:r>
                  <a:rPr lang="en-US" sz="1200"/>
                  <a:t>Log pre-tax income</a:t>
                </a:r>
              </a:p>
            </c:rich>
          </c:tx>
          <c:layout>
            <c:manualLayout>
              <c:xMode val="edge"/>
              <c:yMode val="edge"/>
              <c:x val="0.4143871789964223"/>
              <c:y val="0.95749988234677774"/>
            </c:manualLayout>
          </c:layout>
          <c:overlay val="0"/>
        </c:title>
        <c:numFmt formatCode="0" sourceLinked="0"/>
        <c:majorTickMark val="out"/>
        <c:minorTickMark val="none"/>
        <c:tickLblPos val="nextTo"/>
        <c:spPr>
          <a:ln w="3175">
            <a:no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117967072"/>
        <c:crossesAt val="0"/>
        <c:crossBetween val="midCat"/>
        <c:majorUnit val="1"/>
      </c:valAx>
      <c:valAx>
        <c:axId val="1117967072"/>
        <c:scaling>
          <c:orientation val="minMax"/>
          <c:max val="10.7"/>
          <c:min val="9"/>
        </c:scaling>
        <c:delete val="0"/>
        <c:axPos val="l"/>
        <c:majorGridlines>
          <c:spPr>
            <a:ln w="6350">
              <a:solidFill>
                <a:schemeClr val="bg1">
                  <a:lumMod val="75000"/>
                </a:schemeClr>
              </a:solidFill>
              <a:prstDash val="sysDot"/>
            </a:ln>
          </c:spPr>
        </c:majorGridlines>
        <c:title>
          <c:tx>
            <c:rich>
              <a:bodyPr/>
              <a:lstStyle/>
              <a:p>
                <a:pPr>
                  <a:defRPr sz="1200" b="0" i="0" u="none" strike="noStrike" baseline="0">
                    <a:solidFill>
                      <a:srgbClr val="000000"/>
                    </a:solidFill>
                    <a:latin typeface="Arial"/>
                    <a:ea typeface="Arial"/>
                    <a:cs typeface="Arial"/>
                  </a:defRPr>
                </a:pPr>
                <a:r>
                  <a:rPr lang="en-US" sz="1200" b="0" baseline="0"/>
                  <a:t>Log after-tax income</a:t>
                </a:r>
                <a:endParaRPr lang="en-US" sz="1400" b="0"/>
              </a:p>
            </c:rich>
          </c:tx>
          <c:layout>
            <c:manualLayout>
              <c:xMode val="edge"/>
              <c:yMode val="edge"/>
              <c:x val="0"/>
              <c:y val="0.3254149917722805"/>
            </c:manualLayout>
          </c:layout>
          <c:overlay val="0"/>
          <c:spPr>
            <a:noFill/>
            <a:ln w="25400">
              <a:noFill/>
            </a:ln>
          </c:spPr>
        </c:title>
        <c:numFmt formatCode="#,##0.0" sourceLinked="0"/>
        <c:majorTickMark val="out"/>
        <c:minorTickMark val="none"/>
        <c:tickLblPos val="nextTo"/>
        <c:spPr>
          <a:ln w="3175">
            <a:no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1117966680"/>
        <c:crosses val="autoZero"/>
        <c:crossBetween val="midCat"/>
        <c:majorUnit val="0.5"/>
        <c:minorUnit val="0.05"/>
      </c:valAx>
      <c:spPr>
        <a:solidFill>
          <a:srgbClr val="FFFFFF"/>
        </a:solidFill>
        <a:ln w="3175">
          <a:noFill/>
          <a:prstDash val="solid"/>
        </a:ln>
      </c:spPr>
    </c:plotArea>
    <c:plotVisOnly val="1"/>
    <c:dispBlanksAs val="span"/>
    <c:showDLblsOverMax val="0"/>
  </c:chart>
  <c:spPr>
    <a:solidFill>
      <a:schemeClr val="bg1"/>
    </a:solidFill>
    <a:ln w="9525">
      <a:noFill/>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0866" r="0.75000000000000866" t="1" header="0.5" footer="0.5"/>
    <c:pageSetup orientation="landscape" verticalDpi="96"/>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b="1" baseline="0"/>
              <a:t>C</a:t>
            </a:r>
            <a:r>
              <a:rPr lang="en-US" sz="1400" b="1"/>
              <a:t>hange in Taxes</a:t>
            </a:r>
          </a:p>
        </c:rich>
      </c:tx>
      <c:overlay val="0"/>
    </c:title>
    <c:autoTitleDeleted val="0"/>
    <c:plotArea>
      <c:layout>
        <c:manualLayout>
          <c:layoutTarget val="inner"/>
          <c:xMode val="edge"/>
          <c:yMode val="edge"/>
          <c:x val="0.10914774737598547"/>
          <c:y val="8.1396555081476044E-2"/>
          <c:w val="0.85093718447691125"/>
          <c:h val="0.80682094567655405"/>
        </c:manualLayout>
      </c:layout>
      <c:scatterChart>
        <c:scatterStyle val="smoothMarker"/>
        <c:varyColors val="0"/>
        <c:ser>
          <c:idx val="0"/>
          <c:order val="2"/>
          <c:tx>
            <c:v>initial</c:v>
          </c:tx>
          <c:spPr>
            <a:ln w="25400">
              <a:solidFill>
                <a:schemeClr val="tx1">
                  <a:lumMod val="65000"/>
                  <a:lumOff val="35000"/>
                </a:schemeClr>
              </a:solidFill>
              <a:prstDash val="sysDash"/>
            </a:ln>
          </c:spPr>
          <c:marker>
            <c:symbol val="none"/>
          </c:marker>
          <c:xVal>
            <c:numRef>
              <c:f>'B5-PrVsRd'!$G$39:$G$40</c:f>
              <c:numCache>
                <c:formatCode>0.00</c:formatCode>
                <c:ptCount val="2"/>
                <c:pt idx="0">
                  <c:v>9.2103403719761836</c:v>
                </c:pt>
                <c:pt idx="1">
                  <c:v>11.512925464970229</c:v>
                </c:pt>
              </c:numCache>
            </c:numRef>
          </c:xVal>
          <c:yVal>
            <c:numRef>
              <c:f>'B5-PrVsRd'!$H$39:$H$40</c:f>
              <c:numCache>
                <c:formatCode>0.00</c:formatCode>
                <c:ptCount val="2"/>
                <c:pt idx="0">
                  <c:v>6.9077552789821368</c:v>
                </c:pt>
                <c:pt idx="1">
                  <c:v>10.308952660644293</c:v>
                </c:pt>
              </c:numCache>
            </c:numRef>
          </c:yVal>
          <c:smooth val="1"/>
          <c:extLst>
            <c:ext xmlns:c16="http://schemas.microsoft.com/office/drawing/2014/chart" uri="{C3380CC4-5D6E-409C-BE32-E72D297353CC}">
              <c16:uniqueId val="{00000000-8E39-4F65-A5FA-317DCAC99605}"/>
            </c:ext>
          </c:extLst>
        </c:ser>
        <c:ser>
          <c:idx val="2"/>
          <c:order val="3"/>
          <c:tx>
            <c:v>final</c:v>
          </c:tx>
          <c:spPr>
            <a:ln w="25400">
              <a:solidFill>
                <a:srgbClr val="1F7B91"/>
              </a:solidFill>
            </a:ln>
          </c:spPr>
          <c:marker>
            <c:symbol val="none"/>
          </c:marker>
          <c:xVal>
            <c:numRef>
              <c:f>'B5-PrVsRd'!$G$44:$G$45</c:f>
              <c:numCache>
                <c:formatCode>0.00</c:formatCode>
                <c:ptCount val="2"/>
                <c:pt idx="0">
                  <c:v>9.2103403719761836</c:v>
                </c:pt>
                <c:pt idx="1">
                  <c:v>11.512925464970229</c:v>
                </c:pt>
              </c:numCache>
            </c:numRef>
          </c:xVal>
          <c:yVal>
            <c:numRef>
              <c:f>'B5-PrVsRd'!$H$44:$H$45</c:f>
              <c:numCache>
                <c:formatCode>0.00</c:formatCode>
                <c:ptCount val="2"/>
                <c:pt idx="0">
                  <c:v>7.6009024595420822</c:v>
                </c:pt>
                <c:pt idx="1">
                  <c:v>11.002099841204238</c:v>
                </c:pt>
              </c:numCache>
            </c:numRef>
          </c:yVal>
          <c:smooth val="1"/>
          <c:extLst>
            <c:ext xmlns:c16="http://schemas.microsoft.com/office/drawing/2014/chart" uri="{C3380CC4-5D6E-409C-BE32-E72D297353CC}">
              <c16:uniqueId val="{00000001-8E39-4F65-A5FA-317DCAC99605}"/>
            </c:ext>
          </c:extLst>
        </c:ser>
        <c:dLbls>
          <c:showLegendKey val="0"/>
          <c:showVal val="0"/>
          <c:showCatName val="0"/>
          <c:showSerName val="0"/>
          <c:showPercent val="0"/>
          <c:showBubbleSize val="0"/>
        </c:dLbls>
        <c:axId val="1117966680"/>
        <c:axId val="1117967072"/>
        <c:extLst>
          <c:ext xmlns:c15="http://schemas.microsoft.com/office/drawing/2012/chart" uri="{02D57815-91ED-43cb-92C2-25804820EDAC}">
            <c15:filteredScatterSeries>
              <c15:ser>
                <c:idx val="1"/>
                <c:order val="0"/>
                <c:tx>
                  <c:v>Taxes vs Income 1979</c:v>
                </c:tx>
                <c:spPr>
                  <a:ln>
                    <a:noFill/>
                    <a:prstDash val="sysDash"/>
                  </a:ln>
                </c:spPr>
                <c:marker>
                  <c:symbol val="circle"/>
                  <c:size val="6"/>
                  <c:spPr>
                    <a:solidFill>
                      <a:schemeClr val="bg1"/>
                    </a:solidFill>
                    <a:ln>
                      <a:solidFill>
                        <a:schemeClr val="tx1">
                          <a:lumMod val="65000"/>
                          <a:lumOff val="35000"/>
                        </a:schemeClr>
                      </a:solidFill>
                    </a:ln>
                  </c:spPr>
                </c:marker>
                <c:xVal>
                  <c:numRef>
                    <c:extLst>
                      <c:ext uri="{02D57815-91ED-43cb-92C2-25804820EDAC}">
                        <c15:formulaRef>
                          <c15:sqref>'C2-NetEl'!#REF!</c15:sqref>
                        </c15:formulaRef>
                      </c:ext>
                    </c:extLst>
                  </c:numRef>
                </c:xVal>
                <c:yVal>
                  <c:numRef>
                    <c:extLst>
                      <c:ext uri="{02D57815-91ED-43cb-92C2-25804820EDAC}">
                        <c15:formulaRef>
                          <c15:sqref>'C2-NetEl'!#REF!</c15:sqref>
                        </c15:formulaRef>
                      </c:ext>
                    </c:extLst>
                    <c:numCache>
                      <c:formatCode>General</c:formatCode>
                      <c:ptCount val="1"/>
                      <c:pt idx="0">
                        <c:v>1</c:v>
                      </c:pt>
                    </c:numCache>
                  </c:numRef>
                </c:yVal>
                <c:smooth val="1"/>
                <c:extLst>
                  <c:ext xmlns:c16="http://schemas.microsoft.com/office/drawing/2014/chart" uri="{C3380CC4-5D6E-409C-BE32-E72D297353CC}">
                    <c16:uniqueId val="{00000002-8E39-4F65-A5FA-317DCAC99605}"/>
                  </c:ext>
                </c:extLst>
              </c15:ser>
            </c15:filteredScatterSeries>
            <c15:filteredScatterSeries>
              <c15:ser>
                <c:idx val="3"/>
                <c:order val="1"/>
                <c:tx>
                  <c:v>1986</c:v>
                </c:tx>
                <c:spPr>
                  <a:ln>
                    <a:noFill/>
                  </a:ln>
                </c:spPr>
                <c:marker>
                  <c:symbol val="square"/>
                  <c:size val="7"/>
                  <c:spPr>
                    <a:solidFill>
                      <a:srgbClr val="A03A49"/>
                    </a:solidFill>
                    <a:ln>
                      <a:solidFill>
                        <a:srgbClr val="A03A49"/>
                      </a:solidFill>
                    </a:ln>
                  </c:spPr>
                </c:marker>
                <c:xVal>
                  <c:numRef>
                    <c:extLst xmlns:c15="http://schemas.microsoft.com/office/drawing/2012/chart">
                      <c:ext xmlns:c15="http://schemas.microsoft.com/office/drawing/2012/chart" uri="{02D57815-91ED-43cb-92C2-25804820EDAC}">
                        <c15:formulaRef>
                          <c15:sqref>'C2-NetEl'!#REF!</c15:sqref>
                        </c15:formulaRef>
                      </c:ext>
                    </c:extLst>
                  </c:numRef>
                </c:xVal>
                <c:yVal>
                  <c:numRef>
                    <c:extLst xmlns:c15="http://schemas.microsoft.com/office/drawing/2012/chart">
                      <c:ext xmlns:c15="http://schemas.microsoft.com/office/drawing/2012/chart" uri="{02D57815-91ED-43cb-92C2-25804820EDAC}">
                        <c15:formulaRef>
                          <c15:sqref>'C2-NetEl'!#REF!</c15:sqref>
                        </c15:formulaRef>
                      </c:ext>
                    </c:extLst>
                    <c:numCache>
                      <c:formatCode>General</c:formatCode>
                      <c:ptCount val="1"/>
                      <c:pt idx="0">
                        <c:v>1</c:v>
                      </c:pt>
                    </c:numCache>
                  </c:numRef>
                </c:yVal>
                <c:smooth val="1"/>
                <c:extLst xmlns:c15="http://schemas.microsoft.com/office/drawing/2012/chart">
                  <c:ext xmlns:c16="http://schemas.microsoft.com/office/drawing/2014/chart" uri="{C3380CC4-5D6E-409C-BE32-E72D297353CC}">
                    <c16:uniqueId val="{00000003-8E39-4F65-A5FA-317DCAC99605}"/>
                  </c:ext>
                </c:extLst>
              </c15:ser>
            </c15:filteredScatterSeries>
          </c:ext>
        </c:extLst>
      </c:scatterChart>
      <c:valAx>
        <c:axId val="1117966680"/>
        <c:scaling>
          <c:orientation val="minMax"/>
          <c:max val="11"/>
          <c:min val="9"/>
        </c:scaling>
        <c:delete val="0"/>
        <c:axPos val="b"/>
        <c:title>
          <c:tx>
            <c:rich>
              <a:bodyPr/>
              <a:lstStyle/>
              <a:p>
                <a:pPr>
                  <a:defRPr/>
                </a:pPr>
                <a:r>
                  <a:rPr lang="en-US" sz="1200"/>
                  <a:t>Log pre-tax income</a:t>
                </a:r>
              </a:p>
            </c:rich>
          </c:tx>
          <c:layout>
            <c:manualLayout>
              <c:xMode val="edge"/>
              <c:yMode val="edge"/>
              <c:x val="0.4143871789964223"/>
              <c:y val="0.95749988234677774"/>
            </c:manualLayout>
          </c:layout>
          <c:overlay val="0"/>
        </c:title>
        <c:numFmt formatCode="0" sourceLinked="0"/>
        <c:majorTickMark val="out"/>
        <c:minorTickMark val="none"/>
        <c:tickLblPos val="nextTo"/>
        <c:spPr>
          <a:ln w="3175">
            <a:no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117967072"/>
        <c:crossesAt val="0"/>
        <c:crossBetween val="midCat"/>
        <c:majorUnit val="1"/>
      </c:valAx>
      <c:valAx>
        <c:axId val="1117967072"/>
        <c:scaling>
          <c:orientation val="minMax"/>
          <c:max val="10.7"/>
          <c:min val="6"/>
        </c:scaling>
        <c:delete val="0"/>
        <c:axPos val="l"/>
        <c:majorGridlines>
          <c:spPr>
            <a:ln w="6350">
              <a:solidFill>
                <a:schemeClr val="bg1">
                  <a:lumMod val="75000"/>
                </a:schemeClr>
              </a:solidFill>
              <a:prstDash val="sysDot"/>
            </a:ln>
          </c:spPr>
        </c:majorGridlines>
        <c:title>
          <c:tx>
            <c:rich>
              <a:bodyPr/>
              <a:lstStyle/>
              <a:p>
                <a:pPr>
                  <a:defRPr sz="1200" b="0" i="0" u="none" strike="noStrike" baseline="0">
                    <a:solidFill>
                      <a:srgbClr val="000000"/>
                    </a:solidFill>
                    <a:latin typeface="Arial"/>
                    <a:ea typeface="Arial"/>
                    <a:cs typeface="Arial"/>
                  </a:defRPr>
                </a:pPr>
                <a:r>
                  <a:rPr lang="en-US" sz="1200" b="0" baseline="0"/>
                  <a:t>Log tax</a:t>
                </a:r>
                <a:endParaRPr lang="en-US" sz="1400" b="0"/>
              </a:p>
            </c:rich>
          </c:tx>
          <c:layout>
            <c:manualLayout>
              <c:xMode val="edge"/>
              <c:yMode val="edge"/>
              <c:x val="2.2666663335083603E-3"/>
              <c:y val="0.46509749653855853"/>
            </c:manualLayout>
          </c:layout>
          <c:overlay val="0"/>
          <c:spPr>
            <a:noFill/>
            <a:ln w="25400">
              <a:noFill/>
            </a:ln>
          </c:spPr>
        </c:title>
        <c:numFmt formatCode="#,##0" sourceLinked="0"/>
        <c:majorTickMark val="out"/>
        <c:minorTickMark val="none"/>
        <c:tickLblPos val="nextTo"/>
        <c:spPr>
          <a:ln w="3175">
            <a:no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1117966680"/>
        <c:crosses val="autoZero"/>
        <c:crossBetween val="midCat"/>
        <c:majorUnit val="1"/>
        <c:minorUnit val="0.05"/>
      </c:valAx>
      <c:spPr>
        <a:solidFill>
          <a:srgbClr val="FFFFFF"/>
        </a:solidFill>
        <a:ln w="3175">
          <a:noFill/>
          <a:prstDash val="solid"/>
        </a:ln>
      </c:spPr>
    </c:plotArea>
    <c:plotVisOnly val="1"/>
    <c:dispBlanksAs val="span"/>
    <c:showDLblsOverMax val="0"/>
  </c:chart>
  <c:spPr>
    <a:solidFill>
      <a:schemeClr val="bg1"/>
    </a:solidFill>
    <a:ln w="9525">
      <a:noFill/>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0866" r="0.75000000000000866" t="1" header="0.5" footer="0.5"/>
    <c:pageSetup orientation="landscape" verticalDpi="96"/>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9861544575018127E-2"/>
          <c:y val="1.912437220292031E-2"/>
          <c:w val="0.86202173880807276"/>
          <c:h val="0.83983704919368452"/>
        </c:manualLayout>
      </c:layout>
      <c:scatterChart>
        <c:scatterStyle val="lineMarker"/>
        <c:varyColors val="0"/>
        <c:ser>
          <c:idx val="0"/>
          <c:order val="0"/>
          <c:tx>
            <c:v>CBO</c:v>
          </c:tx>
          <c:spPr>
            <a:ln w="22225">
              <a:solidFill>
                <a:srgbClr val="A03A49"/>
              </a:solidFill>
            </a:ln>
          </c:spPr>
          <c:marker>
            <c:symbol val="circle"/>
            <c:size val="6"/>
            <c:spPr>
              <a:solidFill>
                <a:srgbClr val="A03A49"/>
              </a:solidFill>
              <a:ln>
                <a:solidFill>
                  <a:srgbClr val="A03A49"/>
                </a:solidFill>
              </a:ln>
            </c:spPr>
          </c:marker>
          <c:xVal>
            <c:numRef>
              <c:f>'B6-SL'!$F$39:$M$39</c:f>
              <c:numCache>
                <c:formatCode>General</c:formatCode>
                <c:ptCount val="8"/>
                <c:pt idx="0">
                  <c:v>10</c:v>
                </c:pt>
                <c:pt idx="1">
                  <c:v>30</c:v>
                </c:pt>
                <c:pt idx="2">
                  <c:v>50</c:v>
                </c:pt>
                <c:pt idx="3">
                  <c:v>70</c:v>
                </c:pt>
                <c:pt idx="4">
                  <c:v>85</c:v>
                </c:pt>
                <c:pt idx="5">
                  <c:v>92.5</c:v>
                </c:pt>
                <c:pt idx="6">
                  <c:v>97</c:v>
                </c:pt>
                <c:pt idx="7" formatCode="0.0">
                  <c:v>99.5</c:v>
                </c:pt>
              </c:numCache>
            </c:numRef>
          </c:xVal>
          <c:yVal>
            <c:numRef>
              <c:f>'B6-SL'!$F$34:$M$34</c:f>
              <c:numCache>
                <c:formatCode>0.0</c:formatCode>
                <c:ptCount val="8"/>
                <c:pt idx="0">
                  <c:v>0</c:v>
                </c:pt>
                <c:pt idx="1">
                  <c:v>7.6</c:v>
                </c:pt>
                <c:pt idx="2">
                  <c:v>12.1</c:v>
                </c:pt>
                <c:pt idx="3">
                  <c:v>15.9</c:v>
                </c:pt>
                <c:pt idx="4">
                  <c:v>19.399999999999999</c:v>
                </c:pt>
                <c:pt idx="5">
                  <c:v>21.6</c:v>
                </c:pt>
                <c:pt idx="6">
                  <c:v>24.8</c:v>
                </c:pt>
                <c:pt idx="7">
                  <c:v>29.3</c:v>
                </c:pt>
              </c:numCache>
            </c:numRef>
          </c:yVal>
          <c:smooth val="0"/>
          <c:extLst>
            <c:ext xmlns:c16="http://schemas.microsoft.com/office/drawing/2014/chart" uri="{C3380CC4-5D6E-409C-BE32-E72D297353CC}">
              <c16:uniqueId val="{00000000-9E18-4C13-AAF4-3E264D2A8657}"/>
            </c:ext>
          </c:extLst>
        </c:ser>
        <c:ser>
          <c:idx val="4"/>
          <c:order val="1"/>
          <c:tx>
            <c:v>CBO+ITEP</c:v>
          </c:tx>
          <c:spPr>
            <a:ln w="22225">
              <a:solidFill>
                <a:srgbClr val="2699B4"/>
              </a:solidFill>
              <a:prstDash val="sysDash"/>
            </a:ln>
          </c:spPr>
          <c:marker>
            <c:symbol val="circle"/>
            <c:size val="5"/>
            <c:spPr>
              <a:solidFill>
                <a:schemeClr val="bg1"/>
              </a:solidFill>
              <a:ln>
                <a:solidFill>
                  <a:srgbClr val="2699B4"/>
                </a:solidFill>
              </a:ln>
            </c:spPr>
          </c:marker>
          <c:xVal>
            <c:numRef>
              <c:f>'B6-SL'!$F$39:$M$39</c:f>
              <c:numCache>
                <c:formatCode>General</c:formatCode>
                <c:ptCount val="8"/>
                <c:pt idx="0">
                  <c:v>10</c:v>
                </c:pt>
                <c:pt idx="1">
                  <c:v>30</c:v>
                </c:pt>
                <c:pt idx="2">
                  <c:v>50</c:v>
                </c:pt>
                <c:pt idx="3">
                  <c:v>70</c:v>
                </c:pt>
                <c:pt idx="4">
                  <c:v>85</c:v>
                </c:pt>
                <c:pt idx="5">
                  <c:v>92.5</c:v>
                </c:pt>
                <c:pt idx="6">
                  <c:v>97</c:v>
                </c:pt>
                <c:pt idx="7" formatCode="0.0">
                  <c:v>99.5</c:v>
                </c:pt>
              </c:numCache>
            </c:numRef>
          </c:xVal>
          <c:yVal>
            <c:numRef>
              <c:f>'B6-SL'!$F$36:$M$36</c:f>
              <c:numCache>
                <c:formatCode>0.0</c:formatCode>
                <c:ptCount val="8"/>
                <c:pt idx="0">
                  <c:v>11.1</c:v>
                </c:pt>
                <c:pt idx="1">
                  <c:v>17.7</c:v>
                </c:pt>
                <c:pt idx="2">
                  <c:v>21.9</c:v>
                </c:pt>
                <c:pt idx="3">
                  <c:v>25.200000000000003</c:v>
                </c:pt>
                <c:pt idx="4">
                  <c:v>28.299999999999997</c:v>
                </c:pt>
                <c:pt idx="5">
                  <c:v>30.5</c:v>
                </c:pt>
                <c:pt idx="6">
                  <c:v>33</c:v>
                </c:pt>
                <c:pt idx="7">
                  <c:v>36.700000000000003</c:v>
                </c:pt>
              </c:numCache>
            </c:numRef>
          </c:yVal>
          <c:smooth val="0"/>
          <c:extLst>
            <c:ext xmlns:c16="http://schemas.microsoft.com/office/drawing/2014/chart" uri="{C3380CC4-5D6E-409C-BE32-E72D297353CC}">
              <c16:uniqueId val="{00000001-9E18-4C13-AAF4-3E264D2A8657}"/>
            </c:ext>
          </c:extLst>
        </c:ser>
        <c:dLbls>
          <c:showLegendKey val="0"/>
          <c:showVal val="0"/>
          <c:showCatName val="0"/>
          <c:showSerName val="0"/>
          <c:showPercent val="0"/>
          <c:showBubbleSize val="0"/>
        </c:dLbls>
        <c:axId val="717093464"/>
        <c:axId val="717093856"/>
        <c:extLst/>
      </c:scatterChart>
      <c:valAx>
        <c:axId val="717093464"/>
        <c:scaling>
          <c:orientation val="minMax"/>
          <c:max val="100"/>
        </c:scaling>
        <c:delete val="0"/>
        <c:axPos val="b"/>
        <c:title>
          <c:tx>
            <c:rich>
              <a:bodyPr/>
              <a:lstStyle/>
              <a:p>
                <a:pPr>
                  <a:defRPr/>
                </a:pPr>
                <a:r>
                  <a:rPr lang="en-US" sz="1200" b="0" i="0" baseline="0">
                    <a:effectLst/>
                    <a:latin typeface="Arial" panose="020B0604020202020204" pitchFamily="34" charset="0"/>
                    <a:cs typeface="Arial" panose="020B0604020202020204" pitchFamily="34" charset="0"/>
                  </a:rPr>
                  <a:t>Income quintile </a:t>
                </a:r>
                <a:endParaRPr lang="en-US" sz="700" b="0">
                  <a:effectLst/>
                  <a:latin typeface="Arial" panose="020B0604020202020204" pitchFamily="34" charset="0"/>
                  <a:cs typeface="Arial" panose="020B0604020202020204" pitchFamily="34" charset="0"/>
                </a:endParaRPr>
              </a:p>
            </c:rich>
          </c:tx>
          <c:layout>
            <c:manualLayout>
              <c:xMode val="edge"/>
              <c:yMode val="edge"/>
              <c:x val="0.41390927828936641"/>
              <c:y val="0.91791748869528778"/>
            </c:manualLayout>
          </c:layout>
          <c:overlay val="0"/>
        </c:title>
        <c:numFmt formatCode="0" sourceLinked="0"/>
        <c:majorTickMark val="out"/>
        <c:minorTickMark val="none"/>
        <c:tickLblPos val="nextTo"/>
        <c:spPr>
          <a:ln>
            <a:noFill/>
          </a:ln>
        </c:spPr>
        <c:txPr>
          <a:bodyPr rot="0" vert="horz"/>
          <a:lstStyle/>
          <a:p>
            <a:pPr>
              <a:defRPr sz="1100" b="0" i="0" u="none" strike="noStrike" kern="0" spc="-20" baseline="0">
                <a:solidFill>
                  <a:srgbClr val="000000"/>
                </a:solidFill>
                <a:latin typeface="Arial" panose="020B0604020202020204" pitchFamily="34" charset="0"/>
                <a:ea typeface="Arial"/>
                <a:cs typeface="Arial" panose="020B0604020202020204" pitchFamily="34" charset="0"/>
              </a:defRPr>
            </a:pPr>
            <a:endParaRPr lang="en-US"/>
          </a:p>
        </c:txPr>
        <c:crossAx val="717093856"/>
        <c:crossesAt val="-20"/>
        <c:crossBetween val="midCat"/>
        <c:majorUnit val="20"/>
        <c:minorUnit val="1"/>
      </c:valAx>
      <c:valAx>
        <c:axId val="717093856"/>
        <c:scaling>
          <c:orientation val="minMax"/>
          <c:max val="40"/>
          <c:min val="0"/>
        </c:scaling>
        <c:delete val="0"/>
        <c:axPos val="l"/>
        <c:majorGridlines>
          <c:spPr>
            <a:ln>
              <a:solidFill>
                <a:schemeClr val="bg1">
                  <a:lumMod val="75000"/>
                </a:schemeClr>
              </a:solidFill>
              <a:prstDash val="sysDash"/>
            </a:ln>
          </c:spPr>
        </c:majorGridlines>
        <c:title>
          <c:tx>
            <c:rich>
              <a:bodyPr/>
              <a:lstStyle/>
              <a:p>
                <a:pPr>
                  <a:defRPr sz="1200" b="0">
                    <a:latin typeface="Arial" panose="020B0604020202020204" pitchFamily="34" charset="0"/>
                    <a:cs typeface="Arial" panose="020B0604020202020204" pitchFamily="34" charset="0"/>
                  </a:defRPr>
                </a:pPr>
                <a:r>
                  <a:rPr lang="en-US" sz="1200" b="0" baseline="0">
                    <a:latin typeface="Arial" panose="020B0604020202020204" pitchFamily="34" charset="0"/>
                    <a:cs typeface="Arial" panose="020B0604020202020204" pitchFamily="34" charset="0"/>
                  </a:rPr>
                  <a:t>Average tax rates (%)</a:t>
                </a:r>
                <a:endParaRPr lang="en-US" sz="1200" b="0">
                  <a:latin typeface="Arial" panose="020B0604020202020204" pitchFamily="34" charset="0"/>
                  <a:cs typeface="Arial" panose="020B0604020202020204" pitchFamily="34" charset="0"/>
                </a:endParaRPr>
              </a:p>
            </c:rich>
          </c:tx>
          <c:layout>
            <c:manualLayout>
              <c:xMode val="edge"/>
              <c:yMode val="edge"/>
              <c:x val="3.2070952332696843E-4"/>
              <c:y val="0.23339793168869413"/>
            </c:manualLayout>
          </c:layout>
          <c:overlay val="0"/>
        </c:title>
        <c:numFmt formatCode="#,##0" sourceLinked="0"/>
        <c:majorTickMark val="out"/>
        <c:minorTickMark val="none"/>
        <c:tickLblPos val="nextTo"/>
        <c:spPr>
          <a:ln>
            <a:noFill/>
          </a:ln>
        </c:spPr>
        <c:txPr>
          <a:bodyPr rot="0" vert="horz"/>
          <a:lstStyle/>
          <a:p>
            <a:pPr>
              <a:defRPr sz="1100" b="0" i="0" u="none" strike="noStrike" baseline="0">
                <a:solidFill>
                  <a:sysClr val="windowText" lastClr="000000"/>
                </a:solidFill>
                <a:latin typeface="Arial" panose="020B0604020202020204" pitchFamily="34" charset="0"/>
                <a:ea typeface="Calibri"/>
                <a:cs typeface="Arial" panose="020B0604020202020204" pitchFamily="34" charset="0"/>
              </a:defRPr>
            </a:pPr>
            <a:endParaRPr lang="en-US"/>
          </a:p>
        </c:txPr>
        <c:crossAx val="717093464"/>
        <c:crosses val="autoZero"/>
        <c:crossBetween val="midCat"/>
        <c:majorUnit val="10"/>
        <c:minorUnit val="5.000000000000001E-3"/>
      </c:valAx>
      <c:spPr>
        <a:ln>
          <a:noFill/>
        </a:ln>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1" l="0.75000000000000611" r="0.75000000000000611" t="1" header="0.5" footer="0.5"/>
    <c:pageSetup orientation="landscape" horizontalDpi="1200" verticalDpi="1200"/>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9861544575018127E-2"/>
          <c:y val="1.912437220292031E-2"/>
          <c:w val="0.86202173880807276"/>
          <c:h val="0.83983704919368452"/>
        </c:manualLayout>
      </c:layout>
      <c:scatterChart>
        <c:scatterStyle val="lineMarker"/>
        <c:varyColors val="0"/>
        <c:ser>
          <c:idx val="4"/>
          <c:order val="0"/>
          <c:tx>
            <c:v>CBO+ITEP</c:v>
          </c:tx>
          <c:spPr>
            <a:ln>
              <a:solidFill>
                <a:srgbClr val="2699B4"/>
              </a:solidFill>
              <a:prstDash val="sysDash"/>
            </a:ln>
          </c:spPr>
          <c:marker>
            <c:symbol val="circle"/>
            <c:size val="5"/>
            <c:spPr>
              <a:solidFill>
                <a:schemeClr val="bg1"/>
              </a:solidFill>
              <a:ln>
                <a:solidFill>
                  <a:srgbClr val="2699B4"/>
                </a:solidFill>
              </a:ln>
            </c:spPr>
          </c:marker>
          <c:xVal>
            <c:numRef>
              <c:f>'B7-SZ'!$F$64:$M$64</c:f>
              <c:numCache>
                <c:formatCode>General</c:formatCode>
                <c:ptCount val="8"/>
                <c:pt idx="0">
                  <c:v>10</c:v>
                </c:pt>
                <c:pt idx="1">
                  <c:v>30</c:v>
                </c:pt>
                <c:pt idx="2">
                  <c:v>50</c:v>
                </c:pt>
                <c:pt idx="3">
                  <c:v>70</c:v>
                </c:pt>
                <c:pt idx="4">
                  <c:v>85</c:v>
                </c:pt>
                <c:pt idx="5">
                  <c:v>92.5</c:v>
                </c:pt>
                <c:pt idx="6">
                  <c:v>97</c:v>
                </c:pt>
                <c:pt idx="7" formatCode="0.0">
                  <c:v>99.5</c:v>
                </c:pt>
              </c:numCache>
            </c:numRef>
          </c:xVal>
          <c:yVal>
            <c:numRef>
              <c:f>'B7-SZ'!$F$61:$M$61</c:f>
              <c:numCache>
                <c:formatCode>0.0</c:formatCode>
                <c:ptCount val="8"/>
                <c:pt idx="0">
                  <c:v>11.1</c:v>
                </c:pt>
                <c:pt idx="1">
                  <c:v>17.7</c:v>
                </c:pt>
                <c:pt idx="2">
                  <c:v>21.9</c:v>
                </c:pt>
                <c:pt idx="3">
                  <c:v>25.200000000000003</c:v>
                </c:pt>
                <c:pt idx="4">
                  <c:v>28.299999999999997</c:v>
                </c:pt>
                <c:pt idx="5">
                  <c:v>30.5</c:v>
                </c:pt>
                <c:pt idx="6">
                  <c:v>33</c:v>
                </c:pt>
                <c:pt idx="7">
                  <c:v>36.700000000000003</c:v>
                </c:pt>
              </c:numCache>
            </c:numRef>
          </c:yVal>
          <c:smooth val="0"/>
          <c:extLst>
            <c:ext xmlns:c16="http://schemas.microsoft.com/office/drawing/2014/chart" uri="{C3380CC4-5D6E-409C-BE32-E72D297353CC}">
              <c16:uniqueId val="{00000000-10F0-4BDC-AAF7-896EB27A049E}"/>
            </c:ext>
          </c:extLst>
        </c:ser>
        <c:ser>
          <c:idx val="2"/>
          <c:order val="1"/>
          <c:tx>
            <c:v>Imputed retire and Under</c:v>
          </c:tx>
          <c:spPr>
            <a:ln w="31750">
              <a:solidFill>
                <a:srgbClr val="D58F11"/>
              </a:solidFill>
              <a:prstDash val="solid"/>
            </a:ln>
          </c:spPr>
          <c:marker>
            <c:symbol val="none"/>
          </c:marker>
          <c:xVal>
            <c:numRef>
              <c:f>'B7-SZ'!$F$64:$M$64</c:f>
              <c:numCache>
                <c:formatCode>General</c:formatCode>
                <c:ptCount val="8"/>
                <c:pt idx="0">
                  <c:v>10</c:v>
                </c:pt>
                <c:pt idx="1">
                  <c:v>30</c:v>
                </c:pt>
                <c:pt idx="2">
                  <c:v>50</c:v>
                </c:pt>
                <c:pt idx="3">
                  <c:v>70</c:v>
                </c:pt>
                <c:pt idx="4">
                  <c:v>85</c:v>
                </c:pt>
                <c:pt idx="5">
                  <c:v>92.5</c:v>
                </c:pt>
                <c:pt idx="6">
                  <c:v>97</c:v>
                </c:pt>
                <c:pt idx="7" formatCode="0.0">
                  <c:v>99.5</c:v>
                </c:pt>
              </c:numCache>
            </c:numRef>
          </c:xVal>
          <c:yVal>
            <c:numRef>
              <c:f>'B7-SZ'!$F$58:$M$58</c:f>
              <c:numCache>
                <c:formatCode>0.0</c:formatCode>
                <c:ptCount val="8"/>
                <c:pt idx="0">
                  <c:v>19.605460417711384</c:v>
                </c:pt>
                <c:pt idx="1">
                  <c:v>19.085777961887025</c:v>
                </c:pt>
                <c:pt idx="2">
                  <c:v>21.121135186890228</c:v>
                </c:pt>
                <c:pt idx="3">
                  <c:v>24.920212313431271</c:v>
                </c:pt>
                <c:pt idx="4">
                  <c:v>28.136892300987448</c:v>
                </c:pt>
                <c:pt idx="5">
                  <c:v>29.961499487302103</c:v>
                </c:pt>
                <c:pt idx="6">
                  <c:v>32.307091260475786</c:v>
                </c:pt>
                <c:pt idx="7">
                  <c:v>34.287257616963885</c:v>
                </c:pt>
              </c:numCache>
            </c:numRef>
          </c:yVal>
          <c:smooth val="0"/>
          <c:extLst>
            <c:ext xmlns:c16="http://schemas.microsoft.com/office/drawing/2014/chart" uri="{C3380CC4-5D6E-409C-BE32-E72D297353CC}">
              <c16:uniqueId val="{00000003-10F0-4BDC-AAF7-896EB27A049E}"/>
            </c:ext>
          </c:extLst>
        </c:ser>
        <c:ser>
          <c:idx val="1"/>
          <c:order val="2"/>
          <c:tx>
            <c:strRef>
              <c:f>'B7-SZ'!$A$56</c:f>
              <c:strCache>
                <c:ptCount val="1"/>
                <c:pt idx="0">
                  <c:v>add Medicare to income</c:v>
                </c:pt>
              </c:strCache>
            </c:strRef>
          </c:tx>
          <c:spPr>
            <a:ln>
              <a:solidFill>
                <a:srgbClr val="A03A49"/>
              </a:solidFill>
              <a:prstDash val="solid"/>
            </a:ln>
          </c:spPr>
          <c:marker>
            <c:symbol val="none"/>
          </c:marker>
          <c:xVal>
            <c:numRef>
              <c:f>'B7-SZ'!$F$64:$M$64</c:f>
              <c:numCache>
                <c:formatCode>General</c:formatCode>
                <c:ptCount val="8"/>
                <c:pt idx="0">
                  <c:v>10</c:v>
                </c:pt>
                <c:pt idx="1">
                  <c:v>30</c:v>
                </c:pt>
                <c:pt idx="2">
                  <c:v>50</c:v>
                </c:pt>
                <c:pt idx="3">
                  <c:v>70</c:v>
                </c:pt>
                <c:pt idx="4">
                  <c:v>85</c:v>
                </c:pt>
                <c:pt idx="5">
                  <c:v>92.5</c:v>
                </c:pt>
                <c:pt idx="6">
                  <c:v>97</c:v>
                </c:pt>
                <c:pt idx="7" formatCode="0.0">
                  <c:v>99.5</c:v>
                </c:pt>
              </c:numCache>
            </c:numRef>
          </c:xVal>
          <c:yVal>
            <c:numRef>
              <c:f>'B7-SZ'!$F$56:$M$56</c:f>
              <c:numCache>
                <c:formatCode>0.0</c:formatCode>
                <c:ptCount val="8"/>
                <c:pt idx="0">
                  <c:v>19.325801514522908</c:v>
                </c:pt>
                <c:pt idx="1">
                  <c:v>18.369988544764745</c:v>
                </c:pt>
                <c:pt idx="2">
                  <c:v>20.263880541250927</c:v>
                </c:pt>
                <c:pt idx="3">
                  <c:v>23.104851243872364</c:v>
                </c:pt>
                <c:pt idx="4">
                  <c:v>25.711956431549904</c:v>
                </c:pt>
                <c:pt idx="5">
                  <c:v>26.282183836064522</c:v>
                </c:pt>
                <c:pt idx="6">
                  <c:v>26.616256367585212</c:v>
                </c:pt>
                <c:pt idx="7">
                  <c:v>28.129084467717391</c:v>
                </c:pt>
              </c:numCache>
            </c:numRef>
          </c:yVal>
          <c:smooth val="0"/>
          <c:extLst>
            <c:ext xmlns:c16="http://schemas.microsoft.com/office/drawing/2014/chart" uri="{C3380CC4-5D6E-409C-BE32-E72D297353CC}">
              <c16:uniqueId val="{00000002-10F0-4BDC-AAF7-896EB27A049E}"/>
            </c:ext>
          </c:extLst>
        </c:ser>
        <c:dLbls>
          <c:showLegendKey val="0"/>
          <c:showVal val="0"/>
          <c:showCatName val="0"/>
          <c:showSerName val="0"/>
          <c:showPercent val="0"/>
          <c:showBubbleSize val="0"/>
        </c:dLbls>
        <c:axId val="717093464"/>
        <c:axId val="717093856"/>
        <c:extLst/>
      </c:scatterChart>
      <c:valAx>
        <c:axId val="717093464"/>
        <c:scaling>
          <c:orientation val="minMax"/>
          <c:max val="100"/>
        </c:scaling>
        <c:delete val="0"/>
        <c:axPos val="b"/>
        <c:title>
          <c:tx>
            <c:rich>
              <a:bodyPr/>
              <a:lstStyle/>
              <a:p>
                <a:pPr>
                  <a:defRPr/>
                </a:pPr>
                <a:r>
                  <a:rPr lang="en-US" sz="1200" b="0" i="0" baseline="0">
                    <a:effectLst/>
                    <a:latin typeface="Arial" panose="020B0604020202020204" pitchFamily="34" charset="0"/>
                    <a:cs typeface="Arial" panose="020B0604020202020204" pitchFamily="34" charset="0"/>
                  </a:rPr>
                  <a:t>Income quintile </a:t>
                </a:r>
                <a:endParaRPr lang="en-US" sz="700" b="0">
                  <a:effectLst/>
                  <a:latin typeface="Arial" panose="020B0604020202020204" pitchFamily="34" charset="0"/>
                  <a:cs typeface="Arial" panose="020B0604020202020204" pitchFamily="34" charset="0"/>
                </a:endParaRPr>
              </a:p>
            </c:rich>
          </c:tx>
          <c:layout>
            <c:manualLayout>
              <c:xMode val="edge"/>
              <c:yMode val="edge"/>
              <c:x val="0.41390927828936641"/>
              <c:y val="0.91791748869528778"/>
            </c:manualLayout>
          </c:layout>
          <c:overlay val="0"/>
        </c:title>
        <c:numFmt formatCode="0" sourceLinked="0"/>
        <c:majorTickMark val="out"/>
        <c:minorTickMark val="none"/>
        <c:tickLblPos val="nextTo"/>
        <c:spPr>
          <a:ln>
            <a:noFill/>
          </a:ln>
        </c:spPr>
        <c:txPr>
          <a:bodyPr rot="0" vert="horz"/>
          <a:lstStyle/>
          <a:p>
            <a:pPr>
              <a:defRPr sz="1100" b="0" i="0" u="none" strike="noStrike" kern="0" spc="-20" baseline="0">
                <a:solidFill>
                  <a:srgbClr val="000000"/>
                </a:solidFill>
                <a:latin typeface="Arial" panose="020B0604020202020204" pitchFamily="34" charset="0"/>
                <a:ea typeface="Arial"/>
                <a:cs typeface="Arial" panose="020B0604020202020204" pitchFamily="34" charset="0"/>
              </a:defRPr>
            </a:pPr>
            <a:endParaRPr lang="en-US"/>
          </a:p>
        </c:txPr>
        <c:crossAx val="717093856"/>
        <c:crossesAt val="-20"/>
        <c:crossBetween val="midCat"/>
        <c:majorUnit val="20"/>
        <c:minorUnit val="1"/>
      </c:valAx>
      <c:valAx>
        <c:axId val="717093856"/>
        <c:scaling>
          <c:orientation val="minMax"/>
          <c:max val="40"/>
          <c:min val="0"/>
        </c:scaling>
        <c:delete val="0"/>
        <c:axPos val="l"/>
        <c:majorGridlines>
          <c:spPr>
            <a:ln>
              <a:solidFill>
                <a:schemeClr val="bg1">
                  <a:lumMod val="75000"/>
                </a:schemeClr>
              </a:solidFill>
              <a:prstDash val="sysDash"/>
            </a:ln>
          </c:spPr>
        </c:majorGridlines>
        <c:title>
          <c:tx>
            <c:rich>
              <a:bodyPr/>
              <a:lstStyle/>
              <a:p>
                <a:pPr>
                  <a:defRPr sz="1200" b="0">
                    <a:latin typeface="Arial" panose="020B0604020202020204" pitchFamily="34" charset="0"/>
                    <a:cs typeface="Arial" panose="020B0604020202020204" pitchFamily="34" charset="0"/>
                  </a:defRPr>
                </a:pPr>
                <a:r>
                  <a:rPr lang="en-US" sz="1200" b="0" baseline="0">
                    <a:latin typeface="Arial" panose="020B0604020202020204" pitchFamily="34" charset="0"/>
                    <a:cs typeface="Arial" panose="020B0604020202020204" pitchFamily="34" charset="0"/>
                  </a:rPr>
                  <a:t>Average tax rates (%)</a:t>
                </a:r>
                <a:endParaRPr lang="en-US" sz="1200" b="0">
                  <a:latin typeface="Arial" panose="020B0604020202020204" pitchFamily="34" charset="0"/>
                  <a:cs typeface="Arial" panose="020B0604020202020204" pitchFamily="34" charset="0"/>
                </a:endParaRPr>
              </a:p>
            </c:rich>
          </c:tx>
          <c:layout>
            <c:manualLayout>
              <c:xMode val="edge"/>
              <c:yMode val="edge"/>
              <c:x val="3.2070940160559646E-4"/>
              <c:y val="0.24226711128958101"/>
            </c:manualLayout>
          </c:layout>
          <c:overlay val="0"/>
        </c:title>
        <c:numFmt formatCode="#,##0" sourceLinked="0"/>
        <c:majorTickMark val="out"/>
        <c:minorTickMark val="none"/>
        <c:tickLblPos val="nextTo"/>
        <c:spPr>
          <a:ln>
            <a:noFill/>
          </a:ln>
        </c:spPr>
        <c:txPr>
          <a:bodyPr rot="0" vert="horz"/>
          <a:lstStyle/>
          <a:p>
            <a:pPr>
              <a:defRPr sz="1100" b="0" i="0" u="none" strike="noStrike" baseline="0">
                <a:solidFill>
                  <a:sysClr val="windowText" lastClr="000000"/>
                </a:solidFill>
                <a:latin typeface="Arial" panose="020B0604020202020204" pitchFamily="34" charset="0"/>
                <a:ea typeface="Calibri"/>
                <a:cs typeface="Arial" panose="020B0604020202020204" pitchFamily="34" charset="0"/>
              </a:defRPr>
            </a:pPr>
            <a:endParaRPr lang="en-US"/>
          </a:p>
        </c:txPr>
        <c:crossAx val="717093464"/>
        <c:crosses val="autoZero"/>
        <c:crossBetween val="midCat"/>
        <c:majorUnit val="10"/>
        <c:minorUnit val="5.000000000000001E-3"/>
      </c:valAx>
      <c:spPr>
        <a:ln>
          <a:noFill/>
        </a:ln>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1" l="0.75000000000000611" r="0.75000000000000611" t="1" header="0.5" footer="0.5"/>
    <c:pageSetup orientation="landscape" horizontalDpi="1200" verticalDpi="1200"/>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9861506673791858E-2"/>
          <c:y val="1.912437220292031E-2"/>
          <c:w val="0.86202173880807276"/>
          <c:h val="0.83983704919368452"/>
        </c:manualLayout>
      </c:layout>
      <c:scatterChart>
        <c:scatterStyle val="lineMarker"/>
        <c:varyColors val="0"/>
        <c:ser>
          <c:idx val="4"/>
          <c:order val="0"/>
          <c:tx>
            <c:v>CBO+ITEP</c:v>
          </c:tx>
          <c:spPr>
            <a:ln>
              <a:solidFill>
                <a:srgbClr val="2699B4"/>
              </a:solidFill>
              <a:prstDash val="sysDash"/>
            </a:ln>
          </c:spPr>
          <c:marker>
            <c:symbol val="circle"/>
            <c:size val="5"/>
            <c:spPr>
              <a:solidFill>
                <a:schemeClr val="bg1"/>
              </a:solidFill>
              <a:ln>
                <a:solidFill>
                  <a:srgbClr val="2699B4"/>
                </a:solidFill>
              </a:ln>
            </c:spPr>
          </c:marker>
          <c:xVal>
            <c:numRef>
              <c:f>'B7-SZ'!$F$64:$M$64</c:f>
              <c:numCache>
                <c:formatCode>General</c:formatCode>
                <c:ptCount val="8"/>
                <c:pt idx="0">
                  <c:v>10</c:v>
                </c:pt>
                <c:pt idx="1">
                  <c:v>30</c:v>
                </c:pt>
                <c:pt idx="2">
                  <c:v>50</c:v>
                </c:pt>
                <c:pt idx="3">
                  <c:v>70</c:v>
                </c:pt>
                <c:pt idx="4">
                  <c:v>85</c:v>
                </c:pt>
                <c:pt idx="5">
                  <c:v>92.5</c:v>
                </c:pt>
                <c:pt idx="6">
                  <c:v>97</c:v>
                </c:pt>
                <c:pt idx="7" formatCode="0.0">
                  <c:v>99.5</c:v>
                </c:pt>
              </c:numCache>
            </c:numRef>
          </c:xVal>
          <c:yVal>
            <c:numRef>
              <c:f>'B7-SZ'!$F$61:$M$61</c:f>
              <c:numCache>
                <c:formatCode>0.0</c:formatCode>
                <c:ptCount val="8"/>
                <c:pt idx="0">
                  <c:v>11.1</c:v>
                </c:pt>
                <c:pt idx="1">
                  <c:v>17.7</c:v>
                </c:pt>
                <c:pt idx="2">
                  <c:v>21.9</c:v>
                </c:pt>
                <c:pt idx="3">
                  <c:v>25.200000000000003</c:v>
                </c:pt>
                <c:pt idx="4">
                  <c:v>28.299999999999997</c:v>
                </c:pt>
                <c:pt idx="5">
                  <c:v>30.5</c:v>
                </c:pt>
                <c:pt idx="6">
                  <c:v>33</c:v>
                </c:pt>
                <c:pt idx="7">
                  <c:v>36.700000000000003</c:v>
                </c:pt>
              </c:numCache>
            </c:numRef>
          </c:yVal>
          <c:smooth val="0"/>
          <c:extLst>
            <c:ext xmlns:c16="http://schemas.microsoft.com/office/drawing/2014/chart" uri="{C3380CC4-5D6E-409C-BE32-E72D297353CC}">
              <c16:uniqueId val="{00000000-74C2-4CB6-9950-7A795650668D}"/>
            </c:ext>
          </c:extLst>
        </c:ser>
        <c:ser>
          <c:idx val="0"/>
          <c:order val="1"/>
          <c:tx>
            <c:strRef>
              <c:f>'B7-SZ'!$A$54</c:f>
              <c:strCache>
                <c:ptCount val="1"/>
                <c:pt idx="0">
                  <c:v>SZ (2019)</c:v>
                </c:pt>
              </c:strCache>
            </c:strRef>
          </c:tx>
          <c:spPr>
            <a:ln>
              <a:solidFill>
                <a:srgbClr val="A03A49"/>
              </a:solidFill>
            </a:ln>
          </c:spPr>
          <c:marker>
            <c:spPr>
              <a:solidFill>
                <a:srgbClr val="A03A49"/>
              </a:solidFill>
              <a:ln>
                <a:solidFill>
                  <a:srgbClr val="A03A49"/>
                </a:solidFill>
              </a:ln>
            </c:spPr>
          </c:marker>
          <c:xVal>
            <c:numRef>
              <c:f>'B7-SZ'!$F$64:$M$64</c:f>
              <c:numCache>
                <c:formatCode>General</c:formatCode>
                <c:ptCount val="8"/>
                <c:pt idx="0">
                  <c:v>10</c:v>
                </c:pt>
                <c:pt idx="1">
                  <c:v>30</c:v>
                </c:pt>
                <c:pt idx="2">
                  <c:v>50</c:v>
                </c:pt>
                <c:pt idx="3">
                  <c:v>70</c:v>
                </c:pt>
                <c:pt idx="4">
                  <c:v>85</c:v>
                </c:pt>
                <c:pt idx="5">
                  <c:v>92.5</c:v>
                </c:pt>
                <c:pt idx="6">
                  <c:v>97</c:v>
                </c:pt>
                <c:pt idx="7" formatCode="0.0">
                  <c:v>99.5</c:v>
                </c:pt>
              </c:numCache>
            </c:numRef>
          </c:xVal>
          <c:yVal>
            <c:numRef>
              <c:f>'B7-SZ'!$F$54:$M$54</c:f>
              <c:numCache>
                <c:formatCode>0.0</c:formatCode>
                <c:ptCount val="8"/>
                <c:pt idx="0">
                  <c:v>24.24644565207128</c:v>
                </c:pt>
                <c:pt idx="1">
                  <c:v>23.641279437271081</c:v>
                </c:pt>
                <c:pt idx="2">
                  <c:v>24.715139372084405</c:v>
                </c:pt>
                <c:pt idx="3">
                  <c:v>27.0643973054969</c:v>
                </c:pt>
                <c:pt idx="4">
                  <c:v>29.116964240297005</c:v>
                </c:pt>
                <c:pt idx="5">
                  <c:v>28.991529025565232</c:v>
                </c:pt>
                <c:pt idx="6">
                  <c:v>28.322637586991707</c:v>
                </c:pt>
                <c:pt idx="7">
                  <c:v>28.674583424013722</c:v>
                </c:pt>
              </c:numCache>
            </c:numRef>
          </c:yVal>
          <c:smooth val="0"/>
          <c:extLst>
            <c:ext xmlns:c16="http://schemas.microsoft.com/office/drawing/2014/chart" uri="{C3380CC4-5D6E-409C-BE32-E72D297353CC}">
              <c16:uniqueId val="{00000001-74C2-4CB6-9950-7A795650668D}"/>
            </c:ext>
          </c:extLst>
        </c:ser>
        <c:ser>
          <c:idx val="1"/>
          <c:order val="2"/>
          <c:tx>
            <c:strRef>
              <c:f>'B7-SZ'!$A$56</c:f>
              <c:strCache>
                <c:ptCount val="1"/>
                <c:pt idx="0">
                  <c:v>add Medicare to income</c:v>
                </c:pt>
              </c:strCache>
            </c:strRef>
          </c:tx>
          <c:spPr>
            <a:ln w="28575">
              <a:solidFill>
                <a:srgbClr val="D58F11"/>
              </a:solidFill>
              <a:prstDash val="solid"/>
            </a:ln>
          </c:spPr>
          <c:marker>
            <c:symbol val="none"/>
          </c:marker>
          <c:xVal>
            <c:numRef>
              <c:f>'B7-SZ'!$F$64:$M$64</c:f>
              <c:numCache>
                <c:formatCode>General</c:formatCode>
                <c:ptCount val="8"/>
                <c:pt idx="0">
                  <c:v>10</c:v>
                </c:pt>
                <c:pt idx="1">
                  <c:v>30</c:v>
                </c:pt>
                <c:pt idx="2">
                  <c:v>50</c:v>
                </c:pt>
                <c:pt idx="3">
                  <c:v>70</c:v>
                </c:pt>
                <c:pt idx="4">
                  <c:v>85</c:v>
                </c:pt>
                <c:pt idx="5">
                  <c:v>92.5</c:v>
                </c:pt>
                <c:pt idx="6">
                  <c:v>97</c:v>
                </c:pt>
                <c:pt idx="7" formatCode="0.0">
                  <c:v>99.5</c:v>
                </c:pt>
              </c:numCache>
            </c:numRef>
          </c:xVal>
          <c:yVal>
            <c:numRef>
              <c:f>'B7-SZ'!$F$56:$M$56</c:f>
              <c:numCache>
                <c:formatCode>0.0</c:formatCode>
                <c:ptCount val="8"/>
                <c:pt idx="0">
                  <c:v>19.325801514522908</c:v>
                </c:pt>
                <c:pt idx="1">
                  <c:v>18.369988544764745</c:v>
                </c:pt>
                <c:pt idx="2">
                  <c:v>20.263880541250927</c:v>
                </c:pt>
                <c:pt idx="3">
                  <c:v>23.104851243872364</c:v>
                </c:pt>
                <c:pt idx="4">
                  <c:v>25.711956431549904</c:v>
                </c:pt>
                <c:pt idx="5">
                  <c:v>26.282183836064522</c:v>
                </c:pt>
                <c:pt idx="6">
                  <c:v>26.616256367585212</c:v>
                </c:pt>
                <c:pt idx="7">
                  <c:v>28.129084467717391</c:v>
                </c:pt>
              </c:numCache>
            </c:numRef>
          </c:yVal>
          <c:smooth val="0"/>
          <c:extLst>
            <c:ext xmlns:c16="http://schemas.microsoft.com/office/drawing/2014/chart" uri="{C3380CC4-5D6E-409C-BE32-E72D297353CC}">
              <c16:uniqueId val="{00000004-74C2-4CB6-9950-7A795650668D}"/>
            </c:ext>
          </c:extLst>
        </c:ser>
        <c:dLbls>
          <c:showLegendKey val="0"/>
          <c:showVal val="0"/>
          <c:showCatName val="0"/>
          <c:showSerName val="0"/>
          <c:showPercent val="0"/>
          <c:showBubbleSize val="0"/>
        </c:dLbls>
        <c:axId val="717093464"/>
        <c:axId val="717093856"/>
        <c:extLst/>
      </c:scatterChart>
      <c:valAx>
        <c:axId val="717093464"/>
        <c:scaling>
          <c:orientation val="minMax"/>
          <c:max val="100"/>
        </c:scaling>
        <c:delete val="0"/>
        <c:axPos val="b"/>
        <c:title>
          <c:tx>
            <c:rich>
              <a:bodyPr/>
              <a:lstStyle/>
              <a:p>
                <a:pPr>
                  <a:defRPr/>
                </a:pPr>
                <a:r>
                  <a:rPr lang="en-US" sz="1200" b="0" i="0" baseline="0">
                    <a:effectLst/>
                    <a:latin typeface="Arial" panose="020B0604020202020204" pitchFamily="34" charset="0"/>
                    <a:cs typeface="Arial" panose="020B0604020202020204" pitchFamily="34" charset="0"/>
                  </a:rPr>
                  <a:t>Income quintile </a:t>
                </a:r>
                <a:endParaRPr lang="en-US" sz="700" b="0">
                  <a:effectLst/>
                  <a:latin typeface="Arial" panose="020B0604020202020204" pitchFamily="34" charset="0"/>
                  <a:cs typeface="Arial" panose="020B0604020202020204" pitchFamily="34" charset="0"/>
                </a:endParaRPr>
              </a:p>
            </c:rich>
          </c:tx>
          <c:layout>
            <c:manualLayout>
              <c:xMode val="edge"/>
              <c:yMode val="edge"/>
              <c:x val="0.41390927828936641"/>
              <c:y val="0.91791748869528778"/>
            </c:manualLayout>
          </c:layout>
          <c:overlay val="0"/>
        </c:title>
        <c:numFmt formatCode="0" sourceLinked="0"/>
        <c:majorTickMark val="out"/>
        <c:minorTickMark val="none"/>
        <c:tickLblPos val="nextTo"/>
        <c:spPr>
          <a:ln>
            <a:noFill/>
          </a:ln>
        </c:spPr>
        <c:txPr>
          <a:bodyPr rot="0" vert="horz"/>
          <a:lstStyle/>
          <a:p>
            <a:pPr>
              <a:defRPr sz="1100" b="0" i="0" u="none" strike="noStrike" kern="0" spc="-20" baseline="0">
                <a:solidFill>
                  <a:srgbClr val="000000"/>
                </a:solidFill>
                <a:latin typeface="Arial" panose="020B0604020202020204" pitchFamily="34" charset="0"/>
                <a:ea typeface="Arial"/>
                <a:cs typeface="Arial" panose="020B0604020202020204" pitchFamily="34" charset="0"/>
              </a:defRPr>
            </a:pPr>
            <a:endParaRPr lang="en-US"/>
          </a:p>
        </c:txPr>
        <c:crossAx val="717093856"/>
        <c:crossesAt val="-20"/>
        <c:crossBetween val="midCat"/>
        <c:majorUnit val="20"/>
        <c:minorUnit val="1"/>
      </c:valAx>
      <c:valAx>
        <c:axId val="717093856"/>
        <c:scaling>
          <c:orientation val="minMax"/>
          <c:max val="40"/>
          <c:min val="0"/>
        </c:scaling>
        <c:delete val="0"/>
        <c:axPos val="l"/>
        <c:majorGridlines>
          <c:spPr>
            <a:ln>
              <a:solidFill>
                <a:schemeClr val="bg1">
                  <a:lumMod val="75000"/>
                </a:schemeClr>
              </a:solidFill>
              <a:prstDash val="sysDash"/>
            </a:ln>
          </c:spPr>
        </c:majorGridlines>
        <c:title>
          <c:tx>
            <c:rich>
              <a:bodyPr/>
              <a:lstStyle/>
              <a:p>
                <a:pPr>
                  <a:defRPr sz="1200" b="0">
                    <a:latin typeface="Arial" panose="020B0604020202020204" pitchFamily="34" charset="0"/>
                    <a:cs typeface="Arial" panose="020B0604020202020204" pitchFamily="34" charset="0"/>
                  </a:defRPr>
                </a:pPr>
                <a:r>
                  <a:rPr lang="en-US" sz="1200" b="0" baseline="0">
                    <a:latin typeface="Arial" panose="020B0604020202020204" pitchFamily="34" charset="0"/>
                    <a:cs typeface="Arial" panose="020B0604020202020204" pitchFamily="34" charset="0"/>
                  </a:rPr>
                  <a:t>Average tax rates (%)</a:t>
                </a:r>
                <a:endParaRPr lang="en-US" sz="1200" b="0">
                  <a:latin typeface="Arial" panose="020B0604020202020204" pitchFamily="34" charset="0"/>
                  <a:cs typeface="Arial" panose="020B0604020202020204" pitchFamily="34" charset="0"/>
                </a:endParaRPr>
              </a:p>
            </c:rich>
          </c:tx>
          <c:layout>
            <c:manualLayout>
              <c:xMode val="edge"/>
              <c:yMode val="edge"/>
              <c:x val="3.2070940160559646E-4"/>
              <c:y val="0.23635432488898978"/>
            </c:manualLayout>
          </c:layout>
          <c:overlay val="0"/>
        </c:title>
        <c:numFmt formatCode="#,##0" sourceLinked="0"/>
        <c:majorTickMark val="out"/>
        <c:minorTickMark val="none"/>
        <c:tickLblPos val="nextTo"/>
        <c:spPr>
          <a:ln>
            <a:noFill/>
          </a:ln>
        </c:spPr>
        <c:txPr>
          <a:bodyPr rot="0" vert="horz"/>
          <a:lstStyle/>
          <a:p>
            <a:pPr>
              <a:defRPr sz="1100" b="0" i="0" u="none" strike="noStrike" baseline="0">
                <a:solidFill>
                  <a:sysClr val="windowText" lastClr="000000"/>
                </a:solidFill>
                <a:latin typeface="Arial" panose="020B0604020202020204" pitchFamily="34" charset="0"/>
                <a:ea typeface="Calibri"/>
                <a:cs typeface="Arial" panose="020B0604020202020204" pitchFamily="34" charset="0"/>
              </a:defRPr>
            </a:pPr>
            <a:endParaRPr lang="en-US"/>
          </a:p>
        </c:txPr>
        <c:crossAx val="717093464"/>
        <c:crosses val="autoZero"/>
        <c:crossBetween val="midCat"/>
        <c:majorUnit val="10"/>
        <c:minorUnit val="5.000000000000001E-3"/>
      </c:valAx>
      <c:spPr>
        <a:ln>
          <a:noFill/>
        </a:ln>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1" l="0.75000000000000611" r="0.75000000000000611" t="1" header="0.5" footer="0.5"/>
    <c:pageSetup orientation="landscape" horizontalDpi="1200" verticalDpi="1200"/>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9861544575018127E-2"/>
          <c:y val="1.912437220292031E-2"/>
          <c:w val="0.86202173880807276"/>
          <c:h val="0.83983704919368452"/>
        </c:manualLayout>
      </c:layout>
      <c:scatterChart>
        <c:scatterStyle val="lineMarker"/>
        <c:varyColors val="0"/>
        <c:ser>
          <c:idx val="4"/>
          <c:order val="0"/>
          <c:tx>
            <c:v>CBO+ITEP</c:v>
          </c:tx>
          <c:spPr>
            <a:ln>
              <a:solidFill>
                <a:srgbClr val="2699B4"/>
              </a:solidFill>
              <a:prstDash val="sysDash"/>
            </a:ln>
          </c:spPr>
          <c:marker>
            <c:symbol val="circle"/>
            <c:size val="5"/>
            <c:spPr>
              <a:solidFill>
                <a:schemeClr val="bg1"/>
              </a:solidFill>
              <a:ln>
                <a:solidFill>
                  <a:srgbClr val="2699B4"/>
                </a:solidFill>
              </a:ln>
            </c:spPr>
          </c:marker>
          <c:xVal>
            <c:numRef>
              <c:f>'B7-SZ'!$F$64:$M$64</c:f>
              <c:numCache>
                <c:formatCode>General</c:formatCode>
                <c:ptCount val="8"/>
                <c:pt idx="0">
                  <c:v>10</c:v>
                </c:pt>
                <c:pt idx="1">
                  <c:v>30</c:v>
                </c:pt>
                <c:pt idx="2">
                  <c:v>50</c:v>
                </c:pt>
                <c:pt idx="3">
                  <c:v>70</c:v>
                </c:pt>
                <c:pt idx="4">
                  <c:v>85</c:v>
                </c:pt>
                <c:pt idx="5">
                  <c:v>92.5</c:v>
                </c:pt>
                <c:pt idx="6">
                  <c:v>97</c:v>
                </c:pt>
                <c:pt idx="7" formatCode="0.0">
                  <c:v>99.5</c:v>
                </c:pt>
              </c:numCache>
            </c:numRef>
          </c:xVal>
          <c:yVal>
            <c:numRef>
              <c:f>'B7-SZ'!$F$61:$M$61</c:f>
              <c:numCache>
                <c:formatCode>0.0</c:formatCode>
                <c:ptCount val="8"/>
                <c:pt idx="0">
                  <c:v>11.1</c:v>
                </c:pt>
                <c:pt idx="1">
                  <c:v>17.7</c:v>
                </c:pt>
                <c:pt idx="2">
                  <c:v>21.9</c:v>
                </c:pt>
                <c:pt idx="3">
                  <c:v>25.200000000000003</c:v>
                </c:pt>
                <c:pt idx="4">
                  <c:v>28.299999999999997</c:v>
                </c:pt>
                <c:pt idx="5">
                  <c:v>30.5</c:v>
                </c:pt>
                <c:pt idx="6">
                  <c:v>33</c:v>
                </c:pt>
                <c:pt idx="7">
                  <c:v>36.700000000000003</c:v>
                </c:pt>
              </c:numCache>
            </c:numRef>
          </c:yVal>
          <c:smooth val="0"/>
          <c:extLst>
            <c:ext xmlns:c16="http://schemas.microsoft.com/office/drawing/2014/chart" uri="{C3380CC4-5D6E-409C-BE32-E72D297353CC}">
              <c16:uniqueId val="{00000000-D16B-42D2-B4B4-8E07A2B7D9CB}"/>
            </c:ext>
          </c:extLst>
        </c:ser>
        <c:ser>
          <c:idx val="3"/>
          <c:order val="1"/>
          <c:tx>
            <c:strRef>
              <c:f>'B7-SZ'!$A$59</c:f>
              <c:strCache>
                <c:ptCount val="1"/>
                <c:pt idx="0">
                  <c:v>deduct refundable tax credits from taxes</c:v>
                </c:pt>
              </c:strCache>
            </c:strRef>
          </c:tx>
          <c:spPr>
            <a:ln w="31750">
              <a:solidFill>
                <a:srgbClr val="D58F11"/>
              </a:solidFill>
            </a:ln>
          </c:spPr>
          <c:marker>
            <c:symbol val="none"/>
          </c:marker>
          <c:xVal>
            <c:numRef>
              <c:f>'B7-SZ'!$F$64:$M$64</c:f>
              <c:numCache>
                <c:formatCode>General</c:formatCode>
                <c:ptCount val="8"/>
                <c:pt idx="0">
                  <c:v>10</c:v>
                </c:pt>
                <c:pt idx="1">
                  <c:v>30</c:v>
                </c:pt>
                <c:pt idx="2">
                  <c:v>50</c:v>
                </c:pt>
                <c:pt idx="3">
                  <c:v>70</c:v>
                </c:pt>
                <c:pt idx="4">
                  <c:v>85</c:v>
                </c:pt>
                <c:pt idx="5">
                  <c:v>92.5</c:v>
                </c:pt>
                <c:pt idx="6">
                  <c:v>97</c:v>
                </c:pt>
                <c:pt idx="7" formatCode="0.0">
                  <c:v>99.5</c:v>
                </c:pt>
              </c:numCache>
            </c:numRef>
          </c:xVal>
          <c:yVal>
            <c:numRef>
              <c:f>'B7-SZ'!$F$59:$M$59</c:f>
              <c:numCache>
                <c:formatCode>0.0</c:formatCode>
                <c:ptCount val="8"/>
                <c:pt idx="0">
                  <c:v>2.662440047663265</c:v>
                </c:pt>
                <c:pt idx="1">
                  <c:v>15.344949401611588</c:v>
                </c:pt>
                <c:pt idx="2">
                  <c:v>21.121135186890228</c:v>
                </c:pt>
                <c:pt idx="3">
                  <c:v>24.920212313431271</c:v>
                </c:pt>
                <c:pt idx="4">
                  <c:v>28.136892300987448</c:v>
                </c:pt>
                <c:pt idx="5">
                  <c:v>29.961499487302103</c:v>
                </c:pt>
                <c:pt idx="6">
                  <c:v>32.307091260475786</c:v>
                </c:pt>
                <c:pt idx="7">
                  <c:v>34.287257616963885</c:v>
                </c:pt>
              </c:numCache>
            </c:numRef>
          </c:yVal>
          <c:smooth val="0"/>
          <c:extLst>
            <c:ext xmlns:c16="http://schemas.microsoft.com/office/drawing/2014/chart" uri="{C3380CC4-5D6E-409C-BE32-E72D297353CC}">
              <c16:uniqueId val="{00000002-D16B-42D2-B4B4-8E07A2B7D9CB}"/>
            </c:ext>
          </c:extLst>
        </c:ser>
        <c:ser>
          <c:idx val="2"/>
          <c:order val="2"/>
          <c:tx>
            <c:v>Imputed retire and Under</c:v>
          </c:tx>
          <c:spPr>
            <a:ln>
              <a:solidFill>
                <a:srgbClr val="A03A49"/>
              </a:solidFill>
              <a:prstDash val="solid"/>
            </a:ln>
          </c:spPr>
          <c:marker>
            <c:symbol val="none"/>
          </c:marker>
          <c:xVal>
            <c:numRef>
              <c:f>'B7-SZ'!$F$64:$M$64</c:f>
              <c:numCache>
                <c:formatCode>General</c:formatCode>
                <c:ptCount val="8"/>
                <c:pt idx="0">
                  <c:v>10</c:v>
                </c:pt>
                <c:pt idx="1">
                  <c:v>30</c:v>
                </c:pt>
                <c:pt idx="2">
                  <c:v>50</c:v>
                </c:pt>
                <c:pt idx="3">
                  <c:v>70</c:v>
                </c:pt>
                <c:pt idx="4">
                  <c:v>85</c:v>
                </c:pt>
                <c:pt idx="5">
                  <c:v>92.5</c:v>
                </c:pt>
                <c:pt idx="6">
                  <c:v>97</c:v>
                </c:pt>
                <c:pt idx="7" formatCode="0.0">
                  <c:v>99.5</c:v>
                </c:pt>
              </c:numCache>
            </c:numRef>
          </c:xVal>
          <c:yVal>
            <c:numRef>
              <c:f>'B7-SZ'!$F$58:$M$58</c:f>
              <c:numCache>
                <c:formatCode>0.0</c:formatCode>
                <c:ptCount val="8"/>
                <c:pt idx="0">
                  <c:v>19.605460417711384</c:v>
                </c:pt>
                <c:pt idx="1">
                  <c:v>19.085777961887025</c:v>
                </c:pt>
                <c:pt idx="2">
                  <c:v>21.121135186890228</c:v>
                </c:pt>
                <c:pt idx="3">
                  <c:v>24.920212313431271</c:v>
                </c:pt>
                <c:pt idx="4">
                  <c:v>28.136892300987448</c:v>
                </c:pt>
                <c:pt idx="5">
                  <c:v>29.961499487302103</c:v>
                </c:pt>
                <c:pt idx="6">
                  <c:v>32.307091260475786</c:v>
                </c:pt>
                <c:pt idx="7">
                  <c:v>34.287257616963885</c:v>
                </c:pt>
              </c:numCache>
            </c:numRef>
          </c:yVal>
          <c:smooth val="0"/>
          <c:extLst>
            <c:ext xmlns:c16="http://schemas.microsoft.com/office/drawing/2014/chart" uri="{C3380CC4-5D6E-409C-BE32-E72D297353CC}">
              <c16:uniqueId val="{00000003-D16B-42D2-B4B4-8E07A2B7D9CB}"/>
            </c:ext>
          </c:extLst>
        </c:ser>
        <c:dLbls>
          <c:showLegendKey val="0"/>
          <c:showVal val="0"/>
          <c:showCatName val="0"/>
          <c:showSerName val="0"/>
          <c:showPercent val="0"/>
          <c:showBubbleSize val="0"/>
        </c:dLbls>
        <c:axId val="717093464"/>
        <c:axId val="717093856"/>
        <c:extLst/>
      </c:scatterChart>
      <c:valAx>
        <c:axId val="717093464"/>
        <c:scaling>
          <c:orientation val="minMax"/>
          <c:max val="100"/>
        </c:scaling>
        <c:delete val="0"/>
        <c:axPos val="b"/>
        <c:title>
          <c:tx>
            <c:rich>
              <a:bodyPr/>
              <a:lstStyle/>
              <a:p>
                <a:pPr>
                  <a:defRPr/>
                </a:pPr>
                <a:r>
                  <a:rPr lang="en-US" sz="1200" b="0" i="0" baseline="0">
                    <a:effectLst/>
                    <a:latin typeface="Arial" panose="020B0604020202020204" pitchFamily="34" charset="0"/>
                    <a:cs typeface="Arial" panose="020B0604020202020204" pitchFamily="34" charset="0"/>
                  </a:rPr>
                  <a:t>Income quintile </a:t>
                </a:r>
                <a:endParaRPr lang="en-US" sz="700" b="0">
                  <a:effectLst/>
                  <a:latin typeface="Arial" panose="020B0604020202020204" pitchFamily="34" charset="0"/>
                  <a:cs typeface="Arial" panose="020B0604020202020204" pitchFamily="34" charset="0"/>
                </a:endParaRPr>
              </a:p>
            </c:rich>
          </c:tx>
          <c:layout>
            <c:manualLayout>
              <c:xMode val="edge"/>
              <c:yMode val="edge"/>
              <c:x val="0.41390927828936641"/>
              <c:y val="0.91791748869528778"/>
            </c:manualLayout>
          </c:layout>
          <c:overlay val="0"/>
        </c:title>
        <c:numFmt formatCode="0" sourceLinked="0"/>
        <c:majorTickMark val="out"/>
        <c:minorTickMark val="none"/>
        <c:tickLblPos val="nextTo"/>
        <c:spPr>
          <a:ln>
            <a:noFill/>
          </a:ln>
        </c:spPr>
        <c:txPr>
          <a:bodyPr rot="0" vert="horz"/>
          <a:lstStyle/>
          <a:p>
            <a:pPr>
              <a:defRPr sz="1100" b="0" i="0" u="none" strike="noStrike" kern="0" spc="-20" baseline="0">
                <a:solidFill>
                  <a:srgbClr val="000000"/>
                </a:solidFill>
                <a:latin typeface="Arial" panose="020B0604020202020204" pitchFamily="34" charset="0"/>
                <a:ea typeface="Arial"/>
                <a:cs typeface="Arial" panose="020B0604020202020204" pitchFamily="34" charset="0"/>
              </a:defRPr>
            </a:pPr>
            <a:endParaRPr lang="en-US"/>
          </a:p>
        </c:txPr>
        <c:crossAx val="717093856"/>
        <c:crossesAt val="-20"/>
        <c:crossBetween val="midCat"/>
        <c:majorUnit val="20"/>
        <c:minorUnit val="1"/>
      </c:valAx>
      <c:valAx>
        <c:axId val="717093856"/>
        <c:scaling>
          <c:orientation val="minMax"/>
          <c:max val="40"/>
          <c:min val="0"/>
        </c:scaling>
        <c:delete val="0"/>
        <c:axPos val="l"/>
        <c:majorGridlines>
          <c:spPr>
            <a:ln>
              <a:solidFill>
                <a:schemeClr val="bg1">
                  <a:lumMod val="75000"/>
                </a:schemeClr>
              </a:solidFill>
              <a:prstDash val="sysDash"/>
            </a:ln>
          </c:spPr>
        </c:majorGridlines>
        <c:title>
          <c:tx>
            <c:rich>
              <a:bodyPr/>
              <a:lstStyle/>
              <a:p>
                <a:pPr>
                  <a:defRPr sz="1200" b="0">
                    <a:latin typeface="Arial" panose="020B0604020202020204" pitchFamily="34" charset="0"/>
                    <a:cs typeface="Arial" panose="020B0604020202020204" pitchFamily="34" charset="0"/>
                  </a:defRPr>
                </a:pPr>
                <a:r>
                  <a:rPr lang="en-US" sz="1200" b="0" baseline="0">
                    <a:latin typeface="Arial" panose="020B0604020202020204" pitchFamily="34" charset="0"/>
                    <a:cs typeface="Arial" panose="020B0604020202020204" pitchFamily="34" charset="0"/>
                  </a:rPr>
                  <a:t>Average tax rates (%)</a:t>
                </a:r>
                <a:endParaRPr lang="en-US" sz="1200" b="0">
                  <a:latin typeface="Arial" panose="020B0604020202020204" pitchFamily="34" charset="0"/>
                  <a:cs typeface="Arial" panose="020B0604020202020204" pitchFamily="34" charset="0"/>
                </a:endParaRPr>
              </a:p>
            </c:rich>
          </c:tx>
          <c:layout>
            <c:manualLayout>
              <c:xMode val="edge"/>
              <c:yMode val="edge"/>
              <c:x val="3.2070940160559646E-4"/>
              <c:y val="0.24226711128958101"/>
            </c:manualLayout>
          </c:layout>
          <c:overlay val="0"/>
        </c:title>
        <c:numFmt formatCode="#,##0" sourceLinked="0"/>
        <c:majorTickMark val="out"/>
        <c:minorTickMark val="none"/>
        <c:tickLblPos val="nextTo"/>
        <c:spPr>
          <a:ln>
            <a:noFill/>
          </a:ln>
        </c:spPr>
        <c:txPr>
          <a:bodyPr rot="0" vert="horz"/>
          <a:lstStyle/>
          <a:p>
            <a:pPr>
              <a:defRPr sz="1100" b="0" i="0" u="none" strike="noStrike" baseline="0">
                <a:solidFill>
                  <a:sysClr val="windowText" lastClr="000000"/>
                </a:solidFill>
                <a:latin typeface="Arial" panose="020B0604020202020204" pitchFamily="34" charset="0"/>
                <a:ea typeface="Calibri"/>
                <a:cs typeface="Arial" panose="020B0604020202020204" pitchFamily="34" charset="0"/>
              </a:defRPr>
            </a:pPr>
            <a:endParaRPr lang="en-US"/>
          </a:p>
        </c:txPr>
        <c:crossAx val="717093464"/>
        <c:crosses val="autoZero"/>
        <c:crossBetween val="midCat"/>
        <c:majorUnit val="10"/>
        <c:minorUnit val="5.000000000000001E-3"/>
      </c:valAx>
      <c:spPr>
        <a:ln>
          <a:noFill/>
        </a:ln>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1" l="0.75000000000000611" r="0.75000000000000611" t="1" header="0.5" footer="0.5"/>
    <c:pageSetup orientation="landscape" horizontalDpi="1200" verticalDpi="1200"/>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9861544575018127E-2"/>
          <c:y val="1.912437220292031E-2"/>
          <c:w val="0.86202173880807276"/>
          <c:h val="0.83983704919368452"/>
        </c:manualLayout>
      </c:layout>
      <c:scatterChart>
        <c:scatterStyle val="lineMarker"/>
        <c:varyColors val="0"/>
        <c:ser>
          <c:idx val="4"/>
          <c:order val="0"/>
          <c:tx>
            <c:v>CBO+ITEP</c:v>
          </c:tx>
          <c:spPr>
            <a:ln>
              <a:solidFill>
                <a:srgbClr val="2699B4"/>
              </a:solidFill>
              <a:prstDash val="sysDash"/>
            </a:ln>
          </c:spPr>
          <c:marker>
            <c:symbol val="circle"/>
            <c:size val="5"/>
            <c:spPr>
              <a:solidFill>
                <a:schemeClr val="bg1"/>
              </a:solidFill>
              <a:ln>
                <a:solidFill>
                  <a:srgbClr val="2699B4"/>
                </a:solidFill>
              </a:ln>
            </c:spPr>
          </c:marker>
          <c:xVal>
            <c:numRef>
              <c:f>'B7-SZ'!$F$64:$M$64</c:f>
              <c:numCache>
                <c:formatCode>General</c:formatCode>
                <c:ptCount val="8"/>
                <c:pt idx="0">
                  <c:v>10</c:v>
                </c:pt>
                <c:pt idx="1">
                  <c:v>30</c:v>
                </c:pt>
                <c:pt idx="2">
                  <c:v>50</c:v>
                </c:pt>
                <c:pt idx="3">
                  <c:v>70</c:v>
                </c:pt>
                <c:pt idx="4">
                  <c:v>85</c:v>
                </c:pt>
                <c:pt idx="5">
                  <c:v>92.5</c:v>
                </c:pt>
                <c:pt idx="6">
                  <c:v>97</c:v>
                </c:pt>
                <c:pt idx="7" formatCode="0.0">
                  <c:v>99.5</c:v>
                </c:pt>
              </c:numCache>
            </c:numRef>
          </c:xVal>
          <c:yVal>
            <c:numRef>
              <c:f>'B7-SZ'!$F$61:$M$61</c:f>
              <c:numCache>
                <c:formatCode>0.0</c:formatCode>
                <c:ptCount val="8"/>
                <c:pt idx="0">
                  <c:v>11.1</c:v>
                </c:pt>
                <c:pt idx="1">
                  <c:v>17.7</c:v>
                </c:pt>
                <c:pt idx="2">
                  <c:v>21.9</c:v>
                </c:pt>
                <c:pt idx="3">
                  <c:v>25.200000000000003</c:v>
                </c:pt>
                <c:pt idx="4">
                  <c:v>28.299999999999997</c:v>
                </c:pt>
                <c:pt idx="5">
                  <c:v>30.5</c:v>
                </c:pt>
                <c:pt idx="6">
                  <c:v>33</c:v>
                </c:pt>
                <c:pt idx="7">
                  <c:v>36.700000000000003</c:v>
                </c:pt>
              </c:numCache>
            </c:numRef>
          </c:yVal>
          <c:smooth val="0"/>
          <c:extLst>
            <c:ext xmlns:c16="http://schemas.microsoft.com/office/drawing/2014/chart" uri="{C3380CC4-5D6E-409C-BE32-E72D297353CC}">
              <c16:uniqueId val="{00000000-3D07-415A-8931-7046A58C5B0E}"/>
            </c:ext>
          </c:extLst>
        </c:ser>
        <c:ser>
          <c:idx val="3"/>
          <c:order val="1"/>
          <c:tx>
            <c:strRef>
              <c:f>'B7-SZ'!$A$59</c:f>
              <c:strCache>
                <c:ptCount val="1"/>
                <c:pt idx="0">
                  <c:v>deduct refundable tax credits from taxes</c:v>
                </c:pt>
              </c:strCache>
            </c:strRef>
          </c:tx>
          <c:spPr>
            <a:ln w="22225">
              <a:solidFill>
                <a:srgbClr val="A03A49"/>
              </a:solidFill>
            </a:ln>
          </c:spPr>
          <c:marker>
            <c:symbol val="none"/>
          </c:marker>
          <c:xVal>
            <c:numRef>
              <c:f>'B7-SZ'!$F$64:$M$64</c:f>
              <c:numCache>
                <c:formatCode>General</c:formatCode>
                <c:ptCount val="8"/>
                <c:pt idx="0">
                  <c:v>10</c:v>
                </c:pt>
                <c:pt idx="1">
                  <c:v>30</c:v>
                </c:pt>
                <c:pt idx="2">
                  <c:v>50</c:v>
                </c:pt>
                <c:pt idx="3">
                  <c:v>70</c:v>
                </c:pt>
                <c:pt idx="4">
                  <c:v>85</c:v>
                </c:pt>
                <c:pt idx="5">
                  <c:v>92.5</c:v>
                </c:pt>
                <c:pt idx="6">
                  <c:v>97</c:v>
                </c:pt>
                <c:pt idx="7" formatCode="0.0">
                  <c:v>99.5</c:v>
                </c:pt>
              </c:numCache>
            </c:numRef>
          </c:xVal>
          <c:yVal>
            <c:numRef>
              <c:f>'B7-SZ'!$F$59:$M$59</c:f>
              <c:numCache>
                <c:formatCode>0.0</c:formatCode>
                <c:ptCount val="8"/>
                <c:pt idx="0">
                  <c:v>2.662440047663265</c:v>
                </c:pt>
                <c:pt idx="1">
                  <c:v>15.344949401611588</c:v>
                </c:pt>
                <c:pt idx="2">
                  <c:v>21.121135186890228</c:v>
                </c:pt>
                <c:pt idx="3">
                  <c:v>24.920212313431271</c:v>
                </c:pt>
                <c:pt idx="4">
                  <c:v>28.136892300987448</c:v>
                </c:pt>
                <c:pt idx="5">
                  <c:v>29.961499487302103</c:v>
                </c:pt>
                <c:pt idx="6">
                  <c:v>32.307091260475786</c:v>
                </c:pt>
                <c:pt idx="7">
                  <c:v>34.287257616963885</c:v>
                </c:pt>
              </c:numCache>
            </c:numRef>
          </c:yVal>
          <c:smooth val="0"/>
          <c:extLst>
            <c:ext xmlns:c16="http://schemas.microsoft.com/office/drawing/2014/chart" uri="{C3380CC4-5D6E-409C-BE32-E72D297353CC}">
              <c16:uniqueId val="{00000002-3D07-415A-8931-7046A58C5B0E}"/>
            </c:ext>
          </c:extLst>
        </c:ser>
        <c:dLbls>
          <c:showLegendKey val="0"/>
          <c:showVal val="0"/>
          <c:showCatName val="0"/>
          <c:showSerName val="0"/>
          <c:showPercent val="0"/>
          <c:showBubbleSize val="0"/>
        </c:dLbls>
        <c:axId val="717093464"/>
        <c:axId val="717093856"/>
        <c:extLst/>
      </c:scatterChart>
      <c:valAx>
        <c:axId val="717093464"/>
        <c:scaling>
          <c:orientation val="minMax"/>
          <c:max val="100"/>
        </c:scaling>
        <c:delete val="0"/>
        <c:axPos val="b"/>
        <c:title>
          <c:tx>
            <c:rich>
              <a:bodyPr/>
              <a:lstStyle/>
              <a:p>
                <a:pPr>
                  <a:defRPr/>
                </a:pPr>
                <a:r>
                  <a:rPr lang="en-US" sz="1200" b="0" i="0" baseline="0">
                    <a:effectLst/>
                    <a:latin typeface="Arial" panose="020B0604020202020204" pitchFamily="34" charset="0"/>
                    <a:cs typeface="Arial" panose="020B0604020202020204" pitchFamily="34" charset="0"/>
                  </a:rPr>
                  <a:t>Income quintile </a:t>
                </a:r>
                <a:endParaRPr lang="en-US" sz="700" b="0">
                  <a:effectLst/>
                  <a:latin typeface="Arial" panose="020B0604020202020204" pitchFamily="34" charset="0"/>
                  <a:cs typeface="Arial" panose="020B0604020202020204" pitchFamily="34" charset="0"/>
                </a:endParaRPr>
              </a:p>
            </c:rich>
          </c:tx>
          <c:layout>
            <c:manualLayout>
              <c:xMode val="edge"/>
              <c:yMode val="edge"/>
              <c:x val="0.41390927828936641"/>
              <c:y val="0.91791748869528778"/>
            </c:manualLayout>
          </c:layout>
          <c:overlay val="0"/>
        </c:title>
        <c:numFmt formatCode="0" sourceLinked="0"/>
        <c:majorTickMark val="out"/>
        <c:minorTickMark val="none"/>
        <c:tickLblPos val="nextTo"/>
        <c:spPr>
          <a:ln>
            <a:noFill/>
          </a:ln>
        </c:spPr>
        <c:txPr>
          <a:bodyPr rot="0" vert="horz"/>
          <a:lstStyle/>
          <a:p>
            <a:pPr>
              <a:defRPr sz="1100" b="0" i="0" u="none" strike="noStrike" kern="0" spc="-20" baseline="0">
                <a:solidFill>
                  <a:srgbClr val="000000"/>
                </a:solidFill>
                <a:latin typeface="Arial" panose="020B0604020202020204" pitchFamily="34" charset="0"/>
                <a:ea typeface="Arial"/>
                <a:cs typeface="Arial" panose="020B0604020202020204" pitchFamily="34" charset="0"/>
              </a:defRPr>
            </a:pPr>
            <a:endParaRPr lang="en-US"/>
          </a:p>
        </c:txPr>
        <c:crossAx val="717093856"/>
        <c:crossesAt val="-20"/>
        <c:crossBetween val="midCat"/>
        <c:majorUnit val="20"/>
        <c:minorUnit val="1"/>
      </c:valAx>
      <c:valAx>
        <c:axId val="717093856"/>
        <c:scaling>
          <c:orientation val="minMax"/>
          <c:max val="40"/>
          <c:min val="0"/>
        </c:scaling>
        <c:delete val="0"/>
        <c:axPos val="l"/>
        <c:majorGridlines>
          <c:spPr>
            <a:ln>
              <a:solidFill>
                <a:schemeClr val="bg1">
                  <a:lumMod val="75000"/>
                </a:schemeClr>
              </a:solidFill>
              <a:prstDash val="sysDash"/>
            </a:ln>
          </c:spPr>
        </c:majorGridlines>
        <c:title>
          <c:tx>
            <c:rich>
              <a:bodyPr/>
              <a:lstStyle/>
              <a:p>
                <a:pPr>
                  <a:defRPr sz="1200" b="0">
                    <a:latin typeface="Arial" panose="020B0604020202020204" pitchFamily="34" charset="0"/>
                    <a:cs typeface="Arial" panose="020B0604020202020204" pitchFamily="34" charset="0"/>
                  </a:defRPr>
                </a:pPr>
                <a:r>
                  <a:rPr lang="en-US" sz="1200" b="0" baseline="0">
                    <a:latin typeface="Arial" panose="020B0604020202020204" pitchFamily="34" charset="0"/>
                    <a:cs typeface="Arial" panose="020B0604020202020204" pitchFamily="34" charset="0"/>
                  </a:rPr>
                  <a:t>Average tax rates (%)</a:t>
                </a:r>
                <a:endParaRPr lang="en-US" sz="1200" b="0">
                  <a:latin typeface="Arial" panose="020B0604020202020204" pitchFamily="34" charset="0"/>
                  <a:cs typeface="Arial" panose="020B0604020202020204" pitchFamily="34" charset="0"/>
                </a:endParaRPr>
              </a:p>
            </c:rich>
          </c:tx>
          <c:layout>
            <c:manualLayout>
              <c:xMode val="edge"/>
              <c:yMode val="edge"/>
              <c:x val="3.2070940160559646E-4"/>
              <c:y val="0.24226711128958101"/>
            </c:manualLayout>
          </c:layout>
          <c:overlay val="0"/>
        </c:title>
        <c:numFmt formatCode="#,##0" sourceLinked="0"/>
        <c:majorTickMark val="out"/>
        <c:minorTickMark val="none"/>
        <c:tickLblPos val="nextTo"/>
        <c:spPr>
          <a:ln>
            <a:noFill/>
          </a:ln>
        </c:spPr>
        <c:txPr>
          <a:bodyPr rot="0" vert="horz"/>
          <a:lstStyle/>
          <a:p>
            <a:pPr>
              <a:defRPr sz="1100" b="0" i="0" u="none" strike="noStrike" baseline="0">
                <a:solidFill>
                  <a:sysClr val="windowText" lastClr="000000"/>
                </a:solidFill>
                <a:latin typeface="Arial" panose="020B0604020202020204" pitchFamily="34" charset="0"/>
                <a:ea typeface="Calibri"/>
                <a:cs typeface="Arial" panose="020B0604020202020204" pitchFamily="34" charset="0"/>
              </a:defRPr>
            </a:pPr>
            <a:endParaRPr lang="en-US"/>
          </a:p>
        </c:txPr>
        <c:crossAx val="717093464"/>
        <c:crosses val="autoZero"/>
        <c:crossBetween val="midCat"/>
        <c:majorUnit val="10"/>
        <c:minorUnit val="5.000000000000001E-3"/>
      </c:valAx>
      <c:spPr>
        <a:ln>
          <a:noFill/>
        </a:ln>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1" l="0.75000000000000611" r="0.75000000000000611" t="1" header="0.5" footer="0.5"/>
    <c:pageSetup orientation="landscape" horizontalDpi="1200" verticalDpi="1200"/>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968292516307627E-2"/>
          <c:y val="3.377763140824127E-2"/>
          <c:w val="0.86624586917459712"/>
          <c:h val="0.90203526840513759"/>
        </c:manualLayout>
      </c:layout>
      <c:lineChart>
        <c:grouping val="standard"/>
        <c:varyColors val="0"/>
        <c:ser>
          <c:idx val="3"/>
          <c:order val="0"/>
          <c:tx>
            <c:v>middle quin</c:v>
          </c:tx>
          <c:spPr>
            <a:ln w="28575">
              <a:solidFill>
                <a:srgbClr val="2699B4"/>
              </a:solidFill>
              <a:prstDash val="solid"/>
            </a:ln>
          </c:spPr>
          <c:marker>
            <c:symbol val="none"/>
          </c:marker>
          <c:cat>
            <c:numRef>
              <c:f>'2-Rates'!$A$35:$A$75</c:f>
              <c:numCache>
                <c:formatCode>General</c:formatCode>
                <c:ptCount val="41"/>
                <c:pt idx="0">
                  <c:v>1979</c:v>
                </c:pt>
                <c:pt idx="1">
                  <c:v>1980</c:v>
                </c:pt>
                <c:pt idx="2">
                  <c:v>1981</c:v>
                </c:pt>
                <c:pt idx="3">
                  <c:v>1982</c:v>
                </c:pt>
                <c:pt idx="4">
                  <c:v>1983</c:v>
                </c:pt>
                <c:pt idx="5">
                  <c:v>1984</c:v>
                </c:pt>
                <c:pt idx="6">
                  <c:v>1985</c:v>
                </c:pt>
                <c:pt idx="7">
                  <c:v>1986</c:v>
                </c:pt>
                <c:pt idx="8">
                  <c:v>1987</c:v>
                </c:pt>
                <c:pt idx="9">
                  <c:v>1988</c:v>
                </c:pt>
                <c:pt idx="10">
                  <c:v>1989</c:v>
                </c:pt>
                <c:pt idx="11">
                  <c:v>1990</c:v>
                </c:pt>
                <c:pt idx="12">
                  <c:v>1991</c:v>
                </c:pt>
                <c:pt idx="13">
                  <c:v>1992</c:v>
                </c:pt>
                <c:pt idx="14">
                  <c:v>1993</c:v>
                </c:pt>
                <c:pt idx="15">
                  <c:v>1994</c:v>
                </c:pt>
                <c:pt idx="16">
                  <c:v>1995</c:v>
                </c:pt>
                <c:pt idx="17">
                  <c:v>1996</c:v>
                </c:pt>
                <c:pt idx="18">
                  <c:v>1997</c:v>
                </c:pt>
                <c:pt idx="19">
                  <c:v>1998</c:v>
                </c:pt>
                <c:pt idx="20">
                  <c:v>1999</c:v>
                </c:pt>
                <c:pt idx="21">
                  <c:v>2000</c:v>
                </c:pt>
                <c:pt idx="22">
                  <c:v>2001</c:v>
                </c:pt>
                <c:pt idx="23">
                  <c:v>2002</c:v>
                </c:pt>
                <c:pt idx="24">
                  <c:v>2003</c:v>
                </c:pt>
                <c:pt idx="25">
                  <c:v>2004</c:v>
                </c:pt>
                <c:pt idx="26">
                  <c:v>2005</c:v>
                </c:pt>
                <c:pt idx="27">
                  <c:v>2006</c:v>
                </c:pt>
                <c:pt idx="28">
                  <c:v>2007</c:v>
                </c:pt>
                <c:pt idx="29">
                  <c:v>2008</c:v>
                </c:pt>
                <c:pt idx="30">
                  <c:v>2009</c:v>
                </c:pt>
                <c:pt idx="31">
                  <c:v>2010</c:v>
                </c:pt>
                <c:pt idx="32">
                  <c:v>2011</c:v>
                </c:pt>
                <c:pt idx="33">
                  <c:v>2012</c:v>
                </c:pt>
                <c:pt idx="34">
                  <c:v>2013</c:v>
                </c:pt>
                <c:pt idx="35">
                  <c:v>2014</c:v>
                </c:pt>
                <c:pt idx="36">
                  <c:v>2015</c:v>
                </c:pt>
                <c:pt idx="37">
                  <c:v>2016</c:v>
                </c:pt>
                <c:pt idx="38">
                  <c:v>2017</c:v>
                </c:pt>
                <c:pt idx="39">
                  <c:v>2018</c:v>
                </c:pt>
                <c:pt idx="40">
                  <c:v>2019</c:v>
                </c:pt>
              </c:numCache>
            </c:numRef>
          </c:cat>
          <c:val>
            <c:numRef>
              <c:f>'2-Rates'!$C$35:$C$72</c:f>
              <c:numCache>
                <c:formatCode>#0.0</c:formatCode>
                <c:ptCount val="38"/>
                <c:pt idx="0">
                  <c:v>19.100000000000001</c:v>
                </c:pt>
                <c:pt idx="1">
                  <c:v>19</c:v>
                </c:pt>
                <c:pt idx="2">
                  <c:v>19.399999999999999</c:v>
                </c:pt>
                <c:pt idx="3">
                  <c:v>18.100000000000001</c:v>
                </c:pt>
                <c:pt idx="4">
                  <c:v>17.5</c:v>
                </c:pt>
                <c:pt idx="5">
                  <c:v>18</c:v>
                </c:pt>
                <c:pt idx="6">
                  <c:v>18.2</c:v>
                </c:pt>
                <c:pt idx="7">
                  <c:v>18.2</c:v>
                </c:pt>
                <c:pt idx="8">
                  <c:v>17.8</c:v>
                </c:pt>
                <c:pt idx="9">
                  <c:v>18.2</c:v>
                </c:pt>
                <c:pt idx="10">
                  <c:v>18.100000000000001</c:v>
                </c:pt>
                <c:pt idx="11">
                  <c:v>18.2</c:v>
                </c:pt>
                <c:pt idx="12">
                  <c:v>17.8</c:v>
                </c:pt>
                <c:pt idx="13">
                  <c:v>17.7</c:v>
                </c:pt>
                <c:pt idx="14">
                  <c:v>17.600000000000001</c:v>
                </c:pt>
                <c:pt idx="15">
                  <c:v>17.8</c:v>
                </c:pt>
                <c:pt idx="16">
                  <c:v>17.8</c:v>
                </c:pt>
                <c:pt idx="17">
                  <c:v>17.8</c:v>
                </c:pt>
                <c:pt idx="18">
                  <c:v>18.100000000000001</c:v>
                </c:pt>
                <c:pt idx="19">
                  <c:v>17.399999999999999</c:v>
                </c:pt>
                <c:pt idx="20">
                  <c:v>17.5</c:v>
                </c:pt>
                <c:pt idx="21">
                  <c:v>17.3</c:v>
                </c:pt>
                <c:pt idx="22">
                  <c:v>15.7</c:v>
                </c:pt>
                <c:pt idx="23">
                  <c:v>15.1</c:v>
                </c:pt>
                <c:pt idx="24">
                  <c:v>14.3</c:v>
                </c:pt>
                <c:pt idx="25">
                  <c:v>14.6</c:v>
                </c:pt>
                <c:pt idx="26">
                  <c:v>14.8</c:v>
                </c:pt>
                <c:pt idx="27">
                  <c:v>14.9</c:v>
                </c:pt>
                <c:pt idx="28">
                  <c:v>14.8</c:v>
                </c:pt>
                <c:pt idx="29">
                  <c:v>12.2</c:v>
                </c:pt>
                <c:pt idx="30">
                  <c:v>11.8</c:v>
                </c:pt>
                <c:pt idx="31">
                  <c:v>12.1</c:v>
                </c:pt>
                <c:pt idx="32">
                  <c:v>12</c:v>
                </c:pt>
                <c:pt idx="33">
                  <c:v>12.2</c:v>
                </c:pt>
                <c:pt idx="34">
                  <c:v>13.7</c:v>
                </c:pt>
                <c:pt idx="35">
                  <c:v>14</c:v>
                </c:pt>
                <c:pt idx="36">
                  <c:v>14</c:v>
                </c:pt>
                <c:pt idx="37">
                  <c:v>13.9</c:v>
                </c:pt>
              </c:numCache>
            </c:numRef>
          </c:val>
          <c:smooth val="1"/>
          <c:extLst>
            <c:ext xmlns:c16="http://schemas.microsoft.com/office/drawing/2014/chart" uri="{C3380CC4-5D6E-409C-BE32-E72D297353CC}">
              <c16:uniqueId val="{00000000-7FF3-42AC-9897-F9BBCCBFDD68}"/>
            </c:ext>
          </c:extLst>
        </c:ser>
        <c:ser>
          <c:idx val="0"/>
          <c:order val="1"/>
          <c:tx>
            <c:v>bottom</c:v>
          </c:tx>
          <c:spPr>
            <a:ln w="28575">
              <a:solidFill>
                <a:srgbClr val="AF3F4F"/>
              </a:solidFill>
            </a:ln>
          </c:spPr>
          <c:marker>
            <c:symbol val="none"/>
          </c:marker>
          <c:val>
            <c:numRef>
              <c:f>'2-Rates'!$B$35:$B$75</c:f>
              <c:numCache>
                <c:formatCode>#0.0</c:formatCode>
                <c:ptCount val="41"/>
                <c:pt idx="0">
                  <c:v>9.3000000000000007</c:v>
                </c:pt>
                <c:pt idx="1">
                  <c:v>8.9</c:v>
                </c:pt>
                <c:pt idx="2">
                  <c:v>9.6</c:v>
                </c:pt>
                <c:pt idx="3">
                  <c:v>9.8000000000000007</c:v>
                </c:pt>
                <c:pt idx="4">
                  <c:v>11.1</c:v>
                </c:pt>
                <c:pt idx="5">
                  <c:v>12.1</c:v>
                </c:pt>
                <c:pt idx="6">
                  <c:v>11.8</c:v>
                </c:pt>
                <c:pt idx="7">
                  <c:v>11.7</c:v>
                </c:pt>
                <c:pt idx="8">
                  <c:v>10.7</c:v>
                </c:pt>
                <c:pt idx="9">
                  <c:v>10.199999999999999</c:v>
                </c:pt>
                <c:pt idx="10">
                  <c:v>9.6</c:v>
                </c:pt>
                <c:pt idx="11">
                  <c:v>10.7</c:v>
                </c:pt>
                <c:pt idx="12">
                  <c:v>10.199999999999999</c:v>
                </c:pt>
                <c:pt idx="13">
                  <c:v>10</c:v>
                </c:pt>
                <c:pt idx="14">
                  <c:v>10</c:v>
                </c:pt>
                <c:pt idx="15">
                  <c:v>8.1999999999999993</c:v>
                </c:pt>
                <c:pt idx="16">
                  <c:v>7.6</c:v>
                </c:pt>
                <c:pt idx="17">
                  <c:v>6.8</c:v>
                </c:pt>
                <c:pt idx="18">
                  <c:v>7</c:v>
                </c:pt>
                <c:pt idx="19">
                  <c:v>6.9</c:v>
                </c:pt>
                <c:pt idx="20">
                  <c:v>7.2</c:v>
                </c:pt>
                <c:pt idx="21">
                  <c:v>6.6</c:v>
                </c:pt>
                <c:pt idx="22">
                  <c:v>6.1</c:v>
                </c:pt>
                <c:pt idx="23">
                  <c:v>5.6</c:v>
                </c:pt>
                <c:pt idx="24">
                  <c:v>5.7</c:v>
                </c:pt>
                <c:pt idx="25">
                  <c:v>5.3</c:v>
                </c:pt>
                <c:pt idx="26">
                  <c:v>5.5</c:v>
                </c:pt>
                <c:pt idx="27">
                  <c:v>5.9</c:v>
                </c:pt>
                <c:pt idx="28">
                  <c:v>5.3</c:v>
                </c:pt>
                <c:pt idx="29">
                  <c:v>0.9</c:v>
                </c:pt>
                <c:pt idx="30">
                  <c:v>-0.3</c:v>
                </c:pt>
                <c:pt idx="31">
                  <c:v>0</c:v>
                </c:pt>
                <c:pt idx="32">
                  <c:v>0.6</c:v>
                </c:pt>
                <c:pt idx="33">
                  <c:v>0.9</c:v>
                </c:pt>
                <c:pt idx="34">
                  <c:v>2.2999999999999998</c:v>
                </c:pt>
                <c:pt idx="35">
                  <c:v>1.9</c:v>
                </c:pt>
                <c:pt idx="36">
                  <c:v>1.5</c:v>
                </c:pt>
                <c:pt idx="37">
                  <c:v>1.7</c:v>
                </c:pt>
              </c:numCache>
            </c:numRef>
          </c:val>
          <c:smooth val="1"/>
          <c:extLst>
            <c:ext xmlns:c16="http://schemas.microsoft.com/office/drawing/2014/chart" uri="{C3380CC4-5D6E-409C-BE32-E72D297353CC}">
              <c16:uniqueId val="{00000001-7FF3-42AC-9897-F9BBCCBFDD68}"/>
            </c:ext>
          </c:extLst>
        </c:ser>
        <c:ser>
          <c:idx val="1"/>
          <c:order val="2"/>
          <c:tx>
            <c:v>top quin</c:v>
          </c:tx>
          <c:spPr>
            <a:ln w="28575">
              <a:solidFill>
                <a:srgbClr val="D58F11"/>
              </a:solidFill>
            </a:ln>
          </c:spPr>
          <c:marker>
            <c:symbol val="none"/>
          </c:marker>
          <c:val>
            <c:numRef>
              <c:f>'2-Rates'!$D$35:$D$72</c:f>
              <c:numCache>
                <c:formatCode>#0.0</c:formatCode>
                <c:ptCount val="38"/>
                <c:pt idx="0">
                  <c:v>27.1</c:v>
                </c:pt>
                <c:pt idx="1">
                  <c:v>26.9</c:v>
                </c:pt>
                <c:pt idx="2">
                  <c:v>26.6</c:v>
                </c:pt>
                <c:pt idx="3">
                  <c:v>24.2</c:v>
                </c:pt>
                <c:pt idx="4">
                  <c:v>23.6</c:v>
                </c:pt>
                <c:pt idx="5">
                  <c:v>23.7</c:v>
                </c:pt>
                <c:pt idx="6">
                  <c:v>23.7</c:v>
                </c:pt>
                <c:pt idx="7">
                  <c:v>23.5</c:v>
                </c:pt>
                <c:pt idx="8">
                  <c:v>25.6</c:v>
                </c:pt>
                <c:pt idx="9">
                  <c:v>25.4</c:v>
                </c:pt>
                <c:pt idx="10">
                  <c:v>25</c:v>
                </c:pt>
                <c:pt idx="11">
                  <c:v>24.9</c:v>
                </c:pt>
                <c:pt idx="12">
                  <c:v>25.2</c:v>
                </c:pt>
                <c:pt idx="13">
                  <c:v>25.4</c:v>
                </c:pt>
                <c:pt idx="14">
                  <c:v>26.5</c:v>
                </c:pt>
                <c:pt idx="15">
                  <c:v>27.1</c:v>
                </c:pt>
                <c:pt idx="16">
                  <c:v>27.5</c:v>
                </c:pt>
                <c:pt idx="17">
                  <c:v>27.7</c:v>
                </c:pt>
                <c:pt idx="18">
                  <c:v>27.7</c:v>
                </c:pt>
                <c:pt idx="19">
                  <c:v>27.4</c:v>
                </c:pt>
                <c:pt idx="20">
                  <c:v>27.8</c:v>
                </c:pt>
                <c:pt idx="21">
                  <c:v>27.8</c:v>
                </c:pt>
                <c:pt idx="22">
                  <c:v>26.6</c:v>
                </c:pt>
                <c:pt idx="23">
                  <c:v>25.9</c:v>
                </c:pt>
                <c:pt idx="24">
                  <c:v>24.8</c:v>
                </c:pt>
                <c:pt idx="25">
                  <c:v>25.1</c:v>
                </c:pt>
                <c:pt idx="26">
                  <c:v>25.5</c:v>
                </c:pt>
                <c:pt idx="27">
                  <c:v>25.5</c:v>
                </c:pt>
                <c:pt idx="28">
                  <c:v>24.8</c:v>
                </c:pt>
                <c:pt idx="29">
                  <c:v>23.7</c:v>
                </c:pt>
                <c:pt idx="30">
                  <c:v>23.2</c:v>
                </c:pt>
                <c:pt idx="31">
                  <c:v>24</c:v>
                </c:pt>
                <c:pt idx="32">
                  <c:v>23.5</c:v>
                </c:pt>
                <c:pt idx="33">
                  <c:v>24</c:v>
                </c:pt>
                <c:pt idx="34">
                  <c:v>26.3</c:v>
                </c:pt>
                <c:pt idx="35">
                  <c:v>26.7</c:v>
                </c:pt>
                <c:pt idx="36">
                  <c:v>26.7</c:v>
                </c:pt>
                <c:pt idx="37">
                  <c:v>26.5</c:v>
                </c:pt>
              </c:numCache>
            </c:numRef>
          </c:val>
          <c:smooth val="1"/>
          <c:extLst>
            <c:ext xmlns:c16="http://schemas.microsoft.com/office/drawing/2014/chart" uri="{C3380CC4-5D6E-409C-BE32-E72D297353CC}">
              <c16:uniqueId val="{00000002-7FF3-42AC-9897-F9BBCCBFDD68}"/>
            </c:ext>
          </c:extLst>
        </c:ser>
        <c:dLbls>
          <c:showLegendKey val="0"/>
          <c:showVal val="0"/>
          <c:showCatName val="0"/>
          <c:showSerName val="0"/>
          <c:showPercent val="0"/>
          <c:showBubbleSize val="0"/>
        </c:dLbls>
        <c:smooth val="0"/>
        <c:axId val="1117966680"/>
        <c:axId val="1117967072"/>
      </c:lineChart>
      <c:catAx>
        <c:axId val="1117966680"/>
        <c:scaling>
          <c:orientation val="minMax"/>
        </c:scaling>
        <c:delete val="0"/>
        <c:axPos val="b"/>
        <c:numFmt formatCode="General"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117967072"/>
        <c:crossesAt val="0"/>
        <c:auto val="1"/>
        <c:lblAlgn val="ctr"/>
        <c:lblOffset val="100"/>
        <c:tickLblSkip val="10"/>
        <c:tickMarkSkip val="10"/>
        <c:noMultiLvlLbl val="0"/>
      </c:catAx>
      <c:valAx>
        <c:axId val="1117967072"/>
        <c:scaling>
          <c:orientation val="minMax"/>
          <c:max val="30"/>
          <c:min val="0"/>
        </c:scaling>
        <c:delete val="0"/>
        <c:axPos val="l"/>
        <c:majorGridlines>
          <c:spPr>
            <a:ln w="6350">
              <a:solidFill>
                <a:schemeClr val="bg1">
                  <a:lumMod val="75000"/>
                </a:schemeClr>
              </a:solidFill>
              <a:prstDash val="sysDot"/>
            </a:ln>
          </c:spPr>
        </c:majorGridlines>
        <c:title>
          <c:tx>
            <c:rich>
              <a:bodyPr/>
              <a:lstStyle/>
              <a:p>
                <a:pPr>
                  <a:defRPr sz="1200" b="0" i="0" u="none" strike="noStrike" baseline="0">
                    <a:solidFill>
                      <a:srgbClr val="000000"/>
                    </a:solidFill>
                    <a:latin typeface="Arial"/>
                    <a:ea typeface="Arial"/>
                    <a:cs typeface="Arial"/>
                  </a:defRPr>
                </a:pPr>
                <a:r>
                  <a:rPr lang="en-US" sz="1400" b="0" baseline="0"/>
                  <a:t>Average federal tax rate</a:t>
                </a:r>
                <a:endParaRPr lang="en-US" sz="1400" b="0"/>
              </a:p>
            </c:rich>
          </c:tx>
          <c:layout>
            <c:manualLayout>
              <c:xMode val="edge"/>
              <c:yMode val="edge"/>
              <c:x val="0"/>
              <c:y val="0.27107990562879658"/>
            </c:manualLayout>
          </c:layout>
          <c:overlay val="0"/>
          <c:spPr>
            <a:noFill/>
            <a:ln w="25400">
              <a:noFill/>
            </a:ln>
          </c:spPr>
        </c:title>
        <c:numFmt formatCode="#,##0" sourceLinked="0"/>
        <c:majorTickMark val="out"/>
        <c:minorTickMark val="none"/>
        <c:tickLblPos val="nextTo"/>
        <c:spPr>
          <a:ln w="3175">
            <a:no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117966680"/>
        <c:crosses val="autoZero"/>
        <c:crossBetween val="midCat"/>
        <c:majorUnit val="10"/>
        <c:minorUnit val="0.05"/>
      </c:valAx>
      <c:spPr>
        <a:solidFill>
          <a:srgbClr val="FFFFFF"/>
        </a:solidFill>
        <a:ln w="3175">
          <a:noFill/>
          <a:prstDash val="solid"/>
        </a:ln>
      </c:spPr>
    </c:plotArea>
    <c:plotVisOnly val="1"/>
    <c:dispBlanksAs val="span"/>
    <c:showDLblsOverMax val="0"/>
  </c:chart>
  <c:spPr>
    <a:solidFill>
      <a:schemeClr val="bg1"/>
    </a:solidFill>
    <a:ln w="9525">
      <a:noFill/>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0866" r="0.75000000000000866" t="1" header="0.5" footer="0.5"/>
    <c:pageSetup orientation="landscape" verticalDpi="96"/>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86281404797537"/>
          <c:y val="3.3777574141508858E-2"/>
          <c:w val="0.84730899392650549"/>
          <c:h val="0.90203526840513759"/>
        </c:manualLayout>
      </c:layout>
      <c:lineChart>
        <c:grouping val="standard"/>
        <c:varyColors val="0"/>
        <c:ser>
          <c:idx val="3"/>
          <c:order val="0"/>
          <c:tx>
            <c:v>middle quin</c:v>
          </c:tx>
          <c:spPr>
            <a:ln w="34925">
              <a:solidFill>
                <a:srgbClr val="2699B4"/>
              </a:solidFill>
            </a:ln>
          </c:spPr>
          <c:marker>
            <c:symbol val="none"/>
          </c:marker>
          <c:cat>
            <c:numRef>
              <c:f>TxRt!$A$10:$A$50</c:f>
              <c:numCache>
                <c:formatCode>General</c:formatCode>
                <c:ptCount val="41"/>
                <c:pt idx="0">
                  <c:v>1979</c:v>
                </c:pt>
                <c:pt idx="1">
                  <c:v>1980</c:v>
                </c:pt>
                <c:pt idx="2">
                  <c:v>1981</c:v>
                </c:pt>
                <c:pt idx="3">
                  <c:v>1982</c:v>
                </c:pt>
                <c:pt idx="4">
                  <c:v>1983</c:v>
                </c:pt>
                <c:pt idx="5">
                  <c:v>1984</c:v>
                </c:pt>
                <c:pt idx="6">
                  <c:v>1985</c:v>
                </c:pt>
                <c:pt idx="7">
                  <c:v>1986</c:v>
                </c:pt>
                <c:pt idx="8">
                  <c:v>1987</c:v>
                </c:pt>
                <c:pt idx="9">
                  <c:v>1988</c:v>
                </c:pt>
                <c:pt idx="10">
                  <c:v>1989</c:v>
                </c:pt>
                <c:pt idx="11">
                  <c:v>1990</c:v>
                </c:pt>
                <c:pt idx="12">
                  <c:v>1991</c:v>
                </c:pt>
                <c:pt idx="13">
                  <c:v>1992</c:v>
                </c:pt>
                <c:pt idx="14">
                  <c:v>1993</c:v>
                </c:pt>
                <c:pt idx="15">
                  <c:v>1994</c:v>
                </c:pt>
                <c:pt idx="16">
                  <c:v>1995</c:v>
                </c:pt>
                <c:pt idx="17">
                  <c:v>1996</c:v>
                </c:pt>
                <c:pt idx="18">
                  <c:v>1997</c:v>
                </c:pt>
                <c:pt idx="19">
                  <c:v>1998</c:v>
                </c:pt>
                <c:pt idx="20">
                  <c:v>1999</c:v>
                </c:pt>
                <c:pt idx="21">
                  <c:v>2000</c:v>
                </c:pt>
                <c:pt idx="22">
                  <c:v>2001</c:v>
                </c:pt>
                <c:pt idx="23">
                  <c:v>2002</c:v>
                </c:pt>
                <c:pt idx="24">
                  <c:v>2003</c:v>
                </c:pt>
                <c:pt idx="25">
                  <c:v>2004</c:v>
                </c:pt>
                <c:pt idx="26">
                  <c:v>2005</c:v>
                </c:pt>
                <c:pt idx="27">
                  <c:v>2006</c:v>
                </c:pt>
                <c:pt idx="28">
                  <c:v>2007</c:v>
                </c:pt>
                <c:pt idx="29">
                  <c:v>2008</c:v>
                </c:pt>
                <c:pt idx="30">
                  <c:v>2009</c:v>
                </c:pt>
                <c:pt idx="31">
                  <c:v>2010</c:v>
                </c:pt>
                <c:pt idx="32">
                  <c:v>2011</c:v>
                </c:pt>
                <c:pt idx="33">
                  <c:v>2012</c:v>
                </c:pt>
                <c:pt idx="34">
                  <c:v>2013</c:v>
                </c:pt>
                <c:pt idx="35">
                  <c:v>2014</c:v>
                </c:pt>
                <c:pt idx="36">
                  <c:v>2015</c:v>
                </c:pt>
                <c:pt idx="37">
                  <c:v>2016</c:v>
                </c:pt>
                <c:pt idx="38">
                  <c:v>2017</c:v>
                </c:pt>
                <c:pt idx="39">
                  <c:v>2018</c:v>
                </c:pt>
                <c:pt idx="40">
                  <c:v>2019</c:v>
                </c:pt>
              </c:numCache>
            </c:numRef>
          </c:cat>
          <c:val>
            <c:numRef>
              <c:f>'C1-RdTrAlt'!$D$31:$D$71</c:f>
              <c:numCache>
                <c:formatCode>0.0</c:formatCode>
                <c:ptCount val="41"/>
                <c:pt idx="0">
                  <c:v>18.277680140597539</c:v>
                </c:pt>
                <c:pt idx="1">
                  <c:v>18.363636363636363</c:v>
                </c:pt>
                <c:pt idx="2">
                  <c:v>18.647166361974406</c:v>
                </c:pt>
                <c:pt idx="3">
                  <c:v>17.625231910946194</c:v>
                </c:pt>
                <c:pt idx="4">
                  <c:v>16.729323308270676</c:v>
                </c:pt>
                <c:pt idx="5">
                  <c:v>17.229129662522201</c:v>
                </c:pt>
                <c:pt idx="6">
                  <c:v>17.375886524822697</c:v>
                </c:pt>
                <c:pt idx="7">
                  <c:v>17.391304347826086</c:v>
                </c:pt>
                <c:pt idx="8">
                  <c:v>17.132867132867133</c:v>
                </c:pt>
                <c:pt idx="9">
                  <c:v>17.555938037865747</c:v>
                </c:pt>
                <c:pt idx="10">
                  <c:v>17.37649063032368</c:v>
                </c:pt>
                <c:pt idx="11">
                  <c:v>17.258883248730964</c:v>
                </c:pt>
                <c:pt idx="12">
                  <c:v>16.724137931034484</c:v>
                </c:pt>
                <c:pt idx="13">
                  <c:v>16.466552315608922</c:v>
                </c:pt>
                <c:pt idx="14">
                  <c:v>16.239316239316238</c:v>
                </c:pt>
                <c:pt idx="15">
                  <c:v>16.354344122657579</c:v>
                </c:pt>
                <c:pt idx="16">
                  <c:v>16.282894736842106</c:v>
                </c:pt>
                <c:pt idx="17">
                  <c:v>16.369529983792543</c:v>
                </c:pt>
                <c:pt idx="18">
                  <c:v>16.825396825396826</c:v>
                </c:pt>
                <c:pt idx="19">
                  <c:v>16.104294478527606</c:v>
                </c:pt>
                <c:pt idx="20">
                  <c:v>15.946348733233979</c:v>
                </c:pt>
                <c:pt idx="21">
                  <c:v>15.555555555555555</c:v>
                </c:pt>
                <c:pt idx="22">
                  <c:v>13.988095238095239</c:v>
                </c:pt>
                <c:pt idx="23">
                  <c:v>12.917933130699089</c:v>
                </c:pt>
                <c:pt idx="24">
                  <c:v>11.87214611872146</c:v>
                </c:pt>
                <c:pt idx="25">
                  <c:v>11.946902654867257</c:v>
                </c:pt>
                <c:pt idx="26">
                  <c:v>12.173913043478262</c:v>
                </c:pt>
                <c:pt idx="27">
                  <c:v>12.48206599713056</c:v>
                </c:pt>
                <c:pt idx="28">
                  <c:v>12.18836565096953</c:v>
                </c:pt>
                <c:pt idx="29">
                  <c:v>9.4285714285714288</c:v>
                </c:pt>
                <c:pt idx="30">
                  <c:v>8.3333333333333321</c:v>
                </c:pt>
                <c:pt idx="31">
                  <c:v>8.5672082717872975</c:v>
                </c:pt>
                <c:pt idx="32">
                  <c:v>8.49478390461997</c:v>
                </c:pt>
                <c:pt idx="33">
                  <c:v>8.6438152011922504</c:v>
                </c:pt>
                <c:pt idx="34">
                  <c:v>10.102489019033674</c:v>
                </c:pt>
                <c:pt idx="35">
                  <c:v>9.7701149425287355</c:v>
                </c:pt>
                <c:pt idx="36">
                  <c:v>9.4444444444444446</c:v>
                </c:pt>
                <c:pt idx="37">
                  <c:v>9.2413793103448274</c:v>
                </c:pt>
              </c:numCache>
            </c:numRef>
          </c:val>
          <c:smooth val="1"/>
          <c:extLst>
            <c:ext xmlns:c16="http://schemas.microsoft.com/office/drawing/2014/chart" uri="{C3380CC4-5D6E-409C-BE32-E72D297353CC}">
              <c16:uniqueId val="{00000000-BF5C-4C7D-A2C2-04116CDE9584}"/>
            </c:ext>
          </c:extLst>
        </c:ser>
        <c:ser>
          <c:idx val="0"/>
          <c:order val="1"/>
          <c:tx>
            <c:v>bottom</c:v>
          </c:tx>
          <c:spPr>
            <a:ln w="34925">
              <a:solidFill>
                <a:srgbClr val="A03A49"/>
              </a:solidFill>
            </a:ln>
          </c:spPr>
          <c:marker>
            <c:symbol val="none"/>
          </c:marker>
          <c:val>
            <c:numRef>
              <c:f>'C1-RdTrAlt'!$B$31:$B$71</c:f>
              <c:numCache>
                <c:formatCode>0.0</c:formatCode>
                <c:ptCount val="41"/>
                <c:pt idx="0">
                  <c:v>-22.58064516129032</c:v>
                </c:pt>
                <c:pt idx="1">
                  <c:v>-26.845637583892618</c:v>
                </c:pt>
                <c:pt idx="2">
                  <c:v>-27.210884353741498</c:v>
                </c:pt>
                <c:pt idx="3">
                  <c:v>-30.281690140845068</c:v>
                </c:pt>
                <c:pt idx="4">
                  <c:v>-33.82352941176471</c:v>
                </c:pt>
                <c:pt idx="5">
                  <c:v>-26.027397260273972</c:v>
                </c:pt>
                <c:pt idx="6">
                  <c:v>-29.655172413793103</c:v>
                </c:pt>
                <c:pt idx="7">
                  <c:v>-30.555555555555557</c:v>
                </c:pt>
                <c:pt idx="8">
                  <c:v>-35.507246376811594</c:v>
                </c:pt>
                <c:pt idx="9">
                  <c:v>-34.265734265734267</c:v>
                </c:pt>
                <c:pt idx="10">
                  <c:v>-36</c:v>
                </c:pt>
                <c:pt idx="11">
                  <c:v>-37.012987012987011</c:v>
                </c:pt>
                <c:pt idx="12">
                  <c:v>-41.29032258064516</c:v>
                </c:pt>
                <c:pt idx="13">
                  <c:v>-45.512820512820511</c:v>
                </c:pt>
                <c:pt idx="14">
                  <c:v>-50</c:v>
                </c:pt>
                <c:pt idx="15">
                  <c:v>-52.258064516129032</c:v>
                </c:pt>
                <c:pt idx="16">
                  <c:v>-47.305389221556887</c:v>
                </c:pt>
                <c:pt idx="17">
                  <c:v>-47.305389221556887</c:v>
                </c:pt>
                <c:pt idx="18">
                  <c:v>-40.909090909090914</c:v>
                </c:pt>
                <c:pt idx="19">
                  <c:v>-38.829787234042549</c:v>
                </c:pt>
                <c:pt idx="20">
                  <c:v>-35.897435897435898</c:v>
                </c:pt>
                <c:pt idx="21">
                  <c:v>-37.305699481865283</c:v>
                </c:pt>
                <c:pt idx="22">
                  <c:v>-41.578947368421055</c:v>
                </c:pt>
                <c:pt idx="23">
                  <c:v>-45.212765957446813</c:v>
                </c:pt>
                <c:pt idx="24">
                  <c:v>-49.189189189189193</c:v>
                </c:pt>
                <c:pt idx="25">
                  <c:v>-50</c:v>
                </c:pt>
                <c:pt idx="26">
                  <c:v>-48.186528497409327</c:v>
                </c:pt>
                <c:pt idx="27">
                  <c:v>-44.827586206896555</c:v>
                </c:pt>
                <c:pt idx="28">
                  <c:v>-41.666666666666671</c:v>
                </c:pt>
                <c:pt idx="29">
                  <c:v>-48.584905660377359</c:v>
                </c:pt>
                <c:pt idx="30">
                  <c:v>-59.11330049261084</c:v>
                </c:pt>
                <c:pt idx="31">
                  <c:v>-63.131313131313128</c:v>
                </c:pt>
                <c:pt idx="32">
                  <c:v>-59.203980099502488</c:v>
                </c:pt>
                <c:pt idx="33">
                  <c:v>-61.979166666666664</c:v>
                </c:pt>
                <c:pt idx="34">
                  <c:v>-60.301507537688437</c:v>
                </c:pt>
                <c:pt idx="35">
                  <c:v>-70.103092783505147</c:v>
                </c:pt>
                <c:pt idx="36">
                  <c:v>-70.243902439024382</c:v>
                </c:pt>
                <c:pt idx="37">
                  <c:v>-70.388349514563103</c:v>
                </c:pt>
              </c:numCache>
            </c:numRef>
          </c:val>
          <c:smooth val="1"/>
          <c:extLst>
            <c:ext xmlns:c16="http://schemas.microsoft.com/office/drawing/2014/chart" uri="{C3380CC4-5D6E-409C-BE32-E72D297353CC}">
              <c16:uniqueId val="{00000001-BF5C-4C7D-A2C2-04116CDE9584}"/>
            </c:ext>
          </c:extLst>
        </c:ser>
        <c:ser>
          <c:idx val="1"/>
          <c:order val="2"/>
          <c:tx>
            <c:v>Q5</c:v>
          </c:tx>
          <c:spPr>
            <a:ln w="34925">
              <a:solidFill>
                <a:srgbClr val="D58F11"/>
              </a:solidFill>
            </a:ln>
          </c:spPr>
          <c:marker>
            <c:symbol val="none"/>
          </c:marker>
          <c:val>
            <c:numRef>
              <c:f>'C1-RdTrAlt'!$BH$31:$BH$71</c:f>
              <c:numCache>
                <c:formatCode>0.0</c:formatCode>
                <c:ptCount val="41"/>
                <c:pt idx="0">
                  <c:v>27.012278308321964</c:v>
                </c:pt>
                <c:pt idx="1">
                  <c:v>26.839523475823405</c:v>
                </c:pt>
                <c:pt idx="2">
                  <c:v>26.582278481012654</c:v>
                </c:pt>
                <c:pt idx="3">
                  <c:v>24.092178770949722</c:v>
                </c:pt>
                <c:pt idx="4">
                  <c:v>23.517520215633422</c:v>
                </c:pt>
                <c:pt idx="5">
                  <c:v>23.664596273291927</c:v>
                </c:pt>
                <c:pt idx="6">
                  <c:v>23.601720958819914</c:v>
                </c:pt>
                <c:pt idx="7">
                  <c:v>23.464912280701753</c:v>
                </c:pt>
                <c:pt idx="8">
                  <c:v>25.536854323853742</c:v>
                </c:pt>
                <c:pt idx="9">
                  <c:v>25.32537960954447</c:v>
                </c:pt>
                <c:pt idx="10">
                  <c:v>24.891304347826086</c:v>
                </c:pt>
                <c:pt idx="11">
                  <c:v>24.846796657381613</c:v>
                </c:pt>
                <c:pt idx="12">
                  <c:v>25.057603686635943</c:v>
                </c:pt>
                <c:pt idx="13">
                  <c:v>25.31785516860144</c:v>
                </c:pt>
                <c:pt idx="14">
                  <c:v>26.283821093318611</c:v>
                </c:pt>
                <c:pt idx="15">
                  <c:v>26.914778856526429</c:v>
                </c:pt>
                <c:pt idx="16">
                  <c:v>27.342945417095777</c:v>
                </c:pt>
                <c:pt idx="17">
                  <c:v>27.55598831548199</c:v>
                </c:pt>
                <c:pt idx="18">
                  <c:v>27.543538038496791</c:v>
                </c:pt>
                <c:pt idx="19">
                  <c:v>27.210300429184546</c:v>
                </c:pt>
                <c:pt idx="20">
                  <c:v>27.679290894439966</c:v>
                </c:pt>
                <c:pt idx="21">
                  <c:v>27.621974644640801</c:v>
                </c:pt>
                <c:pt idx="22">
                  <c:v>26.453243470935128</c:v>
                </c:pt>
                <c:pt idx="23">
                  <c:v>25.686448184233836</c:v>
                </c:pt>
                <c:pt idx="24">
                  <c:v>24.614726027397261</c:v>
                </c:pt>
                <c:pt idx="25">
                  <c:v>24.872097599370328</c:v>
                </c:pt>
                <c:pt idx="26">
                  <c:v>25.326560232220608</c:v>
                </c:pt>
                <c:pt idx="27">
                  <c:v>25.321739130434786</c:v>
                </c:pt>
                <c:pt idx="28">
                  <c:v>24.581379772270594</c:v>
                </c:pt>
                <c:pt idx="29">
                  <c:v>23.503325942350333</c:v>
                </c:pt>
                <c:pt idx="30">
                  <c:v>22.929416564667481</c:v>
                </c:pt>
                <c:pt idx="31">
                  <c:v>23.673946957878314</c:v>
                </c:pt>
                <c:pt idx="32">
                  <c:v>23.28185328185328</c:v>
                </c:pt>
                <c:pt idx="33">
                  <c:v>23.74821173104435</c:v>
                </c:pt>
                <c:pt idx="34">
                  <c:v>26.103077493511307</c:v>
                </c:pt>
                <c:pt idx="35">
                  <c:v>26.411785338477728</c:v>
                </c:pt>
                <c:pt idx="36">
                  <c:v>26.39783124364622</c:v>
                </c:pt>
                <c:pt idx="37">
                  <c:v>26.201923076923077</c:v>
                </c:pt>
              </c:numCache>
            </c:numRef>
          </c:val>
          <c:smooth val="1"/>
          <c:extLst>
            <c:ext xmlns:c16="http://schemas.microsoft.com/office/drawing/2014/chart" uri="{C3380CC4-5D6E-409C-BE32-E72D297353CC}">
              <c16:uniqueId val="{00000002-BF5C-4C7D-A2C2-04116CDE9584}"/>
            </c:ext>
          </c:extLst>
        </c:ser>
        <c:dLbls>
          <c:showLegendKey val="0"/>
          <c:showVal val="0"/>
          <c:showCatName val="0"/>
          <c:showSerName val="0"/>
          <c:showPercent val="0"/>
          <c:showBubbleSize val="0"/>
        </c:dLbls>
        <c:smooth val="0"/>
        <c:axId val="1117966680"/>
        <c:axId val="1117967072"/>
      </c:lineChart>
      <c:catAx>
        <c:axId val="1117966680"/>
        <c:scaling>
          <c:orientation val="minMax"/>
        </c:scaling>
        <c:delete val="0"/>
        <c:axPos val="b"/>
        <c:numFmt formatCode="General"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117967072"/>
        <c:crossesAt val="-100"/>
        <c:auto val="1"/>
        <c:lblAlgn val="ctr"/>
        <c:lblOffset val="100"/>
        <c:tickLblSkip val="10"/>
        <c:tickMarkSkip val="10"/>
        <c:noMultiLvlLbl val="0"/>
      </c:catAx>
      <c:valAx>
        <c:axId val="1117967072"/>
        <c:scaling>
          <c:orientation val="minMax"/>
          <c:max val="35"/>
          <c:min val="-75"/>
        </c:scaling>
        <c:delete val="0"/>
        <c:axPos val="l"/>
        <c:majorGridlines>
          <c:spPr>
            <a:ln w="6350">
              <a:solidFill>
                <a:schemeClr val="bg1">
                  <a:lumMod val="75000"/>
                </a:schemeClr>
              </a:solidFill>
              <a:prstDash val="sysDot"/>
            </a:ln>
          </c:spPr>
        </c:majorGridlines>
        <c:title>
          <c:tx>
            <c:rich>
              <a:bodyPr/>
              <a:lstStyle/>
              <a:p>
                <a:pPr>
                  <a:defRPr sz="1200" b="0" i="0" u="none" strike="noStrike" baseline="0">
                    <a:solidFill>
                      <a:srgbClr val="000000"/>
                    </a:solidFill>
                    <a:latin typeface="Arial"/>
                    <a:ea typeface="Arial"/>
                    <a:cs typeface="Arial"/>
                  </a:defRPr>
                </a:pPr>
                <a:r>
                  <a:rPr lang="en-US" sz="1200" b="0" baseline="0"/>
                  <a:t>Average redistribution rate</a:t>
                </a:r>
                <a:endParaRPr lang="en-US" sz="1400" b="0"/>
              </a:p>
            </c:rich>
          </c:tx>
          <c:layout>
            <c:manualLayout>
              <c:xMode val="edge"/>
              <c:yMode val="edge"/>
              <c:x val="0"/>
              <c:y val="0.31054923187984984"/>
            </c:manualLayout>
          </c:layout>
          <c:overlay val="0"/>
          <c:spPr>
            <a:noFill/>
            <a:ln w="25400">
              <a:noFill/>
            </a:ln>
          </c:spPr>
        </c:title>
        <c:numFmt formatCode="#,##0" sourceLinked="0"/>
        <c:majorTickMark val="out"/>
        <c:minorTickMark val="none"/>
        <c:tickLblPos val="nextTo"/>
        <c:spPr>
          <a:ln w="3175">
            <a:no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117966680"/>
        <c:crosses val="autoZero"/>
        <c:crossBetween val="midCat"/>
        <c:majorUnit val="25"/>
        <c:minorUnit val="0.05"/>
      </c:valAx>
      <c:spPr>
        <a:solidFill>
          <a:srgbClr val="FFFFFF"/>
        </a:solidFill>
        <a:ln w="3175">
          <a:noFill/>
          <a:prstDash val="solid"/>
        </a:ln>
      </c:spPr>
    </c:plotArea>
    <c:plotVisOnly val="1"/>
    <c:dispBlanksAs val="span"/>
    <c:showDLblsOverMax val="0"/>
  </c:chart>
  <c:spPr>
    <a:solidFill>
      <a:schemeClr val="bg1"/>
    </a:solidFill>
    <a:ln w="9525">
      <a:noFill/>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0866" r="0.75000000000000866" t="1" header="0.5" footer="0.5"/>
    <c:pageSetup orientation="landscape" verticalDpi="96"/>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7784360847443"/>
          <c:y val="3.3777574141508858E-2"/>
          <c:w val="0.84894761974128319"/>
          <c:h val="0.86629650675108916"/>
        </c:manualLayout>
      </c:layout>
      <c:scatterChart>
        <c:scatterStyle val="smoothMarker"/>
        <c:varyColors val="0"/>
        <c:ser>
          <c:idx val="0"/>
          <c:order val="0"/>
          <c:tx>
            <c:strRef>
              <c:f>'C4a-RSalt1'!$P$6:$W$6</c:f>
              <c:strCache>
                <c:ptCount val="8"/>
                <c:pt idx="0">
                  <c:v>Cumulative Share of Income After Taxes and Transfers</c:v>
                </c:pt>
              </c:strCache>
            </c:strRef>
          </c:tx>
          <c:spPr>
            <a:ln>
              <a:solidFill>
                <a:srgbClr val="2699B4"/>
              </a:solidFill>
            </a:ln>
          </c:spPr>
          <c:marker>
            <c:symbol val="none"/>
          </c:marker>
          <c:xVal>
            <c:numRef>
              <c:f>'C4a-RSalt1'!$O$4:$W$4</c:f>
              <c:numCache>
                <c:formatCode>0.00</c:formatCode>
                <c:ptCount val="9"/>
                <c:pt idx="0" formatCode="General">
                  <c:v>0</c:v>
                </c:pt>
                <c:pt idx="1">
                  <c:v>0.2</c:v>
                </c:pt>
                <c:pt idx="2">
                  <c:v>0.4</c:v>
                </c:pt>
                <c:pt idx="3">
                  <c:v>0.60000000000000009</c:v>
                </c:pt>
                <c:pt idx="4">
                  <c:v>0.8</c:v>
                </c:pt>
                <c:pt idx="5">
                  <c:v>0.9</c:v>
                </c:pt>
                <c:pt idx="6">
                  <c:v>0.95000000000000007</c:v>
                </c:pt>
                <c:pt idx="7">
                  <c:v>0.9900000000000001</c:v>
                </c:pt>
                <c:pt idx="8">
                  <c:v>1</c:v>
                </c:pt>
              </c:numCache>
            </c:numRef>
          </c:xVal>
          <c:yVal>
            <c:numRef>
              <c:f>'C4a-RSalt1'!$O$44:$W$44</c:f>
              <c:numCache>
                <c:formatCode>0.000</c:formatCode>
                <c:ptCount val="9"/>
                <c:pt idx="0" formatCode="General">
                  <c:v>0</c:v>
                </c:pt>
                <c:pt idx="1">
                  <c:v>7.389162561576354E-2</c:v>
                </c:pt>
                <c:pt idx="2">
                  <c:v>0.18226600985221672</c:v>
                </c:pt>
                <c:pt idx="3">
                  <c:v>0.3261083743842364</c:v>
                </c:pt>
                <c:pt idx="4">
                  <c:v>0.5251231527093595</c:v>
                </c:pt>
                <c:pt idx="5">
                  <c:v>0.66206896551724126</c:v>
                </c:pt>
                <c:pt idx="6">
                  <c:v>0.75467980295566495</c:v>
                </c:pt>
                <c:pt idx="7">
                  <c:v>0.86995073891625607</c:v>
                </c:pt>
                <c:pt idx="8" formatCode="0.00">
                  <c:v>1</c:v>
                </c:pt>
              </c:numCache>
            </c:numRef>
          </c:yVal>
          <c:smooth val="1"/>
          <c:extLst>
            <c:ext xmlns:c16="http://schemas.microsoft.com/office/drawing/2014/chart" uri="{C3380CC4-5D6E-409C-BE32-E72D297353CC}">
              <c16:uniqueId val="{00000000-4F4E-4CFD-BF4A-53495564FFE1}"/>
            </c:ext>
          </c:extLst>
        </c:ser>
        <c:ser>
          <c:idx val="1"/>
          <c:order val="1"/>
          <c:tx>
            <c:strRef>
              <c:f>'C4a-RSalt1'!$AH$6</c:f>
              <c:strCache>
                <c:ptCount val="1"/>
                <c:pt idx="0">
                  <c:v>Cumulative Share of Income (CBO, inc. social insur.)</c:v>
                </c:pt>
              </c:strCache>
            </c:strRef>
          </c:tx>
          <c:spPr>
            <a:ln>
              <a:solidFill>
                <a:srgbClr val="A03A49"/>
              </a:solidFill>
            </a:ln>
          </c:spPr>
          <c:marker>
            <c:symbol val="none"/>
          </c:marker>
          <c:xVal>
            <c:numRef>
              <c:f>'C4a-RSalt1'!$O$4:$W$4</c:f>
              <c:numCache>
                <c:formatCode>0.00</c:formatCode>
                <c:ptCount val="9"/>
                <c:pt idx="0" formatCode="General">
                  <c:v>0</c:v>
                </c:pt>
                <c:pt idx="1">
                  <c:v>0.2</c:v>
                </c:pt>
                <c:pt idx="2">
                  <c:v>0.4</c:v>
                </c:pt>
                <c:pt idx="3">
                  <c:v>0.60000000000000009</c:v>
                </c:pt>
                <c:pt idx="4">
                  <c:v>0.8</c:v>
                </c:pt>
                <c:pt idx="5">
                  <c:v>0.9</c:v>
                </c:pt>
                <c:pt idx="6">
                  <c:v>0.95000000000000007</c:v>
                </c:pt>
                <c:pt idx="7">
                  <c:v>0.9900000000000001</c:v>
                </c:pt>
                <c:pt idx="8">
                  <c:v>1</c:v>
                </c:pt>
              </c:numCache>
            </c:numRef>
          </c:xVal>
          <c:yVal>
            <c:numRef>
              <c:f>'C4a-RSalt1'!$AG$44:$AO$44</c:f>
              <c:numCache>
                <c:formatCode>0.00</c:formatCode>
                <c:ptCount val="9"/>
                <c:pt idx="0" formatCode="General">
                  <c:v>0</c:v>
                </c:pt>
                <c:pt idx="1">
                  <c:v>3.6525172754195465E-2</c:v>
                </c:pt>
                <c:pt idx="2">
                  <c:v>0.12240868706811453</c:v>
                </c:pt>
                <c:pt idx="3">
                  <c:v>0.25666337611056272</c:v>
                </c:pt>
                <c:pt idx="4">
                  <c:v>0.45705824284304053</c:v>
                </c:pt>
                <c:pt idx="5">
                  <c:v>0.60315893385982244</c:v>
                </c:pt>
                <c:pt idx="6">
                  <c:v>0.70483711747285305</c:v>
                </c:pt>
                <c:pt idx="7">
                  <c:v>0.83613030602171778</c:v>
                </c:pt>
                <c:pt idx="8">
                  <c:v>1</c:v>
                </c:pt>
              </c:numCache>
            </c:numRef>
          </c:yVal>
          <c:smooth val="1"/>
          <c:extLst>
            <c:ext xmlns:c16="http://schemas.microsoft.com/office/drawing/2014/chart" uri="{C3380CC4-5D6E-409C-BE32-E72D297353CC}">
              <c16:uniqueId val="{00000001-4F4E-4CFD-BF4A-53495564FFE1}"/>
            </c:ext>
          </c:extLst>
        </c:ser>
        <c:ser>
          <c:idx val="2"/>
          <c:order val="2"/>
          <c:tx>
            <c:strRef>
              <c:f>'C4a-RSalt1'!$M$3</c:f>
              <c:strCache>
                <c:ptCount val="1"/>
                <c:pt idx="0">
                  <c:v>45-degree line</c:v>
                </c:pt>
              </c:strCache>
            </c:strRef>
          </c:tx>
          <c:spPr>
            <a:ln>
              <a:solidFill>
                <a:schemeClr val="tx1"/>
              </a:solidFill>
              <a:prstDash val="sysDash"/>
            </a:ln>
          </c:spPr>
          <c:marker>
            <c:symbol val="none"/>
          </c:marker>
          <c:xVal>
            <c:numRef>
              <c:f>'C4a-RSalt1'!$O$4:$W$4</c:f>
              <c:numCache>
                <c:formatCode>0.00</c:formatCode>
                <c:ptCount val="9"/>
                <c:pt idx="0" formatCode="General">
                  <c:v>0</c:v>
                </c:pt>
                <c:pt idx="1">
                  <c:v>0.2</c:v>
                </c:pt>
                <c:pt idx="2">
                  <c:v>0.4</c:v>
                </c:pt>
                <c:pt idx="3">
                  <c:v>0.60000000000000009</c:v>
                </c:pt>
                <c:pt idx="4">
                  <c:v>0.8</c:v>
                </c:pt>
                <c:pt idx="5">
                  <c:v>0.9</c:v>
                </c:pt>
                <c:pt idx="6">
                  <c:v>0.95000000000000007</c:v>
                </c:pt>
                <c:pt idx="7">
                  <c:v>0.9900000000000001</c:v>
                </c:pt>
                <c:pt idx="8">
                  <c:v>1</c:v>
                </c:pt>
              </c:numCache>
            </c:numRef>
          </c:xVal>
          <c:yVal>
            <c:numRef>
              <c:f>'C4a-RSalt1'!$O$4:$W$4</c:f>
              <c:numCache>
                <c:formatCode>0.00</c:formatCode>
                <c:ptCount val="9"/>
                <c:pt idx="0" formatCode="General">
                  <c:v>0</c:v>
                </c:pt>
                <c:pt idx="1">
                  <c:v>0.2</c:v>
                </c:pt>
                <c:pt idx="2">
                  <c:v>0.4</c:v>
                </c:pt>
                <c:pt idx="3">
                  <c:v>0.60000000000000009</c:v>
                </c:pt>
                <c:pt idx="4">
                  <c:v>0.8</c:v>
                </c:pt>
                <c:pt idx="5">
                  <c:v>0.9</c:v>
                </c:pt>
                <c:pt idx="6">
                  <c:v>0.95000000000000007</c:v>
                </c:pt>
                <c:pt idx="7">
                  <c:v>0.9900000000000001</c:v>
                </c:pt>
                <c:pt idx="8">
                  <c:v>1</c:v>
                </c:pt>
              </c:numCache>
            </c:numRef>
          </c:yVal>
          <c:smooth val="1"/>
          <c:extLst>
            <c:ext xmlns:c16="http://schemas.microsoft.com/office/drawing/2014/chart" uri="{C3380CC4-5D6E-409C-BE32-E72D297353CC}">
              <c16:uniqueId val="{00000002-4F4E-4CFD-BF4A-53495564FFE1}"/>
            </c:ext>
          </c:extLst>
        </c:ser>
        <c:dLbls>
          <c:showLegendKey val="0"/>
          <c:showVal val="0"/>
          <c:showCatName val="0"/>
          <c:showSerName val="0"/>
          <c:showPercent val="0"/>
          <c:showBubbleSize val="0"/>
        </c:dLbls>
        <c:axId val="1117966680"/>
        <c:axId val="1117967072"/>
      </c:scatterChart>
      <c:valAx>
        <c:axId val="1117966680"/>
        <c:scaling>
          <c:orientation val="minMax"/>
          <c:max val="1"/>
        </c:scaling>
        <c:delete val="0"/>
        <c:axPos val="b"/>
        <c:title>
          <c:tx>
            <c:rich>
              <a:bodyPr/>
              <a:lstStyle/>
              <a:p>
                <a:pPr>
                  <a:defRPr/>
                </a:pPr>
                <a:r>
                  <a:rPr lang="en-US" sz="1100" b="0" i="0" baseline="0">
                    <a:effectLst/>
                  </a:rPr>
                  <a:t>Income percentile</a:t>
                </a:r>
                <a:endParaRPr lang="en-US" sz="500">
                  <a:effectLst/>
                </a:endParaRPr>
              </a:p>
            </c:rich>
          </c:tx>
          <c:overlay val="0"/>
        </c:title>
        <c:numFmt formatCode="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117967072"/>
        <c:crossesAt val="0"/>
        <c:crossBetween val="midCat"/>
        <c:majorUnit val="0.25"/>
      </c:valAx>
      <c:valAx>
        <c:axId val="1117967072"/>
        <c:scaling>
          <c:orientation val="minMax"/>
          <c:max val="1"/>
          <c:min val="0"/>
        </c:scaling>
        <c:delete val="0"/>
        <c:axPos val="l"/>
        <c:majorGridlines>
          <c:spPr>
            <a:ln w="6350">
              <a:solidFill>
                <a:schemeClr val="bg1">
                  <a:lumMod val="75000"/>
                </a:schemeClr>
              </a:solidFill>
              <a:prstDash val="sysDot"/>
            </a:ln>
          </c:spPr>
        </c:majorGridlines>
        <c:title>
          <c:tx>
            <c:rich>
              <a:bodyPr/>
              <a:lstStyle/>
              <a:p>
                <a:pPr>
                  <a:defRPr sz="1200" b="0" i="0" u="none" strike="noStrike" baseline="0">
                    <a:solidFill>
                      <a:srgbClr val="000000"/>
                    </a:solidFill>
                    <a:latin typeface="Arial"/>
                    <a:ea typeface="Arial"/>
                    <a:cs typeface="Arial"/>
                  </a:defRPr>
                </a:pPr>
                <a:r>
                  <a:rPr lang="en-US" sz="1050" b="0" baseline="0"/>
                  <a:t>Cumulative share of income</a:t>
                </a:r>
                <a:endParaRPr lang="en-US" sz="1100" b="0"/>
              </a:p>
            </c:rich>
          </c:tx>
          <c:layout>
            <c:manualLayout>
              <c:xMode val="edge"/>
              <c:yMode val="edge"/>
              <c:x val="0"/>
              <c:y val="0.25510187515220389"/>
            </c:manualLayout>
          </c:layout>
          <c:overlay val="0"/>
          <c:spPr>
            <a:noFill/>
            <a:ln w="25400">
              <a:noFill/>
            </a:ln>
          </c:spPr>
        </c:title>
        <c:numFmt formatCode="0%" sourceLinked="0"/>
        <c:majorTickMark val="out"/>
        <c:minorTickMark val="none"/>
        <c:tickLblPos val="nextTo"/>
        <c:spPr>
          <a:ln w="3175">
            <a:no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117966680"/>
        <c:crosses val="autoZero"/>
        <c:crossBetween val="midCat"/>
        <c:majorUnit val="0.25"/>
        <c:minorUnit val="0.05"/>
      </c:valAx>
      <c:spPr>
        <a:solidFill>
          <a:srgbClr val="FFFFFF"/>
        </a:solidFill>
        <a:ln w="3175">
          <a:noFill/>
          <a:prstDash val="solid"/>
        </a:ln>
      </c:spPr>
    </c:plotArea>
    <c:plotVisOnly val="1"/>
    <c:dispBlanksAs val="span"/>
    <c:showDLblsOverMax val="0"/>
  </c:chart>
  <c:spPr>
    <a:solidFill>
      <a:schemeClr val="bg1"/>
    </a:solidFill>
    <a:ln w="9525">
      <a:noFill/>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0866" r="0.75000000000000866" t="1" header="0.5" footer="0.5"/>
    <c:pageSetup orientation="landscape" verticalDpi="96"/>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9246941965858"/>
          <c:y val="3.3777574141508858E-2"/>
          <c:w val="0.8427330747890629"/>
          <c:h val="0.86629650675108916"/>
        </c:manualLayout>
      </c:layout>
      <c:scatterChart>
        <c:scatterStyle val="smoothMarker"/>
        <c:varyColors val="0"/>
        <c:ser>
          <c:idx val="0"/>
          <c:order val="0"/>
          <c:tx>
            <c:strRef>
              <c:f>'C4b-RSalt2'!$P$6:$W$6</c:f>
              <c:strCache>
                <c:ptCount val="8"/>
                <c:pt idx="0">
                  <c:v>Cumulative Share of Pseudo After-tax/transfer Income</c:v>
                </c:pt>
              </c:strCache>
            </c:strRef>
          </c:tx>
          <c:spPr>
            <a:ln w="25400">
              <a:solidFill>
                <a:srgbClr val="2699B4"/>
              </a:solidFill>
            </a:ln>
          </c:spPr>
          <c:marker>
            <c:symbol val="none"/>
          </c:marker>
          <c:xVal>
            <c:numRef>
              <c:f>'C4b-RSalt2'!$O$4:$W$4</c:f>
              <c:numCache>
                <c:formatCode>0.00</c:formatCode>
                <c:ptCount val="9"/>
                <c:pt idx="0" formatCode="General">
                  <c:v>0</c:v>
                </c:pt>
                <c:pt idx="1">
                  <c:v>0.2</c:v>
                </c:pt>
                <c:pt idx="2">
                  <c:v>0.4</c:v>
                </c:pt>
                <c:pt idx="3">
                  <c:v>0.60000000000000009</c:v>
                </c:pt>
                <c:pt idx="4">
                  <c:v>0.8</c:v>
                </c:pt>
                <c:pt idx="5">
                  <c:v>0.9</c:v>
                </c:pt>
                <c:pt idx="6">
                  <c:v>0.95000000000000007</c:v>
                </c:pt>
                <c:pt idx="7">
                  <c:v>0.9900000000000001</c:v>
                </c:pt>
                <c:pt idx="8">
                  <c:v>1</c:v>
                </c:pt>
              </c:numCache>
            </c:numRef>
          </c:xVal>
          <c:yVal>
            <c:numRef>
              <c:f>'C4b-RSalt2'!$O$45:$W$45</c:f>
              <c:numCache>
                <c:formatCode>0.000</c:formatCode>
                <c:ptCount val="9"/>
                <c:pt idx="0" formatCode="General">
                  <c:v>0</c:v>
                </c:pt>
                <c:pt idx="1">
                  <c:v>5.7960077045869897E-2</c:v>
                </c:pt>
                <c:pt idx="2">
                  <c:v>0.15346970822775677</c:v>
                </c:pt>
                <c:pt idx="3">
                  <c:v>0.29042062420061326</c:v>
                </c:pt>
                <c:pt idx="4">
                  <c:v>0.49392712550607287</c:v>
                </c:pt>
                <c:pt idx="5">
                  <c:v>0.64163900837053722</c:v>
                </c:pt>
                <c:pt idx="6">
                  <c:v>0.74283296839021995</c:v>
                </c:pt>
                <c:pt idx="7">
                  <c:v>0.8672545193640937</c:v>
                </c:pt>
                <c:pt idx="8" formatCode="0.00">
                  <c:v>1</c:v>
                </c:pt>
              </c:numCache>
            </c:numRef>
          </c:yVal>
          <c:smooth val="1"/>
          <c:extLst>
            <c:ext xmlns:c16="http://schemas.microsoft.com/office/drawing/2014/chart" uri="{C3380CC4-5D6E-409C-BE32-E72D297353CC}">
              <c16:uniqueId val="{00000000-B7E9-4EAC-AED0-B6BA8A7522E2}"/>
            </c:ext>
          </c:extLst>
        </c:ser>
        <c:ser>
          <c:idx val="1"/>
          <c:order val="1"/>
          <c:tx>
            <c:strRef>
              <c:f>'C4b-RSalt2'!$AH$6</c:f>
              <c:strCache>
                <c:ptCount val="1"/>
                <c:pt idx="0">
                  <c:v>Cumulative Share of Market Income (CBO)</c:v>
                </c:pt>
              </c:strCache>
            </c:strRef>
          </c:tx>
          <c:spPr>
            <a:ln w="25400">
              <a:solidFill>
                <a:srgbClr val="A03A49"/>
              </a:solidFill>
            </a:ln>
          </c:spPr>
          <c:marker>
            <c:symbol val="none"/>
          </c:marker>
          <c:xVal>
            <c:numRef>
              <c:f>'C4b-RSalt2'!$O$4:$W$4</c:f>
              <c:numCache>
                <c:formatCode>0.00</c:formatCode>
                <c:ptCount val="9"/>
                <c:pt idx="0" formatCode="General">
                  <c:v>0</c:v>
                </c:pt>
                <c:pt idx="1">
                  <c:v>0.2</c:v>
                </c:pt>
                <c:pt idx="2">
                  <c:v>0.4</c:v>
                </c:pt>
                <c:pt idx="3">
                  <c:v>0.60000000000000009</c:v>
                </c:pt>
                <c:pt idx="4">
                  <c:v>0.8</c:v>
                </c:pt>
                <c:pt idx="5">
                  <c:v>0.9</c:v>
                </c:pt>
                <c:pt idx="6">
                  <c:v>0.95000000000000007</c:v>
                </c:pt>
                <c:pt idx="7">
                  <c:v>0.9900000000000001</c:v>
                </c:pt>
                <c:pt idx="8">
                  <c:v>1</c:v>
                </c:pt>
              </c:numCache>
            </c:numRef>
          </c:xVal>
          <c:yVal>
            <c:numRef>
              <c:f>'C4b-RSalt2'!$AG$45:$AO$45</c:f>
              <c:numCache>
                <c:formatCode>0.00</c:formatCode>
                <c:ptCount val="9"/>
                <c:pt idx="0" formatCode="General">
                  <c:v>0</c:v>
                </c:pt>
                <c:pt idx="1">
                  <c:v>2.1717670286278381E-2</c:v>
                </c:pt>
                <c:pt idx="2">
                  <c:v>9.3780848963474814E-2</c:v>
                </c:pt>
                <c:pt idx="3">
                  <c:v>0.22013820335636719</c:v>
                </c:pt>
                <c:pt idx="4">
                  <c:v>0.42250740375123391</c:v>
                </c:pt>
                <c:pt idx="5">
                  <c:v>0.57650542941757155</c:v>
                </c:pt>
                <c:pt idx="6">
                  <c:v>0.68509378084896344</c:v>
                </c:pt>
                <c:pt idx="7">
                  <c:v>0.82724580454096741</c:v>
                </c:pt>
                <c:pt idx="8">
                  <c:v>1</c:v>
                </c:pt>
              </c:numCache>
            </c:numRef>
          </c:yVal>
          <c:smooth val="1"/>
          <c:extLst>
            <c:ext xmlns:c16="http://schemas.microsoft.com/office/drawing/2014/chart" uri="{C3380CC4-5D6E-409C-BE32-E72D297353CC}">
              <c16:uniqueId val="{00000001-B7E9-4EAC-AED0-B6BA8A7522E2}"/>
            </c:ext>
          </c:extLst>
        </c:ser>
        <c:ser>
          <c:idx val="2"/>
          <c:order val="2"/>
          <c:tx>
            <c:strRef>
              <c:f>'C4b-RSalt2'!$M$3</c:f>
              <c:strCache>
                <c:ptCount val="1"/>
                <c:pt idx="0">
                  <c:v>45-degree line</c:v>
                </c:pt>
              </c:strCache>
            </c:strRef>
          </c:tx>
          <c:spPr>
            <a:ln w="15875">
              <a:solidFill>
                <a:schemeClr val="bg1">
                  <a:lumMod val="50000"/>
                </a:schemeClr>
              </a:solidFill>
              <a:prstDash val="sysDash"/>
            </a:ln>
          </c:spPr>
          <c:marker>
            <c:symbol val="none"/>
          </c:marker>
          <c:xVal>
            <c:numRef>
              <c:f>'C4b-RSalt2'!$O$4:$W$4</c:f>
              <c:numCache>
                <c:formatCode>0.00</c:formatCode>
                <c:ptCount val="9"/>
                <c:pt idx="0" formatCode="General">
                  <c:v>0</c:v>
                </c:pt>
                <c:pt idx="1">
                  <c:v>0.2</c:v>
                </c:pt>
                <c:pt idx="2">
                  <c:v>0.4</c:v>
                </c:pt>
                <c:pt idx="3">
                  <c:v>0.60000000000000009</c:v>
                </c:pt>
                <c:pt idx="4">
                  <c:v>0.8</c:v>
                </c:pt>
                <c:pt idx="5">
                  <c:v>0.9</c:v>
                </c:pt>
                <c:pt idx="6">
                  <c:v>0.95000000000000007</c:v>
                </c:pt>
                <c:pt idx="7">
                  <c:v>0.9900000000000001</c:v>
                </c:pt>
                <c:pt idx="8">
                  <c:v>1</c:v>
                </c:pt>
              </c:numCache>
            </c:numRef>
          </c:xVal>
          <c:yVal>
            <c:numRef>
              <c:f>'C4b-RSalt2'!$O$4:$W$4</c:f>
              <c:numCache>
                <c:formatCode>0.00</c:formatCode>
                <c:ptCount val="9"/>
                <c:pt idx="0" formatCode="General">
                  <c:v>0</c:v>
                </c:pt>
                <c:pt idx="1">
                  <c:v>0.2</c:v>
                </c:pt>
                <c:pt idx="2">
                  <c:v>0.4</c:v>
                </c:pt>
                <c:pt idx="3">
                  <c:v>0.60000000000000009</c:v>
                </c:pt>
                <c:pt idx="4">
                  <c:v>0.8</c:v>
                </c:pt>
                <c:pt idx="5">
                  <c:v>0.9</c:v>
                </c:pt>
                <c:pt idx="6">
                  <c:v>0.95000000000000007</c:v>
                </c:pt>
                <c:pt idx="7">
                  <c:v>0.9900000000000001</c:v>
                </c:pt>
                <c:pt idx="8">
                  <c:v>1</c:v>
                </c:pt>
              </c:numCache>
            </c:numRef>
          </c:yVal>
          <c:smooth val="1"/>
          <c:extLst>
            <c:ext xmlns:c16="http://schemas.microsoft.com/office/drawing/2014/chart" uri="{C3380CC4-5D6E-409C-BE32-E72D297353CC}">
              <c16:uniqueId val="{00000002-B7E9-4EAC-AED0-B6BA8A7522E2}"/>
            </c:ext>
          </c:extLst>
        </c:ser>
        <c:dLbls>
          <c:showLegendKey val="0"/>
          <c:showVal val="0"/>
          <c:showCatName val="0"/>
          <c:showSerName val="0"/>
          <c:showPercent val="0"/>
          <c:showBubbleSize val="0"/>
        </c:dLbls>
        <c:axId val="1117966680"/>
        <c:axId val="1117967072"/>
      </c:scatterChart>
      <c:valAx>
        <c:axId val="1117966680"/>
        <c:scaling>
          <c:orientation val="minMax"/>
          <c:max val="1"/>
        </c:scaling>
        <c:delete val="0"/>
        <c:axPos val="b"/>
        <c:title>
          <c:tx>
            <c:rich>
              <a:bodyPr/>
              <a:lstStyle/>
              <a:p>
                <a:pPr>
                  <a:defRPr/>
                </a:pPr>
                <a:r>
                  <a:rPr lang="en-US" sz="1200" b="0" i="0" baseline="0">
                    <a:effectLst/>
                  </a:rPr>
                  <a:t>Market income individuals</a:t>
                </a:r>
                <a:endParaRPr lang="en-US" sz="600">
                  <a:effectLst/>
                </a:endParaRPr>
              </a:p>
            </c:rich>
          </c:tx>
          <c:overlay val="0"/>
        </c:title>
        <c:numFmt formatCode="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117967072"/>
        <c:crossesAt val="0"/>
        <c:crossBetween val="midCat"/>
        <c:majorUnit val="0.25"/>
      </c:valAx>
      <c:valAx>
        <c:axId val="1117967072"/>
        <c:scaling>
          <c:orientation val="minMax"/>
          <c:max val="1"/>
          <c:min val="0"/>
        </c:scaling>
        <c:delete val="0"/>
        <c:axPos val="l"/>
        <c:majorGridlines>
          <c:spPr>
            <a:ln w="6350">
              <a:solidFill>
                <a:schemeClr val="bg1">
                  <a:lumMod val="75000"/>
                </a:schemeClr>
              </a:solidFill>
              <a:prstDash val="sysDot"/>
            </a:ln>
          </c:spPr>
        </c:majorGridlines>
        <c:title>
          <c:tx>
            <c:rich>
              <a:bodyPr/>
              <a:lstStyle/>
              <a:p>
                <a:pPr>
                  <a:defRPr sz="1200" b="0" i="0" u="none" strike="noStrike" baseline="0">
                    <a:solidFill>
                      <a:srgbClr val="000000"/>
                    </a:solidFill>
                    <a:latin typeface="Arial"/>
                    <a:ea typeface="Arial"/>
                    <a:cs typeface="Arial"/>
                  </a:defRPr>
                </a:pPr>
                <a:r>
                  <a:rPr lang="en-US" sz="1200" b="0" baseline="0"/>
                  <a:t>Cumulative share of income</a:t>
                </a:r>
                <a:endParaRPr lang="en-US" sz="1400" b="0"/>
              </a:p>
            </c:rich>
          </c:tx>
          <c:layout>
            <c:manualLayout>
              <c:xMode val="edge"/>
              <c:yMode val="edge"/>
              <c:x val="0"/>
              <c:y val="0.25510187515220389"/>
            </c:manualLayout>
          </c:layout>
          <c:overlay val="0"/>
          <c:spPr>
            <a:noFill/>
            <a:ln w="25400">
              <a:noFill/>
            </a:ln>
          </c:spPr>
        </c:title>
        <c:numFmt formatCode="0%" sourceLinked="0"/>
        <c:majorTickMark val="out"/>
        <c:minorTickMark val="none"/>
        <c:tickLblPos val="nextTo"/>
        <c:spPr>
          <a:ln w="3175">
            <a:no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117966680"/>
        <c:crosses val="autoZero"/>
        <c:crossBetween val="midCat"/>
        <c:majorUnit val="0.25"/>
        <c:minorUnit val="0.05"/>
      </c:valAx>
      <c:spPr>
        <a:solidFill>
          <a:srgbClr val="FFFFFF"/>
        </a:solidFill>
        <a:ln w="3175">
          <a:noFill/>
          <a:prstDash val="solid"/>
        </a:ln>
      </c:spPr>
    </c:plotArea>
    <c:plotVisOnly val="1"/>
    <c:dispBlanksAs val="span"/>
    <c:showDLblsOverMax val="0"/>
  </c:chart>
  <c:spPr>
    <a:solidFill>
      <a:schemeClr val="bg1"/>
    </a:solidFill>
    <a:ln w="9525">
      <a:noFill/>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0866" r="0.75000000000000866" t="1" header="0.5" footer="0.5"/>
    <c:pageSetup orientation="landscape" verticalDpi="96"/>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9246941965858"/>
          <c:y val="3.3777574141508858E-2"/>
          <c:w val="0.8427330747890629"/>
          <c:h val="0.86629650675108916"/>
        </c:manualLayout>
      </c:layout>
      <c:scatterChart>
        <c:scatterStyle val="smoothMarker"/>
        <c:varyColors val="0"/>
        <c:ser>
          <c:idx val="0"/>
          <c:order val="0"/>
          <c:tx>
            <c:strRef>
              <c:f>'C4c-RSalt3'!$P$6:$W$6</c:f>
              <c:strCache>
                <c:ptCount val="8"/>
                <c:pt idx="0">
                  <c:v>Cumulative Share of After-tax/pre-transfer Income</c:v>
                </c:pt>
              </c:strCache>
            </c:strRef>
          </c:tx>
          <c:spPr>
            <a:ln w="25400">
              <a:solidFill>
                <a:srgbClr val="2699B4"/>
              </a:solidFill>
            </a:ln>
          </c:spPr>
          <c:marker>
            <c:symbol val="none"/>
          </c:marker>
          <c:xVal>
            <c:numRef>
              <c:f>'C4c-RSalt3'!$O$4:$W$4</c:f>
              <c:numCache>
                <c:formatCode>0.00</c:formatCode>
                <c:ptCount val="9"/>
                <c:pt idx="0" formatCode="General">
                  <c:v>0</c:v>
                </c:pt>
                <c:pt idx="1">
                  <c:v>0.2</c:v>
                </c:pt>
                <c:pt idx="2">
                  <c:v>0.4</c:v>
                </c:pt>
                <c:pt idx="3">
                  <c:v>0.60000000000000009</c:v>
                </c:pt>
                <c:pt idx="4">
                  <c:v>0.8</c:v>
                </c:pt>
                <c:pt idx="5">
                  <c:v>0.9</c:v>
                </c:pt>
                <c:pt idx="6">
                  <c:v>0.95000000000000007</c:v>
                </c:pt>
                <c:pt idx="7">
                  <c:v>0.9900000000000001</c:v>
                </c:pt>
                <c:pt idx="8">
                  <c:v>1</c:v>
                </c:pt>
              </c:numCache>
            </c:numRef>
          </c:xVal>
          <c:yVal>
            <c:numRef>
              <c:f>'C4c-RSalt3'!$O$45:$W$45</c:f>
              <c:numCache>
                <c:formatCode>0.000</c:formatCode>
                <c:ptCount val="9"/>
                <c:pt idx="0" formatCode="General">
                  <c:v>0</c:v>
                </c:pt>
                <c:pt idx="1">
                  <c:v>2.8593703148425787E-2</c:v>
                </c:pt>
                <c:pt idx="2">
                  <c:v>0.11468883739948207</c:v>
                </c:pt>
                <c:pt idx="3">
                  <c:v>0.25378438053700425</c:v>
                </c:pt>
                <c:pt idx="4">
                  <c:v>0.46761782744991143</c:v>
                </c:pt>
                <c:pt idx="5">
                  <c:v>0.62435545863431918</c:v>
                </c:pt>
                <c:pt idx="6">
                  <c:v>0.73285757121439277</c:v>
                </c:pt>
                <c:pt idx="7">
                  <c:v>0.87032738176366364</c:v>
                </c:pt>
                <c:pt idx="8" formatCode="0.00">
                  <c:v>1</c:v>
                </c:pt>
              </c:numCache>
            </c:numRef>
          </c:yVal>
          <c:smooth val="1"/>
          <c:extLst>
            <c:ext xmlns:c16="http://schemas.microsoft.com/office/drawing/2014/chart" uri="{C3380CC4-5D6E-409C-BE32-E72D297353CC}">
              <c16:uniqueId val="{00000000-07B6-4855-9AAA-605B5E4FEEF4}"/>
            </c:ext>
          </c:extLst>
        </c:ser>
        <c:ser>
          <c:idx val="1"/>
          <c:order val="1"/>
          <c:tx>
            <c:strRef>
              <c:f>'C4c-RSalt3'!$AH$6</c:f>
              <c:strCache>
                <c:ptCount val="1"/>
                <c:pt idx="0">
                  <c:v>Cumulative Share of Market Income (CBO)</c:v>
                </c:pt>
              </c:strCache>
            </c:strRef>
          </c:tx>
          <c:spPr>
            <a:ln w="25400">
              <a:solidFill>
                <a:srgbClr val="A03A49"/>
              </a:solidFill>
            </a:ln>
          </c:spPr>
          <c:marker>
            <c:symbol val="none"/>
          </c:marker>
          <c:xVal>
            <c:numRef>
              <c:f>'C4c-RSalt3'!$O$4:$W$4</c:f>
              <c:numCache>
                <c:formatCode>0.00</c:formatCode>
                <c:ptCount val="9"/>
                <c:pt idx="0" formatCode="General">
                  <c:v>0</c:v>
                </c:pt>
                <c:pt idx="1">
                  <c:v>0.2</c:v>
                </c:pt>
                <c:pt idx="2">
                  <c:v>0.4</c:v>
                </c:pt>
                <c:pt idx="3">
                  <c:v>0.60000000000000009</c:v>
                </c:pt>
                <c:pt idx="4">
                  <c:v>0.8</c:v>
                </c:pt>
                <c:pt idx="5">
                  <c:v>0.9</c:v>
                </c:pt>
                <c:pt idx="6">
                  <c:v>0.95000000000000007</c:v>
                </c:pt>
                <c:pt idx="7">
                  <c:v>0.9900000000000001</c:v>
                </c:pt>
                <c:pt idx="8">
                  <c:v>1</c:v>
                </c:pt>
              </c:numCache>
            </c:numRef>
          </c:xVal>
          <c:yVal>
            <c:numRef>
              <c:f>'C4c-RSalt3'!$AG$45:$AO$45</c:f>
              <c:numCache>
                <c:formatCode>0.00</c:formatCode>
                <c:ptCount val="9"/>
                <c:pt idx="0" formatCode="General">
                  <c:v>0</c:v>
                </c:pt>
                <c:pt idx="1">
                  <c:v>2.1717670286278381E-2</c:v>
                </c:pt>
                <c:pt idx="2">
                  <c:v>9.3780848963474814E-2</c:v>
                </c:pt>
                <c:pt idx="3">
                  <c:v>0.22013820335636719</c:v>
                </c:pt>
                <c:pt idx="4">
                  <c:v>0.42250740375123391</c:v>
                </c:pt>
                <c:pt idx="5">
                  <c:v>0.57650542941757155</c:v>
                </c:pt>
                <c:pt idx="6">
                  <c:v>0.68509378084896344</c:v>
                </c:pt>
                <c:pt idx="7">
                  <c:v>0.82724580454096741</c:v>
                </c:pt>
                <c:pt idx="8">
                  <c:v>1</c:v>
                </c:pt>
              </c:numCache>
            </c:numRef>
          </c:yVal>
          <c:smooth val="1"/>
          <c:extLst>
            <c:ext xmlns:c16="http://schemas.microsoft.com/office/drawing/2014/chart" uri="{C3380CC4-5D6E-409C-BE32-E72D297353CC}">
              <c16:uniqueId val="{00000001-07B6-4855-9AAA-605B5E4FEEF4}"/>
            </c:ext>
          </c:extLst>
        </c:ser>
        <c:ser>
          <c:idx val="2"/>
          <c:order val="2"/>
          <c:tx>
            <c:strRef>
              <c:f>'C4c-RSalt3'!$M$3</c:f>
              <c:strCache>
                <c:ptCount val="1"/>
                <c:pt idx="0">
                  <c:v>45-degree line</c:v>
                </c:pt>
              </c:strCache>
            </c:strRef>
          </c:tx>
          <c:spPr>
            <a:ln w="15875">
              <a:solidFill>
                <a:schemeClr val="bg1">
                  <a:lumMod val="50000"/>
                </a:schemeClr>
              </a:solidFill>
              <a:prstDash val="sysDash"/>
            </a:ln>
          </c:spPr>
          <c:marker>
            <c:symbol val="none"/>
          </c:marker>
          <c:xVal>
            <c:numRef>
              <c:f>'C4c-RSalt3'!$O$4:$W$4</c:f>
              <c:numCache>
                <c:formatCode>0.00</c:formatCode>
                <c:ptCount val="9"/>
                <c:pt idx="0" formatCode="General">
                  <c:v>0</c:v>
                </c:pt>
                <c:pt idx="1">
                  <c:v>0.2</c:v>
                </c:pt>
                <c:pt idx="2">
                  <c:v>0.4</c:v>
                </c:pt>
                <c:pt idx="3">
                  <c:v>0.60000000000000009</c:v>
                </c:pt>
                <c:pt idx="4">
                  <c:v>0.8</c:v>
                </c:pt>
                <c:pt idx="5">
                  <c:v>0.9</c:v>
                </c:pt>
                <c:pt idx="6">
                  <c:v>0.95000000000000007</c:v>
                </c:pt>
                <c:pt idx="7">
                  <c:v>0.9900000000000001</c:v>
                </c:pt>
                <c:pt idx="8">
                  <c:v>1</c:v>
                </c:pt>
              </c:numCache>
            </c:numRef>
          </c:xVal>
          <c:yVal>
            <c:numRef>
              <c:f>'C4c-RSalt3'!$O$4:$W$4</c:f>
              <c:numCache>
                <c:formatCode>0.00</c:formatCode>
                <c:ptCount val="9"/>
                <c:pt idx="0" formatCode="General">
                  <c:v>0</c:v>
                </c:pt>
                <c:pt idx="1">
                  <c:v>0.2</c:v>
                </c:pt>
                <c:pt idx="2">
                  <c:v>0.4</c:v>
                </c:pt>
                <c:pt idx="3">
                  <c:v>0.60000000000000009</c:v>
                </c:pt>
                <c:pt idx="4">
                  <c:v>0.8</c:v>
                </c:pt>
                <c:pt idx="5">
                  <c:v>0.9</c:v>
                </c:pt>
                <c:pt idx="6">
                  <c:v>0.95000000000000007</c:v>
                </c:pt>
                <c:pt idx="7">
                  <c:v>0.9900000000000001</c:v>
                </c:pt>
                <c:pt idx="8">
                  <c:v>1</c:v>
                </c:pt>
              </c:numCache>
            </c:numRef>
          </c:yVal>
          <c:smooth val="1"/>
          <c:extLst>
            <c:ext xmlns:c16="http://schemas.microsoft.com/office/drawing/2014/chart" uri="{C3380CC4-5D6E-409C-BE32-E72D297353CC}">
              <c16:uniqueId val="{00000002-07B6-4855-9AAA-605B5E4FEEF4}"/>
            </c:ext>
          </c:extLst>
        </c:ser>
        <c:dLbls>
          <c:showLegendKey val="0"/>
          <c:showVal val="0"/>
          <c:showCatName val="0"/>
          <c:showSerName val="0"/>
          <c:showPercent val="0"/>
          <c:showBubbleSize val="0"/>
        </c:dLbls>
        <c:axId val="1117966680"/>
        <c:axId val="1117967072"/>
      </c:scatterChart>
      <c:valAx>
        <c:axId val="1117966680"/>
        <c:scaling>
          <c:orientation val="minMax"/>
          <c:max val="1"/>
        </c:scaling>
        <c:delete val="0"/>
        <c:axPos val="b"/>
        <c:title>
          <c:tx>
            <c:rich>
              <a:bodyPr/>
              <a:lstStyle/>
              <a:p>
                <a:pPr>
                  <a:defRPr/>
                </a:pPr>
                <a:r>
                  <a:rPr lang="en-US" sz="1200" b="0" i="0" baseline="0">
                    <a:effectLst/>
                  </a:rPr>
                  <a:t>Market income individuals</a:t>
                </a:r>
                <a:endParaRPr lang="en-US" sz="600">
                  <a:effectLst/>
                </a:endParaRPr>
              </a:p>
            </c:rich>
          </c:tx>
          <c:overlay val="0"/>
        </c:title>
        <c:numFmt formatCode="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117967072"/>
        <c:crossesAt val="0"/>
        <c:crossBetween val="midCat"/>
        <c:majorUnit val="0.25"/>
      </c:valAx>
      <c:valAx>
        <c:axId val="1117967072"/>
        <c:scaling>
          <c:orientation val="minMax"/>
          <c:max val="1"/>
          <c:min val="0"/>
        </c:scaling>
        <c:delete val="0"/>
        <c:axPos val="l"/>
        <c:majorGridlines>
          <c:spPr>
            <a:ln w="6350">
              <a:solidFill>
                <a:schemeClr val="bg1">
                  <a:lumMod val="75000"/>
                </a:schemeClr>
              </a:solidFill>
              <a:prstDash val="sysDot"/>
            </a:ln>
          </c:spPr>
        </c:majorGridlines>
        <c:title>
          <c:tx>
            <c:rich>
              <a:bodyPr/>
              <a:lstStyle/>
              <a:p>
                <a:pPr>
                  <a:defRPr sz="1200" b="0" i="0" u="none" strike="noStrike" baseline="0">
                    <a:solidFill>
                      <a:srgbClr val="000000"/>
                    </a:solidFill>
                    <a:latin typeface="Arial"/>
                    <a:ea typeface="Arial"/>
                    <a:cs typeface="Arial"/>
                  </a:defRPr>
                </a:pPr>
                <a:r>
                  <a:rPr lang="en-US" sz="1200" b="0" baseline="0"/>
                  <a:t>Cumulative share of income</a:t>
                </a:r>
                <a:endParaRPr lang="en-US" sz="1400" b="0"/>
              </a:p>
            </c:rich>
          </c:tx>
          <c:layout>
            <c:manualLayout>
              <c:xMode val="edge"/>
              <c:yMode val="edge"/>
              <c:x val="0"/>
              <c:y val="0.25510187515220389"/>
            </c:manualLayout>
          </c:layout>
          <c:overlay val="0"/>
          <c:spPr>
            <a:noFill/>
            <a:ln w="25400">
              <a:noFill/>
            </a:ln>
          </c:spPr>
        </c:title>
        <c:numFmt formatCode="0%" sourceLinked="0"/>
        <c:majorTickMark val="out"/>
        <c:minorTickMark val="none"/>
        <c:tickLblPos val="nextTo"/>
        <c:spPr>
          <a:ln w="3175">
            <a:no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117966680"/>
        <c:crosses val="autoZero"/>
        <c:crossBetween val="midCat"/>
        <c:majorUnit val="0.25"/>
        <c:minorUnit val="0.05"/>
      </c:valAx>
      <c:spPr>
        <a:solidFill>
          <a:srgbClr val="FFFFFF"/>
        </a:solidFill>
        <a:ln w="3175">
          <a:noFill/>
          <a:prstDash val="solid"/>
        </a:ln>
      </c:spPr>
    </c:plotArea>
    <c:plotVisOnly val="1"/>
    <c:dispBlanksAs val="span"/>
    <c:showDLblsOverMax val="0"/>
  </c:chart>
  <c:spPr>
    <a:solidFill>
      <a:schemeClr val="bg1"/>
    </a:solidFill>
    <a:ln w="9525">
      <a:noFill/>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0866" r="0.75000000000000866" t="1" header="0.5" footer="0.5"/>
    <c:pageSetup orientation="landscape" verticalDpi="96"/>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70866141732283"/>
          <c:y val="1.9601942469741892E-2"/>
          <c:w val="0.71066258384368608"/>
          <c:h val="0.92196949065577327"/>
        </c:manualLayout>
      </c:layout>
      <c:scatterChart>
        <c:scatterStyle val="lineMarker"/>
        <c:varyColors val="0"/>
        <c:ser>
          <c:idx val="2"/>
          <c:order val="0"/>
          <c:tx>
            <c:v>Bottom social insurance transfers</c:v>
          </c:tx>
          <c:spPr>
            <a:ln w="25400">
              <a:solidFill>
                <a:srgbClr val="2699B4"/>
              </a:solidFill>
              <a:prstDash val="solid"/>
            </a:ln>
          </c:spPr>
          <c:marker>
            <c:symbol val="none"/>
          </c:marker>
          <c:dPt>
            <c:idx val="1"/>
            <c:bubble3D val="0"/>
            <c:extLst>
              <c:ext xmlns:c16="http://schemas.microsoft.com/office/drawing/2014/chart" uri="{C3380CC4-5D6E-409C-BE32-E72D297353CC}">
                <c16:uniqueId val="{00000000-B569-4296-BFF4-D8FDA3530FEA}"/>
              </c:ext>
            </c:extLst>
          </c:dPt>
          <c:dPt>
            <c:idx val="3"/>
            <c:bubble3D val="0"/>
            <c:extLst>
              <c:ext xmlns:c16="http://schemas.microsoft.com/office/drawing/2014/chart" uri="{C3380CC4-5D6E-409C-BE32-E72D297353CC}">
                <c16:uniqueId val="{00000001-B569-4296-BFF4-D8FDA3530FEA}"/>
              </c:ext>
            </c:extLst>
          </c:dPt>
          <c:dPt>
            <c:idx val="5"/>
            <c:bubble3D val="0"/>
            <c:extLst>
              <c:ext xmlns:c16="http://schemas.microsoft.com/office/drawing/2014/chart" uri="{C3380CC4-5D6E-409C-BE32-E72D297353CC}">
                <c16:uniqueId val="{00000002-B569-4296-BFF4-D8FDA3530FEA}"/>
              </c:ext>
            </c:extLst>
          </c:dPt>
          <c:xVal>
            <c:numRef>
              <c:f>'C5-SS'!$A$38:$A$78</c:f>
              <c:numCache>
                <c:formatCode>General</c:formatCode>
                <c:ptCount val="41"/>
                <c:pt idx="0">
                  <c:v>1979</c:v>
                </c:pt>
                <c:pt idx="1">
                  <c:v>1980</c:v>
                </c:pt>
                <c:pt idx="2">
                  <c:v>1981</c:v>
                </c:pt>
                <c:pt idx="3">
                  <c:v>1982</c:v>
                </c:pt>
                <c:pt idx="4">
                  <c:v>1983</c:v>
                </c:pt>
                <c:pt idx="5">
                  <c:v>1984</c:v>
                </c:pt>
                <c:pt idx="6">
                  <c:v>1985</c:v>
                </c:pt>
                <c:pt idx="7">
                  <c:v>1986</c:v>
                </c:pt>
                <c:pt idx="8">
                  <c:v>1987</c:v>
                </c:pt>
                <c:pt idx="9">
                  <c:v>1988</c:v>
                </c:pt>
                <c:pt idx="10">
                  <c:v>1989</c:v>
                </c:pt>
                <c:pt idx="11">
                  <c:v>1990</c:v>
                </c:pt>
                <c:pt idx="12">
                  <c:v>1991</c:v>
                </c:pt>
                <c:pt idx="13">
                  <c:v>1992</c:v>
                </c:pt>
                <c:pt idx="14">
                  <c:v>1993</c:v>
                </c:pt>
                <c:pt idx="15">
                  <c:v>1994</c:v>
                </c:pt>
                <c:pt idx="16">
                  <c:v>1995</c:v>
                </c:pt>
                <c:pt idx="17">
                  <c:v>1996</c:v>
                </c:pt>
                <c:pt idx="18">
                  <c:v>1997</c:v>
                </c:pt>
                <c:pt idx="19">
                  <c:v>1998</c:v>
                </c:pt>
                <c:pt idx="20">
                  <c:v>1999</c:v>
                </c:pt>
                <c:pt idx="21">
                  <c:v>2000</c:v>
                </c:pt>
                <c:pt idx="22">
                  <c:v>2001</c:v>
                </c:pt>
                <c:pt idx="23">
                  <c:v>2002</c:v>
                </c:pt>
                <c:pt idx="24">
                  <c:v>2003</c:v>
                </c:pt>
                <c:pt idx="25">
                  <c:v>2004</c:v>
                </c:pt>
                <c:pt idx="26">
                  <c:v>2005</c:v>
                </c:pt>
                <c:pt idx="27">
                  <c:v>2006</c:v>
                </c:pt>
                <c:pt idx="28">
                  <c:v>2007</c:v>
                </c:pt>
                <c:pt idx="29">
                  <c:v>2008</c:v>
                </c:pt>
                <c:pt idx="30">
                  <c:v>2009</c:v>
                </c:pt>
                <c:pt idx="31">
                  <c:v>2010</c:v>
                </c:pt>
                <c:pt idx="32">
                  <c:v>2011</c:v>
                </c:pt>
                <c:pt idx="33">
                  <c:v>2012</c:v>
                </c:pt>
                <c:pt idx="34">
                  <c:v>2013</c:v>
                </c:pt>
                <c:pt idx="35">
                  <c:v>2014</c:v>
                </c:pt>
                <c:pt idx="36">
                  <c:v>2015</c:v>
                </c:pt>
                <c:pt idx="37">
                  <c:v>2016</c:v>
                </c:pt>
                <c:pt idx="38">
                  <c:v>2017</c:v>
                </c:pt>
                <c:pt idx="39">
                  <c:v>2018</c:v>
                </c:pt>
                <c:pt idx="40">
                  <c:v>2019</c:v>
                </c:pt>
              </c:numCache>
            </c:numRef>
          </c:xVal>
          <c:yVal>
            <c:numRef>
              <c:f>'C5-SS'!$E$38:$E$75</c:f>
              <c:numCache>
                <c:formatCode>0.0%</c:formatCode>
                <c:ptCount val="38"/>
                <c:pt idx="0">
                  <c:v>9.5824411134903642E-2</c:v>
                </c:pt>
                <c:pt idx="1">
                  <c:v>0.10299003322259136</c:v>
                </c:pt>
                <c:pt idx="2">
                  <c:v>0.10902047592695074</c:v>
                </c:pt>
                <c:pt idx="3">
                  <c:v>0.11529808773903262</c:v>
                </c:pt>
                <c:pt idx="4">
                  <c:v>0.11972633979475485</c:v>
                </c:pt>
                <c:pt idx="5">
                  <c:v>0.11206896551724138</c:v>
                </c:pt>
                <c:pt idx="6">
                  <c:v>0.11511565357719204</c:v>
                </c:pt>
                <c:pt idx="7">
                  <c:v>0.11724500525762356</c:v>
                </c:pt>
                <c:pt idx="8">
                  <c:v>0.11964002117522499</c:v>
                </c:pt>
                <c:pt idx="9">
                  <c:v>0.11801566579634465</c:v>
                </c:pt>
                <c:pt idx="10">
                  <c:v>0.11643482740855229</c:v>
                </c:pt>
                <c:pt idx="11">
                  <c:v>0.12020460358056266</c:v>
                </c:pt>
                <c:pt idx="12">
                  <c:v>0.12603734439834025</c:v>
                </c:pt>
                <c:pt idx="13">
                  <c:v>0.13009808982963345</c:v>
                </c:pt>
                <c:pt idx="14">
                  <c:v>0.13302516692347202</c:v>
                </c:pt>
                <c:pt idx="15">
                  <c:v>0.13302752293577982</c:v>
                </c:pt>
                <c:pt idx="16">
                  <c:v>0.13385826771653545</c:v>
                </c:pt>
                <c:pt idx="17">
                  <c:v>0.1330743079164643</c:v>
                </c:pt>
                <c:pt idx="18">
                  <c:v>0.13137996219281664</c:v>
                </c:pt>
                <c:pt idx="19">
                  <c:v>0.12704174228675136</c:v>
                </c:pt>
                <c:pt idx="20">
                  <c:v>0.1211453744493392</c:v>
                </c:pt>
                <c:pt idx="21">
                  <c:v>0.12096069868995633</c:v>
                </c:pt>
                <c:pt idx="22">
                  <c:v>0.13018534863195058</c:v>
                </c:pt>
                <c:pt idx="23">
                  <c:v>0.13591359135913592</c:v>
                </c:pt>
                <c:pt idx="24">
                  <c:v>0.13785361472833407</c:v>
                </c:pt>
                <c:pt idx="25">
                  <c:v>0.13699825479930192</c:v>
                </c:pt>
                <c:pt idx="26">
                  <c:v>0.13605150214592274</c:v>
                </c:pt>
                <c:pt idx="27">
                  <c:v>0.13883045856121162</c:v>
                </c:pt>
                <c:pt idx="28">
                  <c:v>0.13595779220779219</c:v>
                </c:pt>
                <c:pt idx="29">
                  <c:v>0.14572025052192067</c:v>
                </c:pt>
                <c:pt idx="30">
                  <c:v>0.15987998285469351</c:v>
                </c:pt>
                <c:pt idx="31">
                  <c:v>0.16233766233766234</c:v>
                </c:pt>
                <c:pt idx="32">
                  <c:v>0.16276041666666666</c:v>
                </c:pt>
                <c:pt idx="33">
                  <c:v>0.1674641148325359</c:v>
                </c:pt>
                <c:pt idx="34">
                  <c:v>0.16602809706257982</c:v>
                </c:pt>
                <c:pt idx="35">
                  <c:v>0.16547368421052633</c:v>
                </c:pt>
                <c:pt idx="36">
                  <c:v>0.16599025974025974</c:v>
                </c:pt>
                <c:pt idx="37">
                  <c:v>0.16935483870967741</c:v>
                </c:pt>
              </c:numCache>
            </c:numRef>
          </c:yVal>
          <c:smooth val="1"/>
          <c:extLst>
            <c:ext xmlns:c16="http://schemas.microsoft.com/office/drawing/2014/chart" uri="{C3380CC4-5D6E-409C-BE32-E72D297353CC}">
              <c16:uniqueId val="{00000003-B569-4296-BFF4-D8FDA3530FEA}"/>
            </c:ext>
          </c:extLst>
        </c:ser>
        <c:ser>
          <c:idx val="1"/>
          <c:order val="1"/>
          <c:tx>
            <c:v>Bottom payroll taxes</c:v>
          </c:tx>
          <c:spPr>
            <a:ln w="25400">
              <a:solidFill>
                <a:srgbClr val="2699B4"/>
              </a:solidFill>
              <a:prstDash val="sysDash"/>
            </a:ln>
          </c:spPr>
          <c:marker>
            <c:symbol val="none"/>
          </c:marker>
          <c:dPt>
            <c:idx val="1"/>
            <c:bubble3D val="0"/>
            <c:extLst>
              <c:ext xmlns:c16="http://schemas.microsoft.com/office/drawing/2014/chart" uri="{C3380CC4-5D6E-409C-BE32-E72D297353CC}">
                <c16:uniqueId val="{00000004-B569-4296-BFF4-D8FDA3530FEA}"/>
              </c:ext>
            </c:extLst>
          </c:dPt>
          <c:dPt>
            <c:idx val="3"/>
            <c:bubble3D val="0"/>
            <c:extLst>
              <c:ext xmlns:c16="http://schemas.microsoft.com/office/drawing/2014/chart" uri="{C3380CC4-5D6E-409C-BE32-E72D297353CC}">
                <c16:uniqueId val="{00000005-B569-4296-BFF4-D8FDA3530FEA}"/>
              </c:ext>
            </c:extLst>
          </c:dPt>
          <c:dPt>
            <c:idx val="5"/>
            <c:bubble3D val="0"/>
            <c:extLst>
              <c:ext xmlns:c16="http://schemas.microsoft.com/office/drawing/2014/chart" uri="{C3380CC4-5D6E-409C-BE32-E72D297353CC}">
                <c16:uniqueId val="{00000006-B569-4296-BFF4-D8FDA3530FEA}"/>
              </c:ext>
            </c:extLst>
          </c:dPt>
          <c:xVal>
            <c:numRef>
              <c:f>'C5-SS'!$A$38:$A$75</c:f>
              <c:numCache>
                <c:formatCode>General</c:formatCode>
                <c:ptCount val="38"/>
                <c:pt idx="0">
                  <c:v>1979</c:v>
                </c:pt>
                <c:pt idx="1">
                  <c:v>1980</c:v>
                </c:pt>
                <c:pt idx="2">
                  <c:v>1981</c:v>
                </c:pt>
                <c:pt idx="3">
                  <c:v>1982</c:v>
                </c:pt>
                <c:pt idx="4">
                  <c:v>1983</c:v>
                </c:pt>
                <c:pt idx="5">
                  <c:v>1984</c:v>
                </c:pt>
                <c:pt idx="6">
                  <c:v>1985</c:v>
                </c:pt>
                <c:pt idx="7">
                  <c:v>1986</c:v>
                </c:pt>
                <c:pt idx="8">
                  <c:v>1987</c:v>
                </c:pt>
                <c:pt idx="9">
                  <c:v>1988</c:v>
                </c:pt>
                <c:pt idx="10">
                  <c:v>1989</c:v>
                </c:pt>
                <c:pt idx="11">
                  <c:v>1990</c:v>
                </c:pt>
                <c:pt idx="12">
                  <c:v>1991</c:v>
                </c:pt>
                <c:pt idx="13">
                  <c:v>1992</c:v>
                </c:pt>
                <c:pt idx="14">
                  <c:v>1993</c:v>
                </c:pt>
                <c:pt idx="15">
                  <c:v>1994</c:v>
                </c:pt>
                <c:pt idx="16">
                  <c:v>1995</c:v>
                </c:pt>
                <c:pt idx="17">
                  <c:v>1996</c:v>
                </c:pt>
                <c:pt idx="18">
                  <c:v>1997</c:v>
                </c:pt>
                <c:pt idx="19">
                  <c:v>1998</c:v>
                </c:pt>
                <c:pt idx="20">
                  <c:v>1999</c:v>
                </c:pt>
                <c:pt idx="21">
                  <c:v>2000</c:v>
                </c:pt>
                <c:pt idx="22">
                  <c:v>2001</c:v>
                </c:pt>
                <c:pt idx="23">
                  <c:v>2002</c:v>
                </c:pt>
                <c:pt idx="24">
                  <c:v>2003</c:v>
                </c:pt>
                <c:pt idx="25">
                  <c:v>2004</c:v>
                </c:pt>
                <c:pt idx="26">
                  <c:v>2005</c:v>
                </c:pt>
                <c:pt idx="27">
                  <c:v>2006</c:v>
                </c:pt>
                <c:pt idx="28">
                  <c:v>2007</c:v>
                </c:pt>
                <c:pt idx="29">
                  <c:v>2008</c:v>
                </c:pt>
                <c:pt idx="30">
                  <c:v>2009</c:v>
                </c:pt>
                <c:pt idx="31">
                  <c:v>2010</c:v>
                </c:pt>
                <c:pt idx="32">
                  <c:v>2011</c:v>
                </c:pt>
                <c:pt idx="33">
                  <c:v>2012</c:v>
                </c:pt>
                <c:pt idx="34">
                  <c:v>2013</c:v>
                </c:pt>
                <c:pt idx="35">
                  <c:v>2014</c:v>
                </c:pt>
                <c:pt idx="36">
                  <c:v>2015</c:v>
                </c:pt>
                <c:pt idx="37">
                  <c:v>2016</c:v>
                </c:pt>
              </c:numCache>
            </c:numRef>
          </c:xVal>
          <c:yVal>
            <c:numRef>
              <c:f>'C5-SS'!$F$38:$F$75</c:f>
              <c:numCache>
                <c:formatCode>0.0%</c:formatCode>
                <c:ptCount val="38"/>
                <c:pt idx="0">
                  <c:v>8.1336723768736616E-2</c:v>
                </c:pt>
                <c:pt idx="1">
                  <c:v>8.1163344407530452E-2</c:v>
                </c:pt>
                <c:pt idx="2">
                  <c:v>8.6986718317653561E-2</c:v>
                </c:pt>
                <c:pt idx="3">
                  <c:v>8.6239032620922376E-2</c:v>
                </c:pt>
                <c:pt idx="4">
                  <c:v>8.6039338654503986E-2</c:v>
                </c:pt>
                <c:pt idx="5">
                  <c:v>8.8894935344827578E-2</c:v>
                </c:pt>
                <c:pt idx="6">
                  <c:v>9.1830016137708442E-2</c:v>
                </c:pt>
                <c:pt idx="7">
                  <c:v>9.2897476340693994E-2</c:v>
                </c:pt>
                <c:pt idx="8">
                  <c:v>9.2151932239280046E-2</c:v>
                </c:pt>
                <c:pt idx="9">
                  <c:v>9.603707571801566E-2</c:v>
                </c:pt>
                <c:pt idx="10">
                  <c:v>9.5721792890262752E-2</c:v>
                </c:pt>
                <c:pt idx="11">
                  <c:v>9.718516624040921E-2</c:v>
                </c:pt>
                <c:pt idx="12">
                  <c:v>9.6362551867219912E-2</c:v>
                </c:pt>
                <c:pt idx="13">
                  <c:v>9.5741868869385641E-2</c:v>
                </c:pt>
                <c:pt idx="14">
                  <c:v>9.5459681561376464E-2</c:v>
                </c:pt>
                <c:pt idx="15">
                  <c:v>9.5829255861365953E-2</c:v>
                </c:pt>
                <c:pt idx="16">
                  <c:v>9.6294783464566935E-2</c:v>
                </c:pt>
                <c:pt idx="17">
                  <c:v>9.6440019426906276E-2</c:v>
                </c:pt>
                <c:pt idx="18">
                  <c:v>9.7204158790170136E-2</c:v>
                </c:pt>
                <c:pt idx="19">
                  <c:v>9.7593920145190569E-2</c:v>
                </c:pt>
                <c:pt idx="20">
                  <c:v>9.7810572687224664E-2</c:v>
                </c:pt>
                <c:pt idx="21">
                  <c:v>9.7437117903930129E-2</c:v>
                </c:pt>
                <c:pt idx="22">
                  <c:v>9.776390114739629E-2</c:v>
                </c:pt>
                <c:pt idx="23">
                  <c:v>9.5511251125112509E-2</c:v>
                </c:pt>
                <c:pt idx="24">
                  <c:v>9.4686573866187687E-2</c:v>
                </c:pt>
                <c:pt idx="25">
                  <c:v>9.3890924956369984E-2</c:v>
                </c:pt>
                <c:pt idx="26">
                  <c:v>9.3730042918454937E-2</c:v>
                </c:pt>
                <c:pt idx="27">
                  <c:v>9.325410180900294E-2</c:v>
                </c:pt>
                <c:pt idx="28">
                  <c:v>9.4178571428571431E-2</c:v>
                </c:pt>
                <c:pt idx="29">
                  <c:v>9.3531524008350728E-2</c:v>
                </c:pt>
                <c:pt idx="30">
                  <c:v>9.0607372481783119E-2</c:v>
                </c:pt>
                <c:pt idx="31">
                  <c:v>8.94008658008658E-2</c:v>
                </c:pt>
                <c:pt idx="32">
                  <c:v>7.799218749999999E-2</c:v>
                </c:pt>
                <c:pt idx="33">
                  <c:v>7.7977381470204443E-2</c:v>
                </c:pt>
                <c:pt idx="34">
                  <c:v>8.9979140059599824E-2</c:v>
                </c:pt>
                <c:pt idx="35">
                  <c:v>9.1090947368421049E-2</c:v>
                </c:pt>
                <c:pt idx="36">
                  <c:v>9.0799107142857147E-2</c:v>
                </c:pt>
                <c:pt idx="37">
                  <c:v>9.0718145161290328E-2</c:v>
                </c:pt>
              </c:numCache>
            </c:numRef>
          </c:yVal>
          <c:smooth val="0"/>
          <c:extLst>
            <c:ext xmlns:c16="http://schemas.microsoft.com/office/drawing/2014/chart" uri="{C3380CC4-5D6E-409C-BE32-E72D297353CC}">
              <c16:uniqueId val="{00000007-B569-4296-BFF4-D8FDA3530FEA}"/>
            </c:ext>
          </c:extLst>
        </c:ser>
        <c:ser>
          <c:idx val="0"/>
          <c:order val="2"/>
          <c:tx>
            <c:v>Top Social insurance transfers</c:v>
          </c:tx>
          <c:spPr>
            <a:ln w="25400">
              <a:solidFill>
                <a:srgbClr val="D58F11"/>
              </a:solidFill>
              <a:prstDash val="solid"/>
            </a:ln>
          </c:spPr>
          <c:marker>
            <c:symbol val="none"/>
          </c:marker>
          <c:dPt>
            <c:idx val="1"/>
            <c:bubble3D val="0"/>
            <c:extLst>
              <c:ext xmlns:c16="http://schemas.microsoft.com/office/drawing/2014/chart" uri="{C3380CC4-5D6E-409C-BE32-E72D297353CC}">
                <c16:uniqueId val="{00000008-B569-4296-BFF4-D8FDA3530FEA}"/>
              </c:ext>
            </c:extLst>
          </c:dPt>
          <c:dPt>
            <c:idx val="3"/>
            <c:bubble3D val="0"/>
            <c:extLst>
              <c:ext xmlns:c16="http://schemas.microsoft.com/office/drawing/2014/chart" uri="{C3380CC4-5D6E-409C-BE32-E72D297353CC}">
                <c16:uniqueId val="{00000009-B569-4296-BFF4-D8FDA3530FEA}"/>
              </c:ext>
            </c:extLst>
          </c:dPt>
          <c:dPt>
            <c:idx val="5"/>
            <c:bubble3D val="0"/>
            <c:extLst>
              <c:ext xmlns:c16="http://schemas.microsoft.com/office/drawing/2014/chart" uri="{C3380CC4-5D6E-409C-BE32-E72D297353CC}">
                <c16:uniqueId val="{0000000A-B569-4296-BFF4-D8FDA3530FEA}"/>
              </c:ext>
            </c:extLst>
          </c:dPt>
          <c:xVal>
            <c:numRef>
              <c:f>'C5-SS'!$A$38:$A$75</c:f>
              <c:numCache>
                <c:formatCode>General</c:formatCode>
                <c:ptCount val="38"/>
                <c:pt idx="0">
                  <c:v>1979</c:v>
                </c:pt>
                <c:pt idx="1">
                  <c:v>1980</c:v>
                </c:pt>
                <c:pt idx="2">
                  <c:v>1981</c:v>
                </c:pt>
                <c:pt idx="3">
                  <c:v>1982</c:v>
                </c:pt>
                <c:pt idx="4">
                  <c:v>1983</c:v>
                </c:pt>
                <c:pt idx="5">
                  <c:v>1984</c:v>
                </c:pt>
                <c:pt idx="6">
                  <c:v>1985</c:v>
                </c:pt>
                <c:pt idx="7">
                  <c:v>1986</c:v>
                </c:pt>
                <c:pt idx="8">
                  <c:v>1987</c:v>
                </c:pt>
                <c:pt idx="9">
                  <c:v>1988</c:v>
                </c:pt>
                <c:pt idx="10">
                  <c:v>1989</c:v>
                </c:pt>
                <c:pt idx="11">
                  <c:v>1990</c:v>
                </c:pt>
                <c:pt idx="12">
                  <c:v>1991</c:v>
                </c:pt>
                <c:pt idx="13">
                  <c:v>1992</c:v>
                </c:pt>
                <c:pt idx="14">
                  <c:v>1993</c:v>
                </c:pt>
                <c:pt idx="15">
                  <c:v>1994</c:v>
                </c:pt>
                <c:pt idx="16">
                  <c:v>1995</c:v>
                </c:pt>
                <c:pt idx="17">
                  <c:v>1996</c:v>
                </c:pt>
                <c:pt idx="18">
                  <c:v>1997</c:v>
                </c:pt>
                <c:pt idx="19">
                  <c:v>1998</c:v>
                </c:pt>
                <c:pt idx="20">
                  <c:v>1999</c:v>
                </c:pt>
                <c:pt idx="21">
                  <c:v>2000</c:v>
                </c:pt>
                <c:pt idx="22">
                  <c:v>2001</c:v>
                </c:pt>
                <c:pt idx="23">
                  <c:v>2002</c:v>
                </c:pt>
                <c:pt idx="24">
                  <c:v>2003</c:v>
                </c:pt>
                <c:pt idx="25">
                  <c:v>2004</c:v>
                </c:pt>
                <c:pt idx="26">
                  <c:v>2005</c:v>
                </c:pt>
                <c:pt idx="27">
                  <c:v>2006</c:v>
                </c:pt>
                <c:pt idx="28">
                  <c:v>2007</c:v>
                </c:pt>
                <c:pt idx="29">
                  <c:v>2008</c:v>
                </c:pt>
                <c:pt idx="30">
                  <c:v>2009</c:v>
                </c:pt>
                <c:pt idx="31">
                  <c:v>2010</c:v>
                </c:pt>
                <c:pt idx="32">
                  <c:v>2011</c:v>
                </c:pt>
                <c:pt idx="33">
                  <c:v>2012</c:v>
                </c:pt>
                <c:pt idx="34">
                  <c:v>2013</c:v>
                </c:pt>
                <c:pt idx="35">
                  <c:v>2014</c:v>
                </c:pt>
                <c:pt idx="36">
                  <c:v>2015</c:v>
                </c:pt>
                <c:pt idx="37">
                  <c:v>2016</c:v>
                </c:pt>
              </c:numCache>
            </c:numRef>
          </c:xVal>
          <c:yVal>
            <c:numRef>
              <c:f>'C5-SS'!$B$38:$B$75</c:f>
              <c:numCache>
                <c:formatCode>0.0%</c:formatCode>
                <c:ptCount val="38"/>
                <c:pt idx="0">
                  <c:v>2.0463847203274217E-2</c:v>
                </c:pt>
                <c:pt idx="1">
                  <c:v>2.3826208829712685E-2</c:v>
                </c:pt>
                <c:pt idx="2">
                  <c:v>2.7426160337552744E-2</c:v>
                </c:pt>
                <c:pt idx="3">
                  <c:v>3.1424581005586594E-2</c:v>
                </c:pt>
                <c:pt idx="4">
                  <c:v>3.1671159029649593E-2</c:v>
                </c:pt>
                <c:pt idx="5">
                  <c:v>3.0434782608695653E-2</c:v>
                </c:pt>
                <c:pt idx="6">
                  <c:v>3.011677934849416E-2</c:v>
                </c:pt>
                <c:pt idx="7">
                  <c:v>2.5767543859649123E-2</c:v>
                </c:pt>
                <c:pt idx="8">
                  <c:v>2.4376088218224026E-2</c:v>
                </c:pt>
                <c:pt idx="9">
                  <c:v>2.3861171366594359E-2</c:v>
                </c:pt>
                <c:pt idx="10">
                  <c:v>2.5000000000000001E-2</c:v>
                </c:pt>
                <c:pt idx="11">
                  <c:v>2.6740947075208913E-2</c:v>
                </c:pt>
                <c:pt idx="12">
                  <c:v>2.8225806451612902E-2</c:v>
                </c:pt>
                <c:pt idx="13">
                  <c:v>2.7639579878385848E-2</c:v>
                </c:pt>
                <c:pt idx="14">
                  <c:v>3.0369961347321922E-2</c:v>
                </c:pt>
                <c:pt idx="15">
                  <c:v>3.1283710895361382E-2</c:v>
                </c:pt>
                <c:pt idx="16">
                  <c:v>3.0895983522142123E-2</c:v>
                </c:pt>
                <c:pt idx="17">
                  <c:v>3.2132424537487832E-2</c:v>
                </c:pt>
                <c:pt idx="18">
                  <c:v>3.0705774518790099E-2</c:v>
                </c:pt>
                <c:pt idx="19">
                  <c:v>2.8326180257510731E-2</c:v>
                </c:pt>
                <c:pt idx="20">
                  <c:v>2.4174053182917002E-2</c:v>
                </c:pt>
                <c:pt idx="21">
                  <c:v>2.4971187091817133E-2</c:v>
                </c:pt>
                <c:pt idx="22">
                  <c:v>2.6116259477674809E-2</c:v>
                </c:pt>
                <c:pt idx="23">
                  <c:v>2.7457927369353409E-2</c:v>
                </c:pt>
                <c:pt idx="24">
                  <c:v>2.6969178082191781E-2</c:v>
                </c:pt>
                <c:pt idx="25">
                  <c:v>2.5974025974025976E-2</c:v>
                </c:pt>
                <c:pt idx="26">
                  <c:v>2.5761973875181421E-2</c:v>
                </c:pt>
                <c:pt idx="27">
                  <c:v>2.7478260869565216E-2</c:v>
                </c:pt>
                <c:pt idx="28">
                  <c:v>2.8466175485599463E-2</c:v>
                </c:pt>
                <c:pt idx="29">
                  <c:v>2.9933481152993349E-2</c:v>
                </c:pt>
                <c:pt idx="30">
                  <c:v>3.7535699714402286E-2</c:v>
                </c:pt>
                <c:pt idx="31">
                  <c:v>3.5101404056162244E-2</c:v>
                </c:pt>
                <c:pt idx="32">
                  <c:v>3.4362934362934361E-2</c:v>
                </c:pt>
                <c:pt idx="33">
                  <c:v>3.3977110157367665E-2</c:v>
                </c:pt>
                <c:pt idx="34">
                  <c:v>3.6336670374490176E-2</c:v>
                </c:pt>
                <c:pt idx="35">
                  <c:v>3.6127674500175379E-2</c:v>
                </c:pt>
                <c:pt idx="36">
                  <c:v>3.5242290748898682E-2</c:v>
                </c:pt>
                <c:pt idx="37">
                  <c:v>3.6057692307692304E-2</c:v>
                </c:pt>
              </c:numCache>
            </c:numRef>
          </c:yVal>
          <c:smooth val="1"/>
          <c:extLst>
            <c:ext xmlns:c16="http://schemas.microsoft.com/office/drawing/2014/chart" uri="{C3380CC4-5D6E-409C-BE32-E72D297353CC}">
              <c16:uniqueId val="{0000000B-B569-4296-BFF4-D8FDA3530FEA}"/>
            </c:ext>
          </c:extLst>
        </c:ser>
        <c:ser>
          <c:idx val="3"/>
          <c:order val="3"/>
          <c:tx>
            <c:v>Top Payroll Taxes</c:v>
          </c:tx>
          <c:spPr>
            <a:ln w="25400">
              <a:solidFill>
                <a:srgbClr val="D58F11"/>
              </a:solidFill>
              <a:prstDash val="sysDash"/>
            </a:ln>
          </c:spPr>
          <c:marker>
            <c:symbol val="none"/>
          </c:marker>
          <c:dPt>
            <c:idx val="1"/>
            <c:bubble3D val="0"/>
            <c:extLst>
              <c:ext xmlns:c16="http://schemas.microsoft.com/office/drawing/2014/chart" uri="{C3380CC4-5D6E-409C-BE32-E72D297353CC}">
                <c16:uniqueId val="{0000000C-B569-4296-BFF4-D8FDA3530FEA}"/>
              </c:ext>
            </c:extLst>
          </c:dPt>
          <c:dPt>
            <c:idx val="3"/>
            <c:bubble3D val="0"/>
            <c:extLst>
              <c:ext xmlns:c16="http://schemas.microsoft.com/office/drawing/2014/chart" uri="{C3380CC4-5D6E-409C-BE32-E72D297353CC}">
                <c16:uniqueId val="{0000000D-B569-4296-BFF4-D8FDA3530FEA}"/>
              </c:ext>
            </c:extLst>
          </c:dPt>
          <c:dPt>
            <c:idx val="5"/>
            <c:bubble3D val="0"/>
            <c:extLst>
              <c:ext xmlns:c16="http://schemas.microsoft.com/office/drawing/2014/chart" uri="{C3380CC4-5D6E-409C-BE32-E72D297353CC}">
                <c16:uniqueId val="{0000000E-B569-4296-BFF4-D8FDA3530FEA}"/>
              </c:ext>
            </c:extLst>
          </c:dPt>
          <c:xVal>
            <c:numRef>
              <c:f>'C5-SS'!$A$38:$A$75</c:f>
              <c:numCache>
                <c:formatCode>General</c:formatCode>
                <c:ptCount val="38"/>
                <c:pt idx="0">
                  <c:v>1979</c:v>
                </c:pt>
                <c:pt idx="1">
                  <c:v>1980</c:v>
                </c:pt>
                <c:pt idx="2">
                  <c:v>1981</c:v>
                </c:pt>
                <c:pt idx="3">
                  <c:v>1982</c:v>
                </c:pt>
                <c:pt idx="4">
                  <c:v>1983</c:v>
                </c:pt>
                <c:pt idx="5">
                  <c:v>1984</c:v>
                </c:pt>
                <c:pt idx="6">
                  <c:v>1985</c:v>
                </c:pt>
                <c:pt idx="7">
                  <c:v>1986</c:v>
                </c:pt>
                <c:pt idx="8">
                  <c:v>1987</c:v>
                </c:pt>
                <c:pt idx="9">
                  <c:v>1988</c:v>
                </c:pt>
                <c:pt idx="10">
                  <c:v>1989</c:v>
                </c:pt>
                <c:pt idx="11">
                  <c:v>1990</c:v>
                </c:pt>
                <c:pt idx="12">
                  <c:v>1991</c:v>
                </c:pt>
                <c:pt idx="13">
                  <c:v>1992</c:v>
                </c:pt>
                <c:pt idx="14">
                  <c:v>1993</c:v>
                </c:pt>
                <c:pt idx="15">
                  <c:v>1994</c:v>
                </c:pt>
                <c:pt idx="16">
                  <c:v>1995</c:v>
                </c:pt>
                <c:pt idx="17">
                  <c:v>1996</c:v>
                </c:pt>
                <c:pt idx="18">
                  <c:v>1997</c:v>
                </c:pt>
                <c:pt idx="19">
                  <c:v>1998</c:v>
                </c:pt>
                <c:pt idx="20">
                  <c:v>1999</c:v>
                </c:pt>
                <c:pt idx="21">
                  <c:v>2000</c:v>
                </c:pt>
                <c:pt idx="22">
                  <c:v>2001</c:v>
                </c:pt>
                <c:pt idx="23">
                  <c:v>2002</c:v>
                </c:pt>
                <c:pt idx="24">
                  <c:v>2003</c:v>
                </c:pt>
                <c:pt idx="25">
                  <c:v>2004</c:v>
                </c:pt>
                <c:pt idx="26">
                  <c:v>2005</c:v>
                </c:pt>
                <c:pt idx="27">
                  <c:v>2006</c:v>
                </c:pt>
                <c:pt idx="28">
                  <c:v>2007</c:v>
                </c:pt>
                <c:pt idx="29">
                  <c:v>2008</c:v>
                </c:pt>
                <c:pt idx="30">
                  <c:v>2009</c:v>
                </c:pt>
                <c:pt idx="31">
                  <c:v>2010</c:v>
                </c:pt>
                <c:pt idx="32">
                  <c:v>2011</c:v>
                </c:pt>
                <c:pt idx="33">
                  <c:v>2012</c:v>
                </c:pt>
                <c:pt idx="34">
                  <c:v>2013</c:v>
                </c:pt>
                <c:pt idx="35">
                  <c:v>2014</c:v>
                </c:pt>
                <c:pt idx="36">
                  <c:v>2015</c:v>
                </c:pt>
                <c:pt idx="37">
                  <c:v>2016</c:v>
                </c:pt>
              </c:numCache>
            </c:numRef>
          </c:xVal>
          <c:yVal>
            <c:numRef>
              <c:f>'C5-SS'!$C$38:$C$75</c:f>
              <c:numCache>
                <c:formatCode>0.0%</c:formatCode>
                <c:ptCount val="38"/>
                <c:pt idx="0">
                  <c:v>5.5E-2</c:v>
                </c:pt>
                <c:pt idx="1">
                  <c:v>5.5999999999999994E-2</c:v>
                </c:pt>
                <c:pt idx="2">
                  <c:v>6.0999999999999999E-2</c:v>
                </c:pt>
                <c:pt idx="3">
                  <c:v>6.3E-2</c:v>
                </c:pt>
                <c:pt idx="4">
                  <c:v>6.3E-2</c:v>
                </c:pt>
                <c:pt idx="5">
                  <c:v>6.4000000000000001E-2</c:v>
                </c:pt>
                <c:pt idx="6">
                  <c:v>6.5000000000000002E-2</c:v>
                </c:pt>
                <c:pt idx="7">
                  <c:v>6.0999999999999999E-2</c:v>
                </c:pt>
                <c:pt idx="8">
                  <c:v>6.7000000000000004E-2</c:v>
                </c:pt>
                <c:pt idx="9">
                  <c:v>6.6000000000000003E-2</c:v>
                </c:pt>
                <c:pt idx="10">
                  <c:v>6.6000000000000003E-2</c:v>
                </c:pt>
                <c:pt idx="11">
                  <c:v>6.9000000000000006E-2</c:v>
                </c:pt>
                <c:pt idx="12">
                  <c:v>7.400000000000001E-2</c:v>
                </c:pt>
                <c:pt idx="13">
                  <c:v>7.2000000000000008E-2</c:v>
                </c:pt>
                <c:pt idx="14">
                  <c:v>7.2999999999999995E-2</c:v>
                </c:pt>
                <c:pt idx="15">
                  <c:v>7.4999999999999997E-2</c:v>
                </c:pt>
                <c:pt idx="16">
                  <c:v>7.2999999999999995E-2</c:v>
                </c:pt>
                <c:pt idx="17">
                  <c:v>6.9000000000000006E-2</c:v>
                </c:pt>
                <c:pt idx="18">
                  <c:v>6.7000000000000004E-2</c:v>
                </c:pt>
                <c:pt idx="19">
                  <c:v>6.6000000000000003E-2</c:v>
                </c:pt>
                <c:pt idx="20">
                  <c:v>6.5000000000000002E-2</c:v>
                </c:pt>
                <c:pt idx="21">
                  <c:v>6.3E-2</c:v>
                </c:pt>
                <c:pt idx="22">
                  <c:v>7.2000000000000008E-2</c:v>
                </c:pt>
                <c:pt idx="23">
                  <c:v>7.400000000000001E-2</c:v>
                </c:pt>
                <c:pt idx="24">
                  <c:v>7.2999999999999995E-2</c:v>
                </c:pt>
                <c:pt idx="25">
                  <c:v>6.7000000000000004E-2</c:v>
                </c:pt>
                <c:pt idx="26">
                  <c:v>6.2E-2</c:v>
                </c:pt>
                <c:pt idx="27">
                  <c:v>0.06</c:v>
                </c:pt>
                <c:pt idx="28">
                  <c:v>5.7999999999999996E-2</c:v>
                </c:pt>
                <c:pt idx="29">
                  <c:v>6.6000000000000003E-2</c:v>
                </c:pt>
                <c:pt idx="30">
                  <c:v>7.2000000000000008E-2</c:v>
                </c:pt>
                <c:pt idx="31">
                  <c:v>6.8000000000000005E-2</c:v>
                </c:pt>
                <c:pt idx="32">
                  <c:v>5.9000000000000004E-2</c:v>
                </c:pt>
                <c:pt idx="33">
                  <c:v>5.5999999999999994E-2</c:v>
                </c:pt>
                <c:pt idx="34">
                  <c:v>6.7000000000000004E-2</c:v>
                </c:pt>
                <c:pt idx="35">
                  <c:v>6.4000000000000001E-2</c:v>
                </c:pt>
                <c:pt idx="36">
                  <c:v>6.5000000000000002E-2</c:v>
                </c:pt>
                <c:pt idx="37">
                  <c:v>6.6000000000000003E-2</c:v>
                </c:pt>
              </c:numCache>
            </c:numRef>
          </c:yVal>
          <c:smooth val="0"/>
          <c:extLst>
            <c:ext xmlns:c16="http://schemas.microsoft.com/office/drawing/2014/chart" uri="{C3380CC4-5D6E-409C-BE32-E72D297353CC}">
              <c16:uniqueId val="{0000000F-B569-4296-BFF4-D8FDA3530FEA}"/>
            </c:ext>
          </c:extLst>
        </c:ser>
        <c:dLbls>
          <c:showLegendKey val="0"/>
          <c:showVal val="0"/>
          <c:showCatName val="0"/>
          <c:showSerName val="0"/>
          <c:showPercent val="0"/>
          <c:showBubbleSize val="0"/>
        </c:dLbls>
        <c:axId val="1102709656"/>
        <c:axId val="1102710048"/>
      </c:scatterChart>
      <c:valAx>
        <c:axId val="1102709656"/>
        <c:scaling>
          <c:orientation val="minMax"/>
          <c:max val="2019"/>
          <c:min val="1979"/>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300" b="0" i="0" u="none" strike="noStrike" baseline="0">
                <a:solidFill>
                  <a:srgbClr val="000000"/>
                </a:solidFill>
                <a:latin typeface="Arial"/>
                <a:ea typeface="Arial"/>
                <a:cs typeface="Arial"/>
              </a:defRPr>
            </a:pPr>
            <a:endParaRPr lang="en-US"/>
          </a:p>
        </c:txPr>
        <c:crossAx val="1102710048"/>
        <c:crossesAt val="0"/>
        <c:crossBetween val="midCat"/>
        <c:majorUnit val="10"/>
        <c:minorUnit val="5"/>
      </c:valAx>
      <c:valAx>
        <c:axId val="1102710048"/>
        <c:scaling>
          <c:orientation val="minMax"/>
          <c:max val="0.17"/>
          <c:min val="0"/>
        </c:scaling>
        <c:delete val="0"/>
        <c:axPos val="l"/>
        <c:majorGridlines>
          <c:spPr>
            <a:ln w="6350">
              <a:solidFill>
                <a:schemeClr val="tx1">
                  <a:lumMod val="50000"/>
                  <a:lumOff val="50000"/>
                </a:schemeClr>
              </a:solidFill>
              <a:prstDash val="sysDash"/>
            </a:ln>
          </c:spPr>
        </c:majorGridlines>
        <c:title>
          <c:tx>
            <c:rich>
              <a:bodyPr/>
              <a:lstStyle/>
              <a:p>
                <a:pPr>
                  <a:defRPr sz="1300" b="0" i="0" u="none" strike="noStrike" baseline="0">
                    <a:solidFill>
                      <a:srgbClr val="000000"/>
                    </a:solidFill>
                    <a:latin typeface="Arial"/>
                    <a:ea typeface="Arial"/>
                    <a:cs typeface="Arial"/>
                  </a:defRPr>
                </a:pPr>
                <a:r>
                  <a:rPr lang="en-US" sz="900" b="0" baseline="0"/>
                  <a:t>S</a:t>
                </a:r>
                <a:r>
                  <a:rPr lang="en-US" sz="900" b="0"/>
                  <a:t>hare of</a:t>
                </a:r>
                <a:r>
                  <a:rPr lang="en-US" sz="900" b="0" baseline="0"/>
                  <a:t> income (after social insurance/before means-tested transfers)</a:t>
                </a:r>
                <a:endParaRPr lang="en-US" sz="900" b="0"/>
              </a:p>
            </c:rich>
          </c:tx>
          <c:layout>
            <c:manualLayout>
              <c:xMode val="edge"/>
              <c:yMode val="edge"/>
              <c:x val="7.4074074074074077E-3"/>
              <c:y val="7.1696260639484838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300" b="0" i="0" u="none" strike="noStrike" baseline="0">
                <a:solidFill>
                  <a:srgbClr val="000000"/>
                </a:solidFill>
                <a:latin typeface="Arial"/>
                <a:ea typeface="Arial"/>
                <a:cs typeface="Arial"/>
              </a:defRPr>
            </a:pPr>
            <a:endParaRPr lang="en-US"/>
          </a:p>
        </c:txPr>
        <c:crossAx val="1102709656"/>
        <c:crosses val="autoZero"/>
        <c:crossBetween val="midCat"/>
        <c:majorUnit val="5.000000000000001E-2"/>
        <c:minorUnit val="0.05"/>
      </c:valAx>
      <c:spPr>
        <a:solidFill>
          <a:srgbClr val="FFFFFF"/>
        </a:solidFill>
        <a:ln w="6350">
          <a:noFill/>
          <a:prstDash val="solid"/>
        </a:ln>
      </c:spPr>
    </c:plotArea>
    <c:plotVisOnly val="1"/>
    <c:dispBlanksAs val="span"/>
    <c:showDLblsOverMax val="0"/>
  </c:chart>
  <c:spPr>
    <a:solidFill>
      <a:schemeClr val="bg1"/>
    </a:solidFill>
    <a:ln w="9525">
      <a:noFill/>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0933" r="0.75000000000000933" t="1" header="0.5" footer="0.5"/>
    <c:pageSetup orientation="landscape" verticalDpi="96"/>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5874904614559"/>
          <c:y val="3.6498794793507955E-2"/>
          <c:w val="0.81767251138336161"/>
          <c:h val="0.90203526840513759"/>
        </c:manualLayout>
      </c:layout>
      <c:areaChart>
        <c:grouping val="stacked"/>
        <c:varyColors val="0"/>
        <c:ser>
          <c:idx val="3"/>
          <c:order val="0"/>
          <c:tx>
            <c:strRef>
              <c:f>'C7-Trans'!$R$60</c:f>
              <c:strCache>
                <c:ptCount val="1"/>
                <c:pt idx="0">
                  <c:v>SNAP+SSI+other transfers</c:v>
                </c:pt>
              </c:strCache>
            </c:strRef>
          </c:tx>
          <c:spPr>
            <a:solidFill>
              <a:srgbClr val="AF3F4F">
                <a:alpha val="28000"/>
              </a:srgbClr>
            </a:solidFill>
            <a:ln w="25400">
              <a:noFill/>
            </a:ln>
          </c:spPr>
          <c:cat>
            <c:numRef>
              <c:f>TxRt!$A$136:$A$172</c:f>
              <c:numCache>
                <c:formatCode>General</c:formatCode>
                <c:ptCount val="37"/>
                <c:pt idx="0">
                  <c:v>1979</c:v>
                </c:pt>
                <c:pt idx="1">
                  <c:v>1980</c:v>
                </c:pt>
                <c:pt idx="2">
                  <c:v>1981</c:v>
                </c:pt>
                <c:pt idx="3">
                  <c:v>1982</c:v>
                </c:pt>
                <c:pt idx="4">
                  <c:v>1983</c:v>
                </c:pt>
                <c:pt idx="5">
                  <c:v>1984</c:v>
                </c:pt>
                <c:pt idx="6">
                  <c:v>1985</c:v>
                </c:pt>
                <c:pt idx="7">
                  <c:v>1986</c:v>
                </c:pt>
                <c:pt idx="8">
                  <c:v>1987</c:v>
                </c:pt>
                <c:pt idx="9">
                  <c:v>1988</c:v>
                </c:pt>
                <c:pt idx="10">
                  <c:v>1989</c:v>
                </c:pt>
                <c:pt idx="11">
                  <c:v>1990</c:v>
                </c:pt>
                <c:pt idx="12">
                  <c:v>1991</c:v>
                </c:pt>
                <c:pt idx="13">
                  <c:v>1992</c:v>
                </c:pt>
                <c:pt idx="14">
                  <c:v>1993</c:v>
                </c:pt>
                <c:pt idx="15">
                  <c:v>1994</c:v>
                </c:pt>
                <c:pt idx="16">
                  <c:v>1995</c:v>
                </c:pt>
                <c:pt idx="17">
                  <c:v>1996</c:v>
                </c:pt>
                <c:pt idx="18">
                  <c:v>1997</c:v>
                </c:pt>
                <c:pt idx="19">
                  <c:v>1998</c:v>
                </c:pt>
                <c:pt idx="20">
                  <c:v>1999</c:v>
                </c:pt>
                <c:pt idx="21">
                  <c:v>2000</c:v>
                </c:pt>
                <c:pt idx="22">
                  <c:v>2001</c:v>
                </c:pt>
                <c:pt idx="23">
                  <c:v>2002</c:v>
                </c:pt>
                <c:pt idx="24">
                  <c:v>2003</c:v>
                </c:pt>
                <c:pt idx="25">
                  <c:v>2004</c:v>
                </c:pt>
                <c:pt idx="26">
                  <c:v>2005</c:v>
                </c:pt>
                <c:pt idx="27">
                  <c:v>2006</c:v>
                </c:pt>
                <c:pt idx="28">
                  <c:v>2007</c:v>
                </c:pt>
                <c:pt idx="29">
                  <c:v>2008</c:v>
                </c:pt>
                <c:pt idx="30">
                  <c:v>2009</c:v>
                </c:pt>
                <c:pt idx="31">
                  <c:v>2010</c:v>
                </c:pt>
                <c:pt idx="32">
                  <c:v>2011</c:v>
                </c:pt>
                <c:pt idx="33">
                  <c:v>2012</c:v>
                </c:pt>
                <c:pt idx="34">
                  <c:v>2013</c:v>
                </c:pt>
                <c:pt idx="35">
                  <c:v>2014</c:v>
                </c:pt>
                <c:pt idx="36">
                  <c:v>2015</c:v>
                </c:pt>
              </c:numCache>
            </c:numRef>
          </c:cat>
          <c:val>
            <c:numRef>
              <c:f>'C7-Trans'!$R$99:$R$136</c:f>
              <c:numCache>
                <c:formatCode>0.0</c:formatCode>
                <c:ptCount val="38"/>
                <c:pt idx="0">
                  <c:v>20.431578947368422</c:v>
                </c:pt>
                <c:pt idx="1">
                  <c:v>22.198550724637681</c:v>
                </c:pt>
                <c:pt idx="2">
                  <c:v>23.085074626865673</c:v>
                </c:pt>
                <c:pt idx="3">
                  <c:v>23.825806451612905</c:v>
                </c:pt>
                <c:pt idx="4">
                  <c:v>27.884745762711866</c:v>
                </c:pt>
                <c:pt idx="5">
                  <c:v>24.466666666666669</c:v>
                </c:pt>
                <c:pt idx="6">
                  <c:v>24.39855072463768</c:v>
                </c:pt>
                <c:pt idx="7">
                  <c:v>25.711764705882352</c:v>
                </c:pt>
                <c:pt idx="8">
                  <c:v>25.778688524590166</c:v>
                </c:pt>
                <c:pt idx="9">
                  <c:v>26.861904761904764</c:v>
                </c:pt>
                <c:pt idx="10">
                  <c:v>27.214285714285715</c:v>
                </c:pt>
                <c:pt idx="11">
                  <c:v>26.009589041095889</c:v>
                </c:pt>
                <c:pt idx="12">
                  <c:v>26.566666666666663</c:v>
                </c:pt>
                <c:pt idx="13">
                  <c:v>27.447826086956525</c:v>
                </c:pt>
                <c:pt idx="14">
                  <c:v>28.111764705882358</c:v>
                </c:pt>
                <c:pt idx="15">
                  <c:v>28.715384615384618</c:v>
                </c:pt>
                <c:pt idx="16">
                  <c:v>24.966666666666669</c:v>
                </c:pt>
                <c:pt idx="17">
                  <c:v>24.197402597402593</c:v>
                </c:pt>
                <c:pt idx="18">
                  <c:v>20.88095238095238</c:v>
                </c:pt>
                <c:pt idx="19">
                  <c:v>18.805263157894739</c:v>
                </c:pt>
                <c:pt idx="20">
                  <c:v>16.941747572815533</c:v>
                </c:pt>
                <c:pt idx="21">
                  <c:v>16.541747572815535</c:v>
                </c:pt>
                <c:pt idx="22">
                  <c:v>17.050537634408602</c:v>
                </c:pt>
                <c:pt idx="23">
                  <c:v>16.847191011235957</c:v>
                </c:pt>
                <c:pt idx="24">
                  <c:v>17.68095238095238</c:v>
                </c:pt>
                <c:pt idx="25">
                  <c:v>17.325581395348838</c:v>
                </c:pt>
                <c:pt idx="26">
                  <c:v>17.497802197802198</c:v>
                </c:pt>
                <c:pt idx="27">
                  <c:v>17.440816326530612</c:v>
                </c:pt>
                <c:pt idx="28">
                  <c:v>16.585714285714285</c:v>
                </c:pt>
                <c:pt idx="29">
                  <c:v>16.760784313725491</c:v>
                </c:pt>
                <c:pt idx="30">
                  <c:v>19.398850574712647</c:v>
                </c:pt>
                <c:pt idx="31">
                  <c:v>19.476470588235294</c:v>
                </c:pt>
                <c:pt idx="32">
                  <c:v>19.362790697674416</c:v>
                </c:pt>
                <c:pt idx="33">
                  <c:v>20.869135802469135</c:v>
                </c:pt>
                <c:pt idx="34">
                  <c:v>19.947191011235955</c:v>
                </c:pt>
                <c:pt idx="35">
                  <c:v>20.252941176470586</c:v>
                </c:pt>
                <c:pt idx="36">
                  <c:v>19.022222222222222</c:v>
                </c:pt>
                <c:pt idx="37">
                  <c:v>18.947191011235955</c:v>
                </c:pt>
              </c:numCache>
            </c:numRef>
          </c:val>
          <c:extLst>
            <c:ext xmlns:c16="http://schemas.microsoft.com/office/drawing/2014/chart" uri="{C3380CC4-5D6E-409C-BE32-E72D297353CC}">
              <c16:uniqueId val="{00000000-3B4F-4250-97A5-3E53B826AB52}"/>
            </c:ext>
          </c:extLst>
        </c:ser>
        <c:ser>
          <c:idx val="0"/>
          <c:order val="1"/>
          <c:tx>
            <c:strRef>
              <c:f>'C7-Trans'!$E$60</c:f>
              <c:strCache>
                <c:ptCount val="1"/>
                <c:pt idx="0">
                  <c:v>medicaid_and_chip</c:v>
                </c:pt>
              </c:strCache>
            </c:strRef>
          </c:tx>
          <c:spPr>
            <a:solidFill>
              <a:srgbClr val="2699B4">
                <a:alpha val="32000"/>
              </a:srgbClr>
            </a:solidFill>
          </c:spPr>
          <c:cat>
            <c:numRef>
              <c:f>TxRt!$A$136:$A$172</c:f>
              <c:numCache>
                <c:formatCode>General</c:formatCode>
                <c:ptCount val="37"/>
                <c:pt idx="0">
                  <c:v>1979</c:v>
                </c:pt>
                <c:pt idx="1">
                  <c:v>1980</c:v>
                </c:pt>
                <c:pt idx="2">
                  <c:v>1981</c:v>
                </c:pt>
                <c:pt idx="3">
                  <c:v>1982</c:v>
                </c:pt>
                <c:pt idx="4">
                  <c:v>1983</c:v>
                </c:pt>
                <c:pt idx="5">
                  <c:v>1984</c:v>
                </c:pt>
                <c:pt idx="6">
                  <c:v>1985</c:v>
                </c:pt>
                <c:pt idx="7">
                  <c:v>1986</c:v>
                </c:pt>
                <c:pt idx="8">
                  <c:v>1987</c:v>
                </c:pt>
                <c:pt idx="9">
                  <c:v>1988</c:v>
                </c:pt>
                <c:pt idx="10">
                  <c:v>1989</c:v>
                </c:pt>
                <c:pt idx="11">
                  <c:v>1990</c:v>
                </c:pt>
                <c:pt idx="12">
                  <c:v>1991</c:v>
                </c:pt>
                <c:pt idx="13">
                  <c:v>1992</c:v>
                </c:pt>
                <c:pt idx="14">
                  <c:v>1993</c:v>
                </c:pt>
                <c:pt idx="15">
                  <c:v>1994</c:v>
                </c:pt>
                <c:pt idx="16">
                  <c:v>1995</c:v>
                </c:pt>
                <c:pt idx="17">
                  <c:v>1996</c:v>
                </c:pt>
                <c:pt idx="18">
                  <c:v>1997</c:v>
                </c:pt>
                <c:pt idx="19">
                  <c:v>1998</c:v>
                </c:pt>
                <c:pt idx="20">
                  <c:v>1999</c:v>
                </c:pt>
                <c:pt idx="21">
                  <c:v>2000</c:v>
                </c:pt>
                <c:pt idx="22">
                  <c:v>2001</c:v>
                </c:pt>
                <c:pt idx="23">
                  <c:v>2002</c:v>
                </c:pt>
                <c:pt idx="24">
                  <c:v>2003</c:v>
                </c:pt>
                <c:pt idx="25">
                  <c:v>2004</c:v>
                </c:pt>
                <c:pt idx="26">
                  <c:v>2005</c:v>
                </c:pt>
                <c:pt idx="27">
                  <c:v>2006</c:v>
                </c:pt>
                <c:pt idx="28">
                  <c:v>2007</c:v>
                </c:pt>
                <c:pt idx="29">
                  <c:v>2008</c:v>
                </c:pt>
                <c:pt idx="30">
                  <c:v>2009</c:v>
                </c:pt>
                <c:pt idx="31">
                  <c:v>2010</c:v>
                </c:pt>
                <c:pt idx="32">
                  <c:v>2011</c:v>
                </c:pt>
                <c:pt idx="33">
                  <c:v>2012</c:v>
                </c:pt>
                <c:pt idx="34">
                  <c:v>2013</c:v>
                </c:pt>
                <c:pt idx="35">
                  <c:v>2014</c:v>
                </c:pt>
                <c:pt idx="36">
                  <c:v>2015</c:v>
                </c:pt>
              </c:numCache>
            </c:numRef>
          </c:cat>
          <c:val>
            <c:numRef>
              <c:f>'C7-Trans'!$L$99:$L$136</c:f>
              <c:numCache>
                <c:formatCode>General</c:formatCode>
                <c:ptCount val="38"/>
                <c:pt idx="0">
                  <c:v>7.2</c:v>
                </c:pt>
                <c:pt idx="1">
                  <c:v>7.8</c:v>
                </c:pt>
                <c:pt idx="2">
                  <c:v>8</c:v>
                </c:pt>
                <c:pt idx="3">
                  <c:v>8.4</c:v>
                </c:pt>
                <c:pt idx="4">
                  <c:v>9.4</c:v>
                </c:pt>
                <c:pt idx="5">
                  <c:v>8.6</c:v>
                </c:pt>
                <c:pt idx="6">
                  <c:v>9.4</c:v>
                </c:pt>
                <c:pt idx="7">
                  <c:v>9.9</c:v>
                </c:pt>
                <c:pt idx="8">
                  <c:v>11.2</c:v>
                </c:pt>
                <c:pt idx="9">
                  <c:v>11.3</c:v>
                </c:pt>
                <c:pt idx="10">
                  <c:v>11.9</c:v>
                </c:pt>
                <c:pt idx="11">
                  <c:v>12.9</c:v>
                </c:pt>
                <c:pt idx="12">
                  <c:v>14.3</c:v>
                </c:pt>
                <c:pt idx="13">
                  <c:v>15.8</c:v>
                </c:pt>
                <c:pt idx="14">
                  <c:v>16.399999999999999</c:v>
                </c:pt>
                <c:pt idx="15">
                  <c:v>16.8</c:v>
                </c:pt>
                <c:pt idx="16">
                  <c:v>16.399999999999999</c:v>
                </c:pt>
                <c:pt idx="17">
                  <c:v>16.600000000000001</c:v>
                </c:pt>
                <c:pt idx="18">
                  <c:v>16</c:v>
                </c:pt>
                <c:pt idx="19">
                  <c:v>16.899999999999999</c:v>
                </c:pt>
                <c:pt idx="20">
                  <c:v>17.5</c:v>
                </c:pt>
                <c:pt idx="21">
                  <c:v>18.899999999999999</c:v>
                </c:pt>
                <c:pt idx="22">
                  <c:v>20.8</c:v>
                </c:pt>
                <c:pt idx="23">
                  <c:v>21.9</c:v>
                </c:pt>
                <c:pt idx="24">
                  <c:v>23.5</c:v>
                </c:pt>
                <c:pt idx="25">
                  <c:v>24.4</c:v>
                </c:pt>
                <c:pt idx="26">
                  <c:v>23.4</c:v>
                </c:pt>
                <c:pt idx="27">
                  <c:v>20.9</c:v>
                </c:pt>
                <c:pt idx="28">
                  <c:v>20</c:v>
                </c:pt>
                <c:pt idx="29">
                  <c:v>20.9</c:v>
                </c:pt>
                <c:pt idx="30">
                  <c:v>22</c:v>
                </c:pt>
                <c:pt idx="31">
                  <c:v>23</c:v>
                </c:pt>
                <c:pt idx="32">
                  <c:v>21.5</c:v>
                </c:pt>
                <c:pt idx="33">
                  <c:v>22.7</c:v>
                </c:pt>
                <c:pt idx="34">
                  <c:v>23</c:v>
                </c:pt>
                <c:pt idx="35">
                  <c:v>28.6</c:v>
                </c:pt>
                <c:pt idx="36">
                  <c:v>28</c:v>
                </c:pt>
                <c:pt idx="37">
                  <c:v>27.9</c:v>
                </c:pt>
              </c:numCache>
            </c:numRef>
          </c:val>
          <c:extLst>
            <c:ext xmlns:c16="http://schemas.microsoft.com/office/drawing/2014/chart" uri="{C3380CC4-5D6E-409C-BE32-E72D297353CC}">
              <c16:uniqueId val="{00000003-3B4F-4250-97A5-3E53B826AB52}"/>
            </c:ext>
          </c:extLst>
        </c:ser>
        <c:ser>
          <c:idx val="2"/>
          <c:order val="2"/>
          <c:tx>
            <c:strRef>
              <c:f>'C7-Trans'!$Q$60</c:f>
              <c:strCache>
                <c:ptCount val="1"/>
                <c:pt idx="0">
                  <c:v>medicare</c:v>
                </c:pt>
              </c:strCache>
            </c:strRef>
          </c:tx>
          <c:spPr>
            <a:solidFill>
              <a:schemeClr val="bg1">
                <a:lumMod val="50000"/>
                <a:alpha val="55000"/>
              </a:schemeClr>
            </a:solidFill>
          </c:spPr>
          <c:cat>
            <c:numRef>
              <c:f>TxRt!$A$136:$A$172</c:f>
              <c:numCache>
                <c:formatCode>General</c:formatCode>
                <c:ptCount val="37"/>
                <c:pt idx="0">
                  <c:v>1979</c:v>
                </c:pt>
                <c:pt idx="1">
                  <c:v>1980</c:v>
                </c:pt>
                <c:pt idx="2">
                  <c:v>1981</c:v>
                </c:pt>
                <c:pt idx="3">
                  <c:v>1982</c:v>
                </c:pt>
                <c:pt idx="4">
                  <c:v>1983</c:v>
                </c:pt>
                <c:pt idx="5">
                  <c:v>1984</c:v>
                </c:pt>
                <c:pt idx="6">
                  <c:v>1985</c:v>
                </c:pt>
                <c:pt idx="7">
                  <c:v>1986</c:v>
                </c:pt>
                <c:pt idx="8">
                  <c:v>1987</c:v>
                </c:pt>
                <c:pt idx="9">
                  <c:v>1988</c:v>
                </c:pt>
                <c:pt idx="10">
                  <c:v>1989</c:v>
                </c:pt>
                <c:pt idx="11">
                  <c:v>1990</c:v>
                </c:pt>
                <c:pt idx="12">
                  <c:v>1991</c:v>
                </c:pt>
                <c:pt idx="13">
                  <c:v>1992</c:v>
                </c:pt>
                <c:pt idx="14">
                  <c:v>1993</c:v>
                </c:pt>
                <c:pt idx="15">
                  <c:v>1994</c:v>
                </c:pt>
                <c:pt idx="16">
                  <c:v>1995</c:v>
                </c:pt>
                <c:pt idx="17">
                  <c:v>1996</c:v>
                </c:pt>
                <c:pt idx="18">
                  <c:v>1997</c:v>
                </c:pt>
                <c:pt idx="19">
                  <c:v>1998</c:v>
                </c:pt>
                <c:pt idx="20">
                  <c:v>1999</c:v>
                </c:pt>
                <c:pt idx="21">
                  <c:v>2000</c:v>
                </c:pt>
                <c:pt idx="22">
                  <c:v>2001</c:v>
                </c:pt>
                <c:pt idx="23">
                  <c:v>2002</c:v>
                </c:pt>
                <c:pt idx="24">
                  <c:v>2003</c:v>
                </c:pt>
                <c:pt idx="25">
                  <c:v>2004</c:v>
                </c:pt>
                <c:pt idx="26">
                  <c:v>2005</c:v>
                </c:pt>
                <c:pt idx="27">
                  <c:v>2006</c:v>
                </c:pt>
                <c:pt idx="28">
                  <c:v>2007</c:v>
                </c:pt>
                <c:pt idx="29">
                  <c:v>2008</c:v>
                </c:pt>
                <c:pt idx="30">
                  <c:v>2009</c:v>
                </c:pt>
                <c:pt idx="31">
                  <c:v>2010</c:v>
                </c:pt>
                <c:pt idx="32">
                  <c:v>2011</c:v>
                </c:pt>
                <c:pt idx="33">
                  <c:v>2012</c:v>
                </c:pt>
                <c:pt idx="34">
                  <c:v>2013</c:v>
                </c:pt>
                <c:pt idx="35">
                  <c:v>2014</c:v>
                </c:pt>
                <c:pt idx="36">
                  <c:v>2015</c:v>
                </c:pt>
              </c:numCache>
            </c:numRef>
          </c:cat>
          <c:val>
            <c:numRef>
              <c:f>'C7-Trans'!$Q$99:$Q$136</c:f>
              <c:numCache>
                <c:formatCode>0.0</c:formatCode>
                <c:ptCount val="38"/>
                <c:pt idx="0">
                  <c:v>27.631578947368425</c:v>
                </c:pt>
                <c:pt idx="1">
                  <c:v>33.333333333333329</c:v>
                </c:pt>
                <c:pt idx="2">
                  <c:v>35.820895522388057</c:v>
                </c:pt>
                <c:pt idx="3">
                  <c:v>41.935483870967744</c:v>
                </c:pt>
                <c:pt idx="4">
                  <c:v>44.067796610169488</c:v>
                </c:pt>
                <c:pt idx="5">
                  <c:v>36.111111111111107</c:v>
                </c:pt>
                <c:pt idx="6">
                  <c:v>40.579710144927539</c:v>
                </c:pt>
                <c:pt idx="7">
                  <c:v>41.17647058823529</c:v>
                </c:pt>
                <c:pt idx="8">
                  <c:v>47.540983606557376</c:v>
                </c:pt>
                <c:pt idx="9">
                  <c:v>47.619047619047613</c:v>
                </c:pt>
                <c:pt idx="10">
                  <c:v>44.285714285714285</c:v>
                </c:pt>
                <c:pt idx="11">
                  <c:v>45.205479452054789</c:v>
                </c:pt>
                <c:pt idx="12">
                  <c:v>47.222222222222221</c:v>
                </c:pt>
                <c:pt idx="13">
                  <c:v>53.623188405797109</c:v>
                </c:pt>
                <c:pt idx="14">
                  <c:v>58.82352941176471</c:v>
                </c:pt>
                <c:pt idx="15">
                  <c:v>64.615384615384613</c:v>
                </c:pt>
                <c:pt idx="16">
                  <c:v>58.666666666666664</c:v>
                </c:pt>
                <c:pt idx="17">
                  <c:v>57.142857142857139</c:v>
                </c:pt>
                <c:pt idx="18">
                  <c:v>54.761904761904766</c:v>
                </c:pt>
                <c:pt idx="19">
                  <c:v>47.368421052631575</c:v>
                </c:pt>
                <c:pt idx="20">
                  <c:v>41.747572815533978</c:v>
                </c:pt>
                <c:pt idx="21">
                  <c:v>40.776699029126213</c:v>
                </c:pt>
                <c:pt idx="22">
                  <c:v>49.462365591397848</c:v>
                </c:pt>
                <c:pt idx="23">
                  <c:v>53.932584269662918</c:v>
                </c:pt>
                <c:pt idx="24">
                  <c:v>59.523809523809526</c:v>
                </c:pt>
                <c:pt idx="25">
                  <c:v>60.465116279069761</c:v>
                </c:pt>
                <c:pt idx="26">
                  <c:v>58.241758241758248</c:v>
                </c:pt>
                <c:pt idx="27">
                  <c:v>60.204081632653065</c:v>
                </c:pt>
                <c:pt idx="28">
                  <c:v>50.892857142857139</c:v>
                </c:pt>
                <c:pt idx="29">
                  <c:v>60.784313725490193</c:v>
                </c:pt>
                <c:pt idx="30">
                  <c:v>75.862068965517238</c:v>
                </c:pt>
                <c:pt idx="31">
                  <c:v>74.117647058823536</c:v>
                </c:pt>
                <c:pt idx="32">
                  <c:v>75.581395348837205</c:v>
                </c:pt>
                <c:pt idx="33">
                  <c:v>80.246913580246911</c:v>
                </c:pt>
                <c:pt idx="34">
                  <c:v>70.786516853932582</c:v>
                </c:pt>
                <c:pt idx="35">
                  <c:v>74.117647058823536</c:v>
                </c:pt>
                <c:pt idx="36">
                  <c:v>73.333333333333329</c:v>
                </c:pt>
                <c:pt idx="37">
                  <c:v>76.404494382022463</c:v>
                </c:pt>
              </c:numCache>
            </c:numRef>
          </c:val>
          <c:extLst>
            <c:ext xmlns:c16="http://schemas.microsoft.com/office/drawing/2014/chart" uri="{C3380CC4-5D6E-409C-BE32-E72D297353CC}">
              <c16:uniqueId val="{00000002-3B4F-4250-97A5-3E53B826AB52}"/>
            </c:ext>
          </c:extLst>
        </c:ser>
        <c:ser>
          <c:idx val="1"/>
          <c:order val="3"/>
          <c:tx>
            <c:strRef>
              <c:f>'C7-Trans'!$P$60</c:f>
              <c:strCache>
                <c:ptCount val="1"/>
                <c:pt idx="0">
                  <c:v>social_security</c:v>
                </c:pt>
              </c:strCache>
            </c:strRef>
          </c:tx>
          <c:spPr>
            <a:solidFill>
              <a:srgbClr val="D58F11">
                <a:alpha val="40000"/>
              </a:srgbClr>
            </a:solidFill>
            <a:ln w="25400">
              <a:noFill/>
            </a:ln>
          </c:spPr>
          <c:cat>
            <c:numRef>
              <c:f>TxRt!$A$136:$A$172</c:f>
              <c:numCache>
                <c:formatCode>General</c:formatCode>
                <c:ptCount val="37"/>
                <c:pt idx="0">
                  <c:v>1979</c:v>
                </c:pt>
                <c:pt idx="1">
                  <c:v>1980</c:v>
                </c:pt>
                <c:pt idx="2">
                  <c:v>1981</c:v>
                </c:pt>
                <c:pt idx="3">
                  <c:v>1982</c:v>
                </c:pt>
                <c:pt idx="4">
                  <c:v>1983</c:v>
                </c:pt>
                <c:pt idx="5">
                  <c:v>1984</c:v>
                </c:pt>
                <c:pt idx="6">
                  <c:v>1985</c:v>
                </c:pt>
                <c:pt idx="7">
                  <c:v>1986</c:v>
                </c:pt>
                <c:pt idx="8">
                  <c:v>1987</c:v>
                </c:pt>
                <c:pt idx="9">
                  <c:v>1988</c:v>
                </c:pt>
                <c:pt idx="10">
                  <c:v>1989</c:v>
                </c:pt>
                <c:pt idx="11">
                  <c:v>1990</c:v>
                </c:pt>
                <c:pt idx="12">
                  <c:v>1991</c:v>
                </c:pt>
                <c:pt idx="13">
                  <c:v>1992</c:v>
                </c:pt>
                <c:pt idx="14">
                  <c:v>1993</c:v>
                </c:pt>
                <c:pt idx="15">
                  <c:v>1994</c:v>
                </c:pt>
                <c:pt idx="16">
                  <c:v>1995</c:v>
                </c:pt>
                <c:pt idx="17">
                  <c:v>1996</c:v>
                </c:pt>
                <c:pt idx="18">
                  <c:v>1997</c:v>
                </c:pt>
                <c:pt idx="19">
                  <c:v>1998</c:v>
                </c:pt>
                <c:pt idx="20">
                  <c:v>1999</c:v>
                </c:pt>
                <c:pt idx="21">
                  <c:v>2000</c:v>
                </c:pt>
                <c:pt idx="22">
                  <c:v>2001</c:v>
                </c:pt>
                <c:pt idx="23">
                  <c:v>2002</c:v>
                </c:pt>
                <c:pt idx="24">
                  <c:v>2003</c:v>
                </c:pt>
                <c:pt idx="25">
                  <c:v>2004</c:v>
                </c:pt>
                <c:pt idx="26">
                  <c:v>2005</c:v>
                </c:pt>
                <c:pt idx="27">
                  <c:v>2006</c:v>
                </c:pt>
                <c:pt idx="28">
                  <c:v>2007</c:v>
                </c:pt>
                <c:pt idx="29">
                  <c:v>2008</c:v>
                </c:pt>
                <c:pt idx="30">
                  <c:v>2009</c:v>
                </c:pt>
                <c:pt idx="31">
                  <c:v>2010</c:v>
                </c:pt>
                <c:pt idx="32">
                  <c:v>2011</c:v>
                </c:pt>
                <c:pt idx="33">
                  <c:v>2012</c:v>
                </c:pt>
                <c:pt idx="34">
                  <c:v>2013</c:v>
                </c:pt>
                <c:pt idx="35">
                  <c:v>2014</c:v>
                </c:pt>
                <c:pt idx="36">
                  <c:v>2015</c:v>
                </c:pt>
              </c:numCache>
            </c:numRef>
          </c:cat>
          <c:val>
            <c:numRef>
              <c:f>'C7-Trans'!$P$99:$P$136</c:f>
              <c:numCache>
                <c:formatCode>0.0</c:formatCode>
                <c:ptCount val="38"/>
                <c:pt idx="0">
                  <c:v>96.05263157894737</c:v>
                </c:pt>
                <c:pt idx="1">
                  <c:v>105.79710144927536</c:v>
                </c:pt>
                <c:pt idx="2">
                  <c:v>111.94029850746267</c:v>
                </c:pt>
                <c:pt idx="3">
                  <c:v>117.74193548387098</c:v>
                </c:pt>
                <c:pt idx="4">
                  <c:v>120.33898305084745</c:v>
                </c:pt>
                <c:pt idx="5">
                  <c:v>95.833333333333343</c:v>
                </c:pt>
                <c:pt idx="6">
                  <c:v>102.89855072463767</c:v>
                </c:pt>
                <c:pt idx="7">
                  <c:v>102.94117647058823</c:v>
                </c:pt>
                <c:pt idx="8">
                  <c:v>118.0327868852459</c:v>
                </c:pt>
                <c:pt idx="9">
                  <c:v>117.46031746031747</c:v>
                </c:pt>
                <c:pt idx="10">
                  <c:v>104.28571428571429</c:v>
                </c:pt>
                <c:pt idx="11">
                  <c:v>100</c:v>
                </c:pt>
                <c:pt idx="12">
                  <c:v>105.55555555555556</c:v>
                </c:pt>
                <c:pt idx="13">
                  <c:v>113.04347826086956</c:v>
                </c:pt>
                <c:pt idx="14">
                  <c:v>119.11764705882352</c:v>
                </c:pt>
                <c:pt idx="15">
                  <c:v>127.69230769230768</c:v>
                </c:pt>
                <c:pt idx="16">
                  <c:v>112.00000000000001</c:v>
                </c:pt>
                <c:pt idx="17">
                  <c:v>103.89610389610388</c:v>
                </c:pt>
                <c:pt idx="18">
                  <c:v>98.80952380952381</c:v>
                </c:pt>
                <c:pt idx="19">
                  <c:v>88.421052631578945</c:v>
                </c:pt>
                <c:pt idx="20">
                  <c:v>78.640776699029118</c:v>
                </c:pt>
                <c:pt idx="21">
                  <c:v>78.640776699029118</c:v>
                </c:pt>
                <c:pt idx="22">
                  <c:v>92.473118279569889</c:v>
                </c:pt>
                <c:pt idx="23">
                  <c:v>100</c:v>
                </c:pt>
                <c:pt idx="24">
                  <c:v>105.95238095238095</c:v>
                </c:pt>
                <c:pt idx="25">
                  <c:v>104.65116279069768</c:v>
                </c:pt>
                <c:pt idx="26">
                  <c:v>98.901098901098905</c:v>
                </c:pt>
                <c:pt idx="27">
                  <c:v>93.877551020408163</c:v>
                </c:pt>
                <c:pt idx="28">
                  <c:v>81.25</c:v>
                </c:pt>
                <c:pt idx="29">
                  <c:v>94.117647058823522</c:v>
                </c:pt>
                <c:pt idx="30">
                  <c:v>118.39080459770115</c:v>
                </c:pt>
                <c:pt idx="31">
                  <c:v>116.47058823529413</c:v>
                </c:pt>
                <c:pt idx="32">
                  <c:v>117.44186046511629</c:v>
                </c:pt>
                <c:pt idx="33">
                  <c:v>125.92592592592592</c:v>
                </c:pt>
                <c:pt idx="34">
                  <c:v>117.97752808988764</c:v>
                </c:pt>
                <c:pt idx="35">
                  <c:v>120</c:v>
                </c:pt>
                <c:pt idx="36">
                  <c:v>120</c:v>
                </c:pt>
                <c:pt idx="37">
                  <c:v>123.59550561797752</c:v>
                </c:pt>
              </c:numCache>
            </c:numRef>
          </c:val>
          <c:extLst>
            <c:ext xmlns:c16="http://schemas.microsoft.com/office/drawing/2014/chart" uri="{C3380CC4-5D6E-409C-BE32-E72D297353CC}">
              <c16:uniqueId val="{00000001-3B4F-4250-97A5-3E53B826AB52}"/>
            </c:ext>
          </c:extLst>
        </c:ser>
        <c:ser>
          <c:idx val="4"/>
          <c:order val="4"/>
          <c:tx>
            <c:v>zeros-total</c:v>
          </c:tx>
          <c:spPr>
            <a:noFill/>
            <a:ln w="25400">
              <a:solidFill>
                <a:srgbClr val="000000"/>
              </a:solidFill>
            </a:ln>
          </c:spPr>
          <c:val>
            <c:numRef>
              <c:f>TxRt!$I$10:$I$47</c:f>
              <c:numCache>
                <c:formatCode>#0.0</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4-3B4F-4250-97A5-3E53B826AB52}"/>
            </c:ext>
          </c:extLst>
        </c:ser>
        <c:dLbls>
          <c:showLegendKey val="0"/>
          <c:showVal val="0"/>
          <c:showCatName val="0"/>
          <c:showSerName val="0"/>
          <c:showPercent val="0"/>
          <c:showBubbleSize val="0"/>
        </c:dLbls>
        <c:axId val="1117966680"/>
        <c:axId val="1117967072"/>
      </c:areaChart>
      <c:catAx>
        <c:axId val="1117966680"/>
        <c:scaling>
          <c:orientation val="minMax"/>
        </c:scaling>
        <c:delete val="0"/>
        <c:axPos val="b"/>
        <c:numFmt formatCode="General"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1117967072"/>
        <c:crossesAt val="-15"/>
        <c:auto val="1"/>
        <c:lblAlgn val="ctr"/>
        <c:lblOffset val="100"/>
        <c:tickLblSkip val="10"/>
        <c:tickMarkSkip val="10"/>
        <c:noMultiLvlLbl val="0"/>
      </c:catAx>
      <c:valAx>
        <c:axId val="1117967072"/>
        <c:scaling>
          <c:orientation val="minMax"/>
          <c:max val="300"/>
          <c:min val="0"/>
        </c:scaling>
        <c:delete val="0"/>
        <c:axPos val="l"/>
        <c:majorGridlines>
          <c:spPr>
            <a:ln w="9525">
              <a:solidFill>
                <a:schemeClr val="bg1">
                  <a:lumMod val="75000"/>
                </a:schemeClr>
              </a:solidFill>
              <a:prstDash val="sysDot"/>
            </a:ln>
          </c:spPr>
        </c:majorGridlines>
        <c:title>
          <c:tx>
            <c:rich>
              <a:bodyPr/>
              <a:lstStyle/>
              <a:p>
                <a:pPr>
                  <a:defRPr sz="1200" b="0" i="0" u="none" strike="noStrike" baseline="0">
                    <a:solidFill>
                      <a:srgbClr val="000000"/>
                    </a:solidFill>
                    <a:latin typeface="Arial"/>
                    <a:ea typeface="Arial"/>
                    <a:cs typeface="Arial"/>
                  </a:defRPr>
                </a:pPr>
                <a:r>
                  <a:rPr lang="en-US" sz="1200" b="0"/>
                  <a:t>Bottom quintile</a:t>
                </a:r>
                <a:r>
                  <a:rPr lang="en-US" sz="1200" b="0" baseline="0"/>
                  <a:t>  average transfer rate</a:t>
                </a:r>
                <a:endParaRPr lang="en-US" sz="1200" b="0"/>
              </a:p>
            </c:rich>
          </c:tx>
          <c:layout>
            <c:manualLayout>
              <c:xMode val="edge"/>
              <c:yMode val="edge"/>
              <c:x val="3.0196386223426249E-4"/>
              <c:y val="0.21678697305693931"/>
            </c:manualLayout>
          </c:layout>
          <c:overlay val="0"/>
          <c:spPr>
            <a:noFill/>
            <a:ln w="25400">
              <a:noFill/>
            </a:ln>
          </c:spPr>
        </c:title>
        <c:numFmt formatCode="#,##0" sourceLinked="0"/>
        <c:majorTickMark val="out"/>
        <c:minorTickMark val="none"/>
        <c:tickLblPos val="nextTo"/>
        <c:spPr>
          <a:ln w="3175">
            <a:no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117966680"/>
        <c:crosses val="autoZero"/>
        <c:crossBetween val="midCat"/>
        <c:majorUnit val="100"/>
        <c:minorUnit val="0.05"/>
      </c:valAx>
      <c:spPr>
        <a:solidFill>
          <a:srgbClr val="FFFFFF"/>
        </a:solidFill>
        <a:ln w="3175">
          <a:noFill/>
          <a:prstDash val="solid"/>
        </a:ln>
      </c:spPr>
    </c:plotArea>
    <c:plotVisOnly val="1"/>
    <c:dispBlanksAs val="span"/>
    <c:showDLblsOverMax val="0"/>
  </c:chart>
  <c:spPr>
    <a:solidFill>
      <a:schemeClr val="bg1"/>
    </a:solidFill>
    <a:ln w="9525">
      <a:noFill/>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0866" r="0.75000000000000866" t="1" header="0.5" footer="0.5"/>
    <c:pageSetup orientation="landscape" verticalDpi="96"/>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361277886716515E-2"/>
          <c:y val="3.6498794793507955E-2"/>
          <c:w val="0.82402858471577767"/>
          <c:h val="0.90203526840513759"/>
        </c:manualLayout>
      </c:layout>
      <c:areaChart>
        <c:grouping val="stacked"/>
        <c:varyColors val="0"/>
        <c:ser>
          <c:idx val="3"/>
          <c:order val="0"/>
          <c:tx>
            <c:v>other transfers</c:v>
          </c:tx>
          <c:spPr>
            <a:solidFill>
              <a:srgbClr val="AF3F4F">
                <a:alpha val="35000"/>
              </a:srgbClr>
            </a:solidFill>
            <a:ln w="25400">
              <a:noFill/>
            </a:ln>
          </c:spPr>
          <c:cat>
            <c:numRef>
              <c:f>TxRt!$A$136:$A$172</c:f>
              <c:numCache>
                <c:formatCode>General</c:formatCode>
                <c:ptCount val="37"/>
                <c:pt idx="0">
                  <c:v>1979</c:v>
                </c:pt>
                <c:pt idx="1">
                  <c:v>1980</c:v>
                </c:pt>
                <c:pt idx="2">
                  <c:v>1981</c:v>
                </c:pt>
                <c:pt idx="3">
                  <c:v>1982</c:v>
                </c:pt>
                <c:pt idx="4">
                  <c:v>1983</c:v>
                </c:pt>
                <c:pt idx="5">
                  <c:v>1984</c:v>
                </c:pt>
                <c:pt idx="6">
                  <c:v>1985</c:v>
                </c:pt>
                <c:pt idx="7">
                  <c:v>1986</c:v>
                </c:pt>
                <c:pt idx="8">
                  <c:v>1987</c:v>
                </c:pt>
                <c:pt idx="9">
                  <c:v>1988</c:v>
                </c:pt>
                <c:pt idx="10">
                  <c:v>1989</c:v>
                </c:pt>
                <c:pt idx="11">
                  <c:v>1990</c:v>
                </c:pt>
                <c:pt idx="12">
                  <c:v>1991</c:v>
                </c:pt>
                <c:pt idx="13">
                  <c:v>1992</c:v>
                </c:pt>
                <c:pt idx="14">
                  <c:v>1993</c:v>
                </c:pt>
                <c:pt idx="15">
                  <c:v>1994</c:v>
                </c:pt>
                <c:pt idx="16">
                  <c:v>1995</c:v>
                </c:pt>
                <c:pt idx="17">
                  <c:v>1996</c:v>
                </c:pt>
                <c:pt idx="18">
                  <c:v>1997</c:v>
                </c:pt>
                <c:pt idx="19">
                  <c:v>1998</c:v>
                </c:pt>
                <c:pt idx="20">
                  <c:v>1999</c:v>
                </c:pt>
                <c:pt idx="21">
                  <c:v>2000</c:v>
                </c:pt>
                <c:pt idx="22">
                  <c:v>2001</c:v>
                </c:pt>
                <c:pt idx="23">
                  <c:v>2002</c:v>
                </c:pt>
                <c:pt idx="24">
                  <c:v>2003</c:v>
                </c:pt>
                <c:pt idx="25">
                  <c:v>2004</c:v>
                </c:pt>
                <c:pt idx="26">
                  <c:v>2005</c:v>
                </c:pt>
                <c:pt idx="27">
                  <c:v>2006</c:v>
                </c:pt>
                <c:pt idx="28">
                  <c:v>2007</c:v>
                </c:pt>
                <c:pt idx="29">
                  <c:v>2008</c:v>
                </c:pt>
                <c:pt idx="30">
                  <c:v>2009</c:v>
                </c:pt>
                <c:pt idx="31">
                  <c:v>2010</c:v>
                </c:pt>
                <c:pt idx="32">
                  <c:v>2011</c:v>
                </c:pt>
                <c:pt idx="33">
                  <c:v>2012</c:v>
                </c:pt>
                <c:pt idx="34">
                  <c:v>2013</c:v>
                </c:pt>
                <c:pt idx="35">
                  <c:v>2014</c:v>
                </c:pt>
                <c:pt idx="36">
                  <c:v>2015</c:v>
                </c:pt>
              </c:numCache>
            </c:numRef>
          </c:cat>
          <c:val>
            <c:numRef>
              <c:f>'C7-Trans'!$R$137:$R$174</c:f>
              <c:numCache>
                <c:formatCode>0.0</c:formatCode>
                <c:ptCount val="38"/>
                <c:pt idx="0">
                  <c:v>2.3994011976047904</c:v>
                </c:pt>
                <c:pt idx="1">
                  <c:v>3.1369426751592355</c:v>
                </c:pt>
                <c:pt idx="2">
                  <c:v>2.8236245954692558</c:v>
                </c:pt>
                <c:pt idx="3">
                  <c:v>3.1779661016949152</c:v>
                </c:pt>
                <c:pt idx="4">
                  <c:v>2.8042253521126761</c:v>
                </c:pt>
                <c:pt idx="5">
                  <c:v>2.8451612903225807</c:v>
                </c:pt>
                <c:pt idx="6">
                  <c:v>2.4472491909385115</c:v>
                </c:pt>
                <c:pt idx="7">
                  <c:v>2.6472491909385116</c:v>
                </c:pt>
                <c:pt idx="8">
                  <c:v>2.2644518272425249</c:v>
                </c:pt>
                <c:pt idx="9">
                  <c:v>2.2514657980456025</c:v>
                </c:pt>
                <c:pt idx="10">
                  <c:v>2.8646302250803859</c:v>
                </c:pt>
                <c:pt idx="11">
                  <c:v>2.9375</c:v>
                </c:pt>
                <c:pt idx="12">
                  <c:v>3.4771986970684039</c:v>
                </c:pt>
                <c:pt idx="13">
                  <c:v>4.1067114093959729</c:v>
                </c:pt>
                <c:pt idx="14">
                  <c:v>3.9666666666666668</c:v>
                </c:pt>
                <c:pt idx="15">
                  <c:v>3.8578947368421055</c:v>
                </c:pt>
                <c:pt idx="16">
                  <c:v>3.617283950617284</c:v>
                </c:pt>
                <c:pt idx="17">
                  <c:v>3.5172839506172844</c:v>
                </c:pt>
                <c:pt idx="18">
                  <c:v>3.195238095238095</c:v>
                </c:pt>
                <c:pt idx="19">
                  <c:v>2.9649717514124299</c:v>
                </c:pt>
                <c:pt idx="20">
                  <c:v>2.6434782608695651</c:v>
                </c:pt>
                <c:pt idx="21">
                  <c:v>2.5405405405405403</c:v>
                </c:pt>
                <c:pt idx="22">
                  <c:v>2.5555555555555554</c:v>
                </c:pt>
                <c:pt idx="23">
                  <c:v>2.9763688760806915</c:v>
                </c:pt>
                <c:pt idx="24">
                  <c:v>3.1847953216374272</c:v>
                </c:pt>
                <c:pt idx="25">
                  <c:v>3.1633802816901411</c:v>
                </c:pt>
                <c:pt idx="26">
                  <c:v>3.2494505494505495</c:v>
                </c:pt>
                <c:pt idx="27">
                  <c:v>2.9702702702702704</c:v>
                </c:pt>
                <c:pt idx="28">
                  <c:v>2.6557544757033247</c:v>
                </c:pt>
                <c:pt idx="29">
                  <c:v>3.2710027100271004</c:v>
                </c:pt>
                <c:pt idx="30">
                  <c:v>4.0976190476190473</c:v>
                </c:pt>
                <c:pt idx="31">
                  <c:v>4.8021148036253773</c:v>
                </c:pt>
                <c:pt idx="32">
                  <c:v>4.8985074626865668</c:v>
                </c:pt>
                <c:pt idx="33">
                  <c:v>4.8030303030303028</c:v>
                </c:pt>
                <c:pt idx="34">
                  <c:v>4.9882352941176471</c:v>
                </c:pt>
                <c:pt idx="35">
                  <c:v>4.5906976744186041</c:v>
                </c:pt>
                <c:pt idx="36">
                  <c:v>4.3762430939226515</c:v>
                </c:pt>
                <c:pt idx="37">
                  <c:v>4.1732240437158472</c:v>
                </c:pt>
              </c:numCache>
            </c:numRef>
          </c:val>
          <c:extLst>
            <c:ext xmlns:c16="http://schemas.microsoft.com/office/drawing/2014/chart" uri="{C3380CC4-5D6E-409C-BE32-E72D297353CC}">
              <c16:uniqueId val="{00000000-CA3B-4AF0-B541-44A1E880E718}"/>
            </c:ext>
          </c:extLst>
        </c:ser>
        <c:ser>
          <c:idx val="0"/>
          <c:order val="1"/>
          <c:tx>
            <c:strRef>
              <c:f>'C7-Trans'!$E$60</c:f>
              <c:strCache>
                <c:ptCount val="1"/>
                <c:pt idx="0">
                  <c:v>medicaid_and_chip</c:v>
                </c:pt>
              </c:strCache>
            </c:strRef>
          </c:tx>
          <c:spPr>
            <a:solidFill>
              <a:srgbClr val="2699B4">
                <a:alpha val="33000"/>
              </a:srgbClr>
            </a:solidFill>
            <a:ln w="25400">
              <a:noFill/>
            </a:ln>
          </c:spPr>
          <c:cat>
            <c:numRef>
              <c:f>TxRt!$A$136:$A$172</c:f>
              <c:numCache>
                <c:formatCode>General</c:formatCode>
                <c:ptCount val="37"/>
                <c:pt idx="0">
                  <c:v>1979</c:v>
                </c:pt>
                <c:pt idx="1">
                  <c:v>1980</c:v>
                </c:pt>
                <c:pt idx="2">
                  <c:v>1981</c:v>
                </c:pt>
                <c:pt idx="3">
                  <c:v>1982</c:v>
                </c:pt>
                <c:pt idx="4">
                  <c:v>1983</c:v>
                </c:pt>
                <c:pt idx="5">
                  <c:v>1984</c:v>
                </c:pt>
                <c:pt idx="6">
                  <c:v>1985</c:v>
                </c:pt>
                <c:pt idx="7">
                  <c:v>1986</c:v>
                </c:pt>
                <c:pt idx="8">
                  <c:v>1987</c:v>
                </c:pt>
                <c:pt idx="9">
                  <c:v>1988</c:v>
                </c:pt>
                <c:pt idx="10">
                  <c:v>1989</c:v>
                </c:pt>
                <c:pt idx="11">
                  <c:v>1990</c:v>
                </c:pt>
                <c:pt idx="12">
                  <c:v>1991</c:v>
                </c:pt>
                <c:pt idx="13">
                  <c:v>1992</c:v>
                </c:pt>
                <c:pt idx="14">
                  <c:v>1993</c:v>
                </c:pt>
                <c:pt idx="15">
                  <c:v>1994</c:v>
                </c:pt>
                <c:pt idx="16">
                  <c:v>1995</c:v>
                </c:pt>
                <c:pt idx="17">
                  <c:v>1996</c:v>
                </c:pt>
                <c:pt idx="18">
                  <c:v>1997</c:v>
                </c:pt>
                <c:pt idx="19">
                  <c:v>1998</c:v>
                </c:pt>
                <c:pt idx="20">
                  <c:v>1999</c:v>
                </c:pt>
                <c:pt idx="21">
                  <c:v>2000</c:v>
                </c:pt>
                <c:pt idx="22">
                  <c:v>2001</c:v>
                </c:pt>
                <c:pt idx="23">
                  <c:v>2002</c:v>
                </c:pt>
                <c:pt idx="24">
                  <c:v>2003</c:v>
                </c:pt>
                <c:pt idx="25">
                  <c:v>2004</c:v>
                </c:pt>
                <c:pt idx="26">
                  <c:v>2005</c:v>
                </c:pt>
                <c:pt idx="27">
                  <c:v>2006</c:v>
                </c:pt>
                <c:pt idx="28">
                  <c:v>2007</c:v>
                </c:pt>
                <c:pt idx="29">
                  <c:v>2008</c:v>
                </c:pt>
                <c:pt idx="30">
                  <c:v>2009</c:v>
                </c:pt>
                <c:pt idx="31">
                  <c:v>2010</c:v>
                </c:pt>
                <c:pt idx="32">
                  <c:v>2011</c:v>
                </c:pt>
                <c:pt idx="33">
                  <c:v>2012</c:v>
                </c:pt>
                <c:pt idx="34">
                  <c:v>2013</c:v>
                </c:pt>
                <c:pt idx="35">
                  <c:v>2014</c:v>
                </c:pt>
                <c:pt idx="36">
                  <c:v>2015</c:v>
                </c:pt>
              </c:numCache>
            </c:numRef>
          </c:cat>
          <c:val>
            <c:numRef>
              <c:f>'C7-Trans'!$L$137:$L$174</c:f>
              <c:numCache>
                <c:formatCode>General</c:formatCode>
                <c:ptCount val="38"/>
                <c:pt idx="0">
                  <c:v>0.9</c:v>
                </c:pt>
                <c:pt idx="1">
                  <c:v>1</c:v>
                </c:pt>
                <c:pt idx="2">
                  <c:v>1</c:v>
                </c:pt>
                <c:pt idx="3">
                  <c:v>1</c:v>
                </c:pt>
                <c:pt idx="4">
                  <c:v>0.9</c:v>
                </c:pt>
                <c:pt idx="5">
                  <c:v>0.9</c:v>
                </c:pt>
                <c:pt idx="6">
                  <c:v>0.9</c:v>
                </c:pt>
                <c:pt idx="7">
                  <c:v>1</c:v>
                </c:pt>
                <c:pt idx="8">
                  <c:v>1</c:v>
                </c:pt>
                <c:pt idx="9">
                  <c:v>1</c:v>
                </c:pt>
                <c:pt idx="10">
                  <c:v>1.2</c:v>
                </c:pt>
                <c:pt idx="11">
                  <c:v>1.4</c:v>
                </c:pt>
                <c:pt idx="12">
                  <c:v>1.9</c:v>
                </c:pt>
                <c:pt idx="13">
                  <c:v>2.4</c:v>
                </c:pt>
                <c:pt idx="14">
                  <c:v>2.9</c:v>
                </c:pt>
                <c:pt idx="15">
                  <c:v>2.8</c:v>
                </c:pt>
                <c:pt idx="16">
                  <c:v>2.9</c:v>
                </c:pt>
                <c:pt idx="17">
                  <c:v>2.8</c:v>
                </c:pt>
                <c:pt idx="18">
                  <c:v>2.9</c:v>
                </c:pt>
                <c:pt idx="19">
                  <c:v>3.6</c:v>
                </c:pt>
                <c:pt idx="20">
                  <c:v>3.8</c:v>
                </c:pt>
                <c:pt idx="21">
                  <c:v>4</c:v>
                </c:pt>
                <c:pt idx="22">
                  <c:v>4.7</c:v>
                </c:pt>
                <c:pt idx="23">
                  <c:v>5.5</c:v>
                </c:pt>
                <c:pt idx="24">
                  <c:v>6.2</c:v>
                </c:pt>
                <c:pt idx="25">
                  <c:v>6.7</c:v>
                </c:pt>
                <c:pt idx="26">
                  <c:v>6.5</c:v>
                </c:pt>
                <c:pt idx="27">
                  <c:v>6.1</c:v>
                </c:pt>
                <c:pt idx="28">
                  <c:v>5.9</c:v>
                </c:pt>
                <c:pt idx="29">
                  <c:v>6.6</c:v>
                </c:pt>
                <c:pt idx="30">
                  <c:v>7.5</c:v>
                </c:pt>
                <c:pt idx="31">
                  <c:v>7.9</c:v>
                </c:pt>
                <c:pt idx="32">
                  <c:v>8</c:v>
                </c:pt>
                <c:pt idx="33">
                  <c:v>8.1999999999999993</c:v>
                </c:pt>
                <c:pt idx="34">
                  <c:v>8.4</c:v>
                </c:pt>
                <c:pt idx="35">
                  <c:v>10.5</c:v>
                </c:pt>
                <c:pt idx="36">
                  <c:v>11.8</c:v>
                </c:pt>
                <c:pt idx="37">
                  <c:v>11.9</c:v>
                </c:pt>
              </c:numCache>
            </c:numRef>
          </c:val>
          <c:extLst>
            <c:ext xmlns:c16="http://schemas.microsoft.com/office/drawing/2014/chart" uri="{C3380CC4-5D6E-409C-BE32-E72D297353CC}">
              <c16:uniqueId val="{00000003-CA3B-4AF0-B541-44A1E880E718}"/>
            </c:ext>
          </c:extLst>
        </c:ser>
        <c:ser>
          <c:idx val="2"/>
          <c:order val="2"/>
          <c:tx>
            <c:strRef>
              <c:f>'C7-Trans'!$Q$60</c:f>
              <c:strCache>
                <c:ptCount val="1"/>
                <c:pt idx="0">
                  <c:v>medicare</c:v>
                </c:pt>
              </c:strCache>
            </c:strRef>
          </c:tx>
          <c:spPr>
            <a:solidFill>
              <a:schemeClr val="tx1">
                <a:lumMod val="50000"/>
                <a:lumOff val="50000"/>
                <a:alpha val="56000"/>
              </a:schemeClr>
            </a:solidFill>
            <a:ln w="25400">
              <a:noFill/>
            </a:ln>
          </c:spPr>
          <c:cat>
            <c:numRef>
              <c:f>TxRt!$A$136:$A$172</c:f>
              <c:numCache>
                <c:formatCode>General</c:formatCode>
                <c:ptCount val="37"/>
                <c:pt idx="0">
                  <c:v>1979</c:v>
                </c:pt>
                <c:pt idx="1">
                  <c:v>1980</c:v>
                </c:pt>
                <c:pt idx="2">
                  <c:v>1981</c:v>
                </c:pt>
                <c:pt idx="3">
                  <c:v>1982</c:v>
                </c:pt>
                <c:pt idx="4">
                  <c:v>1983</c:v>
                </c:pt>
                <c:pt idx="5">
                  <c:v>1984</c:v>
                </c:pt>
                <c:pt idx="6">
                  <c:v>1985</c:v>
                </c:pt>
                <c:pt idx="7">
                  <c:v>1986</c:v>
                </c:pt>
                <c:pt idx="8">
                  <c:v>1987</c:v>
                </c:pt>
                <c:pt idx="9">
                  <c:v>1988</c:v>
                </c:pt>
                <c:pt idx="10">
                  <c:v>1989</c:v>
                </c:pt>
                <c:pt idx="11">
                  <c:v>1990</c:v>
                </c:pt>
                <c:pt idx="12">
                  <c:v>1991</c:v>
                </c:pt>
                <c:pt idx="13">
                  <c:v>1992</c:v>
                </c:pt>
                <c:pt idx="14">
                  <c:v>1993</c:v>
                </c:pt>
                <c:pt idx="15">
                  <c:v>1994</c:v>
                </c:pt>
                <c:pt idx="16">
                  <c:v>1995</c:v>
                </c:pt>
                <c:pt idx="17">
                  <c:v>1996</c:v>
                </c:pt>
                <c:pt idx="18">
                  <c:v>1997</c:v>
                </c:pt>
                <c:pt idx="19">
                  <c:v>1998</c:v>
                </c:pt>
                <c:pt idx="20">
                  <c:v>1999</c:v>
                </c:pt>
                <c:pt idx="21">
                  <c:v>2000</c:v>
                </c:pt>
                <c:pt idx="22">
                  <c:v>2001</c:v>
                </c:pt>
                <c:pt idx="23">
                  <c:v>2002</c:v>
                </c:pt>
                <c:pt idx="24">
                  <c:v>2003</c:v>
                </c:pt>
                <c:pt idx="25">
                  <c:v>2004</c:v>
                </c:pt>
                <c:pt idx="26">
                  <c:v>2005</c:v>
                </c:pt>
                <c:pt idx="27">
                  <c:v>2006</c:v>
                </c:pt>
                <c:pt idx="28">
                  <c:v>2007</c:v>
                </c:pt>
                <c:pt idx="29">
                  <c:v>2008</c:v>
                </c:pt>
                <c:pt idx="30">
                  <c:v>2009</c:v>
                </c:pt>
                <c:pt idx="31">
                  <c:v>2010</c:v>
                </c:pt>
                <c:pt idx="32">
                  <c:v>2011</c:v>
                </c:pt>
                <c:pt idx="33">
                  <c:v>2012</c:v>
                </c:pt>
                <c:pt idx="34">
                  <c:v>2013</c:v>
                </c:pt>
                <c:pt idx="35">
                  <c:v>2014</c:v>
                </c:pt>
                <c:pt idx="36">
                  <c:v>2015</c:v>
                </c:pt>
              </c:numCache>
            </c:numRef>
          </c:cat>
          <c:val>
            <c:numRef>
              <c:f>'C7-Trans'!$Q$137:$Q$174</c:f>
              <c:numCache>
                <c:formatCode>0.0</c:formatCode>
                <c:ptCount val="38"/>
                <c:pt idx="0">
                  <c:v>2.3952095808383236</c:v>
                </c:pt>
                <c:pt idx="1">
                  <c:v>2.8662420382165608</c:v>
                </c:pt>
                <c:pt idx="2">
                  <c:v>3.5598705501618122</c:v>
                </c:pt>
                <c:pt idx="3">
                  <c:v>4.406779661016949</c:v>
                </c:pt>
                <c:pt idx="4">
                  <c:v>4.929577464788732</c:v>
                </c:pt>
                <c:pt idx="5">
                  <c:v>4.5161290322580641</c:v>
                </c:pt>
                <c:pt idx="6">
                  <c:v>5.1779935275080913</c:v>
                </c:pt>
                <c:pt idx="7">
                  <c:v>5.5016181229773462</c:v>
                </c:pt>
                <c:pt idx="8">
                  <c:v>5.6478405315614619</c:v>
                </c:pt>
                <c:pt idx="9">
                  <c:v>5.8631921824104234</c:v>
                </c:pt>
                <c:pt idx="10">
                  <c:v>5.787781350482315</c:v>
                </c:pt>
                <c:pt idx="11">
                  <c:v>5.9375</c:v>
                </c:pt>
                <c:pt idx="12">
                  <c:v>6.8403908794788277</c:v>
                </c:pt>
                <c:pt idx="13">
                  <c:v>7.3825503355704702</c:v>
                </c:pt>
                <c:pt idx="14">
                  <c:v>8.3333333333333321</c:v>
                </c:pt>
                <c:pt idx="15">
                  <c:v>8.2236842105263168</c:v>
                </c:pt>
                <c:pt idx="16">
                  <c:v>8.0246913580246915</c:v>
                </c:pt>
                <c:pt idx="17">
                  <c:v>8.6419753086419746</c:v>
                </c:pt>
                <c:pt idx="18">
                  <c:v>8.3333333333333321</c:v>
                </c:pt>
                <c:pt idx="19">
                  <c:v>7.3446327683615822</c:v>
                </c:pt>
                <c:pt idx="20">
                  <c:v>7.0652173913043477</c:v>
                </c:pt>
                <c:pt idx="21">
                  <c:v>7.0270270270270272</c:v>
                </c:pt>
                <c:pt idx="22">
                  <c:v>7.7777777777777777</c:v>
                </c:pt>
                <c:pt idx="23">
                  <c:v>8.3573487031700289</c:v>
                </c:pt>
                <c:pt idx="24">
                  <c:v>8.7719298245614024</c:v>
                </c:pt>
                <c:pt idx="25">
                  <c:v>8.7323943661971821</c:v>
                </c:pt>
                <c:pt idx="26">
                  <c:v>8.5164835164835164</c:v>
                </c:pt>
                <c:pt idx="27">
                  <c:v>9.1891891891891895</c:v>
                </c:pt>
                <c:pt idx="28">
                  <c:v>8.9514066496163682</c:v>
                </c:pt>
                <c:pt idx="29">
                  <c:v>10.027100271002711</c:v>
                </c:pt>
                <c:pt idx="30">
                  <c:v>12.202380952380953</c:v>
                </c:pt>
                <c:pt idx="31">
                  <c:v>12.386706948640484</c:v>
                </c:pt>
                <c:pt idx="32">
                  <c:v>11.641791044776118</c:v>
                </c:pt>
                <c:pt idx="33">
                  <c:v>12.424242424242424</c:v>
                </c:pt>
                <c:pt idx="34">
                  <c:v>11.76470588235294</c:v>
                </c:pt>
                <c:pt idx="35">
                  <c:v>11.337209302325581</c:v>
                </c:pt>
                <c:pt idx="36">
                  <c:v>11.049723756906078</c:v>
                </c:pt>
                <c:pt idx="37">
                  <c:v>11.475409836065573</c:v>
                </c:pt>
              </c:numCache>
            </c:numRef>
          </c:val>
          <c:extLst>
            <c:ext xmlns:c16="http://schemas.microsoft.com/office/drawing/2014/chart" uri="{C3380CC4-5D6E-409C-BE32-E72D297353CC}">
              <c16:uniqueId val="{00000002-CA3B-4AF0-B541-44A1E880E718}"/>
            </c:ext>
          </c:extLst>
        </c:ser>
        <c:ser>
          <c:idx val="1"/>
          <c:order val="3"/>
          <c:tx>
            <c:strRef>
              <c:f>'C7-Trans'!$P$60</c:f>
              <c:strCache>
                <c:ptCount val="1"/>
                <c:pt idx="0">
                  <c:v>social_security</c:v>
                </c:pt>
              </c:strCache>
            </c:strRef>
          </c:tx>
          <c:spPr>
            <a:solidFill>
              <a:srgbClr val="D58F11">
                <a:alpha val="39000"/>
              </a:srgbClr>
            </a:solidFill>
            <a:ln w="25400">
              <a:noFill/>
            </a:ln>
          </c:spPr>
          <c:cat>
            <c:numRef>
              <c:f>TxRt!$A$136:$A$172</c:f>
              <c:numCache>
                <c:formatCode>General</c:formatCode>
                <c:ptCount val="37"/>
                <c:pt idx="0">
                  <c:v>1979</c:v>
                </c:pt>
                <c:pt idx="1">
                  <c:v>1980</c:v>
                </c:pt>
                <c:pt idx="2">
                  <c:v>1981</c:v>
                </c:pt>
                <c:pt idx="3">
                  <c:v>1982</c:v>
                </c:pt>
                <c:pt idx="4">
                  <c:v>1983</c:v>
                </c:pt>
                <c:pt idx="5">
                  <c:v>1984</c:v>
                </c:pt>
                <c:pt idx="6">
                  <c:v>1985</c:v>
                </c:pt>
                <c:pt idx="7">
                  <c:v>1986</c:v>
                </c:pt>
                <c:pt idx="8">
                  <c:v>1987</c:v>
                </c:pt>
                <c:pt idx="9">
                  <c:v>1988</c:v>
                </c:pt>
                <c:pt idx="10">
                  <c:v>1989</c:v>
                </c:pt>
                <c:pt idx="11">
                  <c:v>1990</c:v>
                </c:pt>
                <c:pt idx="12">
                  <c:v>1991</c:v>
                </c:pt>
                <c:pt idx="13">
                  <c:v>1992</c:v>
                </c:pt>
                <c:pt idx="14">
                  <c:v>1993</c:v>
                </c:pt>
                <c:pt idx="15">
                  <c:v>1994</c:v>
                </c:pt>
                <c:pt idx="16">
                  <c:v>1995</c:v>
                </c:pt>
                <c:pt idx="17">
                  <c:v>1996</c:v>
                </c:pt>
                <c:pt idx="18">
                  <c:v>1997</c:v>
                </c:pt>
                <c:pt idx="19">
                  <c:v>1998</c:v>
                </c:pt>
                <c:pt idx="20">
                  <c:v>1999</c:v>
                </c:pt>
                <c:pt idx="21">
                  <c:v>2000</c:v>
                </c:pt>
                <c:pt idx="22">
                  <c:v>2001</c:v>
                </c:pt>
                <c:pt idx="23">
                  <c:v>2002</c:v>
                </c:pt>
                <c:pt idx="24">
                  <c:v>2003</c:v>
                </c:pt>
                <c:pt idx="25">
                  <c:v>2004</c:v>
                </c:pt>
                <c:pt idx="26">
                  <c:v>2005</c:v>
                </c:pt>
                <c:pt idx="27">
                  <c:v>2006</c:v>
                </c:pt>
                <c:pt idx="28">
                  <c:v>2007</c:v>
                </c:pt>
                <c:pt idx="29">
                  <c:v>2008</c:v>
                </c:pt>
                <c:pt idx="30">
                  <c:v>2009</c:v>
                </c:pt>
                <c:pt idx="31">
                  <c:v>2010</c:v>
                </c:pt>
                <c:pt idx="32">
                  <c:v>2011</c:v>
                </c:pt>
                <c:pt idx="33">
                  <c:v>2012</c:v>
                </c:pt>
                <c:pt idx="34">
                  <c:v>2013</c:v>
                </c:pt>
                <c:pt idx="35">
                  <c:v>2014</c:v>
                </c:pt>
                <c:pt idx="36">
                  <c:v>2015</c:v>
                </c:pt>
              </c:numCache>
            </c:numRef>
          </c:cat>
          <c:val>
            <c:numRef>
              <c:f>'C7-Trans'!$P$137:$P$174</c:f>
              <c:numCache>
                <c:formatCode>0.0</c:formatCode>
                <c:ptCount val="38"/>
                <c:pt idx="0">
                  <c:v>10.179640718562874</c:v>
                </c:pt>
                <c:pt idx="1">
                  <c:v>11.783439490445859</c:v>
                </c:pt>
                <c:pt idx="2">
                  <c:v>12.944983818770226</c:v>
                </c:pt>
                <c:pt idx="3">
                  <c:v>14.576271186440678</c:v>
                </c:pt>
                <c:pt idx="4">
                  <c:v>16.197183098591552</c:v>
                </c:pt>
                <c:pt idx="5">
                  <c:v>13.870967741935484</c:v>
                </c:pt>
                <c:pt idx="6">
                  <c:v>14.239482200647249</c:v>
                </c:pt>
                <c:pt idx="7">
                  <c:v>15.53398058252427</c:v>
                </c:pt>
                <c:pt idx="8">
                  <c:v>16.279069767441861</c:v>
                </c:pt>
                <c:pt idx="9">
                  <c:v>15.635179153094461</c:v>
                </c:pt>
                <c:pt idx="10">
                  <c:v>15.755627009646304</c:v>
                </c:pt>
                <c:pt idx="11">
                  <c:v>15.625</c:v>
                </c:pt>
                <c:pt idx="12">
                  <c:v>16.938110749185668</c:v>
                </c:pt>
                <c:pt idx="13">
                  <c:v>18.120805369127517</c:v>
                </c:pt>
                <c:pt idx="14">
                  <c:v>19</c:v>
                </c:pt>
                <c:pt idx="15">
                  <c:v>18.092105263157894</c:v>
                </c:pt>
                <c:pt idx="16">
                  <c:v>17.283950617283949</c:v>
                </c:pt>
                <c:pt idx="17">
                  <c:v>17.283950617283949</c:v>
                </c:pt>
                <c:pt idx="18">
                  <c:v>16.071428571428573</c:v>
                </c:pt>
                <c:pt idx="19">
                  <c:v>15.254237288135593</c:v>
                </c:pt>
                <c:pt idx="20">
                  <c:v>14.402173913043478</c:v>
                </c:pt>
                <c:pt idx="21">
                  <c:v>14.864864864864865</c:v>
                </c:pt>
                <c:pt idx="22">
                  <c:v>15.833333333333332</c:v>
                </c:pt>
                <c:pt idx="23">
                  <c:v>16.714697406340058</c:v>
                </c:pt>
                <c:pt idx="24">
                  <c:v>16.959064327485379</c:v>
                </c:pt>
                <c:pt idx="25">
                  <c:v>16.338028169014084</c:v>
                </c:pt>
                <c:pt idx="26">
                  <c:v>15.659340659340659</c:v>
                </c:pt>
                <c:pt idx="27">
                  <c:v>15.135135135135137</c:v>
                </c:pt>
                <c:pt idx="28">
                  <c:v>14.833759590792839</c:v>
                </c:pt>
                <c:pt idx="29">
                  <c:v>16.260162601626014</c:v>
                </c:pt>
                <c:pt idx="30">
                  <c:v>20.238095238095237</c:v>
                </c:pt>
                <c:pt idx="31">
                  <c:v>20.543806646525681</c:v>
                </c:pt>
                <c:pt idx="32">
                  <c:v>19.402985074626866</c:v>
                </c:pt>
                <c:pt idx="33">
                  <c:v>20.606060606060606</c:v>
                </c:pt>
                <c:pt idx="34">
                  <c:v>20.588235294117645</c:v>
                </c:pt>
                <c:pt idx="35">
                  <c:v>20.058139534883722</c:v>
                </c:pt>
                <c:pt idx="36">
                  <c:v>19.613259668508288</c:v>
                </c:pt>
                <c:pt idx="37">
                  <c:v>19.94535519125683</c:v>
                </c:pt>
              </c:numCache>
            </c:numRef>
          </c:val>
          <c:extLst>
            <c:ext xmlns:c16="http://schemas.microsoft.com/office/drawing/2014/chart" uri="{C3380CC4-5D6E-409C-BE32-E72D297353CC}">
              <c16:uniqueId val="{00000001-CA3B-4AF0-B541-44A1E880E718}"/>
            </c:ext>
          </c:extLst>
        </c:ser>
        <c:ser>
          <c:idx val="4"/>
          <c:order val="4"/>
          <c:tx>
            <c:v>zeros-total</c:v>
          </c:tx>
          <c:spPr>
            <a:noFill/>
            <a:ln w="25400">
              <a:solidFill>
                <a:srgbClr val="000000"/>
              </a:solidFill>
            </a:ln>
          </c:spPr>
          <c:val>
            <c:numRef>
              <c:f>TxRt!$I$10:$I$47</c:f>
              <c:numCache>
                <c:formatCode>#0.0</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4-CA3B-4AF0-B541-44A1E880E718}"/>
            </c:ext>
          </c:extLst>
        </c:ser>
        <c:dLbls>
          <c:showLegendKey val="0"/>
          <c:showVal val="0"/>
          <c:showCatName val="0"/>
          <c:showSerName val="0"/>
          <c:showPercent val="0"/>
          <c:showBubbleSize val="0"/>
        </c:dLbls>
        <c:axId val="1117966680"/>
        <c:axId val="1117967072"/>
      </c:areaChart>
      <c:catAx>
        <c:axId val="1117966680"/>
        <c:scaling>
          <c:orientation val="minMax"/>
        </c:scaling>
        <c:delete val="0"/>
        <c:axPos val="b"/>
        <c:numFmt formatCode="General"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1117967072"/>
        <c:crossesAt val="-15"/>
        <c:auto val="1"/>
        <c:lblAlgn val="ctr"/>
        <c:lblOffset val="100"/>
        <c:tickLblSkip val="10"/>
        <c:tickMarkSkip val="10"/>
        <c:noMultiLvlLbl val="0"/>
      </c:catAx>
      <c:valAx>
        <c:axId val="1117967072"/>
        <c:scaling>
          <c:orientation val="minMax"/>
          <c:max val="50"/>
          <c:min val="0"/>
        </c:scaling>
        <c:delete val="0"/>
        <c:axPos val="l"/>
        <c:majorGridlines>
          <c:spPr>
            <a:ln w="9525">
              <a:solidFill>
                <a:schemeClr val="bg1">
                  <a:lumMod val="75000"/>
                </a:schemeClr>
              </a:solidFill>
              <a:prstDash val="sysDot"/>
            </a:ln>
          </c:spPr>
        </c:majorGridlines>
        <c:title>
          <c:tx>
            <c:rich>
              <a:bodyPr/>
              <a:lstStyle/>
              <a:p>
                <a:pPr>
                  <a:defRPr sz="1200" b="0" i="0" u="none" strike="noStrike" baseline="0">
                    <a:solidFill>
                      <a:srgbClr val="000000"/>
                    </a:solidFill>
                    <a:latin typeface="Arial"/>
                    <a:ea typeface="Arial"/>
                    <a:cs typeface="Arial"/>
                  </a:defRPr>
                </a:pPr>
                <a:r>
                  <a:rPr lang="en-US" sz="1200" b="0"/>
                  <a:t>Second quintile</a:t>
                </a:r>
                <a:r>
                  <a:rPr lang="en-US" sz="1200" b="0" baseline="0"/>
                  <a:t>  average transfer rate</a:t>
                </a:r>
                <a:endParaRPr lang="en-US" sz="1200" b="0"/>
              </a:p>
            </c:rich>
          </c:tx>
          <c:layout>
            <c:manualLayout>
              <c:xMode val="edge"/>
              <c:yMode val="edge"/>
              <c:x val="3.0204690867315711E-4"/>
              <c:y val="0.21134479618619098"/>
            </c:manualLayout>
          </c:layout>
          <c:overlay val="0"/>
          <c:spPr>
            <a:noFill/>
            <a:ln w="25400">
              <a:noFill/>
            </a:ln>
          </c:spPr>
        </c:title>
        <c:numFmt formatCode="#,##0" sourceLinked="0"/>
        <c:majorTickMark val="out"/>
        <c:minorTickMark val="none"/>
        <c:tickLblPos val="nextTo"/>
        <c:spPr>
          <a:ln w="3175">
            <a:no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117966680"/>
        <c:crosses val="autoZero"/>
        <c:crossBetween val="midCat"/>
        <c:majorUnit val="25"/>
        <c:minorUnit val="0.05"/>
      </c:valAx>
      <c:spPr>
        <a:solidFill>
          <a:srgbClr val="FFFFFF"/>
        </a:solidFill>
        <a:ln w="3175">
          <a:noFill/>
          <a:prstDash val="solid"/>
        </a:ln>
      </c:spPr>
    </c:plotArea>
    <c:plotVisOnly val="1"/>
    <c:dispBlanksAs val="span"/>
    <c:showDLblsOverMax val="0"/>
  </c:chart>
  <c:spPr>
    <a:solidFill>
      <a:schemeClr val="bg1"/>
    </a:solidFill>
    <a:ln w="9525">
      <a:noFill/>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0866" r="0.75000000000000866" t="1" header="0.5" footer="0.5"/>
    <c:pageSetup orientation="landscape" verticalDpi="96"/>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7784360847443"/>
          <c:y val="3.3777574141508858E-2"/>
          <c:w val="0.84894761974128319"/>
          <c:h val="0.86629650675108916"/>
        </c:manualLayout>
      </c:layout>
      <c:scatterChart>
        <c:scatterStyle val="smoothMarker"/>
        <c:varyColors val="0"/>
        <c:ser>
          <c:idx val="0"/>
          <c:order val="0"/>
          <c:tx>
            <c:strRef>
              <c:f>'C8-Suits'!$E$7</c:f>
              <c:strCache>
                <c:ptCount val="1"/>
                <c:pt idx="0">
                  <c:v>Change in Cumulative Share of Federal Taxes by share of income</c:v>
                </c:pt>
              </c:strCache>
            </c:strRef>
          </c:tx>
          <c:spPr>
            <a:ln>
              <a:solidFill>
                <a:schemeClr val="tx1"/>
              </a:solidFill>
            </a:ln>
          </c:spPr>
          <c:marker>
            <c:symbol val="none"/>
          </c:marker>
          <c:xVal>
            <c:numRef>
              <c:f>'C8-Suits'!$V$46:$AD$46</c:f>
              <c:numCache>
                <c:formatCode>0.00</c:formatCode>
                <c:ptCount val="9"/>
                <c:pt idx="0" formatCode="0.000">
                  <c:v>0</c:v>
                </c:pt>
                <c:pt idx="1">
                  <c:v>3.7586547972304651E-2</c:v>
                </c:pt>
                <c:pt idx="2">
                  <c:v>0.12561819980217609</c:v>
                </c:pt>
                <c:pt idx="3">
                  <c:v>0.26013847675568746</c:v>
                </c:pt>
                <c:pt idx="4">
                  <c:v>0.4629080118694362</c:v>
                </c:pt>
                <c:pt idx="5">
                  <c:v>0.61028684470820971</c:v>
                </c:pt>
                <c:pt idx="6">
                  <c:v>0.71216617210682498</c:v>
                </c:pt>
                <c:pt idx="7">
                  <c:v>0.8437190900098912</c:v>
                </c:pt>
                <c:pt idx="8">
                  <c:v>1</c:v>
                </c:pt>
              </c:numCache>
            </c:numRef>
          </c:xVal>
          <c:yVal>
            <c:numRef>
              <c:f>'C8-Suits'!$M$46:$U$46</c:f>
              <c:numCache>
                <c:formatCode>0.00</c:formatCode>
                <c:ptCount val="9"/>
                <c:pt idx="0" formatCode="0.000">
                  <c:v>0</c:v>
                </c:pt>
                <c:pt idx="1">
                  <c:v>3.1059830463924863E-3</c:v>
                </c:pt>
                <c:pt idx="2">
                  <c:v>4.2701944043931947E-2</c:v>
                </c:pt>
                <c:pt idx="3">
                  <c:v>0.13280252259719993</c:v>
                </c:pt>
                <c:pt idx="4">
                  <c:v>0.30750374769607558</c:v>
                </c:pt>
                <c:pt idx="5">
                  <c:v>0.45891147372851004</c:v>
                </c:pt>
                <c:pt idx="6">
                  <c:v>0.57510329630924173</c:v>
                </c:pt>
                <c:pt idx="7">
                  <c:v>0.74410809837188086</c:v>
                </c:pt>
                <c:pt idx="8">
                  <c:v>1</c:v>
                </c:pt>
              </c:numCache>
            </c:numRef>
          </c:yVal>
          <c:smooth val="1"/>
          <c:extLst>
            <c:ext xmlns:c16="http://schemas.microsoft.com/office/drawing/2014/chart" uri="{C3380CC4-5D6E-409C-BE32-E72D297353CC}">
              <c16:uniqueId val="{00000000-7C88-4383-8367-009E09D89309}"/>
            </c:ext>
          </c:extLst>
        </c:ser>
        <c:ser>
          <c:idx val="2"/>
          <c:order val="1"/>
          <c:tx>
            <c:v>45 deg</c:v>
          </c:tx>
          <c:spPr>
            <a:ln w="15875">
              <a:solidFill>
                <a:schemeClr val="bg1">
                  <a:lumMod val="50000"/>
                </a:schemeClr>
              </a:solidFill>
              <a:prstDash val="sysDash"/>
            </a:ln>
          </c:spPr>
          <c:marker>
            <c:symbol val="none"/>
          </c:marker>
          <c:xVal>
            <c:numRef>
              <c:f>'C8-Suits'!$D$5:$L$5</c:f>
              <c:numCache>
                <c:formatCode>0.00</c:formatCode>
                <c:ptCount val="9"/>
                <c:pt idx="0" formatCode="General">
                  <c:v>0</c:v>
                </c:pt>
                <c:pt idx="1">
                  <c:v>0.2</c:v>
                </c:pt>
                <c:pt idx="2">
                  <c:v>0.4</c:v>
                </c:pt>
                <c:pt idx="3">
                  <c:v>0.60000000000000009</c:v>
                </c:pt>
                <c:pt idx="4">
                  <c:v>0.8</c:v>
                </c:pt>
                <c:pt idx="5">
                  <c:v>0.9</c:v>
                </c:pt>
                <c:pt idx="6">
                  <c:v>0.95000000000000007</c:v>
                </c:pt>
                <c:pt idx="7">
                  <c:v>0.9900000000000001</c:v>
                </c:pt>
                <c:pt idx="8">
                  <c:v>1</c:v>
                </c:pt>
              </c:numCache>
            </c:numRef>
          </c:xVal>
          <c:yVal>
            <c:numRef>
              <c:f>'C8-Suits'!$D$5:$L$5</c:f>
              <c:numCache>
                <c:formatCode>0.00</c:formatCode>
                <c:ptCount val="9"/>
                <c:pt idx="0" formatCode="General">
                  <c:v>0</c:v>
                </c:pt>
                <c:pt idx="1">
                  <c:v>0.2</c:v>
                </c:pt>
                <c:pt idx="2">
                  <c:v>0.4</c:v>
                </c:pt>
                <c:pt idx="3">
                  <c:v>0.60000000000000009</c:v>
                </c:pt>
                <c:pt idx="4">
                  <c:v>0.8</c:v>
                </c:pt>
                <c:pt idx="5">
                  <c:v>0.9</c:v>
                </c:pt>
                <c:pt idx="6">
                  <c:v>0.95000000000000007</c:v>
                </c:pt>
                <c:pt idx="7">
                  <c:v>0.9900000000000001</c:v>
                </c:pt>
                <c:pt idx="8">
                  <c:v>1</c:v>
                </c:pt>
              </c:numCache>
            </c:numRef>
          </c:yVal>
          <c:smooth val="1"/>
          <c:extLst>
            <c:ext xmlns:c16="http://schemas.microsoft.com/office/drawing/2014/chart" uri="{C3380CC4-5D6E-409C-BE32-E72D297353CC}">
              <c16:uniqueId val="{00000002-7C88-4383-8367-009E09D89309}"/>
            </c:ext>
          </c:extLst>
        </c:ser>
        <c:dLbls>
          <c:showLegendKey val="0"/>
          <c:showVal val="0"/>
          <c:showCatName val="0"/>
          <c:showSerName val="0"/>
          <c:showPercent val="0"/>
          <c:showBubbleSize val="0"/>
        </c:dLbls>
        <c:axId val="1117966680"/>
        <c:axId val="1117967072"/>
      </c:scatterChart>
      <c:valAx>
        <c:axId val="1117966680"/>
        <c:scaling>
          <c:orientation val="minMax"/>
          <c:max val="1"/>
        </c:scaling>
        <c:delete val="0"/>
        <c:axPos val="b"/>
        <c:title>
          <c:tx>
            <c:rich>
              <a:bodyPr/>
              <a:lstStyle/>
              <a:p>
                <a:pPr>
                  <a:defRPr/>
                </a:pPr>
                <a:r>
                  <a:rPr lang="en-US" sz="1200" b="0" i="0" baseline="0">
                    <a:effectLst/>
                  </a:rPr>
                  <a:t>Cumulative share of income</a:t>
                </a:r>
                <a:endParaRPr lang="en-US" sz="600">
                  <a:effectLst/>
                </a:endParaRPr>
              </a:p>
            </c:rich>
          </c:tx>
          <c:overlay val="0"/>
        </c:title>
        <c:numFmt formatCode="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117967072"/>
        <c:crossesAt val="0"/>
        <c:crossBetween val="midCat"/>
        <c:majorUnit val="0.25"/>
      </c:valAx>
      <c:valAx>
        <c:axId val="1117967072"/>
        <c:scaling>
          <c:orientation val="minMax"/>
          <c:max val="1"/>
          <c:min val="0"/>
        </c:scaling>
        <c:delete val="0"/>
        <c:axPos val="l"/>
        <c:majorGridlines>
          <c:spPr>
            <a:ln w="6350">
              <a:solidFill>
                <a:schemeClr val="bg1">
                  <a:lumMod val="75000"/>
                </a:schemeClr>
              </a:solidFill>
              <a:prstDash val="sysDot"/>
            </a:ln>
          </c:spPr>
        </c:majorGridlines>
        <c:title>
          <c:tx>
            <c:rich>
              <a:bodyPr/>
              <a:lstStyle/>
              <a:p>
                <a:pPr>
                  <a:defRPr sz="1200" b="0" i="0" u="none" strike="noStrike" baseline="0">
                    <a:solidFill>
                      <a:srgbClr val="000000"/>
                    </a:solidFill>
                    <a:latin typeface="Arial"/>
                    <a:ea typeface="Arial"/>
                    <a:cs typeface="Arial"/>
                  </a:defRPr>
                </a:pPr>
                <a:r>
                  <a:rPr lang="en-US" sz="1200" b="0" baseline="0"/>
                  <a:t>Cumulative share of federal taxes</a:t>
                </a:r>
                <a:endParaRPr lang="en-US" sz="1400" b="0"/>
              </a:p>
            </c:rich>
          </c:tx>
          <c:layout>
            <c:manualLayout>
              <c:xMode val="edge"/>
              <c:yMode val="edge"/>
              <c:x val="0"/>
              <c:y val="0.21661390264361288"/>
            </c:manualLayout>
          </c:layout>
          <c:overlay val="0"/>
          <c:spPr>
            <a:noFill/>
            <a:ln w="25400">
              <a:noFill/>
            </a:ln>
          </c:spPr>
        </c:title>
        <c:numFmt formatCode="0%" sourceLinked="0"/>
        <c:majorTickMark val="out"/>
        <c:minorTickMark val="none"/>
        <c:tickLblPos val="nextTo"/>
        <c:spPr>
          <a:ln w="3175">
            <a:no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117966680"/>
        <c:crosses val="autoZero"/>
        <c:crossBetween val="midCat"/>
        <c:majorUnit val="0.25"/>
        <c:minorUnit val="0.05"/>
      </c:valAx>
      <c:spPr>
        <a:solidFill>
          <a:srgbClr val="FFFFFF"/>
        </a:solidFill>
        <a:ln w="3175">
          <a:noFill/>
          <a:prstDash val="solid"/>
        </a:ln>
      </c:spPr>
    </c:plotArea>
    <c:plotVisOnly val="1"/>
    <c:dispBlanksAs val="span"/>
    <c:showDLblsOverMax val="0"/>
  </c:chart>
  <c:spPr>
    <a:solidFill>
      <a:schemeClr val="bg1"/>
    </a:solidFill>
    <a:ln w="9525">
      <a:noFill/>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0866" r="0.75000000000000866" t="1" header="0.5" footer="0.5"/>
    <c:pageSetup orientation="landscape" verticalDpi="96"/>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7784360847443"/>
          <c:y val="3.3777574141508858E-2"/>
          <c:w val="0.84894761974128319"/>
          <c:h val="0.86629650675108916"/>
        </c:manualLayout>
      </c:layout>
      <c:scatterChart>
        <c:scatterStyle val="smoothMarker"/>
        <c:varyColors val="0"/>
        <c:ser>
          <c:idx val="0"/>
          <c:order val="0"/>
          <c:tx>
            <c:strRef>
              <c:f>'C9-KakMid'!$P$7</c:f>
              <c:strCache>
                <c:ptCount val="1"/>
                <c:pt idx="0">
                  <c:v>Cumulative Share of Federal Taxes</c:v>
                </c:pt>
              </c:strCache>
            </c:strRef>
          </c:tx>
          <c:spPr>
            <a:ln w="22225">
              <a:solidFill>
                <a:srgbClr val="2699B4"/>
              </a:solidFill>
            </a:ln>
          </c:spPr>
          <c:marker>
            <c:symbol val="none"/>
          </c:marker>
          <c:xVal>
            <c:numRef>
              <c:f>'C9-KakMid'!$O$5:$W$5</c:f>
              <c:numCache>
                <c:formatCode>0.00</c:formatCode>
                <c:ptCount val="9"/>
                <c:pt idx="0" formatCode="General">
                  <c:v>0</c:v>
                </c:pt>
                <c:pt idx="1">
                  <c:v>0.2</c:v>
                </c:pt>
                <c:pt idx="2">
                  <c:v>0.4</c:v>
                </c:pt>
                <c:pt idx="3">
                  <c:v>0.60000000000000009</c:v>
                </c:pt>
                <c:pt idx="4">
                  <c:v>0.8</c:v>
                </c:pt>
                <c:pt idx="5">
                  <c:v>0.9</c:v>
                </c:pt>
                <c:pt idx="6">
                  <c:v>0.95000000000000007</c:v>
                </c:pt>
                <c:pt idx="7">
                  <c:v>0.9900000000000001</c:v>
                </c:pt>
                <c:pt idx="8">
                  <c:v>1</c:v>
                </c:pt>
              </c:numCache>
            </c:numRef>
          </c:xVal>
          <c:yVal>
            <c:numRef>
              <c:f>'C9-KakMid'!$O$46:$W$46</c:f>
              <c:numCache>
                <c:formatCode>0.000</c:formatCode>
                <c:ptCount val="9"/>
                <c:pt idx="0" formatCode="General">
                  <c:v>0</c:v>
                </c:pt>
                <c:pt idx="1">
                  <c:v>3.1059830463924863E-3</c:v>
                </c:pt>
                <c:pt idx="2">
                  <c:v>4.2701944043931947E-2</c:v>
                </c:pt>
                <c:pt idx="3">
                  <c:v>0.13280252259719993</c:v>
                </c:pt>
                <c:pt idx="4">
                  <c:v>0.30750374769607558</c:v>
                </c:pt>
                <c:pt idx="5">
                  <c:v>0.45891147372851004</c:v>
                </c:pt>
                <c:pt idx="6">
                  <c:v>0.57510329630924173</c:v>
                </c:pt>
                <c:pt idx="7">
                  <c:v>0.74410809837188086</c:v>
                </c:pt>
                <c:pt idx="8" formatCode="0.00">
                  <c:v>1</c:v>
                </c:pt>
              </c:numCache>
            </c:numRef>
          </c:yVal>
          <c:smooth val="1"/>
          <c:extLst>
            <c:ext xmlns:c16="http://schemas.microsoft.com/office/drawing/2014/chart" uri="{C3380CC4-5D6E-409C-BE32-E72D297353CC}">
              <c16:uniqueId val="{00000000-94E2-4826-8A3B-63CFCB0DB26C}"/>
            </c:ext>
          </c:extLst>
        </c:ser>
        <c:ser>
          <c:idx val="1"/>
          <c:order val="1"/>
          <c:tx>
            <c:strRef>
              <c:f>'C9-KakMid'!$AH$7</c:f>
              <c:strCache>
                <c:ptCount val="1"/>
                <c:pt idx="0">
                  <c:v>Cumul. Share of Income (CBO, market plus soc. insur. benefits)</c:v>
                </c:pt>
              </c:strCache>
            </c:strRef>
          </c:tx>
          <c:spPr>
            <a:ln>
              <a:solidFill>
                <a:srgbClr val="A03A49"/>
              </a:solidFill>
            </a:ln>
          </c:spPr>
          <c:marker>
            <c:symbol val="none"/>
          </c:marker>
          <c:xVal>
            <c:numRef>
              <c:f>'C9-KakMid'!$O$5:$W$5</c:f>
              <c:numCache>
                <c:formatCode>0.00</c:formatCode>
                <c:ptCount val="9"/>
                <c:pt idx="0" formatCode="General">
                  <c:v>0</c:v>
                </c:pt>
                <c:pt idx="1">
                  <c:v>0.2</c:v>
                </c:pt>
                <c:pt idx="2">
                  <c:v>0.4</c:v>
                </c:pt>
                <c:pt idx="3">
                  <c:v>0.60000000000000009</c:v>
                </c:pt>
                <c:pt idx="4">
                  <c:v>0.8</c:v>
                </c:pt>
                <c:pt idx="5">
                  <c:v>0.9</c:v>
                </c:pt>
                <c:pt idx="6">
                  <c:v>0.95000000000000007</c:v>
                </c:pt>
                <c:pt idx="7">
                  <c:v>0.9900000000000001</c:v>
                </c:pt>
                <c:pt idx="8">
                  <c:v>1</c:v>
                </c:pt>
              </c:numCache>
            </c:numRef>
          </c:xVal>
          <c:yVal>
            <c:numRef>
              <c:f>'C9-KakMid'!$AG$46:$AO$46</c:f>
              <c:numCache>
                <c:formatCode>0.00</c:formatCode>
                <c:ptCount val="9"/>
                <c:pt idx="0" formatCode="General">
                  <c:v>0</c:v>
                </c:pt>
                <c:pt idx="1">
                  <c:v>3.7586547972304651E-2</c:v>
                </c:pt>
                <c:pt idx="2">
                  <c:v>0.12561819980217609</c:v>
                </c:pt>
                <c:pt idx="3">
                  <c:v>0.26013847675568746</c:v>
                </c:pt>
                <c:pt idx="4">
                  <c:v>0.4629080118694362</c:v>
                </c:pt>
                <c:pt idx="5">
                  <c:v>0.61028684470820971</c:v>
                </c:pt>
                <c:pt idx="6">
                  <c:v>0.71216617210682498</c:v>
                </c:pt>
                <c:pt idx="7">
                  <c:v>0.8437190900098912</c:v>
                </c:pt>
                <c:pt idx="8">
                  <c:v>1</c:v>
                </c:pt>
              </c:numCache>
            </c:numRef>
          </c:yVal>
          <c:smooth val="1"/>
          <c:extLst>
            <c:ext xmlns:c16="http://schemas.microsoft.com/office/drawing/2014/chart" uri="{C3380CC4-5D6E-409C-BE32-E72D297353CC}">
              <c16:uniqueId val="{00000001-94E2-4826-8A3B-63CFCB0DB26C}"/>
            </c:ext>
          </c:extLst>
        </c:ser>
        <c:ser>
          <c:idx val="2"/>
          <c:order val="2"/>
          <c:tx>
            <c:strRef>
              <c:f>'C9-KakMid'!$M$4</c:f>
              <c:strCache>
                <c:ptCount val="1"/>
                <c:pt idx="0">
                  <c:v>45-degree line</c:v>
                </c:pt>
              </c:strCache>
            </c:strRef>
          </c:tx>
          <c:spPr>
            <a:ln w="15875">
              <a:solidFill>
                <a:schemeClr val="bg1">
                  <a:lumMod val="50000"/>
                </a:schemeClr>
              </a:solidFill>
              <a:prstDash val="sysDash"/>
            </a:ln>
          </c:spPr>
          <c:marker>
            <c:symbol val="none"/>
          </c:marker>
          <c:xVal>
            <c:numRef>
              <c:f>'C9-KakMid'!$O$5:$W$5</c:f>
              <c:numCache>
                <c:formatCode>0.00</c:formatCode>
                <c:ptCount val="9"/>
                <c:pt idx="0" formatCode="General">
                  <c:v>0</c:v>
                </c:pt>
                <c:pt idx="1">
                  <c:v>0.2</c:v>
                </c:pt>
                <c:pt idx="2">
                  <c:v>0.4</c:v>
                </c:pt>
                <c:pt idx="3">
                  <c:v>0.60000000000000009</c:v>
                </c:pt>
                <c:pt idx="4">
                  <c:v>0.8</c:v>
                </c:pt>
                <c:pt idx="5">
                  <c:v>0.9</c:v>
                </c:pt>
                <c:pt idx="6">
                  <c:v>0.95000000000000007</c:v>
                </c:pt>
                <c:pt idx="7">
                  <c:v>0.9900000000000001</c:v>
                </c:pt>
                <c:pt idx="8">
                  <c:v>1</c:v>
                </c:pt>
              </c:numCache>
            </c:numRef>
          </c:xVal>
          <c:yVal>
            <c:numRef>
              <c:f>'C9-KakMid'!$O$5:$W$5</c:f>
              <c:numCache>
                <c:formatCode>0.00</c:formatCode>
                <c:ptCount val="9"/>
                <c:pt idx="0" formatCode="General">
                  <c:v>0</c:v>
                </c:pt>
                <c:pt idx="1">
                  <c:v>0.2</c:v>
                </c:pt>
                <c:pt idx="2">
                  <c:v>0.4</c:v>
                </c:pt>
                <c:pt idx="3">
                  <c:v>0.60000000000000009</c:v>
                </c:pt>
                <c:pt idx="4">
                  <c:v>0.8</c:v>
                </c:pt>
                <c:pt idx="5">
                  <c:v>0.9</c:v>
                </c:pt>
                <c:pt idx="6">
                  <c:v>0.95000000000000007</c:v>
                </c:pt>
                <c:pt idx="7">
                  <c:v>0.9900000000000001</c:v>
                </c:pt>
                <c:pt idx="8">
                  <c:v>1</c:v>
                </c:pt>
              </c:numCache>
            </c:numRef>
          </c:yVal>
          <c:smooth val="1"/>
          <c:extLst>
            <c:ext xmlns:c16="http://schemas.microsoft.com/office/drawing/2014/chart" uri="{C3380CC4-5D6E-409C-BE32-E72D297353CC}">
              <c16:uniqueId val="{00000002-94E2-4826-8A3B-63CFCB0DB26C}"/>
            </c:ext>
          </c:extLst>
        </c:ser>
        <c:dLbls>
          <c:showLegendKey val="0"/>
          <c:showVal val="0"/>
          <c:showCatName val="0"/>
          <c:showSerName val="0"/>
          <c:showPercent val="0"/>
          <c:showBubbleSize val="0"/>
        </c:dLbls>
        <c:axId val="1117966680"/>
        <c:axId val="1117967072"/>
      </c:scatterChart>
      <c:valAx>
        <c:axId val="1117966680"/>
        <c:scaling>
          <c:orientation val="minMax"/>
          <c:max val="1"/>
        </c:scaling>
        <c:delete val="0"/>
        <c:axPos val="b"/>
        <c:title>
          <c:tx>
            <c:rich>
              <a:bodyPr/>
              <a:lstStyle/>
              <a:p>
                <a:pPr>
                  <a:defRPr/>
                </a:pPr>
                <a:r>
                  <a:rPr lang="en-US" sz="1200" b="0" i="0" baseline="0">
                    <a:effectLst/>
                  </a:rPr>
                  <a:t>Cumulative share of individuals</a:t>
                </a:r>
                <a:endParaRPr lang="en-US" sz="600">
                  <a:effectLst/>
                </a:endParaRPr>
              </a:p>
            </c:rich>
          </c:tx>
          <c:overlay val="0"/>
        </c:title>
        <c:numFmt formatCode="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117967072"/>
        <c:crossesAt val="0"/>
        <c:crossBetween val="midCat"/>
        <c:majorUnit val="0.25"/>
      </c:valAx>
      <c:valAx>
        <c:axId val="1117967072"/>
        <c:scaling>
          <c:orientation val="minMax"/>
          <c:max val="1"/>
          <c:min val="0"/>
        </c:scaling>
        <c:delete val="0"/>
        <c:axPos val="l"/>
        <c:majorGridlines>
          <c:spPr>
            <a:ln w="6350">
              <a:solidFill>
                <a:schemeClr val="bg1">
                  <a:lumMod val="75000"/>
                </a:schemeClr>
              </a:solidFill>
              <a:prstDash val="sysDot"/>
            </a:ln>
          </c:spPr>
        </c:majorGridlines>
        <c:title>
          <c:tx>
            <c:rich>
              <a:bodyPr/>
              <a:lstStyle/>
              <a:p>
                <a:pPr>
                  <a:defRPr sz="1200" b="0" i="0" u="none" strike="noStrike" baseline="0">
                    <a:solidFill>
                      <a:srgbClr val="000000"/>
                    </a:solidFill>
                    <a:latin typeface="Arial"/>
                    <a:ea typeface="Arial"/>
                    <a:cs typeface="Arial"/>
                  </a:defRPr>
                </a:pPr>
                <a:r>
                  <a:rPr lang="en-US" sz="1200" b="0" baseline="0"/>
                  <a:t>Cumulative share of incoe &amp; federal taxes</a:t>
                </a:r>
                <a:endParaRPr lang="en-US" sz="1400" b="0"/>
              </a:p>
            </c:rich>
          </c:tx>
          <c:layout>
            <c:manualLayout>
              <c:xMode val="edge"/>
              <c:yMode val="edge"/>
              <c:x val="0"/>
              <c:y val="0.15613280298725546"/>
            </c:manualLayout>
          </c:layout>
          <c:overlay val="0"/>
          <c:spPr>
            <a:noFill/>
            <a:ln w="25400">
              <a:noFill/>
            </a:ln>
          </c:spPr>
        </c:title>
        <c:numFmt formatCode="0%" sourceLinked="0"/>
        <c:majorTickMark val="out"/>
        <c:minorTickMark val="none"/>
        <c:tickLblPos val="nextTo"/>
        <c:spPr>
          <a:ln w="3175">
            <a:no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117966680"/>
        <c:crosses val="autoZero"/>
        <c:crossBetween val="midCat"/>
        <c:majorUnit val="0.25"/>
        <c:minorUnit val="0.05"/>
      </c:valAx>
      <c:spPr>
        <a:solidFill>
          <a:srgbClr val="FFFFFF"/>
        </a:solidFill>
        <a:ln w="3175">
          <a:noFill/>
          <a:prstDash val="solid"/>
        </a:ln>
      </c:spPr>
    </c:plotArea>
    <c:plotVisOnly val="1"/>
    <c:dispBlanksAs val="span"/>
    <c:showDLblsOverMax val="0"/>
  </c:chart>
  <c:spPr>
    <a:solidFill>
      <a:schemeClr val="bg1"/>
    </a:solidFill>
    <a:ln w="9525">
      <a:noFill/>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0866" r="0.75000000000000866" t="1" header="0.5" footer="0.5"/>
    <c:pageSetup orientation="landscape" verticalDpi="96"/>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7784360847443"/>
          <c:y val="3.3777574141508858E-2"/>
          <c:w val="0.84894761974128319"/>
          <c:h val="0.86629650675108916"/>
        </c:manualLayout>
      </c:layout>
      <c:scatterChart>
        <c:scatterStyle val="smoothMarker"/>
        <c:varyColors val="0"/>
        <c:ser>
          <c:idx val="0"/>
          <c:order val="0"/>
          <c:tx>
            <c:strRef>
              <c:f>'C9-KakMid'!$P$7</c:f>
              <c:strCache>
                <c:ptCount val="1"/>
                <c:pt idx="0">
                  <c:v>Cumulative Share of Federal Taxes</c:v>
                </c:pt>
              </c:strCache>
            </c:strRef>
          </c:tx>
          <c:spPr>
            <a:ln>
              <a:solidFill>
                <a:schemeClr val="tx1"/>
              </a:solidFill>
            </a:ln>
          </c:spPr>
          <c:marker>
            <c:symbol val="none"/>
          </c:marker>
          <c:xVal>
            <c:numRef>
              <c:f>'C9-KakMid'!$O$5:$W$5</c:f>
              <c:numCache>
                <c:formatCode>0.00</c:formatCode>
                <c:ptCount val="9"/>
                <c:pt idx="0" formatCode="General">
                  <c:v>0</c:v>
                </c:pt>
                <c:pt idx="1">
                  <c:v>0.2</c:v>
                </c:pt>
                <c:pt idx="2">
                  <c:v>0.4</c:v>
                </c:pt>
                <c:pt idx="3">
                  <c:v>0.60000000000000009</c:v>
                </c:pt>
                <c:pt idx="4">
                  <c:v>0.8</c:v>
                </c:pt>
                <c:pt idx="5">
                  <c:v>0.9</c:v>
                </c:pt>
                <c:pt idx="6">
                  <c:v>0.95000000000000007</c:v>
                </c:pt>
                <c:pt idx="7">
                  <c:v>0.9900000000000001</c:v>
                </c:pt>
                <c:pt idx="8">
                  <c:v>1</c:v>
                </c:pt>
              </c:numCache>
            </c:numRef>
          </c:xVal>
          <c:yVal>
            <c:numRef>
              <c:f>'C9-KakMid'!$O$46:$W$46</c:f>
              <c:numCache>
                <c:formatCode>0.000</c:formatCode>
                <c:ptCount val="9"/>
                <c:pt idx="0" formatCode="General">
                  <c:v>0</c:v>
                </c:pt>
                <c:pt idx="1">
                  <c:v>3.1059830463924863E-3</c:v>
                </c:pt>
                <c:pt idx="2">
                  <c:v>4.2701944043931947E-2</c:v>
                </c:pt>
                <c:pt idx="3">
                  <c:v>0.13280252259719993</c:v>
                </c:pt>
                <c:pt idx="4">
                  <c:v>0.30750374769607558</c:v>
                </c:pt>
                <c:pt idx="5">
                  <c:v>0.45891147372851004</c:v>
                </c:pt>
                <c:pt idx="6">
                  <c:v>0.57510329630924173</c:v>
                </c:pt>
                <c:pt idx="7">
                  <c:v>0.74410809837188086</c:v>
                </c:pt>
                <c:pt idx="8" formatCode="0.00">
                  <c:v>1</c:v>
                </c:pt>
              </c:numCache>
            </c:numRef>
          </c:yVal>
          <c:smooth val="1"/>
          <c:extLst>
            <c:ext xmlns:c16="http://schemas.microsoft.com/office/drawing/2014/chart" uri="{C3380CC4-5D6E-409C-BE32-E72D297353CC}">
              <c16:uniqueId val="{00000000-9B27-4E51-AC02-06B119BF2B28}"/>
            </c:ext>
          </c:extLst>
        </c:ser>
        <c:ser>
          <c:idx val="1"/>
          <c:order val="1"/>
          <c:tx>
            <c:strRef>
              <c:f>'C9-KakMid'!$AH$7</c:f>
              <c:strCache>
                <c:ptCount val="1"/>
                <c:pt idx="0">
                  <c:v>Cumul. Share of Income (CBO, market plus soc. insur. benefits)</c:v>
                </c:pt>
              </c:strCache>
            </c:strRef>
          </c:tx>
          <c:spPr>
            <a:ln w="15875">
              <a:solidFill>
                <a:schemeClr val="tx1">
                  <a:lumMod val="50000"/>
                  <a:lumOff val="50000"/>
                </a:schemeClr>
              </a:solidFill>
            </a:ln>
          </c:spPr>
          <c:marker>
            <c:symbol val="none"/>
          </c:marker>
          <c:xVal>
            <c:numRef>
              <c:f>'C9-KakMid'!$O$5:$W$5</c:f>
              <c:numCache>
                <c:formatCode>0.00</c:formatCode>
                <c:ptCount val="9"/>
                <c:pt idx="0" formatCode="General">
                  <c:v>0</c:v>
                </c:pt>
                <c:pt idx="1">
                  <c:v>0.2</c:v>
                </c:pt>
                <c:pt idx="2">
                  <c:v>0.4</c:v>
                </c:pt>
                <c:pt idx="3">
                  <c:v>0.60000000000000009</c:v>
                </c:pt>
                <c:pt idx="4">
                  <c:v>0.8</c:v>
                </c:pt>
                <c:pt idx="5">
                  <c:v>0.9</c:v>
                </c:pt>
                <c:pt idx="6">
                  <c:v>0.95000000000000007</c:v>
                </c:pt>
                <c:pt idx="7">
                  <c:v>0.9900000000000001</c:v>
                </c:pt>
                <c:pt idx="8">
                  <c:v>1</c:v>
                </c:pt>
              </c:numCache>
            </c:numRef>
          </c:xVal>
          <c:yVal>
            <c:numRef>
              <c:f>'C9-KakMid'!$AG$46:$AO$46</c:f>
              <c:numCache>
                <c:formatCode>0.00</c:formatCode>
                <c:ptCount val="9"/>
                <c:pt idx="0" formatCode="General">
                  <c:v>0</c:v>
                </c:pt>
                <c:pt idx="1">
                  <c:v>3.7586547972304651E-2</c:v>
                </c:pt>
                <c:pt idx="2">
                  <c:v>0.12561819980217609</c:v>
                </c:pt>
                <c:pt idx="3">
                  <c:v>0.26013847675568746</c:v>
                </c:pt>
                <c:pt idx="4">
                  <c:v>0.4629080118694362</c:v>
                </c:pt>
                <c:pt idx="5">
                  <c:v>0.61028684470820971</c:v>
                </c:pt>
                <c:pt idx="6">
                  <c:v>0.71216617210682498</c:v>
                </c:pt>
                <c:pt idx="7">
                  <c:v>0.8437190900098912</c:v>
                </c:pt>
                <c:pt idx="8">
                  <c:v>1</c:v>
                </c:pt>
              </c:numCache>
            </c:numRef>
          </c:yVal>
          <c:smooth val="1"/>
          <c:extLst>
            <c:ext xmlns:c16="http://schemas.microsoft.com/office/drawing/2014/chart" uri="{C3380CC4-5D6E-409C-BE32-E72D297353CC}">
              <c16:uniqueId val="{00000001-9B27-4E51-AC02-06B119BF2B28}"/>
            </c:ext>
          </c:extLst>
        </c:ser>
        <c:ser>
          <c:idx val="2"/>
          <c:order val="2"/>
          <c:tx>
            <c:strRef>
              <c:f>'C9-KakMid'!$M$4</c:f>
              <c:strCache>
                <c:ptCount val="1"/>
                <c:pt idx="0">
                  <c:v>45-degree line</c:v>
                </c:pt>
              </c:strCache>
            </c:strRef>
          </c:tx>
          <c:spPr>
            <a:ln w="15875">
              <a:solidFill>
                <a:schemeClr val="bg1">
                  <a:lumMod val="50000"/>
                </a:schemeClr>
              </a:solidFill>
              <a:prstDash val="sysDash"/>
            </a:ln>
          </c:spPr>
          <c:marker>
            <c:symbol val="none"/>
          </c:marker>
          <c:xVal>
            <c:numRef>
              <c:f>'C9-KakMid'!$O$5:$W$5</c:f>
              <c:numCache>
                <c:formatCode>0.00</c:formatCode>
                <c:ptCount val="9"/>
                <c:pt idx="0" formatCode="General">
                  <c:v>0</c:v>
                </c:pt>
                <c:pt idx="1">
                  <c:v>0.2</c:v>
                </c:pt>
                <c:pt idx="2">
                  <c:v>0.4</c:v>
                </c:pt>
                <c:pt idx="3">
                  <c:v>0.60000000000000009</c:v>
                </c:pt>
                <c:pt idx="4">
                  <c:v>0.8</c:v>
                </c:pt>
                <c:pt idx="5">
                  <c:v>0.9</c:v>
                </c:pt>
                <c:pt idx="6">
                  <c:v>0.95000000000000007</c:v>
                </c:pt>
                <c:pt idx="7">
                  <c:v>0.9900000000000001</c:v>
                </c:pt>
                <c:pt idx="8">
                  <c:v>1</c:v>
                </c:pt>
              </c:numCache>
            </c:numRef>
          </c:xVal>
          <c:yVal>
            <c:numRef>
              <c:f>'C9-KakMid'!$O$5:$W$5</c:f>
              <c:numCache>
                <c:formatCode>0.00</c:formatCode>
                <c:ptCount val="9"/>
                <c:pt idx="0" formatCode="General">
                  <c:v>0</c:v>
                </c:pt>
                <c:pt idx="1">
                  <c:v>0.2</c:v>
                </c:pt>
                <c:pt idx="2">
                  <c:v>0.4</c:v>
                </c:pt>
                <c:pt idx="3">
                  <c:v>0.60000000000000009</c:v>
                </c:pt>
                <c:pt idx="4">
                  <c:v>0.8</c:v>
                </c:pt>
                <c:pt idx="5">
                  <c:v>0.9</c:v>
                </c:pt>
                <c:pt idx="6">
                  <c:v>0.95000000000000007</c:v>
                </c:pt>
                <c:pt idx="7">
                  <c:v>0.9900000000000001</c:v>
                </c:pt>
                <c:pt idx="8">
                  <c:v>1</c:v>
                </c:pt>
              </c:numCache>
            </c:numRef>
          </c:yVal>
          <c:smooth val="1"/>
          <c:extLst>
            <c:ext xmlns:c16="http://schemas.microsoft.com/office/drawing/2014/chart" uri="{C3380CC4-5D6E-409C-BE32-E72D297353CC}">
              <c16:uniqueId val="{00000002-9B27-4E51-AC02-06B119BF2B28}"/>
            </c:ext>
          </c:extLst>
        </c:ser>
        <c:dLbls>
          <c:showLegendKey val="0"/>
          <c:showVal val="0"/>
          <c:showCatName val="0"/>
          <c:showSerName val="0"/>
          <c:showPercent val="0"/>
          <c:showBubbleSize val="0"/>
        </c:dLbls>
        <c:axId val="1117966680"/>
        <c:axId val="1117967072"/>
      </c:scatterChart>
      <c:valAx>
        <c:axId val="1117966680"/>
        <c:scaling>
          <c:orientation val="minMax"/>
          <c:max val="1"/>
        </c:scaling>
        <c:delete val="0"/>
        <c:axPos val="b"/>
        <c:title>
          <c:tx>
            <c:rich>
              <a:bodyPr/>
              <a:lstStyle/>
              <a:p>
                <a:pPr>
                  <a:defRPr/>
                </a:pPr>
                <a:r>
                  <a:rPr lang="en-US" sz="1200" b="0" i="0" baseline="0">
                    <a:effectLst/>
                  </a:rPr>
                  <a:t>Cumulative share of individuals</a:t>
                </a:r>
                <a:endParaRPr lang="en-US" sz="600">
                  <a:effectLst/>
                </a:endParaRPr>
              </a:p>
            </c:rich>
          </c:tx>
          <c:overlay val="0"/>
        </c:title>
        <c:numFmt formatCode="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117967072"/>
        <c:crossesAt val="0"/>
        <c:crossBetween val="midCat"/>
        <c:majorUnit val="0.25"/>
      </c:valAx>
      <c:valAx>
        <c:axId val="1117967072"/>
        <c:scaling>
          <c:orientation val="minMax"/>
          <c:max val="1"/>
          <c:min val="0"/>
        </c:scaling>
        <c:delete val="0"/>
        <c:axPos val="l"/>
        <c:majorGridlines>
          <c:spPr>
            <a:ln w="6350">
              <a:solidFill>
                <a:schemeClr val="bg1">
                  <a:lumMod val="75000"/>
                </a:schemeClr>
              </a:solidFill>
              <a:prstDash val="sysDot"/>
            </a:ln>
          </c:spPr>
        </c:majorGridlines>
        <c:title>
          <c:tx>
            <c:rich>
              <a:bodyPr/>
              <a:lstStyle/>
              <a:p>
                <a:pPr>
                  <a:defRPr sz="1200" b="0" i="0" u="none" strike="noStrike" baseline="0">
                    <a:solidFill>
                      <a:srgbClr val="000000"/>
                    </a:solidFill>
                    <a:latin typeface="Arial"/>
                    <a:ea typeface="Arial"/>
                    <a:cs typeface="Arial"/>
                  </a:defRPr>
                </a:pPr>
                <a:r>
                  <a:rPr lang="en-US" sz="1200" b="0" baseline="0"/>
                  <a:t>Cumulative share of income &amp; federal taxes</a:t>
                </a:r>
                <a:endParaRPr lang="en-US" sz="1400" b="0"/>
              </a:p>
            </c:rich>
          </c:tx>
          <c:layout>
            <c:manualLayout>
              <c:xMode val="edge"/>
              <c:yMode val="edge"/>
              <c:x val="0"/>
              <c:y val="0.16438022566766783"/>
            </c:manualLayout>
          </c:layout>
          <c:overlay val="0"/>
          <c:spPr>
            <a:noFill/>
            <a:ln w="25400">
              <a:noFill/>
            </a:ln>
          </c:spPr>
        </c:title>
        <c:numFmt formatCode="0%" sourceLinked="0"/>
        <c:majorTickMark val="out"/>
        <c:minorTickMark val="none"/>
        <c:tickLblPos val="nextTo"/>
        <c:spPr>
          <a:ln w="3175">
            <a:no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117966680"/>
        <c:crosses val="autoZero"/>
        <c:crossBetween val="midCat"/>
        <c:majorUnit val="0.25"/>
        <c:minorUnit val="0.05"/>
      </c:valAx>
      <c:spPr>
        <a:solidFill>
          <a:srgbClr val="FFFFFF"/>
        </a:solidFill>
        <a:ln w="3175">
          <a:noFill/>
          <a:prstDash val="solid"/>
        </a:ln>
      </c:spPr>
    </c:plotArea>
    <c:plotVisOnly val="1"/>
    <c:dispBlanksAs val="span"/>
    <c:showDLblsOverMax val="0"/>
  </c:chart>
  <c:spPr>
    <a:solidFill>
      <a:schemeClr val="bg1"/>
    </a:solidFill>
    <a:ln w="9525">
      <a:noFill/>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0866" r="0.75000000000000866" t="1" header="0.5" footer="0.5"/>
    <c:pageSetup orientation="landscape" verticalDpi="96"/>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968292516307627E-2"/>
          <c:y val="3.377763140824127E-2"/>
          <c:w val="0.86624586917459712"/>
          <c:h val="0.90203526840513759"/>
        </c:manualLayout>
      </c:layout>
      <c:lineChart>
        <c:grouping val="standard"/>
        <c:varyColors val="0"/>
        <c:ser>
          <c:idx val="3"/>
          <c:order val="0"/>
          <c:tx>
            <c:v>middle quin</c:v>
          </c:tx>
          <c:spPr>
            <a:ln w="28575">
              <a:solidFill>
                <a:schemeClr val="bg1">
                  <a:lumMod val="65000"/>
                </a:schemeClr>
              </a:solidFill>
              <a:prstDash val="solid"/>
            </a:ln>
          </c:spPr>
          <c:marker>
            <c:symbol val="none"/>
          </c:marker>
          <c:cat>
            <c:numRef>
              <c:f>'2-Rates'!$A$35:$A$75</c:f>
              <c:numCache>
                <c:formatCode>General</c:formatCode>
                <c:ptCount val="41"/>
                <c:pt idx="0">
                  <c:v>1979</c:v>
                </c:pt>
                <c:pt idx="1">
                  <c:v>1980</c:v>
                </c:pt>
                <c:pt idx="2">
                  <c:v>1981</c:v>
                </c:pt>
                <c:pt idx="3">
                  <c:v>1982</c:v>
                </c:pt>
                <c:pt idx="4">
                  <c:v>1983</c:v>
                </c:pt>
                <c:pt idx="5">
                  <c:v>1984</c:v>
                </c:pt>
                <c:pt idx="6">
                  <c:v>1985</c:v>
                </c:pt>
                <c:pt idx="7">
                  <c:v>1986</c:v>
                </c:pt>
                <c:pt idx="8">
                  <c:v>1987</c:v>
                </c:pt>
                <c:pt idx="9">
                  <c:v>1988</c:v>
                </c:pt>
                <c:pt idx="10">
                  <c:v>1989</c:v>
                </c:pt>
                <c:pt idx="11">
                  <c:v>1990</c:v>
                </c:pt>
                <c:pt idx="12">
                  <c:v>1991</c:v>
                </c:pt>
                <c:pt idx="13">
                  <c:v>1992</c:v>
                </c:pt>
                <c:pt idx="14">
                  <c:v>1993</c:v>
                </c:pt>
                <c:pt idx="15">
                  <c:v>1994</c:v>
                </c:pt>
                <c:pt idx="16">
                  <c:v>1995</c:v>
                </c:pt>
                <c:pt idx="17">
                  <c:v>1996</c:v>
                </c:pt>
                <c:pt idx="18">
                  <c:v>1997</c:v>
                </c:pt>
                <c:pt idx="19">
                  <c:v>1998</c:v>
                </c:pt>
                <c:pt idx="20">
                  <c:v>1999</c:v>
                </c:pt>
                <c:pt idx="21">
                  <c:v>2000</c:v>
                </c:pt>
                <c:pt idx="22">
                  <c:v>2001</c:v>
                </c:pt>
                <c:pt idx="23">
                  <c:v>2002</c:v>
                </c:pt>
                <c:pt idx="24">
                  <c:v>2003</c:v>
                </c:pt>
                <c:pt idx="25">
                  <c:v>2004</c:v>
                </c:pt>
                <c:pt idx="26">
                  <c:v>2005</c:v>
                </c:pt>
                <c:pt idx="27">
                  <c:v>2006</c:v>
                </c:pt>
                <c:pt idx="28">
                  <c:v>2007</c:v>
                </c:pt>
                <c:pt idx="29">
                  <c:v>2008</c:v>
                </c:pt>
                <c:pt idx="30">
                  <c:v>2009</c:v>
                </c:pt>
                <c:pt idx="31">
                  <c:v>2010</c:v>
                </c:pt>
                <c:pt idx="32">
                  <c:v>2011</c:v>
                </c:pt>
                <c:pt idx="33">
                  <c:v>2012</c:v>
                </c:pt>
                <c:pt idx="34">
                  <c:v>2013</c:v>
                </c:pt>
                <c:pt idx="35">
                  <c:v>2014</c:v>
                </c:pt>
                <c:pt idx="36">
                  <c:v>2015</c:v>
                </c:pt>
                <c:pt idx="37">
                  <c:v>2016</c:v>
                </c:pt>
                <c:pt idx="38">
                  <c:v>2017</c:v>
                </c:pt>
                <c:pt idx="39">
                  <c:v>2018</c:v>
                </c:pt>
                <c:pt idx="40">
                  <c:v>2019</c:v>
                </c:pt>
              </c:numCache>
            </c:numRef>
          </c:cat>
          <c:val>
            <c:numRef>
              <c:f>'2-Rates'!$C$35:$C$72</c:f>
              <c:numCache>
                <c:formatCode>#0.0</c:formatCode>
                <c:ptCount val="38"/>
                <c:pt idx="0">
                  <c:v>19.100000000000001</c:v>
                </c:pt>
                <c:pt idx="1">
                  <c:v>19</c:v>
                </c:pt>
                <c:pt idx="2">
                  <c:v>19.399999999999999</c:v>
                </c:pt>
                <c:pt idx="3">
                  <c:v>18.100000000000001</c:v>
                </c:pt>
                <c:pt idx="4">
                  <c:v>17.5</c:v>
                </c:pt>
                <c:pt idx="5">
                  <c:v>18</c:v>
                </c:pt>
                <c:pt idx="6">
                  <c:v>18.2</c:v>
                </c:pt>
                <c:pt idx="7">
                  <c:v>18.2</c:v>
                </c:pt>
                <c:pt idx="8">
                  <c:v>17.8</c:v>
                </c:pt>
                <c:pt idx="9">
                  <c:v>18.2</c:v>
                </c:pt>
                <c:pt idx="10">
                  <c:v>18.100000000000001</c:v>
                </c:pt>
                <c:pt idx="11">
                  <c:v>18.2</c:v>
                </c:pt>
                <c:pt idx="12">
                  <c:v>17.8</c:v>
                </c:pt>
                <c:pt idx="13">
                  <c:v>17.7</c:v>
                </c:pt>
                <c:pt idx="14">
                  <c:v>17.600000000000001</c:v>
                </c:pt>
                <c:pt idx="15">
                  <c:v>17.8</c:v>
                </c:pt>
                <c:pt idx="16">
                  <c:v>17.8</c:v>
                </c:pt>
                <c:pt idx="17">
                  <c:v>17.8</c:v>
                </c:pt>
                <c:pt idx="18">
                  <c:v>18.100000000000001</c:v>
                </c:pt>
                <c:pt idx="19">
                  <c:v>17.399999999999999</c:v>
                </c:pt>
                <c:pt idx="20">
                  <c:v>17.5</c:v>
                </c:pt>
                <c:pt idx="21">
                  <c:v>17.3</c:v>
                </c:pt>
                <c:pt idx="22">
                  <c:v>15.7</c:v>
                </c:pt>
                <c:pt idx="23">
                  <c:v>15.1</c:v>
                </c:pt>
                <c:pt idx="24">
                  <c:v>14.3</c:v>
                </c:pt>
                <c:pt idx="25">
                  <c:v>14.6</c:v>
                </c:pt>
                <c:pt idx="26">
                  <c:v>14.8</c:v>
                </c:pt>
                <c:pt idx="27">
                  <c:v>14.9</c:v>
                </c:pt>
                <c:pt idx="28">
                  <c:v>14.8</c:v>
                </c:pt>
                <c:pt idx="29">
                  <c:v>12.2</c:v>
                </c:pt>
                <c:pt idx="30">
                  <c:v>11.8</c:v>
                </c:pt>
                <c:pt idx="31">
                  <c:v>12.1</c:v>
                </c:pt>
                <c:pt idx="32">
                  <c:v>12</c:v>
                </c:pt>
                <c:pt idx="33">
                  <c:v>12.2</c:v>
                </c:pt>
                <c:pt idx="34">
                  <c:v>13.7</c:v>
                </c:pt>
                <c:pt idx="35">
                  <c:v>14</c:v>
                </c:pt>
                <c:pt idx="36">
                  <c:v>14</c:v>
                </c:pt>
                <c:pt idx="37">
                  <c:v>13.9</c:v>
                </c:pt>
              </c:numCache>
            </c:numRef>
          </c:val>
          <c:smooth val="1"/>
          <c:extLst>
            <c:ext xmlns:c16="http://schemas.microsoft.com/office/drawing/2014/chart" uri="{C3380CC4-5D6E-409C-BE32-E72D297353CC}">
              <c16:uniqueId val="{00000000-0B22-440A-8F7A-EA5AD52AC755}"/>
            </c:ext>
          </c:extLst>
        </c:ser>
        <c:ser>
          <c:idx val="0"/>
          <c:order val="1"/>
          <c:tx>
            <c:v>bottom</c:v>
          </c:tx>
          <c:spPr>
            <a:ln w="28575">
              <a:solidFill>
                <a:schemeClr val="tx1"/>
              </a:solidFill>
            </a:ln>
          </c:spPr>
          <c:marker>
            <c:symbol val="none"/>
          </c:marker>
          <c:val>
            <c:numRef>
              <c:f>'2-Rates'!$B$35:$B$75</c:f>
              <c:numCache>
                <c:formatCode>#0.0</c:formatCode>
                <c:ptCount val="41"/>
                <c:pt idx="0">
                  <c:v>9.3000000000000007</c:v>
                </c:pt>
                <c:pt idx="1">
                  <c:v>8.9</c:v>
                </c:pt>
                <c:pt idx="2">
                  <c:v>9.6</c:v>
                </c:pt>
                <c:pt idx="3">
                  <c:v>9.8000000000000007</c:v>
                </c:pt>
                <c:pt idx="4">
                  <c:v>11.1</c:v>
                </c:pt>
                <c:pt idx="5">
                  <c:v>12.1</c:v>
                </c:pt>
                <c:pt idx="6">
                  <c:v>11.8</c:v>
                </c:pt>
                <c:pt idx="7">
                  <c:v>11.7</c:v>
                </c:pt>
                <c:pt idx="8">
                  <c:v>10.7</c:v>
                </c:pt>
                <c:pt idx="9">
                  <c:v>10.199999999999999</c:v>
                </c:pt>
                <c:pt idx="10">
                  <c:v>9.6</c:v>
                </c:pt>
                <c:pt idx="11">
                  <c:v>10.7</c:v>
                </c:pt>
                <c:pt idx="12">
                  <c:v>10.199999999999999</c:v>
                </c:pt>
                <c:pt idx="13">
                  <c:v>10</c:v>
                </c:pt>
                <c:pt idx="14">
                  <c:v>10</c:v>
                </c:pt>
                <c:pt idx="15">
                  <c:v>8.1999999999999993</c:v>
                </c:pt>
                <c:pt idx="16">
                  <c:v>7.6</c:v>
                </c:pt>
                <c:pt idx="17">
                  <c:v>6.8</c:v>
                </c:pt>
                <c:pt idx="18">
                  <c:v>7</c:v>
                </c:pt>
                <c:pt idx="19">
                  <c:v>6.9</c:v>
                </c:pt>
                <c:pt idx="20">
                  <c:v>7.2</c:v>
                </c:pt>
                <c:pt idx="21">
                  <c:v>6.6</c:v>
                </c:pt>
                <c:pt idx="22">
                  <c:v>6.1</c:v>
                </c:pt>
                <c:pt idx="23">
                  <c:v>5.6</c:v>
                </c:pt>
                <c:pt idx="24">
                  <c:v>5.7</c:v>
                </c:pt>
                <c:pt idx="25">
                  <c:v>5.3</c:v>
                </c:pt>
                <c:pt idx="26">
                  <c:v>5.5</c:v>
                </c:pt>
                <c:pt idx="27">
                  <c:v>5.9</c:v>
                </c:pt>
                <c:pt idx="28">
                  <c:v>5.3</c:v>
                </c:pt>
                <c:pt idx="29">
                  <c:v>0.9</c:v>
                </c:pt>
                <c:pt idx="30">
                  <c:v>-0.3</c:v>
                </c:pt>
                <c:pt idx="31">
                  <c:v>0</c:v>
                </c:pt>
                <c:pt idx="32">
                  <c:v>0.6</c:v>
                </c:pt>
                <c:pt idx="33">
                  <c:v>0.9</c:v>
                </c:pt>
                <c:pt idx="34">
                  <c:v>2.2999999999999998</c:v>
                </c:pt>
                <c:pt idx="35">
                  <c:v>1.9</c:v>
                </c:pt>
                <c:pt idx="36">
                  <c:v>1.5</c:v>
                </c:pt>
                <c:pt idx="37">
                  <c:v>1.7</c:v>
                </c:pt>
              </c:numCache>
            </c:numRef>
          </c:val>
          <c:smooth val="1"/>
          <c:extLst>
            <c:ext xmlns:c16="http://schemas.microsoft.com/office/drawing/2014/chart" uri="{C3380CC4-5D6E-409C-BE32-E72D297353CC}">
              <c16:uniqueId val="{00000001-0B22-440A-8F7A-EA5AD52AC755}"/>
            </c:ext>
          </c:extLst>
        </c:ser>
        <c:ser>
          <c:idx val="1"/>
          <c:order val="2"/>
          <c:tx>
            <c:v>top quin</c:v>
          </c:tx>
          <c:spPr>
            <a:ln w="28575">
              <a:solidFill>
                <a:schemeClr val="tx1">
                  <a:lumMod val="50000"/>
                  <a:lumOff val="50000"/>
                </a:schemeClr>
              </a:solidFill>
            </a:ln>
          </c:spPr>
          <c:marker>
            <c:symbol val="none"/>
          </c:marker>
          <c:val>
            <c:numRef>
              <c:f>'2-Rates'!$D$35:$D$72</c:f>
              <c:numCache>
                <c:formatCode>#0.0</c:formatCode>
                <c:ptCount val="38"/>
                <c:pt idx="0">
                  <c:v>27.1</c:v>
                </c:pt>
                <c:pt idx="1">
                  <c:v>26.9</c:v>
                </c:pt>
                <c:pt idx="2">
                  <c:v>26.6</c:v>
                </c:pt>
                <c:pt idx="3">
                  <c:v>24.2</c:v>
                </c:pt>
                <c:pt idx="4">
                  <c:v>23.6</c:v>
                </c:pt>
                <c:pt idx="5">
                  <c:v>23.7</c:v>
                </c:pt>
                <c:pt idx="6">
                  <c:v>23.7</c:v>
                </c:pt>
                <c:pt idx="7">
                  <c:v>23.5</c:v>
                </c:pt>
                <c:pt idx="8">
                  <c:v>25.6</c:v>
                </c:pt>
                <c:pt idx="9">
                  <c:v>25.4</c:v>
                </c:pt>
                <c:pt idx="10">
                  <c:v>25</c:v>
                </c:pt>
                <c:pt idx="11">
                  <c:v>24.9</c:v>
                </c:pt>
                <c:pt idx="12">
                  <c:v>25.2</c:v>
                </c:pt>
                <c:pt idx="13">
                  <c:v>25.4</c:v>
                </c:pt>
                <c:pt idx="14">
                  <c:v>26.5</c:v>
                </c:pt>
                <c:pt idx="15">
                  <c:v>27.1</c:v>
                </c:pt>
                <c:pt idx="16">
                  <c:v>27.5</c:v>
                </c:pt>
                <c:pt idx="17">
                  <c:v>27.7</c:v>
                </c:pt>
                <c:pt idx="18">
                  <c:v>27.7</c:v>
                </c:pt>
                <c:pt idx="19">
                  <c:v>27.4</c:v>
                </c:pt>
                <c:pt idx="20">
                  <c:v>27.8</c:v>
                </c:pt>
                <c:pt idx="21">
                  <c:v>27.8</c:v>
                </c:pt>
                <c:pt idx="22">
                  <c:v>26.6</c:v>
                </c:pt>
                <c:pt idx="23">
                  <c:v>25.9</c:v>
                </c:pt>
                <c:pt idx="24">
                  <c:v>24.8</c:v>
                </c:pt>
                <c:pt idx="25">
                  <c:v>25.1</c:v>
                </c:pt>
                <c:pt idx="26">
                  <c:v>25.5</c:v>
                </c:pt>
                <c:pt idx="27">
                  <c:v>25.5</c:v>
                </c:pt>
                <c:pt idx="28">
                  <c:v>24.8</c:v>
                </c:pt>
                <c:pt idx="29">
                  <c:v>23.7</c:v>
                </c:pt>
                <c:pt idx="30">
                  <c:v>23.2</c:v>
                </c:pt>
                <c:pt idx="31">
                  <c:v>24</c:v>
                </c:pt>
                <c:pt idx="32">
                  <c:v>23.5</c:v>
                </c:pt>
                <c:pt idx="33">
                  <c:v>24</c:v>
                </c:pt>
                <c:pt idx="34">
                  <c:v>26.3</c:v>
                </c:pt>
                <c:pt idx="35">
                  <c:v>26.7</c:v>
                </c:pt>
                <c:pt idx="36">
                  <c:v>26.7</c:v>
                </c:pt>
                <c:pt idx="37">
                  <c:v>26.5</c:v>
                </c:pt>
              </c:numCache>
            </c:numRef>
          </c:val>
          <c:smooth val="1"/>
          <c:extLst>
            <c:ext xmlns:c16="http://schemas.microsoft.com/office/drawing/2014/chart" uri="{C3380CC4-5D6E-409C-BE32-E72D297353CC}">
              <c16:uniqueId val="{00000002-0B22-440A-8F7A-EA5AD52AC755}"/>
            </c:ext>
          </c:extLst>
        </c:ser>
        <c:dLbls>
          <c:showLegendKey val="0"/>
          <c:showVal val="0"/>
          <c:showCatName val="0"/>
          <c:showSerName val="0"/>
          <c:showPercent val="0"/>
          <c:showBubbleSize val="0"/>
        </c:dLbls>
        <c:smooth val="0"/>
        <c:axId val="1117966680"/>
        <c:axId val="1117967072"/>
      </c:lineChart>
      <c:catAx>
        <c:axId val="1117966680"/>
        <c:scaling>
          <c:orientation val="minMax"/>
        </c:scaling>
        <c:delete val="0"/>
        <c:axPos val="b"/>
        <c:numFmt formatCode="General"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117967072"/>
        <c:crossesAt val="0"/>
        <c:auto val="1"/>
        <c:lblAlgn val="ctr"/>
        <c:lblOffset val="100"/>
        <c:tickLblSkip val="10"/>
        <c:tickMarkSkip val="10"/>
        <c:noMultiLvlLbl val="0"/>
      </c:catAx>
      <c:valAx>
        <c:axId val="1117967072"/>
        <c:scaling>
          <c:orientation val="minMax"/>
          <c:max val="30"/>
          <c:min val="0"/>
        </c:scaling>
        <c:delete val="0"/>
        <c:axPos val="l"/>
        <c:majorGridlines>
          <c:spPr>
            <a:ln w="6350">
              <a:solidFill>
                <a:schemeClr val="bg1">
                  <a:lumMod val="75000"/>
                </a:schemeClr>
              </a:solidFill>
              <a:prstDash val="sysDot"/>
            </a:ln>
          </c:spPr>
        </c:majorGridlines>
        <c:title>
          <c:tx>
            <c:rich>
              <a:bodyPr/>
              <a:lstStyle/>
              <a:p>
                <a:pPr>
                  <a:defRPr sz="1200" b="0" i="0" u="none" strike="noStrike" baseline="0">
                    <a:solidFill>
                      <a:srgbClr val="000000"/>
                    </a:solidFill>
                    <a:latin typeface="Arial"/>
                    <a:ea typeface="Arial"/>
                    <a:cs typeface="Arial"/>
                  </a:defRPr>
                </a:pPr>
                <a:r>
                  <a:rPr lang="en-US" sz="1400" b="0" baseline="0"/>
                  <a:t>Average federal tax rate</a:t>
                </a:r>
                <a:endParaRPr lang="en-US" sz="1400" b="0"/>
              </a:p>
            </c:rich>
          </c:tx>
          <c:layout>
            <c:manualLayout>
              <c:xMode val="edge"/>
              <c:yMode val="edge"/>
              <c:x val="0"/>
              <c:y val="0.2738991432181575"/>
            </c:manualLayout>
          </c:layout>
          <c:overlay val="0"/>
          <c:spPr>
            <a:noFill/>
            <a:ln w="25400">
              <a:noFill/>
            </a:ln>
          </c:spPr>
        </c:title>
        <c:numFmt formatCode="#,##0" sourceLinked="0"/>
        <c:majorTickMark val="out"/>
        <c:minorTickMark val="none"/>
        <c:tickLblPos val="nextTo"/>
        <c:spPr>
          <a:ln w="3175">
            <a:no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117966680"/>
        <c:crosses val="autoZero"/>
        <c:crossBetween val="midCat"/>
        <c:majorUnit val="10"/>
        <c:minorUnit val="0.05"/>
      </c:valAx>
      <c:spPr>
        <a:solidFill>
          <a:srgbClr val="FFFFFF"/>
        </a:solidFill>
        <a:ln w="3175">
          <a:noFill/>
          <a:prstDash val="solid"/>
        </a:ln>
      </c:spPr>
    </c:plotArea>
    <c:plotVisOnly val="1"/>
    <c:dispBlanksAs val="span"/>
    <c:showDLblsOverMax val="0"/>
  </c:chart>
  <c:spPr>
    <a:solidFill>
      <a:schemeClr val="bg1"/>
    </a:solidFill>
    <a:ln w="9525">
      <a:noFill/>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0866" r="0.75000000000000866" t="1" header="0.5" footer="0.5"/>
    <c:pageSetup orientation="landscape" verticalDpi="96"/>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7784360847443"/>
          <c:y val="3.3777574141508858E-2"/>
          <c:w val="0.84894761974128319"/>
          <c:h val="0.86629650675108916"/>
        </c:manualLayout>
      </c:layout>
      <c:scatterChart>
        <c:scatterStyle val="smoothMarker"/>
        <c:varyColors val="0"/>
        <c:ser>
          <c:idx val="0"/>
          <c:order val="0"/>
          <c:tx>
            <c:strRef>
              <c:f>'3-Kak'!$P$7</c:f>
              <c:strCache>
                <c:ptCount val="1"/>
                <c:pt idx="0">
                  <c:v>Cumulative Share of Federal Taxes</c:v>
                </c:pt>
              </c:strCache>
            </c:strRef>
          </c:tx>
          <c:spPr>
            <a:ln w="22225">
              <a:solidFill>
                <a:srgbClr val="2699B4"/>
              </a:solidFill>
            </a:ln>
          </c:spPr>
          <c:marker>
            <c:symbol val="none"/>
          </c:marker>
          <c:xVal>
            <c:numRef>
              <c:f>'3-Kak'!$O$5:$W$5</c:f>
              <c:numCache>
                <c:formatCode>0.00</c:formatCode>
                <c:ptCount val="9"/>
                <c:pt idx="0" formatCode="General">
                  <c:v>0</c:v>
                </c:pt>
                <c:pt idx="1">
                  <c:v>0.2</c:v>
                </c:pt>
                <c:pt idx="2">
                  <c:v>0.4</c:v>
                </c:pt>
                <c:pt idx="3">
                  <c:v>0.60000000000000009</c:v>
                </c:pt>
                <c:pt idx="4">
                  <c:v>0.8</c:v>
                </c:pt>
                <c:pt idx="5">
                  <c:v>0.9</c:v>
                </c:pt>
                <c:pt idx="6">
                  <c:v>0.95000000000000007</c:v>
                </c:pt>
                <c:pt idx="7">
                  <c:v>0.9900000000000001</c:v>
                </c:pt>
                <c:pt idx="8">
                  <c:v>1</c:v>
                </c:pt>
              </c:numCache>
            </c:numRef>
          </c:xVal>
          <c:yVal>
            <c:numRef>
              <c:f>'3-Kak'!$O$46:$W$46</c:f>
              <c:numCache>
                <c:formatCode>0.000</c:formatCode>
                <c:ptCount val="9"/>
                <c:pt idx="0" formatCode="General">
                  <c:v>0</c:v>
                </c:pt>
                <c:pt idx="1">
                  <c:v>3.1059830463924863E-3</c:v>
                </c:pt>
                <c:pt idx="2">
                  <c:v>4.2701944043931947E-2</c:v>
                </c:pt>
                <c:pt idx="3">
                  <c:v>0.13280252259719993</c:v>
                </c:pt>
                <c:pt idx="4">
                  <c:v>0.30750374769607558</c:v>
                </c:pt>
                <c:pt idx="5">
                  <c:v>0.45891147372851004</c:v>
                </c:pt>
                <c:pt idx="6">
                  <c:v>0.57510329630924173</c:v>
                </c:pt>
                <c:pt idx="7">
                  <c:v>0.74410809837188086</c:v>
                </c:pt>
                <c:pt idx="8" formatCode="0.00">
                  <c:v>1</c:v>
                </c:pt>
              </c:numCache>
            </c:numRef>
          </c:yVal>
          <c:smooth val="1"/>
          <c:extLst>
            <c:ext xmlns:c16="http://schemas.microsoft.com/office/drawing/2014/chart" uri="{C3380CC4-5D6E-409C-BE32-E72D297353CC}">
              <c16:uniqueId val="{00000000-3137-46FC-8BCA-526699C81502}"/>
            </c:ext>
          </c:extLst>
        </c:ser>
        <c:ser>
          <c:idx val="1"/>
          <c:order val="1"/>
          <c:tx>
            <c:strRef>
              <c:f>'3-Kak'!$AH$7</c:f>
              <c:strCache>
                <c:ptCount val="1"/>
                <c:pt idx="0">
                  <c:v>Cumul. Share of Income (CBO, market plus soc. insur. benefits)</c:v>
                </c:pt>
              </c:strCache>
            </c:strRef>
          </c:tx>
          <c:spPr>
            <a:ln>
              <a:solidFill>
                <a:srgbClr val="A03A49"/>
              </a:solidFill>
            </a:ln>
          </c:spPr>
          <c:marker>
            <c:symbol val="none"/>
          </c:marker>
          <c:xVal>
            <c:numRef>
              <c:f>'3-Kak'!$O$5:$W$5</c:f>
              <c:numCache>
                <c:formatCode>0.00</c:formatCode>
                <c:ptCount val="9"/>
                <c:pt idx="0" formatCode="General">
                  <c:v>0</c:v>
                </c:pt>
                <c:pt idx="1">
                  <c:v>0.2</c:v>
                </c:pt>
                <c:pt idx="2">
                  <c:v>0.4</c:v>
                </c:pt>
                <c:pt idx="3">
                  <c:v>0.60000000000000009</c:v>
                </c:pt>
                <c:pt idx="4">
                  <c:v>0.8</c:v>
                </c:pt>
                <c:pt idx="5">
                  <c:v>0.9</c:v>
                </c:pt>
                <c:pt idx="6">
                  <c:v>0.95000000000000007</c:v>
                </c:pt>
                <c:pt idx="7">
                  <c:v>0.9900000000000001</c:v>
                </c:pt>
                <c:pt idx="8">
                  <c:v>1</c:v>
                </c:pt>
              </c:numCache>
            </c:numRef>
          </c:xVal>
          <c:yVal>
            <c:numRef>
              <c:f>'3-Kak'!$AG$46:$AO$46</c:f>
              <c:numCache>
                <c:formatCode>0.00</c:formatCode>
                <c:ptCount val="9"/>
                <c:pt idx="0" formatCode="General">
                  <c:v>0</c:v>
                </c:pt>
                <c:pt idx="1">
                  <c:v>3.7586547972304651E-2</c:v>
                </c:pt>
                <c:pt idx="2">
                  <c:v>0.12561819980217609</c:v>
                </c:pt>
                <c:pt idx="3">
                  <c:v>0.26013847675568746</c:v>
                </c:pt>
                <c:pt idx="4">
                  <c:v>0.4629080118694362</c:v>
                </c:pt>
                <c:pt idx="5">
                  <c:v>0.61028684470820971</c:v>
                </c:pt>
                <c:pt idx="6">
                  <c:v>0.71216617210682498</c:v>
                </c:pt>
                <c:pt idx="7">
                  <c:v>0.8437190900098912</c:v>
                </c:pt>
                <c:pt idx="8">
                  <c:v>1</c:v>
                </c:pt>
              </c:numCache>
            </c:numRef>
          </c:yVal>
          <c:smooth val="1"/>
          <c:extLst>
            <c:ext xmlns:c16="http://schemas.microsoft.com/office/drawing/2014/chart" uri="{C3380CC4-5D6E-409C-BE32-E72D297353CC}">
              <c16:uniqueId val="{00000001-3137-46FC-8BCA-526699C81502}"/>
            </c:ext>
          </c:extLst>
        </c:ser>
        <c:ser>
          <c:idx val="2"/>
          <c:order val="2"/>
          <c:tx>
            <c:strRef>
              <c:f>'3-Kak'!$M$4</c:f>
              <c:strCache>
                <c:ptCount val="1"/>
                <c:pt idx="0">
                  <c:v>45-degree line</c:v>
                </c:pt>
              </c:strCache>
            </c:strRef>
          </c:tx>
          <c:spPr>
            <a:ln w="15875">
              <a:solidFill>
                <a:schemeClr val="bg1">
                  <a:lumMod val="50000"/>
                </a:schemeClr>
              </a:solidFill>
              <a:prstDash val="sysDash"/>
            </a:ln>
          </c:spPr>
          <c:marker>
            <c:symbol val="none"/>
          </c:marker>
          <c:xVal>
            <c:numRef>
              <c:f>'3-Kak'!$O$5:$W$5</c:f>
              <c:numCache>
                <c:formatCode>0.00</c:formatCode>
                <c:ptCount val="9"/>
                <c:pt idx="0" formatCode="General">
                  <c:v>0</c:v>
                </c:pt>
                <c:pt idx="1">
                  <c:v>0.2</c:v>
                </c:pt>
                <c:pt idx="2">
                  <c:v>0.4</c:v>
                </c:pt>
                <c:pt idx="3">
                  <c:v>0.60000000000000009</c:v>
                </c:pt>
                <c:pt idx="4">
                  <c:v>0.8</c:v>
                </c:pt>
                <c:pt idx="5">
                  <c:v>0.9</c:v>
                </c:pt>
                <c:pt idx="6">
                  <c:v>0.95000000000000007</c:v>
                </c:pt>
                <c:pt idx="7">
                  <c:v>0.9900000000000001</c:v>
                </c:pt>
                <c:pt idx="8">
                  <c:v>1</c:v>
                </c:pt>
              </c:numCache>
            </c:numRef>
          </c:xVal>
          <c:yVal>
            <c:numRef>
              <c:f>'3-Kak'!$O$5:$W$5</c:f>
              <c:numCache>
                <c:formatCode>0.00</c:formatCode>
                <c:ptCount val="9"/>
                <c:pt idx="0" formatCode="General">
                  <c:v>0</c:v>
                </c:pt>
                <c:pt idx="1">
                  <c:v>0.2</c:v>
                </c:pt>
                <c:pt idx="2">
                  <c:v>0.4</c:v>
                </c:pt>
                <c:pt idx="3">
                  <c:v>0.60000000000000009</c:v>
                </c:pt>
                <c:pt idx="4">
                  <c:v>0.8</c:v>
                </c:pt>
                <c:pt idx="5">
                  <c:v>0.9</c:v>
                </c:pt>
                <c:pt idx="6">
                  <c:v>0.95000000000000007</c:v>
                </c:pt>
                <c:pt idx="7">
                  <c:v>0.9900000000000001</c:v>
                </c:pt>
                <c:pt idx="8">
                  <c:v>1</c:v>
                </c:pt>
              </c:numCache>
            </c:numRef>
          </c:yVal>
          <c:smooth val="1"/>
          <c:extLst>
            <c:ext xmlns:c16="http://schemas.microsoft.com/office/drawing/2014/chart" uri="{C3380CC4-5D6E-409C-BE32-E72D297353CC}">
              <c16:uniqueId val="{00000002-3137-46FC-8BCA-526699C81502}"/>
            </c:ext>
          </c:extLst>
        </c:ser>
        <c:dLbls>
          <c:showLegendKey val="0"/>
          <c:showVal val="0"/>
          <c:showCatName val="0"/>
          <c:showSerName val="0"/>
          <c:showPercent val="0"/>
          <c:showBubbleSize val="0"/>
        </c:dLbls>
        <c:axId val="1117966680"/>
        <c:axId val="1117967072"/>
      </c:scatterChart>
      <c:valAx>
        <c:axId val="1117966680"/>
        <c:scaling>
          <c:orientation val="minMax"/>
          <c:max val="1"/>
        </c:scaling>
        <c:delete val="0"/>
        <c:axPos val="b"/>
        <c:title>
          <c:tx>
            <c:rich>
              <a:bodyPr/>
              <a:lstStyle/>
              <a:p>
                <a:pPr>
                  <a:defRPr/>
                </a:pPr>
                <a:r>
                  <a:rPr lang="en-US" sz="1200" b="0" i="0" baseline="0">
                    <a:effectLst/>
                  </a:rPr>
                  <a:t>Cumulative share of individuals</a:t>
                </a:r>
                <a:endParaRPr lang="en-US" sz="600">
                  <a:effectLst/>
                </a:endParaRPr>
              </a:p>
            </c:rich>
          </c:tx>
          <c:overlay val="0"/>
        </c:title>
        <c:numFmt formatCode="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117967072"/>
        <c:crossesAt val="0"/>
        <c:crossBetween val="midCat"/>
        <c:majorUnit val="0.25"/>
      </c:valAx>
      <c:valAx>
        <c:axId val="1117967072"/>
        <c:scaling>
          <c:orientation val="minMax"/>
          <c:max val="1"/>
          <c:min val="0"/>
        </c:scaling>
        <c:delete val="0"/>
        <c:axPos val="l"/>
        <c:majorGridlines>
          <c:spPr>
            <a:ln w="6350">
              <a:solidFill>
                <a:schemeClr val="bg1">
                  <a:lumMod val="75000"/>
                </a:schemeClr>
              </a:solidFill>
              <a:prstDash val="sysDot"/>
            </a:ln>
          </c:spPr>
        </c:majorGridlines>
        <c:title>
          <c:tx>
            <c:rich>
              <a:bodyPr/>
              <a:lstStyle/>
              <a:p>
                <a:pPr>
                  <a:defRPr sz="1200" b="0" i="0" u="none" strike="noStrike" baseline="0">
                    <a:solidFill>
                      <a:srgbClr val="000000"/>
                    </a:solidFill>
                    <a:latin typeface="Arial"/>
                    <a:ea typeface="Arial"/>
                    <a:cs typeface="Arial"/>
                  </a:defRPr>
                </a:pPr>
                <a:r>
                  <a:rPr lang="en-US" sz="1200" b="0" baseline="0"/>
                  <a:t>Cumulative share of incoe &amp; federal taxes</a:t>
                </a:r>
                <a:endParaRPr lang="en-US" sz="1400" b="0"/>
              </a:p>
            </c:rich>
          </c:tx>
          <c:layout>
            <c:manualLayout>
              <c:xMode val="edge"/>
              <c:yMode val="edge"/>
              <c:x val="0"/>
              <c:y val="0.15613280298725546"/>
            </c:manualLayout>
          </c:layout>
          <c:overlay val="0"/>
          <c:spPr>
            <a:noFill/>
            <a:ln w="25400">
              <a:noFill/>
            </a:ln>
          </c:spPr>
        </c:title>
        <c:numFmt formatCode="0%" sourceLinked="0"/>
        <c:majorTickMark val="out"/>
        <c:minorTickMark val="none"/>
        <c:tickLblPos val="nextTo"/>
        <c:spPr>
          <a:ln w="3175">
            <a:no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117966680"/>
        <c:crosses val="autoZero"/>
        <c:crossBetween val="midCat"/>
        <c:majorUnit val="0.25"/>
        <c:minorUnit val="0.05"/>
      </c:valAx>
      <c:spPr>
        <a:solidFill>
          <a:srgbClr val="FFFFFF"/>
        </a:solidFill>
        <a:ln w="3175">
          <a:noFill/>
          <a:prstDash val="solid"/>
        </a:ln>
      </c:spPr>
    </c:plotArea>
    <c:plotVisOnly val="1"/>
    <c:dispBlanksAs val="span"/>
    <c:showDLblsOverMax val="0"/>
  </c:chart>
  <c:spPr>
    <a:solidFill>
      <a:schemeClr val="bg1"/>
    </a:solidFill>
    <a:ln w="9525">
      <a:noFill/>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0866" r="0.75000000000000866" t="1" header="0.5" footer="0.5"/>
    <c:pageSetup orientation="landscape" verticalDpi="96"/>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7784360847443"/>
          <c:y val="3.3777574141508858E-2"/>
          <c:w val="0.84894761974128319"/>
          <c:h val="0.86629650675108916"/>
        </c:manualLayout>
      </c:layout>
      <c:scatterChart>
        <c:scatterStyle val="smoothMarker"/>
        <c:varyColors val="0"/>
        <c:ser>
          <c:idx val="0"/>
          <c:order val="0"/>
          <c:tx>
            <c:strRef>
              <c:f>'3-Kak'!$P$7</c:f>
              <c:strCache>
                <c:ptCount val="1"/>
                <c:pt idx="0">
                  <c:v>Cumulative Share of Federal Taxes</c:v>
                </c:pt>
              </c:strCache>
            </c:strRef>
          </c:tx>
          <c:spPr>
            <a:ln>
              <a:solidFill>
                <a:schemeClr val="tx1"/>
              </a:solidFill>
            </a:ln>
          </c:spPr>
          <c:marker>
            <c:symbol val="none"/>
          </c:marker>
          <c:xVal>
            <c:numRef>
              <c:f>'3-Kak'!$O$5:$W$5</c:f>
              <c:numCache>
                <c:formatCode>0.00</c:formatCode>
                <c:ptCount val="9"/>
                <c:pt idx="0" formatCode="General">
                  <c:v>0</c:v>
                </c:pt>
                <c:pt idx="1">
                  <c:v>0.2</c:v>
                </c:pt>
                <c:pt idx="2">
                  <c:v>0.4</c:v>
                </c:pt>
                <c:pt idx="3">
                  <c:v>0.60000000000000009</c:v>
                </c:pt>
                <c:pt idx="4">
                  <c:v>0.8</c:v>
                </c:pt>
                <c:pt idx="5">
                  <c:v>0.9</c:v>
                </c:pt>
                <c:pt idx="6">
                  <c:v>0.95000000000000007</c:v>
                </c:pt>
                <c:pt idx="7">
                  <c:v>0.9900000000000001</c:v>
                </c:pt>
                <c:pt idx="8">
                  <c:v>1</c:v>
                </c:pt>
              </c:numCache>
            </c:numRef>
          </c:xVal>
          <c:yVal>
            <c:numRef>
              <c:f>'3-Kak'!$O$46:$W$46</c:f>
              <c:numCache>
                <c:formatCode>0.000</c:formatCode>
                <c:ptCount val="9"/>
                <c:pt idx="0" formatCode="General">
                  <c:v>0</c:v>
                </c:pt>
                <c:pt idx="1">
                  <c:v>3.1059830463924863E-3</c:v>
                </c:pt>
                <c:pt idx="2">
                  <c:v>4.2701944043931947E-2</c:v>
                </c:pt>
                <c:pt idx="3">
                  <c:v>0.13280252259719993</c:v>
                </c:pt>
                <c:pt idx="4">
                  <c:v>0.30750374769607558</c:v>
                </c:pt>
                <c:pt idx="5">
                  <c:v>0.45891147372851004</c:v>
                </c:pt>
                <c:pt idx="6">
                  <c:v>0.57510329630924173</c:v>
                </c:pt>
                <c:pt idx="7">
                  <c:v>0.74410809837188086</c:v>
                </c:pt>
                <c:pt idx="8" formatCode="0.00">
                  <c:v>1</c:v>
                </c:pt>
              </c:numCache>
            </c:numRef>
          </c:yVal>
          <c:smooth val="1"/>
          <c:extLst>
            <c:ext xmlns:c16="http://schemas.microsoft.com/office/drawing/2014/chart" uri="{C3380CC4-5D6E-409C-BE32-E72D297353CC}">
              <c16:uniqueId val="{00000000-5215-4AC4-B75E-F4505023AE88}"/>
            </c:ext>
          </c:extLst>
        </c:ser>
        <c:ser>
          <c:idx val="1"/>
          <c:order val="1"/>
          <c:tx>
            <c:strRef>
              <c:f>'3-Kak'!$AH$7</c:f>
              <c:strCache>
                <c:ptCount val="1"/>
                <c:pt idx="0">
                  <c:v>Cumul. Share of Income (CBO, market plus soc. insur. benefits)</c:v>
                </c:pt>
              </c:strCache>
            </c:strRef>
          </c:tx>
          <c:spPr>
            <a:ln w="15875">
              <a:solidFill>
                <a:schemeClr val="tx1">
                  <a:lumMod val="50000"/>
                  <a:lumOff val="50000"/>
                </a:schemeClr>
              </a:solidFill>
            </a:ln>
          </c:spPr>
          <c:marker>
            <c:symbol val="none"/>
          </c:marker>
          <c:xVal>
            <c:numRef>
              <c:f>'3-Kak'!$O$5:$W$5</c:f>
              <c:numCache>
                <c:formatCode>0.00</c:formatCode>
                <c:ptCount val="9"/>
                <c:pt idx="0" formatCode="General">
                  <c:v>0</c:v>
                </c:pt>
                <c:pt idx="1">
                  <c:v>0.2</c:v>
                </c:pt>
                <c:pt idx="2">
                  <c:v>0.4</c:v>
                </c:pt>
                <c:pt idx="3">
                  <c:v>0.60000000000000009</c:v>
                </c:pt>
                <c:pt idx="4">
                  <c:v>0.8</c:v>
                </c:pt>
                <c:pt idx="5">
                  <c:v>0.9</c:v>
                </c:pt>
                <c:pt idx="6">
                  <c:v>0.95000000000000007</c:v>
                </c:pt>
                <c:pt idx="7">
                  <c:v>0.9900000000000001</c:v>
                </c:pt>
                <c:pt idx="8">
                  <c:v>1</c:v>
                </c:pt>
              </c:numCache>
            </c:numRef>
          </c:xVal>
          <c:yVal>
            <c:numRef>
              <c:f>'3-Kak'!$AG$46:$AO$46</c:f>
              <c:numCache>
                <c:formatCode>0.00</c:formatCode>
                <c:ptCount val="9"/>
                <c:pt idx="0" formatCode="General">
                  <c:v>0</c:v>
                </c:pt>
                <c:pt idx="1">
                  <c:v>3.7586547972304651E-2</c:v>
                </c:pt>
                <c:pt idx="2">
                  <c:v>0.12561819980217609</c:v>
                </c:pt>
                <c:pt idx="3">
                  <c:v>0.26013847675568746</c:v>
                </c:pt>
                <c:pt idx="4">
                  <c:v>0.4629080118694362</c:v>
                </c:pt>
                <c:pt idx="5">
                  <c:v>0.61028684470820971</c:v>
                </c:pt>
                <c:pt idx="6">
                  <c:v>0.71216617210682498</c:v>
                </c:pt>
                <c:pt idx="7">
                  <c:v>0.8437190900098912</c:v>
                </c:pt>
                <c:pt idx="8">
                  <c:v>1</c:v>
                </c:pt>
              </c:numCache>
            </c:numRef>
          </c:yVal>
          <c:smooth val="1"/>
          <c:extLst>
            <c:ext xmlns:c16="http://schemas.microsoft.com/office/drawing/2014/chart" uri="{C3380CC4-5D6E-409C-BE32-E72D297353CC}">
              <c16:uniqueId val="{00000001-5215-4AC4-B75E-F4505023AE88}"/>
            </c:ext>
          </c:extLst>
        </c:ser>
        <c:ser>
          <c:idx val="2"/>
          <c:order val="2"/>
          <c:tx>
            <c:strRef>
              <c:f>'3-Kak'!$M$4</c:f>
              <c:strCache>
                <c:ptCount val="1"/>
                <c:pt idx="0">
                  <c:v>45-degree line</c:v>
                </c:pt>
              </c:strCache>
            </c:strRef>
          </c:tx>
          <c:spPr>
            <a:ln w="15875">
              <a:solidFill>
                <a:schemeClr val="bg1">
                  <a:lumMod val="50000"/>
                </a:schemeClr>
              </a:solidFill>
              <a:prstDash val="sysDash"/>
            </a:ln>
          </c:spPr>
          <c:marker>
            <c:symbol val="none"/>
          </c:marker>
          <c:xVal>
            <c:numRef>
              <c:f>'3-Kak'!$O$5:$W$5</c:f>
              <c:numCache>
                <c:formatCode>0.00</c:formatCode>
                <c:ptCount val="9"/>
                <c:pt idx="0" formatCode="General">
                  <c:v>0</c:v>
                </c:pt>
                <c:pt idx="1">
                  <c:v>0.2</c:v>
                </c:pt>
                <c:pt idx="2">
                  <c:v>0.4</c:v>
                </c:pt>
                <c:pt idx="3">
                  <c:v>0.60000000000000009</c:v>
                </c:pt>
                <c:pt idx="4">
                  <c:v>0.8</c:v>
                </c:pt>
                <c:pt idx="5">
                  <c:v>0.9</c:v>
                </c:pt>
                <c:pt idx="6">
                  <c:v>0.95000000000000007</c:v>
                </c:pt>
                <c:pt idx="7">
                  <c:v>0.9900000000000001</c:v>
                </c:pt>
                <c:pt idx="8">
                  <c:v>1</c:v>
                </c:pt>
              </c:numCache>
            </c:numRef>
          </c:xVal>
          <c:yVal>
            <c:numRef>
              <c:f>'3-Kak'!$O$5:$W$5</c:f>
              <c:numCache>
                <c:formatCode>0.00</c:formatCode>
                <c:ptCount val="9"/>
                <c:pt idx="0" formatCode="General">
                  <c:v>0</c:v>
                </c:pt>
                <c:pt idx="1">
                  <c:v>0.2</c:v>
                </c:pt>
                <c:pt idx="2">
                  <c:v>0.4</c:v>
                </c:pt>
                <c:pt idx="3">
                  <c:v>0.60000000000000009</c:v>
                </c:pt>
                <c:pt idx="4">
                  <c:v>0.8</c:v>
                </c:pt>
                <c:pt idx="5">
                  <c:v>0.9</c:v>
                </c:pt>
                <c:pt idx="6">
                  <c:v>0.95000000000000007</c:v>
                </c:pt>
                <c:pt idx="7">
                  <c:v>0.9900000000000001</c:v>
                </c:pt>
                <c:pt idx="8">
                  <c:v>1</c:v>
                </c:pt>
              </c:numCache>
            </c:numRef>
          </c:yVal>
          <c:smooth val="1"/>
          <c:extLst>
            <c:ext xmlns:c16="http://schemas.microsoft.com/office/drawing/2014/chart" uri="{C3380CC4-5D6E-409C-BE32-E72D297353CC}">
              <c16:uniqueId val="{00000002-5215-4AC4-B75E-F4505023AE88}"/>
            </c:ext>
          </c:extLst>
        </c:ser>
        <c:dLbls>
          <c:showLegendKey val="0"/>
          <c:showVal val="0"/>
          <c:showCatName val="0"/>
          <c:showSerName val="0"/>
          <c:showPercent val="0"/>
          <c:showBubbleSize val="0"/>
        </c:dLbls>
        <c:axId val="1117966680"/>
        <c:axId val="1117967072"/>
      </c:scatterChart>
      <c:valAx>
        <c:axId val="1117966680"/>
        <c:scaling>
          <c:orientation val="minMax"/>
          <c:max val="1"/>
        </c:scaling>
        <c:delete val="0"/>
        <c:axPos val="b"/>
        <c:title>
          <c:tx>
            <c:rich>
              <a:bodyPr/>
              <a:lstStyle/>
              <a:p>
                <a:pPr>
                  <a:defRPr/>
                </a:pPr>
                <a:r>
                  <a:rPr lang="en-US" sz="1200" b="0" i="0" baseline="0">
                    <a:effectLst/>
                  </a:rPr>
                  <a:t>Cumulative share of individuals</a:t>
                </a:r>
                <a:endParaRPr lang="en-US" sz="600">
                  <a:effectLst/>
                </a:endParaRPr>
              </a:p>
            </c:rich>
          </c:tx>
          <c:overlay val="0"/>
        </c:title>
        <c:numFmt formatCode="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117967072"/>
        <c:crossesAt val="0"/>
        <c:crossBetween val="midCat"/>
        <c:majorUnit val="0.25"/>
      </c:valAx>
      <c:valAx>
        <c:axId val="1117967072"/>
        <c:scaling>
          <c:orientation val="minMax"/>
          <c:max val="1"/>
          <c:min val="0"/>
        </c:scaling>
        <c:delete val="0"/>
        <c:axPos val="l"/>
        <c:majorGridlines>
          <c:spPr>
            <a:ln w="6350">
              <a:solidFill>
                <a:schemeClr val="bg1">
                  <a:lumMod val="75000"/>
                </a:schemeClr>
              </a:solidFill>
              <a:prstDash val="sysDot"/>
            </a:ln>
          </c:spPr>
        </c:majorGridlines>
        <c:title>
          <c:tx>
            <c:rich>
              <a:bodyPr/>
              <a:lstStyle/>
              <a:p>
                <a:pPr>
                  <a:defRPr sz="1200" b="0" i="0" u="none" strike="noStrike" baseline="0">
                    <a:solidFill>
                      <a:srgbClr val="000000"/>
                    </a:solidFill>
                    <a:latin typeface="Arial"/>
                    <a:ea typeface="Arial"/>
                    <a:cs typeface="Arial"/>
                  </a:defRPr>
                </a:pPr>
                <a:r>
                  <a:rPr lang="en-US" sz="1200" b="0" baseline="0"/>
                  <a:t>Cumulative share of income &amp; federal taxes</a:t>
                </a:r>
                <a:endParaRPr lang="en-US" sz="1400" b="0"/>
              </a:p>
            </c:rich>
          </c:tx>
          <c:layout>
            <c:manualLayout>
              <c:xMode val="edge"/>
              <c:yMode val="edge"/>
              <c:x val="0"/>
              <c:y val="0.16438022566766783"/>
            </c:manualLayout>
          </c:layout>
          <c:overlay val="0"/>
          <c:spPr>
            <a:noFill/>
            <a:ln w="25400">
              <a:noFill/>
            </a:ln>
          </c:spPr>
        </c:title>
        <c:numFmt formatCode="0%" sourceLinked="0"/>
        <c:majorTickMark val="out"/>
        <c:minorTickMark val="none"/>
        <c:tickLblPos val="nextTo"/>
        <c:spPr>
          <a:ln w="3175">
            <a:no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117966680"/>
        <c:crosses val="autoZero"/>
        <c:crossBetween val="midCat"/>
        <c:majorUnit val="0.25"/>
        <c:minorUnit val="0.05"/>
      </c:valAx>
      <c:spPr>
        <a:solidFill>
          <a:srgbClr val="FFFFFF"/>
        </a:solidFill>
        <a:ln w="3175">
          <a:noFill/>
          <a:prstDash val="solid"/>
        </a:ln>
      </c:spPr>
    </c:plotArea>
    <c:plotVisOnly val="1"/>
    <c:dispBlanksAs val="span"/>
    <c:showDLblsOverMax val="0"/>
  </c:chart>
  <c:spPr>
    <a:solidFill>
      <a:schemeClr val="bg1"/>
    </a:solidFill>
    <a:ln w="9525">
      <a:noFill/>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0866" r="0.75000000000000866" t="1" header="0.5" footer="0.5"/>
    <c:pageSetup orientation="landscape" verticalDpi="96"/>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398856743975815E-2"/>
          <c:y val="3.3777574141508858E-2"/>
          <c:w val="0.85179928653478154"/>
          <c:h val="0.90203526840513759"/>
        </c:manualLayout>
      </c:layout>
      <c:lineChart>
        <c:grouping val="standard"/>
        <c:varyColors val="0"/>
        <c:ser>
          <c:idx val="0"/>
          <c:order val="0"/>
          <c:tx>
            <c:strRef>
              <c:f>'4-Prog'!$B$31:$B$32</c:f>
              <c:strCache>
                <c:ptCount val="2"/>
                <c:pt idx="0">
                  <c:v>Kakwani Index</c:v>
                </c:pt>
              </c:strCache>
            </c:strRef>
          </c:tx>
          <c:spPr>
            <a:ln w="31750">
              <a:solidFill>
                <a:srgbClr val="2699B4"/>
              </a:solidFill>
            </a:ln>
          </c:spPr>
          <c:marker>
            <c:symbol val="none"/>
          </c:marker>
          <c:cat>
            <c:numRef>
              <c:f>'4-Prog'!$A$33:$A$73</c:f>
              <c:numCache>
                <c:formatCode>General</c:formatCode>
                <c:ptCount val="41"/>
                <c:pt idx="0">
                  <c:v>1979</c:v>
                </c:pt>
                <c:pt idx="1">
                  <c:v>1980</c:v>
                </c:pt>
                <c:pt idx="2">
                  <c:v>1981</c:v>
                </c:pt>
                <c:pt idx="3">
                  <c:v>1982</c:v>
                </c:pt>
                <c:pt idx="4">
                  <c:v>1983</c:v>
                </c:pt>
                <c:pt idx="5">
                  <c:v>1984</c:v>
                </c:pt>
                <c:pt idx="6">
                  <c:v>1985</c:v>
                </c:pt>
                <c:pt idx="7">
                  <c:v>1986</c:v>
                </c:pt>
                <c:pt idx="8">
                  <c:v>1987</c:v>
                </c:pt>
                <c:pt idx="9">
                  <c:v>1988</c:v>
                </c:pt>
                <c:pt idx="10">
                  <c:v>1989</c:v>
                </c:pt>
                <c:pt idx="11">
                  <c:v>1990</c:v>
                </c:pt>
                <c:pt idx="12">
                  <c:v>1991</c:v>
                </c:pt>
                <c:pt idx="13">
                  <c:v>1992</c:v>
                </c:pt>
                <c:pt idx="14">
                  <c:v>1993</c:v>
                </c:pt>
                <c:pt idx="15">
                  <c:v>1994</c:v>
                </c:pt>
                <c:pt idx="16">
                  <c:v>1995</c:v>
                </c:pt>
                <c:pt idx="17">
                  <c:v>1996</c:v>
                </c:pt>
                <c:pt idx="18">
                  <c:v>1997</c:v>
                </c:pt>
                <c:pt idx="19">
                  <c:v>1998</c:v>
                </c:pt>
                <c:pt idx="20">
                  <c:v>1999</c:v>
                </c:pt>
                <c:pt idx="21">
                  <c:v>2000</c:v>
                </c:pt>
                <c:pt idx="22">
                  <c:v>2001</c:v>
                </c:pt>
                <c:pt idx="23">
                  <c:v>2002</c:v>
                </c:pt>
                <c:pt idx="24">
                  <c:v>2003</c:v>
                </c:pt>
                <c:pt idx="25">
                  <c:v>2004</c:v>
                </c:pt>
                <c:pt idx="26">
                  <c:v>2005</c:v>
                </c:pt>
                <c:pt idx="27">
                  <c:v>2006</c:v>
                </c:pt>
                <c:pt idx="28">
                  <c:v>2007</c:v>
                </c:pt>
                <c:pt idx="29">
                  <c:v>2008</c:v>
                </c:pt>
                <c:pt idx="30">
                  <c:v>2009</c:v>
                </c:pt>
                <c:pt idx="31">
                  <c:v>2010</c:v>
                </c:pt>
                <c:pt idx="32">
                  <c:v>2011</c:v>
                </c:pt>
                <c:pt idx="33">
                  <c:v>2012</c:v>
                </c:pt>
                <c:pt idx="34">
                  <c:v>2013</c:v>
                </c:pt>
                <c:pt idx="35">
                  <c:v>2014</c:v>
                </c:pt>
                <c:pt idx="36">
                  <c:v>2015</c:v>
                </c:pt>
                <c:pt idx="37">
                  <c:v>2016</c:v>
                </c:pt>
                <c:pt idx="38">
                  <c:v>2017</c:v>
                </c:pt>
                <c:pt idx="39">
                  <c:v>2018</c:v>
                </c:pt>
                <c:pt idx="40">
                  <c:v>2019</c:v>
                </c:pt>
              </c:numCache>
            </c:numRef>
          </c:cat>
          <c:val>
            <c:numRef>
              <c:f>'4-Prog'!$E$33:$E$73</c:f>
              <c:numCache>
                <c:formatCode>0</c:formatCode>
                <c:ptCount val="41"/>
                <c:pt idx="0" formatCode="General">
                  <c:v>100</c:v>
                </c:pt>
                <c:pt idx="1">
                  <c:v>97.732068899968567</c:v>
                </c:pt>
                <c:pt idx="2">
                  <c:v>87.580487001443629</c:v>
                </c:pt>
                <c:pt idx="3">
                  <c:v>80.125079617660532</c:v>
                </c:pt>
                <c:pt idx="4">
                  <c:v>74.629718129122665</c:v>
                </c:pt>
                <c:pt idx="5">
                  <c:v>68.912704002700565</c:v>
                </c:pt>
                <c:pt idx="6">
                  <c:v>69.893183963275433</c:v>
                </c:pt>
                <c:pt idx="7">
                  <c:v>66.462604181763055</c:v>
                </c:pt>
                <c:pt idx="8">
                  <c:v>82.906240982933696</c:v>
                </c:pt>
                <c:pt idx="9">
                  <c:v>85.020638896321273</c:v>
                </c:pt>
                <c:pt idx="10">
                  <c:v>83.295645979205062</c:v>
                </c:pt>
                <c:pt idx="11">
                  <c:v>77.129023497779912</c:v>
                </c:pt>
                <c:pt idx="12">
                  <c:v>83.947066954979519</c:v>
                </c:pt>
                <c:pt idx="13">
                  <c:v>88.153601897893026</c:v>
                </c:pt>
                <c:pt idx="14">
                  <c:v>96.167617315068256</c:v>
                </c:pt>
                <c:pt idx="15">
                  <c:v>101.83054447279049</c:v>
                </c:pt>
                <c:pt idx="16">
                  <c:v>108.23574236964224</c:v>
                </c:pt>
                <c:pt idx="17">
                  <c:v>112.43101987845299</c:v>
                </c:pt>
                <c:pt idx="18">
                  <c:v>104.28158806419756</c:v>
                </c:pt>
                <c:pt idx="19">
                  <c:v>105.92538036829771</c:v>
                </c:pt>
                <c:pt idx="20">
                  <c:v>110.41586721141394</c:v>
                </c:pt>
                <c:pt idx="21">
                  <c:v>109.63380051262112</c:v>
                </c:pt>
                <c:pt idx="22">
                  <c:v>120.32857159735649</c:v>
                </c:pt>
                <c:pt idx="23">
                  <c:v>124.13945784834286</c:v>
                </c:pt>
                <c:pt idx="24">
                  <c:v>122.17813517241787</c:v>
                </c:pt>
                <c:pt idx="25">
                  <c:v>121.10380388711181</c:v>
                </c:pt>
                <c:pt idx="26">
                  <c:v>120.94323955408821</c:v>
                </c:pt>
                <c:pt idx="27">
                  <c:v>116.32779928782169</c:v>
                </c:pt>
                <c:pt idx="28">
                  <c:v>120.61418570255115</c:v>
                </c:pt>
                <c:pt idx="29">
                  <c:v>150.12292238446307</c:v>
                </c:pt>
                <c:pt idx="30">
                  <c:v>155.6117497498276</c:v>
                </c:pt>
                <c:pt idx="31">
                  <c:v>157.30717208213437</c:v>
                </c:pt>
                <c:pt idx="32">
                  <c:v>150.29472006586013</c:v>
                </c:pt>
                <c:pt idx="33">
                  <c:v>150.419628884709</c:v>
                </c:pt>
                <c:pt idx="34">
                  <c:v>147.44410668015254</c:v>
                </c:pt>
                <c:pt idx="35">
                  <c:v>144.71545358131976</c:v>
                </c:pt>
                <c:pt idx="36">
                  <c:v>146.59556611176819</c:v>
                </c:pt>
                <c:pt idx="37">
                  <c:v>146.43649206784045</c:v>
                </c:pt>
              </c:numCache>
            </c:numRef>
          </c:val>
          <c:smooth val="1"/>
          <c:extLst>
            <c:ext xmlns:c16="http://schemas.microsoft.com/office/drawing/2014/chart" uri="{C3380CC4-5D6E-409C-BE32-E72D297353CC}">
              <c16:uniqueId val="{00000000-F2E7-44A4-8EE4-04E2831923F8}"/>
            </c:ext>
          </c:extLst>
        </c:ser>
        <c:dLbls>
          <c:showLegendKey val="0"/>
          <c:showVal val="0"/>
          <c:showCatName val="0"/>
          <c:showSerName val="0"/>
          <c:showPercent val="0"/>
          <c:showBubbleSize val="0"/>
        </c:dLbls>
        <c:marker val="1"/>
        <c:smooth val="0"/>
        <c:axId val="1117966680"/>
        <c:axId val="1117967072"/>
      </c:lineChart>
      <c:lineChart>
        <c:grouping val="standard"/>
        <c:varyColors val="0"/>
        <c:ser>
          <c:idx val="1"/>
          <c:order val="1"/>
          <c:tx>
            <c:strRef>
              <c:f>'4-Prog'!$C$31:$C$32</c:f>
              <c:strCache>
                <c:ptCount val="2"/>
                <c:pt idx="0">
                  <c:v>Tax  Elasticity</c:v>
                </c:pt>
              </c:strCache>
            </c:strRef>
          </c:tx>
          <c:spPr>
            <a:ln w="25400">
              <a:solidFill>
                <a:srgbClr val="A03A49"/>
              </a:solidFill>
              <a:prstDash val="sysDash"/>
            </a:ln>
          </c:spPr>
          <c:marker>
            <c:symbol val="none"/>
          </c:marker>
          <c:cat>
            <c:numRef>
              <c:f>'4-Prog'!$A$33:$A$73</c:f>
              <c:numCache>
                <c:formatCode>General</c:formatCode>
                <c:ptCount val="41"/>
                <c:pt idx="0">
                  <c:v>1979</c:v>
                </c:pt>
                <c:pt idx="1">
                  <c:v>1980</c:v>
                </c:pt>
                <c:pt idx="2">
                  <c:v>1981</c:v>
                </c:pt>
                <c:pt idx="3">
                  <c:v>1982</c:v>
                </c:pt>
                <c:pt idx="4">
                  <c:v>1983</c:v>
                </c:pt>
                <c:pt idx="5">
                  <c:v>1984</c:v>
                </c:pt>
                <c:pt idx="6">
                  <c:v>1985</c:v>
                </c:pt>
                <c:pt idx="7">
                  <c:v>1986</c:v>
                </c:pt>
                <c:pt idx="8">
                  <c:v>1987</c:v>
                </c:pt>
                <c:pt idx="9">
                  <c:v>1988</c:v>
                </c:pt>
                <c:pt idx="10">
                  <c:v>1989</c:v>
                </c:pt>
                <c:pt idx="11">
                  <c:v>1990</c:v>
                </c:pt>
                <c:pt idx="12">
                  <c:v>1991</c:v>
                </c:pt>
                <c:pt idx="13">
                  <c:v>1992</c:v>
                </c:pt>
                <c:pt idx="14">
                  <c:v>1993</c:v>
                </c:pt>
                <c:pt idx="15">
                  <c:v>1994</c:v>
                </c:pt>
                <c:pt idx="16">
                  <c:v>1995</c:v>
                </c:pt>
                <c:pt idx="17">
                  <c:v>1996</c:v>
                </c:pt>
                <c:pt idx="18">
                  <c:v>1997</c:v>
                </c:pt>
                <c:pt idx="19">
                  <c:v>1998</c:v>
                </c:pt>
                <c:pt idx="20">
                  <c:v>1999</c:v>
                </c:pt>
                <c:pt idx="21">
                  <c:v>2000</c:v>
                </c:pt>
                <c:pt idx="22">
                  <c:v>2001</c:v>
                </c:pt>
                <c:pt idx="23">
                  <c:v>2002</c:v>
                </c:pt>
                <c:pt idx="24">
                  <c:v>2003</c:v>
                </c:pt>
                <c:pt idx="25">
                  <c:v>2004</c:v>
                </c:pt>
                <c:pt idx="26">
                  <c:v>2005</c:v>
                </c:pt>
                <c:pt idx="27">
                  <c:v>2006</c:v>
                </c:pt>
                <c:pt idx="28">
                  <c:v>2007</c:v>
                </c:pt>
                <c:pt idx="29">
                  <c:v>2008</c:v>
                </c:pt>
                <c:pt idx="30">
                  <c:v>2009</c:v>
                </c:pt>
                <c:pt idx="31">
                  <c:v>2010</c:v>
                </c:pt>
                <c:pt idx="32">
                  <c:v>2011</c:v>
                </c:pt>
                <c:pt idx="33">
                  <c:v>2012</c:v>
                </c:pt>
                <c:pt idx="34">
                  <c:v>2013</c:v>
                </c:pt>
                <c:pt idx="35">
                  <c:v>2014</c:v>
                </c:pt>
                <c:pt idx="36">
                  <c:v>2015</c:v>
                </c:pt>
                <c:pt idx="37">
                  <c:v>2016</c:v>
                </c:pt>
                <c:pt idx="38">
                  <c:v>2017</c:v>
                </c:pt>
                <c:pt idx="39">
                  <c:v>2018</c:v>
                </c:pt>
                <c:pt idx="40">
                  <c:v>2019</c:v>
                </c:pt>
              </c:numCache>
            </c:numRef>
          </c:cat>
          <c:val>
            <c:numRef>
              <c:f>'4-Prog'!$F$33:$F$70</c:f>
              <c:numCache>
                <c:formatCode>0</c:formatCode>
                <c:ptCount val="38"/>
                <c:pt idx="0" formatCode="General">
                  <c:v>100</c:v>
                </c:pt>
                <c:pt idx="1">
                  <c:v>104.37335348083666</c:v>
                </c:pt>
                <c:pt idx="2">
                  <c:v>96.819774388570593</c:v>
                </c:pt>
                <c:pt idx="3">
                  <c:v>85.293211017652197</c:v>
                </c:pt>
                <c:pt idx="4">
                  <c:v>68.828579696479551</c:v>
                </c:pt>
                <c:pt idx="5">
                  <c:v>60.635850593815391</c:v>
                </c:pt>
                <c:pt idx="6">
                  <c:v>62.58030787126674</c:v>
                </c:pt>
                <c:pt idx="7">
                  <c:v>60.926331118725571</c:v>
                </c:pt>
                <c:pt idx="8">
                  <c:v>73.080824422647268</c:v>
                </c:pt>
                <c:pt idx="9">
                  <c:v>76.16432603467355</c:v>
                </c:pt>
                <c:pt idx="10">
                  <c:v>82.313699468347039</c:v>
                </c:pt>
                <c:pt idx="11">
                  <c:v>73.717416769807045</c:v>
                </c:pt>
                <c:pt idx="12">
                  <c:v>79.425566720814672</c:v>
                </c:pt>
                <c:pt idx="13">
                  <c:v>80.748789868959676</c:v>
                </c:pt>
                <c:pt idx="14">
                  <c:v>82.653412326143908</c:v>
                </c:pt>
                <c:pt idx="15">
                  <c:v>100.36755459489528</c:v>
                </c:pt>
                <c:pt idx="16">
                  <c:v>108.22087825833219</c:v>
                </c:pt>
                <c:pt idx="17">
                  <c:v>115.25735170892675</c:v>
                </c:pt>
                <c:pt idx="18">
                  <c:v>112.24714799026239</c:v>
                </c:pt>
                <c:pt idx="19">
                  <c:v>113.49627469882675</c:v>
                </c:pt>
                <c:pt idx="20">
                  <c:v>110.17748581517191</c:v>
                </c:pt>
                <c:pt idx="21">
                  <c:v>114.83699758450025</c:v>
                </c:pt>
                <c:pt idx="22">
                  <c:v>122.11983095112886</c:v>
                </c:pt>
                <c:pt idx="23">
                  <c:v>128.4589039778306</c:v>
                </c:pt>
                <c:pt idx="24">
                  <c:v>122.37231841173197</c:v>
                </c:pt>
                <c:pt idx="25">
                  <c:v>125.86763369562696</c:v>
                </c:pt>
                <c:pt idx="26">
                  <c:v>121.318890374132</c:v>
                </c:pt>
                <c:pt idx="27">
                  <c:v>116.25429719073443</c:v>
                </c:pt>
                <c:pt idx="28">
                  <c:v>122.50114448003428</c:v>
                </c:pt>
                <c:pt idx="29">
                  <c:v>260.7195577536811</c:v>
                </c:pt>
                <c:pt idx="30">
                  <c:v>312.05378000088825</c:v>
                </c:pt>
                <c:pt idx="31">
                  <c:v>303.82370247915003</c:v>
                </c:pt>
                <c:pt idx="32">
                  <c:v>287.11271775349792</c:v>
                </c:pt>
                <c:pt idx="33">
                  <c:v>249.57393635962322</c:v>
                </c:pt>
                <c:pt idx="34">
                  <c:v>189.32888643236589</c:v>
                </c:pt>
                <c:pt idx="35">
                  <c:v>200.65404675057817</c:v>
                </c:pt>
                <c:pt idx="36">
                  <c:v>218.41499145702534</c:v>
                </c:pt>
                <c:pt idx="37">
                  <c:v>210.23095837107167</c:v>
                </c:pt>
              </c:numCache>
            </c:numRef>
          </c:val>
          <c:smooth val="1"/>
          <c:extLst>
            <c:ext xmlns:c16="http://schemas.microsoft.com/office/drawing/2014/chart" uri="{C3380CC4-5D6E-409C-BE32-E72D297353CC}">
              <c16:uniqueId val="{00000001-F2E7-44A4-8EE4-04E2831923F8}"/>
            </c:ext>
          </c:extLst>
        </c:ser>
        <c:dLbls>
          <c:showLegendKey val="0"/>
          <c:showVal val="0"/>
          <c:showCatName val="0"/>
          <c:showSerName val="0"/>
          <c:showPercent val="0"/>
          <c:showBubbleSize val="0"/>
        </c:dLbls>
        <c:marker val="1"/>
        <c:smooth val="0"/>
        <c:axId val="827867792"/>
        <c:axId val="611766288"/>
      </c:lineChart>
      <c:catAx>
        <c:axId val="1117966680"/>
        <c:scaling>
          <c:orientation val="minMax"/>
        </c:scaling>
        <c:delete val="0"/>
        <c:axPos val="b"/>
        <c:numFmt formatCode="General"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117967072"/>
        <c:crossesAt val="0"/>
        <c:auto val="1"/>
        <c:lblAlgn val="ctr"/>
        <c:lblOffset val="100"/>
        <c:tickLblSkip val="10"/>
        <c:tickMarkSkip val="10"/>
        <c:noMultiLvlLbl val="0"/>
      </c:catAx>
      <c:valAx>
        <c:axId val="1117967072"/>
        <c:scaling>
          <c:orientation val="minMax"/>
          <c:max val="315"/>
          <c:min val="50"/>
        </c:scaling>
        <c:delete val="0"/>
        <c:axPos val="l"/>
        <c:majorGridlines>
          <c:spPr>
            <a:ln w="6350">
              <a:solidFill>
                <a:schemeClr val="bg1">
                  <a:lumMod val="75000"/>
                </a:schemeClr>
              </a:solidFill>
              <a:prstDash val="sysDot"/>
            </a:ln>
          </c:spPr>
        </c:majorGridlines>
        <c:title>
          <c:tx>
            <c:rich>
              <a:bodyPr/>
              <a:lstStyle/>
              <a:p>
                <a:pPr>
                  <a:defRPr sz="1200" b="0" i="0" u="none" strike="noStrike" baseline="0">
                    <a:solidFill>
                      <a:srgbClr val="000000"/>
                    </a:solidFill>
                    <a:latin typeface="Arial"/>
                    <a:ea typeface="Arial"/>
                    <a:cs typeface="Arial"/>
                  </a:defRPr>
                </a:pPr>
                <a:r>
                  <a:rPr lang="en-US" sz="1200" b="0" baseline="0"/>
                  <a:t>Federal tax progressivity (1979=100)</a:t>
                </a:r>
                <a:endParaRPr lang="en-US" sz="1400" b="0"/>
              </a:p>
            </c:rich>
          </c:tx>
          <c:layout>
            <c:manualLayout>
              <c:xMode val="edge"/>
              <c:yMode val="edge"/>
              <c:x val="0"/>
              <c:y val="0.22879134178838226"/>
            </c:manualLayout>
          </c:layout>
          <c:overlay val="0"/>
          <c:spPr>
            <a:noFill/>
            <a:ln w="25400">
              <a:noFill/>
            </a:ln>
          </c:spPr>
        </c:title>
        <c:numFmt formatCode="#,##0" sourceLinked="0"/>
        <c:majorTickMark val="out"/>
        <c:minorTickMark val="none"/>
        <c:tickLblPos val="nextTo"/>
        <c:spPr>
          <a:ln w="3175">
            <a:no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117966680"/>
        <c:crosses val="autoZero"/>
        <c:crossBetween val="midCat"/>
        <c:majorUnit val="50"/>
        <c:minorUnit val="0.05"/>
      </c:valAx>
      <c:valAx>
        <c:axId val="611766288"/>
        <c:scaling>
          <c:orientation val="minMax"/>
          <c:max val="4.5"/>
          <c:min val="0"/>
        </c:scaling>
        <c:delete val="1"/>
        <c:axPos val="r"/>
        <c:numFmt formatCode="0.0" sourceLinked="0"/>
        <c:majorTickMark val="out"/>
        <c:minorTickMark val="none"/>
        <c:tickLblPos val="nextTo"/>
        <c:crossAx val="827867792"/>
        <c:crosses val="max"/>
        <c:crossBetween val="between"/>
        <c:majorUnit val="0.31000000000000005"/>
      </c:valAx>
      <c:catAx>
        <c:axId val="827867792"/>
        <c:scaling>
          <c:orientation val="minMax"/>
        </c:scaling>
        <c:delete val="1"/>
        <c:axPos val="b"/>
        <c:numFmt formatCode="General" sourceLinked="1"/>
        <c:majorTickMark val="out"/>
        <c:minorTickMark val="none"/>
        <c:tickLblPos val="nextTo"/>
        <c:crossAx val="611766288"/>
        <c:crosses val="autoZero"/>
        <c:auto val="1"/>
        <c:lblAlgn val="ctr"/>
        <c:lblOffset val="100"/>
        <c:noMultiLvlLbl val="0"/>
      </c:catAx>
      <c:spPr>
        <a:solidFill>
          <a:srgbClr val="FFFFFF"/>
        </a:solidFill>
        <a:ln w="3175">
          <a:noFill/>
          <a:prstDash val="solid"/>
        </a:ln>
      </c:spPr>
    </c:plotArea>
    <c:plotVisOnly val="1"/>
    <c:dispBlanksAs val="span"/>
    <c:showDLblsOverMax val="0"/>
  </c:chart>
  <c:spPr>
    <a:solidFill>
      <a:schemeClr val="bg1"/>
    </a:solidFill>
    <a:ln w="9525">
      <a:noFill/>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0866" r="0.75000000000000866" t="1" header="0.5" footer="0.5"/>
    <c:pageSetup orientation="landscape" verticalDpi="96"/>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398856743975815E-2"/>
          <c:y val="3.3777574141508858E-2"/>
          <c:w val="0.85179928653478154"/>
          <c:h val="0.90203526840513759"/>
        </c:manualLayout>
      </c:layout>
      <c:lineChart>
        <c:grouping val="standard"/>
        <c:varyColors val="0"/>
        <c:ser>
          <c:idx val="0"/>
          <c:order val="0"/>
          <c:tx>
            <c:strRef>
              <c:f>'4-Prog'!$B$31:$B$32</c:f>
              <c:strCache>
                <c:ptCount val="2"/>
                <c:pt idx="0">
                  <c:v>Kakwani Index</c:v>
                </c:pt>
              </c:strCache>
            </c:strRef>
          </c:tx>
          <c:spPr>
            <a:ln w="31750">
              <a:solidFill>
                <a:schemeClr val="tx1"/>
              </a:solidFill>
            </a:ln>
          </c:spPr>
          <c:marker>
            <c:symbol val="none"/>
          </c:marker>
          <c:cat>
            <c:numRef>
              <c:f>'4-Prog'!$A$33:$A$73</c:f>
              <c:numCache>
                <c:formatCode>General</c:formatCode>
                <c:ptCount val="41"/>
                <c:pt idx="0">
                  <c:v>1979</c:v>
                </c:pt>
                <c:pt idx="1">
                  <c:v>1980</c:v>
                </c:pt>
                <c:pt idx="2">
                  <c:v>1981</c:v>
                </c:pt>
                <c:pt idx="3">
                  <c:v>1982</c:v>
                </c:pt>
                <c:pt idx="4">
                  <c:v>1983</c:v>
                </c:pt>
                <c:pt idx="5">
                  <c:v>1984</c:v>
                </c:pt>
                <c:pt idx="6">
                  <c:v>1985</c:v>
                </c:pt>
                <c:pt idx="7">
                  <c:v>1986</c:v>
                </c:pt>
                <c:pt idx="8">
                  <c:v>1987</c:v>
                </c:pt>
                <c:pt idx="9">
                  <c:v>1988</c:v>
                </c:pt>
                <c:pt idx="10">
                  <c:v>1989</c:v>
                </c:pt>
                <c:pt idx="11">
                  <c:v>1990</c:v>
                </c:pt>
                <c:pt idx="12">
                  <c:v>1991</c:v>
                </c:pt>
                <c:pt idx="13">
                  <c:v>1992</c:v>
                </c:pt>
                <c:pt idx="14">
                  <c:v>1993</c:v>
                </c:pt>
                <c:pt idx="15">
                  <c:v>1994</c:v>
                </c:pt>
                <c:pt idx="16">
                  <c:v>1995</c:v>
                </c:pt>
                <c:pt idx="17">
                  <c:v>1996</c:v>
                </c:pt>
                <c:pt idx="18">
                  <c:v>1997</c:v>
                </c:pt>
                <c:pt idx="19">
                  <c:v>1998</c:v>
                </c:pt>
                <c:pt idx="20">
                  <c:v>1999</c:v>
                </c:pt>
                <c:pt idx="21">
                  <c:v>2000</c:v>
                </c:pt>
                <c:pt idx="22">
                  <c:v>2001</c:v>
                </c:pt>
                <c:pt idx="23">
                  <c:v>2002</c:v>
                </c:pt>
                <c:pt idx="24">
                  <c:v>2003</c:v>
                </c:pt>
                <c:pt idx="25">
                  <c:v>2004</c:v>
                </c:pt>
                <c:pt idx="26">
                  <c:v>2005</c:v>
                </c:pt>
                <c:pt idx="27">
                  <c:v>2006</c:v>
                </c:pt>
                <c:pt idx="28">
                  <c:v>2007</c:v>
                </c:pt>
                <c:pt idx="29">
                  <c:v>2008</c:v>
                </c:pt>
                <c:pt idx="30">
                  <c:v>2009</c:v>
                </c:pt>
                <c:pt idx="31">
                  <c:v>2010</c:v>
                </c:pt>
                <c:pt idx="32">
                  <c:v>2011</c:v>
                </c:pt>
                <c:pt idx="33">
                  <c:v>2012</c:v>
                </c:pt>
                <c:pt idx="34">
                  <c:v>2013</c:v>
                </c:pt>
                <c:pt idx="35">
                  <c:v>2014</c:v>
                </c:pt>
                <c:pt idx="36">
                  <c:v>2015</c:v>
                </c:pt>
                <c:pt idx="37">
                  <c:v>2016</c:v>
                </c:pt>
                <c:pt idx="38">
                  <c:v>2017</c:v>
                </c:pt>
                <c:pt idx="39">
                  <c:v>2018</c:v>
                </c:pt>
                <c:pt idx="40">
                  <c:v>2019</c:v>
                </c:pt>
              </c:numCache>
            </c:numRef>
          </c:cat>
          <c:val>
            <c:numRef>
              <c:f>'4-Prog'!$E$33:$E$73</c:f>
              <c:numCache>
                <c:formatCode>0</c:formatCode>
                <c:ptCount val="41"/>
                <c:pt idx="0" formatCode="General">
                  <c:v>100</c:v>
                </c:pt>
                <c:pt idx="1">
                  <c:v>97.732068899968567</c:v>
                </c:pt>
                <c:pt idx="2">
                  <c:v>87.580487001443629</c:v>
                </c:pt>
                <c:pt idx="3">
                  <c:v>80.125079617660532</c:v>
                </c:pt>
                <c:pt idx="4">
                  <c:v>74.629718129122665</c:v>
                </c:pt>
                <c:pt idx="5">
                  <c:v>68.912704002700565</c:v>
                </c:pt>
                <c:pt idx="6">
                  <c:v>69.893183963275433</c:v>
                </c:pt>
                <c:pt idx="7">
                  <c:v>66.462604181763055</c:v>
                </c:pt>
                <c:pt idx="8">
                  <c:v>82.906240982933696</c:v>
                </c:pt>
                <c:pt idx="9">
                  <c:v>85.020638896321273</c:v>
                </c:pt>
                <c:pt idx="10">
                  <c:v>83.295645979205062</c:v>
                </c:pt>
                <c:pt idx="11">
                  <c:v>77.129023497779912</c:v>
                </c:pt>
                <c:pt idx="12">
                  <c:v>83.947066954979519</c:v>
                </c:pt>
                <c:pt idx="13">
                  <c:v>88.153601897893026</c:v>
                </c:pt>
                <c:pt idx="14">
                  <c:v>96.167617315068256</c:v>
                </c:pt>
                <c:pt idx="15">
                  <c:v>101.83054447279049</c:v>
                </c:pt>
                <c:pt idx="16">
                  <c:v>108.23574236964224</c:v>
                </c:pt>
                <c:pt idx="17">
                  <c:v>112.43101987845299</c:v>
                </c:pt>
                <c:pt idx="18">
                  <c:v>104.28158806419756</c:v>
                </c:pt>
                <c:pt idx="19">
                  <c:v>105.92538036829771</c:v>
                </c:pt>
                <c:pt idx="20">
                  <c:v>110.41586721141394</c:v>
                </c:pt>
                <c:pt idx="21">
                  <c:v>109.63380051262112</c:v>
                </c:pt>
                <c:pt idx="22">
                  <c:v>120.32857159735649</c:v>
                </c:pt>
                <c:pt idx="23">
                  <c:v>124.13945784834286</c:v>
                </c:pt>
                <c:pt idx="24">
                  <c:v>122.17813517241787</c:v>
                </c:pt>
                <c:pt idx="25">
                  <c:v>121.10380388711181</c:v>
                </c:pt>
                <c:pt idx="26">
                  <c:v>120.94323955408821</c:v>
                </c:pt>
                <c:pt idx="27">
                  <c:v>116.32779928782169</c:v>
                </c:pt>
                <c:pt idx="28">
                  <c:v>120.61418570255115</c:v>
                </c:pt>
                <c:pt idx="29">
                  <c:v>150.12292238446307</c:v>
                </c:pt>
                <c:pt idx="30">
                  <c:v>155.6117497498276</c:v>
                </c:pt>
                <c:pt idx="31">
                  <c:v>157.30717208213437</c:v>
                </c:pt>
                <c:pt idx="32">
                  <c:v>150.29472006586013</c:v>
                </c:pt>
                <c:pt idx="33">
                  <c:v>150.419628884709</c:v>
                </c:pt>
                <c:pt idx="34">
                  <c:v>147.44410668015254</c:v>
                </c:pt>
                <c:pt idx="35">
                  <c:v>144.71545358131976</c:v>
                </c:pt>
                <c:pt idx="36">
                  <c:v>146.59556611176819</c:v>
                </c:pt>
                <c:pt idx="37">
                  <c:v>146.43649206784045</c:v>
                </c:pt>
              </c:numCache>
            </c:numRef>
          </c:val>
          <c:smooth val="1"/>
          <c:extLst>
            <c:ext xmlns:c16="http://schemas.microsoft.com/office/drawing/2014/chart" uri="{C3380CC4-5D6E-409C-BE32-E72D297353CC}">
              <c16:uniqueId val="{00000000-6964-4A51-9369-435D598FFCF3}"/>
            </c:ext>
          </c:extLst>
        </c:ser>
        <c:dLbls>
          <c:showLegendKey val="0"/>
          <c:showVal val="0"/>
          <c:showCatName val="0"/>
          <c:showSerName val="0"/>
          <c:showPercent val="0"/>
          <c:showBubbleSize val="0"/>
        </c:dLbls>
        <c:marker val="1"/>
        <c:smooth val="0"/>
        <c:axId val="1117966680"/>
        <c:axId val="1117967072"/>
      </c:lineChart>
      <c:lineChart>
        <c:grouping val="standard"/>
        <c:varyColors val="0"/>
        <c:ser>
          <c:idx val="1"/>
          <c:order val="1"/>
          <c:tx>
            <c:strRef>
              <c:f>'4-Prog'!$C$31:$C$32</c:f>
              <c:strCache>
                <c:ptCount val="2"/>
                <c:pt idx="0">
                  <c:v>Tax  Elasticity</c:v>
                </c:pt>
              </c:strCache>
            </c:strRef>
          </c:tx>
          <c:spPr>
            <a:ln w="25400">
              <a:solidFill>
                <a:schemeClr val="tx1">
                  <a:lumMod val="65000"/>
                  <a:lumOff val="35000"/>
                </a:schemeClr>
              </a:solidFill>
              <a:prstDash val="sysDash"/>
            </a:ln>
          </c:spPr>
          <c:marker>
            <c:symbol val="none"/>
          </c:marker>
          <c:cat>
            <c:numRef>
              <c:f>'4-Prog'!$A$33:$A$73</c:f>
              <c:numCache>
                <c:formatCode>General</c:formatCode>
                <c:ptCount val="41"/>
                <c:pt idx="0">
                  <c:v>1979</c:v>
                </c:pt>
                <c:pt idx="1">
                  <c:v>1980</c:v>
                </c:pt>
                <c:pt idx="2">
                  <c:v>1981</c:v>
                </c:pt>
                <c:pt idx="3">
                  <c:v>1982</c:v>
                </c:pt>
                <c:pt idx="4">
                  <c:v>1983</c:v>
                </c:pt>
                <c:pt idx="5">
                  <c:v>1984</c:v>
                </c:pt>
                <c:pt idx="6">
                  <c:v>1985</c:v>
                </c:pt>
                <c:pt idx="7">
                  <c:v>1986</c:v>
                </c:pt>
                <c:pt idx="8">
                  <c:v>1987</c:v>
                </c:pt>
                <c:pt idx="9">
                  <c:v>1988</c:v>
                </c:pt>
                <c:pt idx="10">
                  <c:v>1989</c:v>
                </c:pt>
                <c:pt idx="11">
                  <c:v>1990</c:v>
                </c:pt>
                <c:pt idx="12">
                  <c:v>1991</c:v>
                </c:pt>
                <c:pt idx="13">
                  <c:v>1992</c:v>
                </c:pt>
                <c:pt idx="14">
                  <c:v>1993</c:v>
                </c:pt>
                <c:pt idx="15">
                  <c:v>1994</c:v>
                </c:pt>
                <c:pt idx="16">
                  <c:v>1995</c:v>
                </c:pt>
                <c:pt idx="17">
                  <c:v>1996</c:v>
                </c:pt>
                <c:pt idx="18">
                  <c:v>1997</c:v>
                </c:pt>
                <c:pt idx="19">
                  <c:v>1998</c:v>
                </c:pt>
                <c:pt idx="20">
                  <c:v>1999</c:v>
                </c:pt>
                <c:pt idx="21">
                  <c:v>2000</c:v>
                </c:pt>
                <c:pt idx="22">
                  <c:v>2001</c:v>
                </c:pt>
                <c:pt idx="23">
                  <c:v>2002</c:v>
                </c:pt>
                <c:pt idx="24">
                  <c:v>2003</c:v>
                </c:pt>
                <c:pt idx="25">
                  <c:v>2004</c:v>
                </c:pt>
                <c:pt idx="26">
                  <c:v>2005</c:v>
                </c:pt>
                <c:pt idx="27">
                  <c:v>2006</c:v>
                </c:pt>
                <c:pt idx="28">
                  <c:v>2007</c:v>
                </c:pt>
                <c:pt idx="29">
                  <c:v>2008</c:v>
                </c:pt>
                <c:pt idx="30">
                  <c:v>2009</c:v>
                </c:pt>
                <c:pt idx="31">
                  <c:v>2010</c:v>
                </c:pt>
                <c:pt idx="32">
                  <c:v>2011</c:v>
                </c:pt>
                <c:pt idx="33">
                  <c:v>2012</c:v>
                </c:pt>
                <c:pt idx="34">
                  <c:v>2013</c:v>
                </c:pt>
                <c:pt idx="35">
                  <c:v>2014</c:v>
                </c:pt>
                <c:pt idx="36">
                  <c:v>2015</c:v>
                </c:pt>
                <c:pt idx="37">
                  <c:v>2016</c:v>
                </c:pt>
                <c:pt idx="38">
                  <c:v>2017</c:v>
                </c:pt>
                <c:pt idx="39">
                  <c:v>2018</c:v>
                </c:pt>
                <c:pt idx="40">
                  <c:v>2019</c:v>
                </c:pt>
              </c:numCache>
            </c:numRef>
          </c:cat>
          <c:val>
            <c:numRef>
              <c:f>'4-Prog'!$F$33:$F$70</c:f>
              <c:numCache>
                <c:formatCode>0</c:formatCode>
                <c:ptCount val="38"/>
                <c:pt idx="0" formatCode="General">
                  <c:v>100</c:v>
                </c:pt>
                <c:pt idx="1">
                  <c:v>104.37335348083666</c:v>
                </c:pt>
                <c:pt idx="2">
                  <c:v>96.819774388570593</c:v>
                </c:pt>
                <c:pt idx="3">
                  <c:v>85.293211017652197</c:v>
                </c:pt>
                <c:pt idx="4">
                  <c:v>68.828579696479551</c:v>
                </c:pt>
                <c:pt idx="5">
                  <c:v>60.635850593815391</c:v>
                </c:pt>
                <c:pt idx="6">
                  <c:v>62.58030787126674</c:v>
                </c:pt>
                <c:pt idx="7">
                  <c:v>60.926331118725571</c:v>
                </c:pt>
                <c:pt idx="8">
                  <c:v>73.080824422647268</c:v>
                </c:pt>
                <c:pt idx="9">
                  <c:v>76.16432603467355</c:v>
                </c:pt>
                <c:pt idx="10">
                  <c:v>82.313699468347039</c:v>
                </c:pt>
                <c:pt idx="11">
                  <c:v>73.717416769807045</c:v>
                </c:pt>
                <c:pt idx="12">
                  <c:v>79.425566720814672</c:v>
                </c:pt>
                <c:pt idx="13">
                  <c:v>80.748789868959676</c:v>
                </c:pt>
                <c:pt idx="14">
                  <c:v>82.653412326143908</c:v>
                </c:pt>
                <c:pt idx="15">
                  <c:v>100.36755459489528</c:v>
                </c:pt>
                <c:pt idx="16">
                  <c:v>108.22087825833219</c:v>
                </c:pt>
                <c:pt idx="17">
                  <c:v>115.25735170892675</c:v>
                </c:pt>
                <c:pt idx="18">
                  <c:v>112.24714799026239</c:v>
                </c:pt>
                <c:pt idx="19">
                  <c:v>113.49627469882675</c:v>
                </c:pt>
                <c:pt idx="20">
                  <c:v>110.17748581517191</c:v>
                </c:pt>
                <c:pt idx="21">
                  <c:v>114.83699758450025</c:v>
                </c:pt>
                <c:pt idx="22">
                  <c:v>122.11983095112886</c:v>
                </c:pt>
                <c:pt idx="23">
                  <c:v>128.4589039778306</c:v>
                </c:pt>
                <c:pt idx="24">
                  <c:v>122.37231841173197</c:v>
                </c:pt>
                <c:pt idx="25">
                  <c:v>125.86763369562696</c:v>
                </c:pt>
                <c:pt idx="26">
                  <c:v>121.318890374132</c:v>
                </c:pt>
                <c:pt idx="27">
                  <c:v>116.25429719073443</c:v>
                </c:pt>
                <c:pt idx="28">
                  <c:v>122.50114448003428</c:v>
                </c:pt>
                <c:pt idx="29">
                  <c:v>260.7195577536811</c:v>
                </c:pt>
                <c:pt idx="30">
                  <c:v>312.05378000088825</c:v>
                </c:pt>
                <c:pt idx="31">
                  <c:v>303.82370247915003</c:v>
                </c:pt>
                <c:pt idx="32">
                  <c:v>287.11271775349792</c:v>
                </c:pt>
                <c:pt idx="33">
                  <c:v>249.57393635962322</c:v>
                </c:pt>
                <c:pt idx="34">
                  <c:v>189.32888643236589</c:v>
                </c:pt>
                <c:pt idx="35">
                  <c:v>200.65404675057817</c:v>
                </c:pt>
                <c:pt idx="36">
                  <c:v>218.41499145702534</c:v>
                </c:pt>
                <c:pt idx="37">
                  <c:v>210.23095837107167</c:v>
                </c:pt>
              </c:numCache>
            </c:numRef>
          </c:val>
          <c:smooth val="1"/>
          <c:extLst>
            <c:ext xmlns:c16="http://schemas.microsoft.com/office/drawing/2014/chart" uri="{C3380CC4-5D6E-409C-BE32-E72D297353CC}">
              <c16:uniqueId val="{00000001-6964-4A51-9369-435D598FFCF3}"/>
            </c:ext>
          </c:extLst>
        </c:ser>
        <c:dLbls>
          <c:showLegendKey val="0"/>
          <c:showVal val="0"/>
          <c:showCatName val="0"/>
          <c:showSerName val="0"/>
          <c:showPercent val="0"/>
          <c:showBubbleSize val="0"/>
        </c:dLbls>
        <c:marker val="1"/>
        <c:smooth val="0"/>
        <c:axId val="827867792"/>
        <c:axId val="611766288"/>
      </c:lineChart>
      <c:catAx>
        <c:axId val="1117966680"/>
        <c:scaling>
          <c:orientation val="minMax"/>
        </c:scaling>
        <c:delete val="0"/>
        <c:axPos val="b"/>
        <c:numFmt formatCode="General"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117967072"/>
        <c:crossesAt val="0"/>
        <c:auto val="1"/>
        <c:lblAlgn val="ctr"/>
        <c:lblOffset val="100"/>
        <c:tickLblSkip val="10"/>
        <c:tickMarkSkip val="10"/>
        <c:noMultiLvlLbl val="0"/>
      </c:catAx>
      <c:valAx>
        <c:axId val="1117967072"/>
        <c:scaling>
          <c:orientation val="minMax"/>
          <c:max val="315"/>
          <c:min val="50"/>
        </c:scaling>
        <c:delete val="0"/>
        <c:axPos val="l"/>
        <c:majorGridlines>
          <c:spPr>
            <a:ln w="6350">
              <a:solidFill>
                <a:schemeClr val="bg1">
                  <a:lumMod val="75000"/>
                </a:schemeClr>
              </a:solidFill>
              <a:prstDash val="sysDot"/>
            </a:ln>
          </c:spPr>
        </c:majorGridlines>
        <c:title>
          <c:tx>
            <c:rich>
              <a:bodyPr/>
              <a:lstStyle/>
              <a:p>
                <a:pPr>
                  <a:defRPr sz="1200" b="0" i="0" u="none" strike="noStrike" baseline="0">
                    <a:solidFill>
                      <a:srgbClr val="000000"/>
                    </a:solidFill>
                    <a:latin typeface="Arial"/>
                    <a:ea typeface="Arial"/>
                    <a:cs typeface="Arial"/>
                  </a:defRPr>
                </a:pPr>
                <a:r>
                  <a:rPr lang="en-US" sz="1200" b="0" baseline="0"/>
                  <a:t>Federal tax progressivity (1979=100)</a:t>
                </a:r>
                <a:endParaRPr lang="en-US" sz="1400" b="0"/>
              </a:p>
            </c:rich>
          </c:tx>
          <c:layout>
            <c:manualLayout>
              <c:xMode val="edge"/>
              <c:yMode val="edge"/>
              <c:x val="0"/>
              <c:y val="0.22879134178838226"/>
            </c:manualLayout>
          </c:layout>
          <c:overlay val="0"/>
          <c:spPr>
            <a:noFill/>
            <a:ln w="25400">
              <a:noFill/>
            </a:ln>
          </c:spPr>
        </c:title>
        <c:numFmt formatCode="#,##0" sourceLinked="0"/>
        <c:majorTickMark val="out"/>
        <c:minorTickMark val="none"/>
        <c:tickLblPos val="nextTo"/>
        <c:spPr>
          <a:ln w="3175">
            <a:no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117966680"/>
        <c:crosses val="autoZero"/>
        <c:crossBetween val="midCat"/>
        <c:majorUnit val="50"/>
        <c:minorUnit val="0.05"/>
      </c:valAx>
      <c:valAx>
        <c:axId val="611766288"/>
        <c:scaling>
          <c:orientation val="minMax"/>
          <c:max val="4.5"/>
          <c:min val="0"/>
        </c:scaling>
        <c:delete val="1"/>
        <c:axPos val="r"/>
        <c:numFmt formatCode="0.0" sourceLinked="0"/>
        <c:majorTickMark val="out"/>
        <c:minorTickMark val="none"/>
        <c:tickLblPos val="nextTo"/>
        <c:crossAx val="827867792"/>
        <c:crosses val="max"/>
        <c:crossBetween val="between"/>
        <c:majorUnit val="0.31000000000000005"/>
      </c:valAx>
      <c:catAx>
        <c:axId val="827867792"/>
        <c:scaling>
          <c:orientation val="minMax"/>
        </c:scaling>
        <c:delete val="1"/>
        <c:axPos val="b"/>
        <c:numFmt formatCode="General" sourceLinked="1"/>
        <c:majorTickMark val="out"/>
        <c:minorTickMark val="none"/>
        <c:tickLblPos val="nextTo"/>
        <c:crossAx val="611766288"/>
        <c:crosses val="autoZero"/>
        <c:auto val="1"/>
        <c:lblAlgn val="ctr"/>
        <c:lblOffset val="100"/>
        <c:noMultiLvlLbl val="0"/>
      </c:catAx>
      <c:spPr>
        <a:solidFill>
          <a:srgbClr val="FFFFFF"/>
        </a:solidFill>
        <a:ln w="3175">
          <a:noFill/>
          <a:prstDash val="solid"/>
        </a:ln>
      </c:spPr>
    </c:plotArea>
    <c:plotVisOnly val="1"/>
    <c:dispBlanksAs val="span"/>
    <c:showDLblsOverMax val="0"/>
  </c:chart>
  <c:spPr>
    <a:solidFill>
      <a:schemeClr val="bg1"/>
    </a:solidFill>
    <a:ln w="9525">
      <a:noFill/>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0866" r="0.75000000000000866" t="1" header="0.5" footer="0.5"/>
    <c:pageSetup orientation="landscape" verticalDpi="96"/>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51738515702916"/>
          <c:y val="3.3777574141508858E-2"/>
          <c:w val="0.83985244345468169"/>
          <c:h val="0.90203526840513759"/>
        </c:manualLayout>
      </c:layout>
      <c:scatterChart>
        <c:scatterStyle val="smoothMarker"/>
        <c:varyColors val="0"/>
        <c:ser>
          <c:idx val="2"/>
          <c:order val="0"/>
          <c:tx>
            <c:strRef>
              <c:f>'5-Top'!$B$34</c:f>
              <c:strCache>
                <c:ptCount val="1"/>
                <c:pt idx="0">
                  <c:v>Top marginal federal indiv. income tax rate</c:v>
                </c:pt>
              </c:strCache>
            </c:strRef>
          </c:tx>
          <c:spPr>
            <a:ln w="28575">
              <a:solidFill>
                <a:srgbClr val="D58F11"/>
              </a:solidFill>
              <a:prstDash val="solid"/>
            </a:ln>
          </c:spPr>
          <c:marker>
            <c:symbol val="none"/>
          </c:marker>
          <c:xVal>
            <c:numRef>
              <c:f>'5-Top'!$A$35:$A$95</c:f>
              <c:numCache>
                <c:formatCode>General</c:formatCode>
                <c:ptCount val="6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numCache>
            </c:numRef>
          </c:xVal>
          <c:yVal>
            <c:numRef>
              <c:f>'5-Top'!$B$35:$B$95</c:f>
              <c:numCache>
                <c:formatCode>0.000</c:formatCode>
                <c:ptCount val="61"/>
                <c:pt idx="0">
                  <c:v>0.91</c:v>
                </c:pt>
                <c:pt idx="1">
                  <c:v>0.91</c:v>
                </c:pt>
                <c:pt idx="2">
                  <c:v>0.91</c:v>
                </c:pt>
                <c:pt idx="3">
                  <c:v>0.91</c:v>
                </c:pt>
                <c:pt idx="4">
                  <c:v>0.77</c:v>
                </c:pt>
                <c:pt idx="5">
                  <c:v>0.7</c:v>
                </c:pt>
                <c:pt idx="6">
                  <c:v>0.7</c:v>
                </c:pt>
                <c:pt idx="7">
                  <c:v>0.7</c:v>
                </c:pt>
                <c:pt idx="8">
                  <c:v>0.75249999999999995</c:v>
                </c:pt>
                <c:pt idx="9">
                  <c:v>0.77</c:v>
                </c:pt>
                <c:pt idx="10">
                  <c:v>0.71750000000000003</c:v>
                </c:pt>
                <c:pt idx="11">
                  <c:v>0.7</c:v>
                </c:pt>
                <c:pt idx="12">
                  <c:v>0.7</c:v>
                </c:pt>
                <c:pt idx="13">
                  <c:v>0.7</c:v>
                </c:pt>
                <c:pt idx="14">
                  <c:v>0.7</c:v>
                </c:pt>
                <c:pt idx="15">
                  <c:v>0.7</c:v>
                </c:pt>
                <c:pt idx="16">
                  <c:v>0.7</c:v>
                </c:pt>
                <c:pt idx="17">
                  <c:v>0.7</c:v>
                </c:pt>
                <c:pt idx="18">
                  <c:v>0.7</c:v>
                </c:pt>
                <c:pt idx="19">
                  <c:v>0.7</c:v>
                </c:pt>
                <c:pt idx="20">
                  <c:v>0.7</c:v>
                </c:pt>
                <c:pt idx="21">
                  <c:v>0.69125000000000003</c:v>
                </c:pt>
                <c:pt idx="22">
                  <c:v>0.5</c:v>
                </c:pt>
                <c:pt idx="23">
                  <c:v>0.5</c:v>
                </c:pt>
                <c:pt idx="24">
                  <c:v>0.5</c:v>
                </c:pt>
                <c:pt idx="25">
                  <c:v>0.5</c:v>
                </c:pt>
                <c:pt idx="26">
                  <c:v>0.5</c:v>
                </c:pt>
                <c:pt idx="27">
                  <c:v>0.38500000000000001</c:v>
                </c:pt>
                <c:pt idx="28">
                  <c:v>0.28000000000000003</c:v>
                </c:pt>
                <c:pt idx="29">
                  <c:v>0.28000000000000003</c:v>
                </c:pt>
                <c:pt idx="30">
                  <c:v>0.28000000000000003</c:v>
                </c:pt>
                <c:pt idx="31">
                  <c:v>0.31</c:v>
                </c:pt>
                <c:pt idx="32">
                  <c:v>0.31</c:v>
                </c:pt>
                <c:pt idx="33">
                  <c:v>0.39600000000000002</c:v>
                </c:pt>
                <c:pt idx="34">
                  <c:v>0.39600000000000002</c:v>
                </c:pt>
                <c:pt idx="35">
                  <c:v>0.39600000000000002</c:v>
                </c:pt>
                <c:pt idx="36">
                  <c:v>0.39600000000000002</c:v>
                </c:pt>
                <c:pt idx="37">
                  <c:v>0.39600000000000002</c:v>
                </c:pt>
                <c:pt idx="38">
                  <c:v>0.39600000000000002</c:v>
                </c:pt>
                <c:pt idx="39">
                  <c:v>0.39600000000000002</c:v>
                </c:pt>
                <c:pt idx="40">
                  <c:v>0.39600000000000002</c:v>
                </c:pt>
                <c:pt idx="41">
                  <c:v>0.39100000000000001</c:v>
                </c:pt>
                <c:pt idx="42">
                  <c:v>0.38600000000000001</c:v>
                </c:pt>
                <c:pt idx="43">
                  <c:v>0.35</c:v>
                </c:pt>
                <c:pt idx="44">
                  <c:v>0.35</c:v>
                </c:pt>
                <c:pt idx="45">
                  <c:v>0.35</c:v>
                </c:pt>
                <c:pt idx="46">
                  <c:v>0.35</c:v>
                </c:pt>
                <c:pt idx="47">
                  <c:v>0.35</c:v>
                </c:pt>
                <c:pt idx="48">
                  <c:v>0.35</c:v>
                </c:pt>
                <c:pt idx="49">
                  <c:v>0.35</c:v>
                </c:pt>
                <c:pt idx="50">
                  <c:v>0.35</c:v>
                </c:pt>
                <c:pt idx="51">
                  <c:v>0.35</c:v>
                </c:pt>
                <c:pt idx="52">
                  <c:v>0.35</c:v>
                </c:pt>
                <c:pt idx="53">
                  <c:v>0.39600000000000002</c:v>
                </c:pt>
                <c:pt idx="54">
                  <c:v>0.39600000000000002</c:v>
                </c:pt>
                <c:pt idx="55">
                  <c:v>0.39600000000000002</c:v>
                </c:pt>
                <c:pt idx="56">
                  <c:v>0.39600000000000002</c:v>
                </c:pt>
                <c:pt idx="57">
                  <c:v>0.39600000000000002</c:v>
                </c:pt>
                <c:pt idx="58">
                  <c:v>0.37</c:v>
                </c:pt>
                <c:pt idx="59">
                  <c:v>0.37</c:v>
                </c:pt>
                <c:pt idx="60">
                  <c:v>0.37</c:v>
                </c:pt>
              </c:numCache>
            </c:numRef>
          </c:yVal>
          <c:smooth val="1"/>
          <c:extLst>
            <c:ext xmlns:c16="http://schemas.microsoft.com/office/drawing/2014/chart" uri="{C3380CC4-5D6E-409C-BE32-E72D297353CC}">
              <c16:uniqueId val="{00000000-74E4-4545-9CF3-8FFD9BDAD396}"/>
            </c:ext>
          </c:extLst>
        </c:ser>
        <c:ser>
          <c:idx val="3"/>
          <c:order val="1"/>
          <c:tx>
            <c:v>Cbo top 1%</c:v>
          </c:tx>
          <c:spPr>
            <a:ln w="25400">
              <a:solidFill>
                <a:srgbClr val="2699B4"/>
              </a:solidFill>
              <a:prstDash val="sysDash"/>
            </a:ln>
          </c:spPr>
          <c:marker>
            <c:symbol val="none"/>
          </c:marker>
          <c:xVal>
            <c:numRef>
              <c:f>'5-Top'!$A$35:$A$94</c:f>
              <c:numCache>
                <c:formatCode>General</c:formatCode>
                <c:ptCount val="60"/>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numCache>
            </c:numRef>
          </c:xVal>
          <c:yVal>
            <c:numRef>
              <c:f>'5-Top'!$R$35:$R$91</c:f>
              <c:numCache>
                <c:formatCode>General</c:formatCode>
                <c:ptCount val="57"/>
                <c:pt idx="19">
                  <c:v>0.22600000000000001</c:v>
                </c:pt>
                <c:pt idx="20">
                  <c:v>0.22899999999999998</c:v>
                </c:pt>
                <c:pt idx="21">
                  <c:v>0.21899999999999997</c:v>
                </c:pt>
                <c:pt idx="22">
                  <c:v>0.20600000000000002</c:v>
                </c:pt>
                <c:pt idx="23">
                  <c:v>0.19699999999999998</c:v>
                </c:pt>
                <c:pt idx="24">
                  <c:v>0.19500000000000001</c:v>
                </c:pt>
                <c:pt idx="25">
                  <c:v>0.191</c:v>
                </c:pt>
                <c:pt idx="26">
                  <c:v>0.18600000000000003</c:v>
                </c:pt>
                <c:pt idx="27">
                  <c:v>0.218</c:v>
                </c:pt>
                <c:pt idx="28">
                  <c:v>0.21100000000000002</c:v>
                </c:pt>
                <c:pt idx="29">
                  <c:v>0.20399999999999999</c:v>
                </c:pt>
                <c:pt idx="30">
                  <c:v>0.20300000000000001</c:v>
                </c:pt>
                <c:pt idx="31">
                  <c:v>0.21</c:v>
                </c:pt>
                <c:pt idx="32">
                  <c:v>0.21600000000000003</c:v>
                </c:pt>
                <c:pt idx="33">
                  <c:v>0.23699999999999999</c:v>
                </c:pt>
                <c:pt idx="34">
                  <c:v>0.23699999999999999</c:v>
                </c:pt>
                <c:pt idx="35">
                  <c:v>0.24399999999999999</c:v>
                </c:pt>
                <c:pt idx="36">
                  <c:v>0.248</c:v>
                </c:pt>
                <c:pt idx="37">
                  <c:v>0.24399999999999999</c:v>
                </c:pt>
                <c:pt idx="38">
                  <c:v>0.23899999999999999</c:v>
                </c:pt>
                <c:pt idx="39">
                  <c:v>0.245</c:v>
                </c:pt>
                <c:pt idx="40">
                  <c:v>0.247</c:v>
                </c:pt>
                <c:pt idx="41">
                  <c:v>0.24600000000000002</c:v>
                </c:pt>
                <c:pt idx="42">
                  <c:v>0.24199999999999999</c:v>
                </c:pt>
                <c:pt idx="43">
                  <c:v>0.21</c:v>
                </c:pt>
                <c:pt idx="44">
                  <c:v>0.20199999999999999</c:v>
                </c:pt>
                <c:pt idx="45">
                  <c:v>0.19800000000000001</c:v>
                </c:pt>
                <c:pt idx="46">
                  <c:v>0.19500000000000001</c:v>
                </c:pt>
                <c:pt idx="47">
                  <c:v>0.19500000000000001</c:v>
                </c:pt>
                <c:pt idx="48">
                  <c:v>0.20499999999999999</c:v>
                </c:pt>
                <c:pt idx="49">
                  <c:v>0.21100000000000002</c:v>
                </c:pt>
                <c:pt idx="50">
                  <c:v>0.20199999999999999</c:v>
                </c:pt>
                <c:pt idx="51">
                  <c:v>0.20300000000000001</c:v>
                </c:pt>
                <c:pt idx="52">
                  <c:v>0.19899999999999998</c:v>
                </c:pt>
                <c:pt idx="53">
                  <c:v>0.23699999999999999</c:v>
                </c:pt>
                <c:pt idx="54">
                  <c:v>0.24</c:v>
                </c:pt>
                <c:pt idx="55">
                  <c:v>0.24</c:v>
                </c:pt>
                <c:pt idx="56">
                  <c:v>0.23699999999999999</c:v>
                </c:pt>
              </c:numCache>
            </c:numRef>
          </c:yVal>
          <c:smooth val="1"/>
          <c:extLst>
            <c:ext xmlns:c16="http://schemas.microsoft.com/office/drawing/2014/chart" uri="{C3380CC4-5D6E-409C-BE32-E72D297353CC}">
              <c16:uniqueId val="{00000013-74E4-4545-9CF3-8FFD9BDAD396}"/>
            </c:ext>
          </c:extLst>
        </c:ser>
        <c:ser>
          <c:idx val="4"/>
          <c:order val="2"/>
          <c:tx>
            <c:v>AS top 1%</c:v>
          </c:tx>
          <c:spPr>
            <a:ln w="28575">
              <a:solidFill>
                <a:srgbClr val="2699B4"/>
              </a:solidFill>
            </a:ln>
          </c:spPr>
          <c:marker>
            <c:symbol val="none"/>
          </c:marker>
          <c:xVal>
            <c:numRef>
              <c:f>'5-Top'!$A$35:$A$94</c:f>
              <c:numCache>
                <c:formatCode>General</c:formatCode>
                <c:ptCount val="60"/>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numCache>
            </c:numRef>
          </c:xVal>
          <c:yVal>
            <c:numRef>
              <c:f>'5-Top'!$T$35:$T$93</c:f>
              <c:numCache>
                <c:formatCode>0.000</c:formatCode>
                <c:ptCount val="59"/>
                <c:pt idx="0">
                  <c:v>0.16225464954458724</c:v>
                </c:pt>
                <c:pt idx="2">
                  <c:v>0.15754037767074094</c:v>
                </c:pt>
                <c:pt idx="4">
                  <c:v>0.14626151036320612</c:v>
                </c:pt>
                <c:pt idx="6">
                  <c:v>0.15190501162204501</c:v>
                </c:pt>
                <c:pt idx="7">
                  <c:v>0.16573598901727693</c:v>
                </c:pt>
                <c:pt idx="8">
                  <c:v>0.17901577657705203</c:v>
                </c:pt>
                <c:pt idx="9">
                  <c:v>0.19756614083601159</c:v>
                </c:pt>
                <c:pt idx="10">
                  <c:v>0.18011655120863548</c:v>
                </c:pt>
                <c:pt idx="11">
                  <c:v>0.16198344272613241</c:v>
                </c:pt>
                <c:pt idx="12">
                  <c:v>0.17283660672052448</c:v>
                </c:pt>
                <c:pt idx="13">
                  <c:v>0.15470084649185409</c:v>
                </c:pt>
                <c:pt idx="14">
                  <c:v>0.17461403624635174</c:v>
                </c:pt>
                <c:pt idx="15">
                  <c:v>0.15717772456012485</c:v>
                </c:pt>
                <c:pt idx="16">
                  <c:v>0.16725837179228681</c:v>
                </c:pt>
                <c:pt idx="17">
                  <c:v>0.16922551037021624</c:v>
                </c:pt>
                <c:pt idx="18">
                  <c:v>0.17092870011683292</c:v>
                </c:pt>
                <c:pt idx="19">
                  <c:v>0.1935110292703518</c:v>
                </c:pt>
                <c:pt idx="20">
                  <c:v>0.19999652680173041</c:v>
                </c:pt>
                <c:pt idx="21">
                  <c:v>0.198648451666328</c:v>
                </c:pt>
                <c:pt idx="22">
                  <c:v>0.20807875183709096</c:v>
                </c:pt>
                <c:pt idx="23">
                  <c:v>0.19889624371494782</c:v>
                </c:pt>
                <c:pt idx="24">
                  <c:v>0.18960621479659348</c:v>
                </c:pt>
                <c:pt idx="25">
                  <c:v>0.20506562307040013</c:v>
                </c:pt>
                <c:pt idx="26">
                  <c:v>0.23487075840260713</c:v>
                </c:pt>
                <c:pt idx="27">
                  <c:v>0.22703236548111458</c:v>
                </c:pt>
                <c:pt idx="28">
                  <c:v>0.20135952415482972</c:v>
                </c:pt>
                <c:pt idx="29">
                  <c:v>0.20423433158029813</c:v>
                </c:pt>
                <c:pt idx="30">
                  <c:v>0.19956064874174756</c:v>
                </c:pt>
                <c:pt idx="31">
                  <c:v>0.19458636454181039</c:v>
                </c:pt>
                <c:pt idx="32">
                  <c:v>0.19961834893882474</c:v>
                </c:pt>
                <c:pt idx="33">
                  <c:v>0.22341165185697881</c:v>
                </c:pt>
                <c:pt idx="34">
                  <c:v>0.22315008287772337</c:v>
                </c:pt>
                <c:pt idx="35">
                  <c:v>0.22789969402708907</c:v>
                </c:pt>
                <c:pt idx="36">
                  <c:v>0.24702011836930793</c:v>
                </c:pt>
                <c:pt idx="37">
                  <c:v>0.25626001626348094</c:v>
                </c:pt>
                <c:pt idx="38">
                  <c:v>0.27353308312481345</c:v>
                </c:pt>
                <c:pt idx="39">
                  <c:v>0.27621794690704349</c:v>
                </c:pt>
                <c:pt idx="40">
                  <c:v>0.28742855939745882</c:v>
                </c:pt>
                <c:pt idx="41">
                  <c:v>0.26951771185277729</c:v>
                </c:pt>
                <c:pt idx="42">
                  <c:v>0.22969141555302069</c:v>
                </c:pt>
                <c:pt idx="43">
                  <c:v>0.20503902984042655</c:v>
                </c:pt>
                <c:pt idx="44">
                  <c:v>0.19906462907226533</c:v>
                </c:pt>
                <c:pt idx="45">
                  <c:v>0.21729079655519457</c:v>
                </c:pt>
                <c:pt idx="46">
                  <c:v>0.22551062843771402</c:v>
                </c:pt>
                <c:pt idx="47">
                  <c:v>0.2474632324322901</c:v>
                </c:pt>
                <c:pt idx="48">
                  <c:v>0.23728518510614355</c:v>
                </c:pt>
                <c:pt idx="49">
                  <c:v>0.17834359556902643</c:v>
                </c:pt>
                <c:pt idx="50">
                  <c:v>0.17580129690239985</c:v>
                </c:pt>
                <c:pt idx="51">
                  <c:v>0.20199179717002252</c:v>
                </c:pt>
                <c:pt idx="52">
                  <c:v>0.1987892753517384</c:v>
                </c:pt>
                <c:pt idx="53">
                  <c:v>0.23629619505734908</c:v>
                </c:pt>
                <c:pt idx="54">
                  <c:v>0.24505667675764325</c:v>
                </c:pt>
                <c:pt idx="55">
                  <c:v>0.2540702729627185</c:v>
                </c:pt>
              </c:numCache>
            </c:numRef>
          </c:yVal>
          <c:smooth val="1"/>
          <c:extLst>
            <c:ext xmlns:c16="http://schemas.microsoft.com/office/drawing/2014/chart" uri="{C3380CC4-5D6E-409C-BE32-E72D297353CC}">
              <c16:uniqueId val="{00000014-74E4-4545-9CF3-8FFD9BDAD396}"/>
            </c:ext>
          </c:extLst>
        </c:ser>
        <c:dLbls>
          <c:showLegendKey val="0"/>
          <c:showVal val="0"/>
          <c:showCatName val="0"/>
          <c:showSerName val="0"/>
          <c:showPercent val="0"/>
          <c:showBubbleSize val="0"/>
        </c:dLbls>
        <c:axId val="1117966680"/>
        <c:axId val="1117967072"/>
      </c:scatterChart>
      <c:valAx>
        <c:axId val="1117966680"/>
        <c:scaling>
          <c:orientation val="minMax"/>
          <c:max val="2016"/>
          <c:min val="1960"/>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300" b="0" i="0" u="none" strike="noStrike" baseline="0">
                <a:solidFill>
                  <a:srgbClr val="000000"/>
                </a:solidFill>
                <a:latin typeface="Arial"/>
                <a:ea typeface="Arial"/>
                <a:cs typeface="Arial"/>
              </a:defRPr>
            </a:pPr>
            <a:endParaRPr lang="en-US"/>
          </a:p>
        </c:txPr>
        <c:crossAx val="1117967072"/>
        <c:crossesAt val="0"/>
        <c:crossBetween val="midCat"/>
        <c:majorUnit val="10"/>
        <c:minorUnit val="10"/>
      </c:valAx>
      <c:valAx>
        <c:axId val="1117967072"/>
        <c:scaling>
          <c:orientation val="minMax"/>
          <c:max val="0.92"/>
          <c:min val="0"/>
        </c:scaling>
        <c:delete val="0"/>
        <c:axPos val="l"/>
        <c:majorGridlines>
          <c:spPr>
            <a:ln w="6350">
              <a:solidFill>
                <a:schemeClr val="bg1">
                  <a:lumMod val="75000"/>
                </a:schemeClr>
              </a:solidFill>
              <a:prstDash val="sysDot"/>
            </a:ln>
          </c:spPr>
        </c:majorGridlines>
        <c:title>
          <c:tx>
            <c:rich>
              <a:bodyPr/>
              <a:lstStyle/>
              <a:p>
                <a:pPr>
                  <a:defRPr sz="1200" b="0" i="0" u="none" strike="noStrike" baseline="0">
                    <a:solidFill>
                      <a:srgbClr val="000000"/>
                    </a:solidFill>
                    <a:latin typeface="Arial"/>
                    <a:ea typeface="Arial"/>
                    <a:cs typeface="Arial"/>
                  </a:defRPr>
                </a:pPr>
                <a:r>
                  <a:rPr lang="en-US" sz="1300" b="0" baseline="0"/>
                  <a:t>Top statutory &amp; avg. individual income tax rates</a:t>
                </a:r>
                <a:endParaRPr lang="en-US" sz="1300" b="0"/>
              </a:p>
            </c:rich>
          </c:tx>
          <c:layout>
            <c:manualLayout>
              <c:xMode val="edge"/>
              <c:yMode val="edge"/>
              <c:x val="0"/>
              <c:y val="0.12406288098555218"/>
            </c:manualLayout>
          </c:layout>
          <c:overlay val="0"/>
          <c:spPr>
            <a:noFill/>
            <a:ln w="25400">
              <a:noFill/>
            </a:ln>
          </c:spPr>
        </c:title>
        <c:numFmt formatCode="0%" sourceLinked="0"/>
        <c:majorTickMark val="out"/>
        <c:minorTickMark val="none"/>
        <c:tickLblPos val="nextTo"/>
        <c:spPr>
          <a:ln w="3175">
            <a:noFill/>
            <a:prstDash val="solid"/>
          </a:ln>
        </c:spPr>
        <c:txPr>
          <a:bodyPr rot="0" vert="horz"/>
          <a:lstStyle/>
          <a:p>
            <a:pPr>
              <a:defRPr sz="1300" b="0" i="0" u="none" strike="noStrike" baseline="0">
                <a:solidFill>
                  <a:srgbClr val="000000"/>
                </a:solidFill>
                <a:latin typeface="Arial"/>
                <a:ea typeface="Arial"/>
                <a:cs typeface="Arial"/>
              </a:defRPr>
            </a:pPr>
            <a:endParaRPr lang="en-US"/>
          </a:p>
        </c:txPr>
        <c:crossAx val="1117966680"/>
        <c:crosses val="autoZero"/>
        <c:crossBetween val="midCat"/>
        <c:majorUnit val="0.30000000000000004"/>
      </c:valAx>
      <c:spPr>
        <a:solidFill>
          <a:srgbClr val="FFFFFF"/>
        </a:solidFill>
        <a:ln w="3175">
          <a:noFill/>
          <a:prstDash val="solid"/>
        </a:ln>
      </c:spPr>
    </c:plotArea>
    <c:plotVisOnly val="1"/>
    <c:dispBlanksAs val="span"/>
    <c:showDLblsOverMax val="0"/>
  </c:chart>
  <c:spPr>
    <a:solidFill>
      <a:schemeClr val="bg1"/>
    </a:solidFill>
    <a:ln w="9525">
      <a:noFill/>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0866" r="0.75000000000000866" t="1" header="0.5" footer="0.5"/>
    <c:pageSetup orientation="landscape" verticalDpi="96"/>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9.xml.rels><?xml version="1.0" encoding="UTF-8" standalone="yes"?>
<Relationships xmlns="http://schemas.openxmlformats.org/package/2006/relationships"><Relationship Id="rId72" Type="http://schemas.openxmlformats.org/officeDocument/2006/relationships/customXml" Target="../ink/ink15.xml"/><Relationship Id="rId63" Type="http://schemas.openxmlformats.org/officeDocument/2006/relationships/customXml" Target="../ink/ink13.xml"/><Relationship Id="rId71" Type="http://schemas.openxmlformats.org/officeDocument/2006/relationships/image" Target="../media/image33.png"/><Relationship Id="rId2" Type="http://schemas.openxmlformats.org/officeDocument/2006/relationships/customXml" Target="../ink/ink10.xml"/><Relationship Id="rId62" Type="http://schemas.openxmlformats.org/officeDocument/2006/relationships/customXml" Target="../ink/ink12.xml"/><Relationship Id="rId1" Type="http://schemas.openxmlformats.org/officeDocument/2006/relationships/chart" Target="../charts/chart13.xml"/><Relationship Id="rId74" Type="http://schemas.openxmlformats.org/officeDocument/2006/relationships/chart" Target="../charts/chart14.xml"/><Relationship Id="rId61" Type="http://schemas.openxmlformats.org/officeDocument/2006/relationships/customXml" Target="../ink/ink11.xml"/><Relationship Id="rId60" Type="http://schemas.openxmlformats.org/officeDocument/2006/relationships/image" Target="../media/image29.png"/><Relationship Id="rId73" Type="http://schemas.openxmlformats.org/officeDocument/2006/relationships/customXml" Target="../ink/ink16.xml"/><Relationship Id="rId64" Type="http://schemas.openxmlformats.org/officeDocument/2006/relationships/customXml" Target="../ink/ink14.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1.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 Id="rId4" Type="http://schemas.openxmlformats.org/officeDocument/2006/relationships/chart" Target="../charts/chart29.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48.xml.rels><?xml version="1.0" encoding="UTF-8" standalone="yes"?>
<Relationships xmlns="http://schemas.openxmlformats.org/package/2006/relationships"><Relationship Id="rId72" Type="http://schemas.openxmlformats.org/officeDocument/2006/relationships/customXml" Target="../ink/ink22.xml"/><Relationship Id="rId63" Type="http://schemas.openxmlformats.org/officeDocument/2006/relationships/customXml" Target="../ink/ink20.xml"/><Relationship Id="rId71" Type="http://schemas.openxmlformats.org/officeDocument/2006/relationships/image" Target="../media/image33.png"/><Relationship Id="rId2" Type="http://schemas.openxmlformats.org/officeDocument/2006/relationships/customXml" Target="../ink/ink17.xml"/><Relationship Id="rId62" Type="http://schemas.openxmlformats.org/officeDocument/2006/relationships/customXml" Target="../ink/ink19.xml"/><Relationship Id="rId1" Type="http://schemas.openxmlformats.org/officeDocument/2006/relationships/chart" Target="../charts/chart31.xml"/><Relationship Id="rId61" Type="http://schemas.openxmlformats.org/officeDocument/2006/relationships/customXml" Target="../ink/ink18.xml"/><Relationship Id="rId60" Type="http://schemas.openxmlformats.org/officeDocument/2006/relationships/image" Target="../media/image29.png"/><Relationship Id="rId73" Type="http://schemas.openxmlformats.org/officeDocument/2006/relationships/customXml" Target="../ink/ink23.xml"/><Relationship Id="rId64" Type="http://schemas.openxmlformats.org/officeDocument/2006/relationships/customXml" Target="../ink/ink21.xml"/></Relationships>
</file>

<file path=xl/drawings/_rels/drawing50.xml.rels><?xml version="1.0" encoding="UTF-8" standalone="yes"?>
<Relationships xmlns="http://schemas.openxmlformats.org/package/2006/relationships"><Relationship Id="rId72" Type="http://schemas.openxmlformats.org/officeDocument/2006/relationships/customXml" Target="../ink/ink29.xml"/><Relationship Id="rId63" Type="http://schemas.openxmlformats.org/officeDocument/2006/relationships/customXml" Target="../ink/ink27.xml"/><Relationship Id="rId71" Type="http://schemas.openxmlformats.org/officeDocument/2006/relationships/image" Target="../media/image33.png"/><Relationship Id="rId2" Type="http://schemas.openxmlformats.org/officeDocument/2006/relationships/customXml" Target="../ink/ink24.xml"/><Relationship Id="rId62" Type="http://schemas.openxmlformats.org/officeDocument/2006/relationships/customXml" Target="../ink/ink26.xml"/><Relationship Id="rId1" Type="http://schemas.openxmlformats.org/officeDocument/2006/relationships/chart" Target="../charts/chart32.xml"/><Relationship Id="rId61" Type="http://schemas.openxmlformats.org/officeDocument/2006/relationships/customXml" Target="../ink/ink25.xml"/><Relationship Id="rId60" Type="http://schemas.openxmlformats.org/officeDocument/2006/relationships/image" Target="../media/image29.png"/><Relationship Id="rId73" Type="http://schemas.openxmlformats.org/officeDocument/2006/relationships/customXml" Target="../ink/ink30.xml"/><Relationship Id="rId64" Type="http://schemas.openxmlformats.org/officeDocument/2006/relationships/customXml" Target="../ink/ink28.xml"/></Relationships>
</file>

<file path=xl/drawings/_rels/drawing52.xml.rels><?xml version="1.0" encoding="UTF-8" standalone="yes"?>
<Relationships xmlns="http://schemas.openxmlformats.org/package/2006/relationships"><Relationship Id="rId72" Type="http://schemas.openxmlformats.org/officeDocument/2006/relationships/customXml" Target="../ink/ink36.xml"/><Relationship Id="rId63" Type="http://schemas.openxmlformats.org/officeDocument/2006/relationships/customXml" Target="../ink/ink34.xml"/><Relationship Id="rId71" Type="http://schemas.openxmlformats.org/officeDocument/2006/relationships/image" Target="../media/image33.png"/><Relationship Id="rId2" Type="http://schemas.openxmlformats.org/officeDocument/2006/relationships/customXml" Target="../ink/ink31.xml"/><Relationship Id="rId62" Type="http://schemas.openxmlformats.org/officeDocument/2006/relationships/customXml" Target="../ink/ink33.xml"/><Relationship Id="rId1" Type="http://schemas.openxmlformats.org/officeDocument/2006/relationships/chart" Target="../charts/chart33.xml"/><Relationship Id="rId61" Type="http://schemas.openxmlformats.org/officeDocument/2006/relationships/customXml" Target="../ink/ink32.xml"/><Relationship Id="rId60" Type="http://schemas.openxmlformats.org/officeDocument/2006/relationships/image" Target="../media/image29.png"/><Relationship Id="rId73" Type="http://schemas.openxmlformats.org/officeDocument/2006/relationships/customXml" Target="../ink/ink37.xml"/><Relationship Id="rId64" Type="http://schemas.openxmlformats.org/officeDocument/2006/relationships/customXml" Target="../ink/ink35.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56.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59.xml.rels><?xml version="1.0" encoding="UTF-8" standalone="yes"?>
<Relationships xmlns="http://schemas.openxmlformats.org/package/2006/relationships"><Relationship Id="rId72" Type="http://schemas.openxmlformats.org/officeDocument/2006/relationships/customXml" Target="../ink/ink45.xml"/><Relationship Id="rId63" Type="http://schemas.openxmlformats.org/officeDocument/2006/relationships/customXml" Target="../ink/ink40.xml"/><Relationship Id="rId71" Type="http://schemas.openxmlformats.org/officeDocument/2006/relationships/image" Target="../media/image33.png"/><Relationship Id="rId62" Type="http://schemas.openxmlformats.org/officeDocument/2006/relationships/image" Target="../media/image30.png"/><Relationship Id="rId70" Type="http://schemas.openxmlformats.org/officeDocument/2006/relationships/customXml" Target="../ink/ink44.xml"/><Relationship Id="rId1" Type="http://schemas.openxmlformats.org/officeDocument/2006/relationships/customXml" Target="../ink/ink38.xml"/><Relationship Id="rId66" Type="http://schemas.openxmlformats.org/officeDocument/2006/relationships/customXml" Target="../ink/ink43.xml"/><Relationship Id="rId74" Type="http://schemas.openxmlformats.org/officeDocument/2006/relationships/chart" Target="../charts/chart37.xml"/><Relationship Id="rId61" Type="http://schemas.openxmlformats.org/officeDocument/2006/relationships/customXml" Target="../ink/ink39.xml"/><Relationship Id="rId60" Type="http://schemas.openxmlformats.org/officeDocument/2006/relationships/image" Target="../media/image29.png"/><Relationship Id="rId65" Type="http://schemas.openxmlformats.org/officeDocument/2006/relationships/customXml" Target="../ink/ink42.xml"/><Relationship Id="rId73" Type="http://schemas.openxmlformats.org/officeDocument/2006/relationships/customXml" Target="../ink/ink46.xml"/><Relationship Id="rId64" Type="http://schemas.openxmlformats.org/officeDocument/2006/relationships/customXml" Target="../ink/ink41.xml"/><Relationship Id="rId69" Type="http://schemas.openxmlformats.org/officeDocument/2006/relationships/image" Target="../media/image32.png"/></Relationships>
</file>

<file path=xl/drawings/_rels/drawing61.xml.rels><?xml version="1.0" encoding="UTF-8" standalone="yes"?>
<Relationships xmlns="http://schemas.openxmlformats.org/package/2006/relationships"><Relationship Id="rId72" Type="http://schemas.openxmlformats.org/officeDocument/2006/relationships/customXml" Target="../ink/ink54.xml"/><Relationship Id="rId63" Type="http://schemas.openxmlformats.org/officeDocument/2006/relationships/customXml" Target="../ink/ink49.xml"/><Relationship Id="rId71" Type="http://schemas.openxmlformats.org/officeDocument/2006/relationships/image" Target="../media/image33.png"/><Relationship Id="rId62" Type="http://schemas.openxmlformats.org/officeDocument/2006/relationships/image" Target="../media/image30.png"/><Relationship Id="rId70" Type="http://schemas.openxmlformats.org/officeDocument/2006/relationships/customXml" Target="../ink/ink53.xml"/><Relationship Id="rId75" Type="http://schemas.openxmlformats.org/officeDocument/2006/relationships/chart" Target="../charts/chart39.xml"/><Relationship Id="rId1" Type="http://schemas.openxmlformats.org/officeDocument/2006/relationships/customXml" Target="../ink/ink47.xml"/><Relationship Id="rId66" Type="http://schemas.openxmlformats.org/officeDocument/2006/relationships/customXml" Target="../ink/ink52.xml"/><Relationship Id="rId74" Type="http://schemas.openxmlformats.org/officeDocument/2006/relationships/chart" Target="../charts/chart38.xml"/><Relationship Id="rId61" Type="http://schemas.openxmlformats.org/officeDocument/2006/relationships/customXml" Target="../ink/ink48.xml"/><Relationship Id="rId60" Type="http://schemas.openxmlformats.org/officeDocument/2006/relationships/image" Target="../media/image29.png"/><Relationship Id="rId65" Type="http://schemas.openxmlformats.org/officeDocument/2006/relationships/customXml" Target="../ink/ink51.xml"/><Relationship Id="rId73" Type="http://schemas.openxmlformats.org/officeDocument/2006/relationships/customXml" Target="../ink/ink55.xml"/><Relationship Id="rId64" Type="http://schemas.openxmlformats.org/officeDocument/2006/relationships/customXml" Target="../ink/ink50.xml"/><Relationship Id="rId69" Type="http://schemas.openxmlformats.org/officeDocument/2006/relationships/image" Target="../media/image32.png"/></Relationships>
</file>

<file path=xl/drawings/_rels/drawing64.xml.rels><?xml version="1.0" encoding="UTF-8" standalone="yes"?>
<Relationships xmlns="http://schemas.openxmlformats.org/package/2006/relationships"><Relationship Id="rId72" Type="http://schemas.openxmlformats.org/officeDocument/2006/relationships/customXml" Target="../ink/ink63.xml"/><Relationship Id="rId63" Type="http://schemas.openxmlformats.org/officeDocument/2006/relationships/customXml" Target="../ink/ink58.xml"/><Relationship Id="rId71" Type="http://schemas.openxmlformats.org/officeDocument/2006/relationships/image" Target="../media/image33.png"/><Relationship Id="rId62" Type="http://schemas.openxmlformats.org/officeDocument/2006/relationships/image" Target="../media/image30.png"/><Relationship Id="rId70" Type="http://schemas.openxmlformats.org/officeDocument/2006/relationships/customXml" Target="../ink/ink62.xml"/><Relationship Id="rId1" Type="http://schemas.openxmlformats.org/officeDocument/2006/relationships/customXml" Target="../ink/ink56.xml"/><Relationship Id="rId66" Type="http://schemas.openxmlformats.org/officeDocument/2006/relationships/customXml" Target="../ink/ink61.xml"/><Relationship Id="rId61" Type="http://schemas.openxmlformats.org/officeDocument/2006/relationships/customXml" Target="../ink/ink57.xml"/><Relationship Id="rId60" Type="http://schemas.openxmlformats.org/officeDocument/2006/relationships/image" Target="../media/image29.png"/><Relationship Id="rId65" Type="http://schemas.openxmlformats.org/officeDocument/2006/relationships/customXml" Target="../ink/ink60.xml"/><Relationship Id="rId73" Type="http://schemas.openxmlformats.org/officeDocument/2006/relationships/customXml" Target="../ink/ink64.xml"/><Relationship Id="rId64" Type="http://schemas.openxmlformats.org/officeDocument/2006/relationships/customXml" Target="../ink/ink59.xml"/><Relationship Id="rId69" Type="http://schemas.openxmlformats.org/officeDocument/2006/relationships/image" Target="../media/image32.png"/></Relationships>
</file>

<file path=xl/drawings/_rels/drawing65.xml.rels><?xml version="1.0" encoding="UTF-8" standalone="yes"?>
<Relationships xmlns="http://schemas.openxmlformats.org/package/2006/relationships"><Relationship Id="rId72" Type="http://schemas.openxmlformats.org/officeDocument/2006/relationships/customXml" Target="../ink/ink72.xml"/><Relationship Id="rId63" Type="http://schemas.openxmlformats.org/officeDocument/2006/relationships/customXml" Target="../ink/ink67.xml"/><Relationship Id="rId71" Type="http://schemas.openxmlformats.org/officeDocument/2006/relationships/image" Target="../media/image33.png"/><Relationship Id="rId62" Type="http://schemas.openxmlformats.org/officeDocument/2006/relationships/image" Target="../media/image30.png"/><Relationship Id="rId70" Type="http://schemas.openxmlformats.org/officeDocument/2006/relationships/customXml" Target="../ink/ink71.xml"/><Relationship Id="rId1" Type="http://schemas.openxmlformats.org/officeDocument/2006/relationships/customXml" Target="../ink/ink65.xml"/><Relationship Id="rId66" Type="http://schemas.openxmlformats.org/officeDocument/2006/relationships/customXml" Target="../ink/ink70.xml"/><Relationship Id="rId61" Type="http://schemas.openxmlformats.org/officeDocument/2006/relationships/customXml" Target="../ink/ink66.xml"/><Relationship Id="rId60" Type="http://schemas.openxmlformats.org/officeDocument/2006/relationships/image" Target="../media/image29.png"/><Relationship Id="rId65" Type="http://schemas.openxmlformats.org/officeDocument/2006/relationships/customXml" Target="../ink/ink69.xml"/><Relationship Id="rId73" Type="http://schemas.openxmlformats.org/officeDocument/2006/relationships/customXml" Target="../ink/ink73.xml"/><Relationship Id="rId64" Type="http://schemas.openxmlformats.org/officeDocument/2006/relationships/customXml" Target="../ink/ink68.xml"/><Relationship Id="rId69" Type="http://schemas.openxmlformats.org/officeDocument/2006/relationships/image" Target="../media/image32.png"/></Relationships>
</file>

<file path=xl/drawings/_rels/drawing66.xml.rels><?xml version="1.0" encoding="UTF-8" standalone="yes"?>
<Relationships xmlns="http://schemas.openxmlformats.org/package/2006/relationships"><Relationship Id="rId72" Type="http://schemas.openxmlformats.org/officeDocument/2006/relationships/customXml" Target="../ink/ink81.xml"/><Relationship Id="rId63" Type="http://schemas.openxmlformats.org/officeDocument/2006/relationships/customXml" Target="../ink/ink76.xml"/><Relationship Id="rId71" Type="http://schemas.openxmlformats.org/officeDocument/2006/relationships/image" Target="../media/image33.png"/><Relationship Id="rId62" Type="http://schemas.openxmlformats.org/officeDocument/2006/relationships/image" Target="../media/image30.png"/><Relationship Id="rId70" Type="http://schemas.openxmlformats.org/officeDocument/2006/relationships/customXml" Target="../ink/ink80.xml"/><Relationship Id="rId1" Type="http://schemas.openxmlformats.org/officeDocument/2006/relationships/customXml" Target="../ink/ink74.xml"/><Relationship Id="rId66" Type="http://schemas.openxmlformats.org/officeDocument/2006/relationships/customXml" Target="../ink/ink79.xml"/><Relationship Id="rId61" Type="http://schemas.openxmlformats.org/officeDocument/2006/relationships/customXml" Target="../ink/ink75.xml"/><Relationship Id="rId60" Type="http://schemas.openxmlformats.org/officeDocument/2006/relationships/image" Target="../media/image29.png"/><Relationship Id="rId65" Type="http://schemas.openxmlformats.org/officeDocument/2006/relationships/customXml" Target="../ink/ink78.xml"/><Relationship Id="rId73" Type="http://schemas.openxmlformats.org/officeDocument/2006/relationships/customXml" Target="../ink/ink82.xml"/><Relationship Id="rId64" Type="http://schemas.openxmlformats.org/officeDocument/2006/relationships/customXml" Target="../ink/ink77.xml"/><Relationship Id="rId69" Type="http://schemas.openxmlformats.org/officeDocument/2006/relationships/image" Target="../media/image32.png"/></Relationships>
</file>

<file path=xl/drawings/_rels/drawing67.xml.rels><?xml version="1.0" encoding="UTF-8" standalone="yes"?>
<Relationships xmlns="http://schemas.openxmlformats.org/package/2006/relationships"><Relationship Id="rId72" Type="http://schemas.openxmlformats.org/officeDocument/2006/relationships/customXml" Target="../ink/ink90.xml"/><Relationship Id="rId63" Type="http://schemas.openxmlformats.org/officeDocument/2006/relationships/customXml" Target="../ink/ink85.xml"/><Relationship Id="rId71" Type="http://schemas.openxmlformats.org/officeDocument/2006/relationships/image" Target="../media/image33.png"/><Relationship Id="rId62" Type="http://schemas.openxmlformats.org/officeDocument/2006/relationships/image" Target="../media/image30.png"/><Relationship Id="rId70" Type="http://schemas.openxmlformats.org/officeDocument/2006/relationships/customXml" Target="../ink/ink89.xml"/><Relationship Id="rId1" Type="http://schemas.openxmlformats.org/officeDocument/2006/relationships/customXml" Target="../ink/ink83.xml"/><Relationship Id="rId66" Type="http://schemas.openxmlformats.org/officeDocument/2006/relationships/customXml" Target="../ink/ink88.xml"/><Relationship Id="rId61" Type="http://schemas.openxmlformats.org/officeDocument/2006/relationships/customXml" Target="../ink/ink84.xml"/><Relationship Id="rId60" Type="http://schemas.openxmlformats.org/officeDocument/2006/relationships/image" Target="../media/image29.png"/><Relationship Id="rId65" Type="http://schemas.openxmlformats.org/officeDocument/2006/relationships/customXml" Target="../ink/ink87.xml"/><Relationship Id="rId73" Type="http://schemas.openxmlformats.org/officeDocument/2006/relationships/customXml" Target="../ink/ink91.xml"/><Relationship Id="rId64" Type="http://schemas.openxmlformats.org/officeDocument/2006/relationships/customXml" Target="../ink/ink86.xml"/><Relationship Id="rId69" Type="http://schemas.openxmlformats.org/officeDocument/2006/relationships/image" Target="../media/image32.png"/></Relationships>
</file>

<file path=xl/drawings/_rels/drawing7.xml.rels><?xml version="1.0" encoding="UTF-8" standalone="yes"?>
<Relationships xmlns="http://schemas.openxmlformats.org/package/2006/relationships"><Relationship Id="rId72" Type="http://schemas.openxmlformats.org/officeDocument/2006/relationships/customXml" Target="../ink/ink8.xml"/><Relationship Id="rId63" Type="http://schemas.openxmlformats.org/officeDocument/2006/relationships/customXml" Target="../ink/ink3.xml"/><Relationship Id="rId71" Type="http://schemas.openxmlformats.org/officeDocument/2006/relationships/image" Target="../media/image33.png"/><Relationship Id="rId62" Type="http://schemas.openxmlformats.org/officeDocument/2006/relationships/image" Target="../media/image30.png"/><Relationship Id="rId70" Type="http://schemas.openxmlformats.org/officeDocument/2006/relationships/customXml" Target="../ink/ink7.xml"/><Relationship Id="rId75" Type="http://schemas.openxmlformats.org/officeDocument/2006/relationships/chart" Target="../charts/chart6.xml"/><Relationship Id="rId1" Type="http://schemas.openxmlformats.org/officeDocument/2006/relationships/customXml" Target="../ink/ink1.xml"/><Relationship Id="rId66" Type="http://schemas.openxmlformats.org/officeDocument/2006/relationships/customXml" Target="../ink/ink6.xml"/><Relationship Id="rId74" Type="http://schemas.openxmlformats.org/officeDocument/2006/relationships/chart" Target="../charts/chart5.xml"/><Relationship Id="rId61" Type="http://schemas.openxmlformats.org/officeDocument/2006/relationships/customXml" Target="../ink/ink2.xml"/><Relationship Id="rId60" Type="http://schemas.openxmlformats.org/officeDocument/2006/relationships/image" Target="../media/image29.png"/><Relationship Id="rId65" Type="http://schemas.openxmlformats.org/officeDocument/2006/relationships/customXml" Target="../ink/ink5.xml"/><Relationship Id="rId73" Type="http://schemas.openxmlformats.org/officeDocument/2006/relationships/customXml" Target="../ink/ink9.xml"/><Relationship Id="rId64" Type="http://schemas.openxmlformats.org/officeDocument/2006/relationships/customXml" Target="../ink/ink4.xml"/><Relationship Id="rId69" Type="http://schemas.openxmlformats.org/officeDocument/2006/relationships/image" Target="../media/image32.png"/></Relationships>
</file>

<file path=xl/drawings/drawing1.xml><?xml version="1.0" encoding="utf-8"?>
<xdr:wsDr xmlns:xdr="http://schemas.openxmlformats.org/drawingml/2006/spreadsheetDrawing" xmlns:a="http://schemas.openxmlformats.org/drawingml/2006/main">
  <xdr:twoCellAnchor>
    <xdr:from>
      <xdr:col>0</xdr:col>
      <xdr:colOff>235324</xdr:colOff>
      <xdr:row>1</xdr:row>
      <xdr:rowOff>179293</xdr:rowOff>
    </xdr:from>
    <xdr:to>
      <xdr:col>7</xdr:col>
      <xdr:colOff>282949</xdr:colOff>
      <xdr:row>24</xdr:row>
      <xdr:rowOff>93568</xdr:rowOff>
    </xdr:to>
    <xdr:graphicFrame macro="">
      <xdr:nvGraphicFramePr>
        <xdr:cNvPr id="2" name="Chart 1">
          <a:extLst>
            <a:ext uri="{FF2B5EF4-FFF2-40B4-BE49-F238E27FC236}">
              <a16:creationId xmlns:a16="http://schemas.microsoft.com/office/drawing/2014/main" id="{F4B1339E-3AAC-407D-900D-9A4BAAAA99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2</xdr:row>
      <xdr:rowOff>28575</xdr:rowOff>
    </xdr:from>
    <xdr:to>
      <xdr:col>17</xdr:col>
      <xdr:colOff>962025</xdr:colOff>
      <xdr:row>24</xdr:row>
      <xdr:rowOff>133350</xdr:rowOff>
    </xdr:to>
    <xdr:graphicFrame macro="">
      <xdr:nvGraphicFramePr>
        <xdr:cNvPr id="3" name="Chart 2">
          <a:extLst>
            <a:ext uri="{FF2B5EF4-FFF2-40B4-BE49-F238E27FC236}">
              <a16:creationId xmlns:a16="http://schemas.microsoft.com/office/drawing/2014/main" id="{07E555AC-ED91-45D3-A750-324E3D1D93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156879</xdr:colOff>
      <xdr:row>1</xdr:row>
      <xdr:rowOff>145676</xdr:rowOff>
    </xdr:from>
    <xdr:to>
      <xdr:col>11</xdr:col>
      <xdr:colOff>73954</xdr:colOff>
      <xdr:row>25</xdr:row>
      <xdr:rowOff>78440</xdr:rowOff>
    </xdr:to>
    <xdr:graphicFrame macro="">
      <xdr:nvGraphicFramePr>
        <xdr:cNvPr id="5" name="Chart 4">
          <a:extLst>
            <a:ext uri="{FF2B5EF4-FFF2-40B4-BE49-F238E27FC236}">
              <a16:creationId xmlns:a16="http://schemas.microsoft.com/office/drawing/2014/main" id="{7AEAD2B8-7AC8-4AC6-9A22-BF8891CE6D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246529</xdr:colOff>
      <xdr:row>2</xdr:row>
      <xdr:rowOff>0</xdr:rowOff>
    </xdr:from>
    <xdr:to>
      <xdr:col>23</xdr:col>
      <xdr:colOff>320486</xdr:colOff>
      <xdr:row>25</xdr:row>
      <xdr:rowOff>123264</xdr:rowOff>
    </xdr:to>
    <xdr:graphicFrame macro="">
      <xdr:nvGraphicFramePr>
        <xdr:cNvPr id="3" name="Chart 2">
          <a:extLst>
            <a:ext uri="{FF2B5EF4-FFF2-40B4-BE49-F238E27FC236}">
              <a16:creationId xmlns:a16="http://schemas.microsoft.com/office/drawing/2014/main" id="{929F4F40-DA43-4357-A32A-E6013888EC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0.73848</cdr:x>
      <cdr:y>0.63509</cdr:y>
    </cdr:from>
    <cdr:to>
      <cdr:x>0.98812</cdr:x>
      <cdr:y>0.69589</cdr:y>
    </cdr:to>
    <cdr:sp macro="" textlink="">
      <cdr:nvSpPr>
        <cdr:cNvPr id="8" name="TextBox 1">
          <a:extLst xmlns:a="http://schemas.openxmlformats.org/drawingml/2006/main">
            <a:ext uri="{FF2B5EF4-FFF2-40B4-BE49-F238E27FC236}">
              <a16:creationId xmlns:a16="http://schemas.microsoft.com/office/drawing/2014/main" id="{667A952A-D507-4E13-B5C4-C84D92D0DB94}"/>
            </a:ext>
          </a:extLst>
        </cdr:cNvPr>
        <cdr:cNvSpPr txBox="1"/>
      </cdr:nvSpPr>
      <cdr:spPr>
        <a:xfrm xmlns:a="http://schemas.openxmlformats.org/drawingml/2006/main">
          <a:off x="4970155" y="2860921"/>
          <a:ext cx="1680140" cy="27389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400"/>
            </a:lnSpc>
          </a:pPr>
          <a:r>
            <a:rPr lang="en-US" sz="1600" b="1">
              <a:solidFill>
                <a:srgbClr val="1F7B91"/>
              </a:solidFill>
              <a:latin typeface="Arial" panose="020B0604020202020204" pitchFamily="34" charset="0"/>
              <a:cs typeface="Arial" panose="020B0604020202020204" pitchFamily="34" charset="0"/>
            </a:rPr>
            <a:t>Kakwani Index</a:t>
          </a:r>
        </a:p>
      </cdr:txBody>
    </cdr:sp>
  </cdr:relSizeAnchor>
  <cdr:relSizeAnchor xmlns:cdr="http://schemas.openxmlformats.org/drawingml/2006/chartDrawing">
    <cdr:from>
      <cdr:x>0.88036</cdr:x>
      <cdr:y>0.58893</cdr:y>
    </cdr:from>
    <cdr:to>
      <cdr:x>0.98835</cdr:x>
      <cdr:y>0.65484</cdr:y>
    </cdr:to>
    <cdr:sp macro="" textlink="">
      <cdr:nvSpPr>
        <cdr:cNvPr id="9" name="TextBox 1">
          <a:extLst xmlns:a="http://schemas.openxmlformats.org/drawingml/2006/main">
            <a:ext uri="{FF2B5EF4-FFF2-40B4-BE49-F238E27FC236}">
              <a16:creationId xmlns:a16="http://schemas.microsoft.com/office/drawing/2014/main" id="{3DD8D46D-9A6B-4F3A-B422-A2717F264A21}"/>
            </a:ext>
          </a:extLst>
        </cdr:cNvPr>
        <cdr:cNvSpPr txBox="1"/>
      </cdr:nvSpPr>
      <cdr:spPr>
        <a:xfrm xmlns:a="http://schemas.openxmlformats.org/drawingml/2006/main">
          <a:off x="5925077" y="2652981"/>
          <a:ext cx="726733" cy="29690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200"/>
            </a:lnSpc>
          </a:pPr>
          <a:r>
            <a:rPr lang="en-US" sz="1600" b="1">
              <a:solidFill>
                <a:srgbClr val="1F7B91"/>
              </a:solidFill>
              <a:effectLst/>
              <a:latin typeface="Arial" panose="020B0604020202020204" pitchFamily="34" charset="0"/>
              <a:ea typeface="+mn-ea"/>
              <a:cs typeface="Arial" panose="020B0604020202020204" pitchFamily="34" charset="0"/>
            </a:rPr>
            <a:t>+46%</a:t>
          </a:r>
          <a:endParaRPr lang="en-US" sz="1600" b="1">
            <a:solidFill>
              <a:srgbClr val="1F7B9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0.87512</cdr:x>
      <cdr:y>0.36996</cdr:y>
    </cdr:from>
    <cdr:to>
      <cdr:x>1</cdr:x>
      <cdr:y>0.43587</cdr:y>
    </cdr:to>
    <cdr:sp macro="" textlink="">
      <cdr:nvSpPr>
        <cdr:cNvPr id="10" name="TextBox 1">
          <a:extLst xmlns:a="http://schemas.openxmlformats.org/drawingml/2006/main">
            <a:ext uri="{FF2B5EF4-FFF2-40B4-BE49-F238E27FC236}">
              <a16:creationId xmlns:a16="http://schemas.microsoft.com/office/drawing/2014/main" id="{EEFC3946-31B0-4B0E-8EF1-05D7B4A4B0DA}"/>
            </a:ext>
          </a:extLst>
        </cdr:cNvPr>
        <cdr:cNvSpPr txBox="1"/>
      </cdr:nvSpPr>
      <cdr:spPr>
        <a:xfrm xmlns:a="http://schemas.openxmlformats.org/drawingml/2006/main">
          <a:off x="5889810" y="1666594"/>
          <a:ext cx="840441" cy="29690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200"/>
            </a:lnSpc>
          </a:pPr>
          <a:r>
            <a:rPr lang="en-US" sz="1600" b="1">
              <a:solidFill>
                <a:srgbClr val="792B36"/>
              </a:solidFill>
              <a:effectLst/>
              <a:latin typeface="Arial" panose="020B0604020202020204" pitchFamily="34" charset="0"/>
              <a:ea typeface="+mn-ea"/>
              <a:cs typeface="Arial" panose="020B0604020202020204" pitchFamily="34" charset="0"/>
            </a:rPr>
            <a:t>+110%</a:t>
          </a:r>
          <a:endParaRPr lang="en-US" sz="1600" b="1">
            <a:solidFill>
              <a:srgbClr val="792B36"/>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0.76757</cdr:x>
      <cdr:y>0.46046</cdr:y>
    </cdr:from>
    <cdr:to>
      <cdr:x>0.99167</cdr:x>
      <cdr:y>0.57462</cdr:y>
    </cdr:to>
    <cdr:sp macro="" textlink="">
      <cdr:nvSpPr>
        <cdr:cNvPr id="11" name="TextBox 1">
          <a:extLst xmlns:a="http://schemas.openxmlformats.org/drawingml/2006/main">
            <a:ext uri="{FF2B5EF4-FFF2-40B4-BE49-F238E27FC236}">
              <a16:creationId xmlns:a16="http://schemas.microsoft.com/office/drawing/2014/main" id="{FDE74DD3-2E65-4728-BB07-5ED547CDE84E}"/>
            </a:ext>
          </a:extLst>
        </cdr:cNvPr>
        <cdr:cNvSpPr txBox="1"/>
      </cdr:nvSpPr>
      <cdr:spPr>
        <a:xfrm xmlns:a="http://schemas.openxmlformats.org/drawingml/2006/main">
          <a:off x="5165915" y="2074265"/>
          <a:ext cx="1508306" cy="5142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600"/>
            </a:lnSpc>
          </a:pPr>
          <a:r>
            <a:rPr lang="en-US" sz="1600" b="1">
              <a:solidFill>
                <a:srgbClr val="792B36"/>
              </a:solidFill>
              <a:latin typeface="Arial" panose="020B0604020202020204" pitchFamily="34" charset="0"/>
              <a:cs typeface="Arial" panose="020B0604020202020204" pitchFamily="34" charset="0"/>
            </a:rPr>
            <a:t>Tax</a:t>
          </a:r>
          <a:r>
            <a:rPr lang="en-US" sz="1600" b="1" baseline="0">
              <a:solidFill>
                <a:srgbClr val="792B36"/>
              </a:solidFill>
              <a:latin typeface="Arial" panose="020B0604020202020204" pitchFamily="34" charset="0"/>
              <a:cs typeface="Arial" panose="020B0604020202020204" pitchFamily="34" charset="0"/>
            </a:rPr>
            <a:t> Elasticity</a:t>
          </a:r>
          <a:endParaRPr lang="en-US" sz="1600" b="1">
            <a:solidFill>
              <a:srgbClr val="792B36"/>
            </a:solidFill>
            <a:latin typeface="Arial" panose="020B0604020202020204" pitchFamily="34" charset="0"/>
            <a:cs typeface="Arial" panose="020B0604020202020204" pitchFamily="34" charset="0"/>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0.73848</cdr:x>
      <cdr:y>0.63509</cdr:y>
    </cdr:from>
    <cdr:to>
      <cdr:x>0.98812</cdr:x>
      <cdr:y>0.69589</cdr:y>
    </cdr:to>
    <cdr:sp macro="" textlink="">
      <cdr:nvSpPr>
        <cdr:cNvPr id="8" name="TextBox 1">
          <a:extLst xmlns:a="http://schemas.openxmlformats.org/drawingml/2006/main">
            <a:ext uri="{FF2B5EF4-FFF2-40B4-BE49-F238E27FC236}">
              <a16:creationId xmlns:a16="http://schemas.microsoft.com/office/drawing/2014/main" id="{667A952A-D507-4E13-B5C4-C84D92D0DB94}"/>
            </a:ext>
          </a:extLst>
        </cdr:cNvPr>
        <cdr:cNvSpPr txBox="1"/>
      </cdr:nvSpPr>
      <cdr:spPr>
        <a:xfrm xmlns:a="http://schemas.openxmlformats.org/drawingml/2006/main">
          <a:off x="4970155" y="2860921"/>
          <a:ext cx="1680140" cy="27389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400"/>
            </a:lnSpc>
          </a:pPr>
          <a:r>
            <a:rPr lang="en-US" sz="1600" b="1">
              <a:solidFill>
                <a:sysClr val="windowText" lastClr="000000"/>
              </a:solidFill>
              <a:latin typeface="Arial" panose="020B0604020202020204" pitchFamily="34" charset="0"/>
              <a:cs typeface="Arial" panose="020B0604020202020204" pitchFamily="34" charset="0"/>
            </a:rPr>
            <a:t>Kakwani Index</a:t>
          </a:r>
        </a:p>
      </cdr:txBody>
    </cdr:sp>
  </cdr:relSizeAnchor>
  <cdr:relSizeAnchor xmlns:cdr="http://schemas.openxmlformats.org/drawingml/2006/chartDrawing">
    <cdr:from>
      <cdr:x>0.88036</cdr:x>
      <cdr:y>0.57898</cdr:y>
    </cdr:from>
    <cdr:to>
      <cdr:x>0.98835</cdr:x>
      <cdr:y>0.64489</cdr:y>
    </cdr:to>
    <cdr:sp macro="" textlink="">
      <cdr:nvSpPr>
        <cdr:cNvPr id="9" name="TextBox 1">
          <a:extLst xmlns:a="http://schemas.openxmlformats.org/drawingml/2006/main">
            <a:ext uri="{FF2B5EF4-FFF2-40B4-BE49-F238E27FC236}">
              <a16:creationId xmlns:a16="http://schemas.microsoft.com/office/drawing/2014/main" id="{3DD8D46D-9A6B-4F3A-B422-A2717F264A21}"/>
            </a:ext>
          </a:extLst>
        </cdr:cNvPr>
        <cdr:cNvSpPr txBox="1"/>
      </cdr:nvSpPr>
      <cdr:spPr>
        <a:xfrm xmlns:a="http://schemas.openxmlformats.org/drawingml/2006/main">
          <a:off x="5925044" y="2608168"/>
          <a:ext cx="726800" cy="29690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200"/>
            </a:lnSpc>
          </a:pPr>
          <a:r>
            <a:rPr lang="en-US" sz="1600" b="1">
              <a:solidFill>
                <a:sysClr val="windowText" lastClr="000000"/>
              </a:solidFill>
              <a:effectLst/>
              <a:latin typeface="Arial" panose="020B0604020202020204" pitchFamily="34" charset="0"/>
              <a:ea typeface="+mn-ea"/>
              <a:cs typeface="Arial" panose="020B0604020202020204" pitchFamily="34" charset="0"/>
            </a:rPr>
            <a:t>+46%</a:t>
          </a:r>
          <a:endParaRPr lang="en-US" sz="1600" b="1">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0.87512</cdr:x>
      <cdr:y>0.37991</cdr:y>
    </cdr:from>
    <cdr:to>
      <cdr:x>1</cdr:x>
      <cdr:y>0.44582</cdr:y>
    </cdr:to>
    <cdr:sp macro="" textlink="">
      <cdr:nvSpPr>
        <cdr:cNvPr id="10" name="TextBox 1">
          <a:extLst xmlns:a="http://schemas.openxmlformats.org/drawingml/2006/main">
            <a:ext uri="{FF2B5EF4-FFF2-40B4-BE49-F238E27FC236}">
              <a16:creationId xmlns:a16="http://schemas.microsoft.com/office/drawing/2014/main" id="{EEFC3946-31B0-4B0E-8EF1-05D7B4A4B0DA}"/>
            </a:ext>
          </a:extLst>
        </cdr:cNvPr>
        <cdr:cNvSpPr txBox="1"/>
      </cdr:nvSpPr>
      <cdr:spPr>
        <a:xfrm xmlns:a="http://schemas.openxmlformats.org/drawingml/2006/main">
          <a:off x="5889777" y="1711406"/>
          <a:ext cx="840474" cy="29690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200"/>
            </a:lnSpc>
          </a:pPr>
          <a:r>
            <a:rPr lang="en-US" sz="1600" b="1">
              <a:solidFill>
                <a:schemeClr val="tx1">
                  <a:lumMod val="65000"/>
                  <a:lumOff val="35000"/>
                </a:schemeClr>
              </a:solidFill>
              <a:effectLst/>
              <a:latin typeface="Arial" panose="020B0604020202020204" pitchFamily="34" charset="0"/>
              <a:ea typeface="+mn-ea"/>
              <a:cs typeface="Arial" panose="020B0604020202020204" pitchFamily="34" charset="0"/>
            </a:rPr>
            <a:t>+110%</a:t>
          </a:r>
          <a:endParaRPr lang="en-US" sz="1600" b="1">
            <a:solidFill>
              <a:schemeClr val="tx1">
                <a:lumMod val="65000"/>
                <a:lumOff val="35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0.76757</cdr:x>
      <cdr:y>0.46046</cdr:y>
    </cdr:from>
    <cdr:to>
      <cdr:x>0.99167</cdr:x>
      <cdr:y>0.57462</cdr:y>
    </cdr:to>
    <cdr:sp macro="" textlink="">
      <cdr:nvSpPr>
        <cdr:cNvPr id="11" name="TextBox 1">
          <a:extLst xmlns:a="http://schemas.openxmlformats.org/drawingml/2006/main">
            <a:ext uri="{FF2B5EF4-FFF2-40B4-BE49-F238E27FC236}">
              <a16:creationId xmlns:a16="http://schemas.microsoft.com/office/drawing/2014/main" id="{FDE74DD3-2E65-4728-BB07-5ED547CDE84E}"/>
            </a:ext>
          </a:extLst>
        </cdr:cNvPr>
        <cdr:cNvSpPr txBox="1"/>
      </cdr:nvSpPr>
      <cdr:spPr>
        <a:xfrm xmlns:a="http://schemas.openxmlformats.org/drawingml/2006/main">
          <a:off x="5165915" y="2074265"/>
          <a:ext cx="1508306" cy="5142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600"/>
            </a:lnSpc>
          </a:pPr>
          <a:r>
            <a:rPr lang="en-US" sz="1600" b="1">
              <a:solidFill>
                <a:schemeClr val="tx1">
                  <a:lumMod val="65000"/>
                  <a:lumOff val="35000"/>
                </a:schemeClr>
              </a:solidFill>
              <a:latin typeface="Arial" panose="020B0604020202020204" pitchFamily="34" charset="0"/>
              <a:cs typeface="Arial" panose="020B0604020202020204" pitchFamily="34" charset="0"/>
            </a:rPr>
            <a:t>Tax</a:t>
          </a:r>
          <a:r>
            <a:rPr lang="en-US" sz="1600" b="1" baseline="0">
              <a:solidFill>
                <a:schemeClr val="tx1">
                  <a:lumMod val="65000"/>
                  <a:lumOff val="35000"/>
                </a:schemeClr>
              </a:solidFill>
              <a:latin typeface="Arial" panose="020B0604020202020204" pitchFamily="34" charset="0"/>
              <a:cs typeface="Arial" panose="020B0604020202020204" pitchFamily="34" charset="0"/>
            </a:rPr>
            <a:t> Elasticity</a:t>
          </a:r>
          <a:endParaRPr lang="en-US" sz="1600" b="1">
            <a:solidFill>
              <a:schemeClr val="tx1">
                <a:lumMod val="65000"/>
                <a:lumOff val="35000"/>
              </a:schemeClr>
            </a:solidFill>
            <a:latin typeface="Arial" panose="020B0604020202020204" pitchFamily="34" charset="0"/>
            <a:cs typeface="Arial" panose="020B0604020202020204" pitchFamily="34" charset="0"/>
          </a:endParaRPr>
        </a:p>
      </cdr:txBody>
    </cdr:sp>
  </cdr:relSizeAnchor>
</c:userShapes>
</file>

<file path=xl/drawings/drawing13.xml><?xml version="1.0" encoding="utf-8"?>
<xdr:wsDr xmlns:xdr="http://schemas.openxmlformats.org/drawingml/2006/spreadsheetDrawing" xmlns:a="http://schemas.openxmlformats.org/drawingml/2006/main">
  <xdr:twoCellAnchor>
    <xdr:from>
      <xdr:col>0</xdr:col>
      <xdr:colOff>246531</xdr:colOff>
      <xdr:row>2</xdr:row>
      <xdr:rowOff>156880</xdr:rowOff>
    </xdr:from>
    <xdr:to>
      <xdr:col>9</xdr:col>
      <xdr:colOff>392206</xdr:colOff>
      <xdr:row>26</xdr:row>
      <xdr:rowOff>89644</xdr:rowOff>
    </xdr:to>
    <xdr:graphicFrame macro="">
      <xdr:nvGraphicFramePr>
        <xdr:cNvPr id="3" name="Chart 2">
          <a:extLst>
            <a:ext uri="{FF2B5EF4-FFF2-40B4-BE49-F238E27FC236}">
              <a16:creationId xmlns:a16="http://schemas.microsoft.com/office/drawing/2014/main" id="{83650655-014D-4BAE-A030-1A288CA691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3</xdr:row>
      <xdr:rowOff>0</xdr:rowOff>
    </xdr:from>
    <xdr:to>
      <xdr:col>17</xdr:col>
      <xdr:colOff>717175</xdr:colOff>
      <xdr:row>26</xdr:row>
      <xdr:rowOff>123264</xdr:rowOff>
    </xdr:to>
    <xdr:graphicFrame macro="">
      <xdr:nvGraphicFramePr>
        <xdr:cNvPr id="4" name="Chart 3">
          <a:extLst>
            <a:ext uri="{FF2B5EF4-FFF2-40B4-BE49-F238E27FC236}">
              <a16:creationId xmlns:a16="http://schemas.microsoft.com/office/drawing/2014/main" id="{179EBFFA-AF02-4474-8221-027092A34B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0.53061</cdr:x>
      <cdr:y>0.47396</cdr:y>
    </cdr:from>
    <cdr:to>
      <cdr:x>0.81246</cdr:x>
      <cdr:y>0.53907</cdr:y>
    </cdr:to>
    <cdr:sp macro="" textlink="">
      <cdr:nvSpPr>
        <cdr:cNvPr id="12" name="TextBox 1">
          <a:extLst xmlns:a="http://schemas.openxmlformats.org/drawingml/2006/main">
            <a:ext uri="{FF2B5EF4-FFF2-40B4-BE49-F238E27FC236}">
              <a16:creationId xmlns:a16="http://schemas.microsoft.com/office/drawing/2014/main" id="{DB1C1715-DEF1-4046-BA28-1E2FE629A532}"/>
            </a:ext>
          </a:extLst>
        </cdr:cNvPr>
        <cdr:cNvSpPr txBox="1"/>
      </cdr:nvSpPr>
      <cdr:spPr>
        <a:xfrm xmlns:a="http://schemas.openxmlformats.org/drawingml/2006/main">
          <a:off x="3401084" y="2135100"/>
          <a:ext cx="1806592" cy="2933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600"/>
            </a:lnSpc>
          </a:pPr>
          <a:r>
            <a:rPr lang="en-US" sz="1800" b="1">
              <a:solidFill>
                <a:srgbClr val="B57A0F"/>
              </a:solidFill>
              <a:latin typeface="Arial" panose="020B0604020202020204" pitchFamily="34" charset="0"/>
              <a:cs typeface="Arial" panose="020B0604020202020204" pitchFamily="34" charset="0"/>
            </a:rPr>
            <a:t>Top tax</a:t>
          </a:r>
          <a:r>
            <a:rPr lang="en-US" sz="1800" b="1" baseline="0">
              <a:solidFill>
                <a:srgbClr val="B57A0F"/>
              </a:solidFill>
              <a:latin typeface="Arial" panose="020B0604020202020204" pitchFamily="34" charset="0"/>
              <a:cs typeface="Arial" panose="020B0604020202020204" pitchFamily="34" charset="0"/>
            </a:rPr>
            <a:t> rate</a:t>
          </a:r>
          <a:endParaRPr lang="en-US" sz="1800" b="1">
            <a:solidFill>
              <a:srgbClr val="B57A0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0.09809</cdr:x>
      <cdr:y>0.79734</cdr:y>
    </cdr:from>
    <cdr:to>
      <cdr:x>0.74372</cdr:x>
      <cdr:y>0.86318</cdr:y>
    </cdr:to>
    <cdr:sp macro="" textlink="">
      <cdr:nvSpPr>
        <cdr:cNvPr id="14" name="TextBox 1">
          <a:extLst xmlns:a="http://schemas.openxmlformats.org/drawingml/2006/main">
            <a:ext uri="{FF2B5EF4-FFF2-40B4-BE49-F238E27FC236}">
              <a16:creationId xmlns:a16="http://schemas.microsoft.com/office/drawing/2014/main" id="{C5F59354-826F-4C70-A2F0-88E7763B432A}"/>
            </a:ext>
          </a:extLst>
        </cdr:cNvPr>
        <cdr:cNvSpPr txBox="1"/>
      </cdr:nvSpPr>
      <cdr:spPr>
        <a:xfrm xmlns:a="http://schemas.openxmlformats.org/drawingml/2006/main">
          <a:off x="612267" y="3591841"/>
          <a:ext cx="4029812" cy="2965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600"/>
            </a:lnSpc>
          </a:pPr>
          <a:r>
            <a:rPr lang="en-US" sz="1600" b="1">
              <a:solidFill>
                <a:srgbClr val="1F7B91"/>
              </a:solidFill>
              <a:latin typeface="Arial" panose="020B0604020202020204" pitchFamily="34" charset="0"/>
              <a:cs typeface="Arial" panose="020B0604020202020204" pitchFamily="34" charset="0"/>
            </a:rPr>
            <a:t>Top</a:t>
          </a:r>
          <a:r>
            <a:rPr lang="en-US" sz="1600" b="1" baseline="0">
              <a:solidFill>
                <a:srgbClr val="1F7B91"/>
              </a:solidFill>
              <a:latin typeface="Arial" panose="020B0604020202020204" pitchFamily="34" charset="0"/>
              <a:cs typeface="Arial" panose="020B0604020202020204" pitchFamily="34" charset="0"/>
            </a:rPr>
            <a:t> 1% avg. federal income tax rates</a:t>
          </a:r>
          <a:endParaRPr lang="en-US" sz="1600" b="1">
            <a:solidFill>
              <a:srgbClr val="1F7B9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0.0766</cdr:x>
      <cdr:y>0.67662</cdr:y>
    </cdr:from>
    <cdr:to>
      <cdr:x>0.36209</cdr:x>
      <cdr:y>0.73881</cdr:y>
    </cdr:to>
    <cdr:sp macro="" textlink="">
      <cdr:nvSpPr>
        <cdr:cNvPr id="15" name="TextBox 1">
          <a:extLst xmlns:a="http://schemas.openxmlformats.org/drawingml/2006/main">
            <a:ext uri="{FF2B5EF4-FFF2-40B4-BE49-F238E27FC236}">
              <a16:creationId xmlns:a16="http://schemas.microsoft.com/office/drawing/2014/main" id="{C697DD5A-B88C-45CC-B051-17B479534FC7}"/>
            </a:ext>
          </a:extLst>
        </cdr:cNvPr>
        <cdr:cNvSpPr txBox="1"/>
      </cdr:nvSpPr>
      <cdr:spPr>
        <a:xfrm xmlns:a="http://schemas.openxmlformats.org/drawingml/2006/main">
          <a:off x="478094" y="3048015"/>
          <a:ext cx="1781935" cy="28015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600"/>
            </a:lnSpc>
          </a:pPr>
          <a:r>
            <a:rPr lang="en-US" sz="1600" b="1">
              <a:solidFill>
                <a:srgbClr val="1F7B91"/>
              </a:solidFill>
              <a:latin typeface="Arial" panose="020B0604020202020204" pitchFamily="34" charset="0"/>
              <a:cs typeface="Arial" panose="020B0604020202020204" pitchFamily="34" charset="0"/>
            </a:rPr>
            <a:t>Auten-Splinter</a:t>
          </a:r>
        </a:p>
      </cdr:txBody>
    </cdr:sp>
  </cdr:relSizeAnchor>
  <cdr:relSizeAnchor xmlns:cdr="http://schemas.openxmlformats.org/drawingml/2006/chartDrawing">
    <cdr:from>
      <cdr:x>0.25372</cdr:x>
      <cdr:y>0.64809</cdr:y>
    </cdr:from>
    <cdr:to>
      <cdr:x>0.53921</cdr:x>
      <cdr:y>0.71028</cdr:y>
    </cdr:to>
    <cdr:sp macro="" textlink="">
      <cdr:nvSpPr>
        <cdr:cNvPr id="16" name="TextBox 1">
          <a:extLst xmlns:a="http://schemas.openxmlformats.org/drawingml/2006/main">
            <a:ext uri="{FF2B5EF4-FFF2-40B4-BE49-F238E27FC236}">
              <a16:creationId xmlns:a16="http://schemas.microsoft.com/office/drawing/2014/main" id="{81F77063-BA32-4498-A1B3-487340A1D128}"/>
            </a:ext>
          </a:extLst>
        </cdr:cNvPr>
        <cdr:cNvSpPr txBox="1"/>
      </cdr:nvSpPr>
      <cdr:spPr>
        <a:xfrm xmlns:a="http://schemas.openxmlformats.org/drawingml/2006/main">
          <a:off x="1626287" y="2919514"/>
          <a:ext cx="1829924" cy="28015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600"/>
            </a:lnSpc>
          </a:pPr>
          <a:r>
            <a:rPr lang="en-US" sz="1600" b="1">
              <a:solidFill>
                <a:srgbClr val="1F7B91"/>
              </a:solidFill>
              <a:latin typeface="Arial" panose="020B0604020202020204" pitchFamily="34" charset="0"/>
              <a:cs typeface="Arial" panose="020B0604020202020204" pitchFamily="34" charset="0"/>
            </a:rPr>
            <a:t>CBO</a:t>
          </a:r>
        </a:p>
      </cdr:txBody>
    </cdr:sp>
  </cdr:relSizeAnchor>
</c:userShapes>
</file>

<file path=xl/drawings/drawing15.xml><?xml version="1.0" encoding="utf-8"?>
<c:userShapes xmlns:c="http://schemas.openxmlformats.org/drawingml/2006/chart">
  <cdr:relSizeAnchor xmlns:cdr="http://schemas.openxmlformats.org/drawingml/2006/chartDrawing">
    <cdr:from>
      <cdr:x>0.53061</cdr:x>
      <cdr:y>0.47396</cdr:y>
    </cdr:from>
    <cdr:to>
      <cdr:x>0.81246</cdr:x>
      <cdr:y>0.53907</cdr:y>
    </cdr:to>
    <cdr:sp macro="" textlink="">
      <cdr:nvSpPr>
        <cdr:cNvPr id="12" name="TextBox 1">
          <a:extLst xmlns:a="http://schemas.openxmlformats.org/drawingml/2006/main">
            <a:ext uri="{FF2B5EF4-FFF2-40B4-BE49-F238E27FC236}">
              <a16:creationId xmlns:a16="http://schemas.microsoft.com/office/drawing/2014/main" id="{DB1C1715-DEF1-4046-BA28-1E2FE629A532}"/>
            </a:ext>
          </a:extLst>
        </cdr:cNvPr>
        <cdr:cNvSpPr txBox="1"/>
      </cdr:nvSpPr>
      <cdr:spPr>
        <a:xfrm xmlns:a="http://schemas.openxmlformats.org/drawingml/2006/main">
          <a:off x="3401084" y="2135100"/>
          <a:ext cx="1806592" cy="2933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600"/>
            </a:lnSpc>
          </a:pPr>
          <a:r>
            <a:rPr lang="en-US" sz="1800" b="1">
              <a:solidFill>
                <a:schemeClr val="tx1">
                  <a:lumMod val="50000"/>
                  <a:lumOff val="50000"/>
                </a:schemeClr>
              </a:solidFill>
              <a:latin typeface="Arial" panose="020B0604020202020204" pitchFamily="34" charset="0"/>
              <a:cs typeface="Arial" panose="020B0604020202020204" pitchFamily="34" charset="0"/>
            </a:rPr>
            <a:t>Top tax</a:t>
          </a:r>
          <a:r>
            <a:rPr lang="en-US" sz="1800" b="1" baseline="0">
              <a:solidFill>
                <a:schemeClr val="tx1">
                  <a:lumMod val="50000"/>
                  <a:lumOff val="50000"/>
                </a:schemeClr>
              </a:solidFill>
              <a:latin typeface="Arial" panose="020B0604020202020204" pitchFamily="34" charset="0"/>
              <a:cs typeface="Arial" panose="020B0604020202020204" pitchFamily="34" charset="0"/>
            </a:rPr>
            <a:t> rate</a:t>
          </a:r>
          <a:endParaRPr lang="en-US" sz="1800" b="1">
            <a:solidFill>
              <a:schemeClr val="tx1">
                <a:lumMod val="50000"/>
                <a:lumOff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0.08732</cdr:x>
      <cdr:y>0.79236</cdr:y>
    </cdr:from>
    <cdr:to>
      <cdr:x>0.73295</cdr:x>
      <cdr:y>0.8582</cdr:y>
    </cdr:to>
    <cdr:sp macro="" textlink="">
      <cdr:nvSpPr>
        <cdr:cNvPr id="14" name="TextBox 1">
          <a:extLst xmlns:a="http://schemas.openxmlformats.org/drawingml/2006/main">
            <a:ext uri="{FF2B5EF4-FFF2-40B4-BE49-F238E27FC236}">
              <a16:creationId xmlns:a16="http://schemas.microsoft.com/office/drawing/2014/main" id="{C5F59354-826F-4C70-A2F0-88E7763B432A}"/>
            </a:ext>
          </a:extLst>
        </cdr:cNvPr>
        <cdr:cNvSpPr txBox="1"/>
      </cdr:nvSpPr>
      <cdr:spPr>
        <a:xfrm xmlns:a="http://schemas.openxmlformats.org/drawingml/2006/main">
          <a:off x="545010" y="3569417"/>
          <a:ext cx="4029813" cy="29659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600"/>
            </a:lnSpc>
          </a:pPr>
          <a:r>
            <a:rPr lang="en-US" sz="1400" b="1">
              <a:solidFill>
                <a:schemeClr val="tx1">
                  <a:lumMod val="75000"/>
                  <a:lumOff val="25000"/>
                </a:schemeClr>
              </a:solidFill>
              <a:latin typeface="Arial" panose="020B0604020202020204" pitchFamily="34" charset="0"/>
              <a:cs typeface="Arial" panose="020B0604020202020204" pitchFamily="34" charset="0"/>
            </a:rPr>
            <a:t>Top</a:t>
          </a:r>
          <a:r>
            <a:rPr lang="en-US" sz="1400" b="1" baseline="0">
              <a:solidFill>
                <a:schemeClr val="tx1">
                  <a:lumMod val="75000"/>
                  <a:lumOff val="25000"/>
                </a:schemeClr>
              </a:solidFill>
              <a:latin typeface="Arial" panose="020B0604020202020204" pitchFamily="34" charset="0"/>
              <a:cs typeface="Arial" panose="020B0604020202020204" pitchFamily="34" charset="0"/>
            </a:rPr>
            <a:t> 1% avg. federal income tax rates</a:t>
          </a:r>
          <a:endParaRPr lang="en-US" sz="1400" b="1">
            <a:solidFill>
              <a:schemeClr val="tx1">
                <a:lumMod val="75000"/>
                <a:lumOff val="25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0.0766</cdr:x>
      <cdr:y>0.67662</cdr:y>
    </cdr:from>
    <cdr:to>
      <cdr:x>0.36209</cdr:x>
      <cdr:y>0.73881</cdr:y>
    </cdr:to>
    <cdr:sp macro="" textlink="">
      <cdr:nvSpPr>
        <cdr:cNvPr id="15" name="TextBox 1">
          <a:extLst xmlns:a="http://schemas.openxmlformats.org/drawingml/2006/main">
            <a:ext uri="{FF2B5EF4-FFF2-40B4-BE49-F238E27FC236}">
              <a16:creationId xmlns:a16="http://schemas.microsoft.com/office/drawing/2014/main" id="{C697DD5A-B88C-45CC-B051-17B479534FC7}"/>
            </a:ext>
          </a:extLst>
        </cdr:cNvPr>
        <cdr:cNvSpPr txBox="1"/>
      </cdr:nvSpPr>
      <cdr:spPr>
        <a:xfrm xmlns:a="http://schemas.openxmlformats.org/drawingml/2006/main">
          <a:off x="478094" y="3048015"/>
          <a:ext cx="1781935" cy="28015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600"/>
            </a:lnSpc>
          </a:pPr>
          <a:r>
            <a:rPr lang="en-US" sz="1600" b="1">
              <a:solidFill>
                <a:sysClr val="windowText" lastClr="000000"/>
              </a:solidFill>
              <a:latin typeface="Arial" panose="020B0604020202020204" pitchFamily="34" charset="0"/>
              <a:cs typeface="Arial" panose="020B0604020202020204" pitchFamily="34" charset="0"/>
            </a:rPr>
            <a:t>Auten-Splinter</a:t>
          </a:r>
        </a:p>
      </cdr:txBody>
    </cdr:sp>
  </cdr:relSizeAnchor>
  <cdr:relSizeAnchor xmlns:cdr="http://schemas.openxmlformats.org/drawingml/2006/chartDrawing">
    <cdr:from>
      <cdr:x>0.25372</cdr:x>
      <cdr:y>0.64809</cdr:y>
    </cdr:from>
    <cdr:to>
      <cdr:x>0.53921</cdr:x>
      <cdr:y>0.71028</cdr:y>
    </cdr:to>
    <cdr:sp macro="" textlink="">
      <cdr:nvSpPr>
        <cdr:cNvPr id="16" name="TextBox 1">
          <a:extLst xmlns:a="http://schemas.openxmlformats.org/drawingml/2006/main">
            <a:ext uri="{FF2B5EF4-FFF2-40B4-BE49-F238E27FC236}">
              <a16:creationId xmlns:a16="http://schemas.microsoft.com/office/drawing/2014/main" id="{81F77063-BA32-4498-A1B3-487340A1D128}"/>
            </a:ext>
          </a:extLst>
        </cdr:cNvPr>
        <cdr:cNvSpPr txBox="1"/>
      </cdr:nvSpPr>
      <cdr:spPr>
        <a:xfrm xmlns:a="http://schemas.openxmlformats.org/drawingml/2006/main">
          <a:off x="1626287" y="2919514"/>
          <a:ext cx="1829924" cy="28015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600"/>
            </a:lnSpc>
          </a:pPr>
          <a:r>
            <a:rPr lang="en-US" sz="1600" b="1">
              <a:solidFill>
                <a:sysClr val="windowText" lastClr="000000"/>
              </a:solidFill>
              <a:latin typeface="Arial" panose="020B0604020202020204" pitchFamily="34" charset="0"/>
              <a:cs typeface="Arial" panose="020B0604020202020204" pitchFamily="34" charset="0"/>
            </a:rPr>
            <a:t>CBO</a:t>
          </a:r>
        </a:p>
      </cdr:txBody>
    </cdr:sp>
  </cdr:relSizeAnchor>
</c:userShapes>
</file>

<file path=xl/drawings/drawing16.xml><?xml version="1.0" encoding="utf-8"?>
<xdr:wsDr xmlns:xdr="http://schemas.openxmlformats.org/drawingml/2006/spreadsheetDrawing" xmlns:a="http://schemas.openxmlformats.org/drawingml/2006/main">
  <xdr:twoCellAnchor>
    <xdr:from>
      <xdr:col>0</xdr:col>
      <xdr:colOff>295274</xdr:colOff>
      <xdr:row>1</xdr:row>
      <xdr:rowOff>171450</xdr:rowOff>
    </xdr:from>
    <xdr:to>
      <xdr:col>8</xdr:col>
      <xdr:colOff>481852</xdr:colOff>
      <xdr:row>24</xdr:row>
      <xdr:rowOff>85725</xdr:rowOff>
    </xdr:to>
    <xdr:graphicFrame macro="">
      <xdr:nvGraphicFramePr>
        <xdr:cNvPr id="2" name="Chart 1">
          <a:extLst>
            <a:ext uri="{FF2B5EF4-FFF2-40B4-BE49-F238E27FC236}">
              <a16:creationId xmlns:a16="http://schemas.microsoft.com/office/drawing/2014/main" id="{158932D2-F87D-4FC9-BED9-1392F9F79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2</xdr:row>
      <xdr:rowOff>0</xdr:rowOff>
    </xdr:from>
    <xdr:to>
      <xdr:col>22</xdr:col>
      <xdr:colOff>18489</xdr:colOff>
      <xdr:row>24</xdr:row>
      <xdr:rowOff>104775</xdr:rowOff>
    </xdr:to>
    <xdr:graphicFrame macro="">
      <xdr:nvGraphicFramePr>
        <xdr:cNvPr id="3" name="Chart 2">
          <a:extLst>
            <a:ext uri="{FF2B5EF4-FFF2-40B4-BE49-F238E27FC236}">
              <a16:creationId xmlns:a16="http://schemas.microsoft.com/office/drawing/2014/main" id="{6C115645-3850-44CA-B3D8-A4BEDC5D4A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0.1543</cdr:x>
      <cdr:y>0.04474</cdr:y>
    </cdr:from>
    <cdr:to>
      <cdr:x>0.47519</cdr:x>
      <cdr:y>0.10681</cdr:y>
    </cdr:to>
    <cdr:sp macro="" textlink="">
      <cdr:nvSpPr>
        <cdr:cNvPr id="5" name="TextBox 1"/>
        <cdr:cNvSpPr txBox="1"/>
      </cdr:nvSpPr>
      <cdr:spPr>
        <a:xfrm xmlns:a="http://schemas.openxmlformats.org/drawingml/2006/main">
          <a:off x="801705" y="192197"/>
          <a:ext cx="1667218" cy="2666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400"/>
            </a:lnSpc>
          </a:pPr>
          <a:r>
            <a:rPr lang="en-US" sz="1600" b="1">
              <a:solidFill>
                <a:srgbClr val="1F7B91"/>
              </a:solidFill>
              <a:latin typeface="Arial" panose="020B0604020202020204" pitchFamily="34" charset="0"/>
              <a:cs typeface="Arial" panose="020B0604020202020204" pitchFamily="34" charset="0"/>
            </a:rPr>
            <a:t>Federal Taxes</a:t>
          </a:r>
        </a:p>
      </cdr:txBody>
    </cdr:sp>
  </cdr:relSizeAnchor>
  <cdr:relSizeAnchor xmlns:cdr="http://schemas.openxmlformats.org/drawingml/2006/chartDrawing">
    <cdr:from>
      <cdr:x>0.10924</cdr:x>
      <cdr:y>0.86253</cdr:y>
    </cdr:from>
    <cdr:to>
      <cdr:x>0.99247</cdr:x>
      <cdr:y>0.91483</cdr:y>
    </cdr:to>
    <cdr:sp macro="" textlink="">
      <cdr:nvSpPr>
        <cdr:cNvPr id="3" name="TextBox 2"/>
        <cdr:cNvSpPr txBox="1"/>
      </cdr:nvSpPr>
      <cdr:spPr>
        <a:xfrm xmlns:a="http://schemas.openxmlformats.org/drawingml/2006/main">
          <a:off x="567579" y="3705236"/>
          <a:ext cx="4588905" cy="224668"/>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en-US" sz="1100"/>
            <a:t> </a:t>
          </a:r>
          <a:r>
            <a:rPr lang="en-US" sz="1100" baseline="0"/>
            <a:t>      </a:t>
          </a:r>
          <a:r>
            <a:rPr lang="en-US" sz="1100" baseline="0">
              <a:latin typeface="Arial" panose="020B0604020202020204" pitchFamily="34" charset="0"/>
              <a:cs typeface="Arial" panose="020B0604020202020204" pitchFamily="34" charset="0"/>
            </a:rPr>
            <a:t>Bottom              2nd               3rd                  4th                 Top</a:t>
          </a:r>
        </a:p>
        <a:p xmlns:a="http://schemas.openxmlformats.org/drawingml/2006/main">
          <a:r>
            <a:rPr lang="en-US" sz="1100" baseline="0">
              <a:latin typeface="Arial" panose="020B0604020202020204" pitchFamily="34" charset="0"/>
              <a:cs typeface="Arial" panose="020B0604020202020204" pitchFamily="34" charset="0"/>
            </a:rPr>
            <a:t> </a:t>
          </a:r>
          <a:endParaRPr lang="en-US" sz="11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0.3179</cdr:x>
      <cdr:y>0.39047</cdr:y>
    </cdr:from>
    <cdr:to>
      <cdr:x>0.74343</cdr:x>
      <cdr:y>0.45476</cdr:y>
    </cdr:to>
    <cdr:sp macro="" textlink="">
      <cdr:nvSpPr>
        <cdr:cNvPr id="8" name="TextBox 1"/>
        <cdr:cNvSpPr txBox="1"/>
      </cdr:nvSpPr>
      <cdr:spPr>
        <a:xfrm xmlns:a="http://schemas.openxmlformats.org/drawingml/2006/main">
          <a:off x="1651660" y="1677370"/>
          <a:ext cx="2210886" cy="2761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500"/>
            </a:lnSpc>
          </a:pPr>
          <a:r>
            <a:rPr lang="en-US" sz="1400" b="1">
              <a:solidFill>
                <a:srgbClr val="B57A0F"/>
              </a:solidFill>
              <a:latin typeface="Arial" panose="020B0604020202020204" pitchFamily="34" charset="0"/>
              <a:cs typeface="Arial" panose="020B0604020202020204" pitchFamily="34" charset="0"/>
            </a:rPr>
            <a:t>Taxes less           means-tested</a:t>
          </a:r>
          <a:r>
            <a:rPr lang="en-US" sz="1400" b="1" baseline="0">
              <a:solidFill>
                <a:srgbClr val="B57A0F"/>
              </a:solidFill>
              <a:latin typeface="Arial" panose="020B0604020202020204" pitchFamily="34" charset="0"/>
              <a:cs typeface="Arial" panose="020B0604020202020204" pitchFamily="34" charset="0"/>
            </a:rPr>
            <a:t> </a:t>
          </a:r>
          <a:r>
            <a:rPr lang="en-US" sz="1400" b="1">
              <a:solidFill>
                <a:srgbClr val="B57A0F"/>
              </a:solidFill>
              <a:latin typeface="Arial" panose="020B0604020202020204" pitchFamily="34" charset="0"/>
              <a:cs typeface="Arial" panose="020B0604020202020204" pitchFamily="34" charset="0"/>
            </a:rPr>
            <a:t>transfers</a:t>
          </a:r>
        </a:p>
      </cdr:txBody>
    </cdr:sp>
  </cdr:relSizeAnchor>
  <cdr:relSizeAnchor xmlns:cdr="http://schemas.openxmlformats.org/drawingml/2006/chartDrawing">
    <cdr:from>
      <cdr:x>0.2539</cdr:x>
      <cdr:y>0.62314</cdr:y>
    </cdr:from>
    <cdr:to>
      <cdr:x>0.71876</cdr:x>
      <cdr:y>0.79757</cdr:y>
    </cdr:to>
    <cdr:sp macro="" textlink="">
      <cdr:nvSpPr>
        <cdr:cNvPr id="10" name="TextBox 1">
          <a:extLst xmlns:a="http://schemas.openxmlformats.org/drawingml/2006/main">
            <a:ext uri="{FF2B5EF4-FFF2-40B4-BE49-F238E27FC236}">
              <a16:creationId xmlns:a16="http://schemas.microsoft.com/office/drawing/2014/main" id="{09808CDB-5243-402C-BBB7-37FC74936CB6}"/>
            </a:ext>
          </a:extLst>
        </cdr:cNvPr>
        <cdr:cNvSpPr txBox="1"/>
      </cdr:nvSpPr>
      <cdr:spPr>
        <a:xfrm xmlns:a="http://schemas.openxmlformats.org/drawingml/2006/main">
          <a:off x="1319157" y="2676888"/>
          <a:ext cx="2415259" cy="74931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400"/>
            </a:lnSpc>
          </a:pPr>
          <a:r>
            <a:rPr lang="en-US" sz="1400" b="1">
              <a:solidFill>
                <a:srgbClr val="792B36"/>
              </a:solidFill>
              <a:latin typeface="Arial" panose="020B0604020202020204" pitchFamily="34" charset="0"/>
              <a:cs typeface="Arial" panose="020B0604020202020204" pitchFamily="34" charset="0"/>
            </a:rPr>
            <a:t>Taxes</a:t>
          </a:r>
          <a:r>
            <a:rPr lang="en-US" sz="1400" b="1" baseline="0">
              <a:solidFill>
                <a:srgbClr val="792B36"/>
              </a:solidFill>
              <a:latin typeface="Arial" panose="020B0604020202020204" pitchFamily="34" charset="0"/>
              <a:cs typeface="Arial" panose="020B0604020202020204" pitchFamily="34" charset="0"/>
            </a:rPr>
            <a:t> less               means-tested transfers &amp; </a:t>
          </a:r>
          <a:r>
            <a:rPr lang="en-US" sz="1400" b="1">
              <a:solidFill>
                <a:srgbClr val="792B36"/>
              </a:solidFill>
              <a:latin typeface="Arial" panose="020B0604020202020204" pitchFamily="34" charset="0"/>
              <a:cs typeface="Arial" panose="020B0604020202020204" pitchFamily="34" charset="0"/>
            </a:rPr>
            <a:t>social</a:t>
          </a:r>
          <a:r>
            <a:rPr lang="en-US" sz="1400" b="1" baseline="0">
              <a:solidFill>
                <a:srgbClr val="792B36"/>
              </a:solidFill>
              <a:latin typeface="Arial" panose="020B0604020202020204" pitchFamily="34" charset="0"/>
              <a:cs typeface="Arial" panose="020B0604020202020204" pitchFamily="34" charset="0"/>
            </a:rPr>
            <a:t> insurance benefits </a:t>
          </a:r>
          <a:endParaRPr lang="en-US" sz="1400" b="1">
            <a:solidFill>
              <a:srgbClr val="792B36"/>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0.2559</cdr:x>
      <cdr:y>0.34877</cdr:y>
    </cdr:from>
    <cdr:to>
      <cdr:x>0.43923</cdr:x>
      <cdr:y>0.42442</cdr:y>
    </cdr:to>
    <cdr:cxnSp macro="">
      <cdr:nvCxnSpPr>
        <cdr:cNvPr id="11" name="Straight Arrow Connector 10">
          <a:extLst xmlns:a="http://schemas.openxmlformats.org/drawingml/2006/main">
            <a:ext uri="{FF2B5EF4-FFF2-40B4-BE49-F238E27FC236}">
              <a16:creationId xmlns:a16="http://schemas.microsoft.com/office/drawing/2014/main" id="{F3A2A644-8A75-4D6D-81B1-AE9380A01703}"/>
            </a:ext>
          </a:extLst>
        </cdr:cNvPr>
        <cdr:cNvCxnSpPr/>
      </cdr:nvCxnSpPr>
      <cdr:spPr>
        <a:xfrm xmlns:a="http://schemas.openxmlformats.org/drawingml/2006/main" flipH="1" flipV="1">
          <a:off x="1329579" y="1498226"/>
          <a:ext cx="952501" cy="324972"/>
        </a:xfrm>
        <a:prstGeom xmlns:a="http://schemas.openxmlformats.org/drawingml/2006/main" prst="straightConnector1">
          <a:avLst/>
        </a:prstGeom>
        <a:ln xmlns:a="http://schemas.openxmlformats.org/drawingml/2006/main" w="19050">
          <a:solidFill>
            <a:srgbClr val="D58F1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8.xml><?xml version="1.0" encoding="utf-8"?>
<c:userShapes xmlns:c="http://schemas.openxmlformats.org/drawingml/2006/chart">
  <cdr:relSizeAnchor xmlns:cdr="http://schemas.openxmlformats.org/drawingml/2006/chartDrawing">
    <cdr:from>
      <cdr:x>0.11647</cdr:x>
      <cdr:y>0.12821</cdr:y>
    </cdr:from>
    <cdr:to>
      <cdr:x>0.36666</cdr:x>
      <cdr:y>0.20608</cdr:y>
    </cdr:to>
    <cdr:sp macro="" textlink="">
      <cdr:nvSpPr>
        <cdr:cNvPr id="5" name="TextBox 1"/>
        <cdr:cNvSpPr txBox="1"/>
      </cdr:nvSpPr>
      <cdr:spPr>
        <a:xfrm xmlns:a="http://schemas.openxmlformats.org/drawingml/2006/main">
          <a:off x="605118" y="550781"/>
          <a:ext cx="1299883" cy="33448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400"/>
            </a:lnSpc>
          </a:pPr>
          <a:r>
            <a:rPr lang="en-US" sz="1400" b="1">
              <a:solidFill>
                <a:schemeClr val="tx1"/>
              </a:solidFill>
              <a:latin typeface="Arial" panose="020B0604020202020204" pitchFamily="34" charset="0"/>
              <a:cs typeface="Arial" panose="020B0604020202020204" pitchFamily="34" charset="0"/>
            </a:rPr>
            <a:t>Federal Taxes</a:t>
          </a:r>
        </a:p>
      </cdr:txBody>
    </cdr:sp>
  </cdr:relSizeAnchor>
  <cdr:relSizeAnchor xmlns:cdr="http://schemas.openxmlformats.org/drawingml/2006/chartDrawing">
    <cdr:from>
      <cdr:x>0.10924</cdr:x>
      <cdr:y>0.86253</cdr:y>
    </cdr:from>
    <cdr:to>
      <cdr:x>0.99247</cdr:x>
      <cdr:y>0.91483</cdr:y>
    </cdr:to>
    <cdr:sp macro="" textlink="">
      <cdr:nvSpPr>
        <cdr:cNvPr id="3" name="TextBox 2"/>
        <cdr:cNvSpPr txBox="1"/>
      </cdr:nvSpPr>
      <cdr:spPr>
        <a:xfrm xmlns:a="http://schemas.openxmlformats.org/drawingml/2006/main">
          <a:off x="567579" y="3705236"/>
          <a:ext cx="4588905" cy="224668"/>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en-US" sz="1100"/>
            <a:t> </a:t>
          </a:r>
          <a:r>
            <a:rPr lang="en-US" sz="1100" baseline="0"/>
            <a:t>      </a:t>
          </a:r>
          <a:r>
            <a:rPr lang="en-US" sz="1100" baseline="0">
              <a:latin typeface="Arial" panose="020B0604020202020204" pitchFamily="34" charset="0"/>
              <a:cs typeface="Arial" panose="020B0604020202020204" pitchFamily="34" charset="0"/>
            </a:rPr>
            <a:t>Bottom              2nd               3rd                  4th                 Top</a:t>
          </a:r>
        </a:p>
        <a:p xmlns:a="http://schemas.openxmlformats.org/drawingml/2006/main">
          <a:r>
            <a:rPr lang="en-US" sz="1100" baseline="0">
              <a:latin typeface="Arial" panose="020B0604020202020204" pitchFamily="34" charset="0"/>
              <a:cs typeface="Arial" panose="020B0604020202020204" pitchFamily="34" charset="0"/>
            </a:rPr>
            <a:t> </a:t>
          </a:r>
          <a:endParaRPr lang="en-US" sz="11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0.3179</cdr:x>
      <cdr:y>0.39047</cdr:y>
    </cdr:from>
    <cdr:to>
      <cdr:x>0.74343</cdr:x>
      <cdr:y>0.45476</cdr:y>
    </cdr:to>
    <cdr:sp macro="" textlink="">
      <cdr:nvSpPr>
        <cdr:cNvPr id="8" name="TextBox 1"/>
        <cdr:cNvSpPr txBox="1"/>
      </cdr:nvSpPr>
      <cdr:spPr>
        <a:xfrm xmlns:a="http://schemas.openxmlformats.org/drawingml/2006/main">
          <a:off x="1651660" y="1677370"/>
          <a:ext cx="2210886" cy="2761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500"/>
            </a:lnSpc>
          </a:pPr>
          <a:r>
            <a:rPr lang="en-US" sz="1400" b="1">
              <a:solidFill>
                <a:schemeClr val="tx1">
                  <a:lumMod val="50000"/>
                  <a:lumOff val="50000"/>
                </a:schemeClr>
              </a:solidFill>
              <a:latin typeface="Arial" panose="020B0604020202020204" pitchFamily="34" charset="0"/>
              <a:cs typeface="Arial" panose="020B0604020202020204" pitchFamily="34" charset="0"/>
            </a:rPr>
            <a:t>Taxes less           means-tested</a:t>
          </a:r>
          <a:r>
            <a:rPr lang="en-US" sz="1400" b="1" baseline="0">
              <a:solidFill>
                <a:schemeClr val="tx1">
                  <a:lumMod val="50000"/>
                  <a:lumOff val="50000"/>
                </a:schemeClr>
              </a:solidFill>
              <a:latin typeface="Arial" panose="020B0604020202020204" pitchFamily="34" charset="0"/>
              <a:cs typeface="Arial" panose="020B0604020202020204" pitchFamily="34" charset="0"/>
            </a:rPr>
            <a:t> </a:t>
          </a:r>
          <a:r>
            <a:rPr lang="en-US" sz="1400" b="1">
              <a:solidFill>
                <a:schemeClr val="tx1">
                  <a:lumMod val="50000"/>
                  <a:lumOff val="50000"/>
                </a:schemeClr>
              </a:solidFill>
              <a:latin typeface="Arial" panose="020B0604020202020204" pitchFamily="34" charset="0"/>
              <a:cs typeface="Arial" panose="020B0604020202020204" pitchFamily="34" charset="0"/>
            </a:rPr>
            <a:t>transfers</a:t>
          </a:r>
        </a:p>
      </cdr:txBody>
    </cdr:sp>
  </cdr:relSizeAnchor>
  <cdr:relSizeAnchor xmlns:cdr="http://schemas.openxmlformats.org/drawingml/2006/chartDrawing">
    <cdr:from>
      <cdr:x>0.24527</cdr:x>
      <cdr:y>0.62314</cdr:y>
    </cdr:from>
    <cdr:to>
      <cdr:x>0.71013</cdr:x>
      <cdr:y>0.79757</cdr:y>
    </cdr:to>
    <cdr:sp macro="" textlink="">
      <cdr:nvSpPr>
        <cdr:cNvPr id="10" name="TextBox 1">
          <a:extLst xmlns:a="http://schemas.openxmlformats.org/drawingml/2006/main">
            <a:ext uri="{FF2B5EF4-FFF2-40B4-BE49-F238E27FC236}">
              <a16:creationId xmlns:a16="http://schemas.microsoft.com/office/drawing/2014/main" id="{09808CDB-5243-402C-BBB7-37FC74936CB6}"/>
            </a:ext>
          </a:extLst>
        </cdr:cNvPr>
        <cdr:cNvSpPr txBox="1"/>
      </cdr:nvSpPr>
      <cdr:spPr>
        <a:xfrm xmlns:a="http://schemas.openxmlformats.org/drawingml/2006/main">
          <a:off x="1274341" y="2676869"/>
          <a:ext cx="2415229" cy="74931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400"/>
            </a:lnSpc>
          </a:pPr>
          <a:r>
            <a:rPr lang="en-US" sz="1400" b="1">
              <a:solidFill>
                <a:schemeClr val="tx1">
                  <a:lumMod val="75000"/>
                  <a:lumOff val="25000"/>
                </a:schemeClr>
              </a:solidFill>
              <a:latin typeface="Arial" panose="020B0604020202020204" pitchFamily="34" charset="0"/>
              <a:cs typeface="Arial" panose="020B0604020202020204" pitchFamily="34" charset="0"/>
            </a:rPr>
            <a:t>Taxes</a:t>
          </a:r>
          <a:r>
            <a:rPr lang="en-US" sz="1400" b="1" baseline="0">
              <a:solidFill>
                <a:schemeClr val="tx1">
                  <a:lumMod val="75000"/>
                  <a:lumOff val="25000"/>
                </a:schemeClr>
              </a:solidFill>
              <a:latin typeface="Arial" panose="020B0604020202020204" pitchFamily="34" charset="0"/>
              <a:cs typeface="Arial" panose="020B0604020202020204" pitchFamily="34" charset="0"/>
            </a:rPr>
            <a:t> less               means-tested transfers &amp; </a:t>
          </a:r>
          <a:r>
            <a:rPr lang="en-US" sz="1400" b="1">
              <a:solidFill>
                <a:schemeClr val="tx1">
                  <a:lumMod val="75000"/>
                  <a:lumOff val="25000"/>
                </a:schemeClr>
              </a:solidFill>
              <a:latin typeface="Arial" panose="020B0604020202020204" pitchFamily="34" charset="0"/>
              <a:cs typeface="Arial" panose="020B0604020202020204" pitchFamily="34" charset="0"/>
            </a:rPr>
            <a:t>social</a:t>
          </a:r>
          <a:r>
            <a:rPr lang="en-US" sz="1400" b="1" baseline="0">
              <a:solidFill>
                <a:schemeClr val="tx1">
                  <a:lumMod val="75000"/>
                  <a:lumOff val="25000"/>
                </a:schemeClr>
              </a:solidFill>
              <a:latin typeface="Arial" panose="020B0604020202020204" pitchFamily="34" charset="0"/>
              <a:cs typeface="Arial" panose="020B0604020202020204" pitchFamily="34" charset="0"/>
            </a:rPr>
            <a:t> insurance benefits </a:t>
          </a:r>
          <a:endParaRPr lang="en-US" sz="1400" b="1">
            <a:solidFill>
              <a:schemeClr val="tx1">
                <a:lumMod val="75000"/>
                <a:lumOff val="25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0.2559</cdr:x>
      <cdr:y>0.34877</cdr:y>
    </cdr:from>
    <cdr:to>
      <cdr:x>0.43923</cdr:x>
      <cdr:y>0.42442</cdr:y>
    </cdr:to>
    <cdr:cxnSp macro="">
      <cdr:nvCxnSpPr>
        <cdr:cNvPr id="11" name="Straight Arrow Connector 10">
          <a:extLst xmlns:a="http://schemas.openxmlformats.org/drawingml/2006/main">
            <a:ext uri="{FF2B5EF4-FFF2-40B4-BE49-F238E27FC236}">
              <a16:creationId xmlns:a16="http://schemas.microsoft.com/office/drawing/2014/main" id="{F3A2A644-8A75-4D6D-81B1-AE9380A01703}"/>
            </a:ext>
          </a:extLst>
        </cdr:cNvPr>
        <cdr:cNvCxnSpPr/>
      </cdr:nvCxnSpPr>
      <cdr:spPr>
        <a:xfrm xmlns:a="http://schemas.openxmlformats.org/drawingml/2006/main" flipH="1" flipV="1">
          <a:off x="1329579" y="1498226"/>
          <a:ext cx="952501" cy="324972"/>
        </a:xfrm>
        <a:prstGeom xmlns:a="http://schemas.openxmlformats.org/drawingml/2006/main" prst="straightConnector1">
          <a:avLst/>
        </a:prstGeom>
        <a:ln xmlns:a="http://schemas.openxmlformats.org/drawingml/2006/main" w="15875">
          <a:solidFill>
            <a:schemeClr val="bg1">
              <a:lumMod val="50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0.28585</cdr:x>
      <cdr:y>0.60658</cdr:y>
    </cdr:from>
    <cdr:to>
      <cdr:x>0.38175</cdr:x>
      <cdr:y>0.65215</cdr:y>
    </cdr:to>
    <cdr:cxnSp macro="">
      <cdr:nvCxnSpPr>
        <cdr:cNvPr id="7" name="Straight Arrow Connector 6">
          <a:extLst xmlns:a="http://schemas.openxmlformats.org/drawingml/2006/main">
            <a:ext uri="{FF2B5EF4-FFF2-40B4-BE49-F238E27FC236}">
              <a16:creationId xmlns:a16="http://schemas.microsoft.com/office/drawing/2014/main" id="{5B0E860B-611E-4A03-8993-AE3E973989C8}"/>
            </a:ext>
          </a:extLst>
        </cdr:cNvPr>
        <cdr:cNvCxnSpPr/>
      </cdr:nvCxnSpPr>
      <cdr:spPr>
        <a:xfrm xmlns:a="http://schemas.openxmlformats.org/drawingml/2006/main" flipH="1" flipV="1">
          <a:off x="1485152" y="2605742"/>
          <a:ext cx="498289" cy="195729"/>
        </a:xfrm>
        <a:prstGeom xmlns:a="http://schemas.openxmlformats.org/drawingml/2006/main" prst="straightConnector1">
          <a:avLst/>
        </a:prstGeom>
        <a:ln xmlns:a="http://schemas.openxmlformats.org/drawingml/2006/main" w="15875">
          <a:solidFill>
            <a:schemeClr val="tx1">
              <a:lumMod val="75000"/>
              <a:lumOff val="25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9.xml><?xml version="1.0" encoding="utf-8"?>
<xdr:wsDr xmlns:xdr="http://schemas.openxmlformats.org/drawingml/2006/spreadsheetDrawing" xmlns:a="http://schemas.openxmlformats.org/drawingml/2006/main">
  <xdr:twoCellAnchor>
    <xdr:from>
      <xdr:col>10</xdr:col>
      <xdr:colOff>437589</xdr:colOff>
      <xdr:row>9</xdr:row>
      <xdr:rowOff>162485</xdr:rowOff>
    </xdr:from>
    <xdr:to>
      <xdr:col>27</xdr:col>
      <xdr:colOff>46502</xdr:colOff>
      <xdr:row>34</xdr:row>
      <xdr:rowOff>19610</xdr:rowOff>
    </xdr:to>
    <xdr:graphicFrame macro="">
      <xdr:nvGraphicFramePr>
        <xdr:cNvPr id="2" name="Chart 1">
          <a:extLst>
            <a:ext uri="{FF2B5EF4-FFF2-40B4-BE49-F238E27FC236}">
              <a16:creationId xmlns:a16="http://schemas.microsoft.com/office/drawing/2014/main" id="{5AA6E7D5-8136-41E6-A958-77D23B7C89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27</xdr:col>
      <xdr:colOff>190440</xdr:colOff>
      <xdr:row>21</xdr:row>
      <xdr:rowOff>66825</xdr:rowOff>
    </xdr:from>
    <xdr:to>
      <xdr:col>27</xdr:col>
      <xdr:colOff>190800</xdr:colOff>
      <xdr:row>21</xdr:row>
      <xdr:rowOff>67185</xdr:rowOff>
    </xdr:to>
    <mc:AlternateContent xmlns:mc="http://schemas.openxmlformats.org/markup-compatibility/2006" xmlns:xdr14="http://schemas.microsoft.com/office/excel/2010/spreadsheetDrawing">
      <mc:Choice Requires="xdr14">
        <xdr:contentPart xmlns:r="http://schemas.openxmlformats.org/officeDocument/2006/relationships" r:id="rId2">
          <xdr14:nvContentPartPr>
            <xdr14:cNvPr id="3" name="Ink 2">
              <a:extLst>
                <a:ext uri="{FF2B5EF4-FFF2-40B4-BE49-F238E27FC236}">
                  <a16:creationId xmlns:a16="http://schemas.microsoft.com/office/drawing/2014/main" id="{FB57D35B-E8B7-478D-A0E8-2E51F6396537}"/>
                </a:ext>
              </a:extLst>
            </xdr14:cNvPr>
            <xdr14:cNvContentPartPr/>
          </xdr14:nvContentPartPr>
          <xdr14:nvPr macro=""/>
          <xdr14:xfrm>
            <a:off x="11591865" y="4257825"/>
            <a:ext cx="360" cy="360"/>
          </xdr14:xfrm>
        </xdr:contentPart>
      </mc:Choice>
      <mc:Fallback xmlns="">
        <xdr:pic>
          <xdr:nvPicPr>
            <xdr:cNvPr id="40" name="Ink 39">
              <a:extLst>
                <a:ext uri="{FF2B5EF4-FFF2-40B4-BE49-F238E27FC236}">
                  <a16:creationId xmlns:a16="http://schemas.microsoft.com/office/drawing/2014/main" id="{DD68D223-85BE-4459-A03C-D5A171CEE79E}"/>
                </a:ext>
              </a:extLst>
            </xdr:cNvPr>
            <xdr:cNvPicPr/>
          </xdr:nvPicPr>
          <xdr:blipFill>
            <a:blip xmlns:r="http://schemas.openxmlformats.org/officeDocument/2006/relationships" r:embed="rId60"/>
            <a:stretch>
              <a:fillRect/>
            </a:stretch>
          </xdr:blipFill>
          <xdr:spPr>
            <a:xfrm>
              <a:off x="11587545" y="4253505"/>
              <a:ext cx="9000" cy="9000"/>
            </a:xfrm>
            <a:prstGeom prst="rect">
              <a:avLst/>
            </a:prstGeom>
          </xdr:spPr>
        </xdr:pic>
      </mc:Fallback>
    </mc:AlternateContent>
    <xdr:clientData/>
  </xdr:twoCellAnchor>
  <xdr:twoCellAnchor editAs="oneCell">
    <xdr:from>
      <xdr:col>21</xdr:col>
      <xdr:colOff>180825</xdr:colOff>
      <xdr:row>13</xdr:row>
      <xdr:rowOff>133185</xdr:rowOff>
    </xdr:from>
    <xdr:to>
      <xdr:col>21</xdr:col>
      <xdr:colOff>181185</xdr:colOff>
      <xdr:row>13</xdr:row>
      <xdr:rowOff>133545</xdr:rowOff>
    </xdr:to>
    <mc:AlternateContent xmlns:mc="http://schemas.openxmlformats.org/markup-compatibility/2006" xmlns:xdr14="http://schemas.microsoft.com/office/excel/2010/spreadsheetDrawing">
      <mc:Choice Requires="xdr14">
        <xdr:contentPart xmlns:r="http://schemas.openxmlformats.org/officeDocument/2006/relationships" r:id="rId61">
          <xdr14:nvContentPartPr>
            <xdr14:cNvPr id="4" name="Ink 3">
              <a:extLst>
                <a:ext uri="{FF2B5EF4-FFF2-40B4-BE49-F238E27FC236}">
                  <a16:creationId xmlns:a16="http://schemas.microsoft.com/office/drawing/2014/main" id="{497F0DF3-EC67-47E0-A2F1-11B37951A7AC}"/>
                </a:ext>
              </a:extLst>
            </xdr14:cNvPr>
            <xdr14:cNvContentPartPr/>
          </xdr14:nvContentPartPr>
          <xdr14:nvPr macro=""/>
          <xdr14:xfrm>
            <a:off x="9477225" y="2800185"/>
            <a:ext cx="360" cy="360"/>
          </xdr14:xfrm>
        </xdr:contentPart>
      </mc:Choice>
      <mc:Fallback xmlns="">
        <xdr:pic>
          <xdr:nvPicPr>
            <xdr:cNvPr id="46" name="Ink 45">
              <a:extLst>
                <a:ext uri="{FF2B5EF4-FFF2-40B4-BE49-F238E27FC236}">
                  <a16:creationId xmlns:a16="http://schemas.microsoft.com/office/drawing/2014/main" id="{44610805-10A3-42B6-B911-F889927A6193}"/>
                </a:ext>
              </a:extLst>
            </xdr:cNvPr>
            <xdr:cNvPicPr/>
          </xdr:nvPicPr>
          <xdr:blipFill>
            <a:blip xmlns:r="http://schemas.openxmlformats.org/officeDocument/2006/relationships" r:embed="rId60"/>
            <a:stretch>
              <a:fillRect/>
            </a:stretch>
          </xdr:blipFill>
          <xdr:spPr>
            <a:xfrm>
              <a:off x="9472905" y="2795865"/>
              <a:ext cx="9000" cy="9000"/>
            </a:xfrm>
            <a:prstGeom prst="rect">
              <a:avLst/>
            </a:prstGeom>
          </xdr:spPr>
        </xdr:pic>
      </mc:Fallback>
    </mc:AlternateContent>
    <xdr:clientData/>
  </xdr:twoCellAnchor>
  <xdr:twoCellAnchor editAs="oneCell">
    <xdr:from>
      <xdr:col>29</xdr:col>
      <xdr:colOff>333225</xdr:colOff>
      <xdr:row>19</xdr:row>
      <xdr:rowOff>76305</xdr:rowOff>
    </xdr:from>
    <xdr:to>
      <xdr:col>29</xdr:col>
      <xdr:colOff>333585</xdr:colOff>
      <xdr:row>19</xdr:row>
      <xdr:rowOff>76665</xdr:rowOff>
    </xdr:to>
    <mc:AlternateContent xmlns:mc="http://schemas.openxmlformats.org/markup-compatibility/2006" xmlns:xdr14="http://schemas.microsoft.com/office/excel/2010/spreadsheetDrawing">
      <mc:Choice Requires="xdr14">
        <xdr:contentPart xmlns:r="http://schemas.openxmlformats.org/officeDocument/2006/relationships" r:id="rId62">
          <xdr14:nvContentPartPr>
            <xdr14:cNvPr id="5" name="Ink 4">
              <a:extLst>
                <a:ext uri="{FF2B5EF4-FFF2-40B4-BE49-F238E27FC236}">
                  <a16:creationId xmlns:a16="http://schemas.microsoft.com/office/drawing/2014/main" id="{AA07661E-F0FC-48E5-8B62-15760A04782E}"/>
                </a:ext>
              </a:extLst>
            </xdr14:cNvPr>
            <xdr14:cNvContentPartPr/>
          </xdr14:nvContentPartPr>
          <xdr14:nvPr macro=""/>
          <xdr14:xfrm>
            <a:off x="12449025" y="3886305"/>
            <a:ext cx="360" cy="360"/>
          </xdr14:xfrm>
        </xdr:contentPart>
      </mc:Choice>
      <mc:Fallback xmlns="">
        <xdr:pic>
          <xdr:nvPicPr>
            <xdr:cNvPr id="50" name="Ink 49">
              <a:extLst>
                <a:ext uri="{FF2B5EF4-FFF2-40B4-BE49-F238E27FC236}">
                  <a16:creationId xmlns:a16="http://schemas.microsoft.com/office/drawing/2014/main" id="{4ECEF899-F3CD-4D8D-B908-EE30C7009075}"/>
                </a:ext>
              </a:extLst>
            </xdr:cNvPr>
            <xdr:cNvPicPr/>
          </xdr:nvPicPr>
          <xdr:blipFill>
            <a:blip xmlns:r="http://schemas.openxmlformats.org/officeDocument/2006/relationships" r:embed="rId60"/>
            <a:stretch>
              <a:fillRect/>
            </a:stretch>
          </xdr:blipFill>
          <xdr:spPr>
            <a:xfrm>
              <a:off x="12444705" y="3881985"/>
              <a:ext cx="9000" cy="9000"/>
            </a:xfrm>
            <a:prstGeom prst="rect">
              <a:avLst/>
            </a:prstGeom>
          </xdr:spPr>
        </xdr:pic>
      </mc:Fallback>
    </mc:AlternateContent>
    <xdr:clientData/>
  </xdr:twoCellAnchor>
  <xdr:twoCellAnchor editAs="oneCell">
    <xdr:from>
      <xdr:col>34</xdr:col>
      <xdr:colOff>314235</xdr:colOff>
      <xdr:row>18</xdr:row>
      <xdr:rowOff>28485</xdr:rowOff>
    </xdr:from>
    <xdr:to>
      <xdr:col>34</xdr:col>
      <xdr:colOff>314595</xdr:colOff>
      <xdr:row>18</xdr:row>
      <xdr:rowOff>28845</xdr:rowOff>
    </xdr:to>
    <mc:AlternateContent xmlns:mc="http://schemas.openxmlformats.org/markup-compatibility/2006" xmlns:xdr14="http://schemas.microsoft.com/office/excel/2010/spreadsheetDrawing">
      <mc:Choice Requires="xdr14">
        <xdr:contentPart xmlns:r="http://schemas.openxmlformats.org/officeDocument/2006/relationships" r:id="rId63">
          <xdr14:nvContentPartPr>
            <xdr14:cNvPr id="6" name="Ink 5">
              <a:extLst>
                <a:ext uri="{FF2B5EF4-FFF2-40B4-BE49-F238E27FC236}">
                  <a16:creationId xmlns:a16="http://schemas.microsoft.com/office/drawing/2014/main" id="{9ABF3D5E-2036-4F67-AC52-AFF0B14B51E3}"/>
                </a:ext>
              </a:extLst>
            </xdr14:cNvPr>
            <xdr14:cNvContentPartPr/>
          </xdr14:nvContentPartPr>
          <xdr14:nvPr macro=""/>
          <xdr14:xfrm>
            <a:off x="14087385" y="3647985"/>
            <a:ext cx="360" cy="360"/>
          </xdr14:xfrm>
        </xdr:contentPart>
      </mc:Choice>
      <mc:Fallback xmlns="">
        <xdr:pic>
          <xdr:nvPicPr>
            <xdr:cNvPr id="51" name="Ink 50">
              <a:extLst>
                <a:ext uri="{FF2B5EF4-FFF2-40B4-BE49-F238E27FC236}">
                  <a16:creationId xmlns:a16="http://schemas.microsoft.com/office/drawing/2014/main" id="{F8C0A5B1-5C7B-467E-A6DD-EEC76AD1BA5D}"/>
                </a:ext>
              </a:extLst>
            </xdr:cNvPr>
            <xdr:cNvPicPr/>
          </xdr:nvPicPr>
          <xdr:blipFill>
            <a:blip xmlns:r="http://schemas.openxmlformats.org/officeDocument/2006/relationships" r:embed="rId60"/>
            <a:stretch>
              <a:fillRect/>
            </a:stretch>
          </xdr:blipFill>
          <xdr:spPr>
            <a:xfrm>
              <a:off x="14083065" y="3643665"/>
              <a:ext cx="9000" cy="9000"/>
            </a:xfrm>
            <a:prstGeom prst="rect">
              <a:avLst/>
            </a:prstGeom>
          </xdr:spPr>
        </xdr:pic>
      </mc:Fallback>
    </mc:AlternateContent>
    <xdr:clientData/>
  </xdr:twoCellAnchor>
  <xdr:twoCellAnchor editAs="oneCell">
    <xdr:from>
      <xdr:col>28</xdr:col>
      <xdr:colOff>190425</xdr:colOff>
      <xdr:row>20</xdr:row>
      <xdr:rowOff>104685</xdr:rowOff>
    </xdr:from>
    <xdr:to>
      <xdr:col>28</xdr:col>
      <xdr:colOff>190785</xdr:colOff>
      <xdr:row>20</xdr:row>
      <xdr:rowOff>105045</xdr:rowOff>
    </xdr:to>
    <mc:AlternateContent xmlns:mc="http://schemas.openxmlformats.org/markup-compatibility/2006" xmlns:xdr14="http://schemas.microsoft.com/office/excel/2010/spreadsheetDrawing">
      <mc:Choice Requires="xdr14">
        <xdr:contentPart xmlns:r="http://schemas.openxmlformats.org/officeDocument/2006/relationships" r:id="rId64">
          <xdr14:nvContentPartPr>
            <xdr14:cNvPr id="7" name="Ink 6">
              <a:extLst>
                <a:ext uri="{FF2B5EF4-FFF2-40B4-BE49-F238E27FC236}">
                  <a16:creationId xmlns:a16="http://schemas.microsoft.com/office/drawing/2014/main" id="{3F1F7B2A-7AA1-4D00-BF37-70D95E18E8EA}"/>
                </a:ext>
              </a:extLst>
            </xdr14:cNvPr>
            <xdr14:cNvContentPartPr/>
          </xdr14:nvContentPartPr>
          <xdr14:nvPr macro=""/>
          <xdr14:xfrm>
            <a:off x="11925225" y="4105185"/>
            <a:ext cx="360" cy="360"/>
          </xdr14:xfrm>
        </xdr:contentPart>
      </mc:Choice>
      <mc:Fallback xmlns="">
        <xdr:pic>
          <xdr:nvPicPr>
            <xdr:cNvPr id="53" name="Ink 52">
              <a:extLst>
                <a:ext uri="{FF2B5EF4-FFF2-40B4-BE49-F238E27FC236}">
                  <a16:creationId xmlns:a16="http://schemas.microsoft.com/office/drawing/2014/main" id="{B4AB5DA3-F6E6-462D-AAA7-D030221C76F2}"/>
                </a:ext>
              </a:extLst>
            </xdr:cNvPr>
            <xdr:cNvPicPr/>
          </xdr:nvPicPr>
          <xdr:blipFill>
            <a:blip xmlns:r="http://schemas.openxmlformats.org/officeDocument/2006/relationships" r:embed="rId71"/>
            <a:stretch>
              <a:fillRect/>
            </a:stretch>
          </xdr:blipFill>
          <xdr:spPr>
            <a:xfrm>
              <a:off x="11916225" y="4096185"/>
              <a:ext cx="18000" cy="18000"/>
            </a:xfrm>
            <a:prstGeom prst="rect">
              <a:avLst/>
            </a:prstGeom>
          </xdr:spPr>
        </xdr:pic>
      </mc:Fallback>
    </mc:AlternateContent>
    <xdr:clientData/>
  </xdr:twoCellAnchor>
  <xdr:twoCellAnchor editAs="oneCell">
    <xdr:from>
      <xdr:col>29</xdr:col>
      <xdr:colOff>18945</xdr:colOff>
      <xdr:row>26</xdr:row>
      <xdr:rowOff>95325</xdr:rowOff>
    </xdr:from>
    <xdr:to>
      <xdr:col>29</xdr:col>
      <xdr:colOff>19305</xdr:colOff>
      <xdr:row>26</xdr:row>
      <xdr:rowOff>95685</xdr:rowOff>
    </xdr:to>
    <mc:AlternateContent xmlns:mc="http://schemas.openxmlformats.org/markup-compatibility/2006" xmlns:xdr14="http://schemas.microsoft.com/office/excel/2010/spreadsheetDrawing">
      <mc:Choice Requires="xdr14">
        <xdr:contentPart xmlns:r="http://schemas.openxmlformats.org/officeDocument/2006/relationships" r:id="rId72">
          <xdr14:nvContentPartPr>
            <xdr14:cNvPr id="8" name="Ink 7">
              <a:extLst>
                <a:ext uri="{FF2B5EF4-FFF2-40B4-BE49-F238E27FC236}">
                  <a16:creationId xmlns:a16="http://schemas.microsoft.com/office/drawing/2014/main" id="{93827E2E-D9AD-4B41-8EC2-1F812852751A}"/>
                </a:ext>
              </a:extLst>
            </xdr14:cNvPr>
            <xdr14:cNvContentPartPr/>
          </xdr14:nvContentPartPr>
          <xdr14:nvPr macro=""/>
          <xdr14:xfrm>
            <a:off x="12134745" y="5238825"/>
            <a:ext cx="360" cy="360"/>
          </xdr14:xfrm>
        </xdr:contentPart>
      </mc:Choice>
      <mc:Fallback xmlns="">
        <xdr:pic>
          <xdr:nvPicPr>
            <xdr:cNvPr id="54" name="Ink 53">
              <a:extLst>
                <a:ext uri="{FF2B5EF4-FFF2-40B4-BE49-F238E27FC236}">
                  <a16:creationId xmlns:a16="http://schemas.microsoft.com/office/drawing/2014/main" id="{02A672B6-EB4C-42E9-A3AF-276602C8D4EF}"/>
                </a:ext>
              </a:extLst>
            </xdr:cNvPr>
            <xdr:cNvPicPr/>
          </xdr:nvPicPr>
          <xdr:blipFill>
            <a:blip xmlns:r="http://schemas.openxmlformats.org/officeDocument/2006/relationships" r:embed="rId71"/>
            <a:stretch>
              <a:fillRect/>
            </a:stretch>
          </xdr:blipFill>
          <xdr:spPr>
            <a:xfrm>
              <a:off x="12125745" y="5229825"/>
              <a:ext cx="18000" cy="18000"/>
            </a:xfrm>
            <a:prstGeom prst="rect">
              <a:avLst/>
            </a:prstGeom>
          </xdr:spPr>
        </xdr:pic>
      </mc:Fallback>
    </mc:AlternateContent>
    <xdr:clientData/>
  </xdr:twoCellAnchor>
  <xdr:twoCellAnchor editAs="oneCell">
    <xdr:from>
      <xdr:col>34</xdr:col>
      <xdr:colOff>276075</xdr:colOff>
      <xdr:row>23</xdr:row>
      <xdr:rowOff>171465</xdr:rowOff>
    </xdr:from>
    <xdr:to>
      <xdr:col>34</xdr:col>
      <xdr:colOff>276435</xdr:colOff>
      <xdr:row>23</xdr:row>
      <xdr:rowOff>171825</xdr:rowOff>
    </xdr:to>
    <mc:AlternateContent xmlns:mc="http://schemas.openxmlformats.org/markup-compatibility/2006" xmlns:xdr14="http://schemas.microsoft.com/office/excel/2010/spreadsheetDrawing">
      <mc:Choice Requires="xdr14">
        <xdr:contentPart xmlns:r="http://schemas.openxmlformats.org/officeDocument/2006/relationships" r:id="rId73">
          <xdr14:nvContentPartPr>
            <xdr14:cNvPr id="9" name="Ink 8">
              <a:extLst>
                <a:ext uri="{FF2B5EF4-FFF2-40B4-BE49-F238E27FC236}">
                  <a16:creationId xmlns:a16="http://schemas.microsoft.com/office/drawing/2014/main" id="{CBCEA30C-D797-4ADB-A76B-69CF94FA3BFF}"/>
                </a:ext>
              </a:extLst>
            </xdr14:cNvPr>
            <xdr14:cNvContentPartPr/>
          </xdr14:nvContentPartPr>
          <xdr14:nvPr macro=""/>
          <xdr14:xfrm>
            <a:off x="14049225" y="4743465"/>
            <a:ext cx="360" cy="360"/>
          </xdr14:xfrm>
        </xdr:contentPart>
      </mc:Choice>
      <mc:Fallback xmlns="">
        <xdr:pic>
          <xdr:nvPicPr>
            <xdr:cNvPr id="55" name="Ink 54">
              <a:extLst>
                <a:ext uri="{FF2B5EF4-FFF2-40B4-BE49-F238E27FC236}">
                  <a16:creationId xmlns:a16="http://schemas.microsoft.com/office/drawing/2014/main" id="{68ABA6E3-942D-49B4-8FAE-45CF34819A24}"/>
                </a:ext>
              </a:extLst>
            </xdr:cNvPr>
            <xdr:cNvPicPr/>
          </xdr:nvPicPr>
          <xdr:blipFill>
            <a:blip xmlns:r="http://schemas.openxmlformats.org/officeDocument/2006/relationships" r:embed="rId71"/>
            <a:stretch>
              <a:fillRect/>
            </a:stretch>
          </xdr:blipFill>
          <xdr:spPr>
            <a:xfrm>
              <a:off x="14040225" y="4734465"/>
              <a:ext cx="18000" cy="18000"/>
            </a:xfrm>
            <a:prstGeom prst="rect">
              <a:avLst/>
            </a:prstGeom>
          </xdr:spPr>
        </xdr:pic>
      </mc:Fallback>
    </mc:AlternateContent>
    <xdr:clientData/>
  </xdr:twoCellAnchor>
  <xdr:twoCellAnchor>
    <xdr:from>
      <xdr:col>29</xdr:col>
      <xdr:colOff>0</xdr:colOff>
      <xdr:row>10</xdr:row>
      <xdr:rowOff>0</xdr:rowOff>
    </xdr:from>
    <xdr:to>
      <xdr:col>45</xdr:col>
      <xdr:colOff>71555</xdr:colOff>
      <xdr:row>34</xdr:row>
      <xdr:rowOff>47625</xdr:rowOff>
    </xdr:to>
    <xdr:graphicFrame macro="">
      <xdr:nvGraphicFramePr>
        <xdr:cNvPr id="10" name="Chart 9">
          <a:extLst>
            <a:ext uri="{FF2B5EF4-FFF2-40B4-BE49-F238E27FC236}">
              <a16:creationId xmlns:a16="http://schemas.microsoft.com/office/drawing/2014/main" id="{EF54AF58-C7E9-4979-AF7C-5F23B146BC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0.61327</cdr:x>
      <cdr:y>0.50085</cdr:y>
    </cdr:from>
    <cdr:to>
      <cdr:x>0.91867</cdr:x>
      <cdr:y>0.58145</cdr:y>
    </cdr:to>
    <cdr:sp macro="" textlink="">
      <cdr:nvSpPr>
        <cdr:cNvPr id="2" name="TextBox 1"/>
        <cdr:cNvSpPr txBox="1"/>
      </cdr:nvSpPr>
      <cdr:spPr>
        <a:xfrm xmlns:a="http://schemas.openxmlformats.org/drawingml/2006/main">
          <a:off x="3231693" y="2151537"/>
          <a:ext cx="1609273" cy="3462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500"/>
            </a:lnSpc>
          </a:pPr>
          <a:r>
            <a:rPr lang="en-US" sz="1500" b="1">
              <a:solidFill>
                <a:schemeClr val="tx1">
                  <a:lumMod val="50000"/>
                  <a:lumOff val="50000"/>
                </a:schemeClr>
              </a:solidFill>
              <a:latin typeface="Arial" panose="020B0604020202020204" pitchFamily="34" charset="0"/>
              <a:cs typeface="Arial" panose="020B0604020202020204" pitchFamily="34" charset="0"/>
            </a:rPr>
            <a:t>Auten-Splinter</a:t>
          </a:r>
        </a:p>
      </cdr:txBody>
    </cdr:sp>
  </cdr:relSizeAnchor>
  <cdr:relSizeAnchor xmlns:cdr="http://schemas.openxmlformats.org/drawingml/2006/chartDrawing">
    <cdr:from>
      <cdr:x>0.28283</cdr:x>
      <cdr:y>0.41524</cdr:y>
    </cdr:from>
    <cdr:to>
      <cdr:x>0.54652</cdr:x>
      <cdr:y>0.4878</cdr:y>
    </cdr:to>
    <cdr:sp macro="" textlink="">
      <cdr:nvSpPr>
        <cdr:cNvPr id="5" name="TextBox 1"/>
        <cdr:cNvSpPr txBox="1"/>
      </cdr:nvSpPr>
      <cdr:spPr>
        <a:xfrm xmlns:a="http://schemas.openxmlformats.org/drawingml/2006/main">
          <a:off x="1490385" y="1783776"/>
          <a:ext cx="1389532" cy="31170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400"/>
            </a:lnSpc>
          </a:pPr>
          <a:r>
            <a:rPr lang="en-US" sz="1500" b="1">
              <a:solidFill>
                <a:srgbClr val="1F7B91"/>
              </a:solidFill>
              <a:latin typeface="Arial" panose="020B0604020202020204" pitchFamily="34" charset="0"/>
              <a:cs typeface="Arial" panose="020B0604020202020204" pitchFamily="34" charset="0"/>
            </a:rPr>
            <a:t>Piketty-Saez  </a:t>
          </a:r>
        </a:p>
      </cdr:txBody>
    </cdr:sp>
  </cdr:relSizeAnchor>
  <cdr:relSizeAnchor xmlns:cdr="http://schemas.openxmlformats.org/drawingml/2006/chartDrawing">
    <cdr:from>
      <cdr:x>0.09751</cdr:x>
      <cdr:y>0.64989</cdr:y>
    </cdr:from>
    <cdr:to>
      <cdr:x>0.24987</cdr:x>
      <cdr:y>0.7068</cdr:y>
    </cdr:to>
    <cdr:sp macro="" textlink="">
      <cdr:nvSpPr>
        <cdr:cNvPr id="4" name="TextBox 1"/>
        <cdr:cNvSpPr txBox="1"/>
      </cdr:nvSpPr>
      <cdr:spPr>
        <a:xfrm xmlns:a="http://schemas.openxmlformats.org/drawingml/2006/main">
          <a:off x="513637" y="2791772"/>
          <a:ext cx="802530" cy="24447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500"/>
            </a:lnSpc>
          </a:pPr>
          <a:r>
            <a:rPr lang="en-US" sz="1800" b="1">
              <a:solidFill>
                <a:srgbClr val="792B36"/>
              </a:solidFill>
              <a:latin typeface="Arial" panose="020B0604020202020204" pitchFamily="34" charset="0"/>
              <a:cs typeface="Arial" panose="020B0604020202020204" pitchFamily="34" charset="0"/>
            </a:rPr>
            <a:t>CBO</a:t>
          </a:r>
        </a:p>
      </cdr:txBody>
    </cdr:sp>
  </cdr:relSizeAnchor>
  <cdr:relSizeAnchor xmlns:cdr="http://schemas.openxmlformats.org/drawingml/2006/chartDrawing">
    <cdr:from>
      <cdr:x>0.08705</cdr:x>
      <cdr:y>0.86775</cdr:y>
    </cdr:from>
    <cdr:to>
      <cdr:x>0.98724</cdr:x>
      <cdr:y>0.92318</cdr:y>
    </cdr:to>
    <cdr:sp macro="" textlink="">
      <cdr:nvSpPr>
        <cdr:cNvPr id="3" name="TextBox 2"/>
        <cdr:cNvSpPr txBox="1"/>
      </cdr:nvSpPr>
      <cdr:spPr>
        <a:xfrm xmlns:a="http://schemas.openxmlformats.org/drawingml/2006/main">
          <a:off x="458716" y="3727659"/>
          <a:ext cx="4743610" cy="238115"/>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en-US" sz="1100"/>
            <a:t> </a:t>
          </a:r>
          <a:r>
            <a:rPr lang="en-US" sz="1100" baseline="0"/>
            <a:t>      </a:t>
          </a:r>
          <a:r>
            <a:rPr lang="en-US" sz="1100" baseline="0">
              <a:latin typeface="Arial" panose="020B0604020202020204" pitchFamily="34" charset="0"/>
              <a:cs typeface="Arial" panose="020B0604020202020204" pitchFamily="34" charset="0"/>
            </a:rPr>
            <a:t>Bottom              2nd               3rd                    4th                   Top</a:t>
          </a:r>
        </a:p>
        <a:p xmlns:a="http://schemas.openxmlformats.org/drawingml/2006/main">
          <a:r>
            <a:rPr lang="en-US" sz="1100" baseline="0">
              <a:latin typeface="Arial" panose="020B0604020202020204" pitchFamily="34" charset="0"/>
              <a:cs typeface="Arial" panose="020B0604020202020204" pitchFamily="34" charset="0"/>
            </a:rPr>
            <a:t> </a:t>
          </a:r>
          <a:endParaRPr lang="en-US" sz="11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0.78341</cdr:x>
      <cdr:y>0.05135</cdr:y>
    </cdr:from>
    <cdr:to>
      <cdr:x>0.93859</cdr:x>
      <cdr:y>0.1123</cdr:y>
    </cdr:to>
    <cdr:sp macro="" textlink="">
      <cdr:nvSpPr>
        <cdr:cNvPr id="6" name="TextBox 1"/>
        <cdr:cNvSpPr txBox="1"/>
      </cdr:nvSpPr>
      <cdr:spPr>
        <a:xfrm xmlns:a="http://schemas.openxmlformats.org/drawingml/2006/main">
          <a:off x="4126492" y="220583"/>
          <a:ext cx="817384" cy="26182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200"/>
            </a:lnSpc>
          </a:pPr>
          <a:r>
            <a:rPr lang="en-US" sz="1200" b="1">
              <a:solidFill>
                <a:schemeClr val="tx1">
                  <a:lumMod val="75000"/>
                  <a:lumOff val="25000"/>
                </a:schemeClr>
              </a:solidFill>
              <a:latin typeface="Arial" panose="020B0604020202020204" pitchFamily="34" charset="0"/>
              <a:cs typeface="Arial" panose="020B0604020202020204" pitchFamily="34" charset="0"/>
            </a:rPr>
            <a:t>Within top 1%</a:t>
          </a:r>
        </a:p>
      </cdr:txBody>
    </cdr:sp>
  </cdr:relSizeAnchor>
  <cdr:relSizeAnchor xmlns:cdr="http://schemas.openxmlformats.org/drawingml/2006/chartDrawing">
    <cdr:from>
      <cdr:x>0.05135</cdr:x>
      <cdr:y>0.75189</cdr:y>
    </cdr:from>
    <cdr:to>
      <cdr:x>0.21495</cdr:x>
      <cdr:y>0.81618</cdr:y>
    </cdr:to>
    <cdr:sp macro="" textlink="">
      <cdr:nvSpPr>
        <cdr:cNvPr id="8" name="TextBox 1"/>
        <cdr:cNvSpPr txBox="1"/>
      </cdr:nvSpPr>
      <cdr:spPr>
        <a:xfrm xmlns:a="http://schemas.openxmlformats.org/drawingml/2006/main">
          <a:off x="270493" y="3229933"/>
          <a:ext cx="861735" cy="2761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500"/>
            </a:lnSpc>
          </a:pPr>
          <a:r>
            <a:rPr lang="en-US" sz="1800" b="1">
              <a:solidFill>
                <a:srgbClr val="B57A0F"/>
              </a:solidFill>
              <a:latin typeface="Arial" panose="020B0604020202020204" pitchFamily="34" charset="0"/>
              <a:cs typeface="Arial" panose="020B0604020202020204" pitchFamily="34" charset="0"/>
            </a:rPr>
            <a:t>TPC</a:t>
          </a:r>
        </a:p>
      </cdr:txBody>
    </cdr:sp>
  </cdr:relSizeAnchor>
  <cdr:relSizeAnchor xmlns:cdr="http://schemas.openxmlformats.org/drawingml/2006/chartDrawing">
    <cdr:from>
      <cdr:x>0.41793</cdr:x>
      <cdr:y>0.32486</cdr:y>
    </cdr:from>
    <cdr:to>
      <cdr:x>0.67856</cdr:x>
      <cdr:y>0.39738</cdr:y>
    </cdr:to>
    <cdr:sp macro="" textlink="">
      <cdr:nvSpPr>
        <cdr:cNvPr id="10" name="TextBox 1">
          <a:extLst xmlns:a="http://schemas.openxmlformats.org/drawingml/2006/main">
            <a:ext uri="{FF2B5EF4-FFF2-40B4-BE49-F238E27FC236}">
              <a16:creationId xmlns:a16="http://schemas.microsoft.com/office/drawing/2014/main" id="{85EC1E50-E195-4539-9F2F-BD3E3958C4A8}"/>
            </a:ext>
          </a:extLst>
        </cdr:cNvPr>
        <cdr:cNvSpPr txBox="1"/>
      </cdr:nvSpPr>
      <cdr:spPr>
        <a:xfrm xmlns:a="http://schemas.openxmlformats.org/drawingml/2006/main">
          <a:off x="2202316" y="1395506"/>
          <a:ext cx="1373407" cy="3115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500"/>
            </a:lnSpc>
          </a:pPr>
          <a:r>
            <a:rPr lang="en-US" sz="1800" b="1">
              <a:solidFill>
                <a:schemeClr val="tx1">
                  <a:lumMod val="85000"/>
                  <a:lumOff val="15000"/>
                </a:schemeClr>
              </a:solidFill>
              <a:latin typeface="Arial" panose="020B0604020202020204" pitchFamily="34" charset="0"/>
              <a:cs typeface="Arial" panose="020B0604020202020204" pitchFamily="34" charset="0"/>
            </a:rPr>
            <a:t>JCT</a:t>
          </a:r>
        </a:p>
      </cdr:txBody>
    </cdr:sp>
  </cdr:relSizeAnchor>
  <cdr:relSizeAnchor xmlns:cdr="http://schemas.openxmlformats.org/drawingml/2006/chartDrawing">
    <cdr:from>
      <cdr:x>0.92242</cdr:x>
      <cdr:y>0.027</cdr:y>
    </cdr:from>
    <cdr:to>
      <cdr:x>0.9311</cdr:x>
      <cdr:y>0.14504</cdr:y>
    </cdr:to>
    <cdr:sp macro="" textlink="">
      <cdr:nvSpPr>
        <cdr:cNvPr id="7" name="Left Brace 6">
          <a:extLst xmlns:a="http://schemas.openxmlformats.org/drawingml/2006/main">
            <a:ext uri="{FF2B5EF4-FFF2-40B4-BE49-F238E27FC236}">
              <a16:creationId xmlns:a16="http://schemas.microsoft.com/office/drawing/2014/main" id="{54E55770-1C81-438F-B255-82B5585266E3}"/>
            </a:ext>
          </a:extLst>
        </cdr:cNvPr>
        <cdr:cNvSpPr/>
      </cdr:nvSpPr>
      <cdr:spPr>
        <a:xfrm xmlns:a="http://schemas.openxmlformats.org/drawingml/2006/main">
          <a:off x="4858678" y="115982"/>
          <a:ext cx="45719" cy="507081"/>
        </a:xfrm>
        <a:prstGeom xmlns:a="http://schemas.openxmlformats.org/drawingml/2006/main" prst="leftBrace">
          <a:avLst/>
        </a:prstGeom>
        <a:ln xmlns:a="http://schemas.openxmlformats.org/drawingml/2006/main" w="12700">
          <a:solidFill>
            <a:schemeClr val="tx1">
              <a:lumMod val="75000"/>
              <a:lumOff val="2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0.5848</cdr:x>
      <cdr:y>0.37824</cdr:y>
    </cdr:from>
    <cdr:to>
      <cdr:x>0.62307</cdr:x>
      <cdr:y>0.44867</cdr:y>
    </cdr:to>
    <cdr:cxnSp macro="">
      <cdr:nvCxnSpPr>
        <cdr:cNvPr id="14" name="Straight Arrow Connector 13">
          <a:extLst xmlns:a="http://schemas.openxmlformats.org/drawingml/2006/main">
            <a:ext uri="{FF2B5EF4-FFF2-40B4-BE49-F238E27FC236}">
              <a16:creationId xmlns:a16="http://schemas.microsoft.com/office/drawing/2014/main" id="{49FE6368-4C66-4681-B01E-4C5E77CBB884}"/>
            </a:ext>
          </a:extLst>
        </cdr:cNvPr>
        <cdr:cNvCxnSpPr/>
      </cdr:nvCxnSpPr>
      <cdr:spPr>
        <a:xfrm xmlns:a="http://schemas.openxmlformats.org/drawingml/2006/main">
          <a:off x="3081618" y="1624854"/>
          <a:ext cx="201694" cy="302542"/>
        </a:xfrm>
        <a:prstGeom xmlns:a="http://schemas.openxmlformats.org/drawingml/2006/main" prst="straightConnector1">
          <a:avLst/>
        </a:prstGeom>
        <a:ln xmlns:a="http://schemas.openxmlformats.org/drawingml/2006/main" w="19050">
          <a:solidFill>
            <a:schemeClr val="tx1">
              <a:lumMod val="75000"/>
              <a:lumOff val="25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0.32706</cdr:x>
      <cdr:y>0.70036</cdr:y>
    </cdr:from>
    <cdr:to>
      <cdr:x>0.49066</cdr:x>
      <cdr:y>0.76465</cdr:y>
    </cdr:to>
    <cdr:sp macro="" textlink="">
      <cdr:nvSpPr>
        <cdr:cNvPr id="11" name="TextBox 1">
          <a:extLst xmlns:a="http://schemas.openxmlformats.org/drawingml/2006/main">
            <a:ext uri="{FF2B5EF4-FFF2-40B4-BE49-F238E27FC236}">
              <a16:creationId xmlns:a16="http://schemas.microsoft.com/office/drawing/2014/main" id="{2037422E-9775-484B-92D4-B961214F1793}"/>
            </a:ext>
          </a:extLst>
        </cdr:cNvPr>
        <cdr:cNvSpPr txBox="1"/>
      </cdr:nvSpPr>
      <cdr:spPr>
        <a:xfrm xmlns:a="http://schemas.openxmlformats.org/drawingml/2006/main">
          <a:off x="1722727" y="3008592"/>
          <a:ext cx="861735" cy="2761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500"/>
            </a:lnSpc>
          </a:pPr>
          <a:r>
            <a:rPr lang="en-US" sz="1800" b="1">
              <a:solidFill>
                <a:schemeClr val="accent6">
                  <a:lumMod val="75000"/>
                </a:schemeClr>
              </a:solidFill>
              <a:latin typeface="Arial" panose="020B0604020202020204" pitchFamily="34" charset="0"/>
              <a:cs typeface="Arial" panose="020B0604020202020204" pitchFamily="34" charset="0"/>
            </a:rPr>
            <a:t>OTA</a:t>
          </a:r>
        </a:p>
      </cdr:txBody>
    </cdr:sp>
  </cdr:relSizeAnchor>
</c:userShapes>
</file>

<file path=xl/drawings/drawing20.xml><?xml version="1.0" encoding="utf-8"?>
<c:userShapes xmlns:c="http://schemas.openxmlformats.org/drawingml/2006/chart">
  <cdr:relSizeAnchor xmlns:cdr="http://schemas.openxmlformats.org/drawingml/2006/chartDrawing">
    <cdr:from>
      <cdr:x>0.49342</cdr:x>
      <cdr:y>0.38882</cdr:y>
    </cdr:from>
    <cdr:to>
      <cdr:x>0.77307</cdr:x>
      <cdr:y>0.49606</cdr:y>
    </cdr:to>
    <cdr:sp macro="" textlink="">
      <cdr:nvSpPr>
        <cdr:cNvPr id="8" name="TextBox 1">
          <a:extLst xmlns:a="http://schemas.openxmlformats.org/drawingml/2006/main">
            <a:ext uri="{FF2B5EF4-FFF2-40B4-BE49-F238E27FC236}">
              <a16:creationId xmlns:a16="http://schemas.microsoft.com/office/drawing/2014/main" id="{667A952A-D507-4E13-B5C4-C84D92D0DB94}"/>
            </a:ext>
          </a:extLst>
        </cdr:cNvPr>
        <cdr:cNvSpPr txBox="1"/>
      </cdr:nvSpPr>
      <cdr:spPr>
        <a:xfrm xmlns:a="http://schemas.openxmlformats.org/drawingml/2006/main">
          <a:off x="3025029" y="1796202"/>
          <a:ext cx="1714485" cy="49540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200"/>
            </a:lnSpc>
          </a:pPr>
          <a:r>
            <a:rPr lang="en-US" sz="1300" b="1">
              <a:solidFill>
                <a:srgbClr val="1F7B91"/>
              </a:solidFill>
              <a:latin typeface="Arial" panose="020B0604020202020204" pitchFamily="34" charset="0"/>
              <a:cs typeface="Arial" panose="020B0604020202020204" pitchFamily="34" charset="0"/>
            </a:rPr>
            <a:t>Cumulative</a:t>
          </a:r>
          <a:r>
            <a:rPr lang="en-US" sz="1300" b="1" baseline="0">
              <a:solidFill>
                <a:srgbClr val="1F7B91"/>
              </a:solidFill>
              <a:latin typeface="Arial" panose="020B0604020202020204" pitchFamily="34" charset="0"/>
              <a:cs typeface="Arial" panose="020B0604020202020204" pitchFamily="34" charset="0"/>
            </a:rPr>
            <a:t> share of after-tax/transfer income</a:t>
          </a:r>
          <a:endParaRPr lang="en-US" sz="1300" b="1">
            <a:solidFill>
              <a:srgbClr val="1F7B9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0.72921</cdr:x>
      <cdr:y>0.67661</cdr:y>
    </cdr:from>
    <cdr:to>
      <cdr:x>0.95722</cdr:x>
      <cdr:y>0.74252</cdr:y>
    </cdr:to>
    <cdr:sp macro="" textlink="">
      <cdr:nvSpPr>
        <cdr:cNvPr id="10" name="TextBox 1">
          <a:extLst xmlns:a="http://schemas.openxmlformats.org/drawingml/2006/main">
            <a:ext uri="{FF2B5EF4-FFF2-40B4-BE49-F238E27FC236}">
              <a16:creationId xmlns:a16="http://schemas.microsoft.com/office/drawing/2014/main" id="{EEFC3946-31B0-4B0E-8EF1-05D7B4A4B0DA}"/>
            </a:ext>
          </a:extLst>
        </cdr:cNvPr>
        <cdr:cNvSpPr txBox="1"/>
      </cdr:nvSpPr>
      <cdr:spPr>
        <a:xfrm xmlns:a="http://schemas.openxmlformats.org/drawingml/2006/main">
          <a:off x="4470587" y="3125684"/>
          <a:ext cx="1397876" cy="3044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200"/>
            </a:lnSpc>
          </a:pPr>
          <a:endParaRPr lang="en-US" sz="1200" b="1">
            <a:solidFill>
              <a:srgbClr val="792B36"/>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0.7091</cdr:x>
      <cdr:y>0.5931</cdr:y>
    </cdr:from>
    <cdr:to>
      <cdr:x>0.98721</cdr:x>
      <cdr:y>0.74591</cdr:y>
    </cdr:to>
    <cdr:sp macro="" textlink="">
      <cdr:nvSpPr>
        <cdr:cNvPr id="11" name="TextBox 1">
          <a:extLst xmlns:a="http://schemas.openxmlformats.org/drawingml/2006/main">
            <a:ext uri="{FF2B5EF4-FFF2-40B4-BE49-F238E27FC236}">
              <a16:creationId xmlns:a16="http://schemas.microsoft.com/office/drawing/2014/main" id="{FDE74DD3-2E65-4728-BB07-5ED547CDE84E}"/>
            </a:ext>
          </a:extLst>
        </cdr:cNvPr>
        <cdr:cNvSpPr txBox="1"/>
      </cdr:nvSpPr>
      <cdr:spPr>
        <a:xfrm xmlns:a="http://schemas.openxmlformats.org/drawingml/2006/main">
          <a:off x="4347323" y="2739900"/>
          <a:ext cx="1704972" cy="7059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400"/>
            </a:lnSpc>
          </a:pPr>
          <a:r>
            <a:rPr lang="en-US" sz="1300" b="1">
              <a:solidFill>
                <a:srgbClr val="792B36"/>
              </a:solidFill>
              <a:latin typeface="Arial" panose="020B0604020202020204" pitchFamily="34" charset="0"/>
              <a:cs typeface="Arial" panose="020B0604020202020204" pitchFamily="34" charset="0"/>
            </a:rPr>
            <a:t>Cumulative</a:t>
          </a:r>
          <a:r>
            <a:rPr lang="en-US" sz="1300" b="1" baseline="0">
              <a:solidFill>
                <a:srgbClr val="792B36"/>
              </a:solidFill>
              <a:latin typeface="Arial" panose="020B0604020202020204" pitchFamily="34" charset="0"/>
              <a:cs typeface="Arial" panose="020B0604020202020204" pitchFamily="34" charset="0"/>
            </a:rPr>
            <a:t> share of market income</a:t>
          </a:r>
          <a:endParaRPr lang="en-US" sz="1300" b="1">
            <a:solidFill>
              <a:srgbClr val="792B36"/>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0.56653</cdr:x>
      <cdr:y>0.63675</cdr:y>
    </cdr:from>
    <cdr:to>
      <cdr:x>0.56836</cdr:x>
      <cdr:y>0.74106</cdr:y>
    </cdr:to>
    <cdr:cxnSp macro="">
      <cdr:nvCxnSpPr>
        <cdr:cNvPr id="3" name="Straight Arrow Connector 2">
          <a:extLst xmlns:a="http://schemas.openxmlformats.org/drawingml/2006/main">
            <a:ext uri="{FF2B5EF4-FFF2-40B4-BE49-F238E27FC236}">
              <a16:creationId xmlns:a16="http://schemas.microsoft.com/office/drawing/2014/main" id="{EDAA1089-E218-439B-AE75-B3F32C5FF919}"/>
            </a:ext>
          </a:extLst>
        </cdr:cNvPr>
        <cdr:cNvCxnSpPr/>
      </cdr:nvCxnSpPr>
      <cdr:spPr>
        <a:xfrm xmlns:a="http://schemas.openxmlformats.org/drawingml/2006/main" flipH="1">
          <a:off x="3473246" y="2941544"/>
          <a:ext cx="11224" cy="481875"/>
        </a:xfrm>
        <a:prstGeom xmlns:a="http://schemas.openxmlformats.org/drawingml/2006/main" prst="straightConnector1">
          <a:avLst/>
        </a:prstGeom>
        <a:ln xmlns:a="http://schemas.openxmlformats.org/drawingml/2006/main" w="12700">
          <a:solidFill>
            <a:srgbClr val="B57A0F"/>
          </a:solidFill>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0.50987</cdr:x>
      <cdr:y>0.77016</cdr:y>
    </cdr:from>
    <cdr:to>
      <cdr:x>0.965</cdr:x>
      <cdr:y>0.85506</cdr:y>
    </cdr:to>
    <cdr:sp macro="" textlink="">
      <cdr:nvSpPr>
        <cdr:cNvPr id="7" name="TextBox 1">
          <a:extLst xmlns:a="http://schemas.openxmlformats.org/drawingml/2006/main">
            <a:ext uri="{FF2B5EF4-FFF2-40B4-BE49-F238E27FC236}">
              <a16:creationId xmlns:a16="http://schemas.microsoft.com/office/drawing/2014/main" id="{F045C73E-8A63-4E48-AB25-462CD3EE3061}"/>
            </a:ext>
          </a:extLst>
        </cdr:cNvPr>
        <cdr:cNvSpPr txBox="1"/>
      </cdr:nvSpPr>
      <cdr:spPr>
        <a:xfrm xmlns:a="http://schemas.openxmlformats.org/drawingml/2006/main">
          <a:off x="3125883" y="3557868"/>
          <a:ext cx="2790278" cy="39220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400" b="1">
              <a:solidFill>
                <a:srgbClr val="B57A0F"/>
              </a:solidFill>
              <a:latin typeface="Arial" panose="020B0604020202020204" pitchFamily="34" charset="0"/>
              <a:cs typeface="Arial" panose="020B0604020202020204" pitchFamily="34" charset="0"/>
            </a:rPr>
            <a:t>Reynolds</a:t>
          </a:r>
          <a:r>
            <a:rPr lang="en-US" sz="1400" b="1">
              <a:solidFill>
                <a:srgbClr val="B57A0F"/>
              </a:solidFill>
              <a:effectLst/>
              <a:latin typeface="Arial" panose="020B0604020202020204" pitchFamily="34" charset="0"/>
              <a:ea typeface="+mn-ea"/>
              <a:cs typeface="Arial" panose="020B0604020202020204" pitchFamily="34" charset="0"/>
            </a:rPr>
            <a:t>–</a:t>
          </a:r>
          <a:r>
            <a:rPr lang="en-US" sz="1400" b="1">
              <a:solidFill>
                <a:srgbClr val="B57A0F"/>
              </a:solidFill>
              <a:latin typeface="Arial" panose="020B0604020202020204" pitchFamily="34" charset="0"/>
              <a:cs typeface="Arial" panose="020B0604020202020204" pitchFamily="34" charset="0"/>
            </a:rPr>
            <a:t>Smolensky index</a:t>
          </a:r>
        </a:p>
      </cdr:txBody>
    </cdr:sp>
  </cdr:relSizeAnchor>
  <cdr:relSizeAnchor xmlns:cdr="http://schemas.openxmlformats.org/drawingml/2006/chartDrawing">
    <cdr:from>
      <cdr:x>0.77307</cdr:x>
      <cdr:y>0.55781</cdr:y>
    </cdr:from>
    <cdr:to>
      <cdr:x>0.80232</cdr:x>
      <cdr:y>0.60036</cdr:y>
    </cdr:to>
    <cdr:cxnSp macro="">
      <cdr:nvCxnSpPr>
        <cdr:cNvPr id="9" name="Straight Arrow Connector 8">
          <a:extLst xmlns:a="http://schemas.openxmlformats.org/drawingml/2006/main">
            <a:ext uri="{FF2B5EF4-FFF2-40B4-BE49-F238E27FC236}">
              <a16:creationId xmlns:a16="http://schemas.microsoft.com/office/drawing/2014/main" id="{1A86D43F-B899-4D35-B4F3-5A712C201BAC}"/>
            </a:ext>
          </a:extLst>
        </cdr:cNvPr>
        <cdr:cNvCxnSpPr/>
      </cdr:nvCxnSpPr>
      <cdr:spPr>
        <a:xfrm xmlns:a="http://schemas.openxmlformats.org/drawingml/2006/main" flipH="1" flipV="1">
          <a:off x="4739463" y="2576861"/>
          <a:ext cx="179360" cy="196594"/>
        </a:xfrm>
        <a:prstGeom xmlns:a="http://schemas.openxmlformats.org/drawingml/2006/main" prst="straightConnector1">
          <a:avLst/>
        </a:prstGeom>
        <a:ln xmlns:a="http://schemas.openxmlformats.org/drawingml/2006/main" w="19050">
          <a:solidFill>
            <a:srgbClr val="A03A49"/>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0.61274</cdr:x>
      <cdr:y>0.50444</cdr:y>
    </cdr:from>
    <cdr:to>
      <cdr:x>0.65061</cdr:x>
      <cdr:y>0.55913</cdr:y>
    </cdr:to>
    <cdr:cxnSp macro="">
      <cdr:nvCxnSpPr>
        <cdr:cNvPr id="12" name="Straight Arrow Connector 11">
          <a:extLst xmlns:a="http://schemas.openxmlformats.org/drawingml/2006/main">
            <a:ext uri="{FF2B5EF4-FFF2-40B4-BE49-F238E27FC236}">
              <a16:creationId xmlns:a16="http://schemas.microsoft.com/office/drawing/2014/main" id="{D1C0BADF-B637-4530-8D5D-047B2B8DEF4B}"/>
            </a:ext>
          </a:extLst>
        </cdr:cNvPr>
        <cdr:cNvCxnSpPr/>
      </cdr:nvCxnSpPr>
      <cdr:spPr>
        <a:xfrm xmlns:a="http://schemas.openxmlformats.org/drawingml/2006/main">
          <a:off x="3756567" y="2330340"/>
          <a:ext cx="232168" cy="252615"/>
        </a:xfrm>
        <a:prstGeom xmlns:a="http://schemas.openxmlformats.org/drawingml/2006/main" prst="straightConnector1">
          <a:avLst/>
        </a:prstGeom>
        <a:ln xmlns:a="http://schemas.openxmlformats.org/drawingml/2006/main" w="19050">
          <a:solidFill>
            <a:srgbClr val="1F7B9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1.xml><?xml version="1.0" encoding="utf-8"?>
<c:userShapes xmlns:c="http://schemas.openxmlformats.org/drawingml/2006/chart">
  <cdr:relSizeAnchor xmlns:cdr="http://schemas.openxmlformats.org/drawingml/2006/chartDrawing">
    <cdr:from>
      <cdr:x>0.50194</cdr:x>
      <cdr:y>0.38882</cdr:y>
    </cdr:from>
    <cdr:to>
      <cdr:x>0.76638</cdr:x>
      <cdr:y>0.49606</cdr:y>
    </cdr:to>
    <cdr:sp macro="" textlink="">
      <cdr:nvSpPr>
        <cdr:cNvPr id="8" name="TextBox 1">
          <a:extLst xmlns:a="http://schemas.openxmlformats.org/drawingml/2006/main">
            <a:ext uri="{FF2B5EF4-FFF2-40B4-BE49-F238E27FC236}">
              <a16:creationId xmlns:a16="http://schemas.microsoft.com/office/drawing/2014/main" id="{667A952A-D507-4E13-B5C4-C84D92D0DB94}"/>
            </a:ext>
          </a:extLst>
        </cdr:cNvPr>
        <cdr:cNvSpPr txBox="1"/>
      </cdr:nvSpPr>
      <cdr:spPr>
        <a:xfrm xmlns:a="http://schemas.openxmlformats.org/drawingml/2006/main">
          <a:off x="3061607" y="1796203"/>
          <a:ext cx="1612927" cy="49540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200"/>
            </a:lnSpc>
          </a:pPr>
          <a:r>
            <a:rPr lang="en-US" sz="1200" b="1">
              <a:solidFill>
                <a:schemeClr val="tx1">
                  <a:lumMod val="50000"/>
                  <a:lumOff val="50000"/>
                </a:schemeClr>
              </a:solidFill>
              <a:latin typeface="Arial" panose="020B0604020202020204" pitchFamily="34" charset="0"/>
              <a:cs typeface="Arial" panose="020B0604020202020204" pitchFamily="34" charset="0"/>
            </a:rPr>
            <a:t>Cumulative</a:t>
          </a:r>
          <a:r>
            <a:rPr lang="en-US" sz="1200" b="1" baseline="0">
              <a:solidFill>
                <a:schemeClr val="tx1">
                  <a:lumMod val="50000"/>
                  <a:lumOff val="50000"/>
                </a:schemeClr>
              </a:solidFill>
              <a:latin typeface="Arial" panose="020B0604020202020204" pitchFamily="34" charset="0"/>
              <a:cs typeface="Arial" panose="020B0604020202020204" pitchFamily="34" charset="0"/>
            </a:rPr>
            <a:t> share of after-tax/transfer income</a:t>
          </a:r>
          <a:endParaRPr lang="en-US" sz="1200" b="1">
            <a:solidFill>
              <a:schemeClr val="tx1">
                <a:lumMod val="50000"/>
                <a:lumOff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0.72921</cdr:x>
      <cdr:y>0.67661</cdr:y>
    </cdr:from>
    <cdr:to>
      <cdr:x>0.95722</cdr:x>
      <cdr:y>0.74252</cdr:y>
    </cdr:to>
    <cdr:sp macro="" textlink="">
      <cdr:nvSpPr>
        <cdr:cNvPr id="10" name="TextBox 1">
          <a:extLst xmlns:a="http://schemas.openxmlformats.org/drawingml/2006/main">
            <a:ext uri="{FF2B5EF4-FFF2-40B4-BE49-F238E27FC236}">
              <a16:creationId xmlns:a16="http://schemas.microsoft.com/office/drawing/2014/main" id="{EEFC3946-31B0-4B0E-8EF1-05D7B4A4B0DA}"/>
            </a:ext>
          </a:extLst>
        </cdr:cNvPr>
        <cdr:cNvSpPr txBox="1"/>
      </cdr:nvSpPr>
      <cdr:spPr>
        <a:xfrm xmlns:a="http://schemas.openxmlformats.org/drawingml/2006/main">
          <a:off x="4470587" y="3125684"/>
          <a:ext cx="1397876" cy="3044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200"/>
            </a:lnSpc>
          </a:pPr>
          <a:endParaRPr lang="en-US" sz="1200" b="1">
            <a:solidFill>
              <a:srgbClr val="792B36"/>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0.7091</cdr:x>
      <cdr:y>0.5931</cdr:y>
    </cdr:from>
    <cdr:to>
      <cdr:x>0.98721</cdr:x>
      <cdr:y>0.74591</cdr:y>
    </cdr:to>
    <cdr:sp macro="" textlink="">
      <cdr:nvSpPr>
        <cdr:cNvPr id="11" name="TextBox 1">
          <a:extLst xmlns:a="http://schemas.openxmlformats.org/drawingml/2006/main">
            <a:ext uri="{FF2B5EF4-FFF2-40B4-BE49-F238E27FC236}">
              <a16:creationId xmlns:a16="http://schemas.microsoft.com/office/drawing/2014/main" id="{FDE74DD3-2E65-4728-BB07-5ED547CDE84E}"/>
            </a:ext>
          </a:extLst>
        </cdr:cNvPr>
        <cdr:cNvSpPr txBox="1"/>
      </cdr:nvSpPr>
      <cdr:spPr>
        <a:xfrm xmlns:a="http://schemas.openxmlformats.org/drawingml/2006/main">
          <a:off x="4347323" y="2739900"/>
          <a:ext cx="1704972" cy="7059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400"/>
            </a:lnSpc>
          </a:pPr>
          <a:r>
            <a:rPr lang="en-US" sz="1300" b="1">
              <a:solidFill>
                <a:sysClr val="windowText" lastClr="000000"/>
              </a:solidFill>
              <a:latin typeface="Arial" panose="020B0604020202020204" pitchFamily="34" charset="0"/>
              <a:cs typeface="Arial" panose="020B0604020202020204" pitchFamily="34" charset="0"/>
            </a:rPr>
            <a:t>Cumulative</a:t>
          </a:r>
          <a:r>
            <a:rPr lang="en-US" sz="1300" b="1" baseline="0">
              <a:solidFill>
                <a:sysClr val="windowText" lastClr="000000"/>
              </a:solidFill>
              <a:latin typeface="Arial" panose="020B0604020202020204" pitchFamily="34" charset="0"/>
              <a:cs typeface="Arial" panose="020B0604020202020204" pitchFamily="34" charset="0"/>
            </a:rPr>
            <a:t> share of market income</a:t>
          </a:r>
          <a:endParaRPr lang="en-US" sz="1300" b="1">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0.56653</cdr:x>
      <cdr:y>0.63675</cdr:y>
    </cdr:from>
    <cdr:to>
      <cdr:x>0.56836</cdr:x>
      <cdr:y>0.74106</cdr:y>
    </cdr:to>
    <cdr:cxnSp macro="">
      <cdr:nvCxnSpPr>
        <cdr:cNvPr id="3" name="Straight Arrow Connector 2">
          <a:extLst xmlns:a="http://schemas.openxmlformats.org/drawingml/2006/main">
            <a:ext uri="{FF2B5EF4-FFF2-40B4-BE49-F238E27FC236}">
              <a16:creationId xmlns:a16="http://schemas.microsoft.com/office/drawing/2014/main" id="{EDAA1089-E218-439B-AE75-B3F32C5FF919}"/>
            </a:ext>
          </a:extLst>
        </cdr:cNvPr>
        <cdr:cNvCxnSpPr/>
      </cdr:nvCxnSpPr>
      <cdr:spPr>
        <a:xfrm xmlns:a="http://schemas.openxmlformats.org/drawingml/2006/main" flipH="1">
          <a:off x="3473246" y="2941544"/>
          <a:ext cx="11224" cy="481875"/>
        </a:xfrm>
        <a:prstGeom xmlns:a="http://schemas.openxmlformats.org/drawingml/2006/main" prst="straightConnector1">
          <a:avLst/>
        </a:prstGeom>
        <a:ln xmlns:a="http://schemas.openxmlformats.org/drawingml/2006/main" w="12700">
          <a:solidFill>
            <a:schemeClr val="tx1">
              <a:lumMod val="65000"/>
              <a:lumOff val="35000"/>
            </a:schemeClr>
          </a:solidFill>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0.50987</cdr:x>
      <cdr:y>0.77016</cdr:y>
    </cdr:from>
    <cdr:to>
      <cdr:x>0.965</cdr:x>
      <cdr:y>0.85506</cdr:y>
    </cdr:to>
    <cdr:sp macro="" textlink="">
      <cdr:nvSpPr>
        <cdr:cNvPr id="7" name="TextBox 1">
          <a:extLst xmlns:a="http://schemas.openxmlformats.org/drawingml/2006/main">
            <a:ext uri="{FF2B5EF4-FFF2-40B4-BE49-F238E27FC236}">
              <a16:creationId xmlns:a16="http://schemas.microsoft.com/office/drawing/2014/main" id="{F045C73E-8A63-4E48-AB25-462CD3EE3061}"/>
            </a:ext>
          </a:extLst>
        </cdr:cNvPr>
        <cdr:cNvSpPr txBox="1"/>
      </cdr:nvSpPr>
      <cdr:spPr>
        <a:xfrm xmlns:a="http://schemas.openxmlformats.org/drawingml/2006/main">
          <a:off x="3125883" y="3557868"/>
          <a:ext cx="2790278" cy="39220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400" b="1">
              <a:solidFill>
                <a:schemeClr val="tx1">
                  <a:lumMod val="65000"/>
                  <a:lumOff val="35000"/>
                </a:schemeClr>
              </a:solidFill>
              <a:latin typeface="Arial" panose="020B0604020202020204" pitchFamily="34" charset="0"/>
              <a:cs typeface="Arial" panose="020B0604020202020204" pitchFamily="34" charset="0"/>
            </a:rPr>
            <a:t>Reynolds</a:t>
          </a:r>
          <a:r>
            <a:rPr lang="en-US" sz="1400" b="1">
              <a:solidFill>
                <a:schemeClr val="tx1">
                  <a:lumMod val="65000"/>
                  <a:lumOff val="35000"/>
                </a:schemeClr>
              </a:solidFill>
              <a:effectLst/>
              <a:latin typeface="Arial" panose="020B0604020202020204" pitchFamily="34" charset="0"/>
              <a:ea typeface="+mn-ea"/>
              <a:cs typeface="Arial" panose="020B0604020202020204" pitchFamily="34" charset="0"/>
            </a:rPr>
            <a:t>–</a:t>
          </a:r>
          <a:r>
            <a:rPr lang="en-US" sz="1400" b="1">
              <a:solidFill>
                <a:schemeClr val="tx1">
                  <a:lumMod val="65000"/>
                  <a:lumOff val="35000"/>
                </a:schemeClr>
              </a:solidFill>
              <a:latin typeface="Arial" panose="020B0604020202020204" pitchFamily="34" charset="0"/>
              <a:cs typeface="Arial" panose="020B0604020202020204" pitchFamily="34" charset="0"/>
            </a:rPr>
            <a:t>Smolensky index</a:t>
          </a:r>
        </a:p>
      </cdr:txBody>
    </cdr:sp>
  </cdr:relSizeAnchor>
  <cdr:relSizeAnchor xmlns:cdr="http://schemas.openxmlformats.org/drawingml/2006/chartDrawing">
    <cdr:from>
      <cdr:x>0.77307</cdr:x>
      <cdr:y>0.55781</cdr:y>
    </cdr:from>
    <cdr:to>
      <cdr:x>0.80232</cdr:x>
      <cdr:y>0.60036</cdr:y>
    </cdr:to>
    <cdr:cxnSp macro="">
      <cdr:nvCxnSpPr>
        <cdr:cNvPr id="9" name="Straight Arrow Connector 8">
          <a:extLst xmlns:a="http://schemas.openxmlformats.org/drawingml/2006/main">
            <a:ext uri="{FF2B5EF4-FFF2-40B4-BE49-F238E27FC236}">
              <a16:creationId xmlns:a16="http://schemas.microsoft.com/office/drawing/2014/main" id="{1A86D43F-B899-4D35-B4F3-5A712C201BAC}"/>
            </a:ext>
          </a:extLst>
        </cdr:cNvPr>
        <cdr:cNvCxnSpPr/>
      </cdr:nvCxnSpPr>
      <cdr:spPr>
        <a:xfrm xmlns:a="http://schemas.openxmlformats.org/drawingml/2006/main" flipH="1" flipV="1">
          <a:off x="4739463" y="2576861"/>
          <a:ext cx="179360" cy="196594"/>
        </a:xfrm>
        <a:prstGeom xmlns:a="http://schemas.openxmlformats.org/drawingml/2006/main" prst="straightConnector1">
          <a:avLst/>
        </a:prstGeom>
        <a:ln xmlns:a="http://schemas.openxmlformats.org/drawingml/2006/main" w="19050">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0.61274</cdr:x>
      <cdr:y>0.50444</cdr:y>
    </cdr:from>
    <cdr:to>
      <cdr:x>0.65061</cdr:x>
      <cdr:y>0.55913</cdr:y>
    </cdr:to>
    <cdr:cxnSp macro="">
      <cdr:nvCxnSpPr>
        <cdr:cNvPr id="12" name="Straight Arrow Connector 11">
          <a:extLst xmlns:a="http://schemas.openxmlformats.org/drawingml/2006/main">
            <a:ext uri="{FF2B5EF4-FFF2-40B4-BE49-F238E27FC236}">
              <a16:creationId xmlns:a16="http://schemas.microsoft.com/office/drawing/2014/main" id="{D1C0BADF-B637-4530-8D5D-047B2B8DEF4B}"/>
            </a:ext>
          </a:extLst>
        </cdr:cNvPr>
        <cdr:cNvCxnSpPr/>
      </cdr:nvCxnSpPr>
      <cdr:spPr>
        <a:xfrm xmlns:a="http://schemas.openxmlformats.org/drawingml/2006/main">
          <a:off x="3756567" y="2330340"/>
          <a:ext cx="232168" cy="252615"/>
        </a:xfrm>
        <a:prstGeom xmlns:a="http://schemas.openxmlformats.org/drawingml/2006/main" prst="straightConnector1">
          <a:avLst/>
        </a:prstGeom>
        <a:ln xmlns:a="http://schemas.openxmlformats.org/drawingml/2006/main" w="19050">
          <a:solidFill>
            <a:schemeClr val="tx1">
              <a:lumMod val="65000"/>
              <a:lumOff val="35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2.xml><?xml version="1.0" encoding="utf-8"?>
<xdr:wsDr xmlns:xdr="http://schemas.openxmlformats.org/drawingml/2006/spreadsheetDrawing" xmlns:a="http://schemas.openxmlformats.org/drawingml/2006/main">
  <xdr:twoCellAnchor>
    <xdr:from>
      <xdr:col>0</xdr:col>
      <xdr:colOff>22412</xdr:colOff>
      <xdr:row>2</xdr:row>
      <xdr:rowOff>145676</xdr:rowOff>
    </xdr:from>
    <xdr:to>
      <xdr:col>10</xdr:col>
      <xdr:colOff>246533</xdr:colOff>
      <xdr:row>26</xdr:row>
      <xdr:rowOff>78440</xdr:rowOff>
    </xdr:to>
    <xdr:graphicFrame macro="">
      <xdr:nvGraphicFramePr>
        <xdr:cNvPr id="3" name="Chart 2">
          <a:extLst>
            <a:ext uri="{FF2B5EF4-FFF2-40B4-BE49-F238E27FC236}">
              <a16:creationId xmlns:a16="http://schemas.microsoft.com/office/drawing/2014/main" id="{9C1A02E0-4C61-4026-8C22-490F06C931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392207</xdr:colOff>
      <xdr:row>3</xdr:row>
      <xdr:rowOff>22410</xdr:rowOff>
    </xdr:from>
    <xdr:to>
      <xdr:col>21</xdr:col>
      <xdr:colOff>336180</xdr:colOff>
      <xdr:row>26</xdr:row>
      <xdr:rowOff>145674</xdr:rowOff>
    </xdr:to>
    <xdr:graphicFrame macro="">
      <xdr:nvGraphicFramePr>
        <xdr:cNvPr id="4" name="Chart 3">
          <a:extLst>
            <a:ext uri="{FF2B5EF4-FFF2-40B4-BE49-F238E27FC236}">
              <a16:creationId xmlns:a16="http://schemas.microsoft.com/office/drawing/2014/main" id="{64D09B55-1DC0-4065-BD08-B02CB35BD0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0.68356</cdr:x>
      <cdr:y>0.22464</cdr:y>
    </cdr:from>
    <cdr:to>
      <cdr:x>1</cdr:x>
      <cdr:y>0.28544</cdr:y>
    </cdr:to>
    <cdr:sp macro="" textlink="">
      <cdr:nvSpPr>
        <cdr:cNvPr id="8" name="TextBox 1">
          <a:extLst xmlns:a="http://schemas.openxmlformats.org/drawingml/2006/main">
            <a:ext uri="{FF2B5EF4-FFF2-40B4-BE49-F238E27FC236}">
              <a16:creationId xmlns:a16="http://schemas.microsoft.com/office/drawing/2014/main" id="{667A952A-D507-4E13-B5C4-C84D92D0DB94}"/>
            </a:ext>
          </a:extLst>
        </cdr:cNvPr>
        <cdr:cNvSpPr txBox="1"/>
      </cdr:nvSpPr>
      <cdr:spPr>
        <a:xfrm xmlns:a="http://schemas.openxmlformats.org/drawingml/2006/main">
          <a:off x="4297202" y="1011939"/>
          <a:ext cx="1989301" cy="27389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400"/>
            </a:lnSpc>
          </a:pPr>
          <a:r>
            <a:rPr lang="en-US" sz="1600" b="1">
              <a:solidFill>
                <a:srgbClr val="1F7B91"/>
              </a:solidFill>
              <a:latin typeface="Arial" panose="020B0604020202020204" pitchFamily="34" charset="0"/>
              <a:cs typeface="Arial" panose="020B0604020202020204" pitchFamily="34" charset="0"/>
            </a:rPr>
            <a:t>Reynolds-Smolensky Index</a:t>
          </a:r>
        </a:p>
      </cdr:txBody>
    </cdr:sp>
  </cdr:relSizeAnchor>
  <cdr:relSizeAnchor xmlns:cdr="http://schemas.openxmlformats.org/drawingml/2006/chartDrawing">
    <cdr:from>
      <cdr:x>0.8355</cdr:x>
      <cdr:y>0.09638</cdr:y>
    </cdr:from>
    <cdr:to>
      <cdr:x>0.96544</cdr:x>
      <cdr:y>0.16229</cdr:y>
    </cdr:to>
    <cdr:sp macro="" textlink="">
      <cdr:nvSpPr>
        <cdr:cNvPr id="9" name="TextBox 1">
          <a:extLst xmlns:a="http://schemas.openxmlformats.org/drawingml/2006/main">
            <a:ext uri="{FF2B5EF4-FFF2-40B4-BE49-F238E27FC236}">
              <a16:creationId xmlns:a16="http://schemas.microsoft.com/office/drawing/2014/main" id="{3DD8D46D-9A6B-4F3A-B422-A2717F264A21}"/>
            </a:ext>
          </a:extLst>
        </cdr:cNvPr>
        <cdr:cNvSpPr txBox="1"/>
      </cdr:nvSpPr>
      <cdr:spPr>
        <a:xfrm xmlns:a="http://schemas.openxmlformats.org/drawingml/2006/main">
          <a:off x="5252373" y="434185"/>
          <a:ext cx="816868" cy="29690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200"/>
            </a:lnSpc>
          </a:pPr>
          <a:r>
            <a:rPr lang="en-US" sz="1800" b="1">
              <a:solidFill>
                <a:srgbClr val="1F7B91"/>
              </a:solidFill>
              <a:effectLst/>
              <a:latin typeface="Arial" panose="020B0604020202020204" pitchFamily="34" charset="0"/>
              <a:ea typeface="+mn-ea"/>
              <a:cs typeface="Arial" panose="020B0604020202020204" pitchFamily="34" charset="0"/>
            </a:rPr>
            <a:t>+59%</a:t>
          </a:r>
          <a:endParaRPr lang="en-US" sz="1800" b="1">
            <a:solidFill>
              <a:srgbClr val="1F7B9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cdr:y>
    </cdr:from>
    <cdr:to>
      <cdr:x>0.98039</cdr:x>
      <cdr:y>0.09818</cdr:y>
    </cdr:to>
    <cdr:sp macro="" textlink="">
      <cdr:nvSpPr>
        <cdr:cNvPr id="10" name="TextBox 1">
          <a:extLst xmlns:a="http://schemas.openxmlformats.org/drawingml/2006/main">
            <a:ext uri="{FF2B5EF4-FFF2-40B4-BE49-F238E27FC236}">
              <a16:creationId xmlns:a16="http://schemas.microsoft.com/office/drawing/2014/main" id="{2454B627-6226-44CD-890E-069B70C40E52}"/>
            </a:ext>
          </a:extLst>
        </cdr:cNvPr>
        <cdr:cNvSpPr txBox="1"/>
      </cdr:nvSpPr>
      <cdr:spPr>
        <a:xfrm xmlns:a="http://schemas.openxmlformats.org/drawingml/2006/main">
          <a:off x="0" y="0"/>
          <a:ext cx="6163235" cy="44227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600"/>
            </a:lnSpc>
          </a:pPr>
          <a:endParaRPr lang="en-US" sz="1500" b="1">
            <a:solidFill>
              <a:sysClr val="windowText" lastClr="000000"/>
            </a:solidFill>
            <a:latin typeface="Arial" panose="020B0604020202020204" pitchFamily="34" charset="0"/>
            <a:cs typeface="Arial" panose="020B0604020202020204" pitchFamily="34" charset="0"/>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0.68356</cdr:x>
      <cdr:y>0.22215</cdr:y>
    </cdr:from>
    <cdr:to>
      <cdr:x>1</cdr:x>
      <cdr:y>0.28295</cdr:y>
    </cdr:to>
    <cdr:sp macro="" textlink="">
      <cdr:nvSpPr>
        <cdr:cNvPr id="8" name="TextBox 1">
          <a:extLst xmlns:a="http://schemas.openxmlformats.org/drawingml/2006/main">
            <a:ext uri="{FF2B5EF4-FFF2-40B4-BE49-F238E27FC236}">
              <a16:creationId xmlns:a16="http://schemas.microsoft.com/office/drawing/2014/main" id="{667A952A-D507-4E13-B5C4-C84D92D0DB94}"/>
            </a:ext>
          </a:extLst>
        </cdr:cNvPr>
        <cdr:cNvSpPr txBox="1"/>
      </cdr:nvSpPr>
      <cdr:spPr>
        <a:xfrm xmlns:a="http://schemas.openxmlformats.org/drawingml/2006/main">
          <a:off x="4297202" y="1000738"/>
          <a:ext cx="1989301" cy="27389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400"/>
            </a:lnSpc>
          </a:pPr>
          <a:r>
            <a:rPr lang="en-US" sz="1600" b="1">
              <a:solidFill>
                <a:schemeClr val="tx1"/>
              </a:solidFill>
              <a:latin typeface="Arial" panose="020B0604020202020204" pitchFamily="34" charset="0"/>
              <a:cs typeface="Arial" panose="020B0604020202020204" pitchFamily="34" charset="0"/>
            </a:rPr>
            <a:t>Reynolds</a:t>
          </a:r>
          <a:r>
            <a:rPr lang="en-US" sz="1600" b="1">
              <a:effectLst/>
              <a:latin typeface="+mn-lt"/>
              <a:ea typeface="+mn-ea"/>
              <a:cs typeface="+mn-cs"/>
            </a:rPr>
            <a:t>–</a:t>
          </a:r>
          <a:r>
            <a:rPr lang="en-US" sz="1600" b="1">
              <a:solidFill>
                <a:schemeClr val="tx1"/>
              </a:solidFill>
              <a:latin typeface="Arial" panose="020B0604020202020204" pitchFamily="34" charset="0"/>
              <a:cs typeface="Arial" panose="020B0604020202020204" pitchFamily="34" charset="0"/>
            </a:rPr>
            <a:t>Smolensky index</a:t>
          </a:r>
        </a:p>
      </cdr:txBody>
    </cdr:sp>
  </cdr:relSizeAnchor>
  <cdr:relSizeAnchor xmlns:cdr="http://schemas.openxmlformats.org/drawingml/2006/chartDrawing">
    <cdr:from>
      <cdr:x>0.83728</cdr:x>
      <cdr:y>0.08643</cdr:y>
    </cdr:from>
    <cdr:to>
      <cdr:x>0.96722</cdr:x>
      <cdr:y>0.15234</cdr:y>
    </cdr:to>
    <cdr:sp macro="" textlink="">
      <cdr:nvSpPr>
        <cdr:cNvPr id="9" name="TextBox 1">
          <a:extLst xmlns:a="http://schemas.openxmlformats.org/drawingml/2006/main">
            <a:ext uri="{FF2B5EF4-FFF2-40B4-BE49-F238E27FC236}">
              <a16:creationId xmlns:a16="http://schemas.microsoft.com/office/drawing/2014/main" id="{3DD8D46D-9A6B-4F3A-B422-A2717F264A21}"/>
            </a:ext>
          </a:extLst>
        </cdr:cNvPr>
        <cdr:cNvSpPr txBox="1"/>
      </cdr:nvSpPr>
      <cdr:spPr>
        <a:xfrm xmlns:a="http://schemas.openxmlformats.org/drawingml/2006/main">
          <a:off x="5263578" y="389360"/>
          <a:ext cx="816868" cy="29690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200"/>
            </a:lnSpc>
          </a:pPr>
          <a:r>
            <a:rPr lang="en-US" sz="1800" b="1">
              <a:solidFill>
                <a:schemeClr val="tx1"/>
              </a:solidFill>
              <a:effectLst/>
              <a:latin typeface="Arial" panose="020B0604020202020204" pitchFamily="34" charset="0"/>
              <a:ea typeface="+mn-ea"/>
              <a:cs typeface="Arial" panose="020B0604020202020204" pitchFamily="34" charset="0"/>
            </a:rPr>
            <a:t>+59%</a:t>
          </a:r>
          <a:endParaRPr lang="en-US" sz="1800" b="1">
            <a:solidFill>
              <a:schemeClr val="tx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cdr:y>
    </cdr:from>
    <cdr:to>
      <cdr:x>0.98039</cdr:x>
      <cdr:y>0.09818</cdr:y>
    </cdr:to>
    <cdr:sp macro="" textlink="">
      <cdr:nvSpPr>
        <cdr:cNvPr id="10" name="TextBox 1">
          <a:extLst xmlns:a="http://schemas.openxmlformats.org/drawingml/2006/main">
            <a:ext uri="{FF2B5EF4-FFF2-40B4-BE49-F238E27FC236}">
              <a16:creationId xmlns:a16="http://schemas.microsoft.com/office/drawing/2014/main" id="{2454B627-6226-44CD-890E-069B70C40E52}"/>
            </a:ext>
          </a:extLst>
        </cdr:cNvPr>
        <cdr:cNvSpPr txBox="1"/>
      </cdr:nvSpPr>
      <cdr:spPr>
        <a:xfrm xmlns:a="http://schemas.openxmlformats.org/drawingml/2006/main">
          <a:off x="0" y="0"/>
          <a:ext cx="6163235" cy="44227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600"/>
            </a:lnSpc>
          </a:pPr>
          <a:endParaRPr lang="en-US" sz="1500" b="1">
            <a:solidFill>
              <a:sysClr val="windowText" lastClr="000000"/>
            </a:solidFill>
            <a:latin typeface="Arial" panose="020B0604020202020204" pitchFamily="34" charset="0"/>
            <a:cs typeface="Arial" panose="020B0604020202020204" pitchFamily="34" charset="0"/>
          </a:endParaRPr>
        </a:p>
      </cdr:txBody>
    </cdr:sp>
  </cdr:relSizeAnchor>
</c:userShapes>
</file>

<file path=xl/drawings/drawing25.xml><?xml version="1.0" encoding="utf-8"?>
<xdr:wsDr xmlns:xdr="http://schemas.openxmlformats.org/drawingml/2006/spreadsheetDrawing" xmlns:a="http://schemas.openxmlformats.org/drawingml/2006/main">
  <xdr:twoCellAnchor>
    <xdr:from>
      <xdr:col>10</xdr:col>
      <xdr:colOff>466726</xdr:colOff>
      <xdr:row>2</xdr:row>
      <xdr:rowOff>57150</xdr:rowOff>
    </xdr:from>
    <xdr:to>
      <xdr:col>20</xdr:col>
      <xdr:colOff>104776</xdr:colOff>
      <xdr:row>26</xdr:row>
      <xdr:rowOff>152400</xdr:rowOff>
    </xdr:to>
    <xdr:graphicFrame macro="">
      <xdr:nvGraphicFramePr>
        <xdr:cNvPr id="8" name="Chart 7">
          <a:extLst>
            <a:ext uri="{FF2B5EF4-FFF2-40B4-BE49-F238E27FC236}">
              <a16:creationId xmlns:a16="http://schemas.microsoft.com/office/drawing/2014/main" id="{6152CA4C-798F-4A3F-81AB-38541A4665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xdr:row>
      <xdr:rowOff>0</xdr:rowOff>
    </xdr:from>
    <xdr:to>
      <xdr:col>10</xdr:col>
      <xdr:colOff>190500</xdr:colOff>
      <xdr:row>26</xdr:row>
      <xdr:rowOff>95250</xdr:rowOff>
    </xdr:to>
    <xdr:graphicFrame macro="">
      <xdr:nvGraphicFramePr>
        <xdr:cNvPr id="9" name="Chart 8">
          <a:extLst>
            <a:ext uri="{FF2B5EF4-FFF2-40B4-BE49-F238E27FC236}">
              <a16:creationId xmlns:a16="http://schemas.microsoft.com/office/drawing/2014/main" id="{0681C0ED-B278-4740-8E05-9BD270E089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523875</xdr:colOff>
      <xdr:row>18</xdr:row>
      <xdr:rowOff>66675</xdr:rowOff>
    </xdr:from>
    <xdr:to>
      <xdr:col>9</xdr:col>
      <xdr:colOff>323850</xdr:colOff>
      <xdr:row>18</xdr:row>
      <xdr:rowOff>76200</xdr:rowOff>
    </xdr:to>
    <xdr:cxnSp macro="">
      <xdr:nvCxnSpPr>
        <xdr:cNvPr id="5" name="Straight Connector 4">
          <a:extLst>
            <a:ext uri="{FF2B5EF4-FFF2-40B4-BE49-F238E27FC236}">
              <a16:creationId xmlns:a16="http://schemas.microsoft.com/office/drawing/2014/main" id="{AABA470C-0F0A-4D37-9046-8E57E1708739}"/>
            </a:ext>
          </a:extLst>
        </xdr:cNvPr>
        <xdr:cNvCxnSpPr/>
      </xdr:nvCxnSpPr>
      <xdr:spPr>
        <a:xfrm>
          <a:off x="523875" y="3495675"/>
          <a:ext cx="49911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6.xml><?xml version="1.0" encoding="utf-8"?>
<c:userShapes xmlns:c="http://schemas.openxmlformats.org/drawingml/2006/chart">
  <cdr:relSizeAnchor xmlns:cdr="http://schemas.openxmlformats.org/drawingml/2006/chartDrawing">
    <cdr:from>
      <cdr:x>0.33989</cdr:x>
      <cdr:y>0.72316</cdr:y>
    </cdr:from>
    <cdr:to>
      <cdr:x>0.65153</cdr:x>
      <cdr:y>0.78396</cdr:y>
    </cdr:to>
    <cdr:sp macro="" textlink="">
      <cdr:nvSpPr>
        <cdr:cNvPr id="3" name="TextBox 1"/>
        <cdr:cNvSpPr txBox="1"/>
      </cdr:nvSpPr>
      <cdr:spPr>
        <a:xfrm xmlns:a="http://schemas.openxmlformats.org/drawingml/2006/main">
          <a:off x="2026644" y="3375165"/>
          <a:ext cx="1858200" cy="28376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400"/>
            </a:lnSpc>
          </a:pPr>
          <a:r>
            <a:rPr lang="en-US" sz="1300" b="1">
              <a:solidFill>
                <a:schemeClr val="tx1">
                  <a:lumMod val="75000"/>
                  <a:lumOff val="25000"/>
                </a:schemeClr>
              </a:solidFill>
              <a:latin typeface="Arial" panose="020B0604020202020204" pitchFamily="34" charset="0"/>
              <a:cs typeface="Arial" panose="020B0604020202020204" pitchFamily="34" charset="0"/>
            </a:rPr>
            <a:t>Excise</a:t>
          </a:r>
        </a:p>
      </cdr:txBody>
    </cdr:sp>
  </cdr:relSizeAnchor>
  <cdr:relSizeAnchor xmlns:cdr="http://schemas.openxmlformats.org/drawingml/2006/chartDrawing">
    <cdr:from>
      <cdr:x>0.53088</cdr:x>
      <cdr:y>0.68625</cdr:y>
    </cdr:from>
    <cdr:to>
      <cdr:x>0.77791</cdr:x>
      <cdr:y>0.75216</cdr:y>
    </cdr:to>
    <cdr:sp macro="" textlink="">
      <cdr:nvSpPr>
        <cdr:cNvPr id="7" name="TextBox 1">
          <a:extLst xmlns:a="http://schemas.openxmlformats.org/drawingml/2006/main">
            <a:ext uri="{FF2B5EF4-FFF2-40B4-BE49-F238E27FC236}">
              <a16:creationId xmlns:a16="http://schemas.microsoft.com/office/drawing/2014/main" id="{D65CCE9F-BE28-4EB1-A669-848CF74C8306}"/>
            </a:ext>
          </a:extLst>
        </cdr:cNvPr>
        <cdr:cNvSpPr txBox="1"/>
      </cdr:nvSpPr>
      <cdr:spPr>
        <a:xfrm xmlns:a="http://schemas.openxmlformats.org/drawingml/2006/main">
          <a:off x="3165450" y="3202897"/>
          <a:ext cx="1472954" cy="30761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200"/>
            </a:lnSpc>
          </a:pPr>
          <a:r>
            <a:rPr lang="en-US" sz="1200" b="1">
              <a:solidFill>
                <a:schemeClr val="tx1">
                  <a:lumMod val="75000"/>
                  <a:lumOff val="25000"/>
                </a:schemeClr>
              </a:solidFill>
              <a:effectLst/>
              <a:latin typeface="Arial" panose="020B0604020202020204" pitchFamily="34" charset="0"/>
              <a:ea typeface="+mn-ea"/>
              <a:cs typeface="Arial" panose="020B0604020202020204" pitchFamily="34" charset="0"/>
            </a:rPr>
            <a:t>Corporate</a:t>
          </a:r>
          <a:endParaRPr lang="en-US" sz="1200" b="1">
            <a:solidFill>
              <a:schemeClr val="tx1">
                <a:lumMod val="75000"/>
                <a:lumOff val="25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0.40732</cdr:x>
      <cdr:y>0.59759</cdr:y>
    </cdr:from>
    <cdr:to>
      <cdr:x>0.64467</cdr:x>
      <cdr:y>0.65839</cdr:y>
    </cdr:to>
    <cdr:sp macro="" textlink="">
      <cdr:nvSpPr>
        <cdr:cNvPr id="8" name="TextBox 1">
          <a:extLst xmlns:a="http://schemas.openxmlformats.org/drawingml/2006/main">
            <a:ext uri="{FF2B5EF4-FFF2-40B4-BE49-F238E27FC236}">
              <a16:creationId xmlns:a16="http://schemas.microsoft.com/office/drawing/2014/main" id="{667A952A-D507-4E13-B5C4-C84D92D0DB94}"/>
            </a:ext>
          </a:extLst>
        </cdr:cNvPr>
        <cdr:cNvSpPr txBox="1"/>
      </cdr:nvSpPr>
      <cdr:spPr>
        <a:xfrm xmlns:a="http://schemas.openxmlformats.org/drawingml/2006/main">
          <a:off x="2727474" y="2789102"/>
          <a:ext cx="1589314" cy="28376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400"/>
            </a:lnSpc>
          </a:pPr>
          <a:r>
            <a:rPr lang="en-US" sz="1400" b="1">
              <a:solidFill>
                <a:schemeClr val="tx1">
                  <a:lumMod val="75000"/>
                  <a:lumOff val="25000"/>
                </a:schemeClr>
              </a:solidFill>
              <a:latin typeface="Arial" panose="020B0604020202020204" pitchFamily="34" charset="0"/>
              <a:cs typeface="Arial" panose="020B0604020202020204" pitchFamily="34" charset="0"/>
            </a:rPr>
            <a:t>Payroll taxes</a:t>
          </a:r>
        </a:p>
      </cdr:txBody>
    </cdr:sp>
  </cdr:relSizeAnchor>
  <cdr:relSizeAnchor xmlns:cdr="http://schemas.openxmlformats.org/drawingml/2006/chartDrawing">
    <cdr:from>
      <cdr:x>0.91373</cdr:x>
      <cdr:y>0.86151</cdr:y>
    </cdr:from>
    <cdr:to>
      <cdr:x>1</cdr:x>
      <cdr:y>0.92742</cdr:y>
    </cdr:to>
    <cdr:sp macro="" textlink="">
      <cdr:nvSpPr>
        <cdr:cNvPr id="9" name="TextBox 1">
          <a:extLst xmlns:a="http://schemas.openxmlformats.org/drawingml/2006/main">
            <a:ext uri="{FF2B5EF4-FFF2-40B4-BE49-F238E27FC236}">
              <a16:creationId xmlns:a16="http://schemas.microsoft.com/office/drawing/2014/main" id="{3DD8D46D-9A6B-4F3A-B422-A2717F264A21}"/>
            </a:ext>
          </a:extLst>
        </cdr:cNvPr>
        <cdr:cNvSpPr txBox="1"/>
      </cdr:nvSpPr>
      <cdr:spPr>
        <a:xfrm xmlns:a="http://schemas.openxmlformats.org/drawingml/2006/main">
          <a:off x="5448252" y="4020875"/>
          <a:ext cx="514398" cy="30761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200"/>
            </a:lnSpc>
          </a:pPr>
          <a:r>
            <a:rPr lang="en-US" sz="1400" b="1">
              <a:solidFill>
                <a:sysClr val="windowText" lastClr="000000"/>
              </a:solidFill>
              <a:effectLst/>
              <a:latin typeface="Arial" panose="020B0604020202020204" pitchFamily="34" charset="0"/>
              <a:ea typeface="+mn-ea"/>
              <a:cs typeface="Arial" panose="020B0604020202020204" pitchFamily="34" charset="0"/>
            </a:rPr>
            <a:t>–</a:t>
          </a:r>
          <a:r>
            <a:rPr lang="en-US" sz="1400" b="1">
              <a:solidFill>
                <a:sysClr val="windowText" lastClr="000000"/>
              </a:solidFill>
              <a:latin typeface="Arial" panose="020B0604020202020204" pitchFamily="34" charset="0"/>
              <a:cs typeface="Arial" panose="020B0604020202020204" pitchFamily="34" charset="0"/>
            </a:rPr>
            <a:t>11</a:t>
          </a:r>
        </a:p>
      </cdr:txBody>
    </cdr:sp>
  </cdr:relSizeAnchor>
  <cdr:relSizeAnchor xmlns:cdr="http://schemas.openxmlformats.org/drawingml/2006/chartDrawing">
    <cdr:from>
      <cdr:x>0.90679</cdr:x>
      <cdr:y>0.82188</cdr:y>
    </cdr:from>
    <cdr:to>
      <cdr:x>0.98578</cdr:x>
      <cdr:y>0.88163</cdr:y>
    </cdr:to>
    <cdr:sp macro="" textlink="">
      <cdr:nvSpPr>
        <cdr:cNvPr id="10" name="TextBox 1">
          <a:extLst xmlns:a="http://schemas.openxmlformats.org/drawingml/2006/main">
            <a:ext uri="{FF2B5EF4-FFF2-40B4-BE49-F238E27FC236}">
              <a16:creationId xmlns:a16="http://schemas.microsoft.com/office/drawing/2014/main" id="{EEFC3946-31B0-4B0E-8EF1-05D7B4A4B0DA}"/>
            </a:ext>
          </a:extLst>
        </cdr:cNvPr>
        <cdr:cNvSpPr txBox="1"/>
      </cdr:nvSpPr>
      <cdr:spPr>
        <a:xfrm xmlns:a="http://schemas.openxmlformats.org/drawingml/2006/main">
          <a:off x="5406871" y="3835919"/>
          <a:ext cx="470990" cy="27888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200"/>
            </a:lnSpc>
          </a:pPr>
          <a:r>
            <a:rPr lang="en-US" sz="1400" b="1">
              <a:solidFill>
                <a:schemeClr val="tx1">
                  <a:lumMod val="65000"/>
                  <a:lumOff val="35000"/>
                </a:schemeClr>
              </a:solidFill>
              <a:effectLst/>
              <a:latin typeface="Arial" panose="020B0604020202020204" pitchFamily="34" charset="0"/>
              <a:ea typeface="+mn-ea"/>
              <a:cs typeface="Arial" panose="020B0604020202020204" pitchFamily="34" charset="0"/>
            </a:rPr>
            <a:t>~0</a:t>
          </a:r>
          <a:endParaRPr lang="en-US" sz="1400" b="1">
            <a:solidFill>
              <a:schemeClr val="tx1">
                <a:lumMod val="65000"/>
                <a:lumOff val="35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0.42858</cdr:x>
      <cdr:y>0.80677</cdr:y>
    </cdr:from>
    <cdr:to>
      <cdr:x>0.70008</cdr:x>
      <cdr:y>0.87188</cdr:y>
    </cdr:to>
    <cdr:sp macro="" textlink="">
      <cdr:nvSpPr>
        <cdr:cNvPr id="11" name="TextBox 1">
          <a:extLst xmlns:a="http://schemas.openxmlformats.org/drawingml/2006/main">
            <a:ext uri="{FF2B5EF4-FFF2-40B4-BE49-F238E27FC236}">
              <a16:creationId xmlns:a16="http://schemas.microsoft.com/office/drawing/2014/main" id="{FDE74DD3-2E65-4728-BB07-5ED547CDE84E}"/>
            </a:ext>
          </a:extLst>
        </cdr:cNvPr>
        <cdr:cNvSpPr txBox="1"/>
      </cdr:nvSpPr>
      <cdr:spPr>
        <a:xfrm xmlns:a="http://schemas.openxmlformats.org/drawingml/2006/main">
          <a:off x="2555452" y="3765409"/>
          <a:ext cx="1618859" cy="3038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50"/>
            </a:lnSpc>
          </a:pPr>
          <a:r>
            <a:rPr lang="en-US" sz="1600" b="1">
              <a:solidFill>
                <a:schemeClr val="tx1">
                  <a:lumMod val="75000"/>
                  <a:lumOff val="25000"/>
                </a:schemeClr>
              </a:solidFill>
              <a:latin typeface="Arial" panose="020B0604020202020204" pitchFamily="34" charset="0"/>
              <a:cs typeface="Arial" panose="020B0604020202020204" pitchFamily="34" charset="0"/>
            </a:rPr>
            <a:t>Income</a:t>
          </a:r>
          <a:r>
            <a:rPr lang="en-US" sz="1600" b="1" baseline="0">
              <a:solidFill>
                <a:schemeClr val="tx1">
                  <a:lumMod val="75000"/>
                  <a:lumOff val="25000"/>
                </a:schemeClr>
              </a:solidFill>
              <a:latin typeface="Arial" panose="020B0604020202020204" pitchFamily="34" charset="0"/>
              <a:cs typeface="Arial" panose="020B0604020202020204" pitchFamily="34" charset="0"/>
            </a:rPr>
            <a:t> taxes</a:t>
          </a:r>
          <a:endParaRPr lang="en-US" sz="1600" b="1">
            <a:solidFill>
              <a:schemeClr val="tx1">
                <a:lumMod val="75000"/>
                <a:lumOff val="25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0.90469</cdr:x>
      <cdr:y>0.69958</cdr:y>
    </cdr:from>
    <cdr:to>
      <cdr:x>0.98578</cdr:x>
      <cdr:y>0.76549</cdr:y>
    </cdr:to>
    <cdr:sp macro="" textlink="">
      <cdr:nvSpPr>
        <cdr:cNvPr id="12" name="TextBox 1">
          <a:extLst xmlns:a="http://schemas.openxmlformats.org/drawingml/2006/main">
            <a:ext uri="{FF2B5EF4-FFF2-40B4-BE49-F238E27FC236}">
              <a16:creationId xmlns:a16="http://schemas.microsoft.com/office/drawing/2014/main" id="{F24BF6B2-2B49-4988-B958-3A2224A71C1C}"/>
            </a:ext>
          </a:extLst>
        </cdr:cNvPr>
        <cdr:cNvSpPr txBox="1"/>
      </cdr:nvSpPr>
      <cdr:spPr>
        <a:xfrm xmlns:a="http://schemas.openxmlformats.org/drawingml/2006/main">
          <a:off x="6057900" y="3265112"/>
          <a:ext cx="542925" cy="30761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200"/>
            </a:lnSpc>
          </a:pPr>
          <a:r>
            <a:rPr lang="en-US" sz="1400" b="1">
              <a:solidFill>
                <a:schemeClr val="tx1">
                  <a:lumMod val="65000"/>
                  <a:lumOff val="35000"/>
                </a:schemeClr>
              </a:solidFill>
              <a:effectLst/>
              <a:latin typeface="Arial" panose="020B0604020202020204" pitchFamily="34" charset="0"/>
              <a:ea typeface="+mn-ea"/>
              <a:cs typeface="Arial" panose="020B0604020202020204" pitchFamily="34" charset="0"/>
            </a:rPr>
            <a:t>+4</a:t>
          </a:r>
          <a:endParaRPr lang="en-US" sz="1400" b="1">
            <a:solidFill>
              <a:schemeClr val="tx1">
                <a:lumMod val="65000"/>
                <a:lumOff val="35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0.9061</cdr:x>
      <cdr:y>0.78232</cdr:y>
    </cdr:from>
    <cdr:to>
      <cdr:x>0.99004</cdr:x>
      <cdr:y>0.83556</cdr:y>
    </cdr:to>
    <cdr:sp macro="" textlink="">
      <cdr:nvSpPr>
        <cdr:cNvPr id="13" name="TextBox 1">
          <a:extLst xmlns:a="http://schemas.openxmlformats.org/drawingml/2006/main">
            <a:ext uri="{FF2B5EF4-FFF2-40B4-BE49-F238E27FC236}">
              <a16:creationId xmlns:a16="http://schemas.microsoft.com/office/drawing/2014/main" id="{F61C1D79-A6DE-44D1-A278-E97D8DF800B7}"/>
            </a:ext>
          </a:extLst>
        </cdr:cNvPr>
        <cdr:cNvSpPr txBox="1"/>
      </cdr:nvSpPr>
      <cdr:spPr>
        <a:xfrm xmlns:a="http://schemas.openxmlformats.org/drawingml/2006/main">
          <a:off x="6067308" y="3651293"/>
          <a:ext cx="562092" cy="24848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200"/>
            </a:lnSpc>
          </a:pPr>
          <a:r>
            <a:rPr lang="en-US" sz="1400" b="1">
              <a:solidFill>
                <a:schemeClr val="accent3">
                  <a:lumMod val="50000"/>
                </a:schemeClr>
              </a:solidFill>
              <a:effectLst/>
              <a:latin typeface="Arial" panose="020B0604020202020204" pitchFamily="34" charset="0"/>
              <a:ea typeface="+mn-ea"/>
              <a:cs typeface="Arial" panose="020B0604020202020204" pitchFamily="34" charset="0"/>
            </a:rPr>
            <a:t>–</a:t>
          </a:r>
          <a:r>
            <a:rPr lang="en-US" sz="1400" b="1">
              <a:solidFill>
                <a:schemeClr val="accent3">
                  <a:lumMod val="50000"/>
                </a:schemeClr>
              </a:solidFill>
              <a:latin typeface="Arial" panose="020B0604020202020204" pitchFamily="34" charset="0"/>
              <a:cs typeface="Arial" panose="020B0604020202020204" pitchFamily="34" charset="0"/>
            </a:rPr>
            <a:t>1</a:t>
          </a:r>
        </a:p>
      </cdr:txBody>
    </cdr:sp>
  </cdr:relSizeAnchor>
  <cdr:relSizeAnchor xmlns:cdr="http://schemas.openxmlformats.org/drawingml/2006/chartDrawing">
    <cdr:from>
      <cdr:x>0.32936</cdr:x>
      <cdr:y>0.07619</cdr:y>
    </cdr:from>
    <cdr:to>
      <cdr:x>0.6463</cdr:x>
      <cdr:y>0.1413</cdr:y>
    </cdr:to>
    <cdr:sp macro="" textlink="">
      <cdr:nvSpPr>
        <cdr:cNvPr id="14" name="TextBox 1">
          <a:extLst xmlns:a="http://schemas.openxmlformats.org/drawingml/2006/main">
            <a:ext uri="{FF2B5EF4-FFF2-40B4-BE49-F238E27FC236}">
              <a16:creationId xmlns:a16="http://schemas.microsoft.com/office/drawing/2014/main" id="{D13569D0-DD6F-4E1C-B4B2-3DA56023AD5E}"/>
            </a:ext>
          </a:extLst>
        </cdr:cNvPr>
        <cdr:cNvSpPr txBox="1"/>
      </cdr:nvSpPr>
      <cdr:spPr>
        <a:xfrm xmlns:a="http://schemas.openxmlformats.org/drawingml/2006/main">
          <a:off x="1963860" y="355596"/>
          <a:ext cx="1889827" cy="30388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50"/>
            </a:lnSpc>
          </a:pPr>
          <a:r>
            <a:rPr lang="en-US" sz="1600" b="1">
              <a:solidFill>
                <a:schemeClr val="tx1"/>
              </a:solidFill>
              <a:latin typeface="Arial" panose="020B0604020202020204" pitchFamily="34" charset="0"/>
              <a:cs typeface="Arial" panose="020B0604020202020204" pitchFamily="34" charset="0"/>
            </a:rPr>
            <a:t>Bottom Quintile</a:t>
          </a:r>
        </a:p>
      </cdr:txBody>
    </cdr:sp>
  </cdr:relSizeAnchor>
  <cdr:relSizeAnchor xmlns:cdr="http://schemas.openxmlformats.org/drawingml/2006/chartDrawing">
    <cdr:from>
      <cdr:x>0.90575</cdr:x>
      <cdr:y>0.61293</cdr:y>
    </cdr:from>
    <cdr:to>
      <cdr:x>0.99289</cdr:x>
      <cdr:y>0.66617</cdr:y>
    </cdr:to>
    <cdr:sp macro="" textlink="">
      <cdr:nvSpPr>
        <cdr:cNvPr id="15" name="TextBox 1">
          <a:extLst xmlns:a="http://schemas.openxmlformats.org/drawingml/2006/main">
            <a:ext uri="{FF2B5EF4-FFF2-40B4-BE49-F238E27FC236}">
              <a16:creationId xmlns:a16="http://schemas.microsoft.com/office/drawing/2014/main" id="{FA71CD5B-CE21-4A65-9B98-6F1BBADA4CB7}"/>
            </a:ext>
          </a:extLst>
        </cdr:cNvPr>
        <cdr:cNvSpPr txBox="1"/>
      </cdr:nvSpPr>
      <cdr:spPr>
        <a:xfrm xmlns:a="http://schemas.openxmlformats.org/drawingml/2006/main">
          <a:off x="5400674" y="2860698"/>
          <a:ext cx="519582" cy="2484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200"/>
            </a:lnSpc>
          </a:pPr>
          <a:r>
            <a:rPr lang="en-US" sz="1600" b="1">
              <a:solidFill>
                <a:sysClr val="windowText" lastClr="000000"/>
              </a:solidFill>
              <a:effectLst/>
              <a:latin typeface="Arial" panose="020B0604020202020204" pitchFamily="34" charset="0"/>
              <a:ea typeface="+mn-ea"/>
              <a:cs typeface="Arial" panose="020B0604020202020204" pitchFamily="34" charset="0"/>
            </a:rPr>
            <a:t>–</a:t>
          </a:r>
          <a:r>
            <a:rPr lang="en-US" sz="1600" b="1">
              <a:solidFill>
                <a:sysClr val="windowText" lastClr="000000"/>
              </a:solidFill>
              <a:latin typeface="Arial" panose="020B0604020202020204" pitchFamily="34" charset="0"/>
              <a:cs typeface="Arial" panose="020B0604020202020204" pitchFamily="34" charset="0"/>
            </a:rPr>
            <a:t>8</a:t>
          </a:r>
        </a:p>
      </cdr:txBody>
    </cdr:sp>
  </cdr:relSizeAnchor>
  <cdr:relSizeAnchor xmlns:cdr="http://schemas.openxmlformats.org/drawingml/2006/chartDrawing">
    <cdr:from>
      <cdr:x>0.42716</cdr:x>
      <cdr:y>0.48843</cdr:y>
    </cdr:from>
    <cdr:to>
      <cdr:x>0.8833</cdr:x>
      <cdr:y>0.55354</cdr:y>
    </cdr:to>
    <cdr:sp macro="" textlink="">
      <cdr:nvSpPr>
        <cdr:cNvPr id="16" name="TextBox 1">
          <a:extLst xmlns:a="http://schemas.openxmlformats.org/drawingml/2006/main">
            <a:ext uri="{FF2B5EF4-FFF2-40B4-BE49-F238E27FC236}">
              <a16:creationId xmlns:a16="http://schemas.microsoft.com/office/drawing/2014/main" id="{A11AC7FF-DEF9-4A05-B9BA-BCB21D518B22}"/>
            </a:ext>
          </a:extLst>
        </cdr:cNvPr>
        <cdr:cNvSpPr txBox="1"/>
      </cdr:nvSpPr>
      <cdr:spPr>
        <a:xfrm xmlns:a="http://schemas.openxmlformats.org/drawingml/2006/main">
          <a:off x="2547022" y="2279641"/>
          <a:ext cx="2719803" cy="30388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50"/>
            </a:lnSpc>
          </a:pPr>
          <a:r>
            <a:rPr lang="en-US" sz="1600" b="1">
              <a:solidFill>
                <a:schemeClr val="tx1"/>
              </a:solidFill>
              <a:latin typeface="Arial" panose="020B0604020202020204" pitchFamily="34" charset="0"/>
              <a:cs typeface="Arial" panose="020B0604020202020204" pitchFamily="34" charset="0"/>
            </a:rPr>
            <a:t>Total federal taxes</a:t>
          </a:r>
        </a:p>
      </cdr:txBody>
    </cdr:sp>
  </cdr:relSizeAnchor>
  <cdr:relSizeAnchor xmlns:cdr="http://schemas.openxmlformats.org/drawingml/2006/chartDrawing">
    <cdr:from>
      <cdr:x>0.55192</cdr:x>
      <cdr:y>0.71429</cdr:y>
    </cdr:from>
    <cdr:to>
      <cdr:x>0.58748</cdr:x>
      <cdr:y>0.72041</cdr:y>
    </cdr:to>
    <cdr:cxnSp macro="">
      <cdr:nvCxnSpPr>
        <cdr:cNvPr id="4" name="Straight Arrow Connector 3">
          <a:extLst xmlns:a="http://schemas.openxmlformats.org/drawingml/2006/main">
            <a:ext uri="{FF2B5EF4-FFF2-40B4-BE49-F238E27FC236}">
              <a16:creationId xmlns:a16="http://schemas.microsoft.com/office/drawing/2014/main" id="{01E5970A-E31A-47E4-A7AA-4725A4482D30}"/>
            </a:ext>
          </a:extLst>
        </cdr:cNvPr>
        <cdr:cNvCxnSpPr/>
      </cdr:nvCxnSpPr>
      <cdr:spPr>
        <a:xfrm xmlns:a="http://schemas.openxmlformats.org/drawingml/2006/main" flipH="1">
          <a:off x="3695700" y="3333750"/>
          <a:ext cx="238125" cy="28575"/>
        </a:xfrm>
        <a:prstGeom xmlns:a="http://schemas.openxmlformats.org/drawingml/2006/main" prst="straightConnector1">
          <a:avLst/>
        </a:prstGeom>
        <a:ln xmlns:a="http://schemas.openxmlformats.org/drawingml/2006/main" w="12700">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0.67891</cdr:x>
      <cdr:y>0.81837</cdr:y>
    </cdr:from>
    <cdr:to>
      <cdr:x>0.71725</cdr:x>
      <cdr:y>0.82449</cdr:y>
    </cdr:to>
    <cdr:cxnSp macro="">
      <cdr:nvCxnSpPr>
        <cdr:cNvPr id="17" name="Straight Arrow Connector 16">
          <a:extLst xmlns:a="http://schemas.openxmlformats.org/drawingml/2006/main">
            <a:ext uri="{FF2B5EF4-FFF2-40B4-BE49-F238E27FC236}">
              <a16:creationId xmlns:a16="http://schemas.microsoft.com/office/drawing/2014/main" id="{F06D8213-8DF2-4073-8795-0BD31ACAF6CC}"/>
            </a:ext>
          </a:extLst>
        </cdr:cNvPr>
        <cdr:cNvCxnSpPr/>
      </cdr:nvCxnSpPr>
      <cdr:spPr>
        <a:xfrm xmlns:a="http://schemas.openxmlformats.org/drawingml/2006/main" flipV="1">
          <a:off x="4048124" y="3819525"/>
          <a:ext cx="228600" cy="28575"/>
        </a:xfrm>
        <a:prstGeom xmlns:a="http://schemas.openxmlformats.org/drawingml/2006/main" prst="straightConnector1">
          <a:avLst/>
        </a:prstGeom>
        <a:ln xmlns:a="http://schemas.openxmlformats.org/drawingml/2006/main" w="12700">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7.xml><?xml version="1.0" encoding="utf-8"?>
<c:userShapes xmlns:c="http://schemas.openxmlformats.org/drawingml/2006/chart">
  <cdr:relSizeAnchor xmlns:cdr="http://schemas.openxmlformats.org/drawingml/2006/chartDrawing">
    <cdr:from>
      <cdr:x>0.41693</cdr:x>
      <cdr:y>0.37418</cdr:y>
    </cdr:from>
    <cdr:to>
      <cdr:x>0.64674</cdr:x>
      <cdr:y>0.43498</cdr:y>
    </cdr:to>
    <cdr:sp macro="" textlink="">
      <cdr:nvSpPr>
        <cdr:cNvPr id="3" name="TextBox 1"/>
        <cdr:cNvSpPr txBox="1"/>
      </cdr:nvSpPr>
      <cdr:spPr>
        <a:xfrm xmlns:a="http://schemas.openxmlformats.org/drawingml/2006/main">
          <a:off x="2486024" y="1746394"/>
          <a:ext cx="1370245" cy="28376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400"/>
            </a:lnSpc>
          </a:pPr>
          <a:r>
            <a:rPr lang="en-US" sz="1200" b="1">
              <a:solidFill>
                <a:schemeClr val="tx1">
                  <a:lumMod val="75000"/>
                  <a:lumOff val="25000"/>
                </a:schemeClr>
              </a:solidFill>
              <a:latin typeface="Arial" panose="020B0604020202020204" pitchFamily="34" charset="0"/>
              <a:cs typeface="Arial" panose="020B0604020202020204" pitchFamily="34" charset="0"/>
            </a:rPr>
            <a:t>Excise</a:t>
          </a:r>
        </a:p>
      </cdr:txBody>
    </cdr:sp>
  </cdr:relSizeAnchor>
  <cdr:relSizeAnchor xmlns:cdr="http://schemas.openxmlformats.org/drawingml/2006/chartDrawing">
    <cdr:from>
      <cdr:x>0.37114</cdr:x>
      <cdr:y>0.30258</cdr:y>
    </cdr:from>
    <cdr:to>
      <cdr:x>0.61817</cdr:x>
      <cdr:y>0.36849</cdr:y>
    </cdr:to>
    <cdr:sp macro="" textlink="">
      <cdr:nvSpPr>
        <cdr:cNvPr id="7" name="TextBox 1">
          <a:extLst xmlns:a="http://schemas.openxmlformats.org/drawingml/2006/main">
            <a:ext uri="{FF2B5EF4-FFF2-40B4-BE49-F238E27FC236}">
              <a16:creationId xmlns:a16="http://schemas.microsoft.com/office/drawing/2014/main" id="{D65CCE9F-BE28-4EB1-A669-848CF74C8306}"/>
            </a:ext>
          </a:extLst>
        </cdr:cNvPr>
        <cdr:cNvSpPr txBox="1"/>
      </cdr:nvSpPr>
      <cdr:spPr>
        <a:xfrm xmlns:a="http://schemas.openxmlformats.org/drawingml/2006/main">
          <a:off x="2212952" y="1412200"/>
          <a:ext cx="1472953" cy="3076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200"/>
            </a:lnSpc>
          </a:pPr>
          <a:r>
            <a:rPr lang="en-US" sz="1200" b="1">
              <a:solidFill>
                <a:schemeClr val="tx1">
                  <a:lumMod val="75000"/>
                  <a:lumOff val="25000"/>
                </a:schemeClr>
              </a:solidFill>
              <a:effectLst/>
              <a:latin typeface="Arial" panose="020B0604020202020204" pitchFamily="34" charset="0"/>
              <a:ea typeface="+mn-ea"/>
              <a:cs typeface="Arial" panose="020B0604020202020204" pitchFamily="34" charset="0"/>
            </a:rPr>
            <a:t>Corporate</a:t>
          </a:r>
          <a:endParaRPr lang="en-US" sz="1200" b="1">
            <a:solidFill>
              <a:schemeClr val="tx1">
                <a:lumMod val="75000"/>
                <a:lumOff val="25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0.39454</cdr:x>
      <cdr:y>0.218</cdr:y>
    </cdr:from>
    <cdr:to>
      <cdr:x>0.63189</cdr:x>
      <cdr:y>0.2788</cdr:y>
    </cdr:to>
    <cdr:sp macro="" textlink="">
      <cdr:nvSpPr>
        <cdr:cNvPr id="8" name="TextBox 1">
          <a:extLst xmlns:a="http://schemas.openxmlformats.org/drawingml/2006/main">
            <a:ext uri="{FF2B5EF4-FFF2-40B4-BE49-F238E27FC236}">
              <a16:creationId xmlns:a16="http://schemas.microsoft.com/office/drawing/2014/main" id="{667A952A-D507-4E13-B5C4-C84D92D0DB94}"/>
            </a:ext>
          </a:extLst>
        </cdr:cNvPr>
        <cdr:cNvSpPr txBox="1"/>
      </cdr:nvSpPr>
      <cdr:spPr>
        <a:xfrm xmlns:a="http://schemas.openxmlformats.org/drawingml/2006/main">
          <a:off x="2352507" y="1017452"/>
          <a:ext cx="1415235" cy="28376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400"/>
            </a:lnSpc>
          </a:pPr>
          <a:r>
            <a:rPr lang="en-US" sz="1400" b="1">
              <a:solidFill>
                <a:schemeClr val="tx1">
                  <a:lumMod val="65000"/>
                  <a:lumOff val="35000"/>
                </a:schemeClr>
              </a:solidFill>
              <a:latin typeface="Arial" panose="020B0604020202020204" pitchFamily="34" charset="0"/>
              <a:cs typeface="Arial" panose="020B0604020202020204" pitchFamily="34" charset="0"/>
            </a:rPr>
            <a:t>Payroll taxes</a:t>
          </a:r>
        </a:p>
      </cdr:txBody>
    </cdr:sp>
  </cdr:relSizeAnchor>
  <cdr:relSizeAnchor xmlns:cdr="http://schemas.openxmlformats.org/drawingml/2006/chartDrawing">
    <cdr:from>
      <cdr:x>0.90459</cdr:x>
      <cdr:y>0.45539</cdr:y>
    </cdr:from>
    <cdr:to>
      <cdr:x>0.98738</cdr:x>
      <cdr:y>0.5213</cdr:y>
    </cdr:to>
    <cdr:sp macro="" textlink="">
      <cdr:nvSpPr>
        <cdr:cNvPr id="9" name="TextBox 1">
          <a:extLst xmlns:a="http://schemas.openxmlformats.org/drawingml/2006/main">
            <a:ext uri="{FF2B5EF4-FFF2-40B4-BE49-F238E27FC236}">
              <a16:creationId xmlns:a16="http://schemas.microsoft.com/office/drawing/2014/main" id="{3DD8D46D-9A6B-4F3A-B422-A2717F264A21}"/>
            </a:ext>
          </a:extLst>
        </cdr:cNvPr>
        <cdr:cNvSpPr txBox="1"/>
      </cdr:nvSpPr>
      <cdr:spPr>
        <a:xfrm xmlns:a="http://schemas.openxmlformats.org/drawingml/2006/main">
          <a:off x="5393738" y="2125400"/>
          <a:ext cx="493648" cy="30761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200"/>
            </a:lnSpc>
          </a:pPr>
          <a:r>
            <a:rPr lang="en-US" sz="1400" b="1">
              <a:solidFill>
                <a:schemeClr val="tx1">
                  <a:lumMod val="65000"/>
                  <a:lumOff val="35000"/>
                </a:schemeClr>
              </a:solidFill>
              <a:effectLst/>
              <a:latin typeface="Arial" panose="020B0604020202020204" pitchFamily="34" charset="0"/>
              <a:ea typeface="+mn-ea"/>
              <a:cs typeface="Arial" panose="020B0604020202020204" pitchFamily="34" charset="0"/>
            </a:rPr>
            <a:t>~0</a:t>
          </a:r>
          <a:endParaRPr lang="en-US" sz="1400" b="1">
            <a:solidFill>
              <a:schemeClr val="tx1">
                <a:lumMod val="65000"/>
                <a:lumOff val="35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0.90839</cdr:x>
      <cdr:y>0.35453</cdr:y>
    </cdr:from>
    <cdr:to>
      <cdr:x>0.98738</cdr:x>
      <cdr:y>0.42044</cdr:y>
    </cdr:to>
    <cdr:sp macro="" textlink="">
      <cdr:nvSpPr>
        <cdr:cNvPr id="10" name="TextBox 1">
          <a:extLst xmlns:a="http://schemas.openxmlformats.org/drawingml/2006/main">
            <a:ext uri="{FF2B5EF4-FFF2-40B4-BE49-F238E27FC236}">
              <a16:creationId xmlns:a16="http://schemas.microsoft.com/office/drawing/2014/main" id="{EEFC3946-31B0-4B0E-8EF1-05D7B4A4B0DA}"/>
            </a:ext>
          </a:extLst>
        </cdr:cNvPr>
        <cdr:cNvSpPr txBox="1"/>
      </cdr:nvSpPr>
      <cdr:spPr>
        <a:xfrm xmlns:a="http://schemas.openxmlformats.org/drawingml/2006/main">
          <a:off x="5416396" y="1654694"/>
          <a:ext cx="470990" cy="3076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200"/>
            </a:lnSpc>
          </a:pPr>
          <a:r>
            <a:rPr lang="en-US" sz="1400" b="1">
              <a:solidFill>
                <a:schemeClr val="tx1">
                  <a:lumMod val="65000"/>
                  <a:lumOff val="35000"/>
                </a:schemeClr>
              </a:solidFill>
              <a:effectLst/>
              <a:latin typeface="Arial" panose="020B0604020202020204" pitchFamily="34" charset="0"/>
              <a:ea typeface="+mn-ea"/>
              <a:cs typeface="Arial" panose="020B0604020202020204" pitchFamily="34" charset="0"/>
            </a:rPr>
            <a:t>~0</a:t>
          </a:r>
          <a:endParaRPr lang="en-US" sz="1400" b="1">
            <a:solidFill>
              <a:schemeClr val="tx1">
                <a:lumMod val="65000"/>
                <a:lumOff val="35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0.37746</cdr:x>
      <cdr:y>0.47616</cdr:y>
    </cdr:from>
    <cdr:to>
      <cdr:x>0.64896</cdr:x>
      <cdr:y>0.54127</cdr:y>
    </cdr:to>
    <cdr:sp macro="" textlink="">
      <cdr:nvSpPr>
        <cdr:cNvPr id="11" name="TextBox 1">
          <a:extLst xmlns:a="http://schemas.openxmlformats.org/drawingml/2006/main">
            <a:ext uri="{FF2B5EF4-FFF2-40B4-BE49-F238E27FC236}">
              <a16:creationId xmlns:a16="http://schemas.microsoft.com/office/drawing/2014/main" id="{FDE74DD3-2E65-4728-BB07-5ED547CDE84E}"/>
            </a:ext>
          </a:extLst>
        </cdr:cNvPr>
        <cdr:cNvSpPr txBox="1"/>
      </cdr:nvSpPr>
      <cdr:spPr>
        <a:xfrm xmlns:a="http://schemas.openxmlformats.org/drawingml/2006/main">
          <a:off x="2250652" y="2222359"/>
          <a:ext cx="1618859" cy="3038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50"/>
            </a:lnSpc>
          </a:pPr>
          <a:r>
            <a:rPr lang="en-US" sz="1600" b="1">
              <a:solidFill>
                <a:schemeClr val="tx1">
                  <a:lumMod val="75000"/>
                  <a:lumOff val="25000"/>
                </a:schemeClr>
              </a:solidFill>
              <a:latin typeface="Arial" panose="020B0604020202020204" pitchFamily="34" charset="0"/>
              <a:cs typeface="Arial" panose="020B0604020202020204" pitchFamily="34" charset="0"/>
            </a:rPr>
            <a:t>Income</a:t>
          </a:r>
          <a:r>
            <a:rPr lang="en-US" sz="1600" b="1" baseline="0">
              <a:solidFill>
                <a:schemeClr val="tx1">
                  <a:lumMod val="75000"/>
                  <a:lumOff val="25000"/>
                </a:schemeClr>
              </a:solidFill>
              <a:latin typeface="Arial" panose="020B0604020202020204" pitchFamily="34" charset="0"/>
              <a:cs typeface="Arial" panose="020B0604020202020204" pitchFamily="34" charset="0"/>
            </a:rPr>
            <a:t> taxes</a:t>
          </a:r>
          <a:endParaRPr lang="en-US" sz="1600" b="1">
            <a:solidFill>
              <a:schemeClr val="tx1">
                <a:lumMod val="75000"/>
                <a:lumOff val="25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0.90948</cdr:x>
      <cdr:y>0.23427</cdr:y>
    </cdr:from>
    <cdr:to>
      <cdr:x>0.99057</cdr:x>
      <cdr:y>0.30018</cdr:y>
    </cdr:to>
    <cdr:sp macro="" textlink="">
      <cdr:nvSpPr>
        <cdr:cNvPr id="12" name="TextBox 1">
          <a:extLst xmlns:a="http://schemas.openxmlformats.org/drawingml/2006/main">
            <a:ext uri="{FF2B5EF4-FFF2-40B4-BE49-F238E27FC236}">
              <a16:creationId xmlns:a16="http://schemas.microsoft.com/office/drawing/2014/main" id="{F24BF6B2-2B49-4988-B958-3A2224A71C1C}"/>
            </a:ext>
          </a:extLst>
        </cdr:cNvPr>
        <cdr:cNvSpPr txBox="1"/>
      </cdr:nvSpPr>
      <cdr:spPr>
        <a:xfrm xmlns:a="http://schemas.openxmlformats.org/drawingml/2006/main">
          <a:off x="5422925" y="1093415"/>
          <a:ext cx="483511" cy="30761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200"/>
            </a:lnSpc>
          </a:pPr>
          <a:r>
            <a:rPr lang="en-US" sz="1400" b="1">
              <a:solidFill>
                <a:schemeClr val="tx1">
                  <a:lumMod val="65000"/>
                  <a:lumOff val="35000"/>
                </a:schemeClr>
              </a:solidFill>
              <a:effectLst/>
              <a:latin typeface="Arial" panose="020B0604020202020204" pitchFamily="34" charset="0"/>
              <a:ea typeface="+mn-ea"/>
              <a:cs typeface="Arial" panose="020B0604020202020204" pitchFamily="34" charset="0"/>
            </a:rPr>
            <a:t>+1</a:t>
          </a:r>
          <a:endParaRPr lang="en-US" sz="1400" b="1">
            <a:solidFill>
              <a:schemeClr val="tx1">
                <a:lumMod val="65000"/>
                <a:lumOff val="35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0.9061</cdr:x>
      <cdr:y>0.31497</cdr:y>
    </cdr:from>
    <cdr:to>
      <cdr:x>0.99004</cdr:x>
      <cdr:y>0.37551</cdr:y>
    </cdr:to>
    <cdr:sp macro="" textlink="">
      <cdr:nvSpPr>
        <cdr:cNvPr id="13" name="TextBox 1">
          <a:extLst xmlns:a="http://schemas.openxmlformats.org/drawingml/2006/main">
            <a:ext uri="{FF2B5EF4-FFF2-40B4-BE49-F238E27FC236}">
              <a16:creationId xmlns:a16="http://schemas.microsoft.com/office/drawing/2014/main" id="{F61C1D79-A6DE-44D1-A278-E97D8DF800B7}"/>
            </a:ext>
          </a:extLst>
        </cdr:cNvPr>
        <cdr:cNvSpPr txBox="1"/>
      </cdr:nvSpPr>
      <cdr:spPr>
        <a:xfrm xmlns:a="http://schemas.openxmlformats.org/drawingml/2006/main">
          <a:off x="5402757" y="1470044"/>
          <a:ext cx="500505" cy="28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200"/>
            </a:lnSpc>
          </a:pPr>
          <a:r>
            <a:rPr lang="en-US" sz="1400" b="1">
              <a:solidFill>
                <a:schemeClr val="tx1">
                  <a:lumMod val="65000"/>
                  <a:lumOff val="35000"/>
                </a:schemeClr>
              </a:solidFill>
              <a:effectLst/>
              <a:latin typeface="Arial" panose="020B0604020202020204" pitchFamily="34" charset="0"/>
              <a:ea typeface="+mn-ea"/>
              <a:cs typeface="Arial" panose="020B0604020202020204" pitchFamily="34" charset="0"/>
            </a:rPr>
            <a:t>–2</a:t>
          </a:r>
          <a:endParaRPr lang="en-US" sz="1400" b="1">
            <a:solidFill>
              <a:schemeClr val="tx1">
                <a:lumMod val="65000"/>
                <a:lumOff val="35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0.33575</cdr:x>
      <cdr:y>0.07415</cdr:y>
    </cdr:from>
    <cdr:to>
      <cdr:x>0.65269</cdr:x>
      <cdr:y>0.13926</cdr:y>
    </cdr:to>
    <cdr:sp macro="" textlink="">
      <cdr:nvSpPr>
        <cdr:cNvPr id="14" name="TextBox 1">
          <a:extLst xmlns:a="http://schemas.openxmlformats.org/drawingml/2006/main">
            <a:ext uri="{FF2B5EF4-FFF2-40B4-BE49-F238E27FC236}">
              <a16:creationId xmlns:a16="http://schemas.microsoft.com/office/drawing/2014/main" id="{D13569D0-DD6F-4E1C-B4B2-3DA56023AD5E}"/>
            </a:ext>
          </a:extLst>
        </cdr:cNvPr>
        <cdr:cNvSpPr txBox="1"/>
      </cdr:nvSpPr>
      <cdr:spPr>
        <a:xfrm xmlns:a="http://schemas.openxmlformats.org/drawingml/2006/main">
          <a:off x="2001985" y="346071"/>
          <a:ext cx="1889802" cy="30388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50"/>
            </a:lnSpc>
          </a:pPr>
          <a:r>
            <a:rPr lang="en-US" sz="1600" b="1">
              <a:solidFill>
                <a:schemeClr val="tx1"/>
              </a:solidFill>
              <a:latin typeface="Arial" panose="020B0604020202020204" pitchFamily="34" charset="0"/>
              <a:cs typeface="Arial" panose="020B0604020202020204" pitchFamily="34" charset="0"/>
            </a:rPr>
            <a:t>Top Quintile</a:t>
          </a:r>
        </a:p>
      </cdr:txBody>
    </cdr:sp>
  </cdr:relSizeAnchor>
  <cdr:relSizeAnchor xmlns:cdr="http://schemas.openxmlformats.org/drawingml/2006/chartDrawing">
    <cdr:from>
      <cdr:x>0.89941</cdr:x>
      <cdr:y>0.17824</cdr:y>
    </cdr:from>
    <cdr:to>
      <cdr:x>0.99521</cdr:x>
      <cdr:y>0.23148</cdr:y>
    </cdr:to>
    <cdr:sp macro="" textlink="">
      <cdr:nvSpPr>
        <cdr:cNvPr id="15" name="TextBox 1">
          <a:extLst xmlns:a="http://schemas.openxmlformats.org/drawingml/2006/main">
            <a:ext uri="{FF2B5EF4-FFF2-40B4-BE49-F238E27FC236}">
              <a16:creationId xmlns:a16="http://schemas.microsoft.com/office/drawing/2014/main" id="{FA71CD5B-CE21-4A65-9B98-6F1BBADA4CB7}"/>
            </a:ext>
          </a:extLst>
        </cdr:cNvPr>
        <cdr:cNvSpPr txBox="1"/>
      </cdr:nvSpPr>
      <cdr:spPr>
        <a:xfrm xmlns:a="http://schemas.openxmlformats.org/drawingml/2006/main">
          <a:off x="5362853" y="831873"/>
          <a:ext cx="571222" cy="2484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200"/>
            </a:lnSpc>
          </a:pPr>
          <a:r>
            <a:rPr lang="en-US" sz="1600" b="1">
              <a:solidFill>
                <a:sysClr val="windowText" lastClr="000000"/>
              </a:solidFill>
              <a:effectLst/>
              <a:latin typeface="Arial" panose="020B0604020202020204" pitchFamily="34" charset="0"/>
              <a:ea typeface="+mn-ea"/>
              <a:cs typeface="Arial" panose="020B0604020202020204" pitchFamily="34" charset="0"/>
            </a:rPr>
            <a:t>–1</a:t>
          </a:r>
          <a:endParaRPr lang="en-US" sz="1600" b="1">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0.53898</cdr:x>
      <cdr:y>0.13945</cdr:y>
    </cdr:from>
    <cdr:to>
      <cdr:x>0.99512</cdr:x>
      <cdr:y>0.20456</cdr:y>
    </cdr:to>
    <cdr:sp macro="" textlink="">
      <cdr:nvSpPr>
        <cdr:cNvPr id="16" name="TextBox 1">
          <a:extLst xmlns:a="http://schemas.openxmlformats.org/drawingml/2006/main">
            <a:ext uri="{FF2B5EF4-FFF2-40B4-BE49-F238E27FC236}">
              <a16:creationId xmlns:a16="http://schemas.microsoft.com/office/drawing/2014/main" id="{A11AC7FF-DEF9-4A05-B9BA-BCB21D518B22}"/>
            </a:ext>
          </a:extLst>
        </cdr:cNvPr>
        <cdr:cNvSpPr txBox="1"/>
      </cdr:nvSpPr>
      <cdr:spPr>
        <a:xfrm xmlns:a="http://schemas.openxmlformats.org/drawingml/2006/main">
          <a:off x="3213756" y="650850"/>
          <a:ext cx="2719803" cy="30388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50"/>
            </a:lnSpc>
          </a:pPr>
          <a:r>
            <a:rPr lang="en-US" sz="1500" b="1">
              <a:solidFill>
                <a:schemeClr val="tx1"/>
              </a:solidFill>
              <a:latin typeface="Arial" panose="020B0604020202020204" pitchFamily="34" charset="0"/>
              <a:cs typeface="Arial" panose="020B0604020202020204" pitchFamily="34" charset="0"/>
            </a:rPr>
            <a:t>Total federal taxes</a:t>
          </a:r>
        </a:p>
      </cdr:txBody>
    </cdr:sp>
  </cdr:relSizeAnchor>
  <cdr:relSizeAnchor xmlns:cdr="http://schemas.openxmlformats.org/drawingml/2006/chartDrawing">
    <cdr:from>
      <cdr:x>0.44728</cdr:x>
      <cdr:y>0.37755</cdr:y>
    </cdr:from>
    <cdr:to>
      <cdr:x>0.48243</cdr:x>
      <cdr:y>0.39796</cdr:y>
    </cdr:to>
    <cdr:cxnSp macro="">
      <cdr:nvCxnSpPr>
        <cdr:cNvPr id="4" name="Straight Arrow Connector 3">
          <a:extLst xmlns:a="http://schemas.openxmlformats.org/drawingml/2006/main">
            <a:ext uri="{FF2B5EF4-FFF2-40B4-BE49-F238E27FC236}">
              <a16:creationId xmlns:a16="http://schemas.microsoft.com/office/drawing/2014/main" id="{01E5970A-E31A-47E4-A7AA-4725A4482D30}"/>
            </a:ext>
          </a:extLst>
        </cdr:cNvPr>
        <cdr:cNvCxnSpPr/>
      </cdr:nvCxnSpPr>
      <cdr:spPr>
        <a:xfrm xmlns:a="http://schemas.openxmlformats.org/drawingml/2006/main" flipH="1" flipV="1">
          <a:off x="2667000" y="1762125"/>
          <a:ext cx="209550" cy="95250"/>
        </a:xfrm>
        <a:prstGeom xmlns:a="http://schemas.openxmlformats.org/drawingml/2006/main" prst="straightConnector1">
          <a:avLst/>
        </a:prstGeom>
        <a:ln xmlns:a="http://schemas.openxmlformats.org/drawingml/2006/main" w="12700">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0.07508</cdr:x>
      <cdr:y>0.66939</cdr:y>
    </cdr:from>
    <cdr:to>
      <cdr:x>0.96805</cdr:x>
      <cdr:y>0.93673</cdr:y>
    </cdr:to>
    <cdr:sp macro="" textlink="">
      <cdr:nvSpPr>
        <cdr:cNvPr id="6" name="Rectangle 5">
          <a:extLst xmlns:a="http://schemas.openxmlformats.org/drawingml/2006/main">
            <a:ext uri="{FF2B5EF4-FFF2-40B4-BE49-F238E27FC236}">
              <a16:creationId xmlns:a16="http://schemas.microsoft.com/office/drawing/2014/main" id="{AB461C56-1E11-4112-8337-985AF7A4C9FB}"/>
            </a:ext>
          </a:extLst>
        </cdr:cNvPr>
        <cdr:cNvSpPr/>
      </cdr:nvSpPr>
      <cdr:spPr>
        <a:xfrm xmlns:a="http://schemas.openxmlformats.org/drawingml/2006/main">
          <a:off x="447675" y="3124199"/>
          <a:ext cx="5324475" cy="1247775"/>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28.xml><?xml version="1.0" encoding="utf-8"?>
<xdr:wsDr xmlns:xdr="http://schemas.openxmlformats.org/drawingml/2006/spreadsheetDrawing" xmlns:a="http://schemas.openxmlformats.org/drawingml/2006/main">
  <xdr:twoCellAnchor>
    <xdr:from>
      <xdr:col>0</xdr:col>
      <xdr:colOff>193301</xdr:colOff>
      <xdr:row>2</xdr:row>
      <xdr:rowOff>1120</xdr:rowOff>
    </xdr:from>
    <xdr:to>
      <xdr:col>15</xdr:col>
      <xdr:colOff>39778</xdr:colOff>
      <xdr:row>25</xdr:row>
      <xdr:rowOff>124384</xdr:rowOff>
    </xdr:to>
    <xdr:graphicFrame macro="">
      <xdr:nvGraphicFramePr>
        <xdr:cNvPr id="2" name="Chart 1">
          <a:extLst>
            <a:ext uri="{FF2B5EF4-FFF2-40B4-BE49-F238E27FC236}">
              <a16:creationId xmlns:a16="http://schemas.microsoft.com/office/drawing/2014/main" id="{D01FB244-7F9A-4702-B12A-E5C87C4DC7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0.27676</cdr:x>
      <cdr:y>0.19555</cdr:y>
    </cdr:from>
    <cdr:to>
      <cdr:x>0.63212</cdr:x>
      <cdr:y>0.30236</cdr:y>
    </cdr:to>
    <cdr:sp macro="" textlink="">
      <cdr:nvSpPr>
        <cdr:cNvPr id="11" name="TextBox 1">
          <a:extLst xmlns:a="http://schemas.openxmlformats.org/drawingml/2006/main">
            <a:ext uri="{FF2B5EF4-FFF2-40B4-BE49-F238E27FC236}">
              <a16:creationId xmlns:a16="http://schemas.microsoft.com/office/drawing/2014/main" id="{FDE74DD3-2E65-4728-BB07-5ED547CDE84E}"/>
            </a:ext>
          </a:extLst>
        </cdr:cNvPr>
        <cdr:cNvSpPr txBox="1"/>
      </cdr:nvSpPr>
      <cdr:spPr>
        <a:xfrm xmlns:a="http://schemas.openxmlformats.org/drawingml/2006/main">
          <a:off x="1700493" y="880900"/>
          <a:ext cx="2183348" cy="48115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600"/>
            </a:lnSpc>
          </a:pPr>
          <a:r>
            <a:rPr lang="en-US" sz="1400" b="1">
              <a:solidFill>
                <a:schemeClr val="tx1">
                  <a:lumMod val="85000"/>
                  <a:lumOff val="15000"/>
                </a:schemeClr>
              </a:solidFill>
              <a:latin typeface="Arial" panose="020B0604020202020204" pitchFamily="34" charset="0"/>
              <a:cs typeface="Arial" panose="020B0604020202020204" pitchFamily="34" charset="0"/>
            </a:rPr>
            <a:t> </a:t>
          </a:r>
          <a:r>
            <a:rPr lang="el-GR" sz="1400" b="1">
              <a:solidFill>
                <a:schemeClr val="tx1">
                  <a:lumMod val="85000"/>
                  <a:lumOff val="15000"/>
                </a:schemeClr>
              </a:solidFill>
              <a:effectLst/>
              <a:latin typeface="Arial" panose="020B0604020202020204" pitchFamily="34" charset="0"/>
              <a:ea typeface="+mn-ea"/>
              <a:cs typeface="Arial" panose="020B0604020202020204" pitchFamily="34" charset="0"/>
            </a:rPr>
            <a:t>ε</a:t>
          </a:r>
          <a:r>
            <a:rPr lang="en-US" sz="1400" b="1">
              <a:solidFill>
                <a:schemeClr val="tx1">
                  <a:lumMod val="85000"/>
                  <a:lumOff val="15000"/>
                </a:schemeClr>
              </a:solidFill>
              <a:effectLst/>
              <a:latin typeface="Arial" panose="020B0604020202020204" pitchFamily="34" charset="0"/>
              <a:ea typeface="+mn-ea"/>
              <a:cs typeface="Arial" panose="020B0604020202020204" pitchFamily="34" charset="0"/>
            </a:rPr>
            <a:t> = slope - 1 = 0.47</a:t>
          </a:r>
          <a:endParaRPr lang="en-US" sz="1400" b="1">
            <a:solidFill>
              <a:schemeClr val="tx1">
                <a:lumMod val="85000"/>
                <a:lumOff val="15000"/>
              </a:schemeClr>
            </a:solidFill>
            <a:latin typeface="Arial" panose="020B0604020202020204" pitchFamily="34" charset="0"/>
            <a:cs typeface="Arial" panose="020B0604020202020204" pitchFamily="34" charset="0"/>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0.65667</cdr:x>
      <cdr:y>0.51415</cdr:y>
    </cdr:from>
    <cdr:to>
      <cdr:x>0.96207</cdr:x>
      <cdr:y>0.59475</cdr:y>
    </cdr:to>
    <cdr:sp macro="" textlink="">
      <cdr:nvSpPr>
        <cdr:cNvPr id="2" name="TextBox 1"/>
        <cdr:cNvSpPr txBox="1"/>
      </cdr:nvSpPr>
      <cdr:spPr>
        <a:xfrm xmlns:a="http://schemas.openxmlformats.org/drawingml/2006/main">
          <a:off x="3458892" y="2208689"/>
          <a:ext cx="1608641" cy="3462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500"/>
            </a:lnSpc>
          </a:pPr>
          <a:r>
            <a:rPr lang="en-US" sz="1500" b="1">
              <a:solidFill>
                <a:schemeClr val="tx1">
                  <a:lumMod val="50000"/>
                  <a:lumOff val="50000"/>
                </a:schemeClr>
              </a:solidFill>
              <a:latin typeface="Arial" panose="020B0604020202020204" pitchFamily="34" charset="0"/>
              <a:cs typeface="Arial" panose="020B0604020202020204" pitchFamily="34" charset="0"/>
            </a:rPr>
            <a:t>Auten-Splinter</a:t>
          </a:r>
        </a:p>
      </cdr:txBody>
    </cdr:sp>
  </cdr:relSizeAnchor>
  <cdr:relSizeAnchor xmlns:cdr="http://schemas.openxmlformats.org/drawingml/2006/chartDrawing">
    <cdr:from>
      <cdr:x>0.28283</cdr:x>
      <cdr:y>0.41524</cdr:y>
    </cdr:from>
    <cdr:to>
      <cdr:x>0.54652</cdr:x>
      <cdr:y>0.4878</cdr:y>
    </cdr:to>
    <cdr:sp macro="" textlink="">
      <cdr:nvSpPr>
        <cdr:cNvPr id="5" name="TextBox 1"/>
        <cdr:cNvSpPr txBox="1"/>
      </cdr:nvSpPr>
      <cdr:spPr>
        <a:xfrm xmlns:a="http://schemas.openxmlformats.org/drawingml/2006/main">
          <a:off x="1490385" y="1783776"/>
          <a:ext cx="1389532" cy="31170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400"/>
            </a:lnSpc>
          </a:pPr>
          <a:r>
            <a:rPr lang="en-US" sz="1500" b="1">
              <a:solidFill>
                <a:schemeClr val="tx1">
                  <a:lumMod val="85000"/>
                  <a:lumOff val="15000"/>
                </a:schemeClr>
              </a:solidFill>
              <a:latin typeface="Arial" panose="020B0604020202020204" pitchFamily="34" charset="0"/>
              <a:cs typeface="Arial" panose="020B0604020202020204" pitchFamily="34" charset="0"/>
            </a:rPr>
            <a:t>Piketty-Saez </a:t>
          </a:r>
          <a:r>
            <a:rPr lang="en-US" sz="1500" b="1">
              <a:solidFill>
                <a:srgbClr val="1F7B91"/>
              </a:solidFill>
              <a:latin typeface="Arial" panose="020B0604020202020204" pitchFamily="34" charset="0"/>
              <a:cs typeface="Arial" panose="020B0604020202020204" pitchFamily="34" charset="0"/>
            </a:rPr>
            <a:t> </a:t>
          </a:r>
        </a:p>
      </cdr:txBody>
    </cdr:sp>
  </cdr:relSizeAnchor>
  <cdr:relSizeAnchor xmlns:cdr="http://schemas.openxmlformats.org/drawingml/2006/chartDrawing">
    <cdr:from>
      <cdr:x>0.09751</cdr:x>
      <cdr:y>0.64989</cdr:y>
    </cdr:from>
    <cdr:to>
      <cdr:x>0.24987</cdr:x>
      <cdr:y>0.7068</cdr:y>
    </cdr:to>
    <cdr:sp macro="" textlink="">
      <cdr:nvSpPr>
        <cdr:cNvPr id="4" name="TextBox 1"/>
        <cdr:cNvSpPr txBox="1"/>
      </cdr:nvSpPr>
      <cdr:spPr>
        <a:xfrm xmlns:a="http://schemas.openxmlformats.org/drawingml/2006/main">
          <a:off x="513637" y="2791772"/>
          <a:ext cx="802530" cy="24447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500"/>
            </a:lnSpc>
          </a:pPr>
          <a:r>
            <a:rPr lang="en-US" sz="1800" b="1">
              <a:solidFill>
                <a:sysClr val="windowText" lastClr="000000"/>
              </a:solidFill>
              <a:latin typeface="Arial" panose="020B0604020202020204" pitchFamily="34" charset="0"/>
              <a:cs typeface="Arial" panose="020B0604020202020204" pitchFamily="34" charset="0"/>
            </a:rPr>
            <a:t>CBO</a:t>
          </a:r>
        </a:p>
      </cdr:txBody>
    </cdr:sp>
  </cdr:relSizeAnchor>
  <cdr:relSizeAnchor xmlns:cdr="http://schemas.openxmlformats.org/drawingml/2006/chartDrawing">
    <cdr:from>
      <cdr:x>0.08705</cdr:x>
      <cdr:y>0.86775</cdr:y>
    </cdr:from>
    <cdr:to>
      <cdr:x>0.98724</cdr:x>
      <cdr:y>0.92318</cdr:y>
    </cdr:to>
    <cdr:sp macro="" textlink="">
      <cdr:nvSpPr>
        <cdr:cNvPr id="3" name="TextBox 2"/>
        <cdr:cNvSpPr txBox="1"/>
      </cdr:nvSpPr>
      <cdr:spPr>
        <a:xfrm xmlns:a="http://schemas.openxmlformats.org/drawingml/2006/main">
          <a:off x="458716" y="3727659"/>
          <a:ext cx="4743610" cy="238115"/>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en-US" sz="1100"/>
            <a:t> </a:t>
          </a:r>
          <a:r>
            <a:rPr lang="en-US" sz="1100" baseline="0"/>
            <a:t>      </a:t>
          </a:r>
          <a:r>
            <a:rPr lang="en-US" sz="1100" baseline="0">
              <a:latin typeface="Arial" panose="020B0604020202020204" pitchFamily="34" charset="0"/>
              <a:cs typeface="Arial" panose="020B0604020202020204" pitchFamily="34" charset="0"/>
            </a:rPr>
            <a:t>Bottom              2nd               3rd                    4th                   Top</a:t>
          </a:r>
        </a:p>
        <a:p xmlns:a="http://schemas.openxmlformats.org/drawingml/2006/main">
          <a:r>
            <a:rPr lang="en-US" sz="1100" baseline="0">
              <a:latin typeface="Arial" panose="020B0604020202020204" pitchFamily="34" charset="0"/>
              <a:cs typeface="Arial" panose="020B0604020202020204" pitchFamily="34" charset="0"/>
            </a:rPr>
            <a:t> </a:t>
          </a:r>
          <a:endParaRPr lang="en-US" sz="11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0.78522</cdr:x>
      <cdr:y>0.03361</cdr:y>
    </cdr:from>
    <cdr:to>
      <cdr:x>0.9404</cdr:x>
      <cdr:y>0.09456</cdr:y>
    </cdr:to>
    <cdr:sp macro="" textlink="">
      <cdr:nvSpPr>
        <cdr:cNvPr id="6" name="TextBox 1"/>
        <cdr:cNvSpPr txBox="1"/>
      </cdr:nvSpPr>
      <cdr:spPr>
        <a:xfrm xmlns:a="http://schemas.openxmlformats.org/drawingml/2006/main">
          <a:off x="4136000" y="144388"/>
          <a:ext cx="817384" cy="26182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200"/>
            </a:lnSpc>
          </a:pPr>
          <a:r>
            <a:rPr lang="en-US" sz="1150" b="1">
              <a:solidFill>
                <a:schemeClr val="tx1">
                  <a:lumMod val="75000"/>
                  <a:lumOff val="25000"/>
                </a:schemeClr>
              </a:solidFill>
              <a:latin typeface="Arial" panose="020B0604020202020204" pitchFamily="34" charset="0"/>
              <a:cs typeface="Arial" panose="020B0604020202020204" pitchFamily="34" charset="0"/>
            </a:rPr>
            <a:t>Within top 1%</a:t>
          </a:r>
        </a:p>
      </cdr:txBody>
    </cdr:sp>
  </cdr:relSizeAnchor>
  <cdr:relSizeAnchor xmlns:cdr="http://schemas.openxmlformats.org/drawingml/2006/chartDrawing">
    <cdr:from>
      <cdr:x>0.05135</cdr:x>
      <cdr:y>0.75189</cdr:y>
    </cdr:from>
    <cdr:to>
      <cdr:x>0.21495</cdr:x>
      <cdr:y>0.81618</cdr:y>
    </cdr:to>
    <cdr:sp macro="" textlink="">
      <cdr:nvSpPr>
        <cdr:cNvPr id="8" name="TextBox 1"/>
        <cdr:cNvSpPr txBox="1"/>
      </cdr:nvSpPr>
      <cdr:spPr>
        <a:xfrm xmlns:a="http://schemas.openxmlformats.org/drawingml/2006/main">
          <a:off x="270493" y="3229933"/>
          <a:ext cx="861735" cy="2761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500"/>
            </a:lnSpc>
          </a:pPr>
          <a:r>
            <a:rPr lang="en-US" sz="1800" b="1">
              <a:solidFill>
                <a:schemeClr val="tx1">
                  <a:lumMod val="50000"/>
                  <a:lumOff val="50000"/>
                </a:schemeClr>
              </a:solidFill>
              <a:latin typeface="Arial" panose="020B0604020202020204" pitchFamily="34" charset="0"/>
              <a:cs typeface="Arial" panose="020B0604020202020204" pitchFamily="34" charset="0"/>
            </a:rPr>
            <a:t>TPC</a:t>
          </a:r>
        </a:p>
      </cdr:txBody>
    </cdr:sp>
  </cdr:relSizeAnchor>
  <cdr:relSizeAnchor xmlns:cdr="http://schemas.openxmlformats.org/drawingml/2006/chartDrawing">
    <cdr:from>
      <cdr:x>0.47941</cdr:x>
      <cdr:y>0.33151</cdr:y>
    </cdr:from>
    <cdr:to>
      <cdr:x>0.74004</cdr:x>
      <cdr:y>0.40403</cdr:y>
    </cdr:to>
    <cdr:sp macro="" textlink="">
      <cdr:nvSpPr>
        <cdr:cNvPr id="10" name="TextBox 1">
          <a:extLst xmlns:a="http://schemas.openxmlformats.org/drawingml/2006/main">
            <a:ext uri="{FF2B5EF4-FFF2-40B4-BE49-F238E27FC236}">
              <a16:creationId xmlns:a16="http://schemas.microsoft.com/office/drawing/2014/main" id="{85EC1E50-E195-4539-9F2F-BD3E3958C4A8}"/>
            </a:ext>
          </a:extLst>
        </cdr:cNvPr>
        <cdr:cNvSpPr txBox="1"/>
      </cdr:nvSpPr>
      <cdr:spPr>
        <a:xfrm xmlns:a="http://schemas.openxmlformats.org/drawingml/2006/main">
          <a:off x="2525223" y="1424100"/>
          <a:ext cx="1372823" cy="3115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500"/>
            </a:lnSpc>
          </a:pPr>
          <a:r>
            <a:rPr lang="en-US" sz="1800" b="1">
              <a:solidFill>
                <a:schemeClr val="tx1">
                  <a:lumMod val="85000"/>
                  <a:lumOff val="15000"/>
                </a:schemeClr>
              </a:solidFill>
              <a:latin typeface="Arial" panose="020B0604020202020204" pitchFamily="34" charset="0"/>
              <a:cs typeface="Arial" panose="020B0604020202020204" pitchFamily="34" charset="0"/>
            </a:rPr>
            <a:t>JCT</a:t>
          </a:r>
        </a:p>
      </cdr:txBody>
    </cdr:sp>
  </cdr:relSizeAnchor>
  <cdr:relSizeAnchor xmlns:cdr="http://schemas.openxmlformats.org/drawingml/2006/chartDrawing">
    <cdr:from>
      <cdr:x>0.92242</cdr:x>
      <cdr:y>0.027</cdr:y>
    </cdr:from>
    <cdr:to>
      <cdr:x>0.9311</cdr:x>
      <cdr:y>0.14504</cdr:y>
    </cdr:to>
    <cdr:sp macro="" textlink="">
      <cdr:nvSpPr>
        <cdr:cNvPr id="7" name="Left Brace 6">
          <a:extLst xmlns:a="http://schemas.openxmlformats.org/drawingml/2006/main">
            <a:ext uri="{FF2B5EF4-FFF2-40B4-BE49-F238E27FC236}">
              <a16:creationId xmlns:a16="http://schemas.microsoft.com/office/drawing/2014/main" id="{54E55770-1C81-438F-B255-82B5585266E3}"/>
            </a:ext>
          </a:extLst>
        </cdr:cNvPr>
        <cdr:cNvSpPr/>
      </cdr:nvSpPr>
      <cdr:spPr>
        <a:xfrm xmlns:a="http://schemas.openxmlformats.org/drawingml/2006/main">
          <a:off x="4858678" y="115982"/>
          <a:ext cx="45719" cy="507081"/>
        </a:xfrm>
        <a:prstGeom xmlns:a="http://schemas.openxmlformats.org/drawingml/2006/main" prst="leftBrace">
          <a:avLst/>
        </a:prstGeom>
        <a:ln xmlns:a="http://schemas.openxmlformats.org/drawingml/2006/main" w="12700">
          <a:solidFill>
            <a:schemeClr val="tx1">
              <a:lumMod val="75000"/>
              <a:lumOff val="2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0.65099</cdr:x>
      <cdr:y>0.36142</cdr:y>
    </cdr:from>
    <cdr:to>
      <cdr:x>0.69902</cdr:x>
      <cdr:y>0.41319</cdr:y>
    </cdr:to>
    <cdr:cxnSp macro="">
      <cdr:nvCxnSpPr>
        <cdr:cNvPr id="14" name="Straight Arrow Connector 13">
          <a:extLst xmlns:a="http://schemas.openxmlformats.org/drawingml/2006/main">
            <a:ext uri="{FF2B5EF4-FFF2-40B4-BE49-F238E27FC236}">
              <a16:creationId xmlns:a16="http://schemas.microsoft.com/office/drawing/2014/main" id="{49FE6368-4C66-4681-B01E-4C5E77CBB884}"/>
            </a:ext>
          </a:extLst>
        </cdr:cNvPr>
        <cdr:cNvCxnSpPr/>
      </cdr:nvCxnSpPr>
      <cdr:spPr>
        <a:xfrm xmlns:a="http://schemas.openxmlformats.org/drawingml/2006/main">
          <a:off x="3429000" y="1552575"/>
          <a:ext cx="252962" cy="222410"/>
        </a:xfrm>
        <a:prstGeom xmlns:a="http://schemas.openxmlformats.org/drawingml/2006/main" prst="straightConnector1">
          <a:avLst/>
        </a:prstGeom>
        <a:ln xmlns:a="http://schemas.openxmlformats.org/drawingml/2006/main" w="19050">
          <a:solidFill>
            <a:schemeClr val="tx1">
              <a:lumMod val="75000"/>
              <a:lumOff val="25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0.32706</cdr:x>
      <cdr:y>0.70036</cdr:y>
    </cdr:from>
    <cdr:to>
      <cdr:x>0.49066</cdr:x>
      <cdr:y>0.76465</cdr:y>
    </cdr:to>
    <cdr:sp macro="" textlink="">
      <cdr:nvSpPr>
        <cdr:cNvPr id="11" name="TextBox 1">
          <a:extLst xmlns:a="http://schemas.openxmlformats.org/drawingml/2006/main">
            <a:ext uri="{FF2B5EF4-FFF2-40B4-BE49-F238E27FC236}">
              <a16:creationId xmlns:a16="http://schemas.microsoft.com/office/drawing/2014/main" id="{2037422E-9775-484B-92D4-B961214F1793}"/>
            </a:ext>
          </a:extLst>
        </cdr:cNvPr>
        <cdr:cNvSpPr txBox="1"/>
      </cdr:nvSpPr>
      <cdr:spPr>
        <a:xfrm xmlns:a="http://schemas.openxmlformats.org/drawingml/2006/main">
          <a:off x="1722727" y="3008592"/>
          <a:ext cx="861735" cy="2761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500"/>
            </a:lnSpc>
          </a:pPr>
          <a:r>
            <a:rPr lang="en-US" sz="1800" b="1">
              <a:solidFill>
                <a:schemeClr val="tx1">
                  <a:lumMod val="65000"/>
                  <a:lumOff val="35000"/>
                </a:schemeClr>
              </a:solidFill>
              <a:latin typeface="Arial" panose="020B0604020202020204" pitchFamily="34" charset="0"/>
              <a:cs typeface="Arial" panose="020B0604020202020204" pitchFamily="34" charset="0"/>
            </a:rPr>
            <a:t>OTA</a:t>
          </a:r>
        </a:p>
      </cdr:txBody>
    </cdr:sp>
  </cdr:relSizeAnchor>
  <cdr:relSizeAnchor xmlns:cdr="http://schemas.openxmlformats.org/drawingml/2006/chartDrawing">
    <cdr:from>
      <cdr:x>0.71047</cdr:x>
      <cdr:y>0.4871</cdr:y>
    </cdr:from>
    <cdr:to>
      <cdr:x>0.74322</cdr:x>
      <cdr:y>0.52106</cdr:y>
    </cdr:to>
    <cdr:cxnSp macro="">
      <cdr:nvCxnSpPr>
        <cdr:cNvPr id="13" name="Straight Arrow Connector 12">
          <a:extLst xmlns:a="http://schemas.openxmlformats.org/drawingml/2006/main">
            <a:ext uri="{FF2B5EF4-FFF2-40B4-BE49-F238E27FC236}">
              <a16:creationId xmlns:a16="http://schemas.microsoft.com/office/drawing/2014/main" id="{783105EB-02C0-4B31-9270-B21B73F3ED4A}"/>
            </a:ext>
          </a:extLst>
        </cdr:cNvPr>
        <cdr:cNvCxnSpPr/>
      </cdr:nvCxnSpPr>
      <cdr:spPr>
        <a:xfrm xmlns:a="http://schemas.openxmlformats.org/drawingml/2006/main" flipH="1" flipV="1">
          <a:off x="3742288" y="2092486"/>
          <a:ext cx="172487" cy="145889"/>
        </a:xfrm>
        <a:prstGeom xmlns:a="http://schemas.openxmlformats.org/drawingml/2006/main" prst="straightConnector1">
          <a:avLst/>
        </a:prstGeom>
        <a:ln xmlns:a="http://schemas.openxmlformats.org/drawingml/2006/main" w="19050">
          <a:solidFill>
            <a:schemeClr val="tx1">
              <a:lumMod val="50000"/>
              <a:lumOff val="50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0.xml><?xml version="1.0" encoding="utf-8"?>
<xdr:wsDr xmlns:xdr="http://schemas.openxmlformats.org/drawingml/2006/spreadsheetDrawing" xmlns:a="http://schemas.openxmlformats.org/drawingml/2006/main">
  <xdr:twoCellAnchor>
    <xdr:from>
      <xdr:col>0</xdr:col>
      <xdr:colOff>299356</xdr:colOff>
      <xdr:row>2</xdr:row>
      <xdr:rowOff>32658</xdr:rowOff>
    </xdr:from>
    <xdr:to>
      <xdr:col>13</xdr:col>
      <xdr:colOff>340177</xdr:colOff>
      <xdr:row>25</xdr:row>
      <xdr:rowOff>155922</xdr:rowOff>
    </xdr:to>
    <xdr:graphicFrame macro="">
      <xdr:nvGraphicFramePr>
        <xdr:cNvPr id="2" name="Chart 1">
          <a:extLst>
            <a:ext uri="{FF2B5EF4-FFF2-40B4-BE49-F238E27FC236}">
              <a16:creationId xmlns:a16="http://schemas.microsoft.com/office/drawing/2014/main" id="{58516FFA-CAD8-4405-AFA8-29A2E0AD45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0.6182</cdr:x>
      <cdr:y>0.14572</cdr:y>
    </cdr:from>
    <cdr:to>
      <cdr:x>0.90375</cdr:x>
      <cdr:y>0.21023</cdr:y>
    </cdr:to>
    <cdr:sp macro="" textlink="">
      <cdr:nvSpPr>
        <cdr:cNvPr id="3" name="TextBox 1"/>
        <cdr:cNvSpPr txBox="1"/>
      </cdr:nvSpPr>
      <cdr:spPr>
        <a:xfrm xmlns:a="http://schemas.openxmlformats.org/drawingml/2006/main">
          <a:off x="3751724" y="656432"/>
          <a:ext cx="1732940" cy="2906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400"/>
            </a:lnSpc>
          </a:pPr>
          <a:r>
            <a:rPr lang="en-US" sz="1600" b="1">
              <a:solidFill>
                <a:srgbClr val="1F7B91"/>
              </a:solidFill>
              <a:latin typeface="Arial" panose="020B0604020202020204" pitchFamily="34" charset="0"/>
              <a:cs typeface="Arial" panose="020B0604020202020204" pitchFamily="34" charset="0"/>
            </a:rPr>
            <a:t>Middle Quintile</a:t>
          </a:r>
        </a:p>
      </cdr:txBody>
    </cdr:sp>
  </cdr:relSizeAnchor>
  <cdr:relSizeAnchor xmlns:cdr="http://schemas.openxmlformats.org/drawingml/2006/chartDrawing">
    <cdr:from>
      <cdr:x>0.87348</cdr:x>
      <cdr:y>0.1094</cdr:y>
    </cdr:from>
    <cdr:to>
      <cdr:x>0.97885</cdr:x>
      <cdr:y>0.17701</cdr:y>
    </cdr:to>
    <cdr:sp macro="" textlink="">
      <cdr:nvSpPr>
        <cdr:cNvPr id="7" name="TextBox 1">
          <a:extLst xmlns:a="http://schemas.openxmlformats.org/drawingml/2006/main">
            <a:ext uri="{FF2B5EF4-FFF2-40B4-BE49-F238E27FC236}">
              <a16:creationId xmlns:a16="http://schemas.microsoft.com/office/drawing/2014/main" id="{D65CCE9F-BE28-4EB1-A669-848CF74C8306}"/>
            </a:ext>
          </a:extLst>
        </cdr:cNvPr>
        <cdr:cNvSpPr txBox="1"/>
      </cdr:nvSpPr>
      <cdr:spPr>
        <a:xfrm xmlns:a="http://schemas.openxmlformats.org/drawingml/2006/main">
          <a:off x="5300954" y="492802"/>
          <a:ext cx="639468" cy="3045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200"/>
            </a:lnSpc>
          </a:pPr>
          <a:r>
            <a:rPr lang="en-US" sz="1600" b="1">
              <a:solidFill>
                <a:srgbClr val="1F7B91"/>
              </a:solidFill>
              <a:effectLst/>
              <a:latin typeface="Arial" panose="020B0604020202020204" pitchFamily="34" charset="0"/>
              <a:ea typeface="+mn-ea"/>
              <a:cs typeface="Arial" panose="020B0604020202020204" pitchFamily="34" charset="0"/>
            </a:rPr>
            <a:t>–17</a:t>
          </a:r>
          <a:endParaRPr lang="en-US" sz="1600" b="1">
            <a:solidFill>
              <a:srgbClr val="1F7B9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0.56951</cdr:x>
      <cdr:y>0.55458</cdr:y>
    </cdr:from>
    <cdr:to>
      <cdr:x>0.89686</cdr:x>
      <cdr:y>0.59083</cdr:y>
    </cdr:to>
    <cdr:sp macro="" textlink="">
      <cdr:nvSpPr>
        <cdr:cNvPr id="8" name="TextBox 1">
          <a:extLst xmlns:a="http://schemas.openxmlformats.org/drawingml/2006/main">
            <a:ext uri="{FF2B5EF4-FFF2-40B4-BE49-F238E27FC236}">
              <a16:creationId xmlns:a16="http://schemas.microsoft.com/office/drawing/2014/main" id="{667A952A-D507-4E13-B5C4-C84D92D0DB94}"/>
            </a:ext>
          </a:extLst>
        </cdr:cNvPr>
        <cdr:cNvSpPr txBox="1"/>
      </cdr:nvSpPr>
      <cdr:spPr>
        <a:xfrm xmlns:a="http://schemas.openxmlformats.org/drawingml/2006/main">
          <a:off x="3456214" y="2498270"/>
          <a:ext cx="1986643" cy="1632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400"/>
            </a:lnSpc>
          </a:pPr>
          <a:r>
            <a:rPr lang="en-US" sz="1600" b="1">
              <a:solidFill>
                <a:srgbClr val="792B36"/>
              </a:solidFill>
              <a:latin typeface="Arial" panose="020B0604020202020204" pitchFamily="34" charset="0"/>
              <a:cs typeface="Arial" panose="020B0604020202020204" pitchFamily="34" charset="0"/>
            </a:rPr>
            <a:t>Bottom Quintile</a:t>
          </a:r>
        </a:p>
      </cdr:txBody>
    </cdr:sp>
  </cdr:relSizeAnchor>
  <cdr:relSizeAnchor xmlns:cdr="http://schemas.openxmlformats.org/drawingml/2006/chartDrawing">
    <cdr:from>
      <cdr:x>0.87514</cdr:x>
      <cdr:y>0.88081</cdr:y>
    </cdr:from>
    <cdr:to>
      <cdr:x>0.98391</cdr:x>
      <cdr:y>0.97324</cdr:y>
    </cdr:to>
    <cdr:sp macro="" textlink="">
      <cdr:nvSpPr>
        <cdr:cNvPr id="9" name="TextBox 1">
          <a:extLst xmlns:a="http://schemas.openxmlformats.org/drawingml/2006/main">
            <a:ext uri="{FF2B5EF4-FFF2-40B4-BE49-F238E27FC236}">
              <a16:creationId xmlns:a16="http://schemas.microsoft.com/office/drawing/2014/main" id="{3DD8D46D-9A6B-4F3A-B422-A2717F264A21}"/>
            </a:ext>
          </a:extLst>
        </cdr:cNvPr>
        <cdr:cNvSpPr txBox="1"/>
      </cdr:nvSpPr>
      <cdr:spPr>
        <a:xfrm xmlns:a="http://schemas.openxmlformats.org/drawingml/2006/main">
          <a:off x="5311063" y="3967846"/>
          <a:ext cx="660102" cy="4163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200"/>
            </a:lnSpc>
          </a:pPr>
          <a:r>
            <a:rPr lang="en-US" sz="1600" b="1">
              <a:solidFill>
                <a:srgbClr val="792B36"/>
              </a:solidFill>
              <a:effectLst/>
              <a:latin typeface="Arial" panose="020B0604020202020204" pitchFamily="34" charset="0"/>
              <a:ea typeface="+mn-ea"/>
              <a:cs typeface="Arial" panose="020B0604020202020204" pitchFamily="34" charset="0"/>
            </a:rPr>
            <a:t>–163</a:t>
          </a:r>
          <a:endParaRPr lang="en-US" sz="1600" b="1">
            <a:solidFill>
              <a:srgbClr val="792B36"/>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0.87992</cdr:x>
      <cdr:y>0.04214</cdr:y>
    </cdr:from>
    <cdr:to>
      <cdr:x>0.97031</cdr:x>
      <cdr:y>0.10805</cdr:y>
    </cdr:to>
    <cdr:sp macro="" textlink="">
      <cdr:nvSpPr>
        <cdr:cNvPr id="10" name="TextBox 1">
          <a:extLst xmlns:a="http://schemas.openxmlformats.org/drawingml/2006/main">
            <a:ext uri="{FF2B5EF4-FFF2-40B4-BE49-F238E27FC236}">
              <a16:creationId xmlns:a16="http://schemas.microsoft.com/office/drawing/2014/main" id="{EEFC3946-31B0-4B0E-8EF1-05D7B4A4B0DA}"/>
            </a:ext>
          </a:extLst>
        </cdr:cNvPr>
        <cdr:cNvSpPr txBox="1"/>
      </cdr:nvSpPr>
      <cdr:spPr>
        <a:xfrm xmlns:a="http://schemas.openxmlformats.org/drawingml/2006/main">
          <a:off x="5340025" y="189811"/>
          <a:ext cx="548558" cy="29690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200"/>
            </a:lnSpc>
          </a:pPr>
          <a:r>
            <a:rPr lang="en-US" sz="1600" b="1">
              <a:solidFill>
                <a:srgbClr val="B57A0F"/>
              </a:solidFill>
              <a:effectLst/>
              <a:latin typeface="Arial" panose="020B0604020202020204" pitchFamily="34" charset="0"/>
              <a:ea typeface="+mn-ea"/>
              <a:cs typeface="Arial" panose="020B0604020202020204" pitchFamily="34" charset="0"/>
            </a:rPr>
            <a:t>–1</a:t>
          </a:r>
          <a:endParaRPr lang="en-US" sz="1600" b="1">
            <a:solidFill>
              <a:srgbClr val="B57A0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0.66143</cdr:x>
      <cdr:y>0.00785</cdr:y>
    </cdr:from>
    <cdr:to>
      <cdr:x>0.90894</cdr:x>
      <cdr:y>0.10149</cdr:y>
    </cdr:to>
    <cdr:sp macro="" textlink="">
      <cdr:nvSpPr>
        <cdr:cNvPr id="11" name="TextBox 1">
          <a:extLst xmlns:a="http://schemas.openxmlformats.org/drawingml/2006/main">
            <a:ext uri="{FF2B5EF4-FFF2-40B4-BE49-F238E27FC236}">
              <a16:creationId xmlns:a16="http://schemas.microsoft.com/office/drawing/2014/main" id="{FDE74DD3-2E65-4728-BB07-5ED547CDE84E}"/>
            </a:ext>
          </a:extLst>
        </cdr:cNvPr>
        <cdr:cNvSpPr txBox="1"/>
      </cdr:nvSpPr>
      <cdr:spPr>
        <a:xfrm xmlns:a="http://schemas.openxmlformats.org/drawingml/2006/main">
          <a:off x="4014107" y="35378"/>
          <a:ext cx="1502055" cy="42182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50"/>
            </a:lnSpc>
          </a:pPr>
          <a:r>
            <a:rPr lang="en-US" sz="1600" b="1">
              <a:solidFill>
                <a:srgbClr val="B57A0F"/>
              </a:solidFill>
              <a:latin typeface="Arial" panose="020B0604020202020204" pitchFamily="34" charset="0"/>
              <a:cs typeface="Arial" panose="020B0604020202020204" pitchFamily="34" charset="0"/>
            </a:rPr>
            <a:t>Top Quintile</a:t>
          </a:r>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171450</xdr:colOff>
      <xdr:row>2</xdr:row>
      <xdr:rowOff>28575</xdr:rowOff>
    </xdr:from>
    <xdr:to>
      <xdr:col>11</xdr:col>
      <xdr:colOff>196103</xdr:colOff>
      <xdr:row>25</xdr:row>
      <xdr:rowOff>151839</xdr:rowOff>
    </xdr:to>
    <xdr:graphicFrame macro="">
      <xdr:nvGraphicFramePr>
        <xdr:cNvPr id="2" name="Chart 1">
          <a:extLst>
            <a:ext uri="{FF2B5EF4-FFF2-40B4-BE49-F238E27FC236}">
              <a16:creationId xmlns:a16="http://schemas.microsoft.com/office/drawing/2014/main" id="{D20C5828-9D0B-4E0C-9A3A-D51B3D9FA3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0.54279</cdr:x>
      <cdr:y>0.87389</cdr:y>
    </cdr:from>
    <cdr:to>
      <cdr:x>0.90653</cdr:x>
      <cdr:y>0.93469</cdr:y>
    </cdr:to>
    <cdr:sp macro="" textlink="">
      <cdr:nvSpPr>
        <cdr:cNvPr id="8" name="TextBox 1">
          <a:extLst xmlns:a="http://schemas.openxmlformats.org/drawingml/2006/main">
            <a:ext uri="{FF2B5EF4-FFF2-40B4-BE49-F238E27FC236}">
              <a16:creationId xmlns:a16="http://schemas.microsoft.com/office/drawing/2014/main" id="{667A952A-D507-4E13-B5C4-C84D92D0DB94}"/>
            </a:ext>
          </a:extLst>
        </cdr:cNvPr>
        <cdr:cNvSpPr txBox="1"/>
      </cdr:nvSpPr>
      <cdr:spPr>
        <a:xfrm xmlns:a="http://schemas.openxmlformats.org/drawingml/2006/main">
          <a:off x="3653117" y="3936668"/>
          <a:ext cx="2448059" cy="27388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400"/>
            </a:lnSpc>
          </a:pPr>
          <a:r>
            <a:rPr lang="en-US" sz="1400" b="1">
              <a:solidFill>
                <a:srgbClr val="1F7B91"/>
              </a:solidFill>
              <a:latin typeface="Arial" panose="020B0604020202020204" pitchFamily="34" charset="0"/>
              <a:cs typeface="Arial" panose="020B0604020202020204" pitchFamily="34" charset="0"/>
            </a:rPr>
            <a:t>%Tax</a:t>
          </a:r>
          <a:r>
            <a:rPr lang="en-US" sz="1400" b="1" baseline="0">
              <a:solidFill>
                <a:srgbClr val="1F7B91"/>
              </a:solidFill>
              <a:latin typeface="Arial" panose="020B0604020202020204" pitchFamily="34" charset="0"/>
              <a:cs typeface="Arial" panose="020B0604020202020204" pitchFamily="34" charset="0"/>
            </a:rPr>
            <a:t> units at top rate</a:t>
          </a:r>
          <a:endParaRPr lang="en-US" sz="1400" b="1">
            <a:solidFill>
              <a:srgbClr val="1F7B9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0.87703</cdr:x>
      <cdr:y>0.87747</cdr:y>
    </cdr:from>
    <cdr:to>
      <cdr:x>0.98501</cdr:x>
      <cdr:y>0.94338</cdr:y>
    </cdr:to>
    <cdr:sp macro="" textlink="">
      <cdr:nvSpPr>
        <cdr:cNvPr id="9" name="TextBox 1">
          <a:extLst xmlns:a="http://schemas.openxmlformats.org/drawingml/2006/main">
            <a:ext uri="{FF2B5EF4-FFF2-40B4-BE49-F238E27FC236}">
              <a16:creationId xmlns:a16="http://schemas.microsoft.com/office/drawing/2014/main" id="{3DD8D46D-9A6B-4F3A-B422-A2717F264A21}"/>
            </a:ext>
          </a:extLst>
        </cdr:cNvPr>
        <cdr:cNvSpPr txBox="1"/>
      </cdr:nvSpPr>
      <cdr:spPr>
        <a:xfrm xmlns:a="http://schemas.openxmlformats.org/drawingml/2006/main">
          <a:off x="5902666" y="3952811"/>
          <a:ext cx="726733" cy="29690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200"/>
            </a:lnSpc>
          </a:pPr>
          <a:r>
            <a:rPr lang="en-US" sz="1600" b="1">
              <a:solidFill>
                <a:srgbClr val="1F7B91"/>
              </a:solidFill>
              <a:effectLst/>
              <a:latin typeface="Arial" panose="020B0604020202020204" pitchFamily="34" charset="0"/>
              <a:ea typeface="+mn-ea"/>
              <a:cs typeface="Arial" panose="020B0604020202020204" pitchFamily="34" charset="0"/>
            </a:rPr>
            <a:t>0.6%</a:t>
          </a:r>
          <a:endParaRPr lang="en-US" sz="1600" b="1">
            <a:solidFill>
              <a:srgbClr val="1F7B9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0.86913</cdr:x>
      <cdr:y>0.8209</cdr:y>
    </cdr:from>
    <cdr:to>
      <cdr:x>0.99167</cdr:x>
      <cdr:y>0.87562</cdr:y>
    </cdr:to>
    <cdr:sp macro="" textlink="">
      <cdr:nvSpPr>
        <cdr:cNvPr id="10" name="TextBox 1">
          <a:extLst xmlns:a="http://schemas.openxmlformats.org/drawingml/2006/main">
            <a:ext uri="{FF2B5EF4-FFF2-40B4-BE49-F238E27FC236}">
              <a16:creationId xmlns:a16="http://schemas.microsoft.com/office/drawing/2014/main" id="{EEFC3946-31B0-4B0E-8EF1-05D7B4A4B0DA}"/>
            </a:ext>
          </a:extLst>
        </cdr:cNvPr>
        <cdr:cNvSpPr txBox="1"/>
      </cdr:nvSpPr>
      <cdr:spPr>
        <a:xfrm xmlns:a="http://schemas.openxmlformats.org/drawingml/2006/main">
          <a:off x="5849465" y="3697941"/>
          <a:ext cx="824725" cy="2465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400"/>
            </a:lnSpc>
          </a:pPr>
          <a:r>
            <a:rPr lang="en-US" sz="1600" b="1">
              <a:solidFill>
                <a:schemeClr val="bg2">
                  <a:lumMod val="50000"/>
                </a:schemeClr>
              </a:solidFill>
              <a:effectLst/>
              <a:latin typeface="Arial" panose="020B0604020202020204" pitchFamily="34" charset="0"/>
              <a:ea typeface="+mn-ea"/>
              <a:cs typeface="Arial" panose="020B0604020202020204" pitchFamily="34" charset="0"/>
            </a:rPr>
            <a:t>2016</a:t>
          </a:r>
          <a:r>
            <a:rPr lang="en-US" sz="1600" b="1">
              <a:solidFill>
                <a:srgbClr val="792B36"/>
              </a:solidFill>
              <a:effectLst/>
              <a:latin typeface="Arial" panose="020B0604020202020204" pitchFamily="34" charset="0"/>
              <a:ea typeface="+mn-ea"/>
              <a:cs typeface="Arial" panose="020B0604020202020204" pitchFamily="34" charset="0"/>
            </a:rPr>
            <a:t>  </a:t>
          </a:r>
          <a:endParaRPr lang="en-US" sz="1600" b="1">
            <a:solidFill>
              <a:srgbClr val="792B36"/>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0.20069</cdr:x>
      <cdr:y>0.82836</cdr:y>
    </cdr:from>
    <cdr:to>
      <cdr:x>0.32323</cdr:x>
      <cdr:y>0.95724</cdr:y>
    </cdr:to>
    <cdr:sp macro="" textlink="">
      <cdr:nvSpPr>
        <cdr:cNvPr id="6" name="TextBox 1">
          <a:extLst xmlns:a="http://schemas.openxmlformats.org/drawingml/2006/main">
            <a:ext uri="{FF2B5EF4-FFF2-40B4-BE49-F238E27FC236}">
              <a16:creationId xmlns:a16="http://schemas.microsoft.com/office/drawing/2014/main" id="{49679A57-7C93-4AB6-A1D2-AC80C3799E98}"/>
            </a:ext>
          </a:extLst>
        </cdr:cNvPr>
        <cdr:cNvSpPr txBox="1"/>
      </cdr:nvSpPr>
      <cdr:spPr>
        <a:xfrm xmlns:a="http://schemas.openxmlformats.org/drawingml/2006/main">
          <a:off x="1350661" y="3731560"/>
          <a:ext cx="824792" cy="5805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500"/>
            </a:lnSpc>
          </a:pPr>
          <a:r>
            <a:rPr lang="en-US" sz="1600" b="1">
              <a:solidFill>
                <a:schemeClr val="bg2">
                  <a:lumMod val="50000"/>
                </a:schemeClr>
              </a:solidFill>
              <a:effectLst/>
              <a:latin typeface="Arial" panose="020B0604020202020204" pitchFamily="34" charset="0"/>
              <a:ea typeface="+mn-ea"/>
              <a:cs typeface="Arial" panose="020B0604020202020204" pitchFamily="34" charset="0"/>
            </a:rPr>
            <a:t>1970</a:t>
          </a:r>
          <a:r>
            <a:rPr lang="en-US" sz="1600" b="1" baseline="0">
              <a:solidFill>
                <a:schemeClr val="bg2">
                  <a:lumMod val="50000"/>
                </a:schemeClr>
              </a:solidFill>
              <a:effectLst/>
              <a:latin typeface="Arial" panose="020B0604020202020204" pitchFamily="34" charset="0"/>
              <a:ea typeface="+mn-ea"/>
              <a:cs typeface="Arial" panose="020B0604020202020204" pitchFamily="34" charset="0"/>
            </a:rPr>
            <a:t> </a:t>
          </a:r>
          <a:r>
            <a:rPr lang="en-US" sz="1400" b="1" baseline="0">
              <a:solidFill>
                <a:srgbClr val="1F7B91"/>
              </a:solidFill>
              <a:effectLst/>
              <a:latin typeface="Arial" panose="020B0604020202020204" pitchFamily="34" charset="0"/>
              <a:ea typeface="+mn-ea"/>
              <a:cs typeface="Arial" panose="020B0604020202020204" pitchFamily="34" charset="0"/>
            </a:rPr>
            <a:t>0.01%</a:t>
          </a:r>
          <a:endParaRPr lang="en-US" sz="1600" b="1">
            <a:solidFill>
              <a:srgbClr val="1F7B9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0.49373</cdr:x>
      <cdr:y>0.47148</cdr:y>
    </cdr:from>
    <cdr:to>
      <cdr:x>0.77558</cdr:x>
      <cdr:y>0.53659</cdr:y>
    </cdr:to>
    <cdr:sp macro="" textlink="">
      <cdr:nvSpPr>
        <cdr:cNvPr id="12" name="TextBox 1">
          <a:extLst xmlns:a="http://schemas.openxmlformats.org/drawingml/2006/main">
            <a:ext uri="{FF2B5EF4-FFF2-40B4-BE49-F238E27FC236}">
              <a16:creationId xmlns:a16="http://schemas.microsoft.com/office/drawing/2014/main" id="{DB1C1715-DEF1-4046-BA28-1E2FE629A532}"/>
            </a:ext>
          </a:extLst>
        </cdr:cNvPr>
        <cdr:cNvSpPr txBox="1"/>
      </cdr:nvSpPr>
      <cdr:spPr>
        <a:xfrm xmlns:a="http://schemas.openxmlformats.org/drawingml/2006/main">
          <a:off x="3322928" y="2123894"/>
          <a:ext cx="1896922" cy="2933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600"/>
            </a:lnSpc>
          </a:pPr>
          <a:r>
            <a:rPr lang="en-US" sz="1600" b="1">
              <a:solidFill>
                <a:srgbClr val="B57A0F"/>
              </a:solidFill>
              <a:latin typeface="Arial" panose="020B0604020202020204" pitchFamily="34" charset="0"/>
              <a:cs typeface="Arial" panose="020B0604020202020204" pitchFamily="34" charset="0"/>
            </a:rPr>
            <a:t>Top tax</a:t>
          </a:r>
          <a:r>
            <a:rPr lang="en-US" sz="1600" b="1" baseline="0">
              <a:solidFill>
                <a:srgbClr val="B57A0F"/>
              </a:solidFill>
              <a:latin typeface="Arial" panose="020B0604020202020204" pitchFamily="34" charset="0"/>
              <a:cs typeface="Arial" panose="020B0604020202020204" pitchFamily="34" charset="0"/>
            </a:rPr>
            <a:t> rate</a:t>
          </a:r>
          <a:endParaRPr lang="en-US" sz="1600" b="1">
            <a:solidFill>
              <a:srgbClr val="B57A0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0.0858</cdr:x>
      <cdr:y>0.83333</cdr:y>
    </cdr:from>
    <cdr:to>
      <cdr:x>0.20835</cdr:x>
      <cdr:y>0.92622</cdr:y>
    </cdr:to>
    <cdr:sp macro="" textlink="">
      <cdr:nvSpPr>
        <cdr:cNvPr id="13" name="TextBox 1">
          <a:extLst xmlns:a="http://schemas.openxmlformats.org/drawingml/2006/main">
            <a:ext uri="{FF2B5EF4-FFF2-40B4-BE49-F238E27FC236}">
              <a16:creationId xmlns:a16="http://schemas.microsoft.com/office/drawing/2014/main" id="{CAA61AAB-035D-4372-ADBC-15BEC1746BB8}"/>
            </a:ext>
          </a:extLst>
        </cdr:cNvPr>
        <cdr:cNvSpPr txBox="1"/>
      </cdr:nvSpPr>
      <cdr:spPr>
        <a:xfrm xmlns:a="http://schemas.openxmlformats.org/drawingml/2006/main">
          <a:off x="577455" y="3753970"/>
          <a:ext cx="824793" cy="4184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500"/>
            </a:lnSpc>
          </a:pPr>
          <a:r>
            <a:rPr lang="en-US" sz="1600" b="1">
              <a:solidFill>
                <a:schemeClr val="bg2">
                  <a:lumMod val="50000"/>
                </a:schemeClr>
              </a:solidFill>
              <a:effectLst/>
              <a:latin typeface="Arial" panose="020B0604020202020204" pitchFamily="34" charset="0"/>
              <a:ea typeface="+mn-ea"/>
              <a:cs typeface="Arial" panose="020B0604020202020204" pitchFamily="34" charset="0"/>
            </a:rPr>
            <a:t>1962</a:t>
          </a:r>
          <a:r>
            <a:rPr lang="en-US" sz="1600" b="1" baseline="0">
              <a:solidFill>
                <a:schemeClr val="bg2">
                  <a:lumMod val="50000"/>
                </a:schemeClr>
              </a:solidFill>
              <a:effectLst/>
              <a:latin typeface="Arial" panose="020B0604020202020204" pitchFamily="34" charset="0"/>
              <a:ea typeface="+mn-ea"/>
              <a:cs typeface="Arial" panose="020B0604020202020204" pitchFamily="34" charset="0"/>
            </a:rPr>
            <a:t> </a:t>
          </a:r>
          <a:r>
            <a:rPr lang="en-US" sz="1400" b="1" baseline="0">
              <a:solidFill>
                <a:srgbClr val="1F7B91"/>
              </a:solidFill>
              <a:effectLst/>
              <a:latin typeface="Arial" panose="020B0604020202020204" pitchFamily="34" charset="0"/>
              <a:ea typeface="+mn-ea"/>
              <a:cs typeface="Arial" panose="020B0604020202020204" pitchFamily="34" charset="0"/>
            </a:rPr>
            <a:t>0.001%</a:t>
          </a:r>
          <a:endParaRPr lang="en-US" sz="1600" b="1">
            <a:solidFill>
              <a:srgbClr val="1F7B91"/>
            </a:solidFill>
            <a:latin typeface="Arial" panose="020B0604020202020204" pitchFamily="34" charset="0"/>
            <a:cs typeface="Arial" panose="020B0604020202020204" pitchFamily="34" charset="0"/>
          </a:endParaRPr>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123825</xdr:colOff>
      <xdr:row>2</xdr:row>
      <xdr:rowOff>38100</xdr:rowOff>
    </xdr:from>
    <xdr:to>
      <xdr:col>11</xdr:col>
      <xdr:colOff>148478</xdr:colOff>
      <xdr:row>25</xdr:row>
      <xdr:rowOff>161364</xdr:rowOff>
    </xdr:to>
    <xdr:graphicFrame macro="">
      <xdr:nvGraphicFramePr>
        <xdr:cNvPr id="2" name="Chart 1">
          <a:extLst>
            <a:ext uri="{FF2B5EF4-FFF2-40B4-BE49-F238E27FC236}">
              <a16:creationId xmlns:a16="http://schemas.microsoft.com/office/drawing/2014/main" id="{C093D965-C98F-4D74-96CB-1CA38AE36C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0.4329</cdr:x>
      <cdr:y>0.68185</cdr:y>
    </cdr:from>
    <cdr:to>
      <cdr:x>0.83924</cdr:x>
      <cdr:y>0.74696</cdr:y>
    </cdr:to>
    <cdr:sp macro="" textlink="">
      <cdr:nvSpPr>
        <cdr:cNvPr id="11" name="TextBox 1">
          <a:extLst xmlns:a="http://schemas.openxmlformats.org/drawingml/2006/main">
            <a:ext uri="{FF2B5EF4-FFF2-40B4-BE49-F238E27FC236}">
              <a16:creationId xmlns:a16="http://schemas.microsoft.com/office/drawing/2014/main" id="{FDE74DD3-2E65-4728-BB07-5ED547CDE84E}"/>
            </a:ext>
          </a:extLst>
        </cdr:cNvPr>
        <cdr:cNvSpPr txBox="1"/>
      </cdr:nvSpPr>
      <cdr:spPr>
        <a:xfrm xmlns:a="http://schemas.openxmlformats.org/drawingml/2006/main">
          <a:off x="2913527" y="3071573"/>
          <a:ext cx="2734798" cy="29330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400"/>
            </a:lnSpc>
          </a:pPr>
          <a:r>
            <a:rPr lang="en-US" sz="1400" b="1">
              <a:solidFill>
                <a:srgbClr val="792B36"/>
              </a:solidFill>
              <a:latin typeface="Arial" panose="020B0604020202020204" pitchFamily="34" charset="0"/>
              <a:cs typeface="Arial" panose="020B0604020202020204" pitchFamily="34" charset="0"/>
            </a:rPr>
            <a:t>Taxable corp.</a:t>
          </a:r>
          <a:r>
            <a:rPr lang="en-US" sz="1400" b="1" baseline="0">
              <a:solidFill>
                <a:srgbClr val="792B36"/>
              </a:solidFill>
              <a:latin typeface="Arial" panose="020B0604020202020204" pitchFamily="34" charset="0"/>
              <a:cs typeface="Arial" panose="020B0604020202020204" pitchFamily="34" charset="0"/>
            </a:rPr>
            <a:t> retained earn</a:t>
          </a:r>
          <a:r>
            <a:rPr lang="en-US" sz="1200" b="1" baseline="0">
              <a:solidFill>
                <a:srgbClr val="792B36"/>
              </a:solidFill>
              <a:latin typeface="Arial" panose="020B0604020202020204" pitchFamily="34" charset="0"/>
              <a:cs typeface="Arial" panose="020B0604020202020204" pitchFamily="34" charset="0"/>
            </a:rPr>
            <a:t>. (</a:t>
          </a:r>
          <a:r>
            <a:rPr lang="en-US" sz="1200" b="1">
              <a:solidFill>
                <a:srgbClr val="792B36"/>
              </a:solidFill>
              <a:latin typeface="Arial" panose="020B0604020202020204" pitchFamily="34" charset="0"/>
              <a:cs typeface="Arial" panose="020B0604020202020204" pitchFamily="34" charset="0"/>
            </a:rPr>
            <a:t>%national</a:t>
          </a:r>
          <a:r>
            <a:rPr lang="en-US" sz="1200" b="1" baseline="0">
              <a:solidFill>
                <a:srgbClr val="792B36"/>
              </a:solidFill>
              <a:latin typeface="Arial" panose="020B0604020202020204" pitchFamily="34" charset="0"/>
              <a:cs typeface="Arial" panose="020B0604020202020204" pitchFamily="34" charset="0"/>
            </a:rPr>
            <a:t> income, right axis)</a:t>
          </a:r>
          <a:endParaRPr lang="en-US" sz="1400" b="1">
            <a:solidFill>
              <a:srgbClr val="792B36"/>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0.48208</cdr:x>
      <cdr:y>0.47396</cdr:y>
    </cdr:from>
    <cdr:to>
      <cdr:x>0.79962</cdr:x>
      <cdr:y>0.53907</cdr:y>
    </cdr:to>
    <cdr:sp macro="" textlink="">
      <cdr:nvSpPr>
        <cdr:cNvPr id="12" name="TextBox 1">
          <a:extLst xmlns:a="http://schemas.openxmlformats.org/drawingml/2006/main">
            <a:ext uri="{FF2B5EF4-FFF2-40B4-BE49-F238E27FC236}">
              <a16:creationId xmlns:a16="http://schemas.microsoft.com/office/drawing/2014/main" id="{DB1C1715-DEF1-4046-BA28-1E2FE629A532}"/>
            </a:ext>
          </a:extLst>
        </cdr:cNvPr>
        <cdr:cNvSpPr txBox="1"/>
      </cdr:nvSpPr>
      <cdr:spPr>
        <a:xfrm xmlns:a="http://schemas.openxmlformats.org/drawingml/2006/main">
          <a:off x="3244519" y="2135078"/>
          <a:ext cx="2137105" cy="2933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600"/>
            </a:lnSpc>
          </a:pPr>
          <a:r>
            <a:rPr lang="en-US" sz="1600" b="1">
              <a:solidFill>
                <a:srgbClr val="B57A0F"/>
              </a:solidFill>
              <a:latin typeface="Arial" panose="020B0604020202020204" pitchFamily="34" charset="0"/>
              <a:cs typeface="Arial" panose="020B0604020202020204" pitchFamily="34" charset="0"/>
            </a:rPr>
            <a:t>Top tax</a:t>
          </a:r>
          <a:r>
            <a:rPr lang="en-US" sz="1600" b="1" baseline="0">
              <a:solidFill>
                <a:srgbClr val="B57A0F"/>
              </a:solidFill>
              <a:latin typeface="Arial" panose="020B0604020202020204" pitchFamily="34" charset="0"/>
              <a:cs typeface="Arial" panose="020B0604020202020204" pitchFamily="34" charset="0"/>
            </a:rPr>
            <a:t> rate </a:t>
          </a:r>
          <a:r>
            <a:rPr lang="en-US" sz="1200" b="1" baseline="0">
              <a:solidFill>
                <a:srgbClr val="B57A0F"/>
              </a:solidFill>
              <a:latin typeface="Arial" panose="020B0604020202020204" pitchFamily="34" charset="0"/>
              <a:cs typeface="Arial" panose="020B0604020202020204" pitchFamily="34" charset="0"/>
            </a:rPr>
            <a:t>(left axis)</a:t>
          </a:r>
          <a:endParaRPr lang="en-US" sz="1600" b="1">
            <a:solidFill>
              <a:srgbClr val="B57A0F"/>
            </a:solidFill>
            <a:latin typeface="Arial" panose="020B0604020202020204" pitchFamily="34" charset="0"/>
            <a:cs typeface="Arial" panose="020B0604020202020204" pitchFamily="34" charset="0"/>
          </a:endParaRPr>
        </a:p>
      </cdr:txBody>
    </cdr:sp>
  </cdr:relSizeAnchor>
</c:userShapes>
</file>

<file path=xl/drawings/drawing36.xml><?xml version="1.0" encoding="utf-8"?>
<xdr:wsDr xmlns:xdr="http://schemas.openxmlformats.org/drawingml/2006/spreadsheetDrawing" xmlns:a="http://schemas.openxmlformats.org/drawingml/2006/main">
  <xdr:twoCellAnchor>
    <xdr:from>
      <xdr:col>11</xdr:col>
      <xdr:colOff>212911</xdr:colOff>
      <xdr:row>11</xdr:row>
      <xdr:rowOff>123266</xdr:rowOff>
    </xdr:from>
    <xdr:to>
      <xdr:col>20</xdr:col>
      <xdr:colOff>381000</xdr:colOff>
      <xdr:row>32</xdr:row>
      <xdr:rowOff>123267</xdr:rowOff>
    </xdr:to>
    <xdr:graphicFrame macro="">
      <xdr:nvGraphicFramePr>
        <xdr:cNvPr id="3" name="Chart 2">
          <a:extLst>
            <a:ext uri="{FF2B5EF4-FFF2-40B4-BE49-F238E27FC236}">
              <a16:creationId xmlns:a16="http://schemas.microsoft.com/office/drawing/2014/main" id="{563986A6-F83A-4D60-B2D5-0D1402697A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67238</xdr:colOff>
      <xdr:row>11</xdr:row>
      <xdr:rowOff>22413</xdr:rowOff>
    </xdr:from>
    <xdr:to>
      <xdr:col>10</xdr:col>
      <xdr:colOff>100855</xdr:colOff>
      <xdr:row>32</xdr:row>
      <xdr:rowOff>22414</xdr:rowOff>
    </xdr:to>
    <xdr:graphicFrame macro="">
      <xdr:nvGraphicFramePr>
        <xdr:cNvPr id="4" name="Chart 3">
          <a:extLst>
            <a:ext uri="{FF2B5EF4-FFF2-40B4-BE49-F238E27FC236}">
              <a16:creationId xmlns:a16="http://schemas.microsoft.com/office/drawing/2014/main" id="{EF7118D9-BFE4-4959-8F57-BC658B808F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c:userShapes xmlns:c="http://schemas.openxmlformats.org/drawingml/2006/chart">
  <cdr:relSizeAnchor xmlns:cdr="http://schemas.openxmlformats.org/drawingml/2006/chartDrawing">
    <cdr:from>
      <cdr:x>0.58606</cdr:x>
      <cdr:y>0.56091</cdr:y>
    </cdr:from>
    <cdr:to>
      <cdr:x>0.99739</cdr:x>
      <cdr:y>0.77591</cdr:y>
    </cdr:to>
    <cdr:sp macro="" textlink="">
      <cdr:nvSpPr>
        <cdr:cNvPr id="9" name="TextBox 1">
          <a:extLst xmlns:a="http://schemas.openxmlformats.org/drawingml/2006/main">
            <a:ext uri="{FF2B5EF4-FFF2-40B4-BE49-F238E27FC236}">
              <a16:creationId xmlns:a16="http://schemas.microsoft.com/office/drawing/2014/main" id="{3DD8D46D-9A6B-4F3A-B422-A2717F264A21}"/>
            </a:ext>
          </a:extLst>
        </cdr:cNvPr>
        <cdr:cNvSpPr txBox="1"/>
      </cdr:nvSpPr>
      <cdr:spPr>
        <a:xfrm xmlns:a="http://schemas.openxmlformats.org/drawingml/2006/main">
          <a:off x="3014383" y="2243940"/>
          <a:ext cx="2115713" cy="86010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300"/>
            </a:lnSpc>
          </a:pPr>
          <a:r>
            <a:rPr lang="en-US" sz="1400" b="1">
              <a:solidFill>
                <a:srgbClr val="A03A49"/>
              </a:solidFill>
              <a:effectLst/>
              <a:latin typeface="Arial" panose="020B0604020202020204" pitchFamily="34" charset="0"/>
              <a:ea typeface="+mn-ea"/>
              <a:cs typeface="Arial" panose="020B0604020202020204" pitchFamily="34" charset="0"/>
            </a:rPr>
            <a:t>+100% tax, slope=</a:t>
          </a:r>
          <a:r>
            <a:rPr lang="en-US" sz="1400" b="1" baseline="0">
              <a:solidFill>
                <a:srgbClr val="A03A49"/>
              </a:solidFill>
              <a:effectLst/>
              <a:latin typeface="Arial" panose="020B0604020202020204" pitchFamily="34" charset="0"/>
              <a:ea typeface="+mn-ea"/>
              <a:cs typeface="Arial" panose="020B0604020202020204" pitchFamily="34" charset="0"/>
            </a:rPr>
            <a:t>0.7 slope decreases      despite no change in </a:t>
          </a:r>
          <a:r>
            <a:rPr lang="en-US" sz="1400" b="1">
              <a:solidFill>
                <a:srgbClr val="A03A49"/>
              </a:solidFill>
              <a:effectLst/>
              <a:latin typeface="Arial" panose="020B0604020202020204" pitchFamily="34" charset="0"/>
              <a:ea typeface="+mn-ea"/>
              <a:cs typeface="Arial" panose="020B0604020202020204" pitchFamily="34" charset="0"/>
            </a:rPr>
            <a:t>progressivity</a:t>
          </a:r>
          <a:r>
            <a:rPr lang="en-US" sz="1400" b="1" baseline="0">
              <a:solidFill>
                <a:srgbClr val="A03A49"/>
              </a:solidFill>
              <a:effectLst/>
              <a:latin typeface="Arial" panose="020B0604020202020204" pitchFamily="34" charset="0"/>
              <a:ea typeface="+mn-ea"/>
              <a:cs typeface="Arial" panose="020B0604020202020204" pitchFamily="34" charset="0"/>
            </a:rPr>
            <a:t> from proportional changes</a:t>
          </a:r>
          <a:endParaRPr lang="en-US" sz="1400" b="1">
            <a:solidFill>
              <a:srgbClr val="A03A49"/>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0.39043</cdr:x>
      <cdr:y>0.2426</cdr:y>
    </cdr:from>
    <cdr:to>
      <cdr:x>0.65779</cdr:x>
      <cdr:y>0.30851</cdr:y>
    </cdr:to>
    <cdr:sp macro="" textlink="">
      <cdr:nvSpPr>
        <cdr:cNvPr id="10" name="TextBox 1">
          <a:extLst xmlns:a="http://schemas.openxmlformats.org/drawingml/2006/main">
            <a:ext uri="{FF2B5EF4-FFF2-40B4-BE49-F238E27FC236}">
              <a16:creationId xmlns:a16="http://schemas.microsoft.com/office/drawing/2014/main" id="{EEFC3946-31B0-4B0E-8EF1-05D7B4A4B0DA}"/>
            </a:ext>
          </a:extLst>
        </cdr:cNvPr>
        <cdr:cNvSpPr txBox="1"/>
      </cdr:nvSpPr>
      <cdr:spPr>
        <a:xfrm xmlns:a="http://schemas.openxmlformats.org/drawingml/2006/main">
          <a:off x="2390798" y="1092842"/>
          <a:ext cx="1637166" cy="29690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200"/>
            </a:lnSpc>
          </a:pPr>
          <a:endParaRPr lang="en-US" sz="1200" b="1">
            <a:solidFill>
              <a:srgbClr val="792B36"/>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0.25156</cdr:x>
      <cdr:y>0.42016</cdr:y>
    </cdr:from>
    <cdr:to>
      <cdr:x>0.58532</cdr:x>
      <cdr:y>0.52106</cdr:y>
    </cdr:to>
    <cdr:sp macro="" textlink="">
      <cdr:nvSpPr>
        <cdr:cNvPr id="6" name="TextBox 1">
          <a:extLst xmlns:a="http://schemas.openxmlformats.org/drawingml/2006/main">
            <a:ext uri="{FF2B5EF4-FFF2-40B4-BE49-F238E27FC236}">
              <a16:creationId xmlns:a16="http://schemas.microsoft.com/office/drawing/2014/main" id="{1503BB0F-CA68-40F5-9E5E-C9DD3797E3BA}"/>
            </a:ext>
          </a:extLst>
        </cdr:cNvPr>
        <cdr:cNvSpPr txBox="1"/>
      </cdr:nvSpPr>
      <cdr:spPr>
        <a:xfrm xmlns:a="http://schemas.openxmlformats.org/drawingml/2006/main">
          <a:off x="1293911" y="1680856"/>
          <a:ext cx="1716695" cy="403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200"/>
            </a:lnSpc>
          </a:pPr>
          <a:r>
            <a:rPr lang="en-US" sz="1400" b="1">
              <a:solidFill>
                <a:schemeClr val="tx1">
                  <a:lumMod val="65000"/>
                  <a:lumOff val="35000"/>
                </a:schemeClr>
              </a:solidFill>
              <a:effectLst/>
              <a:latin typeface="Arial" panose="020B0604020202020204" pitchFamily="34" charset="0"/>
              <a:ea typeface="+mn-ea"/>
              <a:cs typeface="Arial" panose="020B0604020202020204" pitchFamily="34" charset="0"/>
            </a:rPr>
            <a:t>Initial slope=0.9</a:t>
          </a:r>
          <a:endParaRPr lang="en-US" sz="1400" b="1">
            <a:solidFill>
              <a:schemeClr val="tx1">
                <a:lumMod val="65000"/>
                <a:lumOff val="35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0.55092</cdr:x>
      <cdr:y>0.5098</cdr:y>
    </cdr:from>
    <cdr:to>
      <cdr:x>0.62662</cdr:x>
      <cdr:y>0.54902</cdr:y>
    </cdr:to>
    <cdr:cxnSp macro="">
      <cdr:nvCxnSpPr>
        <cdr:cNvPr id="5" name="Straight Arrow Connector 4">
          <a:extLst xmlns:a="http://schemas.openxmlformats.org/drawingml/2006/main">
            <a:ext uri="{FF2B5EF4-FFF2-40B4-BE49-F238E27FC236}">
              <a16:creationId xmlns:a16="http://schemas.microsoft.com/office/drawing/2014/main" id="{A4FED366-28E6-4663-8034-1DEDBA48BCD8}"/>
            </a:ext>
          </a:extLst>
        </cdr:cNvPr>
        <cdr:cNvCxnSpPr/>
      </cdr:nvCxnSpPr>
      <cdr:spPr>
        <a:xfrm xmlns:a="http://schemas.openxmlformats.org/drawingml/2006/main">
          <a:off x="2833659" y="2039471"/>
          <a:ext cx="389349" cy="156882"/>
        </a:xfrm>
        <a:prstGeom xmlns:a="http://schemas.openxmlformats.org/drawingml/2006/main" prst="straightConnector1">
          <a:avLst/>
        </a:prstGeom>
        <a:ln xmlns:a="http://schemas.openxmlformats.org/drawingml/2006/main" w="19050">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8.xml><?xml version="1.0" encoding="utf-8"?>
<c:userShapes xmlns:c="http://schemas.openxmlformats.org/drawingml/2006/chart">
  <cdr:relSizeAnchor xmlns:cdr="http://schemas.openxmlformats.org/drawingml/2006/chartDrawing">
    <cdr:from>
      <cdr:x>0.19328</cdr:x>
      <cdr:y>0.14635</cdr:y>
    </cdr:from>
    <cdr:to>
      <cdr:x>0.60129</cdr:x>
      <cdr:y>0.36135</cdr:y>
    </cdr:to>
    <cdr:sp macro="" textlink="">
      <cdr:nvSpPr>
        <cdr:cNvPr id="9" name="TextBox 1">
          <a:extLst xmlns:a="http://schemas.openxmlformats.org/drawingml/2006/main">
            <a:ext uri="{FF2B5EF4-FFF2-40B4-BE49-F238E27FC236}">
              <a16:creationId xmlns:a16="http://schemas.microsoft.com/office/drawing/2014/main" id="{3DD8D46D-9A6B-4F3A-B422-A2717F264A21}"/>
            </a:ext>
          </a:extLst>
        </cdr:cNvPr>
        <cdr:cNvSpPr txBox="1"/>
      </cdr:nvSpPr>
      <cdr:spPr>
        <a:xfrm xmlns:a="http://schemas.openxmlformats.org/drawingml/2006/main">
          <a:off x="1030940" y="585473"/>
          <a:ext cx="2176340" cy="86010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300"/>
            </a:lnSpc>
          </a:pPr>
          <a:r>
            <a:rPr lang="en-US" sz="1400" b="1">
              <a:solidFill>
                <a:srgbClr val="1F7B91"/>
              </a:solidFill>
              <a:effectLst/>
              <a:latin typeface="Arial" panose="020B0604020202020204" pitchFamily="34" charset="0"/>
              <a:ea typeface="+mn-ea"/>
              <a:cs typeface="Arial" panose="020B0604020202020204" pitchFamily="34" charset="0"/>
            </a:rPr>
            <a:t>+100% tax, slope=</a:t>
          </a:r>
          <a:r>
            <a:rPr lang="en-US" sz="1400" b="1" baseline="0">
              <a:solidFill>
                <a:srgbClr val="1F7B91"/>
              </a:solidFill>
              <a:effectLst/>
              <a:latin typeface="Arial" panose="020B0604020202020204" pitchFamily="34" charset="0"/>
              <a:ea typeface="+mn-ea"/>
              <a:cs typeface="Arial" panose="020B0604020202020204" pitchFamily="34" charset="0"/>
            </a:rPr>
            <a:t>1.48 slope unchanged      because no change in </a:t>
          </a:r>
          <a:r>
            <a:rPr lang="en-US" sz="1400" b="1">
              <a:solidFill>
                <a:srgbClr val="1F7B91"/>
              </a:solidFill>
              <a:effectLst/>
              <a:latin typeface="Arial" panose="020B0604020202020204" pitchFamily="34" charset="0"/>
              <a:ea typeface="+mn-ea"/>
              <a:cs typeface="Arial" panose="020B0604020202020204" pitchFamily="34" charset="0"/>
            </a:rPr>
            <a:t>progressivity</a:t>
          </a:r>
          <a:r>
            <a:rPr lang="en-US" sz="1400" b="1" baseline="0">
              <a:solidFill>
                <a:srgbClr val="1F7B91"/>
              </a:solidFill>
              <a:effectLst/>
              <a:latin typeface="Arial" panose="020B0604020202020204" pitchFamily="34" charset="0"/>
              <a:ea typeface="+mn-ea"/>
              <a:cs typeface="Arial" panose="020B0604020202020204" pitchFamily="34" charset="0"/>
            </a:rPr>
            <a:t> from proportional changes</a:t>
          </a:r>
          <a:endParaRPr lang="en-US" sz="1400" b="1">
            <a:solidFill>
              <a:srgbClr val="1F7B9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0.39043</cdr:x>
      <cdr:y>0.2426</cdr:y>
    </cdr:from>
    <cdr:to>
      <cdr:x>0.65779</cdr:x>
      <cdr:y>0.30851</cdr:y>
    </cdr:to>
    <cdr:sp macro="" textlink="">
      <cdr:nvSpPr>
        <cdr:cNvPr id="10" name="TextBox 1">
          <a:extLst xmlns:a="http://schemas.openxmlformats.org/drawingml/2006/main">
            <a:ext uri="{FF2B5EF4-FFF2-40B4-BE49-F238E27FC236}">
              <a16:creationId xmlns:a16="http://schemas.microsoft.com/office/drawing/2014/main" id="{EEFC3946-31B0-4B0E-8EF1-05D7B4A4B0DA}"/>
            </a:ext>
          </a:extLst>
        </cdr:cNvPr>
        <cdr:cNvSpPr txBox="1"/>
      </cdr:nvSpPr>
      <cdr:spPr>
        <a:xfrm xmlns:a="http://schemas.openxmlformats.org/drawingml/2006/main">
          <a:off x="2390798" y="1092842"/>
          <a:ext cx="1637166" cy="29690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200"/>
            </a:lnSpc>
          </a:pPr>
          <a:endParaRPr lang="en-US" sz="1200" b="1">
            <a:solidFill>
              <a:srgbClr val="792B36"/>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0.5973</cdr:x>
      <cdr:y>0.48739</cdr:y>
    </cdr:from>
    <cdr:to>
      <cdr:x>0.93106</cdr:x>
      <cdr:y>0.58828</cdr:y>
    </cdr:to>
    <cdr:sp macro="" textlink="">
      <cdr:nvSpPr>
        <cdr:cNvPr id="6" name="TextBox 1">
          <a:extLst xmlns:a="http://schemas.openxmlformats.org/drawingml/2006/main">
            <a:ext uri="{FF2B5EF4-FFF2-40B4-BE49-F238E27FC236}">
              <a16:creationId xmlns:a16="http://schemas.microsoft.com/office/drawing/2014/main" id="{1503BB0F-CA68-40F5-9E5E-C9DD3797E3BA}"/>
            </a:ext>
          </a:extLst>
        </cdr:cNvPr>
        <cdr:cNvSpPr txBox="1"/>
      </cdr:nvSpPr>
      <cdr:spPr>
        <a:xfrm xmlns:a="http://schemas.openxmlformats.org/drawingml/2006/main">
          <a:off x="3045415" y="1949818"/>
          <a:ext cx="1701734" cy="40361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200"/>
            </a:lnSpc>
          </a:pPr>
          <a:r>
            <a:rPr lang="en-US" sz="1400" b="1">
              <a:solidFill>
                <a:schemeClr val="tx1">
                  <a:lumMod val="65000"/>
                  <a:lumOff val="35000"/>
                </a:schemeClr>
              </a:solidFill>
              <a:effectLst/>
              <a:latin typeface="Arial" panose="020B0604020202020204" pitchFamily="34" charset="0"/>
              <a:ea typeface="+mn-ea"/>
              <a:cs typeface="Arial" panose="020B0604020202020204" pitchFamily="34" charset="0"/>
            </a:rPr>
            <a:t>Initial slope=1.48</a:t>
          </a:r>
          <a:endParaRPr lang="en-US" sz="1400" b="1">
            <a:solidFill>
              <a:schemeClr val="tx1">
                <a:lumMod val="65000"/>
                <a:lumOff val="35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0.58107</cdr:x>
      <cdr:y>0.38931</cdr:y>
    </cdr:from>
    <cdr:to>
      <cdr:x>0.582</cdr:x>
      <cdr:y>0.49146</cdr:y>
    </cdr:to>
    <cdr:cxnSp macro="">
      <cdr:nvCxnSpPr>
        <cdr:cNvPr id="5" name="Straight Arrow Connector 4">
          <a:extLst xmlns:a="http://schemas.openxmlformats.org/drawingml/2006/main">
            <a:ext uri="{FF2B5EF4-FFF2-40B4-BE49-F238E27FC236}">
              <a16:creationId xmlns:a16="http://schemas.microsoft.com/office/drawing/2014/main" id="{D4178036-14C5-4DE4-B36E-10202D9B4647}"/>
            </a:ext>
          </a:extLst>
        </cdr:cNvPr>
        <cdr:cNvCxnSpPr/>
      </cdr:nvCxnSpPr>
      <cdr:spPr>
        <a:xfrm xmlns:a="http://schemas.openxmlformats.org/drawingml/2006/main" flipH="1" flipV="1">
          <a:off x="2969525" y="1557424"/>
          <a:ext cx="4752" cy="408651"/>
        </a:xfrm>
        <a:prstGeom xmlns:a="http://schemas.openxmlformats.org/drawingml/2006/main" prst="straightConnector1">
          <a:avLst/>
        </a:prstGeom>
        <a:ln xmlns:a="http://schemas.openxmlformats.org/drawingml/2006/main" w="19050">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9.xml><?xml version="1.0" encoding="utf-8"?>
<xdr:wsDr xmlns:xdr="http://schemas.openxmlformats.org/drawingml/2006/spreadsheetDrawing" xmlns:a="http://schemas.openxmlformats.org/drawingml/2006/main">
  <xdr:twoCellAnchor>
    <xdr:from>
      <xdr:col>0</xdr:col>
      <xdr:colOff>168088</xdr:colOff>
      <xdr:row>1</xdr:row>
      <xdr:rowOff>156881</xdr:rowOff>
    </xdr:from>
    <xdr:to>
      <xdr:col>7</xdr:col>
      <xdr:colOff>215713</xdr:colOff>
      <xdr:row>24</xdr:row>
      <xdr:rowOff>71156</xdr:rowOff>
    </xdr:to>
    <xdr:graphicFrame macro="">
      <xdr:nvGraphicFramePr>
        <xdr:cNvPr id="3" name="Chart 2">
          <a:extLst>
            <a:ext uri="{FF2B5EF4-FFF2-40B4-BE49-F238E27FC236}">
              <a16:creationId xmlns:a16="http://schemas.microsoft.com/office/drawing/2014/main" id="{5D4A987A-64A2-47BE-8994-5638AF02DD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224118</xdr:colOff>
      <xdr:row>1</xdr:row>
      <xdr:rowOff>89648</xdr:rowOff>
    </xdr:from>
    <xdr:to>
      <xdr:col>10</xdr:col>
      <xdr:colOff>381000</xdr:colOff>
      <xdr:row>26</xdr:row>
      <xdr:rowOff>112059</xdr:rowOff>
    </xdr:to>
    <xdr:graphicFrame macro="">
      <xdr:nvGraphicFramePr>
        <xdr:cNvPr id="2" name="Chart 1">
          <a:extLst>
            <a:ext uri="{FF2B5EF4-FFF2-40B4-BE49-F238E27FC236}">
              <a16:creationId xmlns:a16="http://schemas.microsoft.com/office/drawing/2014/main" id="{D204CD1E-B0A0-4D42-AE1A-5EEE91560A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xdr:row>
      <xdr:rowOff>0</xdr:rowOff>
    </xdr:from>
    <xdr:to>
      <xdr:col>22</xdr:col>
      <xdr:colOff>414617</xdr:colOff>
      <xdr:row>27</xdr:row>
      <xdr:rowOff>22411</xdr:rowOff>
    </xdr:to>
    <xdr:graphicFrame macro="">
      <xdr:nvGraphicFramePr>
        <xdr:cNvPr id="3" name="Chart 2">
          <a:extLst>
            <a:ext uri="{FF2B5EF4-FFF2-40B4-BE49-F238E27FC236}">
              <a16:creationId xmlns:a16="http://schemas.microsoft.com/office/drawing/2014/main" id="{FF14DC12-F5B9-4E23-9C3E-2305C06E35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c:userShapes xmlns:c="http://schemas.openxmlformats.org/drawingml/2006/chart">
  <cdr:relSizeAnchor xmlns:cdr="http://schemas.openxmlformats.org/drawingml/2006/chartDrawing">
    <cdr:from>
      <cdr:x>0.18926</cdr:x>
      <cdr:y>0.30025</cdr:y>
    </cdr:from>
    <cdr:to>
      <cdr:x>0.64008</cdr:x>
      <cdr:y>0.37276</cdr:y>
    </cdr:to>
    <cdr:sp macro="" textlink="">
      <cdr:nvSpPr>
        <cdr:cNvPr id="2" name="TextBox 1"/>
        <cdr:cNvSpPr txBox="1"/>
      </cdr:nvSpPr>
      <cdr:spPr>
        <a:xfrm xmlns:a="http://schemas.openxmlformats.org/drawingml/2006/main">
          <a:off x="997322" y="1289808"/>
          <a:ext cx="2375625" cy="3114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500"/>
            </a:lnSpc>
          </a:pPr>
          <a:r>
            <a:rPr lang="en-US" sz="1600" b="1">
              <a:solidFill>
                <a:srgbClr val="1F7B91"/>
              </a:solidFill>
              <a:latin typeface="Arial" panose="020B0604020202020204" pitchFamily="34" charset="0"/>
              <a:cs typeface="Arial" panose="020B0604020202020204" pitchFamily="34" charset="0"/>
            </a:rPr>
            <a:t>CBO </a:t>
          </a:r>
          <a:r>
            <a:rPr lang="en-US" sz="1400" b="1">
              <a:solidFill>
                <a:srgbClr val="1F7B91"/>
              </a:solidFill>
              <a:latin typeface="Arial" panose="020B0604020202020204" pitchFamily="34" charset="0"/>
              <a:cs typeface="Arial" panose="020B0604020202020204" pitchFamily="34" charset="0"/>
            </a:rPr>
            <a:t>+ State/Local</a:t>
          </a:r>
          <a:r>
            <a:rPr lang="en-US" sz="1400" b="1" baseline="0">
              <a:solidFill>
                <a:srgbClr val="1F7B91"/>
              </a:solidFill>
              <a:latin typeface="Arial" panose="020B0604020202020204" pitchFamily="34" charset="0"/>
              <a:cs typeface="Arial" panose="020B0604020202020204" pitchFamily="34" charset="0"/>
            </a:rPr>
            <a:t> (ITEP)</a:t>
          </a:r>
          <a:endParaRPr lang="en-US" sz="1600" b="1">
            <a:solidFill>
              <a:srgbClr val="1F7B9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0.3849</cdr:x>
      <cdr:y>0.66149</cdr:y>
    </cdr:from>
    <cdr:to>
      <cdr:x>0.8734</cdr:x>
      <cdr:y>0.71997</cdr:y>
    </cdr:to>
    <cdr:sp macro="" textlink="">
      <cdr:nvSpPr>
        <cdr:cNvPr id="4" name="TextBox 1"/>
        <cdr:cNvSpPr txBox="1"/>
      </cdr:nvSpPr>
      <cdr:spPr>
        <a:xfrm xmlns:a="http://schemas.openxmlformats.org/drawingml/2006/main">
          <a:off x="2028269" y="2841600"/>
          <a:ext cx="2574183" cy="2512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500"/>
            </a:lnSpc>
          </a:pPr>
          <a:r>
            <a:rPr lang="en-US" sz="1800" b="1">
              <a:solidFill>
                <a:srgbClr val="792B36"/>
              </a:solidFill>
              <a:latin typeface="Arial" panose="020B0604020202020204" pitchFamily="34" charset="0"/>
              <a:cs typeface="Arial" panose="020B0604020202020204" pitchFamily="34" charset="0"/>
            </a:rPr>
            <a:t>CBO </a:t>
          </a:r>
          <a:r>
            <a:rPr lang="en-US" sz="1600" b="1">
              <a:solidFill>
                <a:srgbClr val="792B36"/>
              </a:solidFill>
              <a:latin typeface="Arial" panose="020B0604020202020204" pitchFamily="34" charset="0"/>
              <a:cs typeface="Arial" panose="020B0604020202020204" pitchFamily="34" charset="0"/>
            </a:rPr>
            <a:t>(federal</a:t>
          </a:r>
          <a:r>
            <a:rPr lang="en-US" sz="1600" b="1" baseline="0">
              <a:solidFill>
                <a:srgbClr val="792B36"/>
              </a:solidFill>
              <a:latin typeface="Arial" panose="020B0604020202020204" pitchFamily="34" charset="0"/>
              <a:cs typeface="Arial" panose="020B0604020202020204" pitchFamily="34" charset="0"/>
            </a:rPr>
            <a:t> only)</a:t>
          </a:r>
          <a:endParaRPr lang="en-US" sz="1800" b="1">
            <a:solidFill>
              <a:srgbClr val="792B36"/>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0.08705</cdr:x>
      <cdr:y>0.86775</cdr:y>
    </cdr:from>
    <cdr:to>
      <cdr:x>0.98724</cdr:x>
      <cdr:y>0.92318</cdr:y>
    </cdr:to>
    <cdr:sp macro="" textlink="">
      <cdr:nvSpPr>
        <cdr:cNvPr id="3" name="TextBox 2"/>
        <cdr:cNvSpPr txBox="1"/>
      </cdr:nvSpPr>
      <cdr:spPr>
        <a:xfrm xmlns:a="http://schemas.openxmlformats.org/drawingml/2006/main">
          <a:off x="458721" y="3727647"/>
          <a:ext cx="4743610" cy="238115"/>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en-US" sz="1100"/>
            <a:t> </a:t>
          </a:r>
          <a:r>
            <a:rPr lang="en-US" sz="1100" baseline="0"/>
            <a:t>      </a:t>
          </a:r>
          <a:r>
            <a:rPr lang="en-US" sz="1100" baseline="0">
              <a:latin typeface="Arial" panose="020B0604020202020204" pitchFamily="34" charset="0"/>
              <a:cs typeface="Arial" panose="020B0604020202020204" pitchFamily="34" charset="0"/>
            </a:rPr>
            <a:t>Bottom              2nd               3rd                    4th                   Top</a:t>
          </a:r>
        </a:p>
        <a:p xmlns:a="http://schemas.openxmlformats.org/drawingml/2006/main">
          <a:r>
            <a:rPr lang="en-US" sz="1100" baseline="0">
              <a:latin typeface="Arial" panose="020B0604020202020204" pitchFamily="34" charset="0"/>
              <a:cs typeface="Arial" panose="020B0604020202020204" pitchFamily="34" charset="0"/>
            </a:rPr>
            <a:t> </a:t>
          </a:r>
          <a:endParaRPr lang="en-US" sz="11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0.82934</cdr:x>
      <cdr:y>0.02608</cdr:y>
    </cdr:from>
    <cdr:to>
      <cdr:x>0.98452</cdr:x>
      <cdr:y>0.08703</cdr:y>
    </cdr:to>
    <cdr:sp macro="" textlink="">
      <cdr:nvSpPr>
        <cdr:cNvPr id="6" name="TextBox 1"/>
        <cdr:cNvSpPr txBox="1"/>
      </cdr:nvSpPr>
      <cdr:spPr>
        <a:xfrm xmlns:a="http://schemas.openxmlformats.org/drawingml/2006/main">
          <a:off x="4370239" y="112052"/>
          <a:ext cx="817731" cy="26182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200"/>
            </a:lnSpc>
          </a:pPr>
          <a:r>
            <a:rPr lang="en-US" sz="1200" b="1">
              <a:solidFill>
                <a:schemeClr val="tx1">
                  <a:lumMod val="75000"/>
                  <a:lumOff val="25000"/>
                </a:schemeClr>
              </a:solidFill>
              <a:latin typeface="Arial" panose="020B0604020202020204" pitchFamily="34" charset="0"/>
              <a:cs typeface="Arial" panose="020B0604020202020204" pitchFamily="34" charset="0"/>
            </a:rPr>
            <a:t>Top 1%</a:t>
          </a:r>
        </a:p>
      </cdr:txBody>
    </cdr:sp>
  </cdr:relSizeAnchor>
</c:userShapes>
</file>

<file path=xl/drawings/drawing41.xml><?xml version="1.0" encoding="utf-8"?>
<xdr:wsDr xmlns:xdr="http://schemas.openxmlformats.org/drawingml/2006/spreadsheetDrawing" xmlns:a="http://schemas.openxmlformats.org/drawingml/2006/main">
  <xdr:twoCellAnchor>
    <xdr:from>
      <xdr:col>5</xdr:col>
      <xdr:colOff>235325</xdr:colOff>
      <xdr:row>2</xdr:row>
      <xdr:rowOff>1</xdr:rowOff>
    </xdr:from>
    <xdr:to>
      <xdr:col>14</xdr:col>
      <xdr:colOff>854451</xdr:colOff>
      <xdr:row>24</xdr:row>
      <xdr:rowOff>104776</xdr:rowOff>
    </xdr:to>
    <xdr:graphicFrame macro="">
      <xdr:nvGraphicFramePr>
        <xdr:cNvPr id="5" name="Chart 4">
          <a:extLst>
            <a:ext uri="{FF2B5EF4-FFF2-40B4-BE49-F238E27FC236}">
              <a16:creationId xmlns:a16="http://schemas.microsoft.com/office/drawing/2014/main" id="{47A8BA12-202A-4C9C-9004-4A1F60D5D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123264</xdr:colOff>
      <xdr:row>1</xdr:row>
      <xdr:rowOff>112059</xdr:rowOff>
    </xdr:from>
    <xdr:to>
      <xdr:col>5</xdr:col>
      <xdr:colOff>92450</xdr:colOff>
      <xdr:row>24</xdr:row>
      <xdr:rowOff>26334</xdr:rowOff>
    </xdr:to>
    <xdr:graphicFrame macro="">
      <xdr:nvGraphicFramePr>
        <xdr:cNvPr id="7" name="Chart 6">
          <a:extLst>
            <a:ext uri="{FF2B5EF4-FFF2-40B4-BE49-F238E27FC236}">
              <a16:creationId xmlns:a16="http://schemas.microsoft.com/office/drawing/2014/main" id="{0CDD6832-1B6E-4459-8829-18932EF500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26</xdr:row>
      <xdr:rowOff>0</xdr:rowOff>
    </xdr:from>
    <xdr:to>
      <xdr:col>4</xdr:col>
      <xdr:colOff>820833</xdr:colOff>
      <xdr:row>48</xdr:row>
      <xdr:rowOff>82363</xdr:rowOff>
    </xdr:to>
    <xdr:graphicFrame macro="">
      <xdr:nvGraphicFramePr>
        <xdr:cNvPr id="8" name="Chart 7">
          <a:extLst>
            <a:ext uri="{FF2B5EF4-FFF2-40B4-BE49-F238E27FC236}">
              <a16:creationId xmlns:a16="http://schemas.microsoft.com/office/drawing/2014/main" id="{8069A803-B41C-46DE-8722-4BD8901F04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145675</xdr:colOff>
      <xdr:row>26</xdr:row>
      <xdr:rowOff>22411</xdr:rowOff>
    </xdr:from>
    <xdr:to>
      <xdr:col>14</xdr:col>
      <xdr:colOff>764801</xdr:colOff>
      <xdr:row>48</xdr:row>
      <xdr:rowOff>104774</xdr:rowOff>
    </xdr:to>
    <xdr:graphicFrame macro="">
      <xdr:nvGraphicFramePr>
        <xdr:cNvPr id="9" name="Chart 8">
          <a:extLst>
            <a:ext uri="{FF2B5EF4-FFF2-40B4-BE49-F238E27FC236}">
              <a16:creationId xmlns:a16="http://schemas.microsoft.com/office/drawing/2014/main" id="{EDAAA4AE-929F-4D9A-B446-87B1E7D677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2.xml><?xml version="1.0" encoding="utf-8"?>
<c:userShapes xmlns:c="http://schemas.openxmlformats.org/drawingml/2006/chart">
  <cdr:relSizeAnchor xmlns:cdr="http://schemas.openxmlformats.org/drawingml/2006/chartDrawing">
    <cdr:from>
      <cdr:x>0.22966</cdr:x>
      <cdr:y>0.59502</cdr:y>
    </cdr:from>
    <cdr:to>
      <cdr:x>0.42743</cdr:x>
      <cdr:y>0.66753</cdr:y>
    </cdr:to>
    <cdr:sp macro="" textlink="">
      <cdr:nvSpPr>
        <cdr:cNvPr id="2" name="TextBox 1"/>
        <cdr:cNvSpPr txBox="1"/>
      </cdr:nvSpPr>
      <cdr:spPr>
        <a:xfrm xmlns:a="http://schemas.openxmlformats.org/drawingml/2006/main">
          <a:off x="1210211" y="2556072"/>
          <a:ext cx="1042163" cy="31148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500"/>
            </a:lnSpc>
          </a:pPr>
          <a:r>
            <a:rPr lang="en-US" sz="1600" b="1">
              <a:solidFill>
                <a:srgbClr val="1F7B91"/>
              </a:solidFill>
              <a:latin typeface="Arial" panose="020B0604020202020204" pitchFamily="34" charset="0"/>
              <a:cs typeface="Arial" panose="020B0604020202020204" pitchFamily="34" charset="0"/>
            </a:rPr>
            <a:t>CBO+SL</a:t>
          </a:r>
        </a:p>
      </cdr:txBody>
    </cdr:sp>
  </cdr:relSizeAnchor>
  <cdr:relSizeAnchor xmlns:cdr="http://schemas.openxmlformats.org/drawingml/2006/chartDrawing">
    <cdr:from>
      <cdr:x>0.08705</cdr:x>
      <cdr:y>0.86775</cdr:y>
    </cdr:from>
    <cdr:to>
      <cdr:x>0.98724</cdr:x>
      <cdr:y>0.92318</cdr:y>
    </cdr:to>
    <cdr:sp macro="" textlink="">
      <cdr:nvSpPr>
        <cdr:cNvPr id="3" name="TextBox 2"/>
        <cdr:cNvSpPr txBox="1"/>
      </cdr:nvSpPr>
      <cdr:spPr>
        <a:xfrm xmlns:a="http://schemas.openxmlformats.org/drawingml/2006/main">
          <a:off x="458721" y="3727647"/>
          <a:ext cx="4743610" cy="238115"/>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en-US" sz="1100"/>
            <a:t> </a:t>
          </a:r>
          <a:r>
            <a:rPr lang="en-US" sz="1100" baseline="0"/>
            <a:t>      </a:t>
          </a:r>
          <a:r>
            <a:rPr lang="en-US" sz="1100" baseline="0">
              <a:latin typeface="Arial" panose="020B0604020202020204" pitchFamily="34" charset="0"/>
              <a:cs typeface="Arial" panose="020B0604020202020204" pitchFamily="34" charset="0"/>
            </a:rPr>
            <a:t>Bottom              2nd               3rd                    4th                   Top</a:t>
          </a:r>
        </a:p>
        <a:p xmlns:a="http://schemas.openxmlformats.org/drawingml/2006/main">
          <a:r>
            <a:rPr lang="en-US" sz="1100" baseline="0">
              <a:latin typeface="Arial" panose="020B0604020202020204" pitchFamily="34" charset="0"/>
              <a:cs typeface="Arial" panose="020B0604020202020204" pitchFamily="34" charset="0"/>
            </a:rPr>
            <a:t> </a:t>
          </a:r>
          <a:endParaRPr lang="en-US" sz="11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0.29003</cdr:x>
      <cdr:y>0.03079</cdr:y>
    </cdr:from>
    <cdr:to>
      <cdr:x>0.76555</cdr:x>
      <cdr:y>0.26929</cdr:y>
    </cdr:to>
    <cdr:sp macro="" textlink="">
      <cdr:nvSpPr>
        <cdr:cNvPr id="7" name="TextBox 1">
          <a:extLst xmlns:a="http://schemas.openxmlformats.org/drawingml/2006/main">
            <a:ext uri="{FF2B5EF4-FFF2-40B4-BE49-F238E27FC236}">
              <a16:creationId xmlns:a16="http://schemas.microsoft.com/office/drawing/2014/main" id="{025E041A-2995-4339-8880-59C02B3D7800}"/>
            </a:ext>
          </a:extLst>
        </cdr:cNvPr>
        <cdr:cNvSpPr txBox="1"/>
      </cdr:nvSpPr>
      <cdr:spPr>
        <a:xfrm xmlns:a="http://schemas.openxmlformats.org/drawingml/2006/main">
          <a:off x="1528325" y="132283"/>
          <a:ext cx="2505791" cy="1024525"/>
        </a:xfrm>
        <a:prstGeom xmlns:a="http://schemas.openxmlformats.org/drawingml/2006/main" prst="rect">
          <a:avLst/>
        </a:prstGeom>
      </cdr:spPr>
      <cdr:txBody>
        <a:bodyPr xmlns:a="http://schemas.openxmlformats.org/drawingml/2006/main" wrap="square" rtlCol="0"/>
        <a:lstStyle xmlns:a="http://schemas.openxmlformats.org/drawingml/2006/main">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xmlns:a="http://schemas.openxmlformats.org/drawingml/2006/main">
          <a:pPr algn="ctr">
            <a:lnSpc>
              <a:spcPts val="1600"/>
            </a:lnSpc>
          </a:pPr>
          <a:r>
            <a:rPr lang="en-US" sz="1600" b="1" dirty="0">
              <a:solidFill>
                <a:srgbClr val="B57A0F"/>
              </a:solidFill>
              <a:latin typeface="Arial" panose="020B0604020202020204" pitchFamily="34" charset="0"/>
              <a:cs typeface="Arial" panose="020B0604020202020204" pitchFamily="34" charset="0"/>
            </a:rPr>
            <a:t>2. Remove imputed retirement &amp; underreported income</a:t>
          </a:r>
        </a:p>
      </cdr:txBody>
    </cdr:sp>
  </cdr:relSizeAnchor>
  <cdr:relSizeAnchor xmlns:cdr="http://schemas.openxmlformats.org/drawingml/2006/chartDrawing">
    <cdr:from>
      <cdr:x>0.95287</cdr:x>
      <cdr:y>0.16703</cdr:y>
    </cdr:from>
    <cdr:to>
      <cdr:x>0.95481</cdr:x>
      <cdr:y>0.26086</cdr:y>
    </cdr:to>
    <cdr:cxnSp macro="">
      <cdr:nvCxnSpPr>
        <cdr:cNvPr id="8" name="Straight Arrow Connector 7">
          <a:extLst xmlns:a="http://schemas.openxmlformats.org/drawingml/2006/main">
            <a:ext uri="{FF2B5EF4-FFF2-40B4-BE49-F238E27FC236}">
              <a16:creationId xmlns:a16="http://schemas.microsoft.com/office/drawing/2014/main" id="{3815A054-A79C-4A82-AB0B-759C024357D0}"/>
            </a:ext>
          </a:extLst>
        </cdr:cNvPr>
        <cdr:cNvCxnSpPr>
          <a:cxnSpLocks xmlns:a="http://schemas.openxmlformats.org/drawingml/2006/main"/>
        </cdr:cNvCxnSpPr>
      </cdr:nvCxnSpPr>
      <cdr:spPr>
        <a:xfrm xmlns:a="http://schemas.openxmlformats.org/drawingml/2006/main" flipH="1" flipV="1">
          <a:off x="5021214" y="717524"/>
          <a:ext cx="10226" cy="403063"/>
        </a:xfrm>
        <a:prstGeom xmlns:a="http://schemas.openxmlformats.org/drawingml/2006/main" prst="straightConnector1">
          <a:avLst/>
        </a:prstGeom>
        <a:ln xmlns:a="http://schemas.openxmlformats.org/drawingml/2006/main" w="31750">
          <a:solidFill>
            <a:srgbClr val="D58F1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3.xml><?xml version="1.0" encoding="utf-8"?>
<c:userShapes xmlns:c="http://schemas.openxmlformats.org/drawingml/2006/chart">
  <cdr:relSizeAnchor xmlns:cdr="http://schemas.openxmlformats.org/drawingml/2006/chartDrawing">
    <cdr:from>
      <cdr:x>0.2169</cdr:x>
      <cdr:y>0.58459</cdr:y>
    </cdr:from>
    <cdr:to>
      <cdr:x>0.41467</cdr:x>
      <cdr:y>0.6571</cdr:y>
    </cdr:to>
    <cdr:sp macro="" textlink="">
      <cdr:nvSpPr>
        <cdr:cNvPr id="2" name="TextBox 1"/>
        <cdr:cNvSpPr txBox="1"/>
      </cdr:nvSpPr>
      <cdr:spPr>
        <a:xfrm xmlns:a="http://schemas.openxmlformats.org/drawingml/2006/main">
          <a:off x="1142975" y="2511248"/>
          <a:ext cx="1042163" cy="31148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500"/>
            </a:lnSpc>
          </a:pPr>
          <a:r>
            <a:rPr lang="en-US" sz="1600" b="1">
              <a:solidFill>
                <a:srgbClr val="1F7B91"/>
              </a:solidFill>
              <a:latin typeface="Arial" panose="020B0604020202020204" pitchFamily="34" charset="0"/>
              <a:cs typeface="Arial" panose="020B0604020202020204" pitchFamily="34" charset="0"/>
            </a:rPr>
            <a:t>CBO+SL</a:t>
          </a:r>
        </a:p>
      </cdr:txBody>
    </cdr:sp>
  </cdr:relSizeAnchor>
  <cdr:relSizeAnchor xmlns:cdr="http://schemas.openxmlformats.org/drawingml/2006/chartDrawing">
    <cdr:from>
      <cdr:x>0.08081</cdr:x>
      <cdr:y>0.27542</cdr:y>
    </cdr:from>
    <cdr:to>
      <cdr:x>0.56931</cdr:x>
      <cdr:y>0.3339</cdr:y>
    </cdr:to>
    <cdr:sp macro="" textlink="">
      <cdr:nvSpPr>
        <cdr:cNvPr id="4" name="TextBox 1"/>
        <cdr:cNvSpPr txBox="1"/>
      </cdr:nvSpPr>
      <cdr:spPr>
        <a:xfrm xmlns:a="http://schemas.openxmlformats.org/drawingml/2006/main">
          <a:off x="425833" y="1183137"/>
          <a:ext cx="2574184" cy="2512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500"/>
            </a:lnSpc>
          </a:pPr>
          <a:r>
            <a:rPr lang="en-US" sz="1800" b="1">
              <a:solidFill>
                <a:srgbClr val="792B36"/>
              </a:solidFill>
              <a:latin typeface="Arial" panose="020B0604020202020204" pitchFamily="34" charset="0"/>
              <a:cs typeface="Arial" panose="020B0604020202020204" pitchFamily="34" charset="0"/>
            </a:rPr>
            <a:t>Saez-Zucman</a:t>
          </a:r>
        </a:p>
      </cdr:txBody>
    </cdr:sp>
  </cdr:relSizeAnchor>
  <cdr:relSizeAnchor xmlns:cdr="http://schemas.openxmlformats.org/drawingml/2006/chartDrawing">
    <cdr:from>
      <cdr:x>0.08705</cdr:x>
      <cdr:y>0.86775</cdr:y>
    </cdr:from>
    <cdr:to>
      <cdr:x>0.98724</cdr:x>
      <cdr:y>0.92318</cdr:y>
    </cdr:to>
    <cdr:sp macro="" textlink="">
      <cdr:nvSpPr>
        <cdr:cNvPr id="3" name="TextBox 2"/>
        <cdr:cNvSpPr txBox="1"/>
      </cdr:nvSpPr>
      <cdr:spPr>
        <a:xfrm xmlns:a="http://schemas.openxmlformats.org/drawingml/2006/main">
          <a:off x="458721" y="3727647"/>
          <a:ext cx="4743610" cy="238115"/>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en-US" sz="1100"/>
            <a:t> </a:t>
          </a:r>
          <a:r>
            <a:rPr lang="en-US" sz="1100" baseline="0"/>
            <a:t>      </a:t>
          </a:r>
          <a:r>
            <a:rPr lang="en-US" sz="1100" baseline="0">
              <a:latin typeface="Arial" panose="020B0604020202020204" pitchFamily="34" charset="0"/>
              <a:cs typeface="Arial" panose="020B0604020202020204" pitchFamily="34" charset="0"/>
            </a:rPr>
            <a:t>Bottom              2nd               3rd                    4th                   Top</a:t>
          </a:r>
        </a:p>
        <a:p xmlns:a="http://schemas.openxmlformats.org/drawingml/2006/main">
          <a:r>
            <a:rPr lang="en-US" sz="1100" baseline="0">
              <a:latin typeface="Arial" panose="020B0604020202020204" pitchFamily="34" charset="0"/>
              <a:cs typeface="Arial" panose="020B0604020202020204" pitchFamily="34" charset="0"/>
            </a:rPr>
            <a:t> </a:t>
          </a:r>
          <a:endParaRPr lang="en-US" sz="11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0.28609</cdr:x>
      <cdr:y>0.03269</cdr:y>
    </cdr:from>
    <cdr:to>
      <cdr:x>0.72669</cdr:x>
      <cdr:y>0.18137</cdr:y>
    </cdr:to>
    <cdr:sp macro="" textlink="">
      <cdr:nvSpPr>
        <cdr:cNvPr id="7" name="TextBox 1">
          <a:extLst xmlns:a="http://schemas.openxmlformats.org/drawingml/2006/main">
            <a:ext uri="{FF2B5EF4-FFF2-40B4-BE49-F238E27FC236}">
              <a16:creationId xmlns:a16="http://schemas.microsoft.com/office/drawing/2014/main" id="{9DC49D00-A5D0-459F-A709-5D37A112E052}"/>
            </a:ext>
          </a:extLst>
        </cdr:cNvPr>
        <cdr:cNvSpPr txBox="1"/>
      </cdr:nvSpPr>
      <cdr:spPr>
        <a:xfrm xmlns:a="http://schemas.openxmlformats.org/drawingml/2006/main">
          <a:off x="1507565" y="140447"/>
          <a:ext cx="2321801" cy="6386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500"/>
            </a:lnSpc>
          </a:pPr>
          <a:r>
            <a:rPr lang="en-US" sz="1600" b="1" dirty="0">
              <a:solidFill>
                <a:srgbClr val="B57A0F"/>
              </a:solidFill>
              <a:latin typeface="Arial" panose="020B0604020202020204" pitchFamily="34" charset="0"/>
              <a:cs typeface="Arial" panose="020B0604020202020204" pitchFamily="34" charset="0"/>
            </a:rPr>
            <a:t>1. Add missing OASDI taxes &amp; social insurance to income</a:t>
          </a:r>
        </a:p>
      </cdr:txBody>
    </cdr:sp>
  </cdr:relSizeAnchor>
  <cdr:relSizeAnchor xmlns:cdr="http://schemas.openxmlformats.org/drawingml/2006/chartDrawing">
    <cdr:from>
      <cdr:x>0.23722</cdr:x>
      <cdr:y>0.35894</cdr:y>
    </cdr:from>
    <cdr:to>
      <cdr:x>0.23722</cdr:x>
      <cdr:y>0.44737</cdr:y>
    </cdr:to>
    <cdr:cxnSp macro="">
      <cdr:nvCxnSpPr>
        <cdr:cNvPr id="8" name="Straight Arrow Connector 7">
          <a:extLst xmlns:a="http://schemas.openxmlformats.org/drawingml/2006/main">
            <a:ext uri="{FF2B5EF4-FFF2-40B4-BE49-F238E27FC236}">
              <a16:creationId xmlns:a16="http://schemas.microsoft.com/office/drawing/2014/main" id="{D8A2664F-B1C8-4DEE-9416-BA505C2223FB}"/>
            </a:ext>
          </a:extLst>
        </cdr:cNvPr>
        <cdr:cNvCxnSpPr>
          <a:cxnSpLocks xmlns:a="http://schemas.openxmlformats.org/drawingml/2006/main"/>
        </cdr:cNvCxnSpPr>
      </cdr:nvCxnSpPr>
      <cdr:spPr>
        <a:xfrm xmlns:a="http://schemas.openxmlformats.org/drawingml/2006/main">
          <a:off x="1250038" y="1541929"/>
          <a:ext cx="0" cy="379867"/>
        </a:xfrm>
        <a:prstGeom xmlns:a="http://schemas.openxmlformats.org/drawingml/2006/main" prst="straightConnector1">
          <a:avLst/>
        </a:prstGeom>
        <a:ln xmlns:a="http://schemas.openxmlformats.org/drawingml/2006/main" w="31750">
          <a:solidFill>
            <a:srgbClr val="D58F1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4.xml><?xml version="1.0" encoding="utf-8"?>
<c:userShapes xmlns:c="http://schemas.openxmlformats.org/drawingml/2006/chart">
  <cdr:relSizeAnchor xmlns:cdr="http://schemas.openxmlformats.org/drawingml/2006/chartDrawing">
    <cdr:from>
      <cdr:x>0.02977</cdr:x>
      <cdr:y>0.53502</cdr:y>
    </cdr:from>
    <cdr:to>
      <cdr:x>0.22754</cdr:x>
      <cdr:y>0.60753</cdr:y>
    </cdr:to>
    <cdr:sp macro="" textlink="">
      <cdr:nvSpPr>
        <cdr:cNvPr id="2" name="TextBox 1"/>
        <cdr:cNvSpPr txBox="1"/>
      </cdr:nvSpPr>
      <cdr:spPr>
        <a:xfrm xmlns:a="http://schemas.openxmlformats.org/drawingml/2006/main">
          <a:off x="156855" y="2298331"/>
          <a:ext cx="1042163" cy="3114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500"/>
            </a:lnSpc>
          </a:pPr>
          <a:r>
            <a:rPr lang="en-US" sz="1600" b="1">
              <a:solidFill>
                <a:srgbClr val="1F7B91"/>
              </a:solidFill>
              <a:latin typeface="Arial" panose="020B0604020202020204" pitchFamily="34" charset="0"/>
              <a:cs typeface="Arial" panose="020B0604020202020204" pitchFamily="34" charset="0"/>
            </a:rPr>
            <a:t>CBO+SL</a:t>
          </a:r>
        </a:p>
      </cdr:txBody>
    </cdr:sp>
  </cdr:relSizeAnchor>
  <cdr:relSizeAnchor xmlns:cdr="http://schemas.openxmlformats.org/drawingml/2006/chartDrawing">
    <cdr:from>
      <cdr:x>0.08705</cdr:x>
      <cdr:y>0.86775</cdr:y>
    </cdr:from>
    <cdr:to>
      <cdr:x>0.98724</cdr:x>
      <cdr:y>0.92318</cdr:y>
    </cdr:to>
    <cdr:sp macro="" textlink="">
      <cdr:nvSpPr>
        <cdr:cNvPr id="3" name="TextBox 2"/>
        <cdr:cNvSpPr txBox="1"/>
      </cdr:nvSpPr>
      <cdr:spPr>
        <a:xfrm xmlns:a="http://schemas.openxmlformats.org/drawingml/2006/main">
          <a:off x="458721" y="3727647"/>
          <a:ext cx="4743610" cy="238115"/>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en-US" sz="1100"/>
            <a:t> </a:t>
          </a:r>
          <a:r>
            <a:rPr lang="en-US" sz="1100" baseline="0"/>
            <a:t>      </a:t>
          </a:r>
          <a:r>
            <a:rPr lang="en-US" sz="1100" baseline="0">
              <a:latin typeface="Arial" panose="020B0604020202020204" pitchFamily="34" charset="0"/>
              <a:cs typeface="Arial" panose="020B0604020202020204" pitchFamily="34" charset="0"/>
            </a:rPr>
            <a:t>Bottom              2nd               3rd                    4th                   Top</a:t>
          </a:r>
        </a:p>
        <a:p xmlns:a="http://schemas.openxmlformats.org/drawingml/2006/main">
          <a:r>
            <a:rPr lang="en-US" sz="1100" baseline="0">
              <a:latin typeface="Arial" panose="020B0604020202020204" pitchFamily="34" charset="0"/>
              <a:cs typeface="Arial" panose="020B0604020202020204" pitchFamily="34" charset="0"/>
            </a:rPr>
            <a:t> </a:t>
          </a:r>
          <a:endParaRPr lang="en-US" sz="11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0.23293</cdr:x>
      <cdr:y>0.0311</cdr:y>
    </cdr:from>
    <cdr:to>
      <cdr:x>0.6571</cdr:x>
      <cdr:y>0.15912</cdr:y>
    </cdr:to>
    <cdr:sp macro="" textlink="">
      <cdr:nvSpPr>
        <cdr:cNvPr id="5" name="TextBox 1">
          <a:extLst xmlns:a="http://schemas.openxmlformats.org/drawingml/2006/main">
            <a:ext uri="{FF2B5EF4-FFF2-40B4-BE49-F238E27FC236}">
              <a16:creationId xmlns:a16="http://schemas.microsoft.com/office/drawing/2014/main" id="{B5D6EC7D-E028-4805-8BEE-E72F9A52095A}"/>
            </a:ext>
          </a:extLst>
        </cdr:cNvPr>
        <cdr:cNvSpPr txBox="1"/>
      </cdr:nvSpPr>
      <cdr:spPr>
        <a:xfrm xmlns:a="http://schemas.openxmlformats.org/drawingml/2006/main">
          <a:off x="1227446" y="133604"/>
          <a:ext cx="2235172" cy="549956"/>
        </a:xfrm>
        <a:prstGeom xmlns:a="http://schemas.openxmlformats.org/drawingml/2006/main" prst="rect">
          <a:avLst/>
        </a:prstGeom>
      </cdr:spPr>
      <cdr:txBody>
        <a:bodyPr xmlns:a="http://schemas.openxmlformats.org/drawingml/2006/main" wrap="square" rtlCol="0"/>
        <a:lstStyle xmlns:a="http://schemas.openxmlformats.org/drawingml/2006/main">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xmlns:a="http://schemas.openxmlformats.org/drawingml/2006/main">
          <a:pPr algn="ctr">
            <a:lnSpc>
              <a:spcPts val="1800"/>
            </a:lnSpc>
          </a:pPr>
          <a:r>
            <a:rPr lang="en-US" sz="1600" b="1" dirty="0">
              <a:solidFill>
                <a:srgbClr val="B57A0F"/>
              </a:solidFill>
              <a:latin typeface="Arial" panose="020B0604020202020204" pitchFamily="34" charset="0"/>
              <a:cs typeface="Arial" panose="020B0604020202020204" pitchFamily="34" charset="0"/>
            </a:rPr>
            <a:t>3. Account for refundable credits</a:t>
          </a:r>
        </a:p>
      </cdr:txBody>
    </cdr:sp>
  </cdr:relSizeAnchor>
  <cdr:relSizeAnchor xmlns:cdr="http://schemas.openxmlformats.org/drawingml/2006/chartDrawing">
    <cdr:from>
      <cdr:x>0.22559</cdr:x>
      <cdr:y>0.45685</cdr:y>
    </cdr:from>
    <cdr:to>
      <cdr:x>0.22754</cdr:x>
      <cdr:y>0.70432</cdr:y>
    </cdr:to>
    <cdr:cxnSp macro="">
      <cdr:nvCxnSpPr>
        <cdr:cNvPr id="6" name="Straight Arrow Connector 5">
          <a:extLst xmlns:a="http://schemas.openxmlformats.org/drawingml/2006/main">
            <a:ext uri="{FF2B5EF4-FFF2-40B4-BE49-F238E27FC236}">
              <a16:creationId xmlns:a16="http://schemas.microsoft.com/office/drawing/2014/main" id="{9BF70B52-067F-445F-AC1F-1300151E6631}"/>
            </a:ext>
          </a:extLst>
        </cdr:cNvPr>
        <cdr:cNvCxnSpPr>
          <a:cxnSpLocks xmlns:a="http://schemas.openxmlformats.org/drawingml/2006/main"/>
        </cdr:cNvCxnSpPr>
      </cdr:nvCxnSpPr>
      <cdr:spPr>
        <a:xfrm xmlns:a="http://schemas.openxmlformats.org/drawingml/2006/main">
          <a:off x="1188780" y="1962523"/>
          <a:ext cx="10249" cy="1063065"/>
        </a:xfrm>
        <a:prstGeom xmlns:a="http://schemas.openxmlformats.org/drawingml/2006/main" prst="straightConnector1">
          <a:avLst/>
        </a:prstGeom>
        <a:ln xmlns:a="http://schemas.openxmlformats.org/drawingml/2006/main" w="31750">
          <a:solidFill>
            <a:srgbClr val="D58F1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5.xml><?xml version="1.0" encoding="utf-8"?>
<c:userShapes xmlns:c="http://schemas.openxmlformats.org/drawingml/2006/chart">
  <cdr:relSizeAnchor xmlns:cdr="http://schemas.openxmlformats.org/drawingml/2006/chartDrawing">
    <cdr:from>
      <cdr:x>0.0404</cdr:x>
      <cdr:y>0.52198</cdr:y>
    </cdr:from>
    <cdr:to>
      <cdr:x>0.23817</cdr:x>
      <cdr:y>0.59449</cdr:y>
    </cdr:to>
    <cdr:sp macro="" textlink="">
      <cdr:nvSpPr>
        <cdr:cNvPr id="2" name="TextBox 1"/>
        <cdr:cNvSpPr txBox="1"/>
      </cdr:nvSpPr>
      <cdr:spPr>
        <a:xfrm xmlns:a="http://schemas.openxmlformats.org/drawingml/2006/main">
          <a:off x="212885" y="2242301"/>
          <a:ext cx="1042163" cy="3114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500"/>
            </a:lnSpc>
          </a:pPr>
          <a:r>
            <a:rPr lang="en-US" sz="1600" b="1">
              <a:solidFill>
                <a:srgbClr val="1F7B91"/>
              </a:solidFill>
              <a:latin typeface="Arial" panose="020B0604020202020204" pitchFamily="34" charset="0"/>
              <a:cs typeface="Arial" panose="020B0604020202020204" pitchFamily="34" charset="0"/>
            </a:rPr>
            <a:t>CBO+SL</a:t>
          </a:r>
        </a:p>
      </cdr:txBody>
    </cdr:sp>
  </cdr:relSizeAnchor>
  <cdr:relSizeAnchor xmlns:cdr="http://schemas.openxmlformats.org/drawingml/2006/chartDrawing">
    <cdr:from>
      <cdr:x>0.08705</cdr:x>
      <cdr:y>0.86775</cdr:y>
    </cdr:from>
    <cdr:to>
      <cdr:x>0.98724</cdr:x>
      <cdr:y>0.92318</cdr:y>
    </cdr:to>
    <cdr:sp macro="" textlink="">
      <cdr:nvSpPr>
        <cdr:cNvPr id="3" name="TextBox 2"/>
        <cdr:cNvSpPr txBox="1"/>
      </cdr:nvSpPr>
      <cdr:spPr>
        <a:xfrm xmlns:a="http://schemas.openxmlformats.org/drawingml/2006/main">
          <a:off x="458721" y="3727647"/>
          <a:ext cx="4743610" cy="238115"/>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en-US" sz="1100"/>
            <a:t> </a:t>
          </a:r>
          <a:r>
            <a:rPr lang="en-US" sz="1100" baseline="0"/>
            <a:t>      </a:t>
          </a:r>
          <a:r>
            <a:rPr lang="en-US" sz="1100" baseline="0">
              <a:latin typeface="Arial" panose="020B0604020202020204" pitchFamily="34" charset="0"/>
              <a:cs typeface="Arial" panose="020B0604020202020204" pitchFamily="34" charset="0"/>
            </a:rPr>
            <a:t>Bottom              2nd               3rd                    4th                   Top</a:t>
          </a:r>
        </a:p>
        <a:p xmlns:a="http://schemas.openxmlformats.org/drawingml/2006/main">
          <a:r>
            <a:rPr lang="en-US" sz="1100" baseline="0">
              <a:latin typeface="Arial" panose="020B0604020202020204" pitchFamily="34" charset="0"/>
              <a:cs typeface="Arial" panose="020B0604020202020204" pitchFamily="34" charset="0"/>
            </a:rPr>
            <a:t> </a:t>
          </a:r>
          <a:endParaRPr lang="en-US" sz="11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0.09995</cdr:x>
      <cdr:y>0.02221</cdr:y>
    </cdr:from>
    <cdr:to>
      <cdr:x>0.86337</cdr:x>
      <cdr:y>0.48611</cdr:y>
    </cdr:to>
    <cdr:sp macro="" textlink="">
      <cdr:nvSpPr>
        <cdr:cNvPr id="5" name="TextBox 1">
          <a:extLst xmlns:a="http://schemas.openxmlformats.org/drawingml/2006/main">
            <a:ext uri="{FF2B5EF4-FFF2-40B4-BE49-F238E27FC236}">
              <a16:creationId xmlns:a16="http://schemas.microsoft.com/office/drawing/2014/main" id="{B5D6EC7D-E028-4805-8BEE-E72F9A52095A}"/>
            </a:ext>
          </a:extLst>
        </cdr:cNvPr>
        <cdr:cNvSpPr txBox="1"/>
      </cdr:nvSpPr>
      <cdr:spPr>
        <a:xfrm xmlns:a="http://schemas.openxmlformats.org/drawingml/2006/main">
          <a:off x="526678" y="95409"/>
          <a:ext cx="4022909" cy="1992810"/>
        </a:xfrm>
        <a:prstGeom xmlns:a="http://schemas.openxmlformats.org/drawingml/2006/main" prst="rect">
          <a:avLst/>
        </a:prstGeom>
      </cdr:spPr>
      <cdr:txBody>
        <a:bodyPr xmlns:a="http://schemas.openxmlformats.org/drawingml/2006/main" wrap="square" rtlCol="0"/>
        <a:lstStyle xmlns:a="http://schemas.openxmlformats.org/drawingml/2006/main">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xmlns:a="http://schemas.openxmlformats.org/drawingml/2006/main">
          <a:pPr algn="ctr">
            <a:lnSpc>
              <a:spcPts val="1500"/>
            </a:lnSpc>
          </a:pPr>
          <a:r>
            <a:rPr lang="en-US" sz="1400" b="1" dirty="0">
              <a:solidFill>
                <a:srgbClr val="B57A0F"/>
              </a:solidFill>
              <a:latin typeface="Arial" panose="020B0604020202020204" pitchFamily="34" charset="0"/>
              <a:cs typeface="Arial" panose="020B0604020202020204" pitchFamily="34" charset="0"/>
            </a:rPr>
            <a:t>4. Add back bottom decile of adults dropped by SZ, remove other imputed income, equivalence scale, weight by #</a:t>
          </a:r>
          <a:r>
            <a:rPr lang="en-US" sz="1400" b="1" dirty="0" err="1">
              <a:solidFill>
                <a:srgbClr val="B57A0F"/>
              </a:solidFill>
              <a:latin typeface="Arial" panose="020B0604020202020204" pitchFamily="34" charset="0"/>
              <a:cs typeface="Arial" panose="020B0604020202020204" pitchFamily="34" charset="0"/>
            </a:rPr>
            <a:t>individuals</a:t>
          </a:r>
          <a:endParaRPr lang="en-US" sz="1400" b="1" dirty="0">
            <a:solidFill>
              <a:srgbClr val="B57A0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0.18402</cdr:x>
      <cdr:y>0.63528</cdr:y>
    </cdr:from>
    <cdr:to>
      <cdr:x>0.18501</cdr:x>
      <cdr:y>0.77997</cdr:y>
    </cdr:to>
    <cdr:cxnSp macro="">
      <cdr:nvCxnSpPr>
        <cdr:cNvPr id="6" name="Straight Arrow Connector 5">
          <a:extLst xmlns:a="http://schemas.openxmlformats.org/drawingml/2006/main">
            <a:ext uri="{FF2B5EF4-FFF2-40B4-BE49-F238E27FC236}">
              <a16:creationId xmlns:a16="http://schemas.microsoft.com/office/drawing/2014/main" id="{F3A4A4F5-7C66-4959-9AE7-2FB40B45F387}"/>
            </a:ext>
          </a:extLst>
        </cdr:cNvPr>
        <cdr:cNvCxnSpPr>
          <a:cxnSpLocks xmlns:a="http://schemas.openxmlformats.org/drawingml/2006/main"/>
        </cdr:cNvCxnSpPr>
      </cdr:nvCxnSpPr>
      <cdr:spPr>
        <a:xfrm xmlns:a="http://schemas.openxmlformats.org/drawingml/2006/main" flipH="1" flipV="1">
          <a:off x="969683" y="2729006"/>
          <a:ext cx="5230" cy="621554"/>
        </a:xfrm>
        <a:prstGeom xmlns:a="http://schemas.openxmlformats.org/drawingml/2006/main" prst="straightConnector1">
          <a:avLst/>
        </a:prstGeom>
        <a:ln xmlns:a="http://schemas.openxmlformats.org/drawingml/2006/main" w="31750">
          <a:solidFill>
            <a:srgbClr val="D58F1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6.xml><?xml version="1.0" encoding="utf-8"?>
<xdr:wsDr xmlns:xdr="http://schemas.openxmlformats.org/drawingml/2006/spreadsheetDrawing" xmlns:a="http://schemas.openxmlformats.org/drawingml/2006/main">
  <xdr:twoCellAnchor>
    <xdr:from>
      <xdr:col>0</xdr:col>
      <xdr:colOff>337778</xdr:colOff>
      <xdr:row>1</xdr:row>
      <xdr:rowOff>132710</xdr:rowOff>
    </xdr:from>
    <xdr:to>
      <xdr:col>13</xdr:col>
      <xdr:colOff>349785</xdr:colOff>
      <xdr:row>25</xdr:row>
      <xdr:rowOff>65474</xdr:rowOff>
    </xdr:to>
    <xdr:graphicFrame macro="">
      <xdr:nvGraphicFramePr>
        <xdr:cNvPr id="2" name="Chart 1">
          <a:extLst>
            <a:ext uri="{FF2B5EF4-FFF2-40B4-BE49-F238E27FC236}">
              <a16:creationId xmlns:a16="http://schemas.microsoft.com/office/drawing/2014/main" id="{2257689A-3CD3-43C1-BCC5-563E771BA5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c:userShapes xmlns:c="http://schemas.openxmlformats.org/drawingml/2006/chart">
  <cdr:relSizeAnchor xmlns:cdr="http://schemas.openxmlformats.org/drawingml/2006/chartDrawing">
    <cdr:from>
      <cdr:x>0.61521</cdr:x>
      <cdr:y>0.26654</cdr:y>
    </cdr:from>
    <cdr:to>
      <cdr:x>0.8978</cdr:x>
      <cdr:y>0.33106</cdr:y>
    </cdr:to>
    <cdr:sp macro="" textlink="">
      <cdr:nvSpPr>
        <cdr:cNvPr id="3" name="TextBox 1"/>
        <cdr:cNvSpPr txBox="1"/>
      </cdr:nvSpPr>
      <cdr:spPr>
        <a:xfrm xmlns:a="http://schemas.openxmlformats.org/drawingml/2006/main">
          <a:off x="3633107" y="1200718"/>
          <a:ext cx="1668837" cy="29062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400"/>
            </a:lnSpc>
          </a:pPr>
          <a:r>
            <a:rPr lang="en-US" sz="1600" b="1">
              <a:solidFill>
                <a:srgbClr val="1F7B91"/>
              </a:solidFill>
              <a:latin typeface="Arial" panose="020B0604020202020204" pitchFamily="34" charset="0"/>
              <a:cs typeface="Arial" panose="020B0604020202020204" pitchFamily="34" charset="0"/>
            </a:rPr>
            <a:t>Middle Quintile</a:t>
          </a:r>
        </a:p>
      </cdr:txBody>
    </cdr:sp>
  </cdr:relSizeAnchor>
  <cdr:relSizeAnchor xmlns:cdr="http://schemas.openxmlformats.org/drawingml/2006/chartDrawing">
    <cdr:from>
      <cdr:x>0.87495</cdr:x>
      <cdr:y>0.22418</cdr:y>
    </cdr:from>
    <cdr:to>
      <cdr:x>0.98032</cdr:x>
      <cdr:y>0.2918</cdr:y>
    </cdr:to>
    <cdr:sp macro="" textlink="">
      <cdr:nvSpPr>
        <cdr:cNvPr id="7" name="TextBox 1">
          <a:extLst xmlns:a="http://schemas.openxmlformats.org/drawingml/2006/main">
            <a:ext uri="{FF2B5EF4-FFF2-40B4-BE49-F238E27FC236}">
              <a16:creationId xmlns:a16="http://schemas.microsoft.com/office/drawing/2014/main" id="{D65CCE9F-BE28-4EB1-A669-848CF74C8306}"/>
            </a:ext>
          </a:extLst>
        </cdr:cNvPr>
        <cdr:cNvSpPr txBox="1"/>
      </cdr:nvSpPr>
      <cdr:spPr>
        <a:xfrm xmlns:a="http://schemas.openxmlformats.org/drawingml/2006/main">
          <a:off x="5167012" y="1009860"/>
          <a:ext cx="622262" cy="30461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200"/>
            </a:lnSpc>
          </a:pPr>
          <a:r>
            <a:rPr lang="en-US" sz="1600" b="1">
              <a:solidFill>
                <a:srgbClr val="1F7B91"/>
              </a:solidFill>
              <a:effectLst/>
              <a:latin typeface="Arial" panose="020B0604020202020204" pitchFamily="34" charset="0"/>
              <a:ea typeface="+mn-ea"/>
              <a:cs typeface="Arial" panose="020B0604020202020204" pitchFamily="34" charset="0"/>
            </a:rPr>
            <a:t>–9</a:t>
          </a:r>
          <a:endParaRPr lang="en-US" sz="1600" b="1">
            <a:solidFill>
              <a:srgbClr val="1F7B9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0.57834</cdr:x>
      <cdr:y>0.60238</cdr:y>
    </cdr:from>
    <cdr:to>
      <cdr:x>0.88479</cdr:x>
      <cdr:y>0.66635</cdr:y>
    </cdr:to>
    <cdr:sp macro="" textlink="">
      <cdr:nvSpPr>
        <cdr:cNvPr id="8" name="TextBox 1">
          <a:extLst xmlns:a="http://schemas.openxmlformats.org/drawingml/2006/main">
            <a:ext uri="{FF2B5EF4-FFF2-40B4-BE49-F238E27FC236}">
              <a16:creationId xmlns:a16="http://schemas.microsoft.com/office/drawing/2014/main" id="{667A952A-D507-4E13-B5C4-C84D92D0DB94}"/>
            </a:ext>
          </a:extLst>
        </cdr:cNvPr>
        <cdr:cNvSpPr txBox="1"/>
      </cdr:nvSpPr>
      <cdr:spPr>
        <a:xfrm xmlns:a="http://schemas.openxmlformats.org/drawingml/2006/main">
          <a:off x="3415392" y="2713597"/>
          <a:ext cx="1809751" cy="2881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400"/>
            </a:lnSpc>
          </a:pPr>
          <a:r>
            <a:rPr lang="en-US" sz="1600" b="1">
              <a:solidFill>
                <a:srgbClr val="792B36"/>
              </a:solidFill>
              <a:latin typeface="Arial" panose="020B0604020202020204" pitchFamily="34" charset="0"/>
              <a:cs typeface="Arial" panose="020B0604020202020204" pitchFamily="34" charset="0"/>
            </a:rPr>
            <a:t>Bottom Quintile</a:t>
          </a:r>
        </a:p>
      </cdr:txBody>
    </cdr:sp>
  </cdr:relSizeAnchor>
  <cdr:relSizeAnchor xmlns:cdr="http://schemas.openxmlformats.org/drawingml/2006/chartDrawing">
    <cdr:from>
      <cdr:x>0.87688</cdr:x>
      <cdr:y>0.87779</cdr:y>
    </cdr:from>
    <cdr:to>
      <cdr:x>0.98564</cdr:x>
      <cdr:y>0.97021</cdr:y>
    </cdr:to>
    <cdr:sp macro="" textlink="">
      <cdr:nvSpPr>
        <cdr:cNvPr id="9" name="TextBox 1">
          <a:extLst xmlns:a="http://schemas.openxmlformats.org/drawingml/2006/main">
            <a:ext uri="{FF2B5EF4-FFF2-40B4-BE49-F238E27FC236}">
              <a16:creationId xmlns:a16="http://schemas.microsoft.com/office/drawing/2014/main" id="{3DD8D46D-9A6B-4F3A-B422-A2717F264A21}"/>
            </a:ext>
          </a:extLst>
        </cdr:cNvPr>
        <cdr:cNvSpPr txBox="1"/>
      </cdr:nvSpPr>
      <cdr:spPr>
        <a:xfrm xmlns:a="http://schemas.openxmlformats.org/drawingml/2006/main">
          <a:off x="5178444" y="3954237"/>
          <a:ext cx="642282" cy="4163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200"/>
            </a:lnSpc>
          </a:pPr>
          <a:r>
            <a:rPr lang="en-US" sz="1600" b="1">
              <a:solidFill>
                <a:srgbClr val="792B36"/>
              </a:solidFill>
              <a:effectLst/>
              <a:latin typeface="Arial" panose="020B0604020202020204" pitchFamily="34" charset="0"/>
              <a:ea typeface="+mn-ea"/>
              <a:cs typeface="Arial" panose="020B0604020202020204" pitchFamily="34" charset="0"/>
            </a:rPr>
            <a:t>–48</a:t>
          </a:r>
          <a:endParaRPr lang="en-US" sz="1600" b="1">
            <a:solidFill>
              <a:srgbClr val="792B36"/>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0.8866</cdr:x>
      <cdr:y>0.08442</cdr:y>
    </cdr:from>
    <cdr:to>
      <cdr:x>0.96059</cdr:x>
      <cdr:y>0.1619</cdr:y>
    </cdr:to>
    <cdr:sp macro="" textlink="">
      <cdr:nvSpPr>
        <cdr:cNvPr id="10" name="TextBox 1">
          <a:extLst xmlns:a="http://schemas.openxmlformats.org/drawingml/2006/main">
            <a:ext uri="{FF2B5EF4-FFF2-40B4-BE49-F238E27FC236}">
              <a16:creationId xmlns:a16="http://schemas.microsoft.com/office/drawing/2014/main" id="{EEFC3946-31B0-4B0E-8EF1-05D7B4A4B0DA}"/>
            </a:ext>
          </a:extLst>
        </cdr:cNvPr>
        <cdr:cNvSpPr txBox="1"/>
      </cdr:nvSpPr>
      <cdr:spPr>
        <a:xfrm xmlns:a="http://schemas.openxmlformats.org/drawingml/2006/main">
          <a:off x="5235820" y="380306"/>
          <a:ext cx="436948" cy="3490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200"/>
            </a:lnSpc>
          </a:pPr>
          <a:r>
            <a:rPr lang="en-US" sz="1600" b="1">
              <a:solidFill>
                <a:srgbClr val="B57A0F"/>
              </a:solidFill>
              <a:effectLst/>
              <a:latin typeface="Arial" panose="020B0604020202020204" pitchFamily="34" charset="0"/>
              <a:ea typeface="+mn-ea"/>
              <a:cs typeface="Arial" panose="020B0604020202020204" pitchFamily="34" charset="0"/>
            </a:rPr>
            <a:t>–1</a:t>
          </a:r>
          <a:endParaRPr lang="en-US" sz="1600" b="1">
            <a:solidFill>
              <a:srgbClr val="B57A0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0.63134</cdr:x>
      <cdr:y>0.05072</cdr:y>
    </cdr:from>
    <cdr:to>
      <cdr:x>0.88949</cdr:x>
      <cdr:y>0.12264</cdr:y>
    </cdr:to>
    <cdr:sp macro="" textlink="">
      <cdr:nvSpPr>
        <cdr:cNvPr id="11" name="TextBox 1">
          <a:extLst xmlns:a="http://schemas.openxmlformats.org/drawingml/2006/main">
            <a:ext uri="{FF2B5EF4-FFF2-40B4-BE49-F238E27FC236}">
              <a16:creationId xmlns:a16="http://schemas.microsoft.com/office/drawing/2014/main" id="{FDE74DD3-2E65-4728-BB07-5ED547CDE84E}"/>
            </a:ext>
          </a:extLst>
        </cdr:cNvPr>
        <cdr:cNvSpPr txBox="1"/>
      </cdr:nvSpPr>
      <cdr:spPr>
        <a:xfrm xmlns:a="http://schemas.openxmlformats.org/drawingml/2006/main">
          <a:off x="3728358" y="228501"/>
          <a:ext cx="1524498" cy="3239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50"/>
            </a:lnSpc>
          </a:pPr>
          <a:r>
            <a:rPr lang="en-US" sz="1600" b="1">
              <a:solidFill>
                <a:srgbClr val="B57A0F"/>
              </a:solidFill>
              <a:latin typeface="Arial" panose="020B0604020202020204" pitchFamily="34" charset="0"/>
              <a:cs typeface="Arial" panose="020B0604020202020204" pitchFamily="34" charset="0"/>
            </a:rPr>
            <a:t>Top Quintile</a:t>
          </a:r>
        </a:p>
      </cdr:txBody>
    </cdr:sp>
  </cdr:relSizeAnchor>
</c:userShapes>
</file>

<file path=xl/drawings/drawing48.xml><?xml version="1.0" encoding="utf-8"?>
<xdr:wsDr xmlns:xdr="http://schemas.openxmlformats.org/drawingml/2006/spreadsheetDrawing" xmlns:a="http://schemas.openxmlformats.org/drawingml/2006/main">
  <xdr:twoCellAnchor>
    <xdr:from>
      <xdr:col>7</xdr:col>
      <xdr:colOff>347942</xdr:colOff>
      <xdr:row>9</xdr:row>
      <xdr:rowOff>39220</xdr:rowOff>
    </xdr:from>
    <xdr:to>
      <xdr:col>23</xdr:col>
      <xdr:colOff>80120</xdr:colOff>
      <xdr:row>33</xdr:row>
      <xdr:rowOff>86845</xdr:rowOff>
    </xdr:to>
    <xdr:graphicFrame macro="">
      <xdr:nvGraphicFramePr>
        <xdr:cNvPr id="2" name="Chart 1">
          <a:extLst>
            <a:ext uri="{FF2B5EF4-FFF2-40B4-BE49-F238E27FC236}">
              <a16:creationId xmlns:a16="http://schemas.microsoft.com/office/drawing/2014/main" id="{B6E77207-C498-449C-A562-C58CBFDED1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27</xdr:col>
      <xdr:colOff>190440</xdr:colOff>
      <xdr:row>21</xdr:row>
      <xdr:rowOff>66825</xdr:rowOff>
    </xdr:from>
    <xdr:to>
      <xdr:col>27</xdr:col>
      <xdr:colOff>190800</xdr:colOff>
      <xdr:row>21</xdr:row>
      <xdr:rowOff>67185</xdr:rowOff>
    </xdr:to>
    <mc:AlternateContent xmlns:mc="http://schemas.openxmlformats.org/markup-compatibility/2006" xmlns:xdr14="http://schemas.microsoft.com/office/excel/2010/spreadsheetDrawing">
      <mc:Choice Requires="xdr14">
        <xdr:contentPart xmlns:r="http://schemas.openxmlformats.org/officeDocument/2006/relationships" r:id="rId2">
          <xdr14:nvContentPartPr>
            <xdr14:cNvPr id="32" name="Ink 31">
              <a:extLst>
                <a:ext uri="{FF2B5EF4-FFF2-40B4-BE49-F238E27FC236}">
                  <a16:creationId xmlns:a16="http://schemas.microsoft.com/office/drawing/2014/main" id="{B76B23A0-81B2-4DE2-A58B-B495EDBCDE0F}"/>
                </a:ext>
              </a:extLst>
            </xdr14:cNvPr>
            <xdr14:cNvContentPartPr/>
          </xdr14:nvContentPartPr>
          <xdr14:nvPr macro=""/>
          <xdr14:xfrm>
            <a:off x="11591865" y="4257825"/>
            <a:ext cx="360" cy="360"/>
          </xdr14:xfrm>
        </xdr:contentPart>
      </mc:Choice>
      <mc:Fallback xmlns="">
        <xdr:pic>
          <xdr:nvPicPr>
            <xdr:cNvPr id="40" name="Ink 39">
              <a:extLst>
                <a:ext uri="{FF2B5EF4-FFF2-40B4-BE49-F238E27FC236}">
                  <a16:creationId xmlns:a16="http://schemas.microsoft.com/office/drawing/2014/main" id="{DD68D223-85BE-4459-A03C-D5A171CEE79E}"/>
                </a:ext>
              </a:extLst>
            </xdr:cNvPr>
            <xdr:cNvPicPr/>
          </xdr:nvPicPr>
          <xdr:blipFill>
            <a:blip xmlns:r="http://schemas.openxmlformats.org/officeDocument/2006/relationships" r:embed="rId60"/>
            <a:stretch>
              <a:fillRect/>
            </a:stretch>
          </xdr:blipFill>
          <xdr:spPr>
            <a:xfrm>
              <a:off x="11587545" y="4253505"/>
              <a:ext cx="9000" cy="9000"/>
            </a:xfrm>
            <a:prstGeom prst="rect">
              <a:avLst/>
            </a:prstGeom>
          </xdr:spPr>
        </xdr:pic>
      </mc:Fallback>
    </mc:AlternateContent>
    <xdr:clientData/>
  </xdr:twoCellAnchor>
  <xdr:twoCellAnchor editAs="oneCell">
    <xdr:from>
      <xdr:col>21</xdr:col>
      <xdr:colOff>180825</xdr:colOff>
      <xdr:row>13</xdr:row>
      <xdr:rowOff>133185</xdr:rowOff>
    </xdr:from>
    <xdr:to>
      <xdr:col>21</xdr:col>
      <xdr:colOff>181185</xdr:colOff>
      <xdr:row>13</xdr:row>
      <xdr:rowOff>133545</xdr:rowOff>
    </xdr:to>
    <mc:AlternateContent xmlns:mc="http://schemas.openxmlformats.org/markup-compatibility/2006" xmlns:xdr14="http://schemas.microsoft.com/office/excel/2010/spreadsheetDrawing">
      <mc:Choice Requires="xdr14">
        <xdr:contentPart xmlns:r="http://schemas.openxmlformats.org/officeDocument/2006/relationships" r:id="rId61">
          <xdr14:nvContentPartPr>
            <xdr14:cNvPr id="34" name="Ink 33">
              <a:extLst>
                <a:ext uri="{FF2B5EF4-FFF2-40B4-BE49-F238E27FC236}">
                  <a16:creationId xmlns:a16="http://schemas.microsoft.com/office/drawing/2014/main" id="{567A1EC7-B81F-40F0-A8A3-755B2EC503CE}"/>
                </a:ext>
              </a:extLst>
            </xdr14:cNvPr>
            <xdr14:cNvContentPartPr/>
          </xdr14:nvContentPartPr>
          <xdr14:nvPr macro=""/>
          <xdr14:xfrm>
            <a:off x="9477225" y="2800185"/>
            <a:ext cx="360" cy="360"/>
          </xdr14:xfrm>
        </xdr:contentPart>
      </mc:Choice>
      <mc:Fallback xmlns="">
        <xdr:pic>
          <xdr:nvPicPr>
            <xdr:cNvPr id="46" name="Ink 45">
              <a:extLst>
                <a:ext uri="{FF2B5EF4-FFF2-40B4-BE49-F238E27FC236}">
                  <a16:creationId xmlns:a16="http://schemas.microsoft.com/office/drawing/2014/main" id="{44610805-10A3-42B6-B911-F889927A6193}"/>
                </a:ext>
              </a:extLst>
            </xdr:cNvPr>
            <xdr:cNvPicPr/>
          </xdr:nvPicPr>
          <xdr:blipFill>
            <a:blip xmlns:r="http://schemas.openxmlformats.org/officeDocument/2006/relationships" r:embed="rId60"/>
            <a:stretch>
              <a:fillRect/>
            </a:stretch>
          </xdr:blipFill>
          <xdr:spPr>
            <a:xfrm>
              <a:off x="9472905" y="2795865"/>
              <a:ext cx="9000" cy="9000"/>
            </a:xfrm>
            <a:prstGeom prst="rect">
              <a:avLst/>
            </a:prstGeom>
          </xdr:spPr>
        </xdr:pic>
      </mc:Fallback>
    </mc:AlternateContent>
    <xdr:clientData/>
  </xdr:twoCellAnchor>
  <xdr:twoCellAnchor editAs="oneCell">
    <xdr:from>
      <xdr:col>29</xdr:col>
      <xdr:colOff>333225</xdr:colOff>
      <xdr:row>19</xdr:row>
      <xdr:rowOff>76305</xdr:rowOff>
    </xdr:from>
    <xdr:to>
      <xdr:col>29</xdr:col>
      <xdr:colOff>333585</xdr:colOff>
      <xdr:row>19</xdr:row>
      <xdr:rowOff>76665</xdr:rowOff>
    </xdr:to>
    <mc:AlternateContent xmlns:mc="http://schemas.openxmlformats.org/markup-compatibility/2006" xmlns:xdr14="http://schemas.microsoft.com/office/excel/2010/spreadsheetDrawing">
      <mc:Choice Requires="xdr14">
        <xdr:contentPart xmlns:r="http://schemas.openxmlformats.org/officeDocument/2006/relationships" r:id="rId62">
          <xdr14:nvContentPartPr>
            <xdr14:cNvPr id="36" name="Ink 35">
              <a:extLst>
                <a:ext uri="{FF2B5EF4-FFF2-40B4-BE49-F238E27FC236}">
                  <a16:creationId xmlns:a16="http://schemas.microsoft.com/office/drawing/2014/main" id="{0AB10DD0-6C2E-4541-98F7-B8E9AE148644}"/>
                </a:ext>
              </a:extLst>
            </xdr14:cNvPr>
            <xdr14:cNvContentPartPr/>
          </xdr14:nvContentPartPr>
          <xdr14:nvPr macro=""/>
          <xdr14:xfrm>
            <a:off x="12449025" y="3886305"/>
            <a:ext cx="360" cy="360"/>
          </xdr14:xfrm>
        </xdr:contentPart>
      </mc:Choice>
      <mc:Fallback xmlns="">
        <xdr:pic>
          <xdr:nvPicPr>
            <xdr:cNvPr id="50" name="Ink 49">
              <a:extLst>
                <a:ext uri="{FF2B5EF4-FFF2-40B4-BE49-F238E27FC236}">
                  <a16:creationId xmlns:a16="http://schemas.microsoft.com/office/drawing/2014/main" id="{4ECEF899-F3CD-4D8D-B908-EE30C7009075}"/>
                </a:ext>
              </a:extLst>
            </xdr:cNvPr>
            <xdr:cNvPicPr/>
          </xdr:nvPicPr>
          <xdr:blipFill>
            <a:blip xmlns:r="http://schemas.openxmlformats.org/officeDocument/2006/relationships" r:embed="rId60"/>
            <a:stretch>
              <a:fillRect/>
            </a:stretch>
          </xdr:blipFill>
          <xdr:spPr>
            <a:xfrm>
              <a:off x="12444705" y="3881985"/>
              <a:ext cx="9000" cy="9000"/>
            </a:xfrm>
            <a:prstGeom prst="rect">
              <a:avLst/>
            </a:prstGeom>
          </xdr:spPr>
        </xdr:pic>
      </mc:Fallback>
    </mc:AlternateContent>
    <xdr:clientData/>
  </xdr:twoCellAnchor>
  <xdr:twoCellAnchor editAs="oneCell">
    <xdr:from>
      <xdr:col>34</xdr:col>
      <xdr:colOff>314235</xdr:colOff>
      <xdr:row>18</xdr:row>
      <xdr:rowOff>28485</xdr:rowOff>
    </xdr:from>
    <xdr:to>
      <xdr:col>34</xdr:col>
      <xdr:colOff>314595</xdr:colOff>
      <xdr:row>18</xdr:row>
      <xdr:rowOff>28845</xdr:rowOff>
    </xdr:to>
    <mc:AlternateContent xmlns:mc="http://schemas.openxmlformats.org/markup-compatibility/2006" xmlns:xdr14="http://schemas.microsoft.com/office/excel/2010/spreadsheetDrawing">
      <mc:Choice Requires="xdr14">
        <xdr:contentPart xmlns:r="http://schemas.openxmlformats.org/officeDocument/2006/relationships" r:id="rId63">
          <xdr14:nvContentPartPr>
            <xdr14:cNvPr id="37" name="Ink 36">
              <a:extLst>
                <a:ext uri="{FF2B5EF4-FFF2-40B4-BE49-F238E27FC236}">
                  <a16:creationId xmlns:a16="http://schemas.microsoft.com/office/drawing/2014/main" id="{390FFBD3-001B-4481-92A0-239A87FAF98A}"/>
                </a:ext>
              </a:extLst>
            </xdr14:cNvPr>
            <xdr14:cNvContentPartPr/>
          </xdr14:nvContentPartPr>
          <xdr14:nvPr macro=""/>
          <xdr14:xfrm>
            <a:off x="14087385" y="3647985"/>
            <a:ext cx="360" cy="360"/>
          </xdr14:xfrm>
        </xdr:contentPart>
      </mc:Choice>
      <mc:Fallback xmlns="">
        <xdr:pic>
          <xdr:nvPicPr>
            <xdr:cNvPr id="51" name="Ink 50">
              <a:extLst>
                <a:ext uri="{FF2B5EF4-FFF2-40B4-BE49-F238E27FC236}">
                  <a16:creationId xmlns:a16="http://schemas.microsoft.com/office/drawing/2014/main" id="{F8C0A5B1-5C7B-467E-A6DD-EEC76AD1BA5D}"/>
                </a:ext>
              </a:extLst>
            </xdr:cNvPr>
            <xdr:cNvPicPr/>
          </xdr:nvPicPr>
          <xdr:blipFill>
            <a:blip xmlns:r="http://schemas.openxmlformats.org/officeDocument/2006/relationships" r:embed="rId60"/>
            <a:stretch>
              <a:fillRect/>
            </a:stretch>
          </xdr:blipFill>
          <xdr:spPr>
            <a:xfrm>
              <a:off x="14083065" y="3643665"/>
              <a:ext cx="9000" cy="9000"/>
            </a:xfrm>
            <a:prstGeom prst="rect">
              <a:avLst/>
            </a:prstGeom>
          </xdr:spPr>
        </xdr:pic>
      </mc:Fallback>
    </mc:AlternateContent>
    <xdr:clientData/>
  </xdr:twoCellAnchor>
  <xdr:twoCellAnchor editAs="oneCell">
    <xdr:from>
      <xdr:col>28</xdr:col>
      <xdr:colOff>190425</xdr:colOff>
      <xdr:row>20</xdr:row>
      <xdr:rowOff>104685</xdr:rowOff>
    </xdr:from>
    <xdr:to>
      <xdr:col>28</xdr:col>
      <xdr:colOff>190785</xdr:colOff>
      <xdr:row>20</xdr:row>
      <xdr:rowOff>105045</xdr:rowOff>
    </xdr:to>
    <mc:AlternateContent xmlns:mc="http://schemas.openxmlformats.org/markup-compatibility/2006" xmlns:xdr14="http://schemas.microsoft.com/office/excel/2010/spreadsheetDrawing">
      <mc:Choice Requires="xdr14">
        <xdr:contentPart xmlns:r="http://schemas.openxmlformats.org/officeDocument/2006/relationships" r:id="rId64">
          <xdr14:nvContentPartPr>
            <xdr14:cNvPr id="39" name="Ink 38">
              <a:extLst>
                <a:ext uri="{FF2B5EF4-FFF2-40B4-BE49-F238E27FC236}">
                  <a16:creationId xmlns:a16="http://schemas.microsoft.com/office/drawing/2014/main" id="{586F2B54-560C-4986-BA56-5141FCC682ED}"/>
                </a:ext>
              </a:extLst>
            </xdr14:cNvPr>
            <xdr14:cNvContentPartPr/>
          </xdr14:nvContentPartPr>
          <xdr14:nvPr macro=""/>
          <xdr14:xfrm>
            <a:off x="11925225" y="4105185"/>
            <a:ext cx="360" cy="360"/>
          </xdr14:xfrm>
        </xdr:contentPart>
      </mc:Choice>
      <mc:Fallback xmlns="">
        <xdr:pic>
          <xdr:nvPicPr>
            <xdr:cNvPr id="53" name="Ink 52">
              <a:extLst>
                <a:ext uri="{FF2B5EF4-FFF2-40B4-BE49-F238E27FC236}">
                  <a16:creationId xmlns:a16="http://schemas.microsoft.com/office/drawing/2014/main" id="{B4AB5DA3-F6E6-462D-AAA7-D030221C76F2}"/>
                </a:ext>
              </a:extLst>
            </xdr:cNvPr>
            <xdr:cNvPicPr/>
          </xdr:nvPicPr>
          <xdr:blipFill>
            <a:blip xmlns:r="http://schemas.openxmlformats.org/officeDocument/2006/relationships" r:embed="rId71"/>
            <a:stretch>
              <a:fillRect/>
            </a:stretch>
          </xdr:blipFill>
          <xdr:spPr>
            <a:xfrm>
              <a:off x="11916225" y="4096185"/>
              <a:ext cx="18000" cy="18000"/>
            </a:xfrm>
            <a:prstGeom prst="rect">
              <a:avLst/>
            </a:prstGeom>
          </xdr:spPr>
        </xdr:pic>
      </mc:Fallback>
    </mc:AlternateContent>
    <xdr:clientData/>
  </xdr:twoCellAnchor>
  <xdr:twoCellAnchor editAs="oneCell">
    <xdr:from>
      <xdr:col>29</xdr:col>
      <xdr:colOff>18945</xdr:colOff>
      <xdr:row>26</xdr:row>
      <xdr:rowOff>95325</xdr:rowOff>
    </xdr:from>
    <xdr:to>
      <xdr:col>29</xdr:col>
      <xdr:colOff>19305</xdr:colOff>
      <xdr:row>26</xdr:row>
      <xdr:rowOff>95685</xdr:rowOff>
    </xdr:to>
    <mc:AlternateContent xmlns:mc="http://schemas.openxmlformats.org/markup-compatibility/2006" xmlns:xdr14="http://schemas.microsoft.com/office/excel/2010/spreadsheetDrawing">
      <mc:Choice Requires="xdr14">
        <xdr:contentPart xmlns:r="http://schemas.openxmlformats.org/officeDocument/2006/relationships" r:id="rId72">
          <xdr14:nvContentPartPr>
            <xdr14:cNvPr id="40" name="Ink 39">
              <a:extLst>
                <a:ext uri="{FF2B5EF4-FFF2-40B4-BE49-F238E27FC236}">
                  <a16:creationId xmlns:a16="http://schemas.microsoft.com/office/drawing/2014/main" id="{BF6CB1A7-76C1-406B-9EC2-997DF21881D7}"/>
                </a:ext>
              </a:extLst>
            </xdr14:cNvPr>
            <xdr14:cNvContentPartPr/>
          </xdr14:nvContentPartPr>
          <xdr14:nvPr macro=""/>
          <xdr14:xfrm>
            <a:off x="12134745" y="5238825"/>
            <a:ext cx="360" cy="360"/>
          </xdr14:xfrm>
        </xdr:contentPart>
      </mc:Choice>
      <mc:Fallback xmlns="">
        <xdr:pic>
          <xdr:nvPicPr>
            <xdr:cNvPr id="54" name="Ink 53">
              <a:extLst>
                <a:ext uri="{FF2B5EF4-FFF2-40B4-BE49-F238E27FC236}">
                  <a16:creationId xmlns:a16="http://schemas.microsoft.com/office/drawing/2014/main" id="{02A672B6-EB4C-42E9-A3AF-276602C8D4EF}"/>
                </a:ext>
              </a:extLst>
            </xdr:cNvPr>
            <xdr:cNvPicPr/>
          </xdr:nvPicPr>
          <xdr:blipFill>
            <a:blip xmlns:r="http://schemas.openxmlformats.org/officeDocument/2006/relationships" r:embed="rId71"/>
            <a:stretch>
              <a:fillRect/>
            </a:stretch>
          </xdr:blipFill>
          <xdr:spPr>
            <a:xfrm>
              <a:off x="12125745" y="5229825"/>
              <a:ext cx="18000" cy="18000"/>
            </a:xfrm>
            <a:prstGeom prst="rect">
              <a:avLst/>
            </a:prstGeom>
          </xdr:spPr>
        </xdr:pic>
      </mc:Fallback>
    </mc:AlternateContent>
    <xdr:clientData/>
  </xdr:twoCellAnchor>
  <xdr:twoCellAnchor editAs="oneCell">
    <xdr:from>
      <xdr:col>34</xdr:col>
      <xdr:colOff>276075</xdr:colOff>
      <xdr:row>23</xdr:row>
      <xdr:rowOff>171465</xdr:rowOff>
    </xdr:from>
    <xdr:to>
      <xdr:col>34</xdr:col>
      <xdr:colOff>276435</xdr:colOff>
      <xdr:row>23</xdr:row>
      <xdr:rowOff>171825</xdr:rowOff>
    </xdr:to>
    <mc:AlternateContent xmlns:mc="http://schemas.openxmlformats.org/markup-compatibility/2006" xmlns:xdr14="http://schemas.microsoft.com/office/excel/2010/spreadsheetDrawing">
      <mc:Choice Requires="xdr14">
        <xdr:contentPart xmlns:r="http://schemas.openxmlformats.org/officeDocument/2006/relationships" r:id="rId73">
          <xdr14:nvContentPartPr>
            <xdr14:cNvPr id="41" name="Ink 40">
              <a:extLst>
                <a:ext uri="{FF2B5EF4-FFF2-40B4-BE49-F238E27FC236}">
                  <a16:creationId xmlns:a16="http://schemas.microsoft.com/office/drawing/2014/main" id="{54922B2C-D3EB-4141-A332-3468002B0A26}"/>
                </a:ext>
              </a:extLst>
            </xdr14:cNvPr>
            <xdr14:cNvContentPartPr/>
          </xdr14:nvContentPartPr>
          <xdr14:nvPr macro=""/>
          <xdr14:xfrm>
            <a:off x="14049225" y="4743465"/>
            <a:ext cx="360" cy="360"/>
          </xdr14:xfrm>
        </xdr:contentPart>
      </mc:Choice>
      <mc:Fallback xmlns="">
        <xdr:pic>
          <xdr:nvPicPr>
            <xdr:cNvPr id="55" name="Ink 54">
              <a:extLst>
                <a:ext uri="{FF2B5EF4-FFF2-40B4-BE49-F238E27FC236}">
                  <a16:creationId xmlns:a16="http://schemas.microsoft.com/office/drawing/2014/main" id="{68ABA6E3-942D-49B4-8FAE-45CF34819A24}"/>
                </a:ext>
              </a:extLst>
            </xdr:cNvPr>
            <xdr:cNvPicPr/>
          </xdr:nvPicPr>
          <xdr:blipFill>
            <a:blip xmlns:r="http://schemas.openxmlformats.org/officeDocument/2006/relationships" r:embed="rId71"/>
            <a:stretch>
              <a:fillRect/>
            </a:stretch>
          </xdr:blipFill>
          <xdr:spPr>
            <a:xfrm>
              <a:off x="14040225" y="4734465"/>
              <a:ext cx="18000" cy="18000"/>
            </a:xfrm>
            <a:prstGeom prst="rect">
              <a:avLst/>
            </a:prstGeom>
          </xdr:spPr>
        </xdr:pic>
      </mc:Fallback>
    </mc:AlternateContent>
    <xdr:clientData/>
  </xdr:twoCellAnchor>
</xdr:wsDr>
</file>

<file path=xl/drawings/drawing49.xml><?xml version="1.0" encoding="utf-8"?>
<c:userShapes xmlns:c="http://schemas.openxmlformats.org/drawingml/2006/chart">
  <cdr:relSizeAnchor xmlns:cdr="http://schemas.openxmlformats.org/drawingml/2006/chartDrawing">
    <cdr:from>
      <cdr:x>0.48245</cdr:x>
      <cdr:y>0.48585</cdr:y>
    </cdr:from>
    <cdr:to>
      <cdr:x>0.70179</cdr:x>
      <cdr:y>0.6359</cdr:y>
    </cdr:to>
    <cdr:sp macro="" textlink="">
      <cdr:nvSpPr>
        <cdr:cNvPr id="8" name="TextBox 1">
          <a:extLst xmlns:a="http://schemas.openxmlformats.org/drawingml/2006/main">
            <a:ext uri="{FF2B5EF4-FFF2-40B4-BE49-F238E27FC236}">
              <a16:creationId xmlns:a16="http://schemas.microsoft.com/office/drawing/2014/main" id="{667A952A-D507-4E13-B5C4-C84D92D0DB94}"/>
            </a:ext>
          </a:extLst>
        </cdr:cNvPr>
        <cdr:cNvSpPr txBox="1"/>
      </cdr:nvSpPr>
      <cdr:spPr>
        <a:xfrm xmlns:a="http://schemas.openxmlformats.org/drawingml/2006/main">
          <a:off x="2957792" y="2244442"/>
          <a:ext cx="1344707" cy="6931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solidFill>
                <a:srgbClr val="1F7B91"/>
              </a:solidFill>
              <a:latin typeface="Arial" panose="020B0604020202020204" pitchFamily="34" charset="0"/>
              <a:cs typeface="Arial" panose="020B0604020202020204" pitchFamily="34" charset="0"/>
            </a:rPr>
            <a:t>Cumul.</a:t>
          </a:r>
          <a:r>
            <a:rPr lang="en-US" sz="1100" b="1" baseline="0">
              <a:solidFill>
                <a:srgbClr val="1F7B91"/>
              </a:solidFill>
              <a:latin typeface="Arial" panose="020B0604020202020204" pitchFamily="34" charset="0"/>
              <a:cs typeface="Arial" panose="020B0604020202020204" pitchFamily="34" charset="0"/>
            </a:rPr>
            <a:t> share of        after-tax/transfer income</a:t>
          </a:r>
          <a:endParaRPr lang="en-US" sz="1100" b="1">
            <a:solidFill>
              <a:srgbClr val="1F7B9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0.67707</cdr:x>
      <cdr:y>0.71542</cdr:y>
    </cdr:from>
    <cdr:to>
      <cdr:x>0.94443</cdr:x>
      <cdr:y>0.78133</cdr:y>
    </cdr:to>
    <cdr:sp macro="" textlink="">
      <cdr:nvSpPr>
        <cdr:cNvPr id="10" name="TextBox 1">
          <a:extLst xmlns:a="http://schemas.openxmlformats.org/drawingml/2006/main">
            <a:ext uri="{FF2B5EF4-FFF2-40B4-BE49-F238E27FC236}">
              <a16:creationId xmlns:a16="http://schemas.microsoft.com/office/drawing/2014/main" id="{EEFC3946-31B0-4B0E-8EF1-05D7B4A4B0DA}"/>
            </a:ext>
          </a:extLst>
        </cdr:cNvPr>
        <cdr:cNvSpPr txBox="1"/>
      </cdr:nvSpPr>
      <cdr:spPr>
        <a:xfrm xmlns:a="http://schemas.openxmlformats.org/drawingml/2006/main">
          <a:off x="4150928" y="3304988"/>
          <a:ext cx="1639114" cy="3044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200"/>
            </a:lnSpc>
          </a:pPr>
          <a:r>
            <a:rPr lang="en-US" sz="1200" b="1">
              <a:solidFill>
                <a:srgbClr val="792B36"/>
              </a:solidFill>
              <a:effectLst/>
              <a:latin typeface="Arial" panose="020B0604020202020204" pitchFamily="34" charset="0"/>
              <a:ea typeface="+mn-ea"/>
              <a:cs typeface="Arial" panose="020B0604020202020204" pitchFamily="34" charset="0"/>
            </a:rPr>
            <a:t>(Gini coefficient)</a:t>
          </a:r>
          <a:endParaRPr lang="en-US" sz="1200" b="1">
            <a:solidFill>
              <a:srgbClr val="792B36"/>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0.62868</cdr:x>
      <cdr:y>0.63432</cdr:y>
    </cdr:from>
    <cdr:to>
      <cdr:x>1</cdr:x>
      <cdr:y>0.76531</cdr:y>
    </cdr:to>
    <cdr:sp macro="" textlink="">
      <cdr:nvSpPr>
        <cdr:cNvPr id="11" name="TextBox 1">
          <a:extLst xmlns:a="http://schemas.openxmlformats.org/drawingml/2006/main">
            <a:ext uri="{FF2B5EF4-FFF2-40B4-BE49-F238E27FC236}">
              <a16:creationId xmlns:a16="http://schemas.microsoft.com/office/drawing/2014/main" id="{FDE74DD3-2E65-4728-BB07-5ED547CDE84E}"/>
            </a:ext>
          </a:extLst>
        </cdr:cNvPr>
        <cdr:cNvSpPr txBox="1"/>
      </cdr:nvSpPr>
      <cdr:spPr>
        <a:xfrm xmlns:a="http://schemas.openxmlformats.org/drawingml/2006/main">
          <a:off x="3854263" y="2930338"/>
          <a:ext cx="2276473" cy="605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400"/>
            </a:lnSpc>
          </a:pPr>
          <a:r>
            <a:rPr lang="en-US" sz="1200" b="1">
              <a:solidFill>
                <a:srgbClr val="792B36"/>
              </a:solidFill>
              <a:latin typeface="Arial" panose="020B0604020202020204" pitchFamily="34" charset="0"/>
              <a:cs typeface="Arial" panose="020B0604020202020204" pitchFamily="34" charset="0"/>
            </a:rPr>
            <a:t>Cumulative</a:t>
          </a:r>
          <a:r>
            <a:rPr lang="en-US" sz="1200" b="1" baseline="0">
              <a:solidFill>
                <a:srgbClr val="792B36"/>
              </a:solidFill>
              <a:latin typeface="Arial" panose="020B0604020202020204" pitchFamily="34" charset="0"/>
              <a:cs typeface="Arial" panose="020B0604020202020204" pitchFamily="34" charset="0"/>
            </a:rPr>
            <a:t> share of income before taxes/transfers</a:t>
          </a:r>
          <a:endParaRPr lang="en-US" sz="1200" b="1">
            <a:solidFill>
              <a:srgbClr val="792B36"/>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0.50363</cdr:x>
      <cdr:y>0.73386</cdr:y>
    </cdr:from>
    <cdr:to>
      <cdr:x>0.72297</cdr:x>
      <cdr:y>0.88391</cdr:y>
    </cdr:to>
    <cdr:sp macro="" textlink="">
      <cdr:nvSpPr>
        <cdr:cNvPr id="6" name="TextBox 1">
          <a:extLst xmlns:a="http://schemas.openxmlformats.org/drawingml/2006/main">
            <a:ext uri="{FF2B5EF4-FFF2-40B4-BE49-F238E27FC236}">
              <a16:creationId xmlns:a16="http://schemas.microsoft.com/office/drawing/2014/main" id="{F988A13E-356D-49CF-9664-F4EEAAF35E98}"/>
            </a:ext>
          </a:extLst>
        </cdr:cNvPr>
        <cdr:cNvSpPr txBox="1"/>
      </cdr:nvSpPr>
      <cdr:spPr>
        <a:xfrm xmlns:a="http://schemas.openxmlformats.org/drawingml/2006/main">
          <a:off x="3087594" y="3390153"/>
          <a:ext cx="1344715" cy="6931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solidFill>
                <a:srgbClr val="B57A0F"/>
              </a:solidFill>
              <a:latin typeface="Arial" panose="020B0604020202020204" pitchFamily="34" charset="0"/>
              <a:cs typeface="Arial" panose="020B0604020202020204" pitchFamily="34" charset="0"/>
            </a:rPr>
            <a:t>Reynolds-Smolensky index</a:t>
          </a:r>
        </a:p>
      </cdr:txBody>
    </cdr:sp>
  </cdr:relSizeAnchor>
  <cdr:relSizeAnchor xmlns:cdr="http://schemas.openxmlformats.org/drawingml/2006/chartDrawing">
    <cdr:from>
      <cdr:x>0.56751</cdr:x>
      <cdr:y>0.65502</cdr:y>
    </cdr:from>
    <cdr:to>
      <cdr:x>0.56836</cdr:x>
      <cdr:y>0.70952</cdr:y>
    </cdr:to>
    <cdr:cxnSp macro="">
      <cdr:nvCxnSpPr>
        <cdr:cNvPr id="7" name="Straight Arrow Connector 6">
          <a:extLst xmlns:a="http://schemas.openxmlformats.org/drawingml/2006/main">
            <a:ext uri="{FF2B5EF4-FFF2-40B4-BE49-F238E27FC236}">
              <a16:creationId xmlns:a16="http://schemas.microsoft.com/office/drawing/2014/main" id="{B4D4E348-4560-4A09-B5C0-D40056FE4904}"/>
            </a:ext>
          </a:extLst>
        </cdr:cNvPr>
        <cdr:cNvCxnSpPr/>
      </cdr:nvCxnSpPr>
      <cdr:spPr>
        <a:xfrm xmlns:a="http://schemas.openxmlformats.org/drawingml/2006/main">
          <a:off x="3479239" y="3025962"/>
          <a:ext cx="5230" cy="251759"/>
        </a:xfrm>
        <a:prstGeom xmlns:a="http://schemas.openxmlformats.org/drawingml/2006/main" prst="straightConnector1">
          <a:avLst/>
        </a:prstGeom>
        <a:ln xmlns:a="http://schemas.openxmlformats.org/drawingml/2006/main" w="12700">
          <a:solidFill>
            <a:srgbClr val="B57A0F"/>
          </a:solidFill>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xml><?xml version="1.0" encoding="utf-8"?>
<c:userShapes xmlns:c="http://schemas.openxmlformats.org/drawingml/2006/chart">
  <cdr:relSizeAnchor xmlns:cdr="http://schemas.openxmlformats.org/drawingml/2006/chartDrawing">
    <cdr:from>
      <cdr:x>0.69655</cdr:x>
      <cdr:y>0.43534</cdr:y>
    </cdr:from>
    <cdr:to>
      <cdr:x>0.9671</cdr:x>
      <cdr:y>0.49614</cdr:y>
    </cdr:to>
    <cdr:sp macro="" textlink="">
      <cdr:nvSpPr>
        <cdr:cNvPr id="3" name="TextBox 1"/>
        <cdr:cNvSpPr txBox="1"/>
      </cdr:nvSpPr>
      <cdr:spPr>
        <a:xfrm xmlns:a="http://schemas.openxmlformats.org/drawingml/2006/main">
          <a:off x="4527176" y="1961114"/>
          <a:ext cx="1758430" cy="27389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400"/>
            </a:lnSpc>
          </a:pPr>
          <a:r>
            <a:rPr lang="en-US" sz="1600" b="1">
              <a:solidFill>
                <a:srgbClr val="1F7B91"/>
              </a:solidFill>
              <a:latin typeface="Arial" panose="020B0604020202020204" pitchFamily="34" charset="0"/>
              <a:cs typeface="Arial" panose="020B0604020202020204" pitchFamily="34" charset="0"/>
            </a:rPr>
            <a:t>Middle Quintile</a:t>
          </a:r>
        </a:p>
      </cdr:txBody>
    </cdr:sp>
  </cdr:relSizeAnchor>
  <cdr:relSizeAnchor xmlns:cdr="http://schemas.openxmlformats.org/drawingml/2006/chartDrawing">
    <cdr:from>
      <cdr:x>0.89279</cdr:x>
      <cdr:y>0.49603</cdr:y>
    </cdr:from>
    <cdr:to>
      <cdr:x>0.98545</cdr:x>
      <cdr:y>0.56194</cdr:y>
    </cdr:to>
    <cdr:sp macro="" textlink="">
      <cdr:nvSpPr>
        <cdr:cNvPr id="7" name="TextBox 1">
          <a:extLst xmlns:a="http://schemas.openxmlformats.org/drawingml/2006/main">
            <a:ext uri="{FF2B5EF4-FFF2-40B4-BE49-F238E27FC236}">
              <a16:creationId xmlns:a16="http://schemas.microsoft.com/office/drawing/2014/main" id="{D65CCE9F-BE28-4EB1-A669-848CF74C8306}"/>
            </a:ext>
          </a:extLst>
        </cdr:cNvPr>
        <cdr:cNvSpPr txBox="1"/>
      </cdr:nvSpPr>
      <cdr:spPr>
        <a:xfrm xmlns:a="http://schemas.openxmlformats.org/drawingml/2006/main">
          <a:off x="5692588" y="2234498"/>
          <a:ext cx="590786" cy="29690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200"/>
            </a:lnSpc>
          </a:pPr>
          <a:r>
            <a:rPr lang="en-US" sz="1600" b="1">
              <a:solidFill>
                <a:srgbClr val="1F7B91"/>
              </a:solidFill>
              <a:effectLst/>
              <a:latin typeface="Arial" panose="020B0604020202020204" pitchFamily="34" charset="0"/>
              <a:ea typeface="+mn-ea"/>
              <a:cs typeface="Arial" panose="020B0604020202020204" pitchFamily="34" charset="0"/>
            </a:rPr>
            <a:t>–</a:t>
          </a:r>
          <a:r>
            <a:rPr lang="en-US" sz="1600" b="1">
              <a:solidFill>
                <a:srgbClr val="1F7B91"/>
              </a:solidFill>
              <a:latin typeface="Arial" panose="020B0604020202020204" pitchFamily="34" charset="0"/>
              <a:cs typeface="Arial" panose="020B0604020202020204" pitchFamily="34" charset="0"/>
            </a:rPr>
            <a:t>5.2</a:t>
          </a:r>
        </a:p>
      </cdr:txBody>
    </cdr:sp>
  </cdr:relSizeAnchor>
  <cdr:relSizeAnchor xmlns:cdr="http://schemas.openxmlformats.org/drawingml/2006/chartDrawing">
    <cdr:from>
      <cdr:x>0.69494</cdr:x>
      <cdr:y>0.79429</cdr:y>
    </cdr:from>
    <cdr:to>
      <cdr:x>0.97931</cdr:x>
      <cdr:y>0.85509</cdr:y>
    </cdr:to>
    <cdr:sp macro="" textlink="">
      <cdr:nvSpPr>
        <cdr:cNvPr id="8" name="TextBox 1">
          <a:extLst xmlns:a="http://schemas.openxmlformats.org/drawingml/2006/main">
            <a:ext uri="{FF2B5EF4-FFF2-40B4-BE49-F238E27FC236}">
              <a16:creationId xmlns:a16="http://schemas.microsoft.com/office/drawing/2014/main" id="{667A952A-D507-4E13-B5C4-C84D92D0DB94}"/>
            </a:ext>
          </a:extLst>
        </cdr:cNvPr>
        <cdr:cNvSpPr txBox="1"/>
      </cdr:nvSpPr>
      <cdr:spPr>
        <a:xfrm xmlns:a="http://schemas.openxmlformats.org/drawingml/2006/main">
          <a:off x="4516707" y="3578077"/>
          <a:ext cx="1848233" cy="27388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400"/>
            </a:lnSpc>
          </a:pPr>
          <a:r>
            <a:rPr lang="en-US" sz="1600" b="1">
              <a:solidFill>
                <a:srgbClr val="792B36"/>
              </a:solidFill>
              <a:latin typeface="Arial" panose="020B0604020202020204" pitchFamily="34" charset="0"/>
              <a:cs typeface="Arial" panose="020B0604020202020204" pitchFamily="34" charset="0"/>
            </a:rPr>
            <a:t>Bottom Quintile</a:t>
          </a:r>
        </a:p>
      </cdr:txBody>
    </cdr:sp>
  </cdr:relSizeAnchor>
  <cdr:relSizeAnchor xmlns:cdr="http://schemas.openxmlformats.org/drawingml/2006/chartDrawing">
    <cdr:from>
      <cdr:x>0.89279</cdr:x>
      <cdr:y>0.86504</cdr:y>
    </cdr:from>
    <cdr:to>
      <cdr:x>0.98587</cdr:x>
      <cdr:y>0.93095</cdr:y>
    </cdr:to>
    <cdr:sp macro="" textlink="">
      <cdr:nvSpPr>
        <cdr:cNvPr id="9" name="TextBox 1">
          <a:extLst xmlns:a="http://schemas.openxmlformats.org/drawingml/2006/main">
            <a:ext uri="{FF2B5EF4-FFF2-40B4-BE49-F238E27FC236}">
              <a16:creationId xmlns:a16="http://schemas.microsoft.com/office/drawing/2014/main" id="{3DD8D46D-9A6B-4F3A-B422-A2717F264A21}"/>
            </a:ext>
          </a:extLst>
        </cdr:cNvPr>
        <cdr:cNvSpPr txBox="1"/>
      </cdr:nvSpPr>
      <cdr:spPr>
        <a:xfrm xmlns:a="http://schemas.openxmlformats.org/drawingml/2006/main">
          <a:off x="5692588" y="3896801"/>
          <a:ext cx="593464" cy="29690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200"/>
            </a:lnSpc>
          </a:pPr>
          <a:r>
            <a:rPr lang="en-US" sz="1600" b="1">
              <a:solidFill>
                <a:srgbClr val="792B36"/>
              </a:solidFill>
              <a:effectLst/>
              <a:latin typeface="Arial" panose="020B0604020202020204" pitchFamily="34" charset="0"/>
              <a:ea typeface="+mn-ea"/>
              <a:cs typeface="Arial" panose="020B0604020202020204" pitchFamily="34" charset="0"/>
            </a:rPr>
            <a:t>–7.6</a:t>
          </a:r>
          <a:endParaRPr lang="en-US" sz="1600" b="1">
            <a:solidFill>
              <a:srgbClr val="792B36"/>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0.89098</cdr:x>
      <cdr:y>0.1212</cdr:y>
    </cdr:from>
    <cdr:to>
      <cdr:x>0.99297</cdr:x>
      <cdr:y>0.18711</cdr:y>
    </cdr:to>
    <cdr:sp macro="" textlink="">
      <cdr:nvSpPr>
        <cdr:cNvPr id="10" name="TextBox 1">
          <a:extLst xmlns:a="http://schemas.openxmlformats.org/drawingml/2006/main">
            <a:ext uri="{FF2B5EF4-FFF2-40B4-BE49-F238E27FC236}">
              <a16:creationId xmlns:a16="http://schemas.microsoft.com/office/drawing/2014/main" id="{EEFC3946-31B0-4B0E-8EF1-05D7B4A4B0DA}"/>
            </a:ext>
          </a:extLst>
        </cdr:cNvPr>
        <cdr:cNvSpPr txBox="1"/>
      </cdr:nvSpPr>
      <cdr:spPr>
        <a:xfrm xmlns:a="http://schemas.openxmlformats.org/drawingml/2006/main">
          <a:off x="5681020" y="545989"/>
          <a:ext cx="650303" cy="29690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200"/>
            </a:lnSpc>
          </a:pPr>
          <a:r>
            <a:rPr lang="en-US" sz="1600" b="1">
              <a:solidFill>
                <a:srgbClr val="B57A0F"/>
              </a:solidFill>
              <a:effectLst/>
              <a:latin typeface="Arial" panose="020B0604020202020204" pitchFamily="34" charset="0"/>
              <a:ea typeface="+mn-ea"/>
              <a:cs typeface="Arial" panose="020B0604020202020204" pitchFamily="34" charset="0"/>
            </a:rPr>
            <a:t>–0</a:t>
          </a:r>
          <a:r>
            <a:rPr lang="en-US" sz="1600" b="1">
              <a:solidFill>
                <a:srgbClr val="B57A0F"/>
              </a:solidFill>
              <a:latin typeface="Arial" panose="020B0604020202020204" pitchFamily="34" charset="0"/>
              <a:cs typeface="Arial" panose="020B0604020202020204" pitchFamily="34" charset="0"/>
            </a:rPr>
            <a:t>.6</a:t>
          </a:r>
        </a:p>
      </cdr:txBody>
    </cdr:sp>
  </cdr:relSizeAnchor>
  <cdr:relSizeAnchor xmlns:cdr="http://schemas.openxmlformats.org/drawingml/2006/chartDrawing">
    <cdr:from>
      <cdr:x>0.70436</cdr:x>
      <cdr:y>0.07489</cdr:y>
    </cdr:from>
    <cdr:to>
      <cdr:x>0.9257</cdr:x>
      <cdr:y>0.14</cdr:y>
    </cdr:to>
    <cdr:sp macro="" textlink="">
      <cdr:nvSpPr>
        <cdr:cNvPr id="11" name="TextBox 1">
          <a:extLst xmlns:a="http://schemas.openxmlformats.org/drawingml/2006/main">
            <a:ext uri="{FF2B5EF4-FFF2-40B4-BE49-F238E27FC236}">
              <a16:creationId xmlns:a16="http://schemas.microsoft.com/office/drawing/2014/main" id="{FDE74DD3-2E65-4728-BB07-5ED547CDE84E}"/>
            </a:ext>
          </a:extLst>
        </cdr:cNvPr>
        <cdr:cNvSpPr txBox="1"/>
      </cdr:nvSpPr>
      <cdr:spPr>
        <a:xfrm xmlns:a="http://schemas.openxmlformats.org/drawingml/2006/main">
          <a:off x="4577906" y="337362"/>
          <a:ext cx="1438580" cy="2933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50"/>
            </a:lnSpc>
          </a:pPr>
          <a:r>
            <a:rPr lang="en-US" sz="1600" b="1">
              <a:solidFill>
                <a:srgbClr val="B57A0F"/>
              </a:solidFill>
              <a:latin typeface="Arial" panose="020B0604020202020204" pitchFamily="34" charset="0"/>
              <a:cs typeface="Arial" panose="020B0604020202020204" pitchFamily="34" charset="0"/>
            </a:rPr>
            <a:t>Top Quintile</a:t>
          </a:r>
        </a:p>
      </cdr:txBody>
    </cdr:sp>
  </cdr:relSizeAnchor>
</c:userShapes>
</file>

<file path=xl/drawings/drawing50.xml><?xml version="1.0" encoding="utf-8"?>
<xdr:wsDr xmlns:xdr="http://schemas.openxmlformats.org/drawingml/2006/spreadsheetDrawing" xmlns:a="http://schemas.openxmlformats.org/drawingml/2006/main">
  <xdr:twoCellAnchor>
    <xdr:from>
      <xdr:col>10</xdr:col>
      <xdr:colOff>437589</xdr:colOff>
      <xdr:row>9</xdr:row>
      <xdr:rowOff>162485</xdr:rowOff>
    </xdr:from>
    <xdr:to>
      <xdr:col>27</xdr:col>
      <xdr:colOff>46502</xdr:colOff>
      <xdr:row>34</xdr:row>
      <xdr:rowOff>19610</xdr:rowOff>
    </xdr:to>
    <xdr:graphicFrame macro="">
      <xdr:nvGraphicFramePr>
        <xdr:cNvPr id="2" name="Chart 1">
          <a:extLst>
            <a:ext uri="{FF2B5EF4-FFF2-40B4-BE49-F238E27FC236}">
              <a16:creationId xmlns:a16="http://schemas.microsoft.com/office/drawing/2014/main" id="{38279C82-7C9D-4B2D-99F4-86348C4E4C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27</xdr:col>
      <xdr:colOff>190440</xdr:colOff>
      <xdr:row>21</xdr:row>
      <xdr:rowOff>66825</xdr:rowOff>
    </xdr:from>
    <xdr:to>
      <xdr:col>27</xdr:col>
      <xdr:colOff>190800</xdr:colOff>
      <xdr:row>21</xdr:row>
      <xdr:rowOff>67185</xdr:rowOff>
    </xdr:to>
    <mc:AlternateContent xmlns:mc="http://schemas.openxmlformats.org/markup-compatibility/2006" xmlns:xdr14="http://schemas.microsoft.com/office/excel/2010/spreadsheetDrawing">
      <mc:Choice Requires="xdr14">
        <xdr:contentPart xmlns:r="http://schemas.openxmlformats.org/officeDocument/2006/relationships" r:id="rId2">
          <xdr14:nvContentPartPr>
            <xdr14:cNvPr id="3" name="Ink 2">
              <a:extLst>
                <a:ext uri="{FF2B5EF4-FFF2-40B4-BE49-F238E27FC236}">
                  <a16:creationId xmlns:a16="http://schemas.microsoft.com/office/drawing/2014/main" id="{E401682C-C633-4842-B4C7-B6326E9CD84E}"/>
                </a:ext>
              </a:extLst>
            </xdr14:cNvPr>
            <xdr14:cNvContentPartPr/>
          </xdr14:nvContentPartPr>
          <xdr14:nvPr macro=""/>
          <xdr14:xfrm>
            <a:off x="11591865" y="4257825"/>
            <a:ext cx="360" cy="360"/>
          </xdr14:xfrm>
        </xdr:contentPart>
      </mc:Choice>
      <mc:Fallback xmlns="">
        <xdr:pic>
          <xdr:nvPicPr>
            <xdr:cNvPr id="40" name="Ink 39">
              <a:extLst>
                <a:ext uri="{FF2B5EF4-FFF2-40B4-BE49-F238E27FC236}">
                  <a16:creationId xmlns:a16="http://schemas.microsoft.com/office/drawing/2014/main" id="{DD68D223-85BE-4459-A03C-D5A171CEE79E}"/>
                </a:ext>
              </a:extLst>
            </xdr:cNvPr>
            <xdr:cNvPicPr/>
          </xdr:nvPicPr>
          <xdr:blipFill>
            <a:blip xmlns:r="http://schemas.openxmlformats.org/officeDocument/2006/relationships" r:embed="rId60"/>
            <a:stretch>
              <a:fillRect/>
            </a:stretch>
          </xdr:blipFill>
          <xdr:spPr>
            <a:xfrm>
              <a:off x="11587545" y="4253505"/>
              <a:ext cx="9000" cy="9000"/>
            </a:xfrm>
            <a:prstGeom prst="rect">
              <a:avLst/>
            </a:prstGeom>
          </xdr:spPr>
        </xdr:pic>
      </mc:Fallback>
    </mc:AlternateContent>
    <xdr:clientData/>
  </xdr:twoCellAnchor>
  <xdr:twoCellAnchor editAs="oneCell">
    <xdr:from>
      <xdr:col>21</xdr:col>
      <xdr:colOff>180825</xdr:colOff>
      <xdr:row>13</xdr:row>
      <xdr:rowOff>133185</xdr:rowOff>
    </xdr:from>
    <xdr:to>
      <xdr:col>21</xdr:col>
      <xdr:colOff>181185</xdr:colOff>
      <xdr:row>13</xdr:row>
      <xdr:rowOff>133545</xdr:rowOff>
    </xdr:to>
    <mc:AlternateContent xmlns:mc="http://schemas.openxmlformats.org/markup-compatibility/2006" xmlns:xdr14="http://schemas.microsoft.com/office/excel/2010/spreadsheetDrawing">
      <mc:Choice Requires="xdr14">
        <xdr:contentPart xmlns:r="http://schemas.openxmlformats.org/officeDocument/2006/relationships" r:id="rId61">
          <xdr14:nvContentPartPr>
            <xdr14:cNvPr id="4" name="Ink 3">
              <a:extLst>
                <a:ext uri="{FF2B5EF4-FFF2-40B4-BE49-F238E27FC236}">
                  <a16:creationId xmlns:a16="http://schemas.microsoft.com/office/drawing/2014/main" id="{F3DC0F72-D71F-4EA3-9C12-33EB4FE0AB1A}"/>
                </a:ext>
              </a:extLst>
            </xdr14:cNvPr>
            <xdr14:cNvContentPartPr/>
          </xdr14:nvContentPartPr>
          <xdr14:nvPr macro=""/>
          <xdr14:xfrm>
            <a:off x="9477225" y="2800185"/>
            <a:ext cx="360" cy="360"/>
          </xdr14:xfrm>
        </xdr:contentPart>
      </mc:Choice>
      <mc:Fallback xmlns="">
        <xdr:pic>
          <xdr:nvPicPr>
            <xdr:cNvPr id="46" name="Ink 45">
              <a:extLst>
                <a:ext uri="{FF2B5EF4-FFF2-40B4-BE49-F238E27FC236}">
                  <a16:creationId xmlns:a16="http://schemas.microsoft.com/office/drawing/2014/main" id="{44610805-10A3-42B6-B911-F889927A6193}"/>
                </a:ext>
              </a:extLst>
            </xdr:cNvPr>
            <xdr:cNvPicPr/>
          </xdr:nvPicPr>
          <xdr:blipFill>
            <a:blip xmlns:r="http://schemas.openxmlformats.org/officeDocument/2006/relationships" r:embed="rId60"/>
            <a:stretch>
              <a:fillRect/>
            </a:stretch>
          </xdr:blipFill>
          <xdr:spPr>
            <a:xfrm>
              <a:off x="9472905" y="2795865"/>
              <a:ext cx="9000" cy="9000"/>
            </a:xfrm>
            <a:prstGeom prst="rect">
              <a:avLst/>
            </a:prstGeom>
          </xdr:spPr>
        </xdr:pic>
      </mc:Fallback>
    </mc:AlternateContent>
    <xdr:clientData/>
  </xdr:twoCellAnchor>
  <xdr:twoCellAnchor editAs="oneCell">
    <xdr:from>
      <xdr:col>29</xdr:col>
      <xdr:colOff>333225</xdr:colOff>
      <xdr:row>19</xdr:row>
      <xdr:rowOff>76305</xdr:rowOff>
    </xdr:from>
    <xdr:to>
      <xdr:col>29</xdr:col>
      <xdr:colOff>333585</xdr:colOff>
      <xdr:row>19</xdr:row>
      <xdr:rowOff>76665</xdr:rowOff>
    </xdr:to>
    <mc:AlternateContent xmlns:mc="http://schemas.openxmlformats.org/markup-compatibility/2006" xmlns:xdr14="http://schemas.microsoft.com/office/excel/2010/spreadsheetDrawing">
      <mc:Choice Requires="xdr14">
        <xdr:contentPart xmlns:r="http://schemas.openxmlformats.org/officeDocument/2006/relationships" r:id="rId62">
          <xdr14:nvContentPartPr>
            <xdr14:cNvPr id="5" name="Ink 4">
              <a:extLst>
                <a:ext uri="{FF2B5EF4-FFF2-40B4-BE49-F238E27FC236}">
                  <a16:creationId xmlns:a16="http://schemas.microsoft.com/office/drawing/2014/main" id="{33F48D42-CE56-4EFF-9CB2-5F7C7F0B054C}"/>
                </a:ext>
              </a:extLst>
            </xdr14:cNvPr>
            <xdr14:cNvContentPartPr/>
          </xdr14:nvContentPartPr>
          <xdr14:nvPr macro=""/>
          <xdr14:xfrm>
            <a:off x="12449025" y="3886305"/>
            <a:ext cx="360" cy="360"/>
          </xdr14:xfrm>
        </xdr:contentPart>
      </mc:Choice>
      <mc:Fallback xmlns="">
        <xdr:pic>
          <xdr:nvPicPr>
            <xdr:cNvPr id="50" name="Ink 49">
              <a:extLst>
                <a:ext uri="{FF2B5EF4-FFF2-40B4-BE49-F238E27FC236}">
                  <a16:creationId xmlns:a16="http://schemas.microsoft.com/office/drawing/2014/main" id="{4ECEF899-F3CD-4D8D-B908-EE30C7009075}"/>
                </a:ext>
              </a:extLst>
            </xdr:cNvPr>
            <xdr:cNvPicPr/>
          </xdr:nvPicPr>
          <xdr:blipFill>
            <a:blip xmlns:r="http://schemas.openxmlformats.org/officeDocument/2006/relationships" r:embed="rId60"/>
            <a:stretch>
              <a:fillRect/>
            </a:stretch>
          </xdr:blipFill>
          <xdr:spPr>
            <a:xfrm>
              <a:off x="12444705" y="3881985"/>
              <a:ext cx="9000" cy="9000"/>
            </a:xfrm>
            <a:prstGeom prst="rect">
              <a:avLst/>
            </a:prstGeom>
          </xdr:spPr>
        </xdr:pic>
      </mc:Fallback>
    </mc:AlternateContent>
    <xdr:clientData/>
  </xdr:twoCellAnchor>
  <xdr:twoCellAnchor editAs="oneCell">
    <xdr:from>
      <xdr:col>34</xdr:col>
      <xdr:colOff>314235</xdr:colOff>
      <xdr:row>18</xdr:row>
      <xdr:rowOff>28485</xdr:rowOff>
    </xdr:from>
    <xdr:to>
      <xdr:col>34</xdr:col>
      <xdr:colOff>314595</xdr:colOff>
      <xdr:row>18</xdr:row>
      <xdr:rowOff>28845</xdr:rowOff>
    </xdr:to>
    <mc:AlternateContent xmlns:mc="http://schemas.openxmlformats.org/markup-compatibility/2006" xmlns:xdr14="http://schemas.microsoft.com/office/excel/2010/spreadsheetDrawing">
      <mc:Choice Requires="xdr14">
        <xdr:contentPart xmlns:r="http://schemas.openxmlformats.org/officeDocument/2006/relationships" r:id="rId63">
          <xdr14:nvContentPartPr>
            <xdr14:cNvPr id="6" name="Ink 5">
              <a:extLst>
                <a:ext uri="{FF2B5EF4-FFF2-40B4-BE49-F238E27FC236}">
                  <a16:creationId xmlns:a16="http://schemas.microsoft.com/office/drawing/2014/main" id="{55FE3381-78DD-4B3C-ABEC-36A12B8B3CBA}"/>
                </a:ext>
              </a:extLst>
            </xdr14:cNvPr>
            <xdr14:cNvContentPartPr/>
          </xdr14:nvContentPartPr>
          <xdr14:nvPr macro=""/>
          <xdr14:xfrm>
            <a:off x="14087385" y="3647985"/>
            <a:ext cx="360" cy="360"/>
          </xdr14:xfrm>
        </xdr:contentPart>
      </mc:Choice>
      <mc:Fallback xmlns="">
        <xdr:pic>
          <xdr:nvPicPr>
            <xdr:cNvPr id="51" name="Ink 50">
              <a:extLst>
                <a:ext uri="{FF2B5EF4-FFF2-40B4-BE49-F238E27FC236}">
                  <a16:creationId xmlns:a16="http://schemas.microsoft.com/office/drawing/2014/main" id="{F8C0A5B1-5C7B-467E-A6DD-EEC76AD1BA5D}"/>
                </a:ext>
              </a:extLst>
            </xdr:cNvPr>
            <xdr:cNvPicPr/>
          </xdr:nvPicPr>
          <xdr:blipFill>
            <a:blip xmlns:r="http://schemas.openxmlformats.org/officeDocument/2006/relationships" r:embed="rId60"/>
            <a:stretch>
              <a:fillRect/>
            </a:stretch>
          </xdr:blipFill>
          <xdr:spPr>
            <a:xfrm>
              <a:off x="14083065" y="3643665"/>
              <a:ext cx="9000" cy="9000"/>
            </a:xfrm>
            <a:prstGeom prst="rect">
              <a:avLst/>
            </a:prstGeom>
          </xdr:spPr>
        </xdr:pic>
      </mc:Fallback>
    </mc:AlternateContent>
    <xdr:clientData/>
  </xdr:twoCellAnchor>
  <xdr:twoCellAnchor editAs="oneCell">
    <xdr:from>
      <xdr:col>28</xdr:col>
      <xdr:colOff>190425</xdr:colOff>
      <xdr:row>20</xdr:row>
      <xdr:rowOff>104685</xdr:rowOff>
    </xdr:from>
    <xdr:to>
      <xdr:col>28</xdr:col>
      <xdr:colOff>190785</xdr:colOff>
      <xdr:row>20</xdr:row>
      <xdr:rowOff>105045</xdr:rowOff>
    </xdr:to>
    <mc:AlternateContent xmlns:mc="http://schemas.openxmlformats.org/markup-compatibility/2006" xmlns:xdr14="http://schemas.microsoft.com/office/excel/2010/spreadsheetDrawing">
      <mc:Choice Requires="xdr14">
        <xdr:contentPart xmlns:r="http://schemas.openxmlformats.org/officeDocument/2006/relationships" r:id="rId64">
          <xdr14:nvContentPartPr>
            <xdr14:cNvPr id="7" name="Ink 6">
              <a:extLst>
                <a:ext uri="{FF2B5EF4-FFF2-40B4-BE49-F238E27FC236}">
                  <a16:creationId xmlns:a16="http://schemas.microsoft.com/office/drawing/2014/main" id="{FFD154A0-5F2A-48E4-A74A-6D3C983BA739}"/>
                </a:ext>
              </a:extLst>
            </xdr14:cNvPr>
            <xdr14:cNvContentPartPr/>
          </xdr14:nvContentPartPr>
          <xdr14:nvPr macro=""/>
          <xdr14:xfrm>
            <a:off x="11925225" y="4105185"/>
            <a:ext cx="360" cy="360"/>
          </xdr14:xfrm>
        </xdr:contentPart>
      </mc:Choice>
      <mc:Fallback xmlns="">
        <xdr:pic>
          <xdr:nvPicPr>
            <xdr:cNvPr id="53" name="Ink 52">
              <a:extLst>
                <a:ext uri="{FF2B5EF4-FFF2-40B4-BE49-F238E27FC236}">
                  <a16:creationId xmlns:a16="http://schemas.microsoft.com/office/drawing/2014/main" id="{B4AB5DA3-F6E6-462D-AAA7-D030221C76F2}"/>
                </a:ext>
              </a:extLst>
            </xdr:cNvPr>
            <xdr:cNvPicPr/>
          </xdr:nvPicPr>
          <xdr:blipFill>
            <a:blip xmlns:r="http://schemas.openxmlformats.org/officeDocument/2006/relationships" r:embed="rId71"/>
            <a:stretch>
              <a:fillRect/>
            </a:stretch>
          </xdr:blipFill>
          <xdr:spPr>
            <a:xfrm>
              <a:off x="11916225" y="4096185"/>
              <a:ext cx="18000" cy="18000"/>
            </a:xfrm>
            <a:prstGeom prst="rect">
              <a:avLst/>
            </a:prstGeom>
          </xdr:spPr>
        </xdr:pic>
      </mc:Fallback>
    </mc:AlternateContent>
    <xdr:clientData/>
  </xdr:twoCellAnchor>
  <xdr:twoCellAnchor editAs="oneCell">
    <xdr:from>
      <xdr:col>29</xdr:col>
      <xdr:colOff>18945</xdr:colOff>
      <xdr:row>26</xdr:row>
      <xdr:rowOff>95325</xdr:rowOff>
    </xdr:from>
    <xdr:to>
      <xdr:col>29</xdr:col>
      <xdr:colOff>19305</xdr:colOff>
      <xdr:row>26</xdr:row>
      <xdr:rowOff>95685</xdr:rowOff>
    </xdr:to>
    <mc:AlternateContent xmlns:mc="http://schemas.openxmlformats.org/markup-compatibility/2006" xmlns:xdr14="http://schemas.microsoft.com/office/excel/2010/spreadsheetDrawing">
      <mc:Choice Requires="xdr14">
        <xdr:contentPart xmlns:r="http://schemas.openxmlformats.org/officeDocument/2006/relationships" r:id="rId72">
          <xdr14:nvContentPartPr>
            <xdr14:cNvPr id="8" name="Ink 7">
              <a:extLst>
                <a:ext uri="{FF2B5EF4-FFF2-40B4-BE49-F238E27FC236}">
                  <a16:creationId xmlns:a16="http://schemas.microsoft.com/office/drawing/2014/main" id="{C5BECBED-8CBC-4DE5-ADC9-C902AEC1C464}"/>
                </a:ext>
              </a:extLst>
            </xdr14:cNvPr>
            <xdr14:cNvContentPartPr/>
          </xdr14:nvContentPartPr>
          <xdr14:nvPr macro=""/>
          <xdr14:xfrm>
            <a:off x="12134745" y="5238825"/>
            <a:ext cx="360" cy="360"/>
          </xdr14:xfrm>
        </xdr:contentPart>
      </mc:Choice>
      <mc:Fallback xmlns="">
        <xdr:pic>
          <xdr:nvPicPr>
            <xdr:cNvPr id="54" name="Ink 53">
              <a:extLst>
                <a:ext uri="{FF2B5EF4-FFF2-40B4-BE49-F238E27FC236}">
                  <a16:creationId xmlns:a16="http://schemas.microsoft.com/office/drawing/2014/main" id="{02A672B6-EB4C-42E9-A3AF-276602C8D4EF}"/>
                </a:ext>
              </a:extLst>
            </xdr:cNvPr>
            <xdr:cNvPicPr/>
          </xdr:nvPicPr>
          <xdr:blipFill>
            <a:blip xmlns:r="http://schemas.openxmlformats.org/officeDocument/2006/relationships" r:embed="rId71"/>
            <a:stretch>
              <a:fillRect/>
            </a:stretch>
          </xdr:blipFill>
          <xdr:spPr>
            <a:xfrm>
              <a:off x="12125745" y="5229825"/>
              <a:ext cx="18000" cy="18000"/>
            </a:xfrm>
            <a:prstGeom prst="rect">
              <a:avLst/>
            </a:prstGeom>
          </xdr:spPr>
        </xdr:pic>
      </mc:Fallback>
    </mc:AlternateContent>
    <xdr:clientData/>
  </xdr:twoCellAnchor>
  <xdr:twoCellAnchor editAs="oneCell">
    <xdr:from>
      <xdr:col>34</xdr:col>
      <xdr:colOff>276075</xdr:colOff>
      <xdr:row>23</xdr:row>
      <xdr:rowOff>171465</xdr:rowOff>
    </xdr:from>
    <xdr:to>
      <xdr:col>34</xdr:col>
      <xdr:colOff>276435</xdr:colOff>
      <xdr:row>23</xdr:row>
      <xdr:rowOff>171825</xdr:rowOff>
    </xdr:to>
    <mc:AlternateContent xmlns:mc="http://schemas.openxmlformats.org/markup-compatibility/2006" xmlns:xdr14="http://schemas.microsoft.com/office/excel/2010/spreadsheetDrawing">
      <mc:Choice Requires="xdr14">
        <xdr:contentPart xmlns:r="http://schemas.openxmlformats.org/officeDocument/2006/relationships" r:id="rId73">
          <xdr14:nvContentPartPr>
            <xdr14:cNvPr id="9" name="Ink 8">
              <a:extLst>
                <a:ext uri="{FF2B5EF4-FFF2-40B4-BE49-F238E27FC236}">
                  <a16:creationId xmlns:a16="http://schemas.microsoft.com/office/drawing/2014/main" id="{ABA9A3C3-1499-4447-997D-F2DD129FFD4A}"/>
                </a:ext>
              </a:extLst>
            </xdr14:cNvPr>
            <xdr14:cNvContentPartPr/>
          </xdr14:nvContentPartPr>
          <xdr14:nvPr macro=""/>
          <xdr14:xfrm>
            <a:off x="14049225" y="4743465"/>
            <a:ext cx="360" cy="360"/>
          </xdr14:xfrm>
        </xdr:contentPart>
      </mc:Choice>
      <mc:Fallback xmlns="">
        <xdr:pic>
          <xdr:nvPicPr>
            <xdr:cNvPr id="55" name="Ink 54">
              <a:extLst>
                <a:ext uri="{FF2B5EF4-FFF2-40B4-BE49-F238E27FC236}">
                  <a16:creationId xmlns:a16="http://schemas.microsoft.com/office/drawing/2014/main" id="{68ABA6E3-942D-49B4-8FAE-45CF34819A24}"/>
                </a:ext>
              </a:extLst>
            </xdr:cNvPr>
            <xdr:cNvPicPr/>
          </xdr:nvPicPr>
          <xdr:blipFill>
            <a:blip xmlns:r="http://schemas.openxmlformats.org/officeDocument/2006/relationships" r:embed="rId71"/>
            <a:stretch>
              <a:fillRect/>
            </a:stretch>
          </xdr:blipFill>
          <xdr:spPr>
            <a:xfrm>
              <a:off x="14040225" y="4734465"/>
              <a:ext cx="18000" cy="18000"/>
            </a:xfrm>
            <a:prstGeom prst="rect">
              <a:avLst/>
            </a:prstGeom>
          </xdr:spPr>
        </xdr:pic>
      </mc:Fallback>
    </mc:AlternateContent>
    <xdr:clientData/>
  </xdr:twoCellAnchor>
</xdr:wsDr>
</file>

<file path=xl/drawings/drawing51.xml><?xml version="1.0" encoding="utf-8"?>
<c:userShapes xmlns:c="http://schemas.openxmlformats.org/drawingml/2006/chart">
  <cdr:relSizeAnchor xmlns:cdr="http://schemas.openxmlformats.org/drawingml/2006/chartDrawing">
    <cdr:from>
      <cdr:x>0.26677</cdr:x>
      <cdr:y>0.43976</cdr:y>
    </cdr:from>
    <cdr:to>
      <cdr:x>0.73469</cdr:x>
      <cdr:y>0.58981</cdr:y>
    </cdr:to>
    <cdr:sp macro="" textlink="">
      <cdr:nvSpPr>
        <cdr:cNvPr id="8" name="TextBox 1">
          <a:extLst xmlns:a="http://schemas.openxmlformats.org/drawingml/2006/main">
            <a:ext uri="{FF2B5EF4-FFF2-40B4-BE49-F238E27FC236}">
              <a16:creationId xmlns:a16="http://schemas.microsoft.com/office/drawing/2014/main" id="{667A952A-D507-4E13-B5C4-C84D92D0DB94}"/>
            </a:ext>
          </a:extLst>
        </cdr:cNvPr>
        <cdr:cNvSpPr txBox="1"/>
      </cdr:nvSpPr>
      <cdr:spPr>
        <a:xfrm xmlns:a="http://schemas.openxmlformats.org/drawingml/2006/main">
          <a:off x="1635499" y="2031526"/>
          <a:ext cx="2868691" cy="6931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200"/>
            </a:lnSpc>
          </a:pPr>
          <a:r>
            <a:rPr lang="en-US" sz="1300" b="1">
              <a:solidFill>
                <a:srgbClr val="1F7B91"/>
              </a:solidFill>
              <a:latin typeface="Arial" panose="020B0604020202020204" pitchFamily="34" charset="0"/>
              <a:cs typeface="Arial" panose="020B0604020202020204" pitchFamily="34" charset="0"/>
            </a:rPr>
            <a:t>Cumulative</a:t>
          </a:r>
          <a:r>
            <a:rPr lang="en-US" sz="1300" b="1" baseline="0">
              <a:solidFill>
                <a:srgbClr val="1F7B91"/>
              </a:solidFill>
              <a:latin typeface="Arial" panose="020B0604020202020204" pitchFamily="34" charset="0"/>
              <a:cs typeface="Arial" panose="020B0604020202020204" pitchFamily="34" charset="0"/>
            </a:rPr>
            <a:t> share of                pseudo after-tax/transfer income    (excl. payroll tax &amp; social insur.)</a:t>
          </a:r>
          <a:endParaRPr lang="en-US" sz="1300" b="1">
            <a:solidFill>
              <a:srgbClr val="1F7B9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0.72921</cdr:x>
      <cdr:y>0.67661</cdr:y>
    </cdr:from>
    <cdr:to>
      <cdr:x>0.95722</cdr:x>
      <cdr:y>0.74252</cdr:y>
    </cdr:to>
    <cdr:sp macro="" textlink="">
      <cdr:nvSpPr>
        <cdr:cNvPr id="10" name="TextBox 1">
          <a:extLst xmlns:a="http://schemas.openxmlformats.org/drawingml/2006/main">
            <a:ext uri="{FF2B5EF4-FFF2-40B4-BE49-F238E27FC236}">
              <a16:creationId xmlns:a16="http://schemas.microsoft.com/office/drawing/2014/main" id="{EEFC3946-31B0-4B0E-8EF1-05D7B4A4B0DA}"/>
            </a:ext>
          </a:extLst>
        </cdr:cNvPr>
        <cdr:cNvSpPr txBox="1"/>
      </cdr:nvSpPr>
      <cdr:spPr>
        <a:xfrm xmlns:a="http://schemas.openxmlformats.org/drawingml/2006/main">
          <a:off x="4470587" y="3125684"/>
          <a:ext cx="1397876" cy="3044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200"/>
            </a:lnSpc>
          </a:pPr>
          <a:endParaRPr lang="en-US" sz="1200" b="1">
            <a:solidFill>
              <a:srgbClr val="792B36"/>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0.7091</cdr:x>
      <cdr:y>0.5931</cdr:y>
    </cdr:from>
    <cdr:to>
      <cdr:x>0.98721</cdr:x>
      <cdr:y>0.74591</cdr:y>
    </cdr:to>
    <cdr:sp macro="" textlink="">
      <cdr:nvSpPr>
        <cdr:cNvPr id="11" name="TextBox 1">
          <a:extLst xmlns:a="http://schemas.openxmlformats.org/drawingml/2006/main">
            <a:ext uri="{FF2B5EF4-FFF2-40B4-BE49-F238E27FC236}">
              <a16:creationId xmlns:a16="http://schemas.microsoft.com/office/drawing/2014/main" id="{FDE74DD3-2E65-4728-BB07-5ED547CDE84E}"/>
            </a:ext>
          </a:extLst>
        </cdr:cNvPr>
        <cdr:cNvSpPr txBox="1"/>
      </cdr:nvSpPr>
      <cdr:spPr>
        <a:xfrm xmlns:a="http://schemas.openxmlformats.org/drawingml/2006/main">
          <a:off x="4347323" y="2739900"/>
          <a:ext cx="1704972" cy="7059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400"/>
            </a:lnSpc>
          </a:pPr>
          <a:r>
            <a:rPr lang="en-US" sz="1300" b="1">
              <a:solidFill>
                <a:srgbClr val="792B36"/>
              </a:solidFill>
              <a:latin typeface="Arial" panose="020B0604020202020204" pitchFamily="34" charset="0"/>
              <a:cs typeface="Arial" panose="020B0604020202020204" pitchFamily="34" charset="0"/>
            </a:rPr>
            <a:t>Cumulative</a:t>
          </a:r>
          <a:r>
            <a:rPr lang="en-US" sz="1300" b="1" baseline="0">
              <a:solidFill>
                <a:srgbClr val="792B36"/>
              </a:solidFill>
              <a:latin typeface="Arial" panose="020B0604020202020204" pitchFamily="34" charset="0"/>
              <a:cs typeface="Arial" panose="020B0604020202020204" pitchFamily="34" charset="0"/>
            </a:rPr>
            <a:t> share of market income</a:t>
          </a:r>
          <a:endParaRPr lang="en-US" sz="1300" b="1">
            <a:solidFill>
              <a:srgbClr val="792B36"/>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0.56653</cdr:x>
      <cdr:y>0.69012</cdr:y>
    </cdr:from>
    <cdr:to>
      <cdr:x>0.57074</cdr:x>
      <cdr:y>0.74833</cdr:y>
    </cdr:to>
    <cdr:cxnSp macro="">
      <cdr:nvCxnSpPr>
        <cdr:cNvPr id="3" name="Straight Arrow Connector 2">
          <a:extLst xmlns:a="http://schemas.openxmlformats.org/drawingml/2006/main">
            <a:ext uri="{FF2B5EF4-FFF2-40B4-BE49-F238E27FC236}">
              <a16:creationId xmlns:a16="http://schemas.microsoft.com/office/drawing/2014/main" id="{EDAA1089-E218-439B-AE75-B3F32C5FF919}"/>
            </a:ext>
          </a:extLst>
        </cdr:cNvPr>
        <cdr:cNvCxnSpPr/>
      </cdr:nvCxnSpPr>
      <cdr:spPr>
        <a:xfrm xmlns:a="http://schemas.openxmlformats.org/drawingml/2006/main">
          <a:off x="3455561" y="3188096"/>
          <a:ext cx="25707" cy="268919"/>
        </a:xfrm>
        <a:prstGeom xmlns:a="http://schemas.openxmlformats.org/drawingml/2006/main" prst="straightConnector1">
          <a:avLst/>
        </a:prstGeom>
        <a:ln xmlns:a="http://schemas.openxmlformats.org/drawingml/2006/main" w="12700">
          <a:solidFill>
            <a:srgbClr val="B57A0F"/>
          </a:solidFill>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0.52739</cdr:x>
      <cdr:y>0.77024</cdr:y>
    </cdr:from>
    <cdr:to>
      <cdr:x>0.965</cdr:x>
      <cdr:y>0.92029</cdr:y>
    </cdr:to>
    <cdr:sp macro="" textlink="">
      <cdr:nvSpPr>
        <cdr:cNvPr id="7" name="TextBox 1">
          <a:extLst xmlns:a="http://schemas.openxmlformats.org/drawingml/2006/main">
            <a:ext uri="{FF2B5EF4-FFF2-40B4-BE49-F238E27FC236}">
              <a16:creationId xmlns:a16="http://schemas.microsoft.com/office/drawing/2014/main" id="{F045C73E-8A63-4E48-AB25-462CD3EE3061}"/>
            </a:ext>
          </a:extLst>
        </cdr:cNvPr>
        <cdr:cNvSpPr txBox="1"/>
      </cdr:nvSpPr>
      <cdr:spPr>
        <a:xfrm xmlns:a="http://schemas.openxmlformats.org/drawingml/2006/main">
          <a:off x="3233285" y="3558233"/>
          <a:ext cx="2682862" cy="6931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400" b="1">
              <a:solidFill>
                <a:srgbClr val="B57A0F"/>
              </a:solidFill>
              <a:latin typeface="Arial" panose="020B0604020202020204" pitchFamily="34" charset="0"/>
              <a:cs typeface="Arial" panose="020B0604020202020204" pitchFamily="34" charset="0"/>
            </a:rPr>
            <a:t>Reynolds-Smolensky index</a:t>
          </a:r>
        </a:p>
      </cdr:txBody>
    </cdr:sp>
  </cdr:relSizeAnchor>
</c:userShapes>
</file>

<file path=xl/drawings/drawing52.xml><?xml version="1.0" encoding="utf-8"?>
<xdr:wsDr xmlns:xdr="http://schemas.openxmlformats.org/drawingml/2006/spreadsheetDrawing" xmlns:a="http://schemas.openxmlformats.org/drawingml/2006/main">
  <xdr:twoCellAnchor>
    <xdr:from>
      <xdr:col>10</xdr:col>
      <xdr:colOff>437589</xdr:colOff>
      <xdr:row>9</xdr:row>
      <xdr:rowOff>162485</xdr:rowOff>
    </xdr:from>
    <xdr:to>
      <xdr:col>27</xdr:col>
      <xdr:colOff>46502</xdr:colOff>
      <xdr:row>34</xdr:row>
      <xdr:rowOff>19610</xdr:rowOff>
    </xdr:to>
    <xdr:graphicFrame macro="">
      <xdr:nvGraphicFramePr>
        <xdr:cNvPr id="2" name="Chart 1">
          <a:extLst>
            <a:ext uri="{FF2B5EF4-FFF2-40B4-BE49-F238E27FC236}">
              <a16:creationId xmlns:a16="http://schemas.microsoft.com/office/drawing/2014/main" id="{76A7D957-1885-460B-89F7-3B73DB152F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27</xdr:col>
      <xdr:colOff>190440</xdr:colOff>
      <xdr:row>21</xdr:row>
      <xdr:rowOff>66825</xdr:rowOff>
    </xdr:from>
    <xdr:to>
      <xdr:col>27</xdr:col>
      <xdr:colOff>190800</xdr:colOff>
      <xdr:row>21</xdr:row>
      <xdr:rowOff>67185</xdr:rowOff>
    </xdr:to>
    <mc:AlternateContent xmlns:mc="http://schemas.openxmlformats.org/markup-compatibility/2006" xmlns:xdr14="http://schemas.microsoft.com/office/excel/2010/spreadsheetDrawing">
      <mc:Choice Requires="xdr14">
        <xdr:contentPart xmlns:r="http://schemas.openxmlformats.org/officeDocument/2006/relationships" r:id="rId2">
          <xdr14:nvContentPartPr>
            <xdr14:cNvPr id="3" name="Ink 2">
              <a:extLst>
                <a:ext uri="{FF2B5EF4-FFF2-40B4-BE49-F238E27FC236}">
                  <a16:creationId xmlns:a16="http://schemas.microsoft.com/office/drawing/2014/main" id="{1349C8B4-7FFF-4A53-BC01-4C9950361FF2}"/>
                </a:ext>
              </a:extLst>
            </xdr14:cNvPr>
            <xdr14:cNvContentPartPr/>
          </xdr14:nvContentPartPr>
          <xdr14:nvPr macro=""/>
          <xdr14:xfrm>
            <a:off x="11591865" y="4257825"/>
            <a:ext cx="360" cy="360"/>
          </xdr14:xfrm>
        </xdr:contentPart>
      </mc:Choice>
      <mc:Fallback xmlns="">
        <xdr:pic>
          <xdr:nvPicPr>
            <xdr:cNvPr id="40" name="Ink 39">
              <a:extLst>
                <a:ext uri="{FF2B5EF4-FFF2-40B4-BE49-F238E27FC236}">
                  <a16:creationId xmlns:a16="http://schemas.microsoft.com/office/drawing/2014/main" id="{DD68D223-85BE-4459-A03C-D5A171CEE79E}"/>
                </a:ext>
              </a:extLst>
            </xdr:cNvPr>
            <xdr:cNvPicPr/>
          </xdr:nvPicPr>
          <xdr:blipFill>
            <a:blip xmlns:r="http://schemas.openxmlformats.org/officeDocument/2006/relationships" r:embed="rId60"/>
            <a:stretch>
              <a:fillRect/>
            </a:stretch>
          </xdr:blipFill>
          <xdr:spPr>
            <a:xfrm>
              <a:off x="11587545" y="4253505"/>
              <a:ext cx="9000" cy="9000"/>
            </a:xfrm>
            <a:prstGeom prst="rect">
              <a:avLst/>
            </a:prstGeom>
          </xdr:spPr>
        </xdr:pic>
      </mc:Fallback>
    </mc:AlternateContent>
    <xdr:clientData/>
  </xdr:twoCellAnchor>
  <xdr:twoCellAnchor editAs="oneCell">
    <xdr:from>
      <xdr:col>21</xdr:col>
      <xdr:colOff>180825</xdr:colOff>
      <xdr:row>13</xdr:row>
      <xdr:rowOff>133185</xdr:rowOff>
    </xdr:from>
    <xdr:to>
      <xdr:col>21</xdr:col>
      <xdr:colOff>181185</xdr:colOff>
      <xdr:row>13</xdr:row>
      <xdr:rowOff>133545</xdr:rowOff>
    </xdr:to>
    <mc:AlternateContent xmlns:mc="http://schemas.openxmlformats.org/markup-compatibility/2006" xmlns:xdr14="http://schemas.microsoft.com/office/excel/2010/spreadsheetDrawing">
      <mc:Choice Requires="xdr14">
        <xdr:contentPart xmlns:r="http://schemas.openxmlformats.org/officeDocument/2006/relationships" r:id="rId61">
          <xdr14:nvContentPartPr>
            <xdr14:cNvPr id="4" name="Ink 3">
              <a:extLst>
                <a:ext uri="{FF2B5EF4-FFF2-40B4-BE49-F238E27FC236}">
                  <a16:creationId xmlns:a16="http://schemas.microsoft.com/office/drawing/2014/main" id="{42448668-9D60-4497-8B89-FDB4F70C89F7}"/>
                </a:ext>
              </a:extLst>
            </xdr14:cNvPr>
            <xdr14:cNvContentPartPr/>
          </xdr14:nvContentPartPr>
          <xdr14:nvPr macro=""/>
          <xdr14:xfrm>
            <a:off x="9477225" y="2800185"/>
            <a:ext cx="360" cy="360"/>
          </xdr14:xfrm>
        </xdr:contentPart>
      </mc:Choice>
      <mc:Fallback xmlns="">
        <xdr:pic>
          <xdr:nvPicPr>
            <xdr:cNvPr id="46" name="Ink 45">
              <a:extLst>
                <a:ext uri="{FF2B5EF4-FFF2-40B4-BE49-F238E27FC236}">
                  <a16:creationId xmlns:a16="http://schemas.microsoft.com/office/drawing/2014/main" id="{44610805-10A3-42B6-B911-F889927A6193}"/>
                </a:ext>
              </a:extLst>
            </xdr:cNvPr>
            <xdr:cNvPicPr/>
          </xdr:nvPicPr>
          <xdr:blipFill>
            <a:blip xmlns:r="http://schemas.openxmlformats.org/officeDocument/2006/relationships" r:embed="rId60"/>
            <a:stretch>
              <a:fillRect/>
            </a:stretch>
          </xdr:blipFill>
          <xdr:spPr>
            <a:xfrm>
              <a:off x="9472905" y="2795865"/>
              <a:ext cx="9000" cy="9000"/>
            </a:xfrm>
            <a:prstGeom prst="rect">
              <a:avLst/>
            </a:prstGeom>
          </xdr:spPr>
        </xdr:pic>
      </mc:Fallback>
    </mc:AlternateContent>
    <xdr:clientData/>
  </xdr:twoCellAnchor>
  <xdr:twoCellAnchor editAs="oneCell">
    <xdr:from>
      <xdr:col>29</xdr:col>
      <xdr:colOff>333225</xdr:colOff>
      <xdr:row>19</xdr:row>
      <xdr:rowOff>76305</xdr:rowOff>
    </xdr:from>
    <xdr:to>
      <xdr:col>29</xdr:col>
      <xdr:colOff>333585</xdr:colOff>
      <xdr:row>19</xdr:row>
      <xdr:rowOff>76665</xdr:rowOff>
    </xdr:to>
    <mc:AlternateContent xmlns:mc="http://schemas.openxmlformats.org/markup-compatibility/2006" xmlns:xdr14="http://schemas.microsoft.com/office/excel/2010/spreadsheetDrawing">
      <mc:Choice Requires="xdr14">
        <xdr:contentPart xmlns:r="http://schemas.openxmlformats.org/officeDocument/2006/relationships" r:id="rId62">
          <xdr14:nvContentPartPr>
            <xdr14:cNvPr id="5" name="Ink 4">
              <a:extLst>
                <a:ext uri="{FF2B5EF4-FFF2-40B4-BE49-F238E27FC236}">
                  <a16:creationId xmlns:a16="http://schemas.microsoft.com/office/drawing/2014/main" id="{9B73B778-3494-42C6-9FF8-A991F0BDE100}"/>
                </a:ext>
              </a:extLst>
            </xdr14:cNvPr>
            <xdr14:cNvContentPartPr/>
          </xdr14:nvContentPartPr>
          <xdr14:nvPr macro=""/>
          <xdr14:xfrm>
            <a:off x="12449025" y="3886305"/>
            <a:ext cx="360" cy="360"/>
          </xdr14:xfrm>
        </xdr:contentPart>
      </mc:Choice>
      <mc:Fallback xmlns="">
        <xdr:pic>
          <xdr:nvPicPr>
            <xdr:cNvPr id="50" name="Ink 49">
              <a:extLst>
                <a:ext uri="{FF2B5EF4-FFF2-40B4-BE49-F238E27FC236}">
                  <a16:creationId xmlns:a16="http://schemas.microsoft.com/office/drawing/2014/main" id="{4ECEF899-F3CD-4D8D-B908-EE30C7009075}"/>
                </a:ext>
              </a:extLst>
            </xdr:cNvPr>
            <xdr:cNvPicPr/>
          </xdr:nvPicPr>
          <xdr:blipFill>
            <a:blip xmlns:r="http://schemas.openxmlformats.org/officeDocument/2006/relationships" r:embed="rId60"/>
            <a:stretch>
              <a:fillRect/>
            </a:stretch>
          </xdr:blipFill>
          <xdr:spPr>
            <a:xfrm>
              <a:off x="12444705" y="3881985"/>
              <a:ext cx="9000" cy="9000"/>
            </a:xfrm>
            <a:prstGeom prst="rect">
              <a:avLst/>
            </a:prstGeom>
          </xdr:spPr>
        </xdr:pic>
      </mc:Fallback>
    </mc:AlternateContent>
    <xdr:clientData/>
  </xdr:twoCellAnchor>
  <xdr:twoCellAnchor editAs="oneCell">
    <xdr:from>
      <xdr:col>34</xdr:col>
      <xdr:colOff>314235</xdr:colOff>
      <xdr:row>18</xdr:row>
      <xdr:rowOff>28485</xdr:rowOff>
    </xdr:from>
    <xdr:to>
      <xdr:col>34</xdr:col>
      <xdr:colOff>314595</xdr:colOff>
      <xdr:row>18</xdr:row>
      <xdr:rowOff>28845</xdr:rowOff>
    </xdr:to>
    <mc:AlternateContent xmlns:mc="http://schemas.openxmlformats.org/markup-compatibility/2006" xmlns:xdr14="http://schemas.microsoft.com/office/excel/2010/spreadsheetDrawing">
      <mc:Choice Requires="xdr14">
        <xdr:contentPart xmlns:r="http://schemas.openxmlformats.org/officeDocument/2006/relationships" r:id="rId63">
          <xdr14:nvContentPartPr>
            <xdr14:cNvPr id="6" name="Ink 5">
              <a:extLst>
                <a:ext uri="{FF2B5EF4-FFF2-40B4-BE49-F238E27FC236}">
                  <a16:creationId xmlns:a16="http://schemas.microsoft.com/office/drawing/2014/main" id="{2CCC6757-EC6D-40D6-A46D-97972F7B106A}"/>
                </a:ext>
              </a:extLst>
            </xdr14:cNvPr>
            <xdr14:cNvContentPartPr/>
          </xdr14:nvContentPartPr>
          <xdr14:nvPr macro=""/>
          <xdr14:xfrm>
            <a:off x="14087385" y="3647985"/>
            <a:ext cx="360" cy="360"/>
          </xdr14:xfrm>
        </xdr:contentPart>
      </mc:Choice>
      <mc:Fallback xmlns="">
        <xdr:pic>
          <xdr:nvPicPr>
            <xdr:cNvPr id="51" name="Ink 50">
              <a:extLst>
                <a:ext uri="{FF2B5EF4-FFF2-40B4-BE49-F238E27FC236}">
                  <a16:creationId xmlns:a16="http://schemas.microsoft.com/office/drawing/2014/main" id="{F8C0A5B1-5C7B-467E-A6DD-EEC76AD1BA5D}"/>
                </a:ext>
              </a:extLst>
            </xdr:cNvPr>
            <xdr:cNvPicPr/>
          </xdr:nvPicPr>
          <xdr:blipFill>
            <a:blip xmlns:r="http://schemas.openxmlformats.org/officeDocument/2006/relationships" r:embed="rId60"/>
            <a:stretch>
              <a:fillRect/>
            </a:stretch>
          </xdr:blipFill>
          <xdr:spPr>
            <a:xfrm>
              <a:off x="14083065" y="3643665"/>
              <a:ext cx="9000" cy="9000"/>
            </a:xfrm>
            <a:prstGeom prst="rect">
              <a:avLst/>
            </a:prstGeom>
          </xdr:spPr>
        </xdr:pic>
      </mc:Fallback>
    </mc:AlternateContent>
    <xdr:clientData/>
  </xdr:twoCellAnchor>
  <xdr:twoCellAnchor editAs="oneCell">
    <xdr:from>
      <xdr:col>28</xdr:col>
      <xdr:colOff>190425</xdr:colOff>
      <xdr:row>20</xdr:row>
      <xdr:rowOff>104685</xdr:rowOff>
    </xdr:from>
    <xdr:to>
      <xdr:col>28</xdr:col>
      <xdr:colOff>190785</xdr:colOff>
      <xdr:row>20</xdr:row>
      <xdr:rowOff>105045</xdr:rowOff>
    </xdr:to>
    <mc:AlternateContent xmlns:mc="http://schemas.openxmlformats.org/markup-compatibility/2006" xmlns:xdr14="http://schemas.microsoft.com/office/excel/2010/spreadsheetDrawing">
      <mc:Choice Requires="xdr14">
        <xdr:contentPart xmlns:r="http://schemas.openxmlformats.org/officeDocument/2006/relationships" r:id="rId64">
          <xdr14:nvContentPartPr>
            <xdr14:cNvPr id="7" name="Ink 6">
              <a:extLst>
                <a:ext uri="{FF2B5EF4-FFF2-40B4-BE49-F238E27FC236}">
                  <a16:creationId xmlns:a16="http://schemas.microsoft.com/office/drawing/2014/main" id="{B87D937B-158A-412D-96C7-82109ECE72BD}"/>
                </a:ext>
              </a:extLst>
            </xdr14:cNvPr>
            <xdr14:cNvContentPartPr/>
          </xdr14:nvContentPartPr>
          <xdr14:nvPr macro=""/>
          <xdr14:xfrm>
            <a:off x="11925225" y="4105185"/>
            <a:ext cx="360" cy="360"/>
          </xdr14:xfrm>
        </xdr:contentPart>
      </mc:Choice>
      <mc:Fallback xmlns="">
        <xdr:pic>
          <xdr:nvPicPr>
            <xdr:cNvPr id="53" name="Ink 52">
              <a:extLst>
                <a:ext uri="{FF2B5EF4-FFF2-40B4-BE49-F238E27FC236}">
                  <a16:creationId xmlns:a16="http://schemas.microsoft.com/office/drawing/2014/main" id="{B4AB5DA3-F6E6-462D-AAA7-D030221C76F2}"/>
                </a:ext>
              </a:extLst>
            </xdr:cNvPr>
            <xdr:cNvPicPr/>
          </xdr:nvPicPr>
          <xdr:blipFill>
            <a:blip xmlns:r="http://schemas.openxmlformats.org/officeDocument/2006/relationships" r:embed="rId71"/>
            <a:stretch>
              <a:fillRect/>
            </a:stretch>
          </xdr:blipFill>
          <xdr:spPr>
            <a:xfrm>
              <a:off x="11916225" y="4096185"/>
              <a:ext cx="18000" cy="18000"/>
            </a:xfrm>
            <a:prstGeom prst="rect">
              <a:avLst/>
            </a:prstGeom>
          </xdr:spPr>
        </xdr:pic>
      </mc:Fallback>
    </mc:AlternateContent>
    <xdr:clientData/>
  </xdr:twoCellAnchor>
  <xdr:twoCellAnchor editAs="oneCell">
    <xdr:from>
      <xdr:col>29</xdr:col>
      <xdr:colOff>18945</xdr:colOff>
      <xdr:row>26</xdr:row>
      <xdr:rowOff>95325</xdr:rowOff>
    </xdr:from>
    <xdr:to>
      <xdr:col>29</xdr:col>
      <xdr:colOff>19305</xdr:colOff>
      <xdr:row>26</xdr:row>
      <xdr:rowOff>95685</xdr:rowOff>
    </xdr:to>
    <mc:AlternateContent xmlns:mc="http://schemas.openxmlformats.org/markup-compatibility/2006" xmlns:xdr14="http://schemas.microsoft.com/office/excel/2010/spreadsheetDrawing">
      <mc:Choice Requires="xdr14">
        <xdr:contentPart xmlns:r="http://schemas.openxmlformats.org/officeDocument/2006/relationships" r:id="rId72">
          <xdr14:nvContentPartPr>
            <xdr14:cNvPr id="8" name="Ink 7">
              <a:extLst>
                <a:ext uri="{FF2B5EF4-FFF2-40B4-BE49-F238E27FC236}">
                  <a16:creationId xmlns:a16="http://schemas.microsoft.com/office/drawing/2014/main" id="{FD21C510-E71F-4F7C-98D0-84489A7E8092}"/>
                </a:ext>
              </a:extLst>
            </xdr14:cNvPr>
            <xdr14:cNvContentPartPr/>
          </xdr14:nvContentPartPr>
          <xdr14:nvPr macro=""/>
          <xdr14:xfrm>
            <a:off x="12134745" y="5238825"/>
            <a:ext cx="360" cy="360"/>
          </xdr14:xfrm>
        </xdr:contentPart>
      </mc:Choice>
      <mc:Fallback xmlns="">
        <xdr:pic>
          <xdr:nvPicPr>
            <xdr:cNvPr id="54" name="Ink 53">
              <a:extLst>
                <a:ext uri="{FF2B5EF4-FFF2-40B4-BE49-F238E27FC236}">
                  <a16:creationId xmlns:a16="http://schemas.microsoft.com/office/drawing/2014/main" id="{02A672B6-EB4C-42E9-A3AF-276602C8D4EF}"/>
                </a:ext>
              </a:extLst>
            </xdr:cNvPr>
            <xdr:cNvPicPr/>
          </xdr:nvPicPr>
          <xdr:blipFill>
            <a:blip xmlns:r="http://schemas.openxmlformats.org/officeDocument/2006/relationships" r:embed="rId71"/>
            <a:stretch>
              <a:fillRect/>
            </a:stretch>
          </xdr:blipFill>
          <xdr:spPr>
            <a:xfrm>
              <a:off x="12125745" y="5229825"/>
              <a:ext cx="18000" cy="18000"/>
            </a:xfrm>
            <a:prstGeom prst="rect">
              <a:avLst/>
            </a:prstGeom>
          </xdr:spPr>
        </xdr:pic>
      </mc:Fallback>
    </mc:AlternateContent>
    <xdr:clientData/>
  </xdr:twoCellAnchor>
  <xdr:twoCellAnchor editAs="oneCell">
    <xdr:from>
      <xdr:col>34</xdr:col>
      <xdr:colOff>276075</xdr:colOff>
      <xdr:row>23</xdr:row>
      <xdr:rowOff>171465</xdr:rowOff>
    </xdr:from>
    <xdr:to>
      <xdr:col>34</xdr:col>
      <xdr:colOff>276435</xdr:colOff>
      <xdr:row>23</xdr:row>
      <xdr:rowOff>171825</xdr:rowOff>
    </xdr:to>
    <mc:AlternateContent xmlns:mc="http://schemas.openxmlformats.org/markup-compatibility/2006" xmlns:xdr14="http://schemas.microsoft.com/office/excel/2010/spreadsheetDrawing">
      <mc:Choice Requires="xdr14">
        <xdr:contentPart xmlns:r="http://schemas.openxmlformats.org/officeDocument/2006/relationships" r:id="rId73">
          <xdr14:nvContentPartPr>
            <xdr14:cNvPr id="9" name="Ink 8">
              <a:extLst>
                <a:ext uri="{FF2B5EF4-FFF2-40B4-BE49-F238E27FC236}">
                  <a16:creationId xmlns:a16="http://schemas.microsoft.com/office/drawing/2014/main" id="{D603B97F-EC8F-49DB-9C5D-D7D1DDACA7F3}"/>
                </a:ext>
              </a:extLst>
            </xdr14:cNvPr>
            <xdr14:cNvContentPartPr/>
          </xdr14:nvContentPartPr>
          <xdr14:nvPr macro=""/>
          <xdr14:xfrm>
            <a:off x="14049225" y="4743465"/>
            <a:ext cx="360" cy="360"/>
          </xdr14:xfrm>
        </xdr:contentPart>
      </mc:Choice>
      <mc:Fallback xmlns="">
        <xdr:pic>
          <xdr:nvPicPr>
            <xdr:cNvPr id="55" name="Ink 54">
              <a:extLst>
                <a:ext uri="{FF2B5EF4-FFF2-40B4-BE49-F238E27FC236}">
                  <a16:creationId xmlns:a16="http://schemas.microsoft.com/office/drawing/2014/main" id="{68ABA6E3-942D-49B4-8FAE-45CF34819A24}"/>
                </a:ext>
              </a:extLst>
            </xdr:cNvPr>
            <xdr:cNvPicPr/>
          </xdr:nvPicPr>
          <xdr:blipFill>
            <a:blip xmlns:r="http://schemas.openxmlformats.org/officeDocument/2006/relationships" r:embed="rId71"/>
            <a:stretch>
              <a:fillRect/>
            </a:stretch>
          </xdr:blipFill>
          <xdr:spPr>
            <a:xfrm>
              <a:off x="14040225" y="4734465"/>
              <a:ext cx="18000" cy="18000"/>
            </a:xfrm>
            <a:prstGeom prst="rect">
              <a:avLst/>
            </a:prstGeom>
          </xdr:spPr>
        </xdr:pic>
      </mc:Fallback>
    </mc:AlternateContent>
    <xdr:clientData/>
  </xdr:twoCellAnchor>
</xdr:wsDr>
</file>

<file path=xl/drawings/drawing53.xml><?xml version="1.0" encoding="utf-8"?>
<c:userShapes xmlns:c="http://schemas.openxmlformats.org/drawingml/2006/chart">
  <cdr:relSizeAnchor xmlns:cdr="http://schemas.openxmlformats.org/drawingml/2006/chartDrawing">
    <cdr:from>
      <cdr:x>0.31429</cdr:x>
      <cdr:y>0.47372</cdr:y>
    </cdr:from>
    <cdr:to>
      <cdr:x>0.78221</cdr:x>
      <cdr:y>0.62377</cdr:y>
    </cdr:to>
    <cdr:sp macro="" textlink="">
      <cdr:nvSpPr>
        <cdr:cNvPr id="8" name="TextBox 1">
          <a:extLst xmlns:a="http://schemas.openxmlformats.org/drawingml/2006/main">
            <a:ext uri="{FF2B5EF4-FFF2-40B4-BE49-F238E27FC236}">
              <a16:creationId xmlns:a16="http://schemas.microsoft.com/office/drawing/2014/main" id="{667A952A-D507-4E13-B5C4-C84D92D0DB94}"/>
            </a:ext>
          </a:extLst>
        </cdr:cNvPr>
        <cdr:cNvSpPr txBox="1"/>
      </cdr:nvSpPr>
      <cdr:spPr>
        <a:xfrm xmlns:a="http://schemas.openxmlformats.org/drawingml/2006/main">
          <a:off x="1926849" y="2188408"/>
          <a:ext cx="2868694" cy="6931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200"/>
            </a:lnSpc>
          </a:pPr>
          <a:r>
            <a:rPr lang="en-US" sz="1300" b="1">
              <a:solidFill>
                <a:srgbClr val="1F7B91"/>
              </a:solidFill>
              <a:latin typeface="Arial" panose="020B0604020202020204" pitchFamily="34" charset="0"/>
              <a:cs typeface="Arial" panose="020B0604020202020204" pitchFamily="34" charset="0"/>
            </a:rPr>
            <a:t>Cumulative</a:t>
          </a:r>
          <a:r>
            <a:rPr lang="en-US" sz="1300" b="1" baseline="0">
              <a:solidFill>
                <a:srgbClr val="1F7B91"/>
              </a:solidFill>
              <a:latin typeface="Arial" panose="020B0604020202020204" pitchFamily="34" charset="0"/>
              <a:cs typeface="Arial" panose="020B0604020202020204" pitchFamily="34" charset="0"/>
            </a:rPr>
            <a:t> share of                after-tax income                (excluding any transfers)</a:t>
          </a:r>
          <a:endParaRPr lang="en-US" sz="1300" b="1">
            <a:solidFill>
              <a:srgbClr val="1F7B9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0.72921</cdr:x>
      <cdr:y>0.67661</cdr:y>
    </cdr:from>
    <cdr:to>
      <cdr:x>0.95722</cdr:x>
      <cdr:y>0.74252</cdr:y>
    </cdr:to>
    <cdr:sp macro="" textlink="">
      <cdr:nvSpPr>
        <cdr:cNvPr id="10" name="TextBox 1">
          <a:extLst xmlns:a="http://schemas.openxmlformats.org/drawingml/2006/main">
            <a:ext uri="{FF2B5EF4-FFF2-40B4-BE49-F238E27FC236}">
              <a16:creationId xmlns:a16="http://schemas.microsoft.com/office/drawing/2014/main" id="{EEFC3946-31B0-4B0E-8EF1-05D7B4A4B0DA}"/>
            </a:ext>
          </a:extLst>
        </cdr:cNvPr>
        <cdr:cNvSpPr txBox="1"/>
      </cdr:nvSpPr>
      <cdr:spPr>
        <a:xfrm xmlns:a="http://schemas.openxmlformats.org/drawingml/2006/main">
          <a:off x="4470587" y="3125684"/>
          <a:ext cx="1397876" cy="3044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200"/>
            </a:lnSpc>
          </a:pPr>
          <a:endParaRPr lang="en-US" sz="1200" b="1">
            <a:solidFill>
              <a:srgbClr val="792B36"/>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0.70362</cdr:x>
      <cdr:y>0.59553</cdr:y>
    </cdr:from>
    <cdr:to>
      <cdr:x>0.98173</cdr:x>
      <cdr:y>0.74834</cdr:y>
    </cdr:to>
    <cdr:sp macro="" textlink="">
      <cdr:nvSpPr>
        <cdr:cNvPr id="11" name="TextBox 1">
          <a:extLst xmlns:a="http://schemas.openxmlformats.org/drawingml/2006/main">
            <a:ext uri="{FF2B5EF4-FFF2-40B4-BE49-F238E27FC236}">
              <a16:creationId xmlns:a16="http://schemas.microsoft.com/office/drawing/2014/main" id="{FDE74DD3-2E65-4728-BB07-5ED547CDE84E}"/>
            </a:ext>
          </a:extLst>
        </cdr:cNvPr>
        <cdr:cNvSpPr txBox="1"/>
      </cdr:nvSpPr>
      <cdr:spPr>
        <a:xfrm xmlns:a="http://schemas.openxmlformats.org/drawingml/2006/main">
          <a:off x="4313687" y="2751106"/>
          <a:ext cx="1705019" cy="7059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400"/>
            </a:lnSpc>
          </a:pPr>
          <a:r>
            <a:rPr lang="en-US" sz="1300" b="1">
              <a:solidFill>
                <a:srgbClr val="792B36"/>
              </a:solidFill>
              <a:latin typeface="Arial" panose="020B0604020202020204" pitchFamily="34" charset="0"/>
              <a:cs typeface="Arial" panose="020B0604020202020204" pitchFamily="34" charset="0"/>
            </a:rPr>
            <a:t>Cumulative</a:t>
          </a:r>
          <a:r>
            <a:rPr lang="en-US" sz="1300" b="1" baseline="0">
              <a:solidFill>
                <a:srgbClr val="792B36"/>
              </a:solidFill>
              <a:latin typeface="Arial" panose="020B0604020202020204" pitchFamily="34" charset="0"/>
              <a:cs typeface="Arial" panose="020B0604020202020204" pitchFamily="34" charset="0"/>
            </a:rPr>
            <a:t> share of market income</a:t>
          </a:r>
          <a:endParaRPr lang="en-US" sz="1300" b="1">
            <a:solidFill>
              <a:srgbClr val="792B36"/>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0.6305</cdr:x>
      <cdr:y>0.65859</cdr:y>
    </cdr:from>
    <cdr:to>
      <cdr:x>0.63051</cdr:x>
      <cdr:y>0.69497</cdr:y>
    </cdr:to>
    <cdr:cxnSp macro="">
      <cdr:nvCxnSpPr>
        <cdr:cNvPr id="3" name="Straight Arrow Connector 2">
          <a:extLst xmlns:a="http://schemas.openxmlformats.org/drawingml/2006/main">
            <a:ext uri="{FF2B5EF4-FFF2-40B4-BE49-F238E27FC236}">
              <a16:creationId xmlns:a16="http://schemas.microsoft.com/office/drawing/2014/main" id="{EDAA1089-E218-439B-AE75-B3F32C5FF919}"/>
            </a:ext>
          </a:extLst>
        </cdr:cNvPr>
        <cdr:cNvCxnSpPr/>
      </cdr:nvCxnSpPr>
      <cdr:spPr>
        <a:xfrm xmlns:a="http://schemas.openxmlformats.org/drawingml/2006/main">
          <a:off x="3865451" y="3042419"/>
          <a:ext cx="18" cy="168066"/>
        </a:xfrm>
        <a:prstGeom xmlns:a="http://schemas.openxmlformats.org/drawingml/2006/main" prst="straightConnector1">
          <a:avLst/>
        </a:prstGeom>
        <a:ln xmlns:a="http://schemas.openxmlformats.org/drawingml/2006/main" w="12700">
          <a:solidFill>
            <a:srgbClr val="B57A0F"/>
          </a:solidFill>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0.57309</cdr:x>
      <cdr:y>0.74113</cdr:y>
    </cdr:from>
    <cdr:to>
      <cdr:x>0.92113</cdr:x>
      <cdr:y>0.89118</cdr:y>
    </cdr:to>
    <cdr:sp macro="" textlink="">
      <cdr:nvSpPr>
        <cdr:cNvPr id="7" name="TextBox 1">
          <a:extLst xmlns:a="http://schemas.openxmlformats.org/drawingml/2006/main">
            <a:ext uri="{FF2B5EF4-FFF2-40B4-BE49-F238E27FC236}">
              <a16:creationId xmlns:a16="http://schemas.microsoft.com/office/drawing/2014/main" id="{F045C73E-8A63-4E48-AB25-462CD3EE3061}"/>
            </a:ext>
          </a:extLst>
        </cdr:cNvPr>
        <cdr:cNvSpPr txBox="1"/>
      </cdr:nvSpPr>
      <cdr:spPr>
        <a:xfrm xmlns:a="http://schemas.openxmlformats.org/drawingml/2006/main">
          <a:off x="3513436" y="3423749"/>
          <a:ext cx="2133769" cy="6931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300"/>
            </a:lnSpc>
          </a:pPr>
          <a:r>
            <a:rPr lang="en-US" sz="1400" b="1">
              <a:solidFill>
                <a:srgbClr val="B57A0F"/>
              </a:solidFill>
              <a:latin typeface="Arial" panose="020B0604020202020204" pitchFamily="34" charset="0"/>
              <a:cs typeface="Arial" panose="020B0604020202020204" pitchFamily="34" charset="0"/>
            </a:rPr>
            <a:t>Reynolds-Smolensky tax redistribution</a:t>
          </a:r>
        </a:p>
      </cdr:txBody>
    </cdr:sp>
  </cdr:relSizeAnchor>
</c:userShapes>
</file>

<file path=xl/drawings/drawing54.xml><?xml version="1.0" encoding="utf-8"?>
<xdr:wsDr xmlns:xdr="http://schemas.openxmlformats.org/drawingml/2006/spreadsheetDrawing" xmlns:a="http://schemas.openxmlformats.org/drawingml/2006/main">
  <xdr:twoCellAnchor>
    <xdr:from>
      <xdr:col>0</xdr:col>
      <xdr:colOff>266700</xdr:colOff>
      <xdr:row>1</xdr:row>
      <xdr:rowOff>142875</xdr:rowOff>
    </xdr:from>
    <xdr:to>
      <xdr:col>10</xdr:col>
      <xdr:colOff>9525</xdr:colOff>
      <xdr:row>26</xdr:row>
      <xdr:rowOff>85725</xdr:rowOff>
    </xdr:to>
    <xdr:graphicFrame macro="">
      <xdr:nvGraphicFramePr>
        <xdr:cNvPr id="2" name="Chart 1">
          <a:extLst>
            <a:ext uri="{FF2B5EF4-FFF2-40B4-BE49-F238E27FC236}">
              <a16:creationId xmlns:a16="http://schemas.microsoft.com/office/drawing/2014/main" id="{5ED2B1F7-2A29-49BC-8D5E-F750ABFE38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c:userShapes xmlns:c="http://schemas.openxmlformats.org/drawingml/2006/chart">
  <cdr:relSizeAnchor xmlns:cdr="http://schemas.openxmlformats.org/drawingml/2006/chartDrawing">
    <cdr:from>
      <cdr:x>0.77917</cdr:x>
      <cdr:y>0.01079</cdr:y>
    </cdr:from>
    <cdr:to>
      <cdr:x>1</cdr:x>
      <cdr:y>0.15991</cdr:y>
    </cdr:to>
    <cdr:sp macro="" textlink="">
      <cdr:nvSpPr>
        <cdr:cNvPr id="2" name="TextBox 1"/>
        <cdr:cNvSpPr txBox="1"/>
      </cdr:nvSpPr>
      <cdr:spPr>
        <a:xfrm xmlns:a="http://schemas.openxmlformats.org/drawingml/2006/main">
          <a:off x="5343525" y="50776"/>
          <a:ext cx="1514475" cy="7016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300"/>
            </a:lnSpc>
          </a:pPr>
          <a:r>
            <a:rPr lang="en-US" sz="1300">
              <a:solidFill>
                <a:srgbClr val="1F7B91"/>
              </a:solidFill>
              <a:latin typeface="Arial" panose="020B0604020202020204" pitchFamily="34" charset="0"/>
              <a:cs typeface="Arial" panose="020B0604020202020204" pitchFamily="34" charset="0"/>
            </a:rPr>
            <a:t>Bottom 4 quintiles Social Security &amp; Medicare benefits</a:t>
          </a:r>
        </a:p>
      </cdr:txBody>
    </cdr:sp>
  </cdr:relSizeAnchor>
  <cdr:relSizeAnchor xmlns:cdr="http://schemas.openxmlformats.org/drawingml/2006/chartDrawing">
    <cdr:from>
      <cdr:x>0.76389</cdr:x>
      <cdr:y>0.40351</cdr:y>
    </cdr:from>
    <cdr:to>
      <cdr:x>0.99028</cdr:x>
      <cdr:y>0.51417</cdr:y>
    </cdr:to>
    <cdr:sp macro="" textlink="">
      <cdr:nvSpPr>
        <cdr:cNvPr id="3" name="TextBox 1"/>
        <cdr:cNvSpPr txBox="1"/>
      </cdr:nvSpPr>
      <cdr:spPr>
        <a:xfrm xmlns:a="http://schemas.openxmlformats.org/drawingml/2006/main">
          <a:off x="5238788" y="1898664"/>
          <a:ext cx="1552537" cy="5206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300"/>
            </a:lnSpc>
          </a:pPr>
          <a:r>
            <a:rPr lang="en-US" sz="1300">
              <a:solidFill>
                <a:srgbClr val="1F7B91"/>
              </a:solidFill>
              <a:latin typeface="Arial" panose="020B0604020202020204" pitchFamily="34" charset="0"/>
              <a:cs typeface="Arial" panose="020B0604020202020204" pitchFamily="34" charset="0"/>
            </a:rPr>
            <a:t>Bottom 4 quintiles payroll taxes</a:t>
          </a:r>
        </a:p>
      </cdr:txBody>
    </cdr:sp>
  </cdr:relSizeAnchor>
  <cdr:relSizeAnchor xmlns:cdr="http://schemas.openxmlformats.org/drawingml/2006/chartDrawing">
    <cdr:from>
      <cdr:x>0.75834</cdr:x>
      <cdr:y>0.68253</cdr:y>
    </cdr:from>
    <cdr:to>
      <cdr:x>0.98056</cdr:x>
      <cdr:y>0.78307</cdr:y>
    </cdr:to>
    <cdr:sp macro="" textlink="">
      <cdr:nvSpPr>
        <cdr:cNvPr id="4" name="TextBox 1"/>
        <cdr:cNvSpPr txBox="1"/>
      </cdr:nvSpPr>
      <cdr:spPr>
        <a:xfrm xmlns:a="http://schemas.openxmlformats.org/drawingml/2006/main">
          <a:off x="5200665" y="3211534"/>
          <a:ext cx="1523985" cy="4730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300"/>
            </a:lnSpc>
          </a:pPr>
          <a:r>
            <a:rPr lang="en-US" sz="1200">
              <a:solidFill>
                <a:srgbClr val="B57A0F"/>
              </a:solidFill>
              <a:latin typeface="Arial" panose="020B0604020202020204" pitchFamily="34" charset="0"/>
              <a:cs typeface="Arial" panose="020B0604020202020204" pitchFamily="34" charset="0"/>
            </a:rPr>
            <a:t>Top quintile    Social Security &amp; Medicare benefits</a:t>
          </a:r>
        </a:p>
      </cdr:txBody>
    </cdr:sp>
  </cdr:relSizeAnchor>
  <cdr:relSizeAnchor xmlns:cdr="http://schemas.openxmlformats.org/drawingml/2006/chartDrawing">
    <cdr:from>
      <cdr:x>0.76044</cdr:x>
      <cdr:y>0.53846</cdr:y>
    </cdr:from>
    <cdr:to>
      <cdr:x>0.95277</cdr:x>
      <cdr:y>0.63968</cdr:y>
    </cdr:to>
    <cdr:sp macro="" textlink="">
      <cdr:nvSpPr>
        <cdr:cNvPr id="5" name="TextBox 1"/>
        <cdr:cNvSpPr txBox="1"/>
      </cdr:nvSpPr>
      <cdr:spPr>
        <a:xfrm xmlns:a="http://schemas.openxmlformats.org/drawingml/2006/main">
          <a:off x="5215128" y="2533647"/>
          <a:ext cx="1318999" cy="4762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300"/>
            </a:lnSpc>
          </a:pPr>
          <a:r>
            <a:rPr lang="en-US" sz="1300">
              <a:solidFill>
                <a:srgbClr val="B57A0F"/>
              </a:solidFill>
              <a:latin typeface="Arial" panose="020B0604020202020204" pitchFamily="34" charset="0"/>
              <a:cs typeface="Arial" panose="020B0604020202020204" pitchFamily="34" charset="0"/>
            </a:rPr>
            <a:t>Top quintile     payroll taxes</a:t>
          </a:r>
        </a:p>
      </cdr:txBody>
    </cdr:sp>
  </cdr:relSizeAnchor>
  <cdr:relSizeAnchor xmlns:cdr="http://schemas.openxmlformats.org/drawingml/2006/chartDrawing">
    <cdr:from>
      <cdr:x>0.57639</cdr:x>
      <cdr:y>0.22065</cdr:y>
    </cdr:from>
    <cdr:to>
      <cdr:x>0.57778</cdr:x>
      <cdr:y>0.40891</cdr:y>
    </cdr:to>
    <cdr:cxnSp macro="">
      <cdr:nvCxnSpPr>
        <cdr:cNvPr id="7" name="Straight Arrow Connector 6">
          <a:extLst xmlns:a="http://schemas.openxmlformats.org/drawingml/2006/main">
            <a:ext uri="{FF2B5EF4-FFF2-40B4-BE49-F238E27FC236}">
              <a16:creationId xmlns:a16="http://schemas.microsoft.com/office/drawing/2014/main" id="{1F1FF23B-25DB-4228-A024-765E3C7B9762}"/>
            </a:ext>
          </a:extLst>
        </cdr:cNvPr>
        <cdr:cNvCxnSpPr/>
      </cdr:nvCxnSpPr>
      <cdr:spPr>
        <a:xfrm xmlns:a="http://schemas.openxmlformats.org/drawingml/2006/main" flipH="1" flipV="1">
          <a:off x="3952875" y="1038225"/>
          <a:ext cx="9525" cy="885825"/>
        </a:xfrm>
        <a:prstGeom xmlns:a="http://schemas.openxmlformats.org/drawingml/2006/main" prst="straightConnector1">
          <a:avLst/>
        </a:prstGeom>
        <a:ln xmlns:a="http://schemas.openxmlformats.org/drawingml/2006/main" w="15875">
          <a:solidFill>
            <a:schemeClr val="tx1">
              <a:lumMod val="75000"/>
              <a:lumOff val="25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0.39352</cdr:x>
      <cdr:y>0.31242</cdr:y>
    </cdr:from>
    <cdr:to>
      <cdr:x>0.61435</cdr:x>
      <cdr:y>0.36032</cdr:y>
    </cdr:to>
    <cdr:sp macro="" textlink="">
      <cdr:nvSpPr>
        <cdr:cNvPr id="8" name="TextBox 1">
          <a:extLst xmlns:a="http://schemas.openxmlformats.org/drawingml/2006/main">
            <a:ext uri="{FF2B5EF4-FFF2-40B4-BE49-F238E27FC236}">
              <a16:creationId xmlns:a16="http://schemas.microsoft.com/office/drawing/2014/main" id="{80304C06-249B-4884-A7A2-695401BD5958}"/>
            </a:ext>
          </a:extLst>
        </cdr:cNvPr>
        <cdr:cNvSpPr txBox="1"/>
      </cdr:nvSpPr>
      <cdr:spPr>
        <a:xfrm xmlns:a="http://schemas.openxmlformats.org/drawingml/2006/main">
          <a:off x="2698750" y="1470025"/>
          <a:ext cx="1514475" cy="2254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300"/>
            </a:lnSpc>
          </a:pPr>
          <a:r>
            <a:rPr lang="en-US" sz="1300" b="1">
              <a:solidFill>
                <a:schemeClr val="tx1">
                  <a:lumMod val="75000"/>
                  <a:lumOff val="25000"/>
                </a:schemeClr>
              </a:solidFill>
              <a:latin typeface="Arial" panose="020B0604020202020204" pitchFamily="34" charset="0"/>
              <a:cs typeface="Arial" panose="020B0604020202020204" pitchFamily="34" charset="0"/>
            </a:rPr>
            <a:t>Net benefits</a:t>
          </a:r>
        </a:p>
      </cdr:txBody>
    </cdr:sp>
  </cdr:relSizeAnchor>
  <cdr:relSizeAnchor xmlns:cdr="http://schemas.openxmlformats.org/drawingml/2006/chartDrawing">
    <cdr:from>
      <cdr:x>0.41157</cdr:x>
      <cdr:y>0.68893</cdr:y>
    </cdr:from>
    <cdr:to>
      <cdr:x>0.63241</cdr:x>
      <cdr:y>0.73684</cdr:y>
    </cdr:to>
    <cdr:sp macro="" textlink="">
      <cdr:nvSpPr>
        <cdr:cNvPr id="9" name="TextBox 1">
          <a:extLst xmlns:a="http://schemas.openxmlformats.org/drawingml/2006/main">
            <a:ext uri="{FF2B5EF4-FFF2-40B4-BE49-F238E27FC236}">
              <a16:creationId xmlns:a16="http://schemas.microsoft.com/office/drawing/2014/main" id="{4F858A2E-BD3E-42A3-B5FA-14498070560D}"/>
            </a:ext>
          </a:extLst>
        </cdr:cNvPr>
        <cdr:cNvSpPr txBox="1"/>
      </cdr:nvSpPr>
      <cdr:spPr>
        <a:xfrm xmlns:a="http://schemas.openxmlformats.org/drawingml/2006/main">
          <a:off x="2822575" y="3241675"/>
          <a:ext cx="1514475" cy="2254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300"/>
            </a:lnSpc>
          </a:pPr>
          <a:r>
            <a:rPr lang="en-US" sz="1300" b="1">
              <a:solidFill>
                <a:schemeClr val="tx1">
                  <a:lumMod val="75000"/>
                  <a:lumOff val="25000"/>
                </a:schemeClr>
              </a:solidFill>
              <a:latin typeface="Arial" panose="020B0604020202020204" pitchFamily="34" charset="0"/>
              <a:cs typeface="Arial" panose="020B0604020202020204" pitchFamily="34" charset="0"/>
            </a:rPr>
            <a:t>Net taxes</a:t>
          </a:r>
        </a:p>
      </cdr:txBody>
    </cdr:sp>
  </cdr:relSizeAnchor>
  <cdr:relSizeAnchor xmlns:cdr="http://schemas.openxmlformats.org/drawingml/2006/chartDrawing">
    <cdr:from>
      <cdr:x>0.58194</cdr:x>
      <cdr:y>0.62146</cdr:y>
    </cdr:from>
    <cdr:to>
      <cdr:x>0.58333</cdr:x>
      <cdr:y>0.77328</cdr:y>
    </cdr:to>
    <cdr:cxnSp macro="">
      <cdr:nvCxnSpPr>
        <cdr:cNvPr id="12" name="Straight Arrow Connector 11">
          <a:extLst xmlns:a="http://schemas.openxmlformats.org/drawingml/2006/main">
            <a:ext uri="{FF2B5EF4-FFF2-40B4-BE49-F238E27FC236}">
              <a16:creationId xmlns:a16="http://schemas.microsoft.com/office/drawing/2014/main" id="{2C21F717-5E87-425F-945A-A235AB17BB68}"/>
            </a:ext>
          </a:extLst>
        </cdr:cNvPr>
        <cdr:cNvCxnSpPr/>
      </cdr:nvCxnSpPr>
      <cdr:spPr>
        <a:xfrm xmlns:a="http://schemas.openxmlformats.org/drawingml/2006/main">
          <a:off x="3990975" y="2924175"/>
          <a:ext cx="9525" cy="714375"/>
        </a:xfrm>
        <a:prstGeom xmlns:a="http://schemas.openxmlformats.org/drawingml/2006/main" prst="straightConnector1">
          <a:avLst/>
        </a:prstGeom>
        <a:ln xmlns:a="http://schemas.openxmlformats.org/drawingml/2006/main" w="15875">
          <a:solidFill>
            <a:schemeClr val="tx1">
              <a:lumMod val="75000"/>
              <a:lumOff val="25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6.xml><?xml version="1.0" encoding="utf-8"?>
<xdr:wsDr xmlns:xdr="http://schemas.openxmlformats.org/drawingml/2006/spreadsheetDrawing" xmlns:a="http://schemas.openxmlformats.org/drawingml/2006/main">
  <xdr:twoCellAnchor>
    <xdr:from>
      <xdr:col>0</xdr:col>
      <xdr:colOff>52108</xdr:colOff>
      <xdr:row>2</xdr:row>
      <xdr:rowOff>1120</xdr:rowOff>
    </xdr:from>
    <xdr:to>
      <xdr:col>10</xdr:col>
      <xdr:colOff>228040</xdr:colOff>
      <xdr:row>26</xdr:row>
      <xdr:rowOff>96370</xdr:rowOff>
    </xdr:to>
    <xdr:graphicFrame macro="">
      <xdr:nvGraphicFramePr>
        <xdr:cNvPr id="2" name="Chart 1">
          <a:extLst>
            <a:ext uri="{FF2B5EF4-FFF2-40B4-BE49-F238E27FC236}">
              <a16:creationId xmlns:a16="http://schemas.microsoft.com/office/drawing/2014/main" id="{EC5666F2-8DCE-4412-9E76-97CFE72C08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515470</xdr:colOff>
      <xdr:row>2</xdr:row>
      <xdr:rowOff>11206</xdr:rowOff>
    </xdr:from>
    <xdr:to>
      <xdr:col>20</xdr:col>
      <xdr:colOff>168088</xdr:colOff>
      <xdr:row>26</xdr:row>
      <xdr:rowOff>106456</xdr:rowOff>
    </xdr:to>
    <xdr:graphicFrame macro="">
      <xdr:nvGraphicFramePr>
        <xdr:cNvPr id="3" name="Chart 2">
          <a:extLst>
            <a:ext uri="{FF2B5EF4-FFF2-40B4-BE49-F238E27FC236}">
              <a16:creationId xmlns:a16="http://schemas.microsoft.com/office/drawing/2014/main" id="{3DAB8344-65CD-4C35-BDD2-E44D1E6AA5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c:userShapes xmlns:c="http://schemas.openxmlformats.org/drawingml/2006/chart">
  <cdr:relSizeAnchor xmlns:cdr="http://schemas.openxmlformats.org/drawingml/2006/chartDrawing">
    <cdr:from>
      <cdr:x>0.33387</cdr:x>
      <cdr:y>0.50276</cdr:y>
    </cdr:from>
    <cdr:to>
      <cdr:x>0.81949</cdr:x>
      <cdr:y>0.56356</cdr:y>
    </cdr:to>
    <cdr:sp macro="" textlink="">
      <cdr:nvSpPr>
        <cdr:cNvPr id="3" name="TextBox 1"/>
        <cdr:cNvSpPr txBox="1"/>
      </cdr:nvSpPr>
      <cdr:spPr>
        <a:xfrm xmlns:a="http://schemas.openxmlformats.org/drawingml/2006/main">
          <a:off x="1990724" y="2346486"/>
          <a:ext cx="2895600" cy="28376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400"/>
            </a:lnSpc>
          </a:pPr>
          <a:r>
            <a:rPr lang="en-US" sz="1500" b="1">
              <a:solidFill>
                <a:srgbClr val="B57A0F"/>
              </a:solidFill>
              <a:latin typeface="Arial" panose="020B0604020202020204" pitchFamily="34" charset="0"/>
              <a:cs typeface="Arial" panose="020B0604020202020204" pitchFamily="34" charset="0"/>
            </a:rPr>
            <a:t>Social Security &amp;</a:t>
          </a:r>
          <a:r>
            <a:rPr lang="en-US" sz="1500" b="1" baseline="0">
              <a:solidFill>
                <a:srgbClr val="B57A0F"/>
              </a:solidFill>
              <a:latin typeface="Arial" panose="020B0604020202020204" pitchFamily="34" charset="0"/>
              <a:cs typeface="Arial" panose="020B0604020202020204" pitchFamily="34" charset="0"/>
            </a:rPr>
            <a:t> Disability</a:t>
          </a:r>
          <a:endParaRPr lang="en-US" sz="1500" b="1">
            <a:solidFill>
              <a:srgbClr val="B57A0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0.51491</cdr:x>
      <cdr:y>0.72911</cdr:y>
    </cdr:from>
    <cdr:to>
      <cdr:x>0.76194</cdr:x>
      <cdr:y>0.78776</cdr:y>
    </cdr:to>
    <cdr:sp macro="" textlink="">
      <cdr:nvSpPr>
        <cdr:cNvPr id="7" name="TextBox 1">
          <a:extLst xmlns:a="http://schemas.openxmlformats.org/drawingml/2006/main">
            <a:ext uri="{FF2B5EF4-FFF2-40B4-BE49-F238E27FC236}">
              <a16:creationId xmlns:a16="http://schemas.microsoft.com/office/drawing/2014/main" id="{D65CCE9F-BE28-4EB1-A669-848CF74C8306}"/>
            </a:ext>
          </a:extLst>
        </cdr:cNvPr>
        <cdr:cNvSpPr txBox="1"/>
      </cdr:nvSpPr>
      <cdr:spPr>
        <a:xfrm xmlns:a="http://schemas.openxmlformats.org/drawingml/2006/main">
          <a:off x="3070202" y="3402925"/>
          <a:ext cx="1472953" cy="2737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200"/>
            </a:lnSpc>
          </a:pPr>
          <a:r>
            <a:rPr lang="en-US" sz="1400" b="1">
              <a:solidFill>
                <a:schemeClr val="tx1">
                  <a:lumMod val="75000"/>
                  <a:lumOff val="25000"/>
                </a:schemeClr>
              </a:solidFill>
              <a:effectLst/>
              <a:latin typeface="Arial" panose="020B0604020202020204" pitchFamily="34" charset="0"/>
              <a:ea typeface="+mn-ea"/>
              <a:cs typeface="Arial" panose="020B0604020202020204" pitchFamily="34" charset="0"/>
            </a:rPr>
            <a:t>Medicare</a:t>
          </a:r>
          <a:endParaRPr lang="en-US" sz="1400" b="1">
            <a:solidFill>
              <a:schemeClr val="tx1">
                <a:lumMod val="75000"/>
                <a:lumOff val="25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0.52553</cdr:x>
      <cdr:y>0.83229</cdr:y>
    </cdr:from>
    <cdr:to>
      <cdr:x>0.76288</cdr:x>
      <cdr:y>0.89309</cdr:y>
    </cdr:to>
    <cdr:sp macro="" textlink="">
      <cdr:nvSpPr>
        <cdr:cNvPr id="8" name="TextBox 1">
          <a:extLst xmlns:a="http://schemas.openxmlformats.org/drawingml/2006/main">
            <a:ext uri="{FF2B5EF4-FFF2-40B4-BE49-F238E27FC236}">
              <a16:creationId xmlns:a16="http://schemas.microsoft.com/office/drawing/2014/main" id="{667A952A-D507-4E13-B5C4-C84D92D0DB94}"/>
            </a:ext>
          </a:extLst>
        </cdr:cNvPr>
        <cdr:cNvSpPr txBox="1"/>
      </cdr:nvSpPr>
      <cdr:spPr>
        <a:xfrm xmlns:a="http://schemas.openxmlformats.org/drawingml/2006/main">
          <a:off x="3133568" y="3884492"/>
          <a:ext cx="1415235" cy="28376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400"/>
            </a:lnSpc>
          </a:pPr>
          <a:r>
            <a:rPr lang="en-US" sz="1500" b="1">
              <a:solidFill>
                <a:srgbClr val="1F7B91"/>
              </a:solidFill>
              <a:latin typeface="Arial" panose="020B0604020202020204" pitchFamily="34" charset="0"/>
              <a:cs typeface="Arial" panose="020B0604020202020204" pitchFamily="34" charset="0"/>
            </a:rPr>
            <a:t>Medicaid</a:t>
          </a:r>
        </a:p>
      </cdr:txBody>
    </cdr:sp>
  </cdr:relSizeAnchor>
  <cdr:relSizeAnchor xmlns:cdr="http://schemas.openxmlformats.org/drawingml/2006/chartDrawing">
    <cdr:from>
      <cdr:x>0.90081</cdr:x>
      <cdr:y>0.88047</cdr:y>
    </cdr:from>
    <cdr:to>
      <cdr:x>0.9836</cdr:x>
      <cdr:y>0.94638</cdr:y>
    </cdr:to>
    <cdr:sp macro="" textlink="">
      <cdr:nvSpPr>
        <cdr:cNvPr id="9" name="TextBox 1">
          <a:extLst xmlns:a="http://schemas.openxmlformats.org/drawingml/2006/main">
            <a:ext uri="{FF2B5EF4-FFF2-40B4-BE49-F238E27FC236}">
              <a16:creationId xmlns:a16="http://schemas.microsoft.com/office/drawing/2014/main" id="{3DD8D46D-9A6B-4F3A-B422-A2717F264A21}"/>
            </a:ext>
          </a:extLst>
        </cdr:cNvPr>
        <cdr:cNvSpPr txBox="1"/>
      </cdr:nvSpPr>
      <cdr:spPr>
        <a:xfrm xmlns:a="http://schemas.openxmlformats.org/drawingml/2006/main">
          <a:off x="5336877" y="4109385"/>
          <a:ext cx="490493" cy="30761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200"/>
            </a:lnSpc>
          </a:pPr>
          <a:r>
            <a:rPr lang="en-US" sz="1400" b="1">
              <a:solidFill>
                <a:srgbClr val="792B36"/>
              </a:solidFill>
              <a:effectLst/>
              <a:latin typeface="Arial" panose="020B0604020202020204" pitchFamily="34" charset="0"/>
              <a:ea typeface="+mn-ea"/>
              <a:cs typeface="Arial" panose="020B0604020202020204" pitchFamily="34" charset="0"/>
            </a:rPr>
            <a:t>–1</a:t>
          </a:r>
          <a:endParaRPr lang="en-US" sz="1400" b="1">
            <a:solidFill>
              <a:srgbClr val="792B36"/>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0.90519</cdr:x>
      <cdr:y>0.37002</cdr:y>
    </cdr:from>
    <cdr:to>
      <cdr:x>0.98988</cdr:x>
      <cdr:y>0.43593</cdr:y>
    </cdr:to>
    <cdr:sp macro="" textlink="">
      <cdr:nvSpPr>
        <cdr:cNvPr id="10" name="TextBox 1">
          <a:extLst xmlns:a="http://schemas.openxmlformats.org/drawingml/2006/main">
            <a:ext uri="{FF2B5EF4-FFF2-40B4-BE49-F238E27FC236}">
              <a16:creationId xmlns:a16="http://schemas.microsoft.com/office/drawing/2014/main" id="{EEFC3946-31B0-4B0E-8EF1-05D7B4A4B0DA}"/>
            </a:ext>
          </a:extLst>
        </cdr:cNvPr>
        <cdr:cNvSpPr txBox="1"/>
      </cdr:nvSpPr>
      <cdr:spPr>
        <a:xfrm xmlns:a="http://schemas.openxmlformats.org/drawingml/2006/main">
          <a:off x="5362843" y="1726954"/>
          <a:ext cx="501755" cy="3076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200"/>
            </a:lnSpc>
          </a:pPr>
          <a:r>
            <a:rPr lang="en-US" sz="1400" b="1">
              <a:solidFill>
                <a:srgbClr val="D58F11"/>
              </a:solidFill>
              <a:effectLst/>
              <a:latin typeface="Arial" panose="020B0604020202020204" pitchFamily="34" charset="0"/>
              <a:ea typeface="+mn-ea"/>
              <a:cs typeface="Arial" panose="020B0604020202020204" pitchFamily="34" charset="0"/>
            </a:rPr>
            <a:t>+28</a:t>
          </a:r>
          <a:endParaRPr lang="en-US" sz="1400" b="1">
            <a:solidFill>
              <a:srgbClr val="D58F1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0.48448</cdr:x>
      <cdr:y>0.89657</cdr:y>
    </cdr:from>
    <cdr:to>
      <cdr:x>0.79073</cdr:x>
      <cdr:y>0.96168</cdr:y>
    </cdr:to>
    <cdr:sp macro="" textlink="">
      <cdr:nvSpPr>
        <cdr:cNvPr id="11" name="TextBox 1">
          <a:extLst xmlns:a="http://schemas.openxmlformats.org/drawingml/2006/main">
            <a:ext uri="{FF2B5EF4-FFF2-40B4-BE49-F238E27FC236}">
              <a16:creationId xmlns:a16="http://schemas.microsoft.com/office/drawing/2014/main" id="{FDE74DD3-2E65-4728-BB07-5ED547CDE84E}"/>
            </a:ext>
          </a:extLst>
        </cdr:cNvPr>
        <cdr:cNvSpPr txBox="1"/>
      </cdr:nvSpPr>
      <cdr:spPr>
        <a:xfrm xmlns:a="http://schemas.openxmlformats.org/drawingml/2006/main">
          <a:off x="2888814" y="4184507"/>
          <a:ext cx="1826061" cy="3038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50"/>
            </a:lnSpc>
          </a:pPr>
          <a:r>
            <a:rPr lang="en-US" sz="1500" b="1">
              <a:solidFill>
                <a:srgbClr val="792B36"/>
              </a:solidFill>
              <a:latin typeface="Arial" panose="020B0604020202020204" pitchFamily="34" charset="0"/>
              <a:cs typeface="Arial" panose="020B0604020202020204" pitchFamily="34" charset="0"/>
            </a:rPr>
            <a:t>Other transfers</a:t>
          </a:r>
        </a:p>
      </cdr:txBody>
    </cdr:sp>
  </cdr:relSizeAnchor>
  <cdr:relSizeAnchor xmlns:cdr="http://schemas.openxmlformats.org/drawingml/2006/chartDrawing">
    <cdr:from>
      <cdr:x>0.90516</cdr:x>
      <cdr:y>0.81435</cdr:y>
    </cdr:from>
    <cdr:to>
      <cdr:x>0.99622</cdr:x>
      <cdr:y>0.88026</cdr:y>
    </cdr:to>
    <cdr:sp macro="" textlink="">
      <cdr:nvSpPr>
        <cdr:cNvPr id="12" name="TextBox 1">
          <a:extLst xmlns:a="http://schemas.openxmlformats.org/drawingml/2006/main">
            <a:ext uri="{FF2B5EF4-FFF2-40B4-BE49-F238E27FC236}">
              <a16:creationId xmlns:a16="http://schemas.microsoft.com/office/drawing/2014/main" id="{F24BF6B2-2B49-4988-B958-3A2224A71C1C}"/>
            </a:ext>
          </a:extLst>
        </cdr:cNvPr>
        <cdr:cNvSpPr txBox="1"/>
      </cdr:nvSpPr>
      <cdr:spPr>
        <a:xfrm xmlns:a="http://schemas.openxmlformats.org/drawingml/2006/main">
          <a:off x="5362649" y="3800763"/>
          <a:ext cx="539489" cy="3076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200"/>
            </a:lnSpc>
          </a:pPr>
          <a:r>
            <a:rPr lang="en-US" sz="1400" b="1">
              <a:solidFill>
                <a:srgbClr val="1F7B91"/>
              </a:solidFill>
              <a:effectLst/>
              <a:latin typeface="Arial" panose="020B0604020202020204" pitchFamily="34" charset="0"/>
              <a:ea typeface="+mn-ea"/>
              <a:cs typeface="Arial" panose="020B0604020202020204" pitchFamily="34" charset="0"/>
            </a:rPr>
            <a:t>+21</a:t>
          </a:r>
          <a:endParaRPr lang="en-US" sz="1400" b="1">
            <a:solidFill>
              <a:srgbClr val="1F7B9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0.9045</cdr:x>
      <cdr:y>0.66395</cdr:y>
    </cdr:from>
    <cdr:to>
      <cdr:x>0.98844</cdr:x>
      <cdr:y>0.71719</cdr:y>
    </cdr:to>
    <cdr:sp macro="" textlink="">
      <cdr:nvSpPr>
        <cdr:cNvPr id="13" name="TextBox 1">
          <a:extLst xmlns:a="http://schemas.openxmlformats.org/drawingml/2006/main">
            <a:ext uri="{FF2B5EF4-FFF2-40B4-BE49-F238E27FC236}">
              <a16:creationId xmlns:a16="http://schemas.microsoft.com/office/drawing/2014/main" id="{F61C1D79-A6DE-44D1-A278-E97D8DF800B7}"/>
            </a:ext>
          </a:extLst>
        </cdr:cNvPr>
        <cdr:cNvSpPr txBox="1"/>
      </cdr:nvSpPr>
      <cdr:spPr>
        <a:xfrm xmlns:a="http://schemas.openxmlformats.org/drawingml/2006/main">
          <a:off x="5393232" y="3098833"/>
          <a:ext cx="500505" cy="2484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200"/>
            </a:lnSpc>
          </a:pPr>
          <a:r>
            <a:rPr lang="en-US" sz="1400" b="1">
              <a:solidFill>
                <a:schemeClr val="accent3">
                  <a:lumMod val="50000"/>
                </a:schemeClr>
              </a:solidFill>
              <a:effectLst/>
              <a:latin typeface="Arial" panose="020B0604020202020204" pitchFamily="34" charset="0"/>
              <a:ea typeface="+mn-ea"/>
              <a:cs typeface="Arial" panose="020B0604020202020204" pitchFamily="34" charset="0"/>
            </a:rPr>
            <a:t>+49</a:t>
          </a:r>
          <a:endParaRPr lang="en-US" sz="1400" b="1">
            <a:solidFill>
              <a:schemeClr val="accent3">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0.32936</cdr:x>
      <cdr:y>0.07619</cdr:y>
    </cdr:from>
    <cdr:to>
      <cdr:x>0.6463</cdr:x>
      <cdr:y>0.1413</cdr:y>
    </cdr:to>
    <cdr:sp macro="" textlink="">
      <cdr:nvSpPr>
        <cdr:cNvPr id="14" name="TextBox 1">
          <a:extLst xmlns:a="http://schemas.openxmlformats.org/drawingml/2006/main">
            <a:ext uri="{FF2B5EF4-FFF2-40B4-BE49-F238E27FC236}">
              <a16:creationId xmlns:a16="http://schemas.microsoft.com/office/drawing/2014/main" id="{D13569D0-DD6F-4E1C-B4B2-3DA56023AD5E}"/>
            </a:ext>
          </a:extLst>
        </cdr:cNvPr>
        <cdr:cNvSpPr txBox="1"/>
      </cdr:nvSpPr>
      <cdr:spPr>
        <a:xfrm xmlns:a="http://schemas.openxmlformats.org/drawingml/2006/main">
          <a:off x="1963860" y="355596"/>
          <a:ext cx="1889827" cy="30388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50"/>
            </a:lnSpc>
          </a:pPr>
          <a:r>
            <a:rPr lang="en-US" sz="1600" b="1">
              <a:solidFill>
                <a:schemeClr val="tx1"/>
              </a:solidFill>
              <a:latin typeface="Arial" panose="020B0604020202020204" pitchFamily="34" charset="0"/>
              <a:cs typeface="Arial" panose="020B0604020202020204" pitchFamily="34" charset="0"/>
            </a:rPr>
            <a:t>Bottom Quintile</a:t>
          </a:r>
        </a:p>
      </cdr:txBody>
    </cdr:sp>
  </cdr:relSizeAnchor>
  <cdr:relSizeAnchor xmlns:cdr="http://schemas.openxmlformats.org/drawingml/2006/chartDrawing">
    <cdr:from>
      <cdr:x>0.90895</cdr:x>
      <cdr:y>0.17008</cdr:y>
    </cdr:from>
    <cdr:to>
      <cdr:x>1</cdr:x>
      <cdr:y>0.22332</cdr:y>
    </cdr:to>
    <cdr:sp macro="" textlink="">
      <cdr:nvSpPr>
        <cdr:cNvPr id="15" name="TextBox 1">
          <a:extLst xmlns:a="http://schemas.openxmlformats.org/drawingml/2006/main">
            <a:ext uri="{FF2B5EF4-FFF2-40B4-BE49-F238E27FC236}">
              <a16:creationId xmlns:a16="http://schemas.microsoft.com/office/drawing/2014/main" id="{FA71CD5B-CE21-4A65-9B98-6F1BBADA4CB7}"/>
            </a:ext>
          </a:extLst>
        </cdr:cNvPr>
        <cdr:cNvSpPr txBox="1"/>
      </cdr:nvSpPr>
      <cdr:spPr>
        <a:xfrm xmlns:a="http://schemas.openxmlformats.org/drawingml/2006/main">
          <a:off x="5419751" y="793790"/>
          <a:ext cx="542899" cy="2484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200"/>
            </a:lnSpc>
          </a:pPr>
          <a:r>
            <a:rPr lang="en-US" sz="1600" b="1">
              <a:solidFill>
                <a:sysClr val="windowText" lastClr="000000"/>
              </a:solidFill>
              <a:effectLst/>
              <a:latin typeface="Arial" panose="020B0604020202020204" pitchFamily="34" charset="0"/>
              <a:ea typeface="+mn-ea"/>
              <a:cs typeface="Arial" panose="020B0604020202020204" pitchFamily="34" charset="0"/>
            </a:rPr>
            <a:t>+96</a:t>
          </a:r>
          <a:endParaRPr lang="en-US" sz="1600" b="1">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0.38882</cdr:x>
      <cdr:y>0.26394</cdr:y>
    </cdr:from>
    <cdr:to>
      <cdr:x>0.84496</cdr:x>
      <cdr:y>0.32905</cdr:y>
    </cdr:to>
    <cdr:sp macro="" textlink="">
      <cdr:nvSpPr>
        <cdr:cNvPr id="16" name="TextBox 1">
          <a:extLst xmlns:a="http://schemas.openxmlformats.org/drawingml/2006/main">
            <a:ext uri="{FF2B5EF4-FFF2-40B4-BE49-F238E27FC236}">
              <a16:creationId xmlns:a16="http://schemas.microsoft.com/office/drawing/2014/main" id="{A11AC7FF-DEF9-4A05-B9BA-BCB21D518B22}"/>
            </a:ext>
          </a:extLst>
        </cdr:cNvPr>
        <cdr:cNvSpPr txBox="1"/>
      </cdr:nvSpPr>
      <cdr:spPr>
        <a:xfrm xmlns:a="http://schemas.openxmlformats.org/drawingml/2006/main">
          <a:off x="2318409" y="1231867"/>
          <a:ext cx="2719803" cy="30388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300"/>
            </a:lnSpc>
          </a:pPr>
          <a:r>
            <a:rPr lang="en-US" sz="1600" b="1">
              <a:solidFill>
                <a:schemeClr val="tx1"/>
              </a:solidFill>
              <a:latin typeface="Arial" panose="020B0604020202020204" pitchFamily="34" charset="0"/>
              <a:cs typeface="Arial" panose="020B0604020202020204" pitchFamily="34" charset="0"/>
            </a:rPr>
            <a:t>Total transfers</a:t>
          </a:r>
        </a:p>
      </cdr:txBody>
    </cdr:sp>
  </cdr:relSizeAnchor>
</c:userShapes>
</file>

<file path=xl/drawings/drawing58.xml><?xml version="1.0" encoding="utf-8"?>
<c:userShapes xmlns:c="http://schemas.openxmlformats.org/drawingml/2006/chart">
  <cdr:relSizeAnchor xmlns:cdr="http://schemas.openxmlformats.org/drawingml/2006/chartDrawing">
    <cdr:from>
      <cdr:x>0.29231</cdr:x>
      <cdr:y>0.50527</cdr:y>
    </cdr:from>
    <cdr:to>
      <cdr:x>0.7987</cdr:x>
      <cdr:y>0.56607</cdr:y>
    </cdr:to>
    <cdr:sp macro="" textlink="">
      <cdr:nvSpPr>
        <cdr:cNvPr id="3" name="TextBox 1"/>
        <cdr:cNvSpPr txBox="1"/>
      </cdr:nvSpPr>
      <cdr:spPr>
        <a:xfrm xmlns:a="http://schemas.openxmlformats.org/drawingml/2006/main">
          <a:off x="1736063" y="2358235"/>
          <a:ext cx="3007499" cy="28376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400"/>
            </a:lnSpc>
          </a:pPr>
          <a:r>
            <a:rPr lang="en-US" sz="1400" b="1">
              <a:solidFill>
                <a:srgbClr val="B57A0F"/>
              </a:solidFill>
              <a:latin typeface="Arial" panose="020B0604020202020204" pitchFamily="34" charset="0"/>
              <a:cs typeface="Arial" panose="020B0604020202020204" pitchFamily="34" charset="0"/>
            </a:rPr>
            <a:t>Social Security &amp; Disability</a:t>
          </a:r>
        </a:p>
      </cdr:txBody>
    </cdr:sp>
  </cdr:relSizeAnchor>
  <cdr:relSizeAnchor xmlns:cdr="http://schemas.openxmlformats.org/drawingml/2006/chartDrawing">
    <cdr:from>
      <cdr:x>0.55325</cdr:x>
      <cdr:y>0.68013</cdr:y>
    </cdr:from>
    <cdr:to>
      <cdr:x>0.80028</cdr:x>
      <cdr:y>0.74604</cdr:y>
    </cdr:to>
    <cdr:sp macro="" textlink="">
      <cdr:nvSpPr>
        <cdr:cNvPr id="7" name="TextBox 1">
          <a:extLst xmlns:a="http://schemas.openxmlformats.org/drawingml/2006/main">
            <a:ext uri="{FF2B5EF4-FFF2-40B4-BE49-F238E27FC236}">
              <a16:creationId xmlns:a16="http://schemas.microsoft.com/office/drawing/2014/main" id="{D65CCE9F-BE28-4EB1-A669-848CF74C8306}"/>
            </a:ext>
          </a:extLst>
        </cdr:cNvPr>
        <cdr:cNvSpPr txBox="1"/>
      </cdr:nvSpPr>
      <cdr:spPr>
        <a:xfrm xmlns:a="http://schemas.openxmlformats.org/drawingml/2006/main">
          <a:off x="3298835" y="3174326"/>
          <a:ext cx="1472953" cy="3076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200"/>
            </a:lnSpc>
          </a:pPr>
          <a:r>
            <a:rPr lang="en-US" sz="1400" b="1">
              <a:solidFill>
                <a:schemeClr val="tx1">
                  <a:lumMod val="75000"/>
                  <a:lumOff val="25000"/>
                </a:schemeClr>
              </a:solidFill>
              <a:effectLst/>
              <a:latin typeface="Arial" panose="020B0604020202020204" pitchFamily="34" charset="0"/>
              <a:ea typeface="+mn-ea"/>
              <a:cs typeface="Arial" panose="020B0604020202020204" pitchFamily="34" charset="0"/>
            </a:rPr>
            <a:t>Medicare</a:t>
          </a:r>
          <a:endParaRPr lang="en-US" sz="1400" b="1">
            <a:solidFill>
              <a:schemeClr val="tx1">
                <a:lumMod val="75000"/>
                <a:lumOff val="25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0.56227</cdr:x>
      <cdr:y>0.80576</cdr:y>
    </cdr:from>
    <cdr:to>
      <cdr:x>0.79962</cdr:x>
      <cdr:y>0.86656</cdr:y>
    </cdr:to>
    <cdr:sp macro="" textlink="">
      <cdr:nvSpPr>
        <cdr:cNvPr id="8" name="TextBox 1">
          <a:extLst xmlns:a="http://schemas.openxmlformats.org/drawingml/2006/main">
            <a:ext uri="{FF2B5EF4-FFF2-40B4-BE49-F238E27FC236}">
              <a16:creationId xmlns:a16="http://schemas.microsoft.com/office/drawing/2014/main" id="{667A952A-D507-4E13-B5C4-C84D92D0DB94}"/>
            </a:ext>
          </a:extLst>
        </cdr:cNvPr>
        <cdr:cNvSpPr txBox="1"/>
      </cdr:nvSpPr>
      <cdr:spPr>
        <a:xfrm xmlns:a="http://schemas.openxmlformats.org/drawingml/2006/main">
          <a:off x="3352603" y="3760668"/>
          <a:ext cx="1415235" cy="28376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400"/>
            </a:lnSpc>
          </a:pPr>
          <a:r>
            <a:rPr lang="en-US" sz="1500" b="1">
              <a:solidFill>
                <a:srgbClr val="1F7B91"/>
              </a:solidFill>
              <a:latin typeface="Arial" panose="020B0604020202020204" pitchFamily="34" charset="0"/>
              <a:cs typeface="Arial" panose="020B0604020202020204" pitchFamily="34" charset="0"/>
            </a:rPr>
            <a:t>Medicaid</a:t>
          </a:r>
        </a:p>
      </cdr:txBody>
    </cdr:sp>
  </cdr:relSizeAnchor>
  <cdr:relSizeAnchor xmlns:cdr="http://schemas.openxmlformats.org/drawingml/2006/chartDrawing">
    <cdr:from>
      <cdr:x>0.90706</cdr:x>
      <cdr:y>0.88355</cdr:y>
    </cdr:from>
    <cdr:to>
      <cdr:x>0.98389</cdr:x>
      <cdr:y>0.93253</cdr:y>
    </cdr:to>
    <cdr:sp macro="" textlink="">
      <cdr:nvSpPr>
        <cdr:cNvPr id="9" name="TextBox 1">
          <a:extLst xmlns:a="http://schemas.openxmlformats.org/drawingml/2006/main">
            <a:ext uri="{FF2B5EF4-FFF2-40B4-BE49-F238E27FC236}">
              <a16:creationId xmlns:a16="http://schemas.microsoft.com/office/drawing/2014/main" id="{3DD8D46D-9A6B-4F3A-B422-A2717F264A21}"/>
            </a:ext>
          </a:extLst>
        </cdr:cNvPr>
        <cdr:cNvSpPr txBox="1"/>
      </cdr:nvSpPr>
      <cdr:spPr>
        <a:xfrm xmlns:a="http://schemas.openxmlformats.org/drawingml/2006/main">
          <a:off x="5387155" y="4123769"/>
          <a:ext cx="456303" cy="2286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200"/>
            </a:lnSpc>
          </a:pPr>
          <a:r>
            <a:rPr lang="en-US" sz="1400" b="1">
              <a:solidFill>
                <a:srgbClr val="792B36"/>
              </a:solidFill>
              <a:effectLst/>
              <a:latin typeface="Arial" panose="020B0604020202020204" pitchFamily="34" charset="0"/>
              <a:ea typeface="+mn-ea"/>
              <a:cs typeface="Arial" panose="020B0604020202020204" pitchFamily="34" charset="0"/>
            </a:rPr>
            <a:t>+2</a:t>
          </a:r>
          <a:endParaRPr lang="en-US" sz="1400" b="1">
            <a:solidFill>
              <a:srgbClr val="792B36"/>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0.90755</cdr:x>
      <cdr:y>0.29991</cdr:y>
    </cdr:from>
    <cdr:to>
      <cdr:x>0.99464</cdr:x>
      <cdr:y>0.35054</cdr:y>
    </cdr:to>
    <cdr:sp macro="" textlink="">
      <cdr:nvSpPr>
        <cdr:cNvPr id="10" name="TextBox 1">
          <a:extLst xmlns:a="http://schemas.openxmlformats.org/drawingml/2006/main">
            <a:ext uri="{FF2B5EF4-FFF2-40B4-BE49-F238E27FC236}">
              <a16:creationId xmlns:a16="http://schemas.microsoft.com/office/drawing/2014/main" id="{EEFC3946-31B0-4B0E-8EF1-05D7B4A4B0DA}"/>
            </a:ext>
          </a:extLst>
        </cdr:cNvPr>
        <cdr:cNvSpPr txBox="1"/>
      </cdr:nvSpPr>
      <cdr:spPr>
        <a:xfrm xmlns:a="http://schemas.openxmlformats.org/drawingml/2006/main">
          <a:off x="5390030" y="1399747"/>
          <a:ext cx="517257" cy="23631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200"/>
            </a:lnSpc>
          </a:pPr>
          <a:r>
            <a:rPr lang="en-US" sz="1400" b="1">
              <a:solidFill>
                <a:srgbClr val="D58F11"/>
              </a:solidFill>
              <a:effectLst/>
              <a:latin typeface="Arial" panose="020B0604020202020204" pitchFamily="34" charset="0"/>
              <a:ea typeface="+mn-ea"/>
              <a:cs typeface="Arial" panose="020B0604020202020204" pitchFamily="34" charset="0"/>
            </a:rPr>
            <a:t>+10</a:t>
          </a:r>
          <a:endParaRPr lang="en-US" sz="1400" b="1">
            <a:solidFill>
              <a:srgbClr val="D58F1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0.53572</cdr:x>
      <cdr:y>0.89117</cdr:y>
    </cdr:from>
    <cdr:to>
      <cdr:x>0.84083</cdr:x>
      <cdr:y>0.95628</cdr:y>
    </cdr:to>
    <cdr:sp macro="" textlink="">
      <cdr:nvSpPr>
        <cdr:cNvPr id="11" name="TextBox 1">
          <a:extLst xmlns:a="http://schemas.openxmlformats.org/drawingml/2006/main">
            <a:ext uri="{FF2B5EF4-FFF2-40B4-BE49-F238E27FC236}">
              <a16:creationId xmlns:a16="http://schemas.microsoft.com/office/drawing/2014/main" id="{FDE74DD3-2E65-4728-BB07-5ED547CDE84E}"/>
            </a:ext>
          </a:extLst>
        </cdr:cNvPr>
        <cdr:cNvSpPr txBox="1"/>
      </cdr:nvSpPr>
      <cdr:spPr>
        <a:xfrm xmlns:a="http://schemas.openxmlformats.org/drawingml/2006/main">
          <a:off x="3181707" y="4159306"/>
          <a:ext cx="1812084" cy="30388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50"/>
            </a:lnSpc>
          </a:pPr>
          <a:r>
            <a:rPr lang="en-US" sz="1300" b="1">
              <a:solidFill>
                <a:srgbClr val="792B36"/>
              </a:solidFill>
              <a:latin typeface="Arial" panose="020B0604020202020204" pitchFamily="34" charset="0"/>
              <a:cs typeface="Arial" panose="020B0604020202020204" pitchFamily="34" charset="0"/>
            </a:rPr>
            <a:t>Other transfers</a:t>
          </a:r>
        </a:p>
      </cdr:txBody>
    </cdr:sp>
  </cdr:relSizeAnchor>
  <cdr:relSizeAnchor xmlns:cdr="http://schemas.openxmlformats.org/drawingml/2006/chartDrawing">
    <cdr:from>
      <cdr:x>0.90735</cdr:x>
      <cdr:y>0.7159</cdr:y>
    </cdr:from>
    <cdr:to>
      <cdr:x>0.99057</cdr:x>
      <cdr:y>0.78181</cdr:y>
    </cdr:to>
    <cdr:sp macro="" textlink="">
      <cdr:nvSpPr>
        <cdr:cNvPr id="12" name="TextBox 1">
          <a:extLst xmlns:a="http://schemas.openxmlformats.org/drawingml/2006/main">
            <a:ext uri="{FF2B5EF4-FFF2-40B4-BE49-F238E27FC236}">
              <a16:creationId xmlns:a16="http://schemas.microsoft.com/office/drawing/2014/main" id="{F24BF6B2-2B49-4988-B958-3A2224A71C1C}"/>
            </a:ext>
          </a:extLst>
        </cdr:cNvPr>
        <cdr:cNvSpPr txBox="1"/>
      </cdr:nvSpPr>
      <cdr:spPr>
        <a:xfrm xmlns:a="http://schemas.openxmlformats.org/drawingml/2006/main">
          <a:off x="5410201" y="3341297"/>
          <a:ext cx="496222" cy="30761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200"/>
            </a:lnSpc>
          </a:pPr>
          <a:r>
            <a:rPr lang="en-US" sz="1400" b="1">
              <a:solidFill>
                <a:srgbClr val="1F7B91"/>
              </a:solidFill>
              <a:effectLst/>
              <a:latin typeface="Arial" panose="020B0604020202020204" pitchFamily="34" charset="0"/>
              <a:ea typeface="+mn-ea"/>
              <a:cs typeface="Arial" panose="020B0604020202020204" pitchFamily="34" charset="0"/>
            </a:rPr>
            <a:t>+11</a:t>
          </a:r>
          <a:endParaRPr lang="en-US" sz="1400" b="1">
            <a:solidFill>
              <a:srgbClr val="1F7B9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0.90799</cdr:x>
      <cdr:y>0.52722</cdr:y>
    </cdr:from>
    <cdr:to>
      <cdr:x>0.99193</cdr:x>
      <cdr:y>0.58046</cdr:y>
    </cdr:to>
    <cdr:sp macro="" textlink="">
      <cdr:nvSpPr>
        <cdr:cNvPr id="13" name="TextBox 1">
          <a:extLst xmlns:a="http://schemas.openxmlformats.org/drawingml/2006/main">
            <a:ext uri="{FF2B5EF4-FFF2-40B4-BE49-F238E27FC236}">
              <a16:creationId xmlns:a16="http://schemas.microsoft.com/office/drawing/2014/main" id="{F61C1D79-A6DE-44D1-A278-E97D8DF800B7}"/>
            </a:ext>
          </a:extLst>
        </cdr:cNvPr>
        <cdr:cNvSpPr txBox="1"/>
      </cdr:nvSpPr>
      <cdr:spPr>
        <a:xfrm xmlns:a="http://schemas.openxmlformats.org/drawingml/2006/main">
          <a:off x="5392641" y="2460648"/>
          <a:ext cx="498529" cy="2484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200"/>
            </a:lnSpc>
          </a:pPr>
          <a:r>
            <a:rPr lang="en-US" sz="1400" b="1">
              <a:solidFill>
                <a:schemeClr val="accent3">
                  <a:lumMod val="50000"/>
                </a:schemeClr>
              </a:solidFill>
              <a:effectLst/>
              <a:latin typeface="Arial" panose="020B0604020202020204" pitchFamily="34" charset="0"/>
              <a:ea typeface="+mn-ea"/>
              <a:cs typeface="Arial" panose="020B0604020202020204" pitchFamily="34" charset="0"/>
            </a:rPr>
            <a:t>+9</a:t>
          </a:r>
          <a:endParaRPr lang="en-US" sz="1400" b="1">
            <a:solidFill>
              <a:schemeClr val="accent3">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0.33575</cdr:x>
      <cdr:y>0.07415</cdr:y>
    </cdr:from>
    <cdr:to>
      <cdr:x>0.65269</cdr:x>
      <cdr:y>0.13926</cdr:y>
    </cdr:to>
    <cdr:sp macro="" textlink="">
      <cdr:nvSpPr>
        <cdr:cNvPr id="14" name="TextBox 1">
          <a:extLst xmlns:a="http://schemas.openxmlformats.org/drawingml/2006/main">
            <a:ext uri="{FF2B5EF4-FFF2-40B4-BE49-F238E27FC236}">
              <a16:creationId xmlns:a16="http://schemas.microsoft.com/office/drawing/2014/main" id="{D13569D0-DD6F-4E1C-B4B2-3DA56023AD5E}"/>
            </a:ext>
          </a:extLst>
        </cdr:cNvPr>
        <cdr:cNvSpPr txBox="1"/>
      </cdr:nvSpPr>
      <cdr:spPr>
        <a:xfrm xmlns:a="http://schemas.openxmlformats.org/drawingml/2006/main">
          <a:off x="2001985" y="346071"/>
          <a:ext cx="1889802" cy="30388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50"/>
            </a:lnSpc>
          </a:pPr>
          <a:r>
            <a:rPr lang="en-US" sz="1600" b="1">
              <a:solidFill>
                <a:schemeClr val="tx1"/>
              </a:solidFill>
              <a:latin typeface="Arial" panose="020B0604020202020204" pitchFamily="34" charset="0"/>
              <a:cs typeface="Arial" panose="020B0604020202020204" pitchFamily="34" charset="0"/>
            </a:rPr>
            <a:t>Second Quintile</a:t>
          </a:r>
        </a:p>
      </cdr:txBody>
    </cdr:sp>
  </cdr:relSizeAnchor>
  <cdr:relSizeAnchor xmlns:cdr="http://schemas.openxmlformats.org/drawingml/2006/chartDrawing">
    <cdr:from>
      <cdr:x>0.90895</cdr:x>
      <cdr:y>0.06456</cdr:y>
    </cdr:from>
    <cdr:to>
      <cdr:x>1</cdr:x>
      <cdr:y>0.1178</cdr:y>
    </cdr:to>
    <cdr:sp macro="" textlink="">
      <cdr:nvSpPr>
        <cdr:cNvPr id="15" name="TextBox 1">
          <a:extLst xmlns:a="http://schemas.openxmlformats.org/drawingml/2006/main">
            <a:ext uri="{FF2B5EF4-FFF2-40B4-BE49-F238E27FC236}">
              <a16:creationId xmlns:a16="http://schemas.microsoft.com/office/drawing/2014/main" id="{FA71CD5B-CE21-4A65-9B98-6F1BBADA4CB7}"/>
            </a:ext>
          </a:extLst>
        </cdr:cNvPr>
        <cdr:cNvSpPr txBox="1"/>
      </cdr:nvSpPr>
      <cdr:spPr>
        <a:xfrm xmlns:a="http://schemas.openxmlformats.org/drawingml/2006/main">
          <a:off x="5398361" y="301301"/>
          <a:ext cx="540757" cy="24848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200"/>
            </a:lnSpc>
          </a:pPr>
          <a:r>
            <a:rPr lang="en-US" sz="1600" b="1">
              <a:solidFill>
                <a:sysClr val="windowText" lastClr="000000"/>
              </a:solidFill>
              <a:effectLst/>
              <a:latin typeface="Arial" panose="020B0604020202020204" pitchFamily="34" charset="0"/>
              <a:ea typeface="+mn-ea"/>
              <a:cs typeface="Arial" panose="020B0604020202020204" pitchFamily="34" charset="0"/>
            </a:rPr>
            <a:t>+32</a:t>
          </a:r>
          <a:endParaRPr lang="en-US" sz="1600" b="1">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0.41781</cdr:x>
      <cdr:y>0.25078</cdr:y>
    </cdr:from>
    <cdr:to>
      <cdr:x>0.79791</cdr:x>
      <cdr:y>0.30492</cdr:y>
    </cdr:to>
    <cdr:sp macro="" textlink="">
      <cdr:nvSpPr>
        <cdr:cNvPr id="16" name="TextBox 1">
          <a:extLst xmlns:a="http://schemas.openxmlformats.org/drawingml/2006/main">
            <a:ext uri="{FF2B5EF4-FFF2-40B4-BE49-F238E27FC236}">
              <a16:creationId xmlns:a16="http://schemas.microsoft.com/office/drawing/2014/main" id="{A11AC7FF-DEF9-4A05-B9BA-BCB21D518B22}"/>
            </a:ext>
          </a:extLst>
        </cdr:cNvPr>
        <cdr:cNvSpPr txBox="1"/>
      </cdr:nvSpPr>
      <cdr:spPr>
        <a:xfrm xmlns:a="http://schemas.openxmlformats.org/drawingml/2006/main">
          <a:off x="2481440" y="1170466"/>
          <a:ext cx="2257459" cy="25268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300"/>
            </a:lnSpc>
          </a:pPr>
          <a:r>
            <a:rPr lang="en-US" sz="1500" b="1">
              <a:solidFill>
                <a:schemeClr val="tx1"/>
              </a:solidFill>
              <a:latin typeface="Arial" panose="020B0604020202020204" pitchFamily="34" charset="0"/>
              <a:cs typeface="Arial" panose="020B0604020202020204" pitchFamily="34" charset="0"/>
            </a:rPr>
            <a:t>Total transfers</a:t>
          </a:r>
        </a:p>
      </cdr:txBody>
    </cdr:sp>
  </cdr:relSizeAnchor>
</c:userShapes>
</file>

<file path=xl/drawings/drawing59.xml><?xml version="1.0" encoding="utf-8"?>
<xdr:wsDr xmlns:xdr="http://schemas.openxmlformats.org/drawingml/2006/spreadsheetDrawing" xmlns:a="http://schemas.openxmlformats.org/drawingml/2006/main">
  <xdr:twoCellAnchor editAs="oneCell">
    <xdr:from>
      <xdr:col>16</xdr:col>
      <xdr:colOff>190440</xdr:colOff>
      <xdr:row>22</xdr:row>
      <xdr:rowOff>66825</xdr:rowOff>
    </xdr:from>
    <xdr:to>
      <xdr:col>16</xdr:col>
      <xdr:colOff>190800</xdr:colOff>
      <xdr:row>22</xdr:row>
      <xdr:rowOff>67185</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B0270BBC-84DC-41D8-B611-20208CFD644A}"/>
                </a:ext>
              </a:extLst>
            </xdr14:cNvPr>
            <xdr14:cNvContentPartPr/>
          </xdr14:nvContentPartPr>
          <xdr14:nvPr macro=""/>
          <xdr14:xfrm>
            <a:off x="11591865" y="4257825"/>
            <a:ext cx="360" cy="360"/>
          </xdr14:xfrm>
        </xdr:contentPart>
      </mc:Choice>
      <mc:Fallback xmlns="">
        <xdr:pic>
          <xdr:nvPicPr>
            <xdr:cNvPr id="40" name="Ink 39">
              <a:extLst>
                <a:ext uri="{FF2B5EF4-FFF2-40B4-BE49-F238E27FC236}">
                  <a16:creationId xmlns:a16="http://schemas.microsoft.com/office/drawing/2014/main" id="{DD68D223-85BE-4459-A03C-D5A171CEE79E}"/>
                </a:ext>
              </a:extLst>
            </xdr:cNvPr>
            <xdr:cNvPicPr/>
          </xdr:nvPicPr>
          <xdr:blipFill>
            <a:blip xmlns:r="http://schemas.openxmlformats.org/officeDocument/2006/relationships" r:embed="rId60"/>
            <a:stretch>
              <a:fillRect/>
            </a:stretch>
          </xdr:blipFill>
          <xdr:spPr>
            <a:xfrm>
              <a:off x="11587545" y="4253505"/>
              <a:ext cx="9000" cy="9000"/>
            </a:xfrm>
            <a:prstGeom prst="rect">
              <a:avLst/>
            </a:prstGeom>
          </xdr:spPr>
        </xdr:pic>
      </mc:Fallback>
    </mc:AlternateContent>
    <xdr:clientData/>
  </xdr:twoCellAnchor>
  <xdr:twoCellAnchor editAs="oneCell">
    <xdr:from>
      <xdr:col>17</xdr:col>
      <xdr:colOff>295185</xdr:colOff>
      <xdr:row>18</xdr:row>
      <xdr:rowOff>66705</xdr:rowOff>
    </xdr:from>
    <xdr:to>
      <xdr:col>17</xdr:col>
      <xdr:colOff>343425</xdr:colOff>
      <xdr:row>19</xdr:row>
      <xdr:rowOff>95445</xdr:rowOff>
    </xdr:to>
    <mc:AlternateContent xmlns:mc="http://schemas.openxmlformats.org/markup-compatibility/2006" xmlns:xdr14="http://schemas.microsoft.com/office/excel/2010/spreadsheetDrawing">
      <mc:Choice Requires="xdr14">
        <xdr:contentPart xmlns:r="http://schemas.openxmlformats.org/officeDocument/2006/relationships" r:id="rId61">
          <xdr14:nvContentPartPr>
            <xdr14:cNvPr id="3" name="Ink 2">
              <a:extLst>
                <a:ext uri="{FF2B5EF4-FFF2-40B4-BE49-F238E27FC236}">
                  <a16:creationId xmlns:a16="http://schemas.microsoft.com/office/drawing/2014/main" id="{AA51FE42-71B9-47BD-B3BA-4931368F91D0}"/>
                </a:ext>
              </a:extLst>
            </xdr14:cNvPr>
            <xdr14:cNvContentPartPr/>
          </xdr14:nvContentPartPr>
          <xdr14:nvPr macro=""/>
          <xdr14:xfrm>
            <a:off x="12029985" y="3495705"/>
            <a:ext cx="48240" cy="219240"/>
          </xdr14:xfrm>
        </xdr:contentPart>
      </mc:Choice>
      <mc:Fallback xmlns="">
        <xdr:pic>
          <xdr:nvPicPr>
            <xdr:cNvPr id="45" name="Ink 44">
              <a:extLst>
                <a:ext uri="{FF2B5EF4-FFF2-40B4-BE49-F238E27FC236}">
                  <a16:creationId xmlns:a16="http://schemas.microsoft.com/office/drawing/2014/main" id="{E50457DB-6FB0-49FC-A276-143C3EC617BD}"/>
                </a:ext>
              </a:extLst>
            </xdr:cNvPr>
            <xdr:cNvPicPr/>
          </xdr:nvPicPr>
          <xdr:blipFill>
            <a:blip xmlns:r="http://schemas.openxmlformats.org/officeDocument/2006/relationships" r:embed="rId62"/>
            <a:stretch>
              <a:fillRect/>
            </a:stretch>
          </xdr:blipFill>
          <xdr:spPr>
            <a:xfrm>
              <a:off x="12025665" y="3491385"/>
              <a:ext cx="56880" cy="227880"/>
            </a:xfrm>
            <a:prstGeom prst="rect">
              <a:avLst/>
            </a:prstGeom>
          </xdr:spPr>
        </xdr:pic>
      </mc:Fallback>
    </mc:AlternateContent>
    <xdr:clientData/>
  </xdr:twoCellAnchor>
  <xdr:twoCellAnchor editAs="oneCell">
    <xdr:from>
      <xdr:col>10</xdr:col>
      <xdr:colOff>180825</xdr:colOff>
      <xdr:row>14</xdr:row>
      <xdr:rowOff>133185</xdr:rowOff>
    </xdr:from>
    <xdr:to>
      <xdr:col>10</xdr:col>
      <xdr:colOff>181185</xdr:colOff>
      <xdr:row>14</xdr:row>
      <xdr:rowOff>133545</xdr:rowOff>
    </xdr:to>
    <mc:AlternateContent xmlns:mc="http://schemas.openxmlformats.org/markup-compatibility/2006" xmlns:xdr14="http://schemas.microsoft.com/office/excel/2010/spreadsheetDrawing">
      <mc:Choice Requires="xdr14">
        <xdr:contentPart xmlns:r="http://schemas.openxmlformats.org/officeDocument/2006/relationships" r:id="rId63">
          <xdr14:nvContentPartPr>
            <xdr14:cNvPr id="4" name="Ink 3">
              <a:extLst>
                <a:ext uri="{FF2B5EF4-FFF2-40B4-BE49-F238E27FC236}">
                  <a16:creationId xmlns:a16="http://schemas.microsoft.com/office/drawing/2014/main" id="{9DA9ECAD-C7DB-4EA4-9E47-2C3F5E546E0F}"/>
                </a:ext>
              </a:extLst>
            </xdr14:cNvPr>
            <xdr14:cNvContentPartPr/>
          </xdr14:nvContentPartPr>
          <xdr14:nvPr macro=""/>
          <xdr14:xfrm>
            <a:off x="9477225" y="2800185"/>
            <a:ext cx="360" cy="360"/>
          </xdr14:xfrm>
        </xdr:contentPart>
      </mc:Choice>
      <mc:Fallback xmlns="">
        <xdr:pic>
          <xdr:nvPicPr>
            <xdr:cNvPr id="46" name="Ink 45">
              <a:extLst>
                <a:ext uri="{FF2B5EF4-FFF2-40B4-BE49-F238E27FC236}">
                  <a16:creationId xmlns:a16="http://schemas.microsoft.com/office/drawing/2014/main" id="{44610805-10A3-42B6-B911-F889927A6193}"/>
                </a:ext>
              </a:extLst>
            </xdr:cNvPr>
            <xdr:cNvPicPr/>
          </xdr:nvPicPr>
          <xdr:blipFill>
            <a:blip xmlns:r="http://schemas.openxmlformats.org/officeDocument/2006/relationships" r:embed="rId60"/>
            <a:stretch>
              <a:fillRect/>
            </a:stretch>
          </xdr:blipFill>
          <xdr:spPr>
            <a:xfrm>
              <a:off x="9472905" y="2795865"/>
              <a:ext cx="9000" cy="9000"/>
            </a:xfrm>
            <a:prstGeom prst="rect">
              <a:avLst/>
            </a:prstGeom>
          </xdr:spPr>
        </xdr:pic>
      </mc:Fallback>
    </mc:AlternateContent>
    <xdr:clientData/>
  </xdr:twoCellAnchor>
  <xdr:twoCellAnchor editAs="oneCell">
    <xdr:from>
      <xdr:col>18</xdr:col>
      <xdr:colOff>333225</xdr:colOff>
      <xdr:row>20</xdr:row>
      <xdr:rowOff>76305</xdr:rowOff>
    </xdr:from>
    <xdr:to>
      <xdr:col>18</xdr:col>
      <xdr:colOff>333585</xdr:colOff>
      <xdr:row>20</xdr:row>
      <xdr:rowOff>76665</xdr:rowOff>
    </xdr:to>
    <mc:AlternateContent xmlns:mc="http://schemas.openxmlformats.org/markup-compatibility/2006" xmlns:xdr14="http://schemas.microsoft.com/office/excel/2010/spreadsheetDrawing">
      <mc:Choice Requires="xdr14">
        <xdr:contentPart xmlns:r="http://schemas.openxmlformats.org/officeDocument/2006/relationships" r:id="rId64">
          <xdr14:nvContentPartPr>
            <xdr14:cNvPr id="5" name="Ink 4">
              <a:extLst>
                <a:ext uri="{FF2B5EF4-FFF2-40B4-BE49-F238E27FC236}">
                  <a16:creationId xmlns:a16="http://schemas.microsoft.com/office/drawing/2014/main" id="{62657375-8D60-4256-B7F7-01BF7AB2A991}"/>
                </a:ext>
              </a:extLst>
            </xdr14:cNvPr>
            <xdr14:cNvContentPartPr/>
          </xdr14:nvContentPartPr>
          <xdr14:nvPr macro=""/>
          <xdr14:xfrm>
            <a:off x="12449025" y="3886305"/>
            <a:ext cx="360" cy="360"/>
          </xdr14:xfrm>
        </xdr:contentPart>
      </mc:Choice>
      <mc:Fallback xmlns="">
        <xdr:pic>
          <xdr:nvPicPr>
            <xdr:cNvPr id="50" name="Ink 49">
              <a:extLst>
                <a:ext uri="{FF2B5EF4-FFF2-40B4-BE49-F238E27FC236}">
                  <a16:creationId xmlns:a16="http://schemas.microsoft.com/office/drawing/2014/main" id="{4ECEF899-F3CD-4D8D-B908-EE30C7009075}"/>
                </a:ext>
              </a:extLst>
            </xdr:cNvPr>
            <xdr:cNvPicPr/>
          </xdr:nvPicPr>
          <xdr:blipFill>
            <a:blip xmlns:r="http://schemas.openxmlformats.org/officeDocument/2006/relationships" r:embed="rId60"/>
            <a:stretch>
              <a:fillRect/>
            </a:stretch>
          </xdr:blipFill>
          <xdr:spPr>
            <a:xfrm>
              <a:off x="12444705" y="3881985"/>
              <a:ext cx="9000" cy="9000"/>
            </a:xfrm>
            <a:prstGeom prst="rect">
              <a:avLst/>
            </a:prstGeom>
          </xdr:spPr>
        </xdr:pic>
      </mc:Fallback>
    </mc:AlternateContent>
    <xdr:clientData/>
  </xdr:twoCellAnchor>
  <xdr:twoCellAnchor editAs="oneCell">
    <xdr:from>
      <xdr:col>23</xdr:col>
      <xdr:colOff>314235</xdr:colOff>
      <xdr:row>19</xdr:row>
      <xdr:rowOff>28485</xdr:rowOff>
    </xdr:from>
    <xdr:to>
      <xdr:col>23</xdr:col>
      <xdr:colOff>314595</xdr:colOff>
      <xdr:row>19</xdr:row>
      <xdr:rowOff>28845</xdr:rowOff>
    </xdr:to>
    <mc:AlternateContent xmlns:mc="http://schemas.openxmlformats.org/markup-compatibility/2006" xmlns:xdr14="http://schemas.microsoft.com/office/excel/2010/spreadsheetDrawing">
      <mc:Choice Requires="xdr14">
        <xdr:contentPart xmlns:r="http://schemas.openxmlformats.org/officeDocument/2006/relationships" r:id="rId65">
          <xdr14:nvContentPartPr>
            <xdr14:cNvPr id="6" name="Ink 5">
              <a:extLst>
                <a:ext uri="{FF2B5EF4-FFF2-40B4-BE49-F238E27FC236}">
                  <a16:creationId xmlns:a16="http://schemas.microsoft.com/office/drawing/2014/main" id="{B2B5B8BD-346E-496C-A2AF-9F46922705C9}"/>
                </a:ext>
              </a:extLst>
            </xdr14:cNvPr>
            <xdr14:cNvContentPartPr/>
          </xdr14:nvContentPartPr>
          <xdr14:nvPr macro=""/>
          <xdr14:xfrm>
            <a:off x="14087385" y="3647985"/>
            <a:ext cx="360" cy="360"/>
          </xdr14:xfrm>
        </xdr:contentPart>
      </mc:Choice>
      <mc:Fallback xmlns="">
        <xdr:pic>
          <xdr:nvPicPr>
            <xdr:cNvPr id="51" name="Ink 50">
              <a:extLst>
                <a:ext uri="{FF2B5EF4-FFF2-40B4-BE49-F238E27FC236}">
                  <a16:creationId xmlns:a16="http://schemas.microsoft.com/office/drawing/2014/main" id="{F8C0A5B1-5C7B-467E-A6DD-EEC76AD1BA5D}"/>
                </a:ext>
              </a:extLst>
            </xdr:cNvPr>
            <xdr:cNvPicPr/>
          </xdr:nvPicPr>
          <xdr:blipFill>
            <a:blip xmlns:r="http://schemas.openxmlformats.org/officeDocument/2006/relationships" r:embed="rId60"/>
            <a:stretch>
              <a:fillRect/>
            </a:stretch>
          </xdr:blipFill>
          <xdr:spPr>
            <a:xfrm>
              <a:off x="14083065" y="3643665"/>
              <a:ext cx="9000" cy="9000"/>
            </a:xfrm>
            <a:prstGeom prst="rect">
              <a:avLst/>
            </a:prstGeom>
          </xdr:spPr>
        </xdr:pic>
      </mc:Fallback>
    </mc:AlternateContent>
    <xdr:clientData/>
  </xdr:twoCellAnchor>
  <xdr:twoCellAnchor editAs="oneCell">
    <xdr:from>
      <xdr:col>15</xdr:col>
      <xdr:colOff>324015</xdr:colOff>
      <xdr:row>23</xdr:row>
      <xdr:rowOff>28605</xdr:rowOff>
    </xdr:from>
    <xdr:to>
      <xdr:col>16</xdr:col>
      <xdr:colOff>19439</xdr:colOff>
      <xdr:row>23</xdr:row>
      <xdr:rowOff>67125</xdr:rowOff>
    </xdr:to>
    <mc:AlternateContent xmlns:mc="http://schemas.openxmlformats.org/markup-compatibility/2006" xmlns:xdr14="http://schemas.microsoft.com/office/excel/2010/spreadsheetDrawing">
      <mc:Choice Requires="xdr14">
        <xdr:contentPart xmlns:r="http://schemas.openxmlformats.org/officeDocument/2006/relationships" r:id="rId66">
          <xdr14:nvContentPartPr>
            <xdr14:cNvPr id="7" name="Ink 6">
              <a:extLst>
                <a:ext uri="{FF2B5EF4-FFF2-40B4-BE49-F238E27FC236}">
                  <a16:creationId xmlns:a16="http://schemas.microsoft.com/office/drawing/2014/main" id="{DA4A3FBA-F492-4DDC-A6A6-58C75227DA75}"/>
                </a:ext>
              </a:extLst>
            </xdr14:cNvPr>
            <xdr14:cNvContentPartPr/>
          </xdr14:nvContentPartPr>
          <xdr14:nvPr macro=""/>
          <xdr14:xfrm>
            <a:off x="11392065" y="4410105"/>
            <a:ext cx="28800" cy="38520"/>
          </xdr14:xfrm>
        </xdr:contentPart>
      </mc:Choice>
      <mc:Fallback xmlns="">
        <xdr:pic>
          <xdr:nvPicPr>
            <xdr:cNvPr id="52" name="Ink 51">
              <a:extLst>
                <a:ext uri="{FF2B5EF4-FFF2-40B4-BE49-F238E27FC236}">
                  <a16:creationId xmlns:a16="http://schemas.microsoft.com/office/drawing/2014/main" id="{1BDE2C3B-3C89-4374-A7E3-6E68435B4D2E}"/>
                </a:ext>
              </a:extLst>
            </xdr:cNvPr>
            <xdr:cNvPicPr/>
          </xdr:nvPicPr>
          <xdr:blipFill>
            <a:blip xmlns:r="http://schemas.openxmlformats.org/officeDocument/2006/relationships" r:embed="rId69"/>
            <a:stretch>
              <a:fillRect/>
            </a:stretch>
          </xdr:blipFill>
          <xdr:spPr>
            <a:xfrm>
              <a:off x="11383065" y="4401105"/>
              <a:ext cx="46440" cy="56160"/>
            </a:xfrm>
            <a:prstGeom prst="rect">
              <a:avLst/>
            </a:prstGeom>
          </xdr:spPr>
        </xdr:pic>
      </mc:Fallback>
    </mc:AlternateContent>
    <xdr:clientData/>
  </xdr:twoCellAnchor>
  <xdr:twoCellAnchor editAs="oneCell">
    <xdr:from>
      <xdr:col>17</xdr:col>
      <xdr:colOff>190425</xdr:colOff>
      <xdr:row>21</xdr:row>
      <xdr:rowOff>104685</xdr:rowOff>
    </xdr:from>
    <xdr:to>
      <xdr:col>17</xdr:col>
      <xdr:colOff>190785</xdr:colOff>
      <xdr:row>21</xdr:row>
      <xdr:rowOff>105045</xdr:rowOff>
    </xdr:to>
    <mc:AlternateContent xmlns:mc="http://schemas.openxmlformats.org/markup-compatibility/2006" xmlns:xdr14="http://schemas.microsoft.com/office/excel/2010/spreadsheetDrawing">
      <mc:Choice Requires="xdr14">
        <xdr:contentPart xmlns:r="http://schemas.openxmlformats.org/officeDocument/2006/relationships" r:id="rId70">
          <xdr14:nvContentPartPr>
            <xdr14:cNvPr id="8" name="Ink 7">
              <a:extLst>
                <a:ext uri="{FF2B5EF4-FFF2-40B4-BE49-F238E27FC236}">
                  <a16:creationId xmlns:a16="http://schemas.microsoft.com/office/drawing/2014/main" id="{B028A810-CE2B-4128-98D8-F905F8AFCF6D}"/>
                </a:ext>
              </a:extLst>
            </xdr14:cNvPr>
            <xdr14:cNvContentPartPr/>
          </xdr14:nvContentPartPr>
          <xdr14:nvPr macro=""/>
          <xdr14:xfrm>
            <a:off x="11925225" y="4105185"/>
            <a:ext cx="360" cy="360"/>
          </xdr14:xfrm>
        </xdr:contentPart>
      </mc:Choice>
      <mc:Fallback xmlns="">
        <xdr:pic>
          <xdr:nvPicPr>
            <xdr:cNvPr id="53" name="Ink 52">
              <a:extLst>
                <a:ext uri="{FF2B5EF4-FFF2-40B4-BE49-F238E27FC236}">
                  <a16:creationId xmlns:a16="http://schemas.microsoft.com/office/drawing/2014/main" id="{B4AB5DA3-F6E6-462D-AAA7-D030221C76F2}"/>
                </a:ext>
              </a:extLst>
            </xdr:cNvPr>
            <xdr:cNvPicPr/>
          </xdr:nvPicPr>
          <xdr:blipFill>
            <a:blip xmlns:r="http://schemas.openxmlformats.org/officeDocument/2006/relationships" r:embed="rId71"/>
            <a:stretch>
              <a:fillRect/>
            </a:stretch>
          </xdr:blipFill>
          <xdr:spPr>
            <a:xfrm>
              <a:off x="11916225" y="4096185"/>
              <a:ext cx="18000" cy="18000"/>
            </a:xfrm>
            <a:prstGeom prst="rect">
              <a:avLst/>
            </a:prstGeom>
          </xdr:spPr>
        </xdr:pic>
      </mc:Fallback>
    </mc:AlternateContent>
    <xdr:clientData/>
  </xdr:twoCellAnchor>
  <xdr:twoCellAnchor editAs="oneCell">
    <xdr:from>
      <xdr:col>18</xdr:col>
      <xdr:colOff>18945</xdr:colOff>
      <xdr:row>27</xdr:row>
      <xdr:rowOff>95325</xdr:rowOff>
    </xdr:from>
    <xdr:to>
      <xdr:col>18</xdr:col>
      <xdr:colOff>19305</xdr:colOff>
      <xdr:row>27</xdr:row>
      <xdr:rowOff>95685</xdr:rowOff>
    </xdr:to>
    <mc:AlternateContent xmlns:mc="http://schemas.openxmlformats.org/markup-compatibility/2006" xmlns:xdr14="http://schemas.microsoft.com/office/excel/2010/spreadsheetDrawing">
      <mc:Choice Requires="xdr14">
        <xdr:contentPart xmlns:r="http://schemas.openxmlformats.org/officeDocument/2006/relationships" r:id="rId72">
          <xdr14:nvContentPartPr>
            <xdr14:cNvPr id="9" name="Ink 8">
              <a:extLst>
                <a:ext uri="{FF2B5EF4-FFF2-40B4-BE49-F238E27FC236}">
                  <a16:creationId xmlns:a16="http://schemas.microsoft.com/office/drawing/2014/main" id="{30E1DEB2-9364-401D-A18E-D7152972913D}"/>
                </a:ext>
              </a:extLst>
            </xdr14:cNvPr>
            <xdr14:cNvContentPartPr/>
          </xdr14:nvContentPartPr>
          <xdr14:nvPr macro=""/>
          <xdr14:xfrm>
            <a:off x="12134745" y="5238825"/>
            <a:ext cx="360" cy="360"/>
          </xdr14:xfrm>
        </xdr:contentPart>
      </mc:Choice>
      <mc:Fallback xmlns="">
        <xdr:pic>
          <xdr:nvPicPr>
            <xdr:cNvPr id="54" name="Ink 53">
              <a:extLst>
                <a:ext uri="{FF2B5EF4-FFF2-40B4-BE49-F238E27FC236}">
                  <a16:creationId xmlns:a16="http://schemas.microsoft.com/office/drawing/2014/main" id="{02A672B6-EB4C-42E9-A3AF-276602C8D4EF}"/>
                </a:ext>
              </a:extLst>
            </xdr:cNvPr>
            <xdr:cNvPicPr/>
          </xdr:nvPicPr>
          <xdr:blipFill>
            <a:blip xmlns:r="http://schemas.openxmlformats.org/officeDocument/2006/relationships" r:embed="rId71"/>
            <a:stretch>
              <a:fillRect/>
            </a:stretch>
          </xdr:blipFill>
          <xdr:spPr>
            <a:xfrm>
              <a:off x="12125745" y="5229825"/>
              <a:ext cx="18000" cy="18000"/>
            </a:xfrm>
            <a:prstGeom prst="rect">
              <a:avLst/>
            </a:prstGeom>
          </xdr:spPr>
        </xdr:pic>
      </mc:Fallback>
    </mc:AlternateContent>
    <xdr:clientData/>
  </xdr:twoCellAnchor>
  <xdr:twoCellAnchor editAs="oneCell">
    <xdr:from>
      <xdr:col>23</xdr:col>
      <xdr:colOff>276075</xdr:colOff>
      <xdr:row>24</xdr:row>
      <xdr:rowOff>171465</xdr:rowOff>
    </xdr:from>
    <xdr:to>
      <xdr:col>23</xdr:col>
      <xdr:colOff>276435</xdr:colOff>
      <xdr:row>24</xdr:row>
      <xdr:rowOff>171825</xdr:rowOff>
    </xdr:to>
    <mc:AlternateContent xmlns:mc="http://schemas.openxmlformats.org/markup-compatibility/2006" xmlns:xdr14="http://schemas.microsoft.com/office/excel/2010/spreadsheetDrawing">
      <mc:Choice Requires="xdr14">
        <xdr:contentPart xmlns:r="http://schemas.openxmlformats.org/officeDocument/2006/relationships" r:id="rId73">
          <xdr14:nvContentPartPr>
            <xdr14:cNvPr id="10" name="Ink 9">
              <a:extLst>
                <a:ext uri="{FF2B5EF4-FFF2-40B4-BE49-F238E27FC236}">
                  <a16:creationId xmlns:a16="http://schemas.microsoft.com/office/drawing/2014/main" id="{7A29FDC4-C26F-42FA-8D78-197C45FC09C0}"/>
                </a:ext>
              </a:extLst>
            </xdr14:cNvPr>
            <xdr14:cNvContentPartPr/>
          </xdr14:nvContentPartPr>
          <xdr14:nvPr macro=""/>
          <xdr14:xfrm>
            <a:off x="14049225" y="4743465"/>
            <a:ext cx="360" cy="360"/>
          </xdr14:xfrm>
        </xdr:contentPart>
      </mc:Choice>
      <mc:Fallback xmlns="">
        <xdr:pic>
          <xdr:nvPicPr>
            <xdr:cNvPr id="55" name="Ink 54">
              <a:extLst>
                <a:ext uri="{FF2B5EF4-FFF2-40B4-BE49-F238E27FC236}">
                  <a16:creationId xmlns:a16="http://schemas.microsoft.com/office/drawing/2014/main" id="{68ABA6E3-942D-49B4-8FAE-45CF34819A24}"/>
                </a:ext>
              </a:extLst>
            </xdr:cNvPr>
            <xdr:cNvPicPr/>
          </xdr:nvPicPr>
          <xdr:blipFill>
            <a:blip xmlns:r="http://schemas.openxmlformats.org/officeDocument/2006/relationships" r:embed="rId71"/>
            <a:stretch>
              <a:fillRect/>
            </a:stretch>
          </xdr:blipFill>
          <xdr:spPr>
            <a:xfrm>
              <a:off x="14040225" y="4734465"/>
              <a:ext cx="18000" cy="18000"/>
            </a:xfrm>
            <a:prstGeom prst="rect">
              <a:avLst/>
            </a:prstGeom>
          </xdr:spPr>
        </xdr:pic>
      </mc:Fallback>
    </mc:AlternateContent>
    <xdr:clientData/>
  </xdr:twoCellAnchor>
  <xdr:twoCellAnchor>
    <xdr:from>
      <xdr:col>13</xdr:col>
      <xdr:colOff>247089</xdr:colOff>
      <xdr:row>10</xdr:row>
      <xdr:rowOff>74521</xdr:rowOff>
    </xdr:from>
    <xdr:to>
      <xdr:col>31</xdr:col>
      <xdr:colOff>12886</xdr:colOff>
      <xdr:row>34</xdr:row>
      <xdr:rowOff>122146</xdr:rowOff>
    </xdr:to>
    <xdr:graphicFrame macro="">
      <xdr:nvGraphicFramePr>
        <xdr:cNvPr id="12" name="Chart 11">
          <a:extLst>
            <a:ext uri="{FF2B5EF4-FFF2-40B4-BE49-F238E27FC236}">
              <a16:creationId xmlns:a16="http://schemas.microsoft.com/office/drawing/2014/main" id="{34E88E32-457A-4121-9381-1C362D6C7C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0.69485</cdr:x>
      <cdr:y>0.4428</cdr:y>
    </cdr:from>
    <cdr:to>
      <cdr:x>0.9654</cdr:x>
      <cdr:y>0.5036</cdr:y>
    </cdr:to>
    <cdr:sp macro="" textlink="">
      <cdr:nvSpPr>
        <cdr:cNvPr id="3" name="TextBox 1"/>
        <cdr:cNvSpPr txBox="1"/>
      </cdr:nvSpPr>
      <cdr:spPr>
        <a:xfrm xmlns:a="http://schemas.openxmlformats.org/drawingml/2006/main">
          <a:off x="4578402" y="1994722"/>
          <a:ext cx="1782670" cy="27389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400"/>
            </a:lnSpc>
          </a:pPr>
          <a:r>
            <a:rPr lang="en-US" sz="1600" b="1">
              <a:solidFill>
                <a:schemeClr val="tx1">
                  <a:lumMod val="50000"/>
                  <a:lumOff val="50000"/>
                </a:schemeClr>
              </a:solidFill>
              <a:latin typeface="Arial" panose="020B0604020202020204" pitchFamily="34" charset="0"/>
              <a:cs typeface="Arial" panose="020B0604020202020204" pitchFamily="34" charset="0"/>
            </a:rPr>
            <a:t>Middle Quintile</a:t>
          </a:r>
        </a:p>
      </cdr:txBody>
    </cdr:sp>
  </cdr:relSizeAnchor>
  <cdr:relSizeAnchor xmlns:cdr="http://schemas.openxmlformats.org/drawingml/2006/chartDrawing">
    <cdr:from>
      <cdr:x>0.89279</cdr:x>
      <cdr:y>0.49603</cdr:y>
    </cdr:from>
    <cdr:to>
      <cdr:x>0.98545</cdr:x>
      <cdr:y>0.56194</cdr:y>
    </cdr:to>
    <cdr:sp macro="" textlink="">
      <cdr:nvSpPr>
        <cdr:cNvPr id="7" name="TextBox 1">
          <a:extLst xmlns:a="http://schemas.openxmlformats.org/drawingml/2006/main">
            <a:ext uri="{FF2B5EF4-FFF2-40B4-BE49-F238E27FC236}">
              <a16:creationId xmlns:a16="http://schemas.microsoft.com/office/drawing/2014/main" id="{D65CCE9F-BE28-4EB1-A669-848CF74C8306}"/>
            </a:ext>
          </a:extLst>
        </cdr:cNvPr>
        <cdr:cNvSpPr txBox="1"/>
      </cdr:nvSpPr>
      <cdr:spPr>
        <a:xfrm xmlns:a="http://schemas.openxmlformats.org/drawingml/2006/main">
          <a:off x="5692588" y="2234498"/>
          <a:ext cx="590786" cy="29690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200"/>
            </a:lnSpc>
          </a:pPr>
          <a:r>
            <a:rPr lang="en-US" sz="1600" b="1">
              <a:solidFill>
                <a:schemeClr val="tx1">
                  <a:lumMod val="50000"/>
                  <a:lumOff val="50000"/>
                </a:schemeClr>
              </a:solidFill>
              <a:effectLst/>
              <a:latin typeface="Arial" panose="020B0604020202020204" pitchFamily="34" charset="0"/>
              <a:ea typeface="+mn-ea"/>
              <a:cs typeface="Arial" panose="020B0604020202020204" pitchFamily="34" charset="0"/>
            </a:rPr>
            <a:t>–</a:t>
          </a:r>
          <a:r>
            <a:rPr lang="en-US" sz="1600" b="1">
              <a:solidFill>
                <a:schemeClr val="tx1">
                  <a:lumMod val="50000"/>
                  <a:lumOff val="50000"/>
                </a:schemeClr>
              </a:solidFill>
              <a:latin typeface="Arial" panose="020B0604020202020204" pitchFamily="34" charset="0"/>
              <a:cs typeface="Arial" panose="020B0604020202020204" pitchFamily="34" charset="0"/>
            </a:rPr>
            <a:t>5.2</a:t>
          </a:r>
        </a:p>
      </cdr:txBody>
    </cdr:sp>
  </cdr:relSizeAnchor>
  <cdr:relSizeAnchor xmlns:cdr="http://schemas.openxmlformats.org/drawingml/2006/chartDrawing">
    <cdr:from>
      <cdr:x>0.69494</cdr:x>
      <cdr:y>0.79429</cdr:y>
    </cdr:from>
    <cdr:to>
      <cdr:x>0.97931</cdr:x>
      <cdr:y>0.85509</cdr:y>
    </cdr:to>
    <cdr:sp macro="" textlink="">
      <cdr:nvSpPr>
        <cdr:cNvPr id="8" name="TextBox 1">
          <a:extLst xmlns:a="http://schemas.openxmlformats.org/drawingml/2006/main">
            <a:ext uri="{FF2B5EF4-FFF2-40B4-BE49-F238E27FC236}">
              <a16:creationId xmlns:a16="http://schemas.microsoft.com/office/drawing/2014/main" id="{667A952A-D507-4E13-B5C4-C84D92D0DB94}"/>
            </a:ext>
          </a:extLst>
        </cdr:cNvPr>
        <cdr:cNvSpPr txBox="1"/>
      </cdr:nvSpPr>
      <cdr:spPr>
        <a:xfrm xmlns:a="http://schemas.openxmlformats.org/drawingml/2006/main">
          <a:off x="4516707" y="3578077"/>
          <a:ext cx="1848233" cy="27388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400"/>
            </a:lnSpc>
          </a:pPr>
          <a:r>
            <a:rPr lang="en-US" sz="1600" b="1">
              <a:solidFill>
                <a:sysClr val="windowText" lastClr="000000"/>
              </a:solidFill>
              <a:latin typeface="Arial" panose="020B0604020202020204" pitchFamily="34" charset="0"/>
              <a:cs typeface="Arial" panose="020B0604020202020204" pitchFamily="34" charset="0"/>
            </a:rPr>
            <a:t>Bottom Quintile</a:t>
          </a:r>
        </a:p>
      </cdr:txBody>
    </cdr:sp>
  </cdr:relSizeAnchor>
  <cdr:relSizeAnchor xmlns:cdr="http://schemas.openxmlformats.org/drawingml/2006/chartDrawing">
    <cdr:from>
      <cdr:x>0.89279</cdr:x>
      <cdr:y>0.85758</cdr:y>
    </cdr:from>
    <cdr:to>
      <cdr:x>0.98587</cdr:x>
      <cdr:y>0.92349</cdr:y>
    </cdr:to>
    <cdr:sp macro="" textlink="">
      <cdr:nvSpPr>
        <cdr:cNvPr id="9" name="TextBox 1">
          <a:extLst xmlns:a="http://schemas.openxmlformats.org/drawingml/2006/main">
            <a:ext uri="{FF2B5EF4-FFF2-40B4-BE49-F238E27FC236}">
              <a16:creationId xmlns:a16="http://schemas.microsoft.com/office/drawing/2014/main" id="{3DD8D46D-9A6B-4F3A-B422-A2717F264A21}"/>
            </a:ext>
          </a:extLst>
        </cdr:cNvPr>
        <cdr:cNvSpPr txBox="1"/>
      </cdr:nvSpPr>
      <cdr:spPr>
        <a:xfrm xmlns:a="http://schemas.openxmlformats.org/drawingml/2006/main">
          <a:off x="5882645" y="3863183"/>
          <a:ext cx="613310" cy="29690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200"/>
            </a:lnSpc>
          </a:pPr>
          <a:r>
            <a:rPr lang="en-US" sz="1600" b="1">
              <a:solidFill>
                <a:sysClr val="windowText" lastClr="000000"/>
              </a:solidFill>
              <a:effectLst/>
              <a:latin typeface="Arial" panose="020B0604020202020204" pitchFamily="34" charset="0"/>
              <a:ea typeface="+mn-ea"/>
              <a:cs typeface="Arial" panose="020B0604020202020204" pitchFamily="34" charset="0"/>
            </a:rPr>
            <a:t>–7.6</a:t>
          </a:r>
          <a:endParaRPr lang="en-US" sz="1600" b="1">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0.89098</cdr:x>
      <cdr:y>0.1212</cdr:y>
    </cdr:from>
    <cdr:to>
      <cdr:x>0.99297</cdr:x>
      <cdr:y>0.18711</cdr:y>
    </cdr:to>
    <cdr:sp macro="" textlink="">
      <cdr:nvSpPr>
        <cdr:cNvPr id="10" name="TextBox 1">
          <a:extLst xmlns:a="http://schemas.openxmlformats.org/drawingml/2006/main">
            <a:ext uri="{FF2B5EF4-FFF2-40B4-BE49-F238E27FC236}">
              <a16:creationId xmlns:a16="http://schemas.microsoft.com/office/drawing/2014/main" id="{EEFC3946-31B0-4B0E-8EF1-05D7B4A4B0DA}"/>
            </a:ext>
          </a:extLst>
        </cdr:cNvPr>
        <cdr:cNvSpPr txBox="1"/>
      </cdr:nvSpPr>
      <cdr:spPr>
        <a:xfrm xmlns:a="http://schemas.openxmlformats.org/drawingml/2006/main">
          <a:off x="5681020" y="545989"/>
          <a:ext cx="650303" cy="29690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200"/>
            </a:lnSpc>
          </a:pPr>
          <a:r>
            <a:rPr lang="en-US" sz="1600" b="1">
              <a:solidFill>
                <a:schemeClr val="tx1">
                  <a:lumMod val="65000"/>
                  <a:lumOff val="35000"/>
                </a:schemeClr>
              </a:solidFill>
              <a:effectLst/>
              <a:latin typeface="Arial" panose="020B0604020202020204" pitchFamily="34" charset="0"/>
              <a:ea typeface="+mn-ea"/>
              <a:cs typeface="Arial" panose="020B0604020202020204" pitchFamily="34" charset="0"/>
            </a:rPr>
            <a:t>–0</a:t>
          </a:r>
          <a:r>
            <a:rPr lang="en-US" sz="1600" b="1">
              <a:solidFill>
                <a:schemeClr val="tx1">
                  <a:lumMod val="65000"/>
                  <a:lumOff val="35000"/>
                </a:schemeClr>
              </a:solidFill>
              <a:latin typeface="Arial" panose="020B0604020202020204" pitchFamily="34" charset="0"/>
              <a:cs typeface="Arial" panose="020B0604020202020204" pitchFamily="34" charset="0"/>
            </a:rPr>
            <a:t>.6</a:t>
          </a:r>
        </a:p>
      </cdr:txBody>
    </cdr:sp>
  </cdr:relSizeAnchor>
  <cdr:relSizeAnchor xmlns:cdr="http://schemas.openxmlformats.org/drawingml/2006/chartDrawing">
    <cdr:from>
      <cdr:x>0.70436</cdr:x>
      <cdr:y>0.07489</cdr:y>
    </cdr:from>
    <cdr:to>
      <cdr:x>0.9257</cdr:x>
      <cdr:y>0.14</cdr:y>
    </cdr:to>
    <cdr:sp macro="" textlink="">
      <cdr:nvSpPr>
        <cdr:cNvPr id="11" name="TextBox 1">
          <a:extLst xmlns:a="http://schemas.openxmlformats.org/drawingml/2006/main">
            <a:ext uri="{FF2B5EF4-FFF2-40B4-BE49-F238E27FC236}">
              <a16:creationId xmlns:a16="http://schemas.microsoft.com/office/drawing/2014/main" id="{FDE74DD3-2E65-4728-BB07-5ED547CDE84E}"/>
            </a:ext>
          </a:extLst>
        </cdr:cNvPr>
        <cdr:cNvSpPr txBox="1"/>
      </cdr:nvSpPr>
      <cdr:spPr>
        <a:xfrm xmlns:a="http://schemas.openxmlformats.org/drawingml/2006/main">
          <a:off x="4577906" y="337362"/>
          <a:ext cx="1438580" cy="2933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50"/>
            </a:lnSpc>
          </a:pPr>
          <a:r>
            <a:rPr lang="en-US" sz="1600" b="1">
              <a:solidFill>
                <a:schemeClr val="tx1">
                  <a:lumMod val="65000"/>
                  <a:lumOff val="35000"/>
                </a:schemeClr>
              </a:solidFill>
              <a:latin typeface="Arial" panose="020B0604020202020204" pitchFamily="34" charset="0"/>
              <a:cs typeface="Arial" panose="020B0604020202020204" pitchFamily="34" charset="0"/>
            </a:rPr>
            <a:t>Top Quintile</a:t>
          </a:r>
        </a:p>
      </cdr:txBody>
    </cdr:sp>
  </cdr:relSizeAnchor>
</c:userShapes>
</file>

<file path=xl/drawings/drawing60.xml><?xml version="1.0" encoding="utf-8"?>
<c:userShapes xmlns:c="http://schemas.openxmlformats.org/drawingml/2006/chart">
  <cdr:relSizeAnchor xmlns:cdr="http://schemas.openxmlformats.org/drawingml/2006/chartDrawing">
    <cdr:from>
      <cdr:x>0.63226</cdr:x>
      <cdr:y>0.5101</cdr:y>
    </cdr:from>
    <cdr:to>
      <cdr:x>0.90154</cdr:x>
      <cdr:y>0.5709</cdr:y>
    </cdr:to>
    <cdr:sp macro="" textlink="">
      <cdr:nvSpPr>
        <cdr:cNvPr id="8" name="TextBox 1">
          <a:extLst xmlns:a="http://schemas.openxmlformats.org/drawingml/2006/main">
            <a:ext uri="{FF2B5EF4-FFF2-40B4-BE49-F238E27FC236}">
              <a16:creationId xmlns:a16="http://schemas.microsoft.com/office/drawing/2014/main" id="{667A952A-D507-4E13-B5C4-C84D92D0DB94}"/>
            </a:ext>
          </a:extLst>
        </cdr:cNvPr>
        <cdr:cNvSpPr txBox="1"/>
      </cdr:nvSpPr>
      <cdr:spPr>
        <a:xfrm xmlns:a="http://schemas.openxmlformats.org/drawingml/2006/main">
          <a:off x="3968316" y="2356491"/>
          <a:ext cx="1690095" cy="28087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400"/>
            </a:lnSpc>
          </a:pPr>
          <a:r>
            <a:rPr lang="en-US" sz="1400" b="1">
              <a:solidFill>
                <a:sysClr val="windowText" lastClr="000000"/>
              </a:solidFill>
              <a:latin typeface="Arial" panose="020B0604020202020204" pitchFamily="34" charset="0"/>
              <a:cs typeface="Arial" panose="020B0604020202020204" pitchFamily="34" charset="0"/>
            </a:rPr>
            <a:t>Cumulative</a:t>
          </a:r>
          <a:r>
            <a:rPr lang="en-US" sz="1400" b="1" baseline="0">
              <a:solidFill>
                <a:sysClr val="windowText" lastClr="000000"/>
              </a:solidFill>
              <a:latin typeface="Arial" panose="020B0604020202020204" pitchFamily="34" charset="0"/>
              <a:cs typeface="Arial" panose="020B0604020202020204" pitchFamily="34" charset="0"/>
            </a:rPr>
            <a:t> share of federal taxes by cumul. share of income</a:t>
          </a:r>
          <a:endParaRPr lang="en-US" sz="1400" b="1">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0.52777</cdr:x>
      <cdr:y>0.43566</cdr:y>
    </cdr:from>
    <cdr:to>
      <cdr:x>0.66817</cdr:x>
      <cdr:y>0.50456</cdr:y>
    </cdr:to>
    <cdr:sp macro="" textlink="">
      <cdr:nvSpPr>
        <cdr:cNvPr id="9" name="TextBox 1">
          <a:extLst xmlns:a="http://schemas.openxmlformats.org/drawingml/2006/main">
            <a:ext uri="{FF2B5EF4-FFF2-40B4-BE49-F238E27FC236}">
              <a16:creationId xmlns:a16="http://schemas.microsoft.com/office/drawing/2014/main" id="{3DD8D46D-9A6B-4F3A-B422-A2717F264A21}"/>
            </a:ext>
          </a:extLst>
        </cdr:cNvPr>
        <cdr:cNvSpPr txBox="1"/>
      </cdr:nvSpPr>
      <cdr:spPr>
        <a:xfrm xmlns:a="http://schemas.openxmlformats.org/drawingml/2006/main">
          <a:off x="3312512" y="2012586"/>
          <a:ext cx="881209" cy="31829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lnSpc>
              <a:spcPts val="1500"/>
            </a:lnSpc>
          </a:pPr>
          <a:r>
            <a:rPr lang="en-US" sz="1200" b="1">
              <a:solidFill>
                <a:sysClr val="windowText" lastClr="000000"/>
              </a:solidFill>
              <a:effectLst/>
              <a:latin typeface="Arial" panose="020B0604020202020204" pitchFamily="34" charset="0"/>
              <a:ea typeface="+mn-ea"/>
              <a:cs typeface="Arial" panose="020B0604020202020204" pitchFamily="34" charset="0"/>
            </a:rPr>
            <a:t>Suits index</a:t>
          </a:r>
          <a:endParaRPr lang="en-US" sz="1200" b="1">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0.53318</cdr:x>
      <cdr:y>0.46647</cdr:y>
    </cdr:from>
    <cdr:to>
      <cdr:x>0.53374</cdr:x>
      <cdr:y>0.5903</cdr:y>
    </cdr:to>
    <cdr:cxnSp macro="">
      <cdr:nvCxnSpPr>
        <cdr:cNvPr id="12" name="Straight Arrow Connector 11">
          <a:extLst xmlns:a="http://schemas.openxmlformats.org/drawingml/2006/main">
            <a:ext uri="{FF2B5EF4-FFF2-40B4-BE49-F238E27FC236}">
              <a16:creationId xmlns:a16="http://schemas.microsoft.com/office/drawing/2014/main" id="{AFFC6FF4-E986-414B-A724-486406F9C229}"/>
            </a:ext>
          </a:extLst>
        </cdr:cNvPr>
        <cdr:cNvCxnSpPr/>
      </cdr:nvCxnSpPr>
      <cdr:spPr>
        <a:xfrm xmlns:a="http://schemas.openxmlformats.org/drawingml/2006/main">
          <a:off x="3346490" y="2154925"/>
          <a:ext cx="3510" cy="572025"/>
        </a:xfrm>
        <a:prstGeom xmlns:a="http://schemas.openxmlformats.org/drawingml/2006/main" prst="straightConnector1">
          <a:avLst/>
        </a:prstGeom>
        <a:ln xmlns:a="http://schemas.openxmlformats.org/drawingml/2006/main" w="22225">
          <a:solidFill>
            <a:schemeClr val="tx1"/>
          </a:solidFill>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0.68245</cdr:x>
      <cdr:y>0.44688</cdr:y>
    </cdr:from>
    <cdr:to>
      <cdr:x>0.71302</cdr:x>
      <cdr:y>0.50613</cdr:y>
    </cdr:to>
    <cdr:cxnSp macro="">
      <cdr:nvCxnSpPr>
        <cdr:cNvPr id="13" name="Straight Arrow Connector 12">
          <a:extLst xmlns:a="http://schemas.openxmlformats.org/drawingml/2006/main">
            <a:ext uri="{FF2B5EF4-FFF2-40B4-BE49-F238E27FC236}">
              <a16:creationId xmlns:a16="http://schemas.microsoft.com/office/drawing/2014/main" id="{BCB768BC-9E08-4BB1-B51C-11814BB7542F}"/>
            </a:ext>
          </a:extLst>
        </cdr:cNvPr>
        <cdr:cNvCxnSpPr/>
      </cdr:nvCxnSpPr>
      <cdr:spPr>
        <a:xfrm xmlns:a="http://schemas.openxmlformats.org/drawingml/2006/main" flipH="1" flipV="1">
          <a:off x="4283309" y="2064405"/>
          <a:ext cx="191870" cy="273713"/>
        </a:xfrm>
        <a:prstGeom xmlns:a="http://schemas.openxmlformats.org/drawingml/2006/main" prst="straightConnector1">
          <a:avLst/>
        </a:prstGeom>
        <a:ln xmlns:a="http://schemas.openxmlformats.org/drawingml/2006/main" w="19050">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1.xml><?xml version="1.0" encoding="utf-8"?>
<xdr:wsDr xmlns:xdr="http://schemas.openxmlformats.org/drawingml/2006/spreadsheetDrawing" xmlns:a="http://schemas.openxmlformats.org/drawingml/2006/main">
  <xdr:twoCellAnchor editAs="oneCell">
    <xdr:from>
      <xdr:col>27</xdr:col>
      <xdr:colOff>190440</xdr:colOff>
      <xdr:row>22</xdr:row>
      <xdr:rowOff>66825</xdr:rowOff>
    </xdr:from>
    <xdr:to>
      <xdr:col>27</xdr:col>
      <xdr:colOff>190800</xdr:colOff>
      <xdr:row>22</xdr:row>
      <xdr:rowOff>67185</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53E4B36F-6B45-43B6-9274-FFACCE7ACF42}"/>
                </a:ext>
              </a:extLst>
            </xdr14:cNvPr>
            <xdr14:cNvContentPartPr/>
          </xdr14:nvContentPartPr>
          <xdr14:nvPr macro=""/>
          <xdr14:xfrm>
            <a:off x="11591865" y="4257825"/>
            <a:ext cx="360" cy="360"/>
          </xdr14:xfrm>
        </xdr:contentPart>
      </mc:Choice>
      <mc:Fallback xmlns="">
        <xdr:pic>
          <xdr:nvPicPr>
            <xdr:cNvPr id="40" name="Ink 39">
              <a:extLst>
                <a:ext uri="{FF2B5EF4-FFF2-40B4-BE49-F238E27FC236}">
                  <a16:creationId xmlns:a16="http://schemas.microsoft.com/office/drawing/2014/main" id="{DD68D223-85BE-4459-A03C-D5A171CEE79E}"/>
                </a:ext>
              </a:extLst>
            </xdr:cNvPr>
            <xdr:cNvPicPr/>
          </xdr:nvPicPr>
          <xdr:blipFill>
            <a:blip xmlns:r="http://schemas.openxmlformats.org/officeDocument/2006/relationships" r:embed="rId60"/>
            <a:stretch>
              <a:fillRect/>
            </a:stretch>
          </xdr:blipFill>
          <xdr:spPr>
            <a:xfrm>
              <a:off x="11587545" y="4253505"/>
              <a:ext cx="9000" cy="9000"/>
            </a:xfrm>
            <a:prstGeom prst="rect">
              <a:avLst/>
            </a:prstGeom>
          </xdr:spPr>
        </xdr:pic>
      </mc:Fallback>
    </mc:AlternateContent>
    <xdr:clientData/>
  </xdr:twoCellAnchor>
  <xdr:twoCellAnchor editAs="oneCell">
    <xdr:from>
      <xdr:col>28</xdr:col>
      <xdr:colOff>295185</xdr:colOff>
      <xdr:row>18</xdr:row>
      <xdr:rowOff>66705</xdr:rowOff>
    </xdr:from>
    <xdr:to>
      <xdr:col>28</xdr:col>
      <xdr:colOff>343425</xdr:colOff>
      <xdr:row>19</xdr:row>
      <xdr:rowOff>95445</xdr:rowOff>
    </xdr:to>
    <mc:AlternateContent xmlns:mc="http://schemas.openxmlformats.org/markup-compatibility/2006" xmlns:xdr14="http://schemas.microsoft.com/office/excel/2010/spreadsheetDrawing">
      <mc:Choice Requires="xdr14">
        <xdr:contentPart xmlns:r="http://schemas.openxmlformats.org/officeDocument/2006/relationships" r:id="rId61">
          <xdr14:nvContentPartPr>
            <xdr14:cNvPr id="3" name="Ink 2">
              <a:extLst>
                <a:ext uri="{FF2B5EF4-FFF2-40B4-BE49-F238E27FC236}">
                  <a16:creationId xmlns:a16="http://schemas.microsoft.com/office/drawing/2014/main" id="{89414231-A308-4533-BCB8-AC7D6FD9744D}"/>
                </a:ext>
              </a:extLst>
            </xdr14:cNvPr>
            <xdr14:cNvContentPartPr/>
          </xdr14:nvContentPartPr>
          <xdr14:nvPr macro=""/>
          <xdr14:xfrm>
            <a:off x="12029985" y="3495705"/>
            <a:ext cx="48240" cy="219240"/>
          </xdr14:xfrm>
        </xdr:contentPart>
      </mc:Choice>
      <mc:Fallback xmlns="">
        <xdr:pic>
          <xdr:nvPicPr>
            <xdr:cNvPr id="45" name="Ink 44">
              <a:extLst>
                <a:ext uri="{FF2B5EF4-FFF2-40B4-BE49-F238E27FC236}">
                  <a16:creationId xmlns:a16="http://schemas.microsoft.com/office/drawing/2014/main" id="{E50457DB-6FB0-49FC-A276-143C3EC617BD}"/>
                </a:ext>
              </a:extLst>
            </xdr:cNvPr>
            <xdr:cNvPicPr/>
          </xdr:nvPicPr>
          <xdr:blipFill>
            <a:blip xmlns:r="http://schemas.openxmlformats.org/officeDocument/2006/relationships" r:embed="rId62"/>
            <a:stretch>
              <a:fillRect/>
            </a:stretch>
          </xdr:blipFill>
          <xdr:spPr>
            <a:xfrm>
              <a:off x="12025665" y="3491385"/>
              <a:ext cx="56880" cy="227880"/>
            </a:xfrm>
            <a:prstGeom prst="rect">
              <a:avLst/>
            </a:prstGeom>
          </xdr:spPr>
        </xdr:pic>
      </mc:Fallback>
    </mc:AlternateContent>
    <xdr:clientData/>
  </xdr:twoCellAnchor>
  <xdr:twoCellAnchor editAs="oneCell">
    <xdr:from>
      <xdr:col>21</xdr:col>
      <xdr:colOff>180825</xdr:colOff>
      <xdr:row>14</xdr:row>
      <xdr:rowOff>133185</xdr:rowOff>
    </xdr:from>
    <xdr:to>
      <xdr:col>21</xdr:col>
      <xdr:colOff>181185</xdr:colOff>
      <xdr:row>14</xdr:row>
      <xdr:rowOff>133545</xdr:rowOff>
    </xdr:to>
    <mc:AlternateContent xmlns:mc="http://schemas.openxmlformats.org/markup-compatibility/2006" xmlns:xdr14="http://schemas.microsoft.com/office/excel/2010/spreadsheetDrawing">
      <mc:Choice Requires="xdr14">
        <xdr:contentPart xmlns:r="http://schemas.openxmlformats.org/officeDocument/2006/relationships" r:id="rId63">
          <xdr14:nvContentPartPr>
            <xdr14:cNvPr id="4" name="Ink 3">
              <a:extLst>
                <a:ext uri="{FF2B5EF4-FFF2-40B4-BE49-F238E27FC236}">
                  <a16:creationId xmlns:a16="http://schemas.microsoft.com/office/drawing/2014/main" id="{7A8D162B-9A49-4669-BF4A-AEF6CA06C5E3}"/>
                </a:ext>
              </a:extLst>
            </xdr14:cNvPr>
            <xdr14:cNvContentPartPr/>
          </xdr14:nvContentPartPr>
          <xdr14:nvPr macro=""/>
          <xdr14:xfrm>
            <a:off x="9477225" y="2800185"/>
            <a:ext cx="360" cy="360"/>
          </xdr14:xfrm>
        </xdr:contentPart>
      </mc:Choice>
      <mc:Fallback xmlns="">
        <xdr:pic>
          <xdr:nvPicPr>
            <xdr:cNvPr id="46" name="Ink 45">
              <a:extLst>
                <a:ext uri="{FF2B5EF4-FFF2-40B4-BE49-F238E27FC236}">
                  <a16:creationId xmlns:a16="http://schemas.microsoft.com/office/drawing/2014/main" id="{44610805-10A3-42B6-B911-F889927A6193}"/>
                </a:ext>
              </a:extLst>
            </xdr:cNvPr>
            <xdr:cNvPicPr/>
          </xdr:nvPicPr>
          <xdr:blipFill>
            <a:blip xmlns:r="http://schemas.openxmlformats.org/officeDocument/2006/relationships" r:embed="rId60"/>
            <a:stretch>
              <a:fillRect/>
            </a:stretch>
          </xdr:blipFill>
          <xdr:spPr>
            <a:xfrm>
              <a:off x="9472905" y="2795865"/>
              <a:ext cx="9000" cy="9000"/>
            </a:xfrm>
            <a:prstGeom prst="rect">
              <a:avLst/>
            </a:prstGeom>
          </xdr:spPr>
        </xdr:pic>
      </mc:Fallback>
    </mc:AlternateContent>
    <xdr:clientData/>
  </xdr:twoCellAnchor>
  <xdr:twoCellAnchor editAs="oneCell">
    <xdr:from>
      <xdr:col>29</xdr:col>
      <xdr:colOff>333225</xdr:colOff>
      <xdr:row>20</xdr:row>
      <xdr:rowOff>76305</xdr:rowOff>
    </xdr:from>
    <xdr:to>
      <xdr:col>29</xdr:col>
      <xdr:colOff>333585</xdr:colOff>
      <xdr:row>20</xdr:row>
      <xdr:rowOff>76665</xdr:rowOff>
    </xdr:to>
    <mc:AlternateContent xmlns:mc="http://schemas.openxmlformats.org/markup-compatibility/2006" xmlns:xdr14="http://schemas.microsoft.com/office/excel/2010/spreadsheetDrawing">
      <mc:Choice Requires="xdr14">
        <xdr:contentPart xmlns:r="http://schemas.openxmlformats.org/officeDocument/2006/relationships" r:id="rId64">
          <xdr14:nvContentPartPr>
            <xdr14:cNvPr id="5" name="Ink 4">
              <a:extLst>
                <a:ext uri="{FF2B5EF4-FFF2-40B4-BE49-F238E27FC236}">
                  <a16:creationId xmlns:a16="http://schemas.microsoft.com/office/drawing/2014/main" id="{39FCF34C-CDF5-4ABD-AC77-BB14C61A222C}"/>
                </a:ext>
              </a:extLst>
            </xdr14:cNvPr>
            <xdr14:cNvContentPartPr/>
          </xdr14:nvContentPartPr>
          <xdr14:nvPr macro=""/>
          <xdr14:xfrm>
            <a:off x="12449025" y="3886305"/>
            <a:ext cx="360" cy="360"/>
          </xdr14:xfrm>
        </xdr:contentPart>
      </mc:Choice>
      <mc:Fallback xmlns="">
        <xdr:pic>
          <xdr:nvPicPr>
            <xdr:cNvPr id="50" name="Ink 49">
              <a:extLst>
                <a:ext uri="{FF2B5EF4-FFF2-40B4-BE49-F238E27FC236}">
                  <a16:creationId xmlns:a16="http://schemas.microsoft.com/office/drawing/2014/main" id="{4ECEF899-F3CD-4D8D-B908-EE30C7009075}"/>
                </a:ext>
              </a:extLst>
            </xdr:cNvPr>
            <xdr:cNvPicPr/>
          </xdr:nvPicPr>
          <xdr:blipFill>
            <a:blip xmlns:r="http://schemas.openxmlformats.org/officeDocument/2006/relationships" r:embed="rId60"/>
            <a:stretch>
              <a:fillRect/>
            </a:stretch>
          </xdr:blipFill>
          <xdr:spPr>
            <a:xfrm>
              <a:off x="12444705" y="3881985"/>
              <a:ext cx="9000" cy="9000"/>
            </a:xfrm>
            <a:prstGeom prst="rect">
              <a:avLst/>
            </a:prstGeom>
          </xdr:spPr>
        </xdr:pic>
      </mc:Fallback>
    </mc:AlternateContent>
    <xdr:clientData/>
  </xdr:twoCellAnchor>
  <xdr:twoCellAnchor editAs="oneCell">
    <xdr:from>
      <xdr:col>34</xdr:col>
      <xdr:colOff>314235</xdr:colOff>
      <xdr:row>19</xdr:row>
      <xdr:rowOff>28485</xdr:rowOff>
    </xdr:from>
    <xdr:to>
      <xdr:col>34</xdr:col>
      <xdr:colOff>314595</xdr:colOff>
      <xdr:row>19</xdr:row>
      <xdr:rowOff>28845</xdr:rowOff>
    </xdr:to>
    <mc:AlternateContent xmlns:mc="http://schemas.openxmlformats.org/markup-compatibility/2006" xmlns:xdr14="http://schemas.microsoft.com/office/excel/2010/spreadsheetDrawing">
      <mc:Choice Requires="xdr14">
        <xdr:contentPart xmlns:r="http://schemas.openxmlformats.org/officeDocument/2006/relationships" r:id="rId65">
          <xdr14:nvContentPartPr>
            <xdr14:cNvPr id="6" name="Ink 5">
              <a:extLst>
                <a:ext uri="{FF2B5EF4-FFF2-40B4-BE49-F238E27FC236}">
                  <a16:creationId xmlns:a16="http://schemas.microsoft.com/office/drawing/2014/main" id="{61B68E84-823E-496B-8D0F-1EBD7126A3EA}"/>
                </a:ext>
              </a:extLst>
            </xdr14:cNvPr>
            <xdr14:cNvContentPartPr/>
          </xdr14:nvContentPartPr>
          <xdr14:nvPr macro=""/>
          <xdr14:xfrm>
            <a:off x="14087385" y="3647985"/>
            <a:ext cx="360" cy="360"/>
          </xdr14:xfrm>
        </xdr:contentPart>
      </mc:Choice>
      <mc:Fallback xmlns="">
        <xdr:pic>
          <xdr:nvPicPr>
            <xdr:cNvPr id="51" name="Ink 50">
              <a:extLst>
                <a:ext uri="{FF2B5EF4-FFF2-40B4-BE49-F238E27FC236}">
                  <a16:creationId xmlns:a16="http://schemas.microsoft.com/office/drawing/2014/main" id="{F8C0A5B1-5C7B-467E-A6DD-EEC76AD1BA5D}"/>
                </a:ext>
              </a:extLst>
            </xdr:cNvPr>
            <xdr:cNvPicPr/>
          </xdr:nvPicPr>
          <xdr:blipFill>
            <a:blip xmlns:r="http://schemas.openxmlformats.org/officeDocument/2006/relationships" r:embed="rId60"/>
            <a:stretch>
              <a:fillRect/>
            </a:stretch>
          </xdr:blipFill>
          <xdr:spPr>
            <a:xfrm>
              <a:off x="14083065" y="3643665"/>
              <a:ext cx="9000" cy="9000"/>
            </a:xfrm>
            <a:prstGeom prst="rect">
              <a:avLst/>
            </a:prstGeom>
          </xdr:spPr>
        </xdr:pic>
      </mc:Fallback>
    </mc:AlternateContent>
    <xdr:clientData/>
  </xdr:twoCellAnchor>
  <xdr:twoCellAnchor editAs="oneCell">
    <xdr:from>
      <xdr:col>26</xdr:col>
      <xdr:colOff>324015</xdr:colOff>
      <xdr:row>23</xdr:row>
      <xdr:rowOff>28605</xdr:rowOff>
    </xdr:from>
    <xdr:to>
      <xdr:col>27</xdr:col>
      <xdr:colOff>19439</xdr:colOff>
      <xdr:row>23</xdr:row>
      <xdr:rowOff>67125</xdr:rowOff>
    </xdr:to>
    <mc:AlternateContent xmlns:mc="http://schemas.openxmlformats.org/markup-compatibility/2006" xmlns:xdr14="http://schemas.microsoft.com/office/excel/2010/spreadsheetDrawing">
      <mc:Choice Requires="xdr14">
        <xdr:contentPart xmlns:r="http://schemas.openxmlformats.org/officeDocument/2006/relationships" r:id="rId66">
          <xdr14:nvContentPartPr>
            <xdr14:cNvPr id="7" name="Ink 6">
              <a:extLst>
                <a:ext uri="{FF2B5EF4-FFF2-40B4-BE49-F238E27FC236}">
                  <a16:creationId xmlns:a16="http://schemas.microsoft.com/office/drawing/2014/main" id="{5639D349-89AE-4F7A-8C5F-87475D89D3E1}"/>
                </a:ext>
              </a:extLst>
            </xdr14:cNvPr>
            <xdr14:cNvContentPartPr/>
          </xdr14:nvContentPartPr>
          <xdr14:nvPr macro=""/>
          <xdr14:xfrm>
            <a:off x="11392065" y="4410105"/>
            <a:ext cx="28800" cy="38520"/>
          </xdr14:xfrm>
        </xdr:contentPart>
      </mc:Choice>
      <mc:Fallback xmlns="">
        <xdr:pic>
          <xdr:nvPicPr>
            <xdr:cNvPr id="52" name="Ink 51">
              <a:extLst>
                <a:ext uri="{FF2B5EF4-FFF2-40B4-BE49-F238E27FC236}">
                  <a16:creationId xmlns:a16="http://schemas.microsoft.com/office/drawing/2014/main" id="{1BDE2C3B-3C89-4374-A7E3-6E68435B4D2E}"/>
                </a:ext>
              </a:extLst>
            </xdr:cNvPr>
            <xdr:cNvPicPr/>
          </xdr:nvPicPr>
          <xdr:blipFill>
            <a:blip xmlns:r="http://schemas.openxmlformats.org/officeDocument/2006/relationships" r:embed="rId69"/>
            <a:stretch>
              <a:fillRect/>
            </a:stretch>
          </xdr:blipFill>
          <xdr:spPr>
            <a:xfrm>
              <a:off x="11383065" y="4401105"/>
              <a:ext cx="46440" cy="56160"/>
            </a:xfrm>
            <a:prstGeom prst="rect">
              <a:avLst/>
            </a:prstGeom>
          </xdr:spPr>
        </xdr:pic>
      </mc:Fallback>
    </mc:AlternateContent>
    <xdr:clientData/>
  </xdr:twoCellAnchor>
  <xdr:twoCellAnchor editAs="oneCell">
    <xdr:from>
      <xdr:col>28</xdr:col>
      <xdr:colOff>190425</xdr:colOff>
      <xdr:row>21</xdr:row>
      <xdr:rowOff>104685</xdr:rowOff>
    </xdr:from>
    <xdr:to>
      <xdr:col>28</xdr:col>
      <xdr:colOff>190785</xdr:colOff>
      <xdr:row>21</xdr:row>
      <xdr:rowOff>105045</xdr:rowOff>
    </xdr:to>
    <mc:AlternateContent xmlns:mc="http://schemas.openxmlformats.org/markup-compatibility/2006" xmlns:xdr14="http://schemas.microsoft.com/office/excel/2010/spreadsheetDrawing">
      <mc:Choice Requires="xdr14">
        <xdr:contentPart xmlns:r="http://schemas.openxmlformats.org/officeDocument/2006/relationships" r:id="rId70">
          <xdr14:nvContentPartPr>
            <xdr14:cNvPr id="8" name="Ink 7">
              <a:extLst>
                <a:ext uri="{FF2B5EF4-FFF2-40B4-BE49-F238E27FC236}">
                  <a16:creationId xmlns:a16="http://schemas.microsoft.com/office/drawing/2014/main" id="{CA02F199-A951-43C9-A52C-D67090851D72}"/>
                </a:ext>
              </a:extLst>
            </xdr14:cNvPr>
            <xdr14:cNvContentPartPr/>
          </xdr14:nvContentPartPr>
          <xdr14:nvPr macro=""/>
          <xdr14:xfrm>
            <a:off x="11925225" y="4105185"/>
            <a:ext cx="360" cy="360"/>
          </xdr14:xfrm>
        </xdr:contentPart>
      </mc:Choice>
      <mc:Fallback xmlns="">
        <xdr:pic>
          <xdr:nvPicPr>
            <xdr:cNvPr id="53" name="Ink 52">
              <a:extLst>
                <a:ext uri="{FF2B5EF4-FFF2-40B4-BE49-F238E27FC236}">
                  <a16:creationId xmlns:a16="http://schemas.microsoft.com/office/drawing/2014/main" id="{B4AB5DA3-F6E6-462D-AAA7-D030221C76F2}"/>
                </a:ext>
              </a:extLst>
            </xdr:cNvPr>
            <xdr:cNvPicPr/>
          </xdr:nvPicPr>
          <xdr:blipFill>
            <a:blip xmlns:r="http://schemas.openxmlformats.org/officeDocument/2006/relationships" r:embed="rId71"/>
            <a:stretch>
              <a:fillRect/>
            </a:stretch>
          </xdr:blipFill>
          <xdr:spPr>
            <a:xfrm>
              <a:off x="11916225" y="4096185"/>
              <a:ext cx="18000" cy="18000"/>
            </a:xfrm>
            <a:prstGeom prst="rect">
              <a:avLst/>
            </a:prstGeom>
          </xdr:spPr>
        </xdr:pic>
      </mc:Fallback>
    </mc:AlternateContent>
    <xdr:clientData/>
  </xdr:twoCellAnchor>
  <xdr:twoCellAnchor editAs="oneCell">
    <xdr:from>
      <xdr:col>29</xdr:col>
      <xdr:colOff>18945</xdr:colOff>
      <xdr:row>27</xdr:row>
      <xdr:rowOff>95325</xdr:rowOff>
    </xdr:from>
    <xdr:to>
      <xdr:col>29</xdr:col>
      <xdr:colOff>19305</xdr:colOff>
      <xdr:row>27</xdr:row>
      <xdr:rowOff>95685</xdr:rowOff>
    </xdr:to>
    <mc:AlternateContent xmlns:mc="http://schemas.openxmlformats.org/markup-compatibility/2006" xmlns:xdr14="http://schemas.microsoft.com/office/excel/2010/spreadsheetDrawing">
      <mc:Choice Requires="xdr14">
        <xdr:contentPart xmlns:r="http://schemas.openxmlformats.org/officeDocument/2006/relationships" r:id="rId72">
          <xdr14:nvContentPartPr>
            <xdr14:cNvPr id="9" name="Ink 8">
              <a:extLst>
                <a:ext uri="{FF2B5EF4-FFF2-40B4-BE49-F238E27FC236}">
                  <a16:creationId xmlns:a16="http://schemas.microsoft.com/office/drawing/2014/main" id="{1694DD85-C7E7-4B27-8BB7-EF79E7E1A3F4}"/>
                </a:ext>
              </a:extLst>
            </xdr14:cNvPr>
            <xdr14:cNvContentPartPr/>
          </xdr14:nvContentPartPr>
          <xdr14:nvPr macro=""/>
          <xdr14:xfrm>
            <a:off x="12134745" y="5238825"/>
            <a:ext cx="360" cy="360"/>
          </xdr14:xfrm>
        </xdr:contentPart>
      </mc:Choice>
      <mc:Fallback xmlns="">
        <xdr:pic>
          <xdr:nvPicPr>
            <xdr:cNvPr id="54" name="Ink 53">
              <a:extLst>
                <a:ext uri="{FF2B5EF4-FFF2-40B4-BE49-F238E27FC236}">
                  <a16:creationId xmlns:a16="http://schemas.microsoft.com/office/drawing/2014/main" id="{02A672B6-EB4C-42E9-A3AF-276602C8D4EF}"/>
                </a:ext>
              </a:extLst>
            </xdr:cNvPr>
            <xdr:cNvPicPr/>
          </xdr:nvPicPr>
          <xdr:blipFill>
            <a:blip xmlns:r="http://schemas.openxmlformats.org/officeDocument/2006/relationships" r:embed="rId71"/>
            <a:stretch>
              <a:fillRect/>
            </a:stretch>
          </xdr:blipFill>
          <xdr:spPr>
            <a:xfrm>
              <a:off x="12125745" y="5229825"/>
              <a:ext cx="18000" cy="18000"/>
            </a:xfrm>
            <a:prstGeom prst="rect">
              <a:avLst/>
            </a:prstGeom>
          </xdr:spPr>
        </xdr:pic>
      </mc:Fallback>
    </mc:AlternateContent>
    <xdr:clientData/>
  </xdr:twoCellAnchor>
  <xdr:twoCellAnchor editAs="oneCell">
    <xdr:from>
      <xdr:col>34</xdr:col>
      <xdr:colOff>276075</xdr:colOff>
      <xdr:row>24</xdr:row>
      <xdr:rowOff>171465</xdr:rowOff>
    </xdr:from>
    <xdr:to>
      <xdr:col>34</xdr:col>
      <xdr:colOff>276435</xdr:colOff>
      <xdr:row>24</xdr:row>
      <xdr:rowOff>171825</xdr:rowOff>
    </xdr:to>
    <mc:AlternateContent xmlns:mc="http://schemas.openxmlformats.org/markup-compatibility/2006" xmlns:xdr14="http://schemas.microsoft.com/office/excel/2010/spreadsheetDrawing">
      <mc:Choice Requires="xdr14">
        <xdr:contentPart xmlns:r="http://schemas.openxmlformats.org/officeDocument/2006/relationships" r:id="rId73">
          <xdr14:nvContentPartPr>
            <xdr14:cNvPr id="10" name="Ink 9">
              <a:extLst>
                <a:ext uri="{FF2B5EF4-FFF2-40B4-BE49-F238E27FC236}">
                  <a16:creationId xmlns:a16="http://schemas.microsoft.com/office/drawing/2014/main" id="{192C5F3C-1310-4E69-AFAF-946FCDE89B8A}"/>
                </a:ext>
              </a:extLst>
            </xdr14:cNvPr>
            <xdr14:cNvContentPartPr/>
          </xdr14:nvContentPartPr>
          <xdr14:nvPr macro=""/>
          <xdr14:xfrm>
            <a:off x="14049225" y="4743465"/>
            <a:ext cx="360" cy="360"/>
          </xdr14:xfrm>
        </xdr:contentPart>
      </mc:Choice>
      <mc:Fallback xmlns="">
        <xdr:pic>
          <xdr:nvPicPr>
            <xdr:cNvPr id="55" name="Ink 54">
              <a:extLst>
                <a:ext uri="{FF2B5EF4-FFF2-40B4-BE49-F238E27FC236}">
                  <a16:creationId xmlns:a16="http://schemas.microsoft.com/office/drawing/2014/main" id="{68ABA6E3-942D-49B4-8FAE-45CF34819A24}"/>
                </a:ext>
              </a:extLst>
            </xdr:cNvPr>
            <xdr:cNvPicPr/>
          </xdr:nvPicPr>
          <xdr:blipFill>
            <a:blip xmlns:r="http://schemas.openxmlformats.org/officeDocument/2006/relationships" r:embed="rId71"/>
            <a:stretch>
              <a:fillRect/>
            </a:stretch>
          </xdr:blipFill>
          <xdr:spPr>
            <a:xfrm>
              <a:off x="14040225" y="4734465"/>
              <a:ext cx="18000" cy="18000"/>
            </a:xfrm>
            <a:prstGeom prst="rect">
              <a:avLst/>
            </a:prstGeom>
          </xdr:spPr>
        </xdr:pic>
      </mc:Fallback>
    </mc:AlternateContent>
    <xdr:clientData/>
  </xdr:twoCellAnchor>
  <xdr:twoCellAnchor>
    <xdr:from>
      <xdr:col>20</xdr:col>
      <xdr:colOff>378758</xdr:colOff>
      <xdr:row>10</xdr:row>
      <xdr:rowOff>106456</xdr:rowOff>
    </xdr:from>
    <xdr:to>
      <xdr:col>38</xdr:col>
      <xdr:colOff>23530</xdr:colOff>
      <xdr:row>34</xdr:row>
      <xdr:rowOff>154081</xdr:rowOff>
    </xdr:to>
    <xdr:graphicFrame macro="">
      <xdr:nvGraphicFramePr>
        <xdr:cNvPr id="11" name="Chart 10">
          <a:extLst>
            <a:ext uri="{FF2B5EF4-FFF2-40B4-BE49-F238E27FC236}">
              <a16:creationId xmlns:a16="http://schemas.microsoft.com/office/drawing/2014/main" id="{55250B48-50B2-430C-9CA2-7498248731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4</xdr:col>
      <xdr:colOff>504825</xdr:colOff>
      <xdr:row>10</xdr:row>
      <xdr:rowOff>85725</xdr:rowOff>
    </xdr:from>
    <xdr:to>
      <xdr:col>20</xdr:col>
      <xdr:colOff>35297</xdr:colOff>
      <xdr:row>34</xdr:row>
      <xdr:rowOff>133350</xdr:rowOff>
    </xdr:to>
    <xdr:graphicFrame macro="">
      <xdr:nvGraphicFramePr>
        <xdr:cNvPr id="12" name="Chart 11">
          <a:extLst>
            <a:ext uri="{FF2B5EF4-FFF2-40B4-BE49-F238E27FC236}">
              <a16:creationId xmlns:a16="http://schemas.microsoft.com/office/drawing/2014/main" id="{FCCA18CE-0B47-4008-B355-456A124B3F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wsDr>
</file>

<file path=xl/drawings/drawing62.xml><?xml version="1.0" encoding="utf-8"?>
<c:userShapes xmlns:c="http://schemas.openxmlformats.org/drawingml/2006/chart">
  <cdr:relSizeAnchor xmlns:cdr="http://schemas.openxmlformats.org/drawingml/2006/chartDrawing">
    <cdr:from>
      <cdr:x>0.75188</cdr:x>
      <cdr:y>0.63139</cdr:y>
    </cdr:from>
    <cdr:to>
      <cdr:x>0.98682</cdr:x>
      <cdr:y>0.69219</cdr:y>
    </cdr:to>
    <cdr:sp macro="" textlink="">
      <cdr:nvSpPr>
        <cdr:cNvPr id="8" name="TextBox 1">
          <a:extLst xmlns:a="http://schemas.openxmlformats.org/drawingml/2006/main">
            <a:ext uri="{FF2B5EF4-FFF2-40B4-BE49-F238E27FC236}">
              <a16:creationId xmlns:a16="http://schemas.microsoft.com/office/drawing/2014/main" id="{667A952A-D507-4E13-B5C4-C84D92D0DB94}"/>
            </a:ext>
          </a:extLst>
        </cdr:cNvPr>
        <cdr:cNvSpPr txBox="1"/>
      </cdr:nvSpPr>
      <cdr:spPr>
        <a:xfrm xmlns:a="http://schemas.openxmlformats.org/drawingml/2006/main">
          <a:off x="4602817" y="2916785"/>
          <a:ext cx="1438275" cy="28087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400"/>
            </a:lnSpc>
          </a:pPr>
          <a:r>
            <a:rPr lang="en-US" sz="1400" b="1">
              <a:solidFill>
                <a:srgbClr val="1F7B91"/>
              </a:solidFill>
              <a:latin typeface="Arial" panose="020B0604020202020204" pitchFamily="34" charset="0"/>
              <a:cs typeface="Arial" panose="020B0604020202020204" pitchFamily="34" charset="0"/>
            </a:rPr>
            <a:t>Cumulative</a:t>
          </a:r>
          <a:r>
            <a:rPr lang="en-US" sz="1400" b="1" baseline="0">
              <a:solidFill>
                <a:srgbClr val="1F7B91"/>
              </a:solidFill>
              <a:latin typeface="Arial" panose="020B0604020202020204" pitchFamily="34" charset="0"/>
              <a:cs typeface="Arial" panose="020B0604020202020204" pitchFamily="34" charset="0"/>
            </a:rPr>
            <a:t> share of federal taxes</a:t>
          </a:r>
          <a:endParaRPr lang="en-US" sz="1400" b="1">
            <a:solidFill>
              <a:srgbClr val="1F7B9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0.54597</cdr:x>
      <cdr:y>0.69279</cdr:y>
    </cdr:from>
    <cdr:to>
      <cdr:x>0.7138</cdr:x>
      <cdr:y>0.76169</cdr:y>
    </cdr:to>
    <cdr:sp macro="" textlink="">
      <cdr:nvSpPr>
        <cdr:cNvPr id="9" name="TextBox 1">
          <a:extLst xmlns:a="http://schemas.openxmlformats.org/drawingml/2006/main">
            <a:ext uri="{FF2B5EF4-FFF2-40B4-BE49-F238E27FC236}">
              <a16:creationId xmlns:a16="http://schemas.microsoft.com/office/drawing/2014/main" id="{3DD8D46D-9A6B-4F3A-B422-A2717F264A21}"/>
            </a:ext>
          </a:extLst>
        </cdr:cNvPr>
        <cdr:cNvSpPr txBox="1"/>
      </cdr:nvSpPr>
      <cdr:spPr>
        <a:xfrm xmlns:a="http://schemas.openxmlformats.org/drawingml/2006/main">
          <a:off x="3342312" y="3200410"/>
          <a:ext cx="1027417" cy="31829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solidFill>
                <a:srgbClr val="1F7B91"/>
              </a:solidFill>
              <a:effectLst/>
              <a:latin typeface="Arial" panose="020B0604020202020204" pitchFamily="34" charset="0"/>
              <a:ea typeface="+mn-ea"/>
              <a:cs typeface="Arial" panose="020B0604020202020204" pitchFamily="34" charset="0"/>
            </a:rPr>
            <a:t>Kakwani index</a:t>
          </a:r>
          <a:endParaRPr lang="en-US" sz="1100" b="1">
            <a:solidFill>
              <a:srgbClr val="1F7B9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0.54753</cdr:x>
      <cdr:y>0.49274</cdr:y>
    </cdr:from>
    <cdr:to>
      <cdr:x>0.7309</cdr:x>
      <cdr:y>0.55865</cdr:y>
    </cdr:to>
    <cdr:sp macro="" textlink="">
      <cdr:nvSpPr>
        <cdr:cNvPr id="10" name="TextBox 1">
          <a:extLst xmlns:a="http://schemas.openxmlformats.org/drawingml/2006/main">
            <a:ext uri="{FF2B5EF4-FFF2-40B4-BE49-F238E27FC236}">
              <a16:creationId xmlns:a16="http://schemas.microsoft.com/office/drawing/2014/main" id="{EEFC3946-31B0-4B0E-8EF1-05D7B4A4B0DA}"/>
            </a:ext>
          </a:extLst>
        </cdr:cNvPr>
        <cdr:cNvSpPr txBox="1"/>
      </cdr:nvSpPr>
      <cdr:spPr>
        <a:xfrm xmlns:a="http://schemas.openxmlformats.org/drawingml/2006/main">
          <a:off x="3352800" y="2276288"/>
          <a:ext cx="1122836" cy="3044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200"/>
            </a:lnSpc>
          </a:pPr>
          <a:r>
            <a:rPr lang="en-US" sz="1200" b="1">
              <a:solidFill>
                <a:srgbClr val="792B36"/>
              </a:solidFill>
              <a:effectLst/>
              <a:latin typeface="Arial" panose="020B0604020202020204" pitchFamily="34" charset="0"/>
              <a:ea typeface="+mn-ea"/>
              <a:cs typeface="Arial" panose="020B0604020202020204" pitchFamily="34" charset="0"/>
            </a:rPr>
            <a:t>Gini coefficient</a:t>
          </a:r>
          <a:endParaRPr lang="en-US" sz="1200" b="1">
            <a:solidFill>
              <a:srgbClr val="792B36"/>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0.58953</cdr:x>
      <cdr:y>0.34809</cdr:y>
    </cdr:from>
    <cdr:to>
      <cdr:x>0.85361</cdr:x>
      <cdr:y>0.41685</cdr:y>
    </cdr:to>
    <cdr:sp macro="" textlink="">
      <cdr:nvSpPr>
        <cdr:cNvPr id="11" name="TextBox 1">
          <a:extLst xmlns:a="http://schemas.openxmlformats.org/drawingml/2006/main">
            <a:ext uri="{FF2B5EF4-FFF2-40B4-BE49-F238E27FC236}">
              <a16:creationId xmlns:a16="http://schemas.microsoft.com/office/drawing/2014/main" id="{FDE74DD3-2E65-4728-BB07-5ED547CDE84E}"/>
            </a:ext>
          </a:extLst>
        </cdr:cNvPr>
        <cdr:cNvSpPr txBox="1"/>
      </cdr:nvSpPr>
      <cdr:spPr>
        <a:xfrm xmlns:a="http://schemas.openxmlformats.org/drawingml/2006/main">
          <a:off x="3608968" y="1608044"/>
          <a:ext cx="1616638" cy="3176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400"/>
            </a:lnSpc>
          </a:pPr>
          <a:r>
            <a:rPr lang="en-US" sz="1400" b="1">
              <a:solidFill>
                <a:srgbClr val="792B36"/>
              </a:solidFill>
              <a:latin typeface="Arial" panose="020B0604020202020204" pitchFamily="34" charset="0"/>
              <a:cs typeface="Arial" panose="020B0604020202020204" pitchFamily="34" charset="0"/>
            </a:rPr>
            <a:t>Cumulative</a:t>
          </a:r>
          <a:r>
            <a:rPr lang="en-US" sz="1400" b="1" baseline="0">
              <a:solidFill>
                <a:srgbClr val="792B36"/>
              </a:solidFill>
              <a:latin typeface="Arial" panose="020B0604020202020204" pitchFamily="34" charset="0"/>
              <a:cs typeface="Arial" panose="020B0604020202020204" pitchFamily="34" charset="0"/>
            </a:rPr>
            <a:t> share of income</a:t>
          </a:r>
          <a:endParaRPr lang="en-US" sz="1400" b="1">
            <a:solidFill>
              <a:srgbClr val="792B36"/>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0.56583</cdr:x>
      <cdr:y>0.44622</cdr:y>
    </cdr:from>
    <cdr:to>
      <cdr:x>0.56782</cdr:x>
      <cdr:y>0.70952</cdr:y>
    </cdr:to>
    <cdr:cxnSp macro="">
      <cdr:nvCxnSpPr>
        <cdr:cNvPr id="6" name="Straight Arrow Connector 5">
          <a:extLst xmlns:a="http://schemas.openxmlformats.org/drawingml/2006/main">
            <a:ext uri="{FF2B5EF4-FFF2-40B4-BE49-F238E27FC236}">
              <a16:creationId xmlns:a16="http://schemas.microsoft.com/office/drawing/2014/main" id="{8AC52171-5AB9-428A-911A-22900185C285}"/>
            </a:ext>
          </a:extLst>
        </cdr:cNvPr>
        <cdr:cNvCxnSpPr/>
      </cdr:nvCxnSpPr>
      <cdr:spPr>
        <a:xfrm xmlns:a="http://schemas.openxmlformats.org/drawingml/2006/main">
          <a:off x="3463882" y="2061369"/>
          <a:ext cx="12183" cy="1216351"/>
        </a:xfrm>
        <a:prstGeom xmlns:a="http://schemas.openxmlformats.org/drawingml/2006/main" prst="straightConnector1">
          <a:avLst/>
        </a:prstGeom>
        <a:ln xmlns:a="http://schemas.openxmlformats.org/drawingml/2006/main" w="22225">
          <a:solidFill>
            <a:srgbClr val="A03A49"/>
          </a:solidFill>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0.75908</cdr:x>
      <cdr:y>0.43505</cdr:y>
    </cdr:from>
    <cdr:to>
      <cdr:x>0.78912</cdr:x>
      <cdr:y>0.48459</cdr:y>
    </cdr:to>
    <cdr:cxnSp macro="">
      <cdr:nvCxnSpPr>
        <cdr:cNvPr id="7" name="Straight Arrow Connector 6">
          <a:extLst xmlns:a="http://schemas.openxmlformats.org/drawingml/2006/main">
            <a:ext uri="{FF2B5EF4-FFF2-40B4-BE49-F238E27FC236}">
              <a16:creationId xmlns:a16="http://schemas.microsoft.com/office/drawing/2014/main" id="{1B7FDF38-CDE0-40CF-B22E-7CC5C63BE20E}"/>
            </a:ext>
          </a:extLst>
        </cdr:cNvPr>
        <cdr:cNvCxnSpPr/>
      </cdr:nvCxnSpPr>
      <cdr:spPr>
        <a:xfrm xmlns:a="http://schemas.openxmlformats.org/drawingml/2006/main">
          <a:off x="4648200" y="2009776"/>
          <a:ext cx="183912" cy="228860"/>
        </a:xfrm>
        <a:prstGeom xmlns:a="http://schemas.openxmlformats.org/drawingml/2006/main" prst="straightConnector1">
          <a:avLst/>
        </a:prstGeom>
        <a:ln xmlns:a="http://schemas.openxmlformats.org/drawingml/2006/main" w="19050">
          <a:solidFill>
            <a:srgbClr val="A03A49"/>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0.56599</cdr:x>
      <cdr:y>0.71922</cdr:y>
    </cdr:from>
    <cdr:to>
      <cdr:x>0.56629</cdr:x>
      <cdr:y>0.81096</cdr:y>
    </cdr:to>
    <cdr:cxnSp macro="">
      <cdr:nvCxnSpPr>
        <cdr:cNvPr id="12" name="Straight Arrow Connector 11">
          <a:extLst xmlns:a="http://schemas.openxmlformats.org/drawingml/2006/main">
            <a:ext uri="{FF2B5EF4-FFF2-40B4-BE49-F238E27FC236}">
              <a16:creationId xmlns:a16="http://schemas.microsoft.com/office/drawing/2014/main" id="{AFFC6FF4-E986-414B-A724-486406F9C229}"/>
            </a:ext>
          </a:extLst>
        </cdr:cNvPr>
        <cdr:cNvCxnSpPr/>
      </cdr:nvCxnSpPr>
      <cdr:spPr>
        <a:xfrm xmlns:a="http://schemas.openxmlformats.org/drawingml/2006/main">
          <a:off x="3464859" y="3322544"/>
          <a:ext cx="1839" cy="423787"/>
        </a:xfrm>
        <a:prstGeom xmlns:a="http://schemas.openxmlformats.org/drawingml/2006/main" prst="straightConnector1">
          <a:avLst/>
        </a:prstGeom>
        <a:ln xmlns:a="http://schemas.openxmlformats.org/drawingml/2006/main" w="22225">
          <a:solidFill>
            <a:srgbClr val="1F7B91"/>
          </a:solidFill>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0.83956</cdr:x>
      <cdr:y>0.57544</cdr:y>
    </cdr:from>
    <cdr:to>
      <cdr:x>0.87013</cdr:x>
      <cdr:y>0.63469</cdr:y>
    </cdr:to>
    <cdr:cxnSp macro="">
      <cdr:nvCxnSpPr>
        <cdr:cNvPr id="13" name="Straight Arrow Connector 12">
          <a:extLst xmlns:a="http://schemas.openxmlformats.org/drawingml/2006/main">
            <a:ext uri="{FF2B5EF4-FFF2-40B4-BE49-F238E27FC236}">
              <a16:creationId xmlns:a16="http://schemas.microsoft.com/office/drawing/2014/main" id="{BCB768BC-9E08-4BB1-B51C-11814BB7542F}"/>
            </a:ext>
          </a:extLst>
        </cdr:cNvPr>
        <cdr:cNvCxnSpPr/>
      </cdr:nvCxnSpPr>
      <cdr:spPr>
        <a:xfrm xmlns:a="http://schemas.openxmlformats.org/drawingml/2006/main" flipH="1" flipV="1">
          <a:off x="5139597" y="2658331"/>
          <a:ext cx="187120" cy="273688"/>
        </a:xfrm>
        <a:prstGeom xmlns:a="http://schemas.openxmlformats.org/drawingml/2006/main" prst="straightConnector1">
          <a:avLst/>
        </a:prstGeom>
        <a:ln xmlns:a="http://schemas.openxmlformats.org/drawingml/2006/main" w="19050">
          <a:solidFill>
            <a:srgbClr val="1F7B9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3.xml><?xml version="1.0" encoding="utf-8"?>
<c:userShapes xmlns:c="http://schemas.openxmlformats.org/drawingml/2006/chart">
  <cdr:relSizeAnchor xmlns:cdr="http://schemas.openxmlformats.org/drawingml/2006/chartDrawing">
    <cdr:from>
      <cdr:x>0.75188</cdr:x>
      <cdr:y>0.63139</cdr:y>
    </cdr:from>
    <cdr:to>
      <cdr:x>0.98682</cdr:x>
      <cdr:y>0.69219</cdr:y>
    </cdr:to>
    <cdr:sp macro="" textlink="">
      <cdr:nvSpPr>
        <cdr:cNvPr id="8" name="TextBox 1">
          <a:extLst xmlns:a="http://schemas.openxmlformats.org/drawingml/2006/main">
            <a:ext uri="{FF2B5EF4-FFF2-40B4-BE49-F238E27FC236}">
              <a16:creationId xmlns:a16="http://schemas.microsoft.com/office/drawing/2014/main" id="{667A952A-D507-4E13-B5C4-C84D92D0DB94}"/>
            </a:ext>
          </a:extLst>
        </cdr:cNvPr>
        <cdr:cNvSpPr txBox="1"/>
      </cdr:nvSpPr>
      <cdr:spPr>
        <a:xfrm xmlns:a="http://schemas.openxmlformats.org/drawingml/2006/main">
          <a:off x="4602817" y="2916785"/>
          <a:ext cx="1438275" cy="28087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400"/>
            </a:lnSpc>
          </a:pPr>
          <a:r>
            <a:rPr lang="en-US" sz="1400" b="1">
              <a:solidFill>
                <a:sysClr val="windowText" lastClr="000000"/>
              </a:solidFill>
              <a:latin typeface="Arial" panose="020B0604020202020204" pitchFamily="34" charset="0"/>
              <a:cs typeface="Arial" panose="020B0604020202020204" pitchFamily="34" charset="0"/>
            </a:rPr>
            <a:t>Cumulative</a:t>
          </a:r>
          <a:r>
            <a:rPr lang="en-US" sz="1400" b="1" baseline="0">
              <a:solidFill>
                <a:sysClr val="windowText" lastClr="000000"/>
              </a:solidFill>
              <a:latin typeface="Arial" panose="020B0604020202020204" pitchFamily="34" charset="0"/>
              <a:cs typeface="Arial" panose="020B0604020202020204" pitchFamily="34" charset="0"/>
            </a:rPr>
            <a:t> share of federal taxes</a:t>
          </a:r>
          <a:endParaRPr lang="en-US" sz="1400" b="1">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0.56791</cdr:x>
      <cdr:y>0.69036</cdr:y>
    </cdr:from>
    <cdr:to>
      <cdr:x>0.70831</cdr:x>
      <cdr:y>0.75926</cdr:y>
    </cdr:to>
    <cdr:sp macro="" textlink="">
      <cdr:nvSpPr>
        <cdr:cNvPr id="9" name="TextBox 1">
          <a:extLst xmlns:a="http://schemas.openxmlformats.org/drawingml/2006/main">
            <a:ext uri="{FF2B5EF4-FFF2-40B4-BE49-F238E27FC236}">
              <a16:creationId xmlns:a16="http://schemas.microsoft.com/office/drawing/2014/main" id="{3DD8D46D-9A6B-4F3A-B422-A2717F264A21}"/>
            </a:ext>
          </a:extLst>
        </cdr:cNvPr>
        <cdr:cNvSpPr txBox="1"/>
      </cdr:nvSpPr>
      <cdr:spPr>
        <a:xfrm xmlns:a="http://schemas.openxmlformats.org/drawingml/2006/main">
          <a:off x="3476625" y="3189204"/>
          <a:ext cx="859487" cy="31829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lnSpc>
              <a:spcPts val="1100"/>
            </a:lnSpc>
          </a:pPr>
          <a:r>
            <a:rPr lang="en-US" sz="1100" b="1">
              <a:solidFill>
                <a:sysClr val="windowText" lastClr="000000"/>
              </a:solidFill>
              <a:effectLst/>
              <a:latin typeface="Arial" panose="020B0604020202020204" pitchFamily="34" charset="0"/>
              <a:ea typeface="+mn-ea"/>
              <a:cs typeface="Arial" panose="020B0604020202020204" pitchFamily="34" charset="0"/>
            </a:rPr>
            <a:t>Kakwani  </a:t>
          </a:r>
        </a:p>
        <a:p xmlns:a="http://schemas.openxmlformats.org/drawingml/2006/main">
          <a:pPr algn="l">
            <a:lnSpc>
              <a:spcPts val="1100"/>
            </a:lnSpc>
          </a:pPr>
          <a:r>
            <a:rPr lang="en-US" sz="900" b="1">
              <a:solidFill>
                <a:sysClr val="windowText" lastClr="000000"/>
              </a:solidFill>
              <a:effectLst/>
              <a:latin typeface="Arial" panose="020B0604020202020204" pitchFamily="34" charset="0"/>
              <a:ea typeface="+mn-ea"/>
              <a:cs typeface="Arial" panose="020B0604020202020204" pitchFamily="34" charset="0"/>
            </a:rPr>
            <a:t> </a:t>
          </a:r>
          <a:r>
            <a:rPr lang="en-US" sz="900" b="1" baseline="0">
              <a:solidFill>
                <a:sysClr val="windowText" lastClr="000000"/>
              </a:solidFill>
              <a:effectLst/>
              <a:latin typeface="Arial" panose="020B0604020202020204" pitchFamily="34" charset="0"/>
              <a:ea typeface="+mn-ea"/>
              <a:cs typeface="Arial" panose="020B0604020202020204" pitchFamily="34" charset="0"/>
            </a:rPr>
            <a:t> </a:t>
          </a:r>
          <a:r>
            <a:rPr lang="en-US" sz="1100" b="1">
              <a:solidFill>
                <a:sysClr val="windowText" lastClr="000000"/>
              </a:solidFill>
              <a:effectLst/>
              <a:latin typeface="Arial" panose="020B0604020202020204" pitchFamily="34" charset="0"/>
              <a:ea typeface="+mn-ea"/>
              <a:cs typeface="Arial" panose="020B0604020202020204" pitchFamily="34" charset="0"/>
            </a:rPr>
            <a:t>index</a:t>
          </a:r>
          <a:endParaRPr lang="en-US" sz="1100" b="1">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0.54753</cdr:x>
      <cdr:y>0.49274</cdr:y>
    </cdr:from>
    <cdr:to>
      <cdr:x>0.7309</cdr:x>
      <cdr:y>0.55865</cdr:y>
    </cdr:to>
    <cdr:sp macro="" textlink="">
      <cdr:nvSpPr>
        <cdr:cNvPr id="10" name="TextBox 1">
          <a:extLst xmlns:a="http://schemas.openxmlformats.org/drawingml/2006/main">
            <a:ext uri="{FF2B5EF4-FFF2-40B4-BE49-F238E27FC236}">
              <a16:creationId xmlns:a16="http://schemas.microsoft.com/office/drawing/2014/main" id="{EEFC3946-31B0-4B0E-8EF1-05D7B4A4B0DA}"/>
            </a:ext>
          </a:extLst>
        </cdr:cNvPr>
        <cdr:cNvSpPr txBox="1"/>
      </cdr:nvSpPr>
      <cdr:spPr>
        <a:xfrm xmlns:a="http://schemas.openxmlformats.org/drawingml/2006/main">
          <a:off x="3352800" y="2276288"/>
          <a:ext cx="1122836" cy="3044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200"/>
            </a:lnSpc>
          </a:pPr>
          <a:r>
            <a:rPr lang="en-US" sz="1200" b="1">
              <a:solidFill>
                <a:schemeClr val="tx1">
                  <a:lumMod val="65000"/>
                  <a:lumOff val="35000"/>
                </a:schemeClr>
              </a:solidFill>
              <a:effectLst/>
              <a:latin typeface="Arial" panose="020B0604020202020204" pitchFamily="34" charset="0"/>
              <a:ea typeface="+mn-ea"/>
              <a:cs typeface="Arial" panose="020B0604020202020204" pitchFamily="34" charset="0"/>
            </a:rPr>
            <a:t>Gini coefficient</a:t>
          </a:r>
          <a:endParaRPr lang="en-US" sz="1200" b="1">
            <a:solidFill>
              <a:schemeClr val="tx1">
                <a:lumMod val="65000"/>
                <a:lumOff val="35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0.58953</cdr:x>
      <cdr:y>0.34809</cdr:y>
    </cdr:from>
    <cdr:to>
      <cdr:x>0.85361</cdr:x>
      <cdr:y>0.41685</cdr:y>
    </cdr:to>
    <cdr:sp macro="" textlink="">
      <cdr:nvSpPr>
        <cdr:cNvPr id="11" name="TextBox 1">
          <a:extLst xmlns:a="http://schemas.openxmlformats.org/drawingml/2006/main">
            <a:ext uri="{FF2B5EF4-FFF2-40B4-BE49-F238E27FC236}">
              <a16:creationId xmlns:a16="http://schemas.microsoft.com/office/drawing/2014/main" id="{FDE74DD3-2E65-4728-BB07-5ED547CDE84E}"/>
            </a:ext>
          </a:extLst>
        </cdr:cNvPr>
        <cdr:cNvSpPr txBox="1"/>
      </cdr:nvSpPr>
      <cdr:spPr>
        <a:xfrm xmlns:a="http://schemas.openxmlformats.org/drawingml/2006/main">
          <a:off x="3608968" y="1608044"/>
          <a:ext cx="1616638" cy="3176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400"/>
            </a:lnSpc>
          </a:pPr>
          <a:r>
            <a:rPr lang="en-US" sz="1400" b="1">
              <a:solidFill>
                <a:schemeClr val="tx1">
                  <a:lumMod val="65000"/>
                  <a:lumOff val="35000"/>
                </a:schemeClr>
              </a:solidFill>
              <a:latin typeface="Arial" panose="020B0604020202020204" pitchFamily="34" charset="0"/>
              <a:cs typeface="Arial" panose="020B0604020202020204" pitchFamily="34" charset="0"/>
            </a:rPr>
            <a:t>Cumulative</a:t>
          </a:r>
          <a:r>
            <a:rPr lang="en-US" sz="1400" b="1" baseline="0">
              <a:solidFill>
                <a:schemeClr val="tx1">
                  <a:lumMod val="65000"/>
                  <a:lumOff val="35000"/>
                </a:schemeClr>
              </a:solidFill>
              <a:latin typeface="Arial" panose="020B0604020202020204" pitchFamily="34" charset="0"/>
              <a:cs typeface="Arial" panose="020B0604020202020204" pitchFamily="34" charset="0"/>
            </a:rPr>
            <a:t> share of income</a:t>
          </a:r>
          <a:endParaRPr lang="en-US" sz="1400" b="1">
            <a:solidFill>
              <a:schemeClr val="tx1">
                <a:lumMod val="65000"/>
                <a:lumOff val="35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0.56583</cdr:x>
      <cdr:y>0.44622</cdr:y>
    </cdr:from>
    <cdr:to>
      <cdr:x>0.56583</cdr:x>
      <cdr:y>0.70333</cdr:y>
    </cdr:to>
    <cdr:cxnSp macro="">
      <cdr:nvCxnSpPr>
        <cdr:cNvPr id="6" name="Straight Arrow Connector 5">
          <a:extLst xmlns:a="http://schemas.openxmlformats.org/drawingml/2006/main">
            <a:ext uri="{FF2B5EF4-FFF2-40B4-BE49-F238E27FC236}">
              <a16:creationId xmlns:a16="http://schemas.microsoft.com/office/drawing/2014/main" id="{8AC52171-5AB9-428A-911A-22900185C285}"/>
            </a:ext>
          </a:extLst>
        </cdr:cNvPr>
        <cdr:cNvCxnSpPr/>
      </cdr:nvCxnSpPr>
      <cdr:spPr>
        <a:xfrm xmlns:a="http://schemas.openxmlformats.org/drawingml/2006/main">
          <a:off x="3464859" y="2061382"/>
          <a:ext cx="0" cy="1187721"/>
        </a:xfrm>
        <a:prstGeom xmlns:a="http://schemas.openxmlformats.org/drawingml/2006/main" prst="straightConnector1">
          <a:avLst/>
        </a:prstGeom>
        <a:ln xmlns:a="http://schemas.openxmlformats.org/drawingml/2006/main" w="22225">
          <a:solidFill>
            <a:schemeClr val="tx1">
              <a:lumMod val="50000"/>
              <a:lumOff val="50000"/>
            </a:schemeClr>
          </a:solidFill>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0.75908</cdr:x>
      <cdr:y>0.43505</cdr:y>
    </cdr:from>
    <cdr:to>
      <cdr:x>0.78912</cdr:x>
      <cdr:y>0.48459</cdr:y>
    </cdr:to>
    <cdr:cxnSp macro="">
      <cdr:nvCxnSpPr>
        <cdr:cNvPr id="7" name="Straight Arrow Connector 6">
          <a:extLst xmlns:a="http://schemas.openxmlformats.org/drawingml/2006/main">
            <a:ext uri="{FF2B5EF4-FFF2-40B4-BE49-F238E27FC236}">
              <a16:creationId xmlns:a16="http://schemas.microsoft.com/office/drawing/2014/main" id="{1B7FDF38-CDE0-40CF-B22E-7CC5C63BE20E}"/>
            </a:ext>
          </a:extLst>
        </cdr:cNvPr>
        <cdr:cNvCxnSpPr/>
      </cdr:nvCxnSpPr>
      <cdr:spPr>
        <a:xfrm xmlns:a="http://schemas.openxmlformats.org/drawingml/2006/main">
          <a:off x="4648200" y="2009776"/>
          <a:ext cx="183912" cy="228860"/>
        </a:xfrm>
        <a:prstGeom xmlns:a="http://schemas.openxmlformats.org/drawingml/2006/main" prst="straightConnector1">
          <a:avLst/>
        </a:prstGeom>
        <a:ln xmlns:a="http://schemas.openxmlformats.org/drawingml/2006/main" w="19050">
          <a:solidFill>
            <a:schemeClr val="tx1">
              <a:lumMod val="50000"/>
              <a:lumOff val="50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0.56785</cdr:x>
      <cdr:y>0.71632</cdr:y>
    </cdr:from>
    <cdr:to>
      <cdr:x>0.56785</cdr:x>
      <cdr:y>0.81508</cdr:y>
    </cdr:to>
    <cdr:cxnSp macro="">
      <cdr:nvCxnSpPr>
        <cdr:cNvPr id="12" name="Straight Arrow Connector 11">
          <a:extLst xmlns:a="http://schemas.openxmlformats.org/drawingml/2006/main">
            <a:ext uri="{FF2B5EF4-FFF2-40B4-BE49-F238E27FC236}">
              <a16:creationId xmlns:a16="http://schemas.microsoft.com/office/drawing/2014/main" id="{AFFC6FF4-E986-414B-A724-486406F9C229}"/>
            </a:ext>
          </a:extLst>
        </cdr:cNvPr>
        <cdr:cNvCxnSpPr/>
      </cdr:nvCxnSpPr>
      <cdr:spPr>
        <a:xfrm xmlns:a="http://schemas.openxmlformats.org/drawingml/2006/main">
          <a:off x="3477179" y="3309109"/>
          <a:ext cx="0" cy="456274"/>
        </a:xfrm>
        <a:prstGeom xmlns:a="http://schemas.openxmlformats.org/drawingml/2006/main" prst="straightConnector1">
          <a:avLst/>
        </a:prstGeom>
        <a:ln xmlns:a="http://schemas.openxmlformats.org/drawingml/2006/main" w="22225">
          <a:solidFill>
            <a:schemeClr val="tx1"/>
          </a:solidFill>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0.83956</cdr:x>
      <cdr:y>0.57544</cdr:y>
    </cdr:from>
    <cdr:to>
      <cdr:x>0.87013</cdr:x>
      <cdr:y>0.63469</cdr:y>
    </cdr:to>
    <cdr:cxnSp macro="">
      <cdr:nvCxnSpPr>
        <cdr:cNvPr id="13" name="Straight Arrow Connector 12">
          <a:extLst xmlns:a="http://schemas.openxmlformats.org/drawingml/2006/main">
            <a:ext uri="{FF2B5EF4-FFF2-40B4-BE49-F238E27FC236}">
              <a16:creationId xmlns:a16="http://schemas.microsoft.com/office/drawing/2014/main" id="{BCB768BC-9E08-4BB1-B51C-11814BB7542F}"/>
            </a:ext>
          </a:extLst>
        </cdr:cNvPr>
        <cdr:cNvCxnSpPr/>
      </cdr:nvCxnSpPr>
      <cdr:spPr>
        <a:xfrm xmlns:a="http://schemas.openxmlformats.org/drawingml/2006/main" flipH="1" flipV="1">
          <a:off x="5139597" y="2658331"/>
          <a:ext cx="187120" cy="273688"/>
        </a:xfrm>
        <a:prstGeom xmlns:a="http://schemas.openxmlformats.org/drawingml/2006/main" prst="straightConnector1">
          <a:avLst/>
        </a:prstGeom>
        <a:ln xmlns:a="http://schemas.openxmlformats.org/drawingml/2006/main" w="19050">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4.xml><?xml version="1.0" encoding="utf-8"?>
<xdr:wsDr xmlns:xdr="http://schemas.openxmlformats.org/drawingml/2006/spreadsheetDrawing" xmlns:a="http://schemas.openxmlformats.org/drawingml/2006/main">
  <xdr:twoCellAnchor editAs="oneCell">
    <xdr:from>
      <xdr:col>27</xdr:col>
      <xdr:colOff>190440</xdr:colOff>
      <xdr:row>22</xdr:row>
      <xdr:rowOff>66825</xdr:rowOff>
    </xdr:from>
    <xdr:to>
      <xdr:col>27</xdr:col>
      <xdr:colOff>190800</xdr:colOff>
      <xdr:row>22</xdr:row>
      <xdr:rowOff>67185</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B7E7CBC0-38D2-4366-96CA-5DEC6388DF9C}"/>
                </a:ext>
              </a:extLst>
            </xdr14:cNvPr>
            <xdr14:cNvContentPartPr/>
          </xdr14:nvContentPartPr>
          <xdr14:nvPr macro=""/>
          <xdr14:xfrm>
            <a:off x="11591865" y="4257825"/>
            <a:ext cx="360" cy="360"/>
          </xdr14:xfrm>
        </xdr:contentPart>
      </mc:Choice>
      <mc:Fallback xmlns="">
        <xdr:pic>
          <xdr:nvPicPr>
            <xdr:cNvPr id="40" name="Ink 39">
              <a:extLst>
                <a:ext uri="{FF2B5EF4-FFF2-40B4-BE49-F238E27FC236}">
                  <a16:creationId xmlns:a16="http://schemas.microsoft.com/office/drawing/2014/main" id="{DD68D223-85BE-4459-A03C-D5A171CEE79E}"/>
                </a:ext>
              </a:extLst>
            </xdr:cNvPr>
            <xdr:cNvPicPr/>
          </xdr:nvPicPr>
          <xdr:blipFill>
            <a:blip xmlns:r="http://schemas.openxmlformats.org/officeDocument/2006/relationships" r:embed="rId60"/>
            <a:stretch>
              <a:fillRect/>
            </a:stretch>
          </xdr:blipFill>
          <xdr:spPr>
            <a:xfrm>
              <a:off x="11587545" y="4253505"/>
              <a:ext cx="9000" cy="9000"/>
            </a:xfrm>
            <a:prstGeom prst="rect">
              <a:avLst/>
            </a:prstGeom>
          </xdr:spPr>
        </xdr:pic>
      </mc:Fallback>
    </mc:AlternateContent>
    <xdr:clientData/>
  </xdr:twoCellAnchor>
  <xdr:twoCellAnchor editAs="oneCell">
    <xdr:from>
      <xdr:col>28</xdr:col>
      <xdr:colOff>295185</xdr:colOff>
      <xdr:row>18</xdr:row>
      <xdr:rowOff>66705</xdr:rowOff>
    </xdr:from>
    <xdr:to>
      <xdr:col>28</xdr:col>
      <xdr:colOff>343425</xdr:colOff>
      <xdr:row>19</xdr:row>
      <xdr:rowOff>95445</xdr:rowOff>
    </xdr:to>
    <mc:AlternateContent xmlns:mc="http://schemas.openxmlformats.org/markup-compatibility/2006" xmlns:xdr14="http://schemas.microsoft.com/office/excel/2010/spreadsheetDrawing">
      <mc:Choice Requires="xdr14">
        <xdr:contentPart xmlns:r="http://schemas.openxmlformats.org/officeDocument/2006/relationships" r:id="rId61">
          <xdr14:nvContentPartPr>
            <xdr14:cNvPr id="3" name="Ink 2">
              <a:extLst>
                <a:ext uri="{FF2B5EF4-FFF2-40B4-BE49-F238E27FC236}">
                  <a16:creationId xmlns:a16="http://schemas.microsoft.com/office/drawing/2014/main" id="{075F1CE9-3691-423F-BDFF-E135599AB49B}"/>
                </a:ext>
              </a:extLst>
            </xdr14:cNvPr>
            <xdr14:cNvContentPartPr/>
          </xdr14:nvContentPartPr>
          <xdr14:nvPr macro=""/>
          <xdr14:xfrm>
            <a:off x="12029985" y="3495705"/>
            <a:ext cx="48240" cy="219240"/>
          </xdr14:xfrm>
        </xdr:contentPart>
      </mc:Choice>
      <mc:Fallback xmlns="">
        <xdr:pic>
          <xdr:nvPicPr>
            <xdr:cNvPr id="45" name="Ink 44">
              <a:extLst>
                <a:ext uri="{FF2B5EF4-FFF2-40B4-BE49-F238E27FC236}">
                  <a16:creationId xmlns:a16="http://schemas.microsoft.com/office/drawing/2014/main" id="{E50457DB-6FB0-49FC-A276-143C3EC617BD}"/>
                </a:ext>
              </a:extLst>
            </xdr:cNvPr>
            <xdr:cNvPicPr/>
          </xdr:nvPicPr>
          <xdr:blipFill>
            <a:blip xmlns:r="http://schemas.openxmlformats.org/officeDocument/2006/relationships" r:embed="rId62"/>
            <a:stretch>
              <a:fillRect/>
            </a:stretch>
          </xdr:blipFill>
          <xdr:spPr>
            <a:xfrm>
              <a:off x="12025665" y="3491385"/>
              <a:ext cx="56880" cy="227880"/>
            </a:xfrm>
            <a:prstGeom prst="rect">
              <a:avLst/>
            </a:prstGeom>
          </xdr:spPr>
        </xdr:pic>
      </mc:Fallback>
    </mc:AlternateContent>
    <xdr:clientData/>
  </xdr:twoCellAnchor>
  <xdr:twoCellAnchor editAs="oneCell">
    <xdr:from>
      <xdr:col>21</xdr:col>
      <xdr:colOff>180825</xdr:colOff>
      <xdr:row>14</xdr:row>
      <xdr:rowOff>133185</xdr:rowOff>
    </xdr:from>
    <xdr:to>
      <xdr:col>21</xdr:col>
      <xdr:colOff>181185</xdr:colOff>
      <xdr:row>14</xdr:row>
      <xdr:rowOff>133545</xdr:rowOff>
    </xdr:to>
    <mc:AlternateContent xmlns:mc="http://schemas.openxmlformats.org/markup-compatibility/2006" xmlns:xdr14="http://schemas.microsoft.com/office/excel/2010/spreadsheetDrawing">
      <mc:Choice Requires="xdr14">
        <xdr:contentPart xmlns:r="http://schemas.openxmlformats.org/officeDocument/2006/relationships" r:id="rId63">
          <xdr14:nvContentPartPr>
            <xdr14:cNvPr id="4" name="Ink 3">
              <a:extLst>
                <a:ext uri="{FF2B5EF4-FFF2-40B4-BE49-F238E27FC236}">
                  <a16:creationId xmlns:a16="http://schemas.microsoft.com/office/drawing/2014/main" id="{010C2DC2-D961-499C-B9D2-1535D421288E}"/>
                </a:ext>
              </a:extLst>
            </xdr14:cNvPr>
            <xdr14:cNvContentPartPr/>
          </xdr14:nvContentPartPr>
          <xdr14:nvPr macro=""/>
          <xdr14:xfrm>
            <a:off x="9477225" y="2800185"/>
            <a:ext cx="360" cy="360"/>
          </xdr14:xfrm>
        </xdr:contentPart>
      </mc:Choice>
      <mc:Fallback xmlns="">
        <xdr:pic>
          <xdr:nvPicPr>
            <xdr:cNvPr id="46" name="Ink 45">
              <a:extLst>
                <a:ext uri="{FF2B5EF4-FFF2-40B4-BE49-F238E27FC236}">
                  <a16:creationId xmlns:a16="http://schemas.microsoft.com/office/drawing/2014/main" id="{44610805-10A3-42B6-B911-F889927A6193}"/>
                </a:ext>
              </a:extLst>
            </xdr:cNvPr>
            <xdr:cNvPicPr/>
          </xdr:nvPicPr>
          <xdr:blipFill>
            <a:blip xmlns:r="http://schemas.openxmlformats.org/officeDocument/2006/relationships" r:embed="rId60"/>
            <a:stretch>
              <a:fillRect/>
            </a:stretch>
          </xdr:blipFill>
          <xdr:spPr>
            <a:xfrm>
              <a:off x="9472905" y="2795865"/>
              <a:ext cx="9000" cy="9000"/>
            </a:xfrm>
            <a:prstGeom prst="rect">
              <a:avLst/>
            </a:prstGeom>
          </xdr:spPr>
        </xdr:pic>
      </mc:Fallback>
    </mc:AlternateContent>
    <xdr:clientData/>
  </xdr:twoCellAnchor>
  <xdr:twoCellAnchor editAs="oneCell">
    <xdr:from>
      <xdr:col>29</xdr:col>
      <xdr:colOff>333225</xdr:colOff>
      <xdr:row>20</xdr:row>
      <xdr:rowOff>76305</xdr:rowOff>
    </xdr:from>
    <xdr:to>
      <xdr:col>29</xdr:col>
      <xdr:colOff>333585</xdr:colOff>
      <xdr:row>20</xdr:row>
      <xdr:rowOff>76665</xdr:rowOff>
    </xdr:to>
    <mc:AlternateContent xmlns:mc="http://schemas.openxmlformats.org/markup-compatibility/2006" xmlns:xdr14="http://schemas.microsoft.com/office/excel/2010/spreadsheetDrawing">
      <mc:Choice Requires="xdr14">
        <xdr:contentPart xmlns:r="http://schemas.openxmlformats.org/officeDocument/2006/relationships" r:id="rId64">
          <xdr14:nvContentPartPr>
            <xdr14:cNvPr id="5" name="Ink 4">
              <a:extLst>
                <a:ext uri="{FF2B5EF4-FFF2-40B4-BE49-F238E27FC236}">
                  <a16:creationId xmlns:a16="http://schemas.microsoft.com/office/drawing/2014/main" id="{9691B7E7-5484-4467-A955-FACDFF1A120E}"/>
                </a:ext>
              </a:extLst>
            </xdr14:cNvPr>
            <xdr14:cNvContentPartPr/>
          </xdr14:nvContentPartPr>
          <xdr14:nvPr macro=""/>
          <xdr14:xfrm>
            <a:off x="12449025" y="3886305"/>
            <a:ext cx="360" cy="360"/>
          </xdr14:xfrm>
        </xdr:contentPart>
      </mc:Choice>
      <mc:Fallback xmlns="">
        <xdr:pic>
          <xdr:nvPicPr>
            <xdr:cNvPr id="50" name="Ink 49">
              <a:extLst>
                <a:ext uri="{FF2B5EF4-FFF2-40B4-BE49-F238E27FC236}">
                  <a16:creationId xmlns:a16="http://schemas.microsoft.com/office/drawing/2014/main" id="{4ECEF899-F3CD-4D8D-B908-EE30C7009075}"/>
                </a:ext>
              </a:extLst>
            </xdr:cNvPr>
            <xdr:cNvPicPr/>
          </xdr:nvPicPr>
          <xdr:blipFill>
            <a:blip xmlns:r="http://schemas.openxmlformats.org/officeDocument/2006/relationships" r:embed="rId60"/>
            <a:stretch>
              <a:fillRect/>
            </a:stretch>
          </xdr:blipFill>
          <xdr:spPr>
            <a:xfrm>
              <a:off x="12444705" y="3881985"/>
              <a:ext cx="9000" cy="9000"/>
            </a:xfrm>
            <a:prstGeom prst="rect">
              <a:avLst/>
            </a:prstGeom>
          </xdr:spPr>
        </xdr:pic>
      </mc:Fallback>
    </mc:AlternateContent>
    <xdr:clientData/>
  </xdr:twoCellAnchor>
  <xdr:twoCellAnchor editAs="oneCell">
    <xdr:from>
      <xdr:col>34</xdr:col>
      <xdr:colOff>314235</xdr:colOff>
      <xdr:row>19</xdr:row>
      <xdr:rowOff>28485</xdr:rowOff>
    </xdr:from>
    <xdr:to>
      <xdr:col>34</xdr:col>
      <xdr:colOff>314595</xdr:colOff>
      <xdr:row>19</xdr:row>
      <xdr:rowOff>28845</xdr:rowOff>
    </xdr:to>
    <mc:AlternateContent xmlns:mc="http://schemas.openxmlformats.org/markup-compatibility/2006" xmlns:xdr14="http://schemas.microsoft.com/office/excel/2010/spreadsheetDrawing">
      <mc:Choice Requires="xdr14">
        <xdr:contentPart xmlns:r="http://schemas.openxmlformats.org/officeDocument/2006/relationships" r:id="rId65">
          <xdr14:nvContentPartPr>
            <xdr14:cNvPr id="6" name="Ink 5">
              <a:extLst>
                <a:ext uri="{FF2B5EF4-FFF2-40B4-BE49-F238E27FC236}">
                  <a16:creationId xmlns:a16="http://schemas.microsoft.com/office/drawing/2014/main" id="{6731292B-8D30-4109-8828-A3AA73BED230}"/>
                </a:ext>
              </a:extLst>
            </xdr14:cNvPr>
            <xdr14:cNvContentPartPr/>
          </xdr14:nvContentPartPr>
          <xdr14:nvPr macro=""/>
          <xdr14:xfrm>
            <a:off x="14087385" y="3647985"/>
            <a:ext cx="360" cy="360"/>
          </xdr14:xfrm>
        </xdr:contentPart>
      </mc:Choice>
      <mc:Fallback xmlns="">
        <xdr:pic>
          <xdr:nvPicPr>
            <xdr:cNvPr id="51" name="Ink 50">
              <a:extLst>
                <a:ext uri="{FF2B5EF4-FFF2-40B4-BE49-F238E27FC236}">
                  <a16:creationId xmlns:a16="http://schemas.microsoft.com/office/drawing/2014/main" id="{F8C0A5B1-5C7B-467E-A6DD-EEC76AD1BA5D}"/>
                </a:ext>
              </a:extLst>
            </xdr:cNvPr>
            <xdr:cNvPicPr/>
          </xdr:nvPicPr>
          <xdr:blipFill>
            <a:blip xmlns:r="http://schemas.openxmlformats.org/officeDocument/2006/relationships" r:embed="rId60"/>
            <a:stretch>
              <a:fillRect/>
            </a:stretch>
          </xdr:blipFill>
          <xdr:spPr>
            <a:xfrm>
              <a:off x="14083065" y="3643665"/>
              <a:ext cx="9000" cy="9000"/>
            </a:xfrm>
            <a:prstGeom prst="rect">
              <a:avLst/>
            </a:prstGeom>
          </xdr:spPr>
        </xdr:pic>
      </mc:Fallback>
    </mc:AlternateContent>
    <xdr:clientData/>
  </xdr:twoCellAnchor>
  <xdr:twoCellAnchor editAs="oneCell">
    <xdr:from>
      <xdr:col>26</xdr:col>
      <xdr:colOff>324015</xdr:colOff>
      <xdr:row>23</xdr:row>
      <xdr:rowOff>28605</xdr:rowOff>
    </xdr:from>
    <xdr:to>
      <xdr:col>27</xdr:col>
      <xdr:colOff>19439</xdr:colOff>
      <xdr:row>23</xdr:row>
      <xdr:rowOff>67125</xdr:rowOff>
    </xdr:to>
    <mc:AlternateContent xmlns:mc="http://schemas.openxmlformats.org/markup-compatibility/2006" xmlns:xdr14="http://schemas.microsoft.com/office/excel/2010/spreadsheetDrawing">
      <mc:Choice Requires="xdr14">
        <xdr:contentPart xmlns:r="http://schemas.openxmlformats.org/officeDocument/2006/relationships" r:id="rId66">
          <xdr14:nvContentPartPr>
            <xdr14:cNvPr id="7" name="Ink 6">
              <a:extLst>
                <a:ext uri="{FF2B5EF4-FFF2-40B4-BE49-F238E27FC236}">
                  <a16:creationId xmlns:a16="http://schemas.microsoft.com/office/drawing/2014/main" id="{1303CE9E-AEFC-48EA-B803-5FC951A1B189}"/>
                </a:ext>
              </a:extLst>
            </xdr14:cNvPr>
            <xdr14:cNvContentPartPr/>
          </xdr14:nvContentPartPr>
          <xdr14:nvPr macro=""/>
          <xdr14:xfrm>
            <a:off x="11392065" y="4410105"/>
            <a:ext cx="28800" cy="38520"/>
          </xdr14:xfrm>
        </xdr:contentPart>
      </mc:Choice>
      <mc:Fallback xmlns="">
        <xdr:pic>
          <xdr:nvPicPr>
            <xdr:cNvPr id="52" name="Ink 51">
              <a:extLst>
                <a:ext uri="{FF2B5EF4-FFF2-40B4-BE49-F238E27FC236}">
                  <a16:creationId xmlns:a16="http://schemas.microsoft.com/office/drawing/2014/main" id="{1BDE2C3B-3C89-4374-A7E3-6E68435B4D2E}"/>
                </a:ext>
              </a:extLst>
            </xdr:cNvPr>
            <xdr:cNvPicPr/>
          </xdr:nvPicPr>
          <xdr:blipFill>
            <a:blip xmlns:r="http://schemas.openxmlformats.org/officeDocument/2006/relationships" r:embed="rId69"/>
            <a:stretch>
              <a:fillRect/>
            </a:stretch>
          </xdr:blipFill>
          <xdr:spPr>
            <a:xfrm>
              <a:off x="11383065" y="4401105"/>
              <a:ext cx="46440" cy="56160"/>
            </a:xfrm>
            <a:prstGeom prst="rect">
              <a:avLst/>
            </a:prstGeom>
          </xdr:spPr>
        </xdr:pic>
      </mc:Fallback>
    </mc:AlternateContent>
    <xdr:clientData/>
  </xdr:twoCellAnchor>
  <xdr:twoCellAnchor editAs="oneCell">
    <xdr:from>
      <xdr:col>28</xdr:col>
      <xdr:colOff>190425</xdr:colOff>
      <xdr:row>21</xdr:row>
      <xdr:rowOff>104685</xdr:rowOff>
    </xdr:from>
    <xdr:to>
      <xdr:col>28</xdr:col>
      <xdr:colOff>190785</xdr:colOff>
      <xdr:row>21</xdr:row>
      <xdr:rowOff>105045</xdr:rowOff>
    </xdr:to>
    <mc:AlternateContent xmlns:mc="http://schemas.openxmlformats.org/markup-compatibility/2006" xmlns:xdr14="http://schemas.microsoft.com/office/excel/2010/spreadsheetDrawing">
      <mc:Choice Requires="xdr14">
        <xdr:contentPart xmlns:r="http://schemas.openxmlformats.org/officeDocument/2006/relationships" r:id="rId70">
          <xdr14:nvContentPartPr>
            <xdr14:cNvPr id="8" name="Ink 7">
              <a:extLst>
                <a:ext uri="{FF2B5EF4-FFF2-40B4-BE49-F238E27FC236}">
                  <a16:creationId xmlns:a16="http://schemas.microsoft.com/office/drawing/2014/main" id="{EDED9C39-62DF-4D40-A811-3147205AAECA}"/>
                </a:ext>
              </a:extLst>
            </xdr14:cNvPr>
            <xdr14:cNvContentPartPr/>
          </xdr14:nvContentPartPr>
          <xdr14:nvPr macro=""/>
          <xdr14:xfrm>
            <a:off x="11925225" y="4105185"/>
            <a:ext cx="360" cy="360"/>
          </xdr14:xfrm>
        </xdr:contentPart>
      </mc:Choice>
      <mc:Fallback xmlns="">
        <xdr:pic>
          <xdr:nvPicPr>
            <xdr:cNvPr id="53" name="Ink 52">
              <a:extLst>
                <a:ext uri="{FF2B5EF4-FFF2-40B4-BE49-F238E27FC236}">
                  <a16:creationId xmlns:a16="http://schemas.microsoft.com/office/drawing/2014/main" id="{B4AB5DA3-F6E6-462D-AAA7-D030221C76F2}"/>
                </a:ext>
              </a:extLst>
            </xdr:cNvPr>
            <xdr:cNvPicPr/>
          </xdr:nvPicPr>
          <xdr:blipFill>
            <a:blip xmlns:r="http://schemas.openxmlformats.org/officeDocument/2006/relationships" r:embed="rId71"/>
            <a:stretch>
              <a:fillRect/>
            </a:stretch>
          </xdr:blipFill>
          <xdr:spPr>
            <a:xfrm>
              <a:off x="11916225" y="4096185"/>
              <a:ext cx="18000" cy="18000"/>
            </a:xfrm>
            <a:prstGeom prst="rect">
              <a:avLst/>
            </a:prstGeom>
          </xdr:spPr>
        </xdr:pic>
      </mc:Fallback>
    </mc:AlternateContent>
    <xdr:clientData/>
  </xdr:twoCellAnchor>
  <xdr:twoCellAnchor editAs="oneCell">
    <xdr:from>
      <xdr:col>29</xdr:col>
      <xdr:colOff>18945</xdr:colOff>
      <xdr:row>27</xdr:row>
      <xdr:rowOff>95325</xdr:rowOff>
    </xdr:from>
    <xdr:to>
      <xdr:col>29</xdr:col>
      <xdr:colOff>19305</xdr:colOff>
      <xdr:row>27</xdr:row>
      <xdr:rowOff>95685</xdr:rowOff>
    </xdr:to>
    <mc:AlternateContent xmlns:mc="http://schemas.openxmlformats.org/markup-compatibility/2006" xmlns:xdr14="http://schemas.microsoft.com/office/excel/2010/spreadsheetDrawing">
      <mc:Choice Requires="xdr14">
        <xdr:contentPart xmlns:r="http://schemas.openxmlformats.org/officeDocument/2006/relationships" r:id="rId72">
          <xdr14:nvContentPartPr>
            <xdr14:cNvPr id="9" name="Ink 8">
              <a:extLst>
                <a:ext uri="{FF2B5EF4-FFF2-40B4-BE49-F238E27FC236}">
                  <a16:creationId xmlns:a16="http://schemas.microsoft.com/office/drawing/2014/main" id="{8C61E070-9A1D-4A90-A108-FBBB0C5880BF}"/>
                </a:ext>
              </a:extLst>
            </xdr14:cNvPr>
            <xdr14:cNvContentPartPr/>
          </xdr14:nvContentPartPr>
          <xdr14:nvPr macro=""/>
          <xdr14:xfrm>
            <a:off x="12134745" y="5238825"/>
            <a:ext cx="360" cy="360"/>
          </xdr14:xfrm>
        </xdr:contentPart>
      </mc:Choice>
      <mc:Fallback xmlns="">
        <xdr:pic>
          <xdr:nvPicPr>
            <xdr:cNvPr id="54" name="Ink 53">
              <a:extLst>
                <a:ext uri="{FF2B5EF4-FFF2-40B4-BE49-F238E27FC236}">
                  <a16:creationId xmlns:a16="http://schemas.microsoft.com/office/drawing/2014/main" id="{02A672B6-EB4C-42E9-A3AF-276602C8D4EF}"/>
                </a:ext>
              </a:extLst>
            </xdr:cNvPr>
            <xdr:cNvPicPr/>
          </xdr:nvPicPr>
          <xdr:blipFill>
            <a:blip xmlns:r="http://schemas.openxmlformats.org/officeDocument/2006/relationships" r:embed="rId71"/>
            <a:stretch>
              <a:fillRect/>
            </a:stretch>
          </xdr:blipFill>
          <xdr:spPr>
            <a:xfrm>
              <a:off x="12125745" y="5229825"/>
              <a:ext cx="18000" cy="18000"/>
            </a:xfrm>
            <a:prstGeom prst="rect">
              <a:avLst/>
            </a:prstGeom>
          </xdr:spPr>
        </xdr:pic>
      </mc:Fallback>
    </mc:AlternateContent>
    <xdr:clientData/>
  </xdr:twoCellAnchor>
  <xdr:twoCellAnchor editAs="oneCell">
    <xdr:from>
      <xdr:col>34</xdr:col>
      <xdr:colOff>276075</xdr:colOff>
      <xdr:row>24</xdr:row>
      <xdr:rowOff>171465</xdr:rowOff>
    </xdr:from>
    <xdr:to>
      <xdr:col>34</xdr:col>
      <xdr:colOff>276435</xdr:colOff>
      <xdr:row>24</xdr:row>
      <xdr:rowOff>171825</xdr:rowOff>
    </xdr:to>
    <mc:AlternateContent xmlns:mc="http://schemas.openxmlformats.org/markup-compatibility/2006" xmlns:xdr14="http://schemas.microsoft.com/office/excel/2010/spreadsheetDrawing">
      <mc:Choice Requires="xdr14">
        <xdr:contentPart xmlns:r="http://schemas.openxmlformats.org/officeDocument/2006/relationships" r:id="rId73">
          <xdr14:nvContentPartPr>
            <xdr14:cNvPr id="10" name="Ink 9">
              <a:extLst>
                <a:ext uri="{FF2B5EF4-FFF2-40B4-BE49-F238E27FC236}">
                  <a16:creationId xmlns:a16="http://schemas.microsoft.com/office/drawing/2014/main" id="{D5E8B868-844A-4109-ABB1-C65CAC2A439A}"/>
                </a:ext>
              </a:extLst>
            </xdr14:cNvPr>
            <xdr14:cNvContentPartPr/>
          </xdr14:nvContentPartPr>
          <xdr14:nvPr macro=""/>
          <xdr14:xfrm>
            <a:off x="14049225" y="4743465"/>
            <a:ext cx="360" cy="360"/>
          </xdr14:xfrm>
        </xdr:contentPart>
      </mc:Choice>
      <mc:Fallback xmlns="">
        <xdr:pic>
          <xdr:nvPicPr>
            <xdr:cNvPr id="55" name="Ink 54">
              <a:extLst>
                <a:ext uri="{FF2B5EF4-FFF2-40B4-BE49-F238E27FC236}">
                  <a16:creationId xmlns:a16="http://schemas.microsoft.com/office/drawing/2014/main" id="{68ABA6E3-942D-49B4-8FAE-45CF34819A24}"/>
                </a:ext>
              </a:extLst>
            </xdr:cNvPr>
            <xdr:cNvPicPr/>
          </xdr:nvPicPr>
          <xdr:blipFill>
            <a:blip xmlns:r="http://schemas.openxmlformats.org/officeDocument/2006/relationships" r:embed="rId71"/>
            <a:stretch>
              <a:fillRect/>
            </a:stretch>
          </xdr:blipFill>
          <xdr:spPr>
            <a:xfrm>
              <a:off x="14040225" y="4734465"/>
              <a:ext cx="18000" cy="18000"/>
            </a:xfrm>
            <a:prstGeom prst="rect">
              <a:avLst/>
            </a:prstGeom>
          </xdr:spPr>
        </xdr:pic>
      </mc:Fallback>
    </mc:AlternateContent>
    <xdr:clientData/>
  </xdr:twoCellAnchor>
</xdr:wsDr>
</file>

<file path=xl/drawings/drawing65.xml><?xml version="1.0" encoding="utf-8"?>
<xdr:wsDr xmlns:xdr="http://schemas.openxmlformats.org/drawingml/2006/spreadsheetDrawing" xmlns:a="http://schemas.openxmlformats.org/drawingml/2006/main">
  <xdr:twoCellAnchor editAs="oneCell">
    <xdr:from>
      <xdr:col>27</xdr:col>
      <xdr:colOff>190440</xdr:colOff>
      <xdr:row>22</xdr:row>
      <xdr:rowOff>66825</xdr:rowOff>
    </xdr:from>
    <xdr:to>
      <xdr:col>27</xdr:col>
      <xdr:colOff>190800</xdr:colOff>
      <xdr:row>22</xdr:row>
      <xdr:rowOff>67185</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72CED717-F3D2-4A9C-A675-FD751BD2CF96}"/>
                </a:ext>
              </a:extLst>
            </xdr14:cNvPr>
            <xdr14:cNvContentPartPr/>
          </xdr14:nvContentPartPr>
          <xdr14:nvPr macro=""/>
          <xdr14:xfrm>
            <a:off x="11591865" y="4257825"/>
            <a:ext cx="360" cy="360"/>
          </xdr14:xfrm>
        </xdr:contentPart>
      </mc:Choice>
      <mc:Fallback xmlns="">
        <xdr:pic>
          <xdr:nvPicPr>
            <xdr:cNvPr id="40" name="Ink 39">
              <a:extLst>
                <a:ext uri="{FF2B5EF4-FFF2-40B4-BE49-F238E27FC236}">
                  <a16:creationId xmlns:a16="http://schemas.microsoft.com/office/drawing/2014/main" id="{DD68D223-85BE-4459-A03C-D5A171CEE79E}"/>
                </a:ext>
              </a:extLst>
            </xdr:cNvPr>
            <xdr:cNvPicPr/>
          </xdr:nvPicPr>
          <xdr:blipFill>
            <a:blip xmlns:r="http://schemas.openxmlformats.org/officeDocument/2006/relationships" r:embed="rId60"/>
            <a:stretch>
              <a:fillRect/>
            </a:stretch>
          </xdr:blipFill>
          <xdr:spPr>
            <a:xfrm>
              <a:off x="11587545" y="4253505"/>
              <a:ext cx="9000" cy="9000"/>
            </a:xfrm>
            <a:prstGeom prst="rect">
              <a:avLst/>
            </a:prstGeom>
          </xdr:spPr>
        </xdr:pic>
      </mc:Fallback>
    </mc:AlternateContent>
    <xdr:clientData/>
  </xdr:twoCellAnchor>
  <xdr:twoCellAnchor editAs="oneCell">
    <xdr:from>
      <xdr:col>28</xdr:col>
      <xdr:colOff>295185</xdr:colOff>
      <xdr:row>18</xdr:row>
      <xdr:rowOff>66705</xdr:rowOff>
    </xdr:from>
    <xdr:to>
      <xdr:col>28</xdr:col>
      <xdr:colOff>343425</xdr:colOff>
      <xdr:row>19</xdr:row>
      <xdr:rowOff>95445</xdr:rowOff>
    </xdr:to>
    <mc:AlternateContent xmlns:mc="http://schemas.openxmlformats.org/markup-compatibility/2006" xmlns:xdr14="http://schemas.microsoft.com/office/excel/2010/spreadsheetDrawing">
      <mc:Choice Requires="xdr14">
        <xdr:contentPart xmlns:r="http://schemas.openxmlformats.org/officeDocument/2006/relationships" r:id="rId61">
          <xdr14:nvContentPartPr>
            <xdr14:cNvPr id="3" name="Ink 2">
              <a:extLst>
                <a:ext uri="{FF2B5EF4-FFF2-40B4-BE49-F238E27FC236}">
                  <a16:creationId xmlns:a16="http://schemas.microsoft.com/office/drawing/2014/main" id="{24C521BB-4C09-4EE7-A881-70F00564A39B}"/>
                </a:ext>
              </a:extLst>
            </xdr14:cNvPr>
            <xdr14:cNvContentPartPr/>
          </xdr14:nvContentPartPr>
          <xdr14:nvPr macro=""/>
          <xdr14:xfrm>
            <a:off x="12029985" y="3495705"/>
            <a:ext cx="48240" cy="219240"/>
          </xdr14:xfrm>
        </xdr:contentPart>
      </mc:Choice>
      <mc:Fallback xmlns="">
        <xdr:pic>
          <xdr:nvPicPr>
            <xdr:cNvPr id="45" name="Ink 44">
              <a:extLst>
                <a:ext uri="{FF2B5EF4-FFF2-40B4-BE49-F238E27FC236}">
                  <a16:creationId xmlns:a16="http://schemas.microsoft.com/office/drawing/2014/main" id="{E50457DB-6FB0-49FC-A276-143C3EC617BD}"/>
                </a:ext>
              </a:extLst>
            </xdr:cNvPr>
            <xdr:cNvPicPr/>
          </xdr:nvPicPr>
          <xdr:blipFill>
            <a:blip xmlns:r="http://schemas.openxmlformats.org/officeDocument/2006/relationships" r:embed="rId62"/>
            <a:stretch>
              <a:fillRect/>
            </a:stretch>
          </xdr:blipFill>
          <xdr:spPr>
            <a:xfrm>
              <a:off x="12025665" y="3491385"/>
              <a:ext cx="56880" cy="227880"/>
            </a:xfrm>
            <a:prstGeom prst="rect">
              <a:avLst/>
            </a:prstGeom>
          </xdr:spPr>
        </xdr:pic>
      </mc:Fallback>
    </mc:AlternateContent>
    <xdr:clientData/>
  </xdr:twoCellAnchor>
  <xdr:twoCellAnchor editAs="oneCell">
    <xdr:from>
      <xdr:col>21</xdr:col>
      <xdr:colOff>180825</xdr:colOff>
      <xdr:row>14</xdr:row>
      <xdr:rowOff>133185</xdr:rowOff>
    </xdr:from>
    <xdr:to>
      <xdr:col>21</xdr:col>
      <xdr:colOff>181185</xdr:colOff>
      <xdr:row>14</xdr:row>
      <xdr:rowOff>133545</xdr:rowOff>
    </xdr:to>
    <mc:AlternateContent xmlns:mc="http://schemas.openxmlformats.org/markup-compatibility/2006" xmlns:xdr14="http://schemas.microsoft.com/office/excel/2010/spreadsheetDrawing">
      <mc:Choice Requires="xdr14">
        <xdr:contentPart xmlns:r="http://schemas.openxmlformats.org/officeDocument/2006/relationships" r:id="rId63">
          <xdr14:nvContentPartPr>
            <xdr14:cNvPr id="4" name="Ink 3">
              <a:extLst>
                <a:ext uri="{FF2B5EF4-FFF2-40B4-BE49-F238E27FC236}">
                  <a16:creationId xmlns:a16="http://schemas.microsoft.com/office/drawing/2014/main" id="{80C4EC5A-A45F-4563-9D88-70950CB76D9F}"/>
                </a:ext>
              </a:extLst>
            </xdr14:cNvPr>
            <xdr14:cNvContentPartPr/>
          </xdr14:nvContentPartPr>
          <xdr14:nvPr macro=""/>
          <xdr14:xfrm>
            <a:off x="9477225" y="2800185"/>
            <a:ext cx="360" cy="360"/>
          </xdr14:xfrm>
        </xdr:contentPart>
      </mc:Choice>
      <mc:Fallback xmlns="">
        <xdr:pic>
          <xdr:nvPicPr>
            <xdr:cNvPr id="46" name="Ink 45">
              <a:extLst>
                <a:ext uri="{FF2B5EF4-FFF2-40B4-BE49-F238E27FC236}">
                  <a16:creationId xmlns:a16="http://schemas.microsoft.com/office/drawing/2014/main" id="{44610805-10A3-42B6-B911-F889927A6193}"/>
                </a:ext>
              </a:extLst>
            </xdr:cNvPr>
            <xdr:cNvPicPr/>
          </xdr:nvPicPr>
          <xdr:blipFill>
            <a:blip xmlns:r="http://schemas.openxmlformats.org/officeDocument/2006/relationships" r:embed="rId60"/>
            <a:stretch>
              <a:fillRect/>
            </a:stretch>
          </xdr:blipFill>
          <xdr:spPr>
            <a:xfrm>
              <a:off x="9472905" y="2795865"/>
              <a:ext cx="9000" cy="9000"/>
            </a:xfrm>
            <a:prstGeom prst="rect">
              <a:avLst/>
            </a:prstGeom>
          </xdr:spPr>
        </xdr:pic>
      </mc:Fallback>
    </mc:AlternateContent>
    <xdr:clientData/>
  </xdr:twoCellAnchor>
  <xdr:twoCellAnchor editAs="oneCell">
    <xdr:from>
      <xdr:col>29</xdr:col>
      <xdr:colOff>333225</xdr:colOff>
      <xdr:row>20</xdr:row>
      <xdr:rowOff>76305</xdr:rowOff>
    </xdr:from>
    <xdr:to>
      <xdr:col>29</xdr:col>
      <xdr:colOff>333585</xdr:colOff>
      <xdr:row>20</xdr:row>
      <xdr:rowOff>76665</xdr:rowOff>
    </xdr:to>
    <mc:AlternateContent xmlns:mc="http://schemas.openxmlformats.org/markup-compatibility/2006" xmlns:xdr14="http://schemas.microsoft.com/office/excel/2010/spreadsheetDrawing">
      <mc:Choice Requires="xdr14">
        <xdr:contentPart xmlns:r="http://schemas.openxmlformats.org/officeDocument/2006/relationships" r:id="rId64">
          <xdr14:nvContentPartPr>
            <xdr14:cNvPr id="5" name="Ink 4">
              <a:extLst>
                <a:ext uri="{FF2B5EF4-FFF2-40B4-BE49-F238E27FC236}">
                  <a16:creationId xmlns:a16="http://schemas.microsoft.com/office/drawing/2014/main" id="{58F5F9CB-BC5D-4CB3-B7C5-23C8FE8DC4EB}"/>
                </a:ext>
              </a:extLst>
            </xdr14:cNvPr>
            <xdr14:cNvContentPartPr/>
          </xdr14:nvContentPartPr>
          <xdr14:nvPr macro=""/>
          <xdr14:xfrm>
            <a:off x="12449025" y="3886305"/>
            <a:ext cx="360" cy="360"/>
          </xdr14:xfrm>
        </xdr:contentPart>
      </mc:Choice>
      <mc:Fallback xmlns="">
        <xdr:pic>
          <xdr:nvPicPr>
            <xdr:cNvPr id="50" name="Ink 49">
              <a:extLst>
                <a:ext uri="{FF2B5EF4-FFF2-40B4-BE49-F238E27FC236}">
                  <a16:creationId xmlns:a16="http://schemas.microsoft.com/office/drawing/2014/main" id="{4ECEF899-F3CD-4D8D-B908-EE30C7009075}"/>
                </a:ext>
              </a:extLst>
            </xdr:cNvPr>
            <xdr:cNvPicPr/>
          </xdr:nvPicPr>
          <xdr:blipFill>
            <a:blip xmlns:r="http://schemas.openxmlformats.org/officeDocument/2006/relationships" r:embed="rId60"/>
            <a:stretch>
              <a:fillRect/>
            </a:stretch>
          </xdr:blipFill>
          <xdr:spPr>
            <a:xfrm>
              <a:off x="12444705" y="3881985"/>
              <a:ext cx="9000" cy="9000"/>
            </a:xfrm>
            <a:prstGeom prst="rect">
              <a:avLst/>
            </a:prstGeom>
          </xdr:spPr>
        </xdr:pic>
      </mc:Fallback>
    </mc:AlternateContent>
    <xdr:clientData/>
  </xdr:twoCellAnchor>
  <xdr:twoCellAnchor editAs="oneCell">
    <xdr:from>
      <xdr:col>34</xdr:col>
      <xdr:colOff>314235</xdr:colOff>
      <xdr:row>19</xdr:row>
      <xdr:rowOff>28485</xdr:rowOff>
    </xdr:from>
    <xdr:to>
      <xdr:col>34</xdr:col>
      <xdr:colOff>314595</xdr:colOff>
      <xdr:row>19</xdr:row>
      <xdr:rowOff>28845</xdr:rowOff>
    </xdr:to>
    <mc:AlternateContent xmlns:mc="http://schemas.openxmlformats.org/markup-compatibility/2006" xmlns:xdr14="http://schemas.microsoft.com/office/excel/2010/spreadsheetDrawing">
      <mc:Choice Requires="xdr14">
        <xdr:contentPart xmlns:r="http://schemas.openxmlformats.org/officeDocument/2006/relationships" r:id="rId65">
          <xdr14:nvContentPartPr>
            <xdr14:cNvPr id="6" name="Ink 5">
              <a:extLst>
                <a:ext uri="{FF2B5EF4-FFF2-40B4-BE49-F238E27FC236}">
                  <a16:creationId xmlns:a16="http://schemas.microsoft.com/office/drawing/2014/main" id="{DE603B46-0FCA-4B64-895F-3E49A491BCEE}"/>
                </a:ext>
              </a:extLst>
            </xdr14:cNvPr>
            <xdr14:cNvContentPartPr/>
          </xdr14:nvContentPartPr>
          <xdr14:nvPr macro=""/>
          <xdr14:xfrm>
            <a:off x="14087385" y="3647985"/>
            <a:ext cx="360" cy="360"/>
          </xdr14:xfrm>
        </xdr:contentPart>
      </mc:Choice>
      <mc:Fallback xmlns="">
        <xdr:pic>
          <xdr:nvPicPr>
            <xdr:cNvPr id="51" name="Ink 50">
              <a:extLst>
                <a:ext uri="{FF2B5EF4-FFF2-40B4-BE49-F238E27FC236}">
                  <a16:creationId xmlns:a16="http://schemas.microsoft.com/office/drawing/2014/main" id="{F8C0A5B1-5C7B-467E-A6DD-EEC76AD1BA5D}"/>
                </a:ext>
              </a:extLst>
            </xdr:cNvPr>
            <xdr:cNvPicPr/>
          </xdr:nvPicPr>
          <xdr:blipFill>
            <a:blip xmlns:r="http://schemas.openxmlformats.org/officeDocument/2006/relationships" r:embed="rId60"/>
            <a:stretch>
              <a:fillRect/>
            </a:stretch>
          </xdr:blipFill>
          <xdr:spPr>
            <a:xfrm>
              <a:off x="14083065" y="3643665"/>
              <a:ext cx="9000" cy="9000"/>
            </a:xfrm>
            <a:prstGeom prst="rect">
              <a:avLst/>
            </a:prstGeom>
          </xdr:spPr>
        </xdr:pic>
      </mc:Fallback>
    </mc:AlternateContent>
    <xdr:clientData/>
  </xdr:twoCellAnchor>
  <xdr:twoCellAnchor editAs="oneCell">
    <xdr:from>
      <xdr:col>26</xdr:col>
      <xdr:colOff>324015</xdr:colOff>
      <xdr:row>23</xdr:row>
      <xdr:rowOff>28605</xdr:rowOff>
    </xdr:from>
    <xdr:to>
      <xdr:col>27</xdr:col>
      <xdr:colOff>19439</xdr:colOff>
      <xdr:row>23</xdr:row>
      <xdr:rowOff>67125</xdr:rowOff>
    </xdr:to>
    <mc:AlternateContent xmlns:mc="http://schemas.openxmlformats.org/markup-compatibility/2006" xmlns:xdr14="http://schemas.microsoft.com/office/excel/2010/spreadsheetDrawing">
      <mc:Choice Requires="xdr14">
        <xdr:contentPart xmlns:r="http://schemas.openxmlformats.org/officeDocument/2006/relationships" r:id="rId66">
          <xdr14:nvContentPartPr>
            <xdr14:cNvPr id="7" name="Ink 6">
              <a:extLst>
                <a:ext uri="{FF2B5EF4-FFF2-40B4-BE49-F238E27FC236}">
                  <a16:creationId xmlns:a16="http://schemas.microsoft.com/office/drawing/2014/main" id="{A40F4B52-9E59-4D5F-9451-49BB775C3371}"/>
                </a:ext>
              </a:extLst>
            </xdr14:cNvPr>
            <xdr14:cNvContentPartPr/>
          </xdr14:nvContentPartPr>
          <xdr14:nvPr macro=""/>
          <xdr14:xfrm>
            <a:off x="11392065" y="4410105"/>
            <a:ext cx="28800" cy="38520"/>
          </xdr14:xfrm>
        </xdr:contentPart>
      </mc:Choice>
      <mc:Fallback xmlns="">
        <xdr:pic>
          <xdr:nvPicPr>
            <xdr:cNvPr id="52" name="Ink 51">
              <a:extLst>
                <a:ext uri="{FF2B5EF4-FFF2-40B4-BE49-F238E27FC236}">
                  <a16:creationId xmlns:a16="http://schemas.microsoft.com/office/drawing/2014/main" id="{1BDE2C3B-3C89-4374-A7E3-6E68435B4D2E}"/>
                </a:ext>
              </a:extLst>
            </xdr:cNvPr>
            <xdr:cNvPicPr/>
          </xdr:nvPicPr>
          <xdr:blipFill>
            <a:blip xmlns:r="http://schemas.openxmlformats.org/officeDocument/2006/relationships" r:embed="rId69"/>
            <a:stretch>
              <a:fillRect/>
            </a:stretch>
          </xdr:blipFill>
          <xdr:spPr>
            <a:xfrm>
              <a:off x="11383065" y="4401105"/>
              <a:ext cx="46440" cy="56160"/>
            </a:xfrm>
            <a:prstGeom prst="rect">
              <a:avLst/>
            </a:prstGeom>
          </xdr:spPr>
        </xdr:pic>
      </mc:Fallback>
    </mc:AlternateContent>
    <xdr:clientData/>
  </xdr:twoCellAnchor>
  <xdr:twoCellAnchor editAs="oneCell">
    <xdr:from>
      <xdr:col>28</xdr:col>
      <xdr:colOff>190425</xdr:colOff>
      <xdr:row>21</xdr:row>
      <xdr:rowOff>104685</xdr:rowOff>
    </xdr:from>
    <xdr:to>
      <xdr:col>28</xdr:col>
      <xdr:colOff>190785</xdr:colOff>
      <xdr:row>21</xdr:row>
      <xdr:rowOff>105045</xdr:rowOff>
    </xdr:to>
    <mc:AlternateContent xmlns:mc="http://schemas.openxmlformats.org/markup-compatibility/2006" xmlns:xdr14="http://schemas.microsoft.com/office/excel/2010/spreadsheetDrawing">
      <mc:Choice Requires="xdr14">
        <xdr:contentPart xmlns:r="http://schemas.openxmlformats.org/officeDocument/2006/relationships" r:id="rId70">
          <xdr14:nvContentPartPr>
            <xdr14:cNvPr id="8" name="Ink 7">
              <a:extLst>
                <a:ext uri="{FF2B5EF4-FFF2-40B4-BE49-F238E27FC236}">
                  <a16:creationId xmlns:a16="http://schemas.microsoft.com/office/drawing/2014/main" id="{CE24B55B-9B5B-4398-AB25-3407B6008FA3}"/>
                </a:ext>
              </a:extLst>
            </xdr14:cNvPr>
            <xdr14:cNvContentPartPr/>
          </xdr14:nvContentPartPr>
          <xdr14:nvPr macro=""/>
          <xdr14:xfrm>
            <a:off x="11925225" y="4105185"/>
            <a:ext cx="360" cy="360"/>
          </xdr14:xfrm>
        </xdr:contentPart>
      </mc:Choice>
      <mc:Fallback xmlns="">
        <xdr:pic>
          <xdr:nvPicPr>
            <xdr:cNvPr id="53" name="Ink 52">
              <a:extLst>
                <a:ext uri="{FF2B5EF4-FFF2-40B4-BE49-F238E27FC236}">
                  <a16:creationId xmlns:a16="http://schemas.microsoft.com/office/drawing/2014/main" id="{B4AB5DA3-F6E6-462D-AAA7-D030221C76F2}"/>
                </a:ext>
              </a:extLst>
            </xdr:cNvPr>
            <xdr:cNvPicPr/>
          </xdr:nvPicPr>
          <xdr:blipFill>
            <a:blip xmlns:r="http://schemas.openxmlformats.org/officeDocument/2006/relationships" r:embed="rId71"/>
            <a:stretch>
              <a:fillRect/>
            </a:stretch>
          </xdr:blipFill>
          <xdr:spPr>
            <a:xfrm>
              <a:off x="11916225" y="4096185"/>
              <a:ext cx="18000" cy="18000"/>
            </a:xfrm>
            <a:prstGeom prst="rect">
              <a:avLst/>
            </a:prstGeom>
          </xdr:spPr>
        </xdr:pic>
      </mc:Fallback>
    </mc:AlternateContent>
    <xdr:clientData/>
  </xdr:twoCellAnchor>
  <xdr:twoCellAnchor editAs="oneCell">
    <xdr:from>
      <xdr:col>29</xdr:col>
      <xdr:colOff>18945</xdr:colOff>
      <xdr:row>27</xdr:row>
      <xdr:rowOff>95325</xdr:rowOff>
    </xdr:from>
    <xdr:to>
      <xdr:col>29</xdr:col>
      <xdr:colOff>19305</xdr:colOff>
      <xdr:row>27</xdr:row>
      <xdr:rowOff>95685</xdr:rowOff>
    </xdr:to>
    <mc:AlternateContent xmlns:mc="http://schemas.openxmlformats.org/markup-compatibility/2006" xmlns:xdr14="http://schemas.microsoft.com/office/excel/2010/spreadsheetDrawing">
      <mc:Choice Requires="xdr14">
        <xdr:contentPart xmlns:r="http://schemas.openxmlformats.org/officeDocument/2006/relationships" r:id="rId72">
          <xdr14:nvContentPartPr>
            <xdr14:cNvPr id="9" name="Ink 8">
              <a:extLst>
                <a:ext uri="{FF2B5EF4-FFF2-40B4-BE49-F238E27FC236}">
                  <a16:creationId xmlns:a16="http://schemas.microsoft.com/office/drawing/2014/main" id="{32044197-C911-4461-AA4A-C516A8846C4B}"/>
                </a:ext>
              </a:extLst>
            </xdr14:cNvPr>
            <xdr14:cNvContentPartPr/>
          </xdr14:nvContentPartPr>
          <xdr14:nvPr macro=""/>
          <xdr14:xfrm>
            <a:off x="12134745" y="5238825"/>
            <a:ext cx="360" cy="360"/>
          </xdr14:xfrm>
        </xdr:contentPart>
      </mc:Choice>
      <mc:Fallback xmlns="">
        <xdr:pic>
          <xdr:nvPicPr>
            <xdr:cNvPr id="54" name="Ink 53">
              <a:extLst>
                <a:ext uri="{FF2B5EF4-FFF2-40B4-BE49-F238E27FC236}">
                  <a16:creationId xmlns:a16="http://schemas.microsoft.com/office/drawing/2014/main" id="{02A672B6-EB4C-42E9-A3AF-276602C8D4EF}"/>
                </a:ext>
              </a:extLst>
            </xdr:cNvPr>
            <xdr:cNvPicPr/>
          </xdr:nvPicPr>
          <xdr:blipFill>
            <a:blip xmlns:r="http://schemas.openxmlformats.org/officeDocument/2006/relationships" r:embed="rId71"/>
            <a:stretch>
              <a:fillRect/>
            </a:stretch>
          </xdr:blipFill>
          <xdr:spPr>
            <a:xfrm>
              <a:off x="12125745" y="5229825"/>
              <a:ext cx="18000" cy="18000"/>
            </a:xfrm>
            <a:prstGeom prst="rect">
              <a:avLst/>
            </a:prstGeom>
          </xdr:spPr>
        </xdr:pic>
      </mc:Fallback>
    </mc:AlternateContent>
    <xdr:clientData/>
  </xdr:twoCellAnchor>
  <xdr:twoCellAnchor editAs="oneCell">
    <xdr:from>
      <xdr:col>34</xdr:col>
      <xdr:colOff>276075</xdr:colOff>
      <xdr:row>24</xdr:row>
      <xdr:rowOff>171465</xdr:rowOff>
    </xdr:from>
    <xdr:to>
      <xdr:col>34</xdr:col>
      <xdr:colOff>276435</xdr:colOff>
      <xdr:row>24</xdr:row>
      <xdr:rowOff>171825</xdr:rowOff>
    </xdr:to>
    <mc:AlternateContent xmlns:mc="http://schemas.openxmlformats.org/markup-compatibility/2006" xmlns:xdr14="http://schemas.microsoft.com/office/excel/2010/spreadsheetDrawing">
      <mc:Choice Requires="xdr14">
        <xdr:contentPart xmlns:r="http://schemas.openxmlformats.org/officeDocument/2006/relationships" r:id="rId73">
          <xdr14:nvContentPartPr>
            <xdr14:cNvPr id="10" name="Ink 9">
              <a:extLst>
                <a:ext uri="{FF2B5EF4-FFF2-40B4-BE49-F238E27FC236}">
                  <a16:creationId xmlns:a16="http://schemas.microsoft.com/office/drawing/2014/main" id="{85136534-4C09-4C28-9D6E-4D7C71275229}"/>
                </a:ext>
              </a:extLst>
            </xdr14:cNvPr>
            <xdr14:cNvContentPartPr/>
          </xdr14:nvContentPartPr>
          <xdr14:nvPr macro=""/>
          <xdr14:xfrm>
            <a:off x="14049225" y="4743465"/>
            <a:ext cx="360" cy="360"/>
          </xdr14:xfrm>
        </xdr:contentPart>
      </mc:Choice>
      <mc:Fallback xmlns="">
        <xdr:pic>
          <xdr:nvPicPr>
            <xdr:cNvPr id="55" name="Ink 54">
              <a:extLst>
                <a:ext uri="{FF2B5EF4-FFF2-40B4-BE49-F238E27FC236}">
                  <a16:creationId xmlns:a16="http://schemas.microsoft.com/office/drawing/2014/main" id="{68ABA6E3-942D-49B4-8FAE-45CF34819A24}"/>
                </a:ext>
              </a:extLst>
            </xdr:cNvPr>
            <xdr:cNvPicPr/>
          </xdr:nvPicPr>
          <xdr:blipFill>
            <a:blip xmlns:r="http://schemas.openxmlformats.org/officeDocument/2006/relationships" r:embed="rId71"/>
            <a:stretch>
              <a:fillRect/>
            </a:stretch>
          </xdr:blipFill>
          <xdr:spPr>
            <a:xfrm>
              <a:off x="14040225" y="4734465"/>
              <a:ext cx="18000" cy="18000"/>
            </a:xfrm>
            <a:prstGeom prst="rect">
              <a:avLst/>
            </a:prstGeom>
          </xdr:spPr>
        </xdr:pic>
      </mc:Fallback>
    </mc:AlternateContent>
    <xdr:clientData/>
  </xdr:twoCellAnchor>
</xdr:wsDr>
</file>

<file path=xl/drawings/drawing66.xml><?xml version="1.0" encoding="utf-8"?>
<xdr:wsDr xmlns:xdr="http://schemas.openxmlformats.org/drawingml/2006/spreadsheetDrawing" xmlns:a="http://schemas.openxmlformats.org/drawingml/2006/main">
  <xdr:twoCellAnchor editAs="oneCell">
    <xdr:from>
      <xdr:col>27</xdr:col>
      <xdr:colOff>190440</xdr:colOff>
      <xdr:row>22</xdr:row>
      <xdr:rowOff>66825</xdr:rowOff>
    </xdr:from>
    <xdr:to>
      <xdr:col>27</xdr:col>
      <xdr:colOff>190800</xdr:colOff>
      <xdr:row>22</xdr:row>
      <xdr:rowOff>67185</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AFBED83D-014A-4931-9688-1CBD235051FC}"/>
                </a:ext>
              </a:extLst>
            </xdr14:cNvPr>
            <xdr14:cNvContentPartPr/>
          </xdr14:nvContentPartPr>
          <xdr14:nvPr macro=""/>
          <xdr14:xfrm>
            <a:off x="11591865" y="4257825"/>
            <a:ext cx="360" cy="360"/>
          </xdr14:xfrm>
        </xdr:contentPart>
      </mc:Choice>
      <mc:Fallback xmlns="">
        <xdr:pic>
          <xdr:nvPicPr>
            <xdr:cNvPr id="40" name="Ink 39">
              <a:extLst>
                <a:ext uri="{FF2B5EF4-FFF2-40B4-BE49-F238E27FC236}">
                  <a16:creationId xmlns:a16="http://schemas.microsoft.com/office/drawing/2014/main" id="{DD68D223-85BE-4459-A03C-D5A171CEE79E}"/>
                </a:ext>
              </a:extLst>
            </xdr:cNvPr>
            <xdr:cNvPicPr/>
          </xdr:nvPicPr>
          <xdr:blipFill>
            <a:blip xmlns:r="http://schemas.openxmlformats.org/officeDocument/2006/relationships" r:embed="rId60"/>
            <a:stretch>
              <a:fillRect/>
            </a:stretch>
          </xdr:blipFill>
          <xdr:spPr>
            <a:xfrm>
              <a:off x="11587545" y="4253505"/>
              <a:ext cx="9000" cy="9000"/>
            </a:xfrm>
            <a:prstGeom prst="rect">
              <a:avLst/>
            </a:prstGeom>
          </xdr:spPr>
        </xdr:pic>
      </mc:Fallback>
    </mc:AlternateContent>
    <xdr:clientData/>
  </xdr:twoCellAnchor>
  <xdr:twoCellAnchor editAs="oneCell">
    <xdr:from>
      <xdr:col>28</xdr:col>
      <xdr:colOff>295185</xdr:colOff>
      <xdr:row>18</xdr:row>
      <xdr:rowOff>66705</xdr:rowOff>
    </xdr:from>
    <xdr:to>
      <xdr:col>28</xdr:col>
      <xdr:colOff>343425</xdr:colOff>
      <xdr:row>19</xdr:row>
      <xdr:rowOff>95445</xdr:rowOff>
    </xdr:to>
    <mc:AlternateContent xmlns:mc="http://schemas.openxmlformats.org/markup-compatibility/2006" xmlns:xdr14="http://schemas.microsoft.com/office/excel/2010/spreadsheetDrawing">
      <mc:Choice Requires="xdr14">
        <xdr:contentPart xmlns:r="http://schemas.openxmlformats.org/officeDocument/2006/relationships" r:id="rId61">
          <xdr14:nvContentPartPr>
            <xdr14:cNvPr id="3" name="Ink 2">
              <a:extLst>
                <a:ext uri="{FF2B5EF4-FFF2-40B4-BE49-F238E27FC236}">
                  <a16:creationId xmlns:a16="http://schemas.microsoft.com/office/drawing/2014/main" id="{8ED50A12-D878-4634-A04E-55E36E203B1B}"/>
                </a:ext>
              </a:extLst>
            </xdr14:cNvPr>
            <xdr14:cNvContentPartPr/>
          </xdr14:nvContentPartPr>
          <xdr14:nvPr macro=""/>
          <xdr14:xfrm>
            <a:off x="12029985" y="3495705"/>
            <a:ext cx="48240" cy="219240"/>
          </xdr14:xfrm>
        </xdr:contentPart>
      </mc:Choice>
      <mc:Fallback xmlns="">
        <xdr:pic>
          <xdr:nvPicPr>
            <xdr:cNvPr id="45" name="Ink 44">
              <a:extLst>
                <a:ext uri="{FF2B5EF4-FFF2-40B4-BE49-F238E27FC236}">
                  <a16:creationId xmlns:a16="http://schemas.microsoft.com/office/drawing/2014/main" id="{E50457DB-6FB0-49FC-A276-143C3EC617BD}"/>
                </a:ext>
              </a:extLst>
            </xdr:cNvPr>
            <xdr:cNvPicPr/>
          </xdr:nvPicPr>
          <xdr:blipFill>
            <a:blip xmlns:r="http://schemas.openxmlformats.org/officeDocument/2006/relationships" r:embed="rId62"/>
            <a:stretch>
              <a:fillRect/>
            </a:stretch>
          </xdr:blipFill>
          <xdr:spPr>
            <a:xfrm>
              <a:off x="12025665" y="3491385"/>
              <a:ext cx="56880" cy="227880"/>
            </a:xfrm>
            <a:prstGeom prst="rect">
              <a:avLst/>
            </a:prstGeom>
          </xdr:spPr>
        </xdr:pic>
      </mc:Fallback>
    </mc:AlternateContent>
    <xdr:clientData/>
  </xdr:twoCellAnchor>
  <xdr:twoCellAnchor editAs="oneCell">
    <xdr:from>
      <xdr:col>21</xdr:col>
      <xdr:colOff>180825</xdr:colOff>
      <xdr:row>14</xdr:row>
      <xdr:rowOff>133185</xdr:rowOff>
    </xdr:from>
    <xdr:to>
      <xdr:col>21</xdr:col>
      <xdr:colOff>181185</xdr:colOff>
      <xdr:row>14</xdr:row>
      <xdr:rowOff>133545</xdr:rowOff>
    </xdr:to>
    <mc:AlternateContent xmlns:mc="http://schemas.openxmlformats.org/markup-compatibility/2006" xmlns:xdr14="http://schemas.microsoft.com/office/excel/2010/spreadsheetDrawing">
      <mc:Choice Requires="xdr14">
        <xdr:contentPart xmlns:r="http://schemas.openxmlformats.org/officeDocument/2006/relationships" r:id="rId63">
          <xdr14:nvContentPartPr>
            <xdr14:cNvPr id="4" name="Ink 3">
              <a:extLst>
                <a:ext uri="{FF2B5EF4-FFF2-40B4-BE49-F238E27FC236}">
                  <a16:creationId xmlns:a16="http://schemas.microsoft.com/office/drawing/2014/main" id="{C94419B2-7510-48D0-A85F-9085289ED84C}"/>
                </a:ext>
              </a:extLst>
            </xdr14:cNvPr>
            <xdr14:cNvContentPartPr/>
          </xdr14:nvContentPartPr>
          <xdr14:nvPr macro=""/>
          <xdr14:xfrm>
            <a:off x="9477225" y="2800185"/>
            <a:ext cx="360" cy="360"/>
          </xdr14:xfrm>
        </xdr:contentPart>
      </mc:Choice>
      <mc:Fallback xmlns="">
        <xdr:pic>
          <xdr:nvPicPr>
            <xdr:cNvPr id="46" name="Ink 45">
              <a:extLst>
                <a:ext uri="{FF2B5EF4-FFF2-40B4-BE49-F238E27FC236}">
                  <a16:creationId xmlns:a16="http://schemas.microsoft.com/office/drawing/2014/main" id="{44610805-10A3-42B6-B911-F889927A6193}"/>
                </a:ext>
              </a:extLst>
            </xdr:cNvPr>
            <xdr:cNvPicPr/>
          </xdr:nvPicPr>
          <xdr:blipFill>
            <a:blip xmlns:r="http://schemas.openxmlformats.org/officeDocument/2006/relationships" r:embed="rId60"/>
            <a:stretch>
              <a:fillRect/>
            </a:stretch>
          </xdr:blipFill>
          <xdr:spPr>
            <a:xfrm>
              <a:off x="9472905" y="2795865"/>
              <a:ext cx="9000" cy="9000"/>
            </a:xfrm>
            <a:prstGeom prst="rect">
              <a:avLst/>
            </a:prstGeom>
          </xdr:spPr>
        </xdr:pic>
      </mc:Fallback>
    </mc:AlternateContent>
    <xdr:clientData/>
  </xdr:twoCellAnchor>
  <xdr:twoCellAnchor editAs="oneCell">
    <xdr:from>
      <xdr:col>29</xdr:col>
      <xdr:colOff>333225</xdr:colOff>
      <xdr:row>20</xdr:row>
      <xdr:rowOff>76305</xdr:rowOff>
    </xdr:from>
    <xdr:to>
      <xdr:col>29</xdr:col>
      <xdr:colOff>333585</xdr:colOff>
      <xdr:row>20</xdr:row>
      <xdr:rowOff>76665</xdr:rowOff>
    </xdr:to>
    <mc:AlternateContent xmlns:mc="http://schemas.openxmlformats.org/markup-compatibility/2006" xmlns:xdr14="http://schemas.microsoft.com/office/excel/2010/spreadsheetDrawing">
      <mc:Choice Requires="xdr14">
        <xdr:contentPart xmlns:r="http://schemas.openxmlformats.org/officeDocument/2006/relationships" r:id="rId64">
          <xdr14:nvContentPartPr>
            <xdr14:cNvPr id="5" name="Ink 4">
              <a:extLst>
                <a:ext uri="{FF2B5EF4-FFF2-40B4-BE49-F238E27FC236}">
                  <a16:creationId xmlns:a16="http://schemas.microsoft.com/office/drawing/2014/main" id="{FCBA74F7-377B-477B-8872-3B338D9FB155}"/>
                </a:ext>
              </a:extLst>
            </xdr14:cNvPr>
            <xdr14:cNvContentPartPr/>
          </xdr14:nvContentPartPr>
          <xdr14:nvPr macro=""/>
          <xdr14:xfrm>
            <a:off x="12449025" y="3886305"/>
            <a:ext cx="360" cy="360"/>
          </xdr14:xfrm>
        </xdr:contentPart>
      </mc:Choice>
      <mc:Fallback xmlns="">
        <xdr:pic>
          <xdr:nvPicPr>
            <xdr:cNvPr id="50" name="Ink 49">
              <a:extLst>
                <a:ext uri="{FF2B5EF4-FFF2-40B4-BE49-F238E27FC236}">
                  <a16:creationId xmlns:a16="http://schemas.microsoft.com/office/drawing/2014/main" id="{4ECEF899-F3CD-4D8D-B908-EE30C7009075}"/>
                </a:ext>
              </a:extLst>
            </xdr:cNvPr>
            <xdr:cNvPicPr/>
          </xdr:nvPicPr>
          <xdr:blipFill>
            <a:blip xmlns:r="http://schemas.openxmlformats.org/officeDocument/2006/relationships" r:embed="rId60"/>
            <a:stretch>
              <a:fillRect/>
            </a:stretch>
          </xdr:blipFill>
          <xdr:spPr>
            <a:xfrm>
              <a:off x="12444705" y="3881985"/>
              <a:ext cx="9000" cy="9000"/>
            </a:xfrm>
            <a:prstGeom prst="rect">
              <a:avLst/>
            </a:prstGeom>
          </xdr:spPr>
        </xdr:pic>
      </mc:Fallback>
    </mc:AlternateContent>
    <xdr:clientData/>
  </xdr:twoCellAnchor>
  <xdr:twoCellAnchor editAs="oneCell">
    <xdr:from>
      <xdr:col>34</xdr:col>
      <xdr:colOff>314235</xdr:colOff>
      <xdr:row>19</xdr:row>
      <xdr:rowOff>28485</xdr:rowOff>
    </xdr:from>
    <xdr:to>
      <xdr:col>34</xdr:col>
      <xdr:colOff>314595</xdr:colOff>
      <xdr:row>19</xdr:row>
      <xdr:rowOff>28845</xdr:rowOff>
    </xdr:to>
    <mc:AlternateContent xmlns:mc="http://schemas.openxmlformats.org/markup-compatibility/2006" xmlns:xdr14="http://schemas.microsoft.com/office/excel/2010/spreadsheetDrawing">
      <mc:Choice Requires="xdr14">
        <xdr:contentPart xmlns:r="http://schemas.openxmlformats.org/officeDocument/2006/relationships" r:id="rId65">
          <xdr14:nvContentPartPr>
            <xdr14:cNvPr id="6" name="Ink 5">
              <a:extLst>
                <a:ext uri="{FF2B5EF4-FFF2-40B4-BE49-F238E27FC236}">
                  <a16:creationId xmlns:a16="http://schemas.microsoft.com/office/drawing/2014/main" id="{32A8297A-2B12-4384-8D6B-DE24C2F1F043}"/>
                </a:ext>
              </a:extLst>
            </xdr14:cNvPr>
            <xdr14:cNvContentPartPr/>
          </xdr14:nvContentPartPr>
          <xdr14:nvPr macro=""/>
          <xdr14:xfrm>
            <a:off x="14087385" y="3647985"/>
            <a:ext cx="360" cy="360"/>
          </xdr14:xfrm>
        </xdr:contentPart>
      </mc:Choice>
      <mc:Fallback xmlns="">
        <xdr:pic>
          <xdr:nvPicPr>
            <xdr:cNvPr id="51" name="Ink 50">
              <a:extLst>
                <a:ext uri="{FF2B5EF4-FFF2-40B4-BE49-F238E27FC236}">
                  <a16:creationId xmlns:a16="http://schemas.microsoft.com/office/drawing/2014/main" id="{F8C0A5B1-5C7B-467E-A6DD-EEC76AD1BA5D}"/>
                </a:ext>
              </a:extLst>
            </xdr:cNvPr>
            <xdr:cNvPicPr/>
          </xdr:nvPicPr>
          <xdr:blipFill>
            <a:blip xmlns:r="http://schemas.openxmlformats.org/officeDocument/2006/relationships" r:embed="rId60"/>
            <a:stretch>
              <a:fillRect/>
            </a:stretch>
          </xdr:blipFill>
          <xdr:spPr>
            <a:xfrm>
              <a:off x="14083065" y="3643665"/>
              <a:ext cx="9000" cy="9000"/>
            </a:xfrm>
            <a:prstGeom prst="rect">
              <a:avLst/>
            </a:prstGeom>
          </xdr:spPr>
        </xdr:pic>
      </mc:Fallback>
    </mc:AlternateContent>
    <xdr:clientData/>
  </xdr:twoCellAnchor>
  <xdr:twoCellAnchor editAs="oneCell">
    <xdr:from>
      <xdr:col>26</xdr:col>
      <xdr:colOff>324015</xdr:colOff>
      <xdr:row>23</xdr:row>
      <xdr:rowOff>28605</xdr:rowOff>
    </xdr:from>
    <xdr:to>
      <xdr:col>27</xdr:col>
      <xdr:colOff>19439</xdr:colOff>
      <xdr:row>23</xdr:row>
      <xdr:rowOff>67125</xdr:rowOff>
    </xdr:to>
    <mc:AlternateContent xmlns:mc="http://schemas.openxmlformats.org/markup-compatibility/2006" xmlns:xdr14="http://schemas.microsoft.com/office/excel/2010/spreadsheetDrawing">
      <mc:Choice Requires="xdr14">
        <xdr:contentPart xmlns:r="http://schemas.openxmlformats.org/officeDocument/2006/relationships" r:id="rId66">
          <xdr14:nvContentPartPr>
            <xdr14:cNvPr id="7" name="Ink 6">
              <a:extLst>
                <a:ext uri="{FF2B5EF4-FFF2-40B4-BE49-F238E27FC236}">
                  <a16:creationId xmlns:a16="http://schemas.microsoft.com/office/drawing/2014/main" id="{4BE29DDD-A94A-4EE6-82F9-A9B98BEAD721}"/>
                </a:ext>
              </a:extLst>
            </xdr14:cNvPr>
            <xdr14:cNvContentPartPr/>
          </xdr14:nvContentPartPr>
          <xdr14:nvPr macro=""/>
          <xdr14:xfrm>
            <a:off x="11392065" y="4410105"/>
            <a:ext cx="28800" cy="38520"/>
          </xdr14:xfrm>
        </xdr:contentPart>
      </mc:Choice>
      <mc:Fallback xmlns="">
        <xdr:pic>
          <xdr:nvPicPr>
            <xdr:cNvPr id="52" name="Ink 51">
              <a:extLst>
                <a:ext uri="{FF2B5EF4-FFF2-40B4-BE49-F238E27FC236}">
                  <a16:creationId xmlns:a16="http://schemas.microsoft.com/office/drawing/2014/main" id="{1BDE2C3B-3C89-4374-A7E3-6E68435B4D2E}"/>
                </a:ext>
              </a:extLst>
            </xdr:cNvPr>
            <xdr:cNvPicPr/>
          </xdr:nvPicPr>
          <xdr:blipFill>
            <a:blip xmlns:r="http://schemas.openxmlformats.org/officeDocument/2006/relationships" r:embed="rId69"/>
            <a:stretch>
              <a:fillRect/>
            </a:stretch>
          </xdr:blipFill>
          <xdr:spPr>
            <a:xfrm>
              <a:off x="11383065" y="4401105"/>
              <a:ext cx="46440" cy="56160"/>
            </a:xfrm>
            <a:prstGeom prst="rect">
              <a:avLst/>
            </a:prstGeom>
          </xdr:spPr>
        </xdr:pic>
      </mc:Fallback>
    </mc:AlternateContent>
    <xdr:clientData/>
  </xdr:twoCellAnchor>
  <xdr:twoCellAnchor editAs="oneCell">
    <xdr:from>
      <xdr:col>28</xdr:col>
      <xdr:colOff>190425</xdr:colOff>
      <xdr:row>21</xdr:row>
      <xdr:rowOff>104685</xdr:rowOff>
    </xdr:from>
    <xdr:to>
      <xdr:col>28</xdr:col>
      <xdr:colOff>190785</xdr:colOff>
      <xdr:row>21</xdr:row>
      <xdr:rowOff>105045</xdr:rowOff>
    </xdr:to>
    <mc:AlternateContent xmlns:mc="http://schemas.openxmlformats.org/markup-compatibility/2006" xmlns:xdr14="http://schemas.microsoft.com/office/excel/2010/spreadsheetDrawing">
      <mc:Choice Requires="xdr14">
        <xdr:contentPart xmlns:r="http://schemas.openxmlformats.org/officeDocument/2006/relationships" r:id="rId70">
          <xdr14:nvContentPartPr>
            <xdr14:cNvPr id="8" name="Ink 7">
              <a:extLst>
                <a:ext uri="{FF2B5EF4-FFF2-40B4-BE49-F238E27FC236}">
                  <a16:creationId xmlns:a16="http://schemas.microsoft.com/office/drawing/2014/main" id="{70BBF31F-2AD6-43D7-A9E2-D0A0633460A8}"/>
                </a:ext>
              </a:extLst>
            </xdr14:cNvPr>
            <xdr14:cNvContentPartPr/>
          </xdr14:nvContentPartPr>
          <xdr14:nvPr macro=""/>
          <xdr14:xfrm>
            <a:off x="11925225" y="4105185"/>
            <a:ext cx="360" cy="360"/>
          </xdr14:xfrm>
        </xdr:contentPart>
      </mc:Choice>
      <mc:Fallback xmlns="">
        <xdr:pic>
          <xdr:nvPicPr>
            <xdr:cNvPr id="53" name="Ink 52">
              <a:extLst>
                <a:ext uri="{FF2B5EF4-FFF2-40B4-BE49-F238E27FC236}">
                  <a16:creationId xmlns:a16="http://schemas.microsoft.com/office/drawing/2014/main" id="{B4AB5DA3-F6E6-462D-AAA7-D030221C76F2}"/>
                </a:ext>
              </a:extLst>
            </xdr:cNvPr>
            <xdr:cNvPicPr/>
          </xdr:nvPicPr>
          <xdr:blipFill>
            <a:blip xmlns:r="http://schemas.openxmlformats.org/officeDocument/2006/relationships" r:embed="rId71"/>
            <a:stretch>
              <a:fillRect/>
            </a:stretch>
          </xdr:blipFill>
          <xdr:spPr>
            <a:xfrm>
              <a:off x="11916225" y="4096185"/>
              <a:ext cx="18000" cy="18000"/>
            </a:xfrm>
            <a:prstGeom prst="rect">
              <a:avLst/>
            </a:prstGeom>
          </xdr:spPr>
        </xdr:pic>
      </mc:Fallback>
    </mc:AlternateContent>
    <xdr:clientData/>
  </xdr:twoCellAnchor>
  <xdr:twoCellAnchor editAs="oneCell">
    <xdr:from>
      <xdr:col>29</xdr:col>
      <xdr:colOff>18945</xdr:colOff>
      <xdr:row>27</xdr:row>
      <xdr:rowOff>95325</xdr:rowOff>
    </xdr:from>
    <xdr:to>
      <xdr:col>29</xdr:col>
      <xdr:colOff>19305</xdr:colOff>
      <xdr:row>27</xdr:row>
      <xdr:rowOff>95685</xdr:rowOff>
    </xdr:to>
    <mc:AlternateContent xmlns:mc="http://schemas.openxmlformats.org/markup-compatibility/2006" xmlns:xdr14="http://schemas.microsoft.com/office/excel/2010/spreadsheetDrawing">
      <mc:Choice Requires="xdr14">
        <xdr:contentPart xmlns:r="http://schemas.openxmlformats.org/officeDocument/2006/relationships" r:id="rId72">
          <xdr14:nvContentPartPr>
            <xdr14:cNvPr id="9" name="Ink 8">
              <a:extLst>
                <a:ext uri="{FF2B5EF4-FFF2-40B4-BE49-F238E27FC236}">
                  <a16:creationId xmlns:a16="http://schemas.microsoft.com/office/drawing/2014/main" id="{153BC2EC-9BF1-4732-A658-114F01207D20}"/>
                </a:ext>
              </a:extLst>
            </xdr14:cNvPr>
            <xdr14:cNvContentPartPr/>
          </xdr14:nvContentPartPr>
          <xdr14:nvPr macro=""/>
          <xdr14:xfrm>
            <a:off x="12134745" y="5238825"/>
            <a:ext cx="360" cy="360"/>
          </xdr14:xfrm>
        </xdr:contentPart>
      </mc:Choice>
      <mc:Fallback xmlns="">
        <xdr:pic>
          <xdr:nvPicPr>
            <xdr:cNvPr id="54" name="Ink 53">
              <a:extLst>
                <a:ext uri="{FF2B5EF4-FFF2-40B4-BE49-F238E27FC236}">
                  <a16:creationId xmlns:a16="http://schemas.microsoft.com/office/drawing/2014/main" id="{02A672B6-EB4C-42E9-A3AF-276602C8D4EF}"/>
                </a:ext>
              </a:extLst>
            </xdr:cNvPr>
            <xdr:cNvPicPr/>
          </xdr:nvPicPr>
          <xdr:blipFill>
            <a:blip xmlns:r="http://schemas.openxmlformats.org/officeDocument/2006/relationships" r:embed="rId71"/>
            <a:stretch>
              <a:fillRect/>
            </a:stretch>
          </xdr:blipFill>
          <xdr:spPr>
            <a:xfrm>
              <a:off x="12125745" y="5229825"/>
              <a:ext cx="18000" cy="18000"/>
            </a:xfrm>
            <a:prstGeom prst="rect">
              <a:avLst/>
            </a:prstGeom>
          </xdr:spPr>
        </xdr:pic>
      </mc:Fallback>
    </mc:AlternateContent>
    <xdr:clientData/>
  </xdr:twoCellAnchor>
  <xdr:twoCellAnchor editAs="oneCell">
    <xdr:from>
      <xdr:col>34</xdr:col>
      <xdr:colOff>276075</xdr:colOff>
      <xdr:row>24</xdr:row>
      <xdr:rowOff>171465</xdr:rowOff>
    </xdr:from>
    <xdr:to>
      <xdr:col>34</xdr:col>
      <xdr:colOff>276435</xdr:colOff>
      <xdr:row>24</xdr:row>
      <xdr:rowOff>171825</xdr:rowOff>
    </xdr:to>
    <mc:AlternateContent xmlns:mc="http://schemas.openxmlformats.org/markup-compatibility/2006" xmlns:xdr14="http://schemas.microsoft.com/office/excel/2010/spreadsheetDrawing">
      <mc:Choice Requires="xdr14">
        <xdr:contentPart xmlns:r="http://schemas.openxmlformats.org/officeDocument/2006/relationships" r:id="rId73">
          <xdr14:nvContentPartPr>
            <xdr14:cNvPr id="10" name="Ink 9">
              <a:extLst>
                <a:ext uri="{FF2B5EF4-FFF2-40B4-BE49-F238E27FC236}">
                  <a16:creationId xmlns:a16="http://schemas.microsoft.com/office/drawing/2014/main" id="{C3D403E2-66CE-4EF3-A2B7-776A4097BF89}"/>
                </a:ext>
              </a:extLst>
            </xdr14:cNvPr>
            <xdr14:cNvContentPartPr/>
          </xdr14:nvContentPartPr>
          <xdr14:nvPr macro=""/>
          <xdr14:xfrm>
            <a:off x="14049225" y="4743465"/>
            <a:ext cx="360" cy="360"/>
          </xdr14:xfrm>
        </xdr:contentPart>
      </mc:Choice>
      <mc:Fallback xmlns="">
        <xdr:pic>
          <xdr:nvPicPr>
            <xdr:cNvPr id="55" name="Ink 54">
              <a:extLst>
                <a:ext uri="{FF2B5EF4-FFF2-40B4-BE49-F238E27FC236}">
                  <a16:creationId xmlns:a16="http://schemas.microsoft.com/office/drawing/2014/main" id="{68ABA6E3-942D-49B4-8FAE-45CF34819A24}"/>
                </a:ext>
              </a:extLst>
            </xdr:cNvPr>
            <xdr:cNvPicPr/>
          </xdr:nvPicPr>
          <xdr:blipFill>
            <a:blip xmlns:r="http://schemas.openxmlformats.org/officeDocument/2006/relationships" r:embed="rId71"/>
            <a:stretch>
              <a:fillRect/>
            </a:stretch>
          </xdr:blipFill>
          <xdr:spPr>
            <a:xfrm>
              <a:off x="14040225" y="4734465"/>
              <a:ext cx="18000" cy="18000"/>
            </a:xfrm>
            <a:prstGeom prst="rect">
              <a:avLst/>
            </a:prstGeom>
          </xdr:spPr>
        </xdr:pic>
      </mc:Fallback>
    </mc:AlternateContent>
    <xdr:clientData/>
  </xdr:twoCellAnchor>
</xdr:wsDr>
</file>

<file path=xl/drawings/drawing67.xml><?xml version="1.0" encoding="utf-8"?>
<xdr:wsDr xmlns:xdr="http://schemas.openxmlformats.org/drawingml/2006/spreadsheetDrawing" xmlns:a="http://schemas.openxmlformats.org/drawingml/2006/main">
  <xdr:twoCellAnchor editAs="oneCell">
    <xdr:from>
      <xdr:col>27</xdr:col>
      <xdr:colOff>190440</xdr:colOff>
      <xdr:row>8</xdr:row>
      <xdr:rowOff>0</xdr:rowOff>
    </xdr:from>
    <xdr:to>
      <xdr:col>27</xdr:col>
      <xdr:colOff>190800</xdr:colOff>
      <xdr:row>8</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CBB990B1-D141-4D8E-9FF5-1BFCB294DDEC}"/>
                </a:ext>
              </a:extLst>
            </xdr14:cNvPr>
            <xdr14:cNvContentPartPr/>
          </xdr14:nvContentPartPr>
          <xdr14:nvPr macro=""/>
          <xdr14:xfrm>
            <a:off x="11591865" y="4257825"/>
            <a:ext cx="360" cy="360"/>
          </xdr14:xfrm>
        </xdr:contentPart>
      </mc:Choice>
      <mc:Fallback xmlns="">
        <xdr:pic>
          <xdr:nvPicPr>
            <xdr:cNvPr id="40" name="Ink 39">
              <a:extLst>
                <a:ext uri="{FF2B5EF4-FFF2-40B4-BE49-F238E27FC236}">
                  <a16:creationId xmlns:a16="http://schemas.microsoft.com/office/drawing/2014/main" id="{DD68D223-85BE-4459-A03C-D5A171CEE79E}"/>
                </a:ext>
              </a:extLst>
            </xdr:cNvPr>
            <xdr:cNvPicPr/>
          </xdr:nvPicPr>
          <xdr:blipFill>
            <a:blip xmlns:r="http://schemas.openxmlformats.org/officeDocument/2006/relationships" r:embed="rId60"/>
            <a:stretch>
              <a:fillRect/>
            </a:stretch>
          </xdr:blipFill>
          <xdr:spPr>
            <a:xfrm>
              <a:off x="11587545" y="4253505"/>
              <a:ext cx="9000" cy="9000"/>
            </a:xfrm>
            <a:prstGeom prst="rect">
              <a:avLst/>
            </a:prstGeom>
          </xdr:spPr>
        </xdr:pic>
      </mc:Fallback>
    </mc:AlternateContent>
    <xdr:clientData/>
  </xdr:twoCellAnchor>
  <xdr:twoCellAnchor editAs="oneCell">
    <xdr:from>
      <xdr:col>28</xdr:col>
      <xdr:colOff>295185</xdr:colOff>
      <xdr:row>8</xdr:row>
      <xdr:rowOff>0</xdr:rowOff>
    </xdr:from>
    <xdr:to>
      <xdr:col>28</xdr:col>
      <xdr:colOff>343425</xdr:colOff>
      <xdr:row>9</xdr:row>
      <xdr:rowOff>28740</xdr:rowOff>
    </xdr:to>
    <mc:AlternateContent xmlns:mc="http://schemas.openxmlformats.org/markup-compatibility/2006" xmlns:xdr14="http://schemas.microsoft.com/office/excel/2010/spreadsheetDrawing">
      <mc:Choice Requires="xdr14">
        <xdr:contentPart xmlns:r="http://schemas.openxmlformats.org/officeDocument/2006/relationships" r:id="rId61">
          <xdr14:nvContentPartPr>
            <xdr14:cNvPr id="3" name="Ink 2">
              <a:extLst>
                <a:ext uri="{FF2B5EF4-FFF2-40B4-BE49-F238E27FC236}">
                  <a16:creationId xmlns:a16="http://schemas.microsoft.com/office/drawing/2014/main" id="{B4452EF3-F5BD-4B0A-AE51-4E64691ECF38}"/>
                </a:ext>
              </a:extLst>
            </xdr14:cNvPr>
            <xdr14:cNvContentPartPr/>
          </xdr14:nvContentPartPr>
          <xdr14:nvPr macro=""/>
          <xdr14:xfrm>
            <a:off x="12029985" y="3495705"/>
            <a:ext cx="48240" cy="219240"/>
          </xdr14:xfrm>
        </xdr:contentPart>
      </mc:Choice>
      <mc:Fallback xmlns="">
        <xdr:pic>
          <xdr:nvPicPr>
            <xdr:cNvPr id="45" name="Ink 44">
              <a:extLst>
                <a:ext uri="{FF2B5EF4-FFF2-40B4-BE49-F238E27FC236}">
                  <a16:creationId xmlns:a16="http://schemas.microsoft.com/office/drawing/2014/main" id="{E50457DB-6FB0-49FC-A276-143C3EC617BD}"/>
                </a:ext>
              </a:extLst>
            </xdr:cNvPr>
            <xdr:cNvPicPr/>
          </xdr:nvPicPr>
          <xdr:blipFill>
            <a:blip xmlns:r="http://schemas.openxmlformats.org/officeDocument/2006/relationships" r:embed="rId62"/>
            <a:stretch>
              <a:fillRect/>
            </a:stretch>
          </xdr:blipFill>
          <xdr:spPr>
            <a:xfrm>
              <a:off x="12025665" y="3491385"/>
              <a:ext cx="56880" cy="227880"/>
            </a:xfrm>
            <a:prstGeom prst="rect">
              <a:avLst/>
            </a:prstGeom>
          </xdr:spPr>
        </xdr:pic>
      </mc:Fallback>
    </mc:AlternateContent>
    <xdr:clientData/>
  </xdr:twoCellAnchor>
  <xdr:twoCellAnchor editAs="oneCell">
    <xdr:from>
      <xdr:col>21</xdr:col>
      <xdr:colOff>180825</xdr:colOff>
      <xdr:row>8</xdr:row>
      <xdr:rowOff>0</xdr:rowOff>
    </xdr:from>
    <xdr:to>
      <xdr:col>21</xdr:col>
      <xdr:colOff>181185</xdr:colOff>
      <xdr:row>8</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63">
          <xdr14:nvContentPartPr>
            <xdr14:cNvPr id="4" name="Ink 3">
              <a:extLst>
                <a:ext uri="{FF2B5EF4-FFF2-40B4-BE49-F238E27FC236}">
                  <a16:creationId xmlns:a16="http://schemas.microsoft.com/office/drawing/2014/main" id="{6CE10E29-5C85-49F1-8D69-C763DD729783}"/>
                </a:ext>
              </a:extLst>
            </xdr14:cNvPr>
            <xdr14:cNvContentPartPr/>
          </xdr14:nvContentPartPr>
          <xdr14:nvPr macro=""/>
          <xdr14:xfrm>
            <a:off x="9477225" y="2800185"/>
            <a:ext cx="360" cy="360"/>
          </xdr14:xfrm>
        </xdr:contentPart>
      </mc:Choice>
      <mc:Fallback xmlns="">
        <xdr:pic>
          <xdr:nvPicPr>
            <xdr:cNvPr id="46" name="Ink 45">
              <a:extLst>
                <a:ext uri="{FF2B5EF4-FFF2-40B4-BE49-F238E27FC236}">
                  <a16:creationId xmlns:a16="http://schemas.microsoft.com/office/drawing/2014/main" id="{44610805-10A3-42B6-B911-F889927A6193}"/>
                </a:ext>
              </a:extLst>
            </xdr:cNvPr>
            <xdr:cNvPicPr/>
          </xdr:nvPicPr>
          <xdr:blipFill>
            <a:blip xmlns:r="http://schemas.openxmlformats.org/officeDocument/2006/relationships" r:embed="rId60"/>
            <a:stretch>
              <a:fillRect/>
            </a:stretch>
          </xdr:blipFill>
          <xdr:spPr>
            <a:xfrm>
              <a:off x="9472905" y="2795865"/>
              <a:ext cx="9000" cy="9000"/>
            </a:xfrm>
            <a:prstGeom prst="rect">
              <a:avLst/>
            </a:prstGeom>
          </xdr:spPr>
        </xdr:pic>
      </mc:Fallback>
    </mc:AlternateContent>
    <xdr:clientData/>
  </xdr:twoCellAnchor>
  <xdr:twoCellAnchor editAs="oneCell">
    <xdr:from>
      <xdr:col>29</xdr:col>
      <xdr:colOff>333225</xdr:colOff>
      <xdr:row>8</xdr:row>
      <xdr:rowOff>0</xdr:rowOff>
    </xdr:from>
    <xdr:to>
      <xdr:col>29</xdr:col>
      <xdr:colOff>333585</xdr:colOff>
      <xdr:row>8</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64">
          <xdr14:nvContentPartPr>
            <xdr14:cNvPr id="5" name="Ink 4">
              <a:extLst>
                <a:ext uri="{FF2B5EF4-FFF2-40B4-BE49-F238E27FC236}">
                  <a16:creationId xmlns:a16="http://schemas.microsoft.com/office/drawing/2014/main" id="{FA20CDCB-A2C6-4E7D-8F6A-D5CE8A01B839}"/>
                </a:ext>
              </a:extLst>
            </xdr14:cNvPr>
            <xdr14:cNvContentPartPr/>
          </xdr14:nvContentPartPr>
          <xdr14:nvPr macro=""/>
          <xdr14:xfrm>
            <a:off x="12449025" y="3886305"/>
            <a:ext cx="360" cy="360"/>
          </xdr14:xfrm>
        </xdr:contentPart>
      </mc:Choice>
      <mc:Fallback xmlns="">
        <xdr:pic>
          <xdr:nvPicPr>
            <xdr:cNvPr id="50" name="Ink 49">
              <a:extLst>
                <a:ext uri="{FF2B5EF4-FFF2-40B4-BE49-F238E27FC236}">
                  <a16:creationId xmlns:a16="http://schemas.microsoft.com/office/drawing/2014/main" id="{4ECEF899-F3CD-4D8D-B908-EE30C7009075}"/>
                </a:ext>
              </a:extLst>
            </xdr:cNvPr>
            <xdr:cNvPicPr/>
          </xdr:nvPicPr>
          <xdr:blipFill>
            <a:blip xmlns:r="http://schemas.openxmlformats.org/officeDocument/2006/relationships" r:embed="rId60"/>
            <a:stretch>
              <a:fillRect/>
            </a:stretch>
          </xdr:blipFill>
          <xdr:spPr>
            <a:xfrm>
              <a:off x="12444705" y="3881985"/>
              <a:ext cx="9000" cy="9000"/>
            </a:xfrm>
            <a:prstGeom prst="rect">
              <a:avLst/>
            </a:prstGeom>
          </xdr:spPr>
        </xdr:pic>
      </mc:Fallback>
    </mc:AlternateContent>
    <xdr:clientData/>
  </xdr:twoCellAnchor>
  <xdr:twoCellAnchor editAs="oneCell">
    <xdr:from>
      <xdr:col>34</xdr:col>
      <xdr:colOff>314235</xdr:colOff>
      <xdr:row>8</xdr:row>
      <xdr:rowOff>0</xdr:rowOff>
    </xdr:from>
    <xdr:to>
      <xdr:col>34</xdr:col>
      <xdr:colOff>314595</xdr:colOff>
      <xdr:row>8</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65">
          <xdr14:nvContentPartPr>
            <xdr14:cNvPr id="6" name="Ink 5">
              <a:extLst>
                <a:ext uri="{FF2B5EF4-FFF2-40B4-BE49-F238E27FC236}">
                  <a16:creationId xmlns:a16="http://schemas.microsoft.com/office/drawing/2014/main" id="{066A4937-BA0C-46F7-8369-48670EC468E3}"/>
                </a:ext>
              </a:extLst>
            </xdr14:cNvPr>
            <xdr14:cNvContentPartPr/>
          </xdr14:nvContentPartPr>
          <xdr14:nvPr macro=""/>
          <xdr14:xfrm>
            <a:off x="14087385" y="3647985"/>
            <a:ext cx="360" cy="360"/>
          </xdr14:xfrm>
        </xdr:contentPart>
      </mc:Choice>
      <mc:Fallback xmlns="">
        <xdr:pic>
          <xdr:nvPicPr>
            <xdr:cNvPr id="51" name="Ink 50">
              <a:extLst>
                <a:ext uri="{FF2B5EF4-FFF2-40B4-BE49-F238E27FC236}">
                  <a16:creationId xmlns:a16="http://schemas.microsoft.com/office/drawing/2014/main" id="{F8C0A5B1-5C7B-467E-A6DD-EEC76AD1BA5D}"/>
                </a:ext>
              </a:extLst>
            </xdr:cNvPr>
            <xdr:cNvPicPr/>
          </xdr:nvPicPr>
          <xdr:blipFill>
            <a:blip xmlns:r="http://schemas.openxmlformats.org/officeDocument/2006/relationships" r:embed="rId60"/>
            <a:stretch>
              <a:fillRect/>
            </a:stretch>
          </xdr:blipFill>
          <xdr:spPr>
            <a:xfrm>
              <a:off x="14083065" y="3643665"/>
              <a:ext cx="9000" cy="9000"/>
            </a:xfrm>
            <a:prstGeom prst="rect">
              <a:avLst/>
            </a:prstGeom>
          </xdr:spPr>
        </xdr:pic>
      </mc:Fallback>
    </mc:AlternateContent>
    <xdr:clientData/>
  </xdr:twoCellAnchor>
  <xdr:twoCellAnchor editAs="oneCell">
    <xdr:from>
      <xdr:col>26</xdr:col>
      <xdr:colOff>324015</xdr:colOff>
      <xdr:row>8</xdr:row>
      <xdr:rowOff>0</xdr:rowOff>
    </xdr:from>
    <xdr:to>
      <xdr:col>27</xdr:col>
      <xdr:colOff>19440</xdr:colOff>
      <xdr:row>8</xdr:row>
      <xdr:rowOff>38520</xdr:rowOff>
    </xdr:to>
    <mc:AlternateContent xmlns:mc="http://schemas.openxmlformats.org/markup-compatibility/2006" xmlns:xdr14="http://schemas.microsoft.com/office/excel/2010/spreadsheetDrawing">
      <mc:Choice Requires="xdr14">
        <xdr:contentPart xmlns:r="http://schemas.openxmlformats.org/officeDocument/2006/relationships" r:id="rId66">
          <xdr14:nvContentPartPr>
            <xdr14:cNvPr id="7" name="Ink 6">
              <a:extLst>
                <a:ext uri="{FF2B5EF4-FFF2-40B4-BE49-F238E27FC236}">
                  <a16:creationId xmlns:a16="http://schemas.microsoft.com/office/drawing/2014/main" id="{ADF0AE40-82A6-4A7D-89CA-9BEBEB4DACC6}"/>
                </a:ext>
              </a:extLst>
            </xdr14:cNvPr>
            <xdr14:cNvContentPartPr/>
          </xdr14:nvContentPartPr>
          <xdr14:nvPr macro=""/>
          <xdr14:xfrm>
            <a:off x="11392065" y="4410105"/>
            <a:ext cx="28800" cy="38520"/>
          </xdr14:xfrm>
        </xdr:contentPart>
      </mc:Choice>
      <mc:Fallback xmlns="">
        <xdr:pic>
          <xdr:nvPicPr>
            <xdr:cNvPr id="52" name="Ink 51">
              <a:extLst>
                <a:ext uri="{FF2B5EF4-FFF2-40B4-BE49-F238E27FC236}">
                  <a16:creationId xmlns:a16="http://schemas.microsoft.com/office/drawing/2014/main" id="{1BDE2C3B-3C89-4374-A7E3-6E68435B4D2E}"/>
                </a:ext>
              </a:extLst>
            </xdr:cNvPr>
            <xdr:cNvPicPr/>
          </xdr:nvPicPr>
          <xdr:blipFill>
            <a:blip xmlns:r="http://schemas.openxmlformats.org/officeDocument/2006/relationships" r:embed="rId69"/>
            <a:stretch>
              <a:fillRect/>
            </a:stretch>
          </xdr:blipFill>
          <xdr:spPr>
            <a:xfrm>
              <a:off x="11383065" y="4401105"/>
              <a:ext cx="46440" cy="56160"/>
            </a:xfrm>
            <a:prstGeom prst="rect">
              <a:avLst/>
            </a:prstGeom>
          </xdr:spPr>
        </xdr:pic>
      </mc:Fallback>
    </mc:AlternateContent>
    <xdr:clientData/>
  </xdr:twoCellAnchor>
  <xdr:twoCellAnchor editAs="oneCell">
    <xdr:from>
      <xdr:col>28</xdr:col>
      <xdr:colOff>190425</xdr:colOff>
      <xdr:row>8</xdr:row>
      <xdr:rowOff>0</xdr:rowOff>
    </xdr:from>
    <xdr:to>
      <xdr:col>28</xdr:col>
      <xdr:colOff>190785</xdr:colOff>
      <xdr:row>8</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70">
          <xdr14:nvContentPartPr>
            <xdr14:cNvPr id="8" name="Ink 7">
              <a:extLst>
                <a:ext uri="{FF2B5EF4-FFF2-40B4-BE49-F238E27FC236}">
                  <a16:creationId xmlns:a16="http://schemas.microsoft.com/office/drawing/2014/main" id="{A297589F-A55B-4ED0-A847-64B0B776D5FA}"/>
                </a:ext>
              </a:extLst>
            </xdr14:cNvPr>
            <xdr14:cNvContentPartPr/>
          </xdr14:nvContentPartPr>
          <xdr14:nvPr macro=""/>
          <xdr14:xfrm>
            <a:off x="11925225" y="4105185"/>
            <a:ext cx="360" cy="360"/>
          </xdr14:xfrm>
        </xdr:contentPart>
      </mc:Choice>
      <mc:Fallback xmlns="">
        <xdr:pic>
          <xdr:nvPicPr>
            <xdr:cNvPr id="53" name="Ink 52">
              <a:extLst>
                <a:ext uri="{FF2B5EF4-FFF2-40B4-BE49-F238E27FC236}">
                  <a16:creationId xmlns:a16="http://schemas.microsoft.com/office/drawing/2014/main" id="{B4AB5DA3-F6E6-462D-AAA7-D030221C76F2}"/>
                </a:ext>
              </a:extLst>
            </xdr:cNvPr>
            <xdr:cNvPicPr/>
          </xdr:nvPicPr>
          <xdr:blipFill>
            <a:blip xmlns:r="http://schemas.openxmlformats.org/officeDocument/2006/relationships" r:embed="rId71"/>
            <a:stretch>
              <a:fillRect/>
            </a:stretch>
          </xdr:blipFill>
          <xdr:spPr>
            <a:xfrm>
              <a:off x="11916225" y="4096185"/>
              <a:ext cx="18000" cy="18000"/>
            </a:xfrm>
            <a:prstGeom prst="rect">
              <a:avLst/>
            </a:prstGeom>
          </xdr:spPr>
        </xdr:pic>
      </mc:Fallback>
    </mc:AlternateContent>
    <xdr:clientData/>
  </xdr:twoCellAnchor>
  <xdr:twoCellAnchor editAs="oneCell">
    <xdr:from>
      <xdr:col>29</xdr:col>
      <xdr:colOff>18945</xdr:colOff>
      <xdr:row>8</xdr:row>
      <xdr:rowOff>0</xdr:rowOff>
    </xdr:from>
    <xdr:to>
      <xdr:col>29</xdr:col>
      <xdr:colOff>19305</xdr:colOff>
      <xdr:row>8</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72">
          <xdr14:nvContentPartPr>
            <xdr14:cNvPr id="9" name="Ink 8">
              <a:extLst>
                <a:ext uri="{FF2B5EF4-FFF2-40B4-BE49-F238E27FC236}">
                  <a16:creationId xmlns:a16="http://schemas.microsoft.com/office/drawing/2014/main" id="{79E59311-AA30-4280-BA53-5966B33F7946}"/>
                </a:ext>
              </a:extLst>
            </xdr14:cNvPr>
            <xdr14:cNvContentPartPr/>
          </xdr14:nvContentPartPr>
          <xdr14:nvPr macro=""/>
          <xdr14:xfrm>
            <a:off x="12134745" y="5238825"/>
            <a:ext cx="360" cy="360"/>
          </xdr14:xfrm>
        </xdr:contentPart>
      </mc:Choice>
      <mc:Fallback xmlns="">
        <xdr:pic>
          <xdr:nvPicPr>
            <xdr:cNvPr id="54" name="Ink 53">
              <a:extLst>
                <a:ext uri="{FF2B5EF4-FFF2-40B4-BE49-F238E27FC236}">
                  <a16:creationId xmlns:a16="http://schemas.microsoft.com/office/drawing/2014/main" id="{02A672B6-EB4C-42E9-A3AF-276602C8D4EF}"/>
                </a:ext>
              </a:extLst>
            </xdr:cNvPr>
            <xdr:cNvPicPr/>
          </xdr:nvPicPr>
          <xdr:blipFill>
            <a:blip xmlns:r="http://schemas.openxmlformats.org/officeDocument/2006/relationships" r:embed="rId71"/>
            <a:stretch>
              <a:fillRect/>
            </a:stretch>
          </xdr:blipFill>
          <xdr:spPr>
            <a:xfrm>
              <a:off x="12125745" y="5229825"/>
              <a:ext cx="18000" cy="18000"/>
            </a:xfrm>
            <a:prstGeom prst="rect">
              <a:avLst/>
            </a:prstGeom>
          </xdr:spPr>
        </xdr:pic>
      </mc:Fallback>
    </mc:AlternateContent>
    <xdr:clientData/>
  </xdr:twoCellAnchor>
  <xdr:twoCellAnchor editAs="oneCell">
    <xdr:from>
      <xdr:col>34</xdr:col>
      <xdr:colOff>276075</xdr:colOff>
      <xdr:row>8</xdr:row>
      <xdr:rowOff>0</xdr:rowOff>
    </xdr:from>
    <xdr:to>
      <xdr:col>34</xdr:col>
      <xdr:colOff>276435</xdr:colOff>
      <xdr:row>8</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73">
          <xdr14:nvContentPartPr>
            <xdr14:cNvPr id="10" name="Ink 9">
              <a:extLst>
                <a:ext uri="{FF2B5EF4-FFF2-40B4-BE49-F238E27FC236}">
                  <a16:creationId xmlns:a16="http://schemas.microsoft.com/office/drawing/2014/main" id="{4C583C42-276D-4B7B-B631-09899151F071}"/>
                </a:ext>
              </a:extLst>
            </xdr14:cNvPr>
            <xdr14:cNvContentPartPr/>
          </xdr14:nvContentPartPr>
          <xdr14:nvPr macro=""/>
          <xdr14:xfrm>
            <a:off x="14049225" y="4743465"/>
            <a:ext cx="360" cy="360"/>
          </xdr14:xfrm>
        </xdr:contentPart>
      </mc:Choice>
      <mc:Fallback xmlns="">
        <xdr:pic>
          <xdr:nvPicPr>
            <xdr:cNvPr id="55" name="Ink 54">
              <a:extLst>
                <a:ext uri="{FF2B5EF4-FFF2-40B4-BE49-F238E27FC236}">
                  <a16:creationId xmlns:a16="http://schemas.microsoft.com/office/drawing/2014/main" id="{68ABA6E3-942D-49B4-8FAE-45CF34819A24}"/>
                </a:ext>
              </a:extLst>
            </xdr:cNvPr>
            <xdr:cNvPicPr/>
          </xdr:nvPicPr>
          <xdr:blipFill>
            <a:blip xmlns:r="http://schemas.openxmlformats.org/officeDocument/2006/relationships" r:embed="rId71"/>
            <a:stretch>
              <a:fillRect/>
            </a:stretch>
          </xdr:blipFill>
          <xdr:spPr>
            <a:xfrm>
              <a:off x="14040225" y="4734465"/>
              <a:ext cx="18000" cy="18000"/>
            </a:xfrm>
            <a:prstGeom prst="rect">
              <a:avLst/>
            </a:prstGeom>
          </xdr:spPr>
        </xdr:pic>
      </mc:Fallback>
    </mc:AlternateContent>
    <xdr:clientData/>
  </xdr:twoCellAnchor>
</xdr:wsDr>
</file>

<file path=xl/drawings/drawing7.xml><?xml version="1.0" encoding="utf-8"?>
<xdr:wsDr xmlns:xdr="http://schemas.openxmlformats.org/drawingml/2006/spreadsheetDrawing" xmlns:a="http://schemas.openxmlformats.org/drawingml/2006/main">
  <xdr:twoCellAnchor editAs="oneCell">
    <xdr:from>
      <xdr:col>27</xdr:col>
      <xdr:colOff>190440</xdr:colOff>
      <xdr:row>22</xdr:row>
      <xdr:rowOff>66825</xdr:rowOff>
    </xdr:from>
    <xdr:to>
      <xdr:col>27</xdr:col>
      <xdr:colOff>190800</xdr:colOff>
      <xdr:row>22</xdr:row>
      <xdr:rowOff>67185</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40" name="Ink 39">
              <a:extLst>
                <a:ext uri="{FF2B5EF4-FFF2-40B4-BE49-F238E27FC236}">
                  <a16:creationId xmlns:a16="http://schemas.microsoft.com/office/drawing/2014/main" id="{DD68D223-85BE-4459-A03C-D5A171CEE79E}"/>
                </a:ext>
              </a:extLst>
            </xdr14:cNvPr>
            <xdr14:cNvContentPartPr/>
          </xdr14:nvContentPartPr>
          <xdr14:nvPr macro=""/>
          <xdr14:xfrm>
            <a:off x="11591865" y="4257825"/>
            <a:ext cx="360" cy="360"/>
          </xdr14:xfrm>
        </xdr:contentPart>
      </mc:Choice>
      <mc:Fallback xmlns="">
        <xdr:pic>
          <xdr:nvPicPr>
            <xdr:cNvPr id="40" name="Ink 39">
              <a:extLst>
                <a:ext uri="{FF2B5EF4-FFF2-40B4-BE49-F238E27FC236}">
                  <a16:creationId xmlns:a16="http://schemas.microsoft.com/office/drawing/2014/main" id="{DD68D223-85BE-4459-A03C-D5A171CEE79E}"/>
                </a:ext>
              </a:extLst>
            </xdr:cNvPr>
            <xdr:cNvPicPr/>
          </xdr:nvPicPr>
          <xdr:blipFill>
            <a:blip xmlns:r="http://schemas.openxmlformats.org/officeDocument/2006/relationships" r:embed="rId60"/>
            <a:stretch>
              <a:fillRect/>
            </a:stretch>
          </xdr:blipFill>
          <xdr:spPr>
            <a:xfrm>
              <a:off x="11587545" y="4253505"/>
              <a:ext cx="9000" cy="9000"/>
            </a:xfrm>
            <a:prstGeom prst="rect">
              <a:avLst/>
            </a:prstGeom>
          </xdr:spPr>
        </xdr:pic>
      </mc:Fallback>
    </mc:AlternateContent>
    <xdr:clientData/>
  </xdr:twoCellAnchor>
  <xdr:twoCellAnchor editAs="oneCell">
    <xdr:from>
      <xdr:col>28</xdr:col>
      <xdr:colOff>295185</xdr:colOff>
      <xdr:row>18</xdr:row>
      <xdr:rowOff>66705</xdr:rowOff>
    </xdr:from>
    <xdr:to>
      <xdr:col>28</xdr:col>
      <xdr:colOff>343425</xdr:colOff>
      <xdr:row>19</xdr:row>
      <xdr:rowOff>95445</xdr:rowOff>
    </xdr:to>
    <mc:AlternateContent xmlns:mc="http://schemas.openxmlformats.org/markup-compatibility/2006" xmlns:xdr14="http://schemas.microsoft.com/office/excel/2010/spreadsheetDrawing">
      <mc:Choice Requires="xdr14">
        <xdr:contentPart xmlns:r="http://schemas.openxmlformats.org/officeDocument/2006/relationships" r:id="rId61">
          <xdr14:nvContentPartPr>
            <xdr14:cNvPr id="45" name="Ink 44">
              <a:extLst>
                <a:ext uri="{FF2B5EF4-FFF2-40B4-BE49-F238E27FC236}">
                  <a16:creationId xmlns:a16="http://schemas.microsoft.com/office/drawing/2014/main" id="{E50457DB-6FB0-49FC-A276-143C3EC617BD}"/>
                </a:ext>
              </a:extLst>
            </xdr14:cNvPr>
            <xdr14:cNvContentPartPr/>
          </xdr14:nvContentPartPr>
          <xdr14:nvPr macro=""/>
          <xdr14:xfrm>
            <a:off x="12029985" y="3495705"/>
            <a:ext cx="48240" cy="219240"/>
          </xdr14:xfrm>
        </xdr:contentPart>
      </mc:Choice>
      <mc:Fallback xmlns="">
        <xdr:pic>
          <xdr:nvPicPr>
            <xdr:cNvPr id="45" name="Ink 44">
              <a:extLst>
                <a:ext uri="{FF2B5EF4-FFF2-40B4-BE49-F238E27FC236}">
                  <a16:creationId xmlns:a16="http://schemas.microsoft.com/office/drawing/2014/main" id="{E50457DB-6FB0-49FC-A276-143C3EC617BD}"/>
                </a:ext>
              </a:extLst>
            </xdr:cNvPr>
            <xdr:cNvPicPr/>
          </xdr:nvPicPr>
          <xdr:blipFill>
            <a:blip xmlns:r="http://schemas.openxmlformats.org/officeDocument/2006/relationships" r:embed="rId62"/>
            <a:stretch>
              <a:fillRect/>
            </a:stretch>
          </xdr:blipFill>
          <xdr:spPr>
            <a:xfrm>
              <a:off x="12025665" y="3491385"/>
              <a:ext cx="56880" cy="227880"/>
            </a:xfrm>
            <a:prstGeom prst="rect">
              <a:avLst/>
            </a:prstGeom>
          </xdr:spPr>
        </xdr:pic>
      </mc:Fallback>
    </mc:AlternateContent>
    <xdr:clientData/>
  </xdr:twoCellAnchor>
  <xdr:twoCellAnchor editAs="oneCell">
    <xdr:from>
      <xdr:col>21</xdr:col>
      <xdr:colOff>180825</xdr:colOff>
      <xdr:row>14</xdr:row>
      <xdr:rowOff>133185</xdr:rowOff>
    </xdr:from>
    <xdr:to>
      <xdr:col>21</xdr:col>
      <xdr:colOff>181185</xdr:colOff>
      <xdr:row>14</xdr:row>
      <xdr:rowOff>133545</xdr:rowOff>
    </xdr:to>
    <mc:AlternateContent xmlns:mc="http://schemas.openxmlformats.org/markup-compatibility/2006" xmlns:xdr14="http://schemas.microsoft.com/office/excel/2010/spreadsheetDrawing">
      <mc:Choice Requires="xdr14">
        <xdr:contentPart xmlns:r="http://schemas.openxmlformats.org/officeDocument/2006/relationships" r:id="rId63">
          <xdr14:nvContentPartPr>
            <xdr14:cNvPr id="46" name="Ink 45">
              <a:extLst>
                <a:ext uri="{FF2B5EF4-FFF2-40B4-BE49-F238E27FC236}">
                  <a16:creationId xmlns:a16="http://schemas.microsoft.com/office/drawing/2014/main" id="{44610805-10A3-42B6-B911-F889927A6193}"/>
                </a:ext>
              </a:extLst>
            </xdr14:cNvPr>
            <xdr14:cNvContentPartPr/>
          </xdr14:nvContentPartPr>
          <xdr14:nvPr macro=""/>
          <xdr14:xfrm>
            <a:off x="9477225" y="2800185"/>
            <a:ext cx="360" cy="360"/>
          </xdr14:xfrm>
        </xdr:contentPart>
      </mc:Choice>
      <mc:Fallback xmlns="">
        <xdr:pic>
          <xdr:nvPicPr>
            <xdr:cNvPr id="46" name="Ink 45">
              <a:extLst>
                <a:ext uri="{FF2B5EF4-FFF2-40B4-BE49-F238E27FC236}">
                  <a16:creationId xmlns:a16="http://schemas.microsoft.com/office/drawing/2014/main" id="{44610805-10A3-42B6-B911-F889927A6193}"/>
                </a:ext>
              </a:extLst>
            </xdr:cNvPr>
            <xdr:cNvPicPr/>
          </xdr:nvPicPr>
          <xdr:blipFill>
            <a:blip xmlns:r="http://schemas.openxmlformats.org/officeDocument/2006/relationships" r:embed="rId60"/>
            <a:stretch>
              <a:fillRect/>
            </a:stretch>
          </xdr:blipFill>
          <xdr:spPr>
            <a:xfrm>
              <a:off x="9472905" y="2795865"/>
              <a:ext cx="9000" cy="9000"/>
            </a:xfrm>
            <a:prstGeom prst="rect">
              <a:avLst/>
            </a:prstGeom>
          </xdr:spPr>
        </xdr:pic>
      </mc:Fallback>
    </mc:AlternateContent>
    <xdr:clientData/>
  </xdr:twoCellAnchor>
  <xdr:twoCellAnchor editAs="oneCell">
    <xdr:from>
      <xdr:col>29</xdr:col>
      <xdr:colOff>333225</xdr:colOff>
      <xdr:row>20</xdr:row>
      <xdr:rowOff>76305</xdr:rowOff>
    </xdr:from>
    <xdr:to>
      <xdr:col>29</xdr:col>
      <xdr:colOff>333585</xdr:colOff>
      <xdr:row>20</xdr:row>
      <xdr:rowOff>76665</xdr:rowOff>
    </xdr:to>
    <mc:AlternateContent xmlns:mc="http://schemas.openxmlformats.org/markup-compatibility/2006" xmlns:xdr14="http://schemas.microsoft.com/office/excel/2010/spreadsheetDrawing">
      <mc:Choice Requires="xdr14">
        <xdr:contentPart xmlns:r="http://schemas.openxmlformats.org/officeDocument/2006/relationships" r:id="rId64">
          <xdr14:nvContentPartPr>
            <xdr14:cNvPr id="50" name="Ink 49">
              <a:extLst>
                <a:ext uri="{FF2B5EF4-FFF2-40B4-BE49-F238E27FC236}">
                  <a16:creationId xmlns:a16="http://schemas.microsoft.com/office/drawing/2014/main" id="{4ECEF899-F3CD-4D8D-B908-EE30C7009075}"/>
                </a:ext>
              </a:extLst>
            </xdr14:cNvPr>
            <xdr14:cNvContentPartPr/>
          </xdr14:nvContentPartPr>
          <xdr14:nvPr macro=""/>
          <xdr14:xfrm>
            <a:off x="12449025" y="3886305"/>
            <a:ext cx="360" cy="360"/>
          </xdr14:xfrm>
        </xdr:contentPart>
      </mc:Choice>
      <mc:Fallback xmlns="">
        <xdr:pic>
          <xdr:nvPicPr>
            <xdr:cNvPr id="50" name="Ink 49">
              <a:extLst>
                <a:ext uri="{FF2B5EF4-FFF2-40B4-BE49-F238E27FC236}">
                  <a16:creationId xmlns:a16="http://schemas.microsoft.com/office/drawing/2014/main" id="{4ECEF899-F3CD-4D8D-B908-EE30C7009075}"/>
                </a:ext>
              </a:extLst>
            </xdr:cNvPr>
            <xdr:cNvPicPr/>
          </xdr:nvPicPr>
          <xdr:blipFill>
            <a:blip xmlns:r="http://schemas.openxmlformats.org/officeDocument/2006/relationships" r:embed="rId60"/>
            <a:stretch>
              <a:fillRect/>
            </a:stretch>
          </xdr:blipFill>
          <xdr:spPr>
            <a:xfrm>
              <a:off x="12444705" y="3881985"/>
              <a:ext cx="9000" cy="9000"/>
            </a:xfrm>
            <a:prstGeom prst="rect">
              <a:avLst/>
            </a:prstGeom>
          </xdr:spPr>
        </xdr:pic>
      </mc:Fallback>
    </mc:AlternateContent>
    <xdr:clientData/>
  </xdr:twoCellAnchor>
  <xdr:twoCellAnchor editAs="oneCell">
    <xdr:from>
      <xdr:col>34</xdr:col>
      <xdr:colOff>314235</xdr:colOff>
      <xdr:row>19</xdr:row>
      <xdr:rowOff>28485</xdr:rowOff>
    </xdr:from>
    <xdr:to>
      <xdr:col>34</xdr:col>
      <xdr:colOff>314595</xdr:colOff>
      <xdr:row>19</xdr:row>
      <xdr:rowOff>28845</xdr:rowOff>
    </xdr:to>
    <mc:AlternateContent xmlns:mc="http://schemas.openxmlformats.org/markup-compatibility/2006" xmlns:xdr14="http://schemas.microsoft.com/office/excel/2010/spreadsheetDrawing">
      <mc:Choice Requires="xdr14">
        <xdr:contentPart xmlns:r="http://schemas.openxmlformats.org/officeDocument/2006/relationships" r:id="rId65">
          <xdr14:nvContentPartPr>
            <xdr14:cNvPr id="51" name="Ink 50">
              <a:extLst>
                <a:ext uri="{FF2B5EF4-FFF2-40B4-BE49-F238E27FC236}">
                  <a16:creationId xmlns:a16="http://schemas.microsoft.com/office/drawing/2014/main" id="{F8C0A5B1-5C7B-467E-A6DD-EEC76AD1BA5D}"/>
                </a:ext>
              </a:extLst>
            </xdr14:cNvPr>
            <xdr14:cNvContentPartPr/>
          </xdr14:nvContentPartPr>
          <xdr14:nvPr macro=""/>
          <xdr14:xfrm>
            <a:off x="14087385" y="3647985"/>
            <a:ext cx="360" cy="360"/>
          </xdr14:xfrm>
        </xdr:contentPart>
      </mc:Choice>
      <mc:Fallback xmlns="">
        <xdr:pic>
          <xdr:nvPicPr>
            <xdr:cNvPr id="51" name="Ink 50">
              <a:extLst>
                <a:ext uri="{FF2B5EF4-FFF2-40B4-BE49-F238E27FC236}">
                  <a16:creationId xmlns:a16="http://schemas.microsoft.com/office/drawing/2014/main" id="{F8C0A5B1-5C7B-467E-A6DD-EEC76AD1BA5D}"/>
                </a:ext>
              </a:extLst>
            </xdr:cNvPr>
            <xdr:cNvPicPr/>
          </xdr:nvPicPr>
          <xdr:blipFill>
            <a:blip xmlns:r="http://schemas.openxmlformats.org/officeDocument/2006/relationships" r:embed="rId60"/>
            <a:stretch>
              <a:fillRect/>
            </a:stretch>
          </xdr:blipFill>
          <xdr:spPr>
            <a:xfrm>
              <a:off x="14083065" y="3643665"/>
              <a:ext cx="9000" cy="9000"/>
            </a:xfrm>
            <a:prstGeom prst="rect">
              <a:avLst/>
            </a:prstGeom>
          </xdr:spPr>
        </xdr:pic>
      </mc:Fallback>
    </mc:AlternateContent>
    <xdr:clientData/>
  </xdr:twoCellAnchor>
  <xdr:twoCellAnchor editAs="oneCell">
    <xdr:from>
      <xdr:col>26</xdr:col>
      <xdr:colOff>324015</xdr:colOff>
      <xdr:row>23</xdr:row>
      <xdr:rowOff>28605</xdr:rowOff>
    </xdr:from>
    <xdr:to>
      <xdr:col>27</xdr:col>
      <xdr:colOff>19439</xdr:colOff>
      <xdr:row>23</xdr:row>
      <xdr:rowOff>67125</xdr:rowOff>
    </xdr:to>
    <mc:AlternateContent xmlns:mc="http://schemas.openxmlformats.org/markup-compatibility/2006" xmlns:xdr14="http://schemas.microsoft.com/office/excel/2010/spreadsheetDrawing">
      <mc:Choice Requires="xdr14">
        <xdr:contentPart xmlns:r="http://schemas.openxmlformats.org/officeDocument/2006/relationships" r:id="rId66">
          <xdr14:nvContentPartPr>
            <xdr14:cNvPr id="52" name="Ink 51">
              <a:extLst>
                <a:ext uri="{FF2B5EF4-FFF2-40B4-BE49-F238E27FC236}">
                  <a16:creationId xmlns:a16="http://schemas.microsoft.com/office/drawing/2014/main" id="{1BDE2C3B-3C89-4374-A7E3-6E68435B4D2E}"/>
                </a:ext>
              </a:extLst>
            </xdr14:cNvPr>
            <xdr14:cNvContentPartPr/>
          </xdr14:nvContentPartPr>
          <xdr14:nvPr macro=""/>
          <xdr14:xfrm>
            <a:off x="11392065" y="4410105"/>
            <a:ext cx="28800" cy="38520"/>
          </xdr14:xfrm>
        </xdr:contentPart>
      </mc:Choice>
      <mc:Fallback xmlns="">
        <xdr:pic>
          <xdr:nvPicPr>
            <xdr:cNvPr id="52" name="Ink 51">
              <a:extLst>
                <a:ext uri="{FF2B5EF4-FFF2-40B4-BE49-F238E27FC236}">
                  <a16:creationId xmlns:a16="http://schemas.microsoft.com/office/drawing/2014/main" id="{1BDE2C3B-3C89-4374-A7E3-6E68435B4D2E}"/>
                </a:ext>
              </a:extLst>
            </xdr:cNvPr>
            <xdr:cNvPicPr/>
          </xdr:nvPicPr>
          <xdr:blipFill>
            <a:blip xmlns:r="http://schemas.openxmlformats.org/officeDocument/2006/relationships" r:embed="rId69"/>
            <a:stretch>
              <a:fillRect/>
            </a:stretch>
          </xdr:blipFill>
          <xdr:spPr>
            <a:xfrm>
              <a:off x="11383065" y="4401105"/>
              <a:ext cx="46440" cy="56160"/>
            </a:xfrm>
            <a:prstGeom prst="rect">
              <a:avLst/>
            </a:prstGeom>
          </xdr:spPr>
        </xdr:pic>
      </mc:Fallback>
    </mc:AlternateContent>
    <xdr:clientData/>
  </xdr:twoCellAnchor>
  <xdr:twoCellAnchor editAs="oneCell">
    <xdr:from>
      <xdr:col>28</xdr:col>
      <xdr:colOff>190425</xdr:colOff>
      <xdr:row>21</xdr:row>
      <xdr:rowOff>104685</xdr:rowOff>
    </xdr:from>
    <xdr:to>
      <xdr:col>28</xdr:col>
      <xdr:colOff>190785</xdr:colOff>
      <xdr:row>21</xdr:row>
      <xdr:rowOff>105045</xdr:rowOff>
    </xdr:to>
    <mc:AlternateContent xmlns:mc="http://schemas.openxmlformats.org/markup-compatibility/2006" xmlns:xdr14="http://schemas.microsoft.com/office/excel/2010/spreadsheetDrawing">
      <mc:Choice Requires="xdr14">
        <xdr:contentPart xmlns:r="http://schemas.openxmlformats.org/officeDocument/2006/relationships" r:id="rId70">
          <xdr14:nvContentPartPr>
            <xdr14:cNvPr id="53" name="Ink 52">
              <a:extLst>
                <a:ext uri="{FF2B5EF4-FFF2-40B4-BE49-F238E27FC236}">
                  <a16:creationId xmlns:a16="http://schemas.microsoft.com/office/drawing/2014/main" id="{B4AB5DA3-F6E6-462D-AAA7-D030221C76F2}"/>
                </a:ext>
              </a:extLst>
            </xdr14:cNvPr>
            <xdr14:cNvContentPartPr/>
          </xdr14:nvContentPartPr>
          <xdr14:nvPr macro=""/>
          <xdr14:xfrm>
            <a:off x="11925225" y="4105185"/>
            <a:ext cx="360" cy="360"/>
          </xdr14:xfrm>
        </xdr:contentPart>
      </mc:Choice>
      <mc:Fallback xmlns="">
        <xdr:pic>
          <xdr:nvPicPr>
            <xdr:cNvPr id="53" name="Ink 52">
              <a:extLst>
                <a:ext uri="{FF2B5EF4-FFF2-40B4-BE49-F238E27FC236}">
                  <a16:creationId xmlns:a16="http://schemas.microsoft.com/office/drawing/2014/main" id="{B4AB5DA3-F6E6-462D-AAA7-D030221C76F2}"/>
                </a:ext>
              </a:extLst>
            </xdr:cNvPr>
            <xdr:cNvPicPr/>
          </xdr:nvPicPr>
          <xdr:blipFill>
            <a:blip xmlns:r="http://schemas.openxmlformats.org/officeDocument/2006/relationships" r:embed="rId71"/>
            <a:stretch>
              <a:fillRect/>
            </a:stretch>
          </xdr:blipFill>
          <xdr:spPr>
            <a:xfrm>
              <a:off x="11916225" y="4096185"/>
              <a:ext cx="18000" cy="18000"/>
            </a:xfrm>
            <a:prstGeom prst="rect">
              <a:avLst/>
            </a:prstGeom>
          </xdr:spPr>
        </xdr:pic>
      </mc:Fallback>
    </mc:AlternateContent>
    <xdr:clientData/>
  </xdr:twoCellAnchor>
  <xdr:twoCellAnchor editAs="oneCell">
    <xdr:from>
      <xdr:col>29</xdr:col>
      <xdr:colOff>18945</xdr:colOff>
      <xdr:row>27</xdr:row>
      <xdr:rowOff>95325</xdr:rowOff>
    </xdr:from>
    <xdr:to>
      <xdr:col>29</xdr:col>
      <xdr:colOff>19305</xdr:colOff>
      <xdr:row>27</xdr:row>
      <xdr:rowOff>95685</xdr:rowOff>
    </xdr:to>
    <mc:AlternateContent xmlns:mc="http://schemas.openxmlformats.org/markup-compatibility/2006" xmlns:xdr14="http://schemas.microsoft.com/office/excel/2010/spreadsheetDrawing">
      <mc:Choice Requires="xdr14">
        <xdr:contentPart xmlns:r="http://schemas.openxmlformats.org/officeDocument/2006/relationships" r:id="rId72">
          <xdr14:nvContentPartPr>
            <xdr14:cNvPr id="54" name="Ink 53">
              <a:extLst>
                <a:ext uri="{FF2B5EF4-FFF2-40B4-BE49-F238E27FC236}">
                  <a16:creationId xmlns:a16="http://schemas.microsoft.com/office/drawing/2014/main" id="{02A672B6-EB4C-42E9-A3AF-276602C8D4EF}"/>
                </a:ext>
              </a:extLst>
            </xdr14:cNvPr>
            <xdr14:cNvContentPartPr/>
          </xdr14:nvContentPartPr>
          <xdr14:nvPr macro=""/>
          <xdr14:xfrm>
            <a:off x="12134745" y="5238825"/>
            <a:ext cx="360" cy="360"/>
          </xdr14:xfrm>
        </xdr:contentPart>
      </mc:Choice>
      <mc:Fallback xmlns="">
        <xdr:pic>
          <xdr:nvPicPr>
            <xdr:cNvPr id="54" name="Ink 53">
              <a:extLst>
                <a:ext uri="{FF2B5EF4-FFF2-40B4-BE49-F238E27FC236}">
                  <a16:creationId xmlns:a16="http://schemas.microsoft.com/office/drawing/2014/main" id="{02A672B6-EB4C-42E9-A3AF-276602C8D4EF}"/>
                </a:ext>
              </a:extLst>
            </xdr:cNvPr>
            <xdr:cNvPicPr/>
          </xdr:nvPicPr>
          <xdr:blipFill>
            <a:blip xmlns:r="http://schemas.openxmlformats.org/officeDocument/2006/relationships" r:embed="rId71"/>
            <a:stretch>
              <a:fillRect/>
            </a:stretch>
          </xdr:blipFill>
          <xdr:spPr>
            <a:xfrm>
              <a:off x="12125745" y="5229825"/>
              <a:ext cx="18000" cy="18000"/>
            </a:xfrm>
            <a:prstGeom prst="rect">
              <a:avLst/>
            </a:prstGeom>
          </xdr:spPr>
        </xdr:pic>
      </mc:Fallback>
    </mc:AlternateContent>
    <xdr:clientData/>
  </xdr:twoCellAnchor>
  <xdr:twoCellAnchor editAs="oneCell">
    <xdr:from>
      <xdr:col>34</xdr:col>
      <xdr:colOff>276075</xdr:colOff>
      <xdr:row>24</xdr:row>
      <xdr:rowOff>171465</xdr:rowOff>
    </xdr:from>
    <xdr:to>
      <xdr:col>34</xdr:col>
      <xdr:colOff>276435</xdr:colOff>
      <xdr:row>24</xdr:row>
      <xdr:rowOff>171825</xdr:rowOff>
    </xdr:to>
    <mc:AlternateContent xmlns:mc="http://schemas.openxmlformats.org/markup-compatibility/2006" xmlns:xdr14="http://schemas.microsoft.com/office/excel/2010/spreadsheetDrawing">
      <mc:Choice Requires="xdr14">
        <xdr:contentPart xmlns:r="http://schemas.openxmlformats.org/officeDocument/2006/relationships" r:id="rId73">
          <xdr14:nvContentPartPr>
            <xdr14:cNvPr id="55" name="Ink 54">
              <a:extLst>
                <a:ext uri="{FF2B5EF4-FFF2-40B4-BE49-F238E27FC236}">
                  <a16:creationId xmlns:a16="http://schemas.microsoft.com/office/drawing/2014/main" id="{68ABA6E3-942D-49B4-8FAE-45CF34819A24}"/>
                </a:ext>
              </a:extLst>
            </xdr14:cNvPr>
            <xdr14:cNvContentPartPr/>
          </xdr14:nvContentPartPr>
          <xdr14:nvPr macro=""/>
          <xdr14:xfrm>
            <a:off x="14049225" y="4743465"/>
            <a:ext cx="360" cy="360"/>
          </xdr14:xfrm>
        </xdr:contentPart>
      </mc:Choice>
      <mc:Fallback xmlns="">
        <xdr:pic>
          <xdr:nvPicPr>
            <xdr:cNvPr id="55" name="Ink 54">
              <a:extLst>
                <a:ext uri="{FF2B5EF4-FFF2-40B4-BE49-F238E27FC236}">
                  <a16:creationId xmlns:a16="http://schemas.microsoft.com/office/drawing/2014/main" id="{68ABA6E3-942D-49B4-8FAE-45CF34819A24}"/>
                </a:ext>
              </a:extLst>
            </xdr:cNvPr>
            <xdr:cNvPicPr/>
          </xdr:nvPicPr>
          <xdr:blipFill>
            <a:blip xmlns:r="http://schemas.openxmlformats.org/officeDocument/2006/relationships" r:embed="rId71"/>
            <a:stretch>
              <a:fillRect/>
            </a:stretch>
          </xdr:blipFill>
          <xdr:spPr>
            <a:xfrm>
              <a:off x="14040225" y="4734465"/>
              <a:ext cx="18000" cy="18000"/>
            </a:xfrm>
            <a:prstGeom prst="rect">
              <a:avLst/>
            </a:prstGeom>
          </xdr:spPr>
        </xdr:pic>
      </mc:Fallback>
    </mc:AlternateContent>
    <xdr:clientData/>
  </xdr:twoCellAnchor>
  <xdr:twoCellAnchor>
    <xdr:from>
      <xdr:col>20</xdr:col>
      <xdr:colOff>378758</xdr:colOff>
      <xdr:row>10</xdr:row>
      <xdr:rowOff>106456</xdr:rowOff>
    </xdr:from>
    <xdr:to>
      <xdr:col>38</xdr:col>
      <xdr:colOff>23530</xdr:colOff>
      <xdr:row>34</xdr:row>
      <xdr:rowOff>154081</xdr:rowOff>
    </xdr:to>
    <xdr:graphicFrame macro="">
      <xdr:nvGraphicFramePr>
        <xdr:cNvPr id="12" name="Chart 11">
          <a:extLst>
            <a:ext uri="{FF2B5EF4-FFF2-40B4-BE49-F238E27FC236}">
              <a16:creationId xmlns:a16="http://schemas.microsoft.com/office/drawing/2014/main" id="{6079485F-61E3-4896-AD44-35D09F28B9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4</xdr:col>
      <xdr:colOff>504825</xdr:colOff>
      <xdr:row>10</xdr:row>
      <xdr:rowOff>85725</xdr:rowOff>
    </xdr:from>
    <xdr:to>
      <xdr:col>20</xdr:col>
      <xdr:colOff>35297</xdr:colOff>
      <xdr:row>34</xdr:row>
      <xdr:rowOff>133350</xdr:rowOff>
    </xdr:to>
    <xdr:graphicFrame macro="">
      <xdr:nvGraphicFramePr>
        <xdr:cNvPr id="13" name="Chart 12">
          <a:extLst>
            <a:ext uri="{FF2B5EF4-FFF2-40B4-BE49-F238E27FC236}">
              <a16:creationId xmlns:a16="http://schemas.microsoft.com/office/drawing/2014/main" id="{9A2DD4D8-C354-41F5-89AE-14C730ADDC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0.75188</cdr:x>
      <cdr:y>0.63139</cdr:y>
    </cdr:from>
    <cdr:to>
      <cdr:x>0.98682</cdr:x>
      <cdr:y>0.69219</cdr:y>
    </cdr:to>
    <cdr:sp macro="" textlink="">
      <cdr:nvSpPr>
        <cdr:cNvPr id="8" name="TextBox 1">
          <a:extLst xmlns:a="http://schemas.openxmlformats.org/drawingml/2006/main">
            <a:ext uri="{FF2B5EF4-FFF2-40B4-BE49-F238E27FC236}">
              <a16:creationId xmlns:a16="http://schemas.microsoft.com/office/drawing/2014/main" id="{667A952A-D507-4E13-B5C4-C84D92D0DB94}"/>
            </a:ext>
          </a:extLst>
        </cdr:cNvPr>
        <cdr:cNvSpPr txBox="1"/>
      </cdr:nvSpPr>
      <cdr:spPr>
        <a:xfrm xmlns:a="http://schemas.openxmlformats.org/drawingml/2006/main">
          <a:off x="4602817" y="2916785"/>
          <a:ext cx="1438275" cy="28087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400"/>
            </a:lnSpc>
          </a:pPr>
          <a:r>
            <a:rPr lang="en-US" sz="1400" b="1">
              <a:solidFill>
                <a:srgbClr val="1F7B91"/>
              </a:solidFill>
              <a:latin typeface="Arial" panose="020B0604020202020204" pitchFamily="34" charset="0"/>
              <a:cs typeface="Arial" panose="020B0604020202020204" pitchFamily="34" charset="0"/>
            </a:rPr>
            <a:t>Cumulative</a:t>
          </a:r>
          <a:r>
            <a:rPr lang="en-US" sz="1400" b="1" baseline="0">
              <a:solidFill>
                <a:srgbClr val="1F7B91"/>
              </a:solidFill>
              <a:latin typeface="Arial" panose="020B0604020202020204" pitchFamily="34" charset="0"/>
              <a:cs typeface="Arial" panose="020B0604020202020204" pitchFamily="34" charset="0"/>
            </a:rPr>
            <a:t> share of federal taxes</a:t>
          </a:r>
          <a:endParaRPr lang="en-US" sz="1400" b="1">
            <a:solidFill>
              <a:srgbClr val="1F7B9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0.54597</cdr:x>
      <cdr:y>0.69279</cdr:y>
    </cdr:from>
    <cdr:to>
      <cdr:x>0.7138</cdr:x>
      <cdr:y>0.76169</cdr:y>
    </cdr:to>
    <cdr:sp macro="" textlink="">
      <cdr:nvSpPr>
        <cdr:cNvPr id="9" name="TextBox 1">
          <a:extLst xmlns:a="http://schemas.openxmlformats.org/drawingml/2006/main">
            <a:ext uri="{FF2B5EF4-FFF2-40B4-BE49-F238E27FC236}">
              <a16:creationId xmlns:a16="http://schemas.microsoft.com/office/drawing/2014/main" id="{3DD8D46D-9A6B-4F3A-B422-A2717F264A21}"/>
            </a:ext>
          </a:extLst>
        </cdr:cNvPr>
        <cdr:cNvSpPr txBox="1"/>
      </cdr:nvSpPr>
      <cdr:spPr>
        <a:xfrm xmlns:a="http://schemas.openxmlformats.org/drawingml/2006/main">
          <a:off x="3342312" y="3200410"/>
          <a:ext cx="1027417" cy="31829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solidFill>
                <a:srgbClr val="1F7B91"/>
              </a:solidFill>
              <a:effectLst/>
              <a:latin typeface="Arial" panose="020B0604020202020204" pitchFamily="34" charset="0"/>
              <a:ea typeface="+mn-ea"/>
              <a:cs typeface="Arial" panose="020B0604020202020204" pitchFamily="34" charset="0"/>
            </a:rPr>
            <a:t>Kakwani index</a:t>
          </a:r>
          <a:endParaRPr lang="en-US" sz="1100" b="1">
            <a:solidFill>
              <a:srgbClr val="1F7B9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0.54753</cdr:x>
      <cdr:y>0.49274</cdr:y>
    </cdr:from>
    <cdr:to>
      <cdr:x>0.7309</cdr:x>
      <cdr:y>0.55865</cdr:y>
    </cdr:to>
    <cdr:sp macro="" textlink="">
      <cdr:nvSpPr>
        <cdr:cNvPr id="10" name="TextBox 1">
          <a:extLst xmlns:a="http://schemas.openxmlformats.org/drawingml/2006/main">
            <a:ext uri="{FF2B5EF4-FFF2-40B4-BE49-F238E27FC236}">
              <a16:creationId xmlns:a16="http://schemas.microsoft.com/office/drawing/2014/main" id="{EEFC3946-31B0-4B0E-8EF1-05D7B4A4B0DA}"/>
            </a:ext>
          </a:extLst>
        </cdr:cNvPr>
        <cdr:cNvSpPr txBox="1"/>
      </cdr:nvSpPr>
      <cdr:spPr>
        <a:xfrm xmlns:a="http://schemas.openxmlformats.org/drawingml/2006/main">
          <a:off x="3352800" y="2276288"/>
          <a:ext cx="1122836" cy="3044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200"/>
            </a:lnSpc>
          </a:pPr>
          <a:r>
            <a:rPr lang="en-US" sz="1200" b="1">
              <a:solidFill>
                <a:srgbClr val="792B36"/>
              </a:solidFill>
              <a:effectLst/>
              <a:latin typeface="Arial" panose="020B0604020202020204" pitchFamily="34" charset="0"/>
              <a:ea typeface="+mn-ea"/>
              <a:cs typeface="Arial" panose="020B0604020202020204" pitchFamily="34" charset="0"/>
            </a:rPr>
            <a:t>Gini coefficient</a:t>
          </a:r>
          <a:endParaRPr lang="en-US" sz="1200" b="1">
            <a:solidFill>
              <a:srgbClr val="792B36"/>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0.58953</cdr:x>
      <cdr:y>0.34809</cdr:y>
    </cdr:from>
    <cdr:to>
      <cdr:x>0.85361</cdr:x>
      <cdr:y>0.41685</cdr:y>
    </cdr:to>
    <cdr:sp macro="" textlink="">
      <cdr:nvSpPr>
        <cdr:cNvPr id="11" name="TextBox 1">
          <a:extLst xmlns:a="http://schemas.openxmlformats.org/drawingml/2006/main">
            <a:ext uri="{FF2B5EF4-FFF2-40B4-BE49-F238E27FC236}">
              <a16:creationId xmlns:a16="http://schemas.microsoft.com/office/drawing/2014/main" id="{FDE74DD3-2E65-4728-BB07-5ED547CDE84E}"/>
            </a:ext>
          </a:extLst>
        </cdr:cNvPr>
        <cdr:cNvSpPr txBox="1"/>
      </cdr:nvSpPr>
      <cdr:spPr>
        <a:xfrm xmlns:a="http://schemas.openxmlformats.org/drawingml/2006/main">
          <a:off x="3608968" y="1608044"/>
          <a:ext cx="1616638" cy="3176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400"/>
            </a:lnSpc>
          </a:pPr>
          <a:r>
            <a:rPr lang="en-US" sz="1400" b="1">
              <a:solidFill>
                <a:srgbClr val="792B36"/>
              </a:solidFill>
              <a:latin typeface="Arial" panose="020B0604020202020204" pitchFamily="34" charset="0"/>
              <a:cs typeface="Arial" panose="020B0604020202020204" pitchFamily="34" charset="0"/>
            </a:rPr>
            <a:t>Cumulative</a:t>
          </a:r>
          <a:r>
            <a:rPr lang="en-US" sz="1400" b="1" baseline="0">
              <a:solidFill>
                <a:srgbClr val="792B36"/>
              </a:solidFill>
              <a:latin typeface="Arial" panose="020B0604020202020204" pitchFamily="34" charset="0"/>
              <a:cs typeface="Arial" panose="020B0604020202020204" pitchFamily="34" charset="0"/>
            </a:rPr>
            <a:t> share of income</a:t>
          </a:r>
          <a:endParaRPr lang="en-US" sz="1400" b="1">
            <a:solidFill>
              <a:srgbClr val="792B36"/>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0.56583</cdr:x>
      <cdr:y>0.44622</cdr:y>
    </cdr:from>
    <cdr:to>
      <cdr:x>0.56782</cdr:x>
      <cdr:y>0.70952</cdr:y>
    </cdr:to>
    <cdr:cxnSp macro="">
      <cdr:nvCxnSpPr>
        <cdr:cNvPr id="6" name="Straight Arrow Connector 5">
          <a:extLst xmlns:a="http://schemas.openxmlformats.org/drawingml/2006/main">
            <a:ext uri="{FF2B5EF4-FFF2-40B4-BE49-F238E27FC236}">
              <a16:creationId xmlns:a16="http://schemas.microsoft.com/office/drawing/2014/main" id="{8AC52171-5AB9-428A-911A-22900185C285}"/>
            </a:ext>
          </a:extLst>
        </cdr:cNvPr>
        <cdr:cNvCxnSpPr/>
      </cdr:nvCxnSpPr>
      <cdr:spPr>
        <a:xfrm xmlns:a="http://schemas.openxmlformats.org/drawingml/2006/main">
          <a:off x="3463882" y="2061369"/>
          <a:ext cx="12183" cy="1216351"/>
        </a:xfrm>
        <a:prstGeom xmlns:a="http://schemas.openxmlformats.org/drawingml/2006/main" prst="straightConnector1">
          <a:avLst/>
        </a:prstGeom>
        <a:ln xmlns:a="http://schemas.openxmlformats.org/drawingml/2006/main" w="22225">
          <a:solidFill>
            <a:srgbClr val="A03A49"/>
          </a:solidFill>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0.75908</cdr:x>
      <cdr:y>0.43505</cdr:y>
    </cdr:from>
    <cdr:to>
      <cdr:x>0.78912</cdr:x>
      <cdr:y>0.48459</cdr:y>
    </cdr:to>
    <cdr:cxnSp macro="">
      <cdr:nvCxnSpPr>
        <cdr:cNvPr id="7" name="Straight Arrow Connector 6">
          <a:extLst xmlns:a="http://schemas.openxmlformats.org/drawingml/2006/main">
            <a:ext uri="{FF2B5EF4-FFF2-40B4-BE49-F238E27FC236}">
              <a16:creationId xmlns:a16="http://schemas.microsoft.com/office/drawing/2014/main" id="{1B7FDF38-CDE0-40CF-B22E-7CC5C63BE20E}"/>
            </a:ext>
          </a:extLst>
        </cdr:cNvPr>
        <cdr:cNvCxnSpPr/>
      </cdr:nvCxnSpPr>
      <cdr:spPr>
        <a:xfrm xmlns:a="http://schemas.openxmlformats.org/drawingml/2006/main">
          <a:off x="4648200" y="2009776"/>
          <a:ext cx="183912" cy="228860"/>
        </a:xfrm>
        <a:prstGeom xmlns:a="http://schemas.openxmlformats.org/drawingml/2006/main" prst="straightConnector1">
          <a:avLst/>
        </a:prstGeom>
        <a:ln xmlns:a="http://schemas.openxmlformats.org/drawingml/2006/main" w="19050">
          <a:solidFill>
            <a:srgbClr val="A03A49"/>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0.56599</cdr:x>
      <cdr:y>0.71922</cdr:y>
    </cdr:from>
    <cdr:to>
      <cdr:x>0.56629</cdr:x>
      <cdr:y>0.81096</cdr:y>
    </cdr:to>
    <cdr:cxnSp macro="">
      <cdr:nvCxnSpPr>
        <cdr:cNvPr id="12" name="Straight Arrow Connector 11">
          <a:extLst xmlns:a="http://schemas.openxmlformats.org/drawingml/2006/main">
            <a:ext uri="{FF2B5EF4-FFF2-40B4-BE49-F238E27FC236}">
              <a16:creationId xmlns:a16="http://schemas.microsoft.com/office/drawing/2014/main" id="{AFFC6FF4-E986-414B-A724-486406F9C229}"/>
            </a:ext>
          </a:extLst>
        </cdr:cNvPr>
        <cdr:cNvCxnSpPr/>
      </cdr:nvCxnSpPr>
      <cdr:spPr>
        <a:xfrm xmlns:a="http://schemas.openxmlformats.org/drawingml/2006/main">
          <a:off x="3464859" y="3322544"/>
          <a:ext cx="1839" cy="423787"/>
        </a:xfrm>
        <a:prstGeom xmlns:a="http://schemas.openxmlformats.org/drawingml/2006/main" prst="straightConnector1">
          <a:avLst/>
        </a:prstGeom>
        <a:ln xmlns:a="http://schemas.openxmlformats.org/drawingml/2006/main" w="22225">
          <a:solidFill>
            <a:srgbClr val="1F7B91"/>
          </a:solidFill>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0.83956</cdr:x>
      <cdr:y>0.57544</cdr:y>
    </cdr:from>
    <cdr:to>
      <cdr:x>0.87013</cdr:x>
      <cdr:y>0.63469</cdr:y>
    </cdr:to>
    <cdr:cxnSp macro="">
      <cdr:nvCxnSpPr>
        <cdr:cNvPr id="13" name="Straight Arrow Connector 12">
          <a:extLst xmlns:a="http://schemas.openxmlformats.org/drawingml/2006/main">
            <a:ext uri="{FF2B5EF4-FFF2-40B4-BE49-F238E27FC236}">
              <a16:creationId xmlns:a16="http://schemas.microsoft.com/office/drawing/2014/main" id="{BCB768BC-9E08-4BB1-B51C-11814BB7542F}"/>
            </a:ext>
          </a:extLst>
        </cdr:cNvPr>
        <cdr:cNvCxnSpPr/>
      </cdr:nvCxnSpPr>
      <cdr:spPr>
        <a:xfrm xmlns:a="http://schemas.openxmlformats.org/drawingml/2006/main" flipH="1" flipV="1">
          <a:off x="5139597" y="2658331"/>
          <a:ext cx="187120" cy="273688"/>
        </a:xfrm>
        <a:prstGeom xmlns:a="http://schemas.openxmlformats.org/drawingml/2006/main" prst="straightConnector1">
          <a:avLst/>
        </a:prstGeom>
        <a:ln xmlns:a="http://schemas.openxmlformats.org/drawingml/2006/main" w="19050">
          <a:solidFill>
            <a:srgbClr val="1F7B9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xml><?xml version="1.0" encoding="utf-8"?>
<c:userShapes xmlns:c="http://schemas.openxmlformats.org/drawingml/2006/chart">
  <cdr:relSizeAnchor xmlns:cdr="http://schemas.openxmlformats.org/drawingml/2006/chartDrawing">
    <cdr:from>
      <cdr:x>0.75188</cdr:x>
      <cdr:y>0.63139</cdr:y>
    </cdr:from>
    <cdr:to>
      <cdr:x>0.98682</cdr:x>
      <cdr:y>0.69219</cdr:y>
    </cdr:to>
    <cdr:sp macro="" textlink="">
      <cdr:nvSpPr>
        <cdr:cNvPr id="8" name="TextBox 1">
          <a:extLst xmlns:a="http://schemas.openxmlformats.org/drawingml/2006/main">
            <a:ext uri="{FF2B5EF4-FFF2-40B4-BE49-F238E27FC236}">
              <a16:creationId xmlns:a16="http://schemas.microsoft.com/office/drawing/2014/main" id="{667A952A-D507-4E13-B5C4-C84D92D0DB94}"/>
            </a:ext>
          </a:extLst>
        </cdr:cNvPr>
        <cdr:cNvSpPr txBox="1"/>
      </cdr:nvSpPr>
      <cdr:spPr>
        <a:xfrm xmlns:a="http://schemas.openxmlformats.org/drawingml/2006/main">
          <a:off x="4602817" y="2916785"/>
          <a:ext cx="1438275" cy="28087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400"/>
            </a:lnSpc>
          </a:pPr>
          <a:r>
            <a:rPr lang="en-US" sz="1400" b="1">
              <a:solidFill>
                <a:sysClr val="windowText" lastClr="000000"/>
              </a:solidFill>
              <a:latin typeface="Arial" panose="020B0604020202020204" pitchFamily="34" charset="0"/>
              <a:cs typeface="Arial" panose="020B0604020202020204" pitchFamily="34" charset="0"/>
            </a:rPr>
            <a:t>Cumulative</a:t>
          </a:r>
          <a:r>
            <a:rPr lang="en-US" sz="1400" b="1" baseline="0">
              <a:solidFill>
                <a:sysClr val="windowText" lastClr="000000"/>
              </a:solidFill>
              <a:latin typeface="Arial" panose="020B0604020202020204" pitchFamily="34" charset="0"/>
              <a:cs typeface="Arial" panose="020B0604020202020204" pitchFamily="34" charset="0"/>
            </a:rPr>
            <a:t> share of federal taxes</a:t>
          </a:r>
          <a:endParaRPr lang="en-US" sz="1400" b="1">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0.56791</cdr:x>
      <cdr:y>0.69036</cdr:y>
    </cdr:from>
    <cdr:to>
      <cdr:x>0.70831</cdr:x>
      <cdr:y>0.75926</cdr:y>
    </cdr:to>
    <cdr:sp macro="" textlink="">
      <cdr:nvSpPr>
        <cdr:cNvPr id="9" name="TextBox 1">
          <a:extLst xmlns:a="http://schemas.openxmlformats.org/drawingml/2006/main">
            <a:ext uri="{FF2B5EF4-FFF2-40B4-BE49-F238E27FC236}">
              <a16:creationId xmlns:a16="http://schemas.microsoft.com/office/drawing/2014/main" id="{3DD8D46D-9A6B-4F3A-B422-A2717F264A21}"/>
            </a:ext>
          </a:extLst>
        </cdr:cNvPr>
        <cdr:cNvSpPr txBox="1"/>
      </cdr:nvSpPr>
      <cdr:spPr>
        <a:xfrm xmlns:a="http://schemas.openxmlformats.org/drawingml/2006/main">
          <a:off x="3476625" y="3189204"/>
          <a:ext cx="859487" cy="31829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lnSpc>
              <a:spcPts val="1100"/>
            </a:lnSpc>
          </a:pPr>
          <a:r>
            <a:rPr lang="en-US" sz="1100" b="1">
              <a:solidFill>
                <a:sysClr val="windowText" lastClr="000000"/>
              </a:solidFill>
              <a:effectLst/>
              <a:latin typeface="Arial" panose="020B0604020202020204" pitchFamily="34" charset="0"/>
              <a:ea typeface="+mn-ea"/>
              <a:cs typeface="Arial" panose="020B0604020202020204" pitchFamily="34" charset="0"/>
            </a:rPr>
            <a:t>Kakwani  </a:t>
          </a:r>
        </a:p>
        <a:p xmlns:a="http://schemas.openxmlformats.org/drawingml/2006/main">
          <a:pPr algn="l">
            <a:lnSpc>
              <a:spcPts val="1100"/>
            </a:lnSpc>
          </a:pPr>
          <a:r>
            <a:rPr lang="en-US" sz="900" b="1">
              <a:solidFill>
                <a:sysClr val="windowText" lastClr="000000"/>
              </a:solidFill>
              <a:effectLst/>
              <a:latin typeface="Arial" panose="020B0604020202020204" pitchFamily="34" charset="0"/>
              <a:ea typeface="+mn-ea"/>
              <a:cs typeface="Arial" panose="020B0604020202020204" pitchFamily="34" charset="0"/>
            </a:rPr>
            <a:t> </a:t>
          </a:r>
          <a:r>
            <a:rPr lang="en-US" sz="900" b="1" baseline="0">
              <a:solidFill>
                <a:sysClr val="windowText" lastClr="000000"/>
              </a:solidFill>
              <a:effectLst/>
              <a:latin typeface="Arial" panose="020B0604020202020204" pitchFamily="34" charset="0"/>
              <a:ea typeface="+mn-ea"/>
              <a:cs typeface="Arial" panose="020B0604020202020204" pitchFamily="34" charset="0"/>
            </a:rPr>
            <a:t> </a:t>
          </a:r>
          <a:r>
            <a:rPr lang="en-US" sz="1100" b="1">
              <a:solidFill>
                <a:sysClr val="windowText" lastClr="000000"/>
              </a:solidFill>
              <a:effectLst/>
              <a:latin typeface="Arial" panose="020B0604020202020204" pitchFamily="34" charset="0"/>
              <a:ea typeface="+mn-ea"/>
              <a:cs typeface="Arial" panose="020B0604020202020204" pitchFamily="34" charset="0"/>
            </a:rPr>
            <a:t>index</a:t>
          </a:r>
          <a:endParaRPr lang="en-US" sz="1100" b="1">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0.54753</cdr:x>
      <cdr:y>0.49274</cdr:y>
    </cdr:from>
    <cdr:to>
      <cdr:x>0.7309</cdr:x>
      <cdr:y>0.55865</cdr:y>
    </cdr:to>
    <cdr:sp macro="" textlink="">
      <cdr:nvSpPr>
        <cdr:cNvPr id="10" name="TextBox 1">
          <a:extLst xmlns:a="http://schemas.openxmlformats.org/drawingml/2006/main">
            <a:ext uri="{FF2B5EF4-FFF2-40B4-BE49-F238E27FC236}">
              <a16:creationId xmlns:a16="http://schemas.microsoft.com/office/drawing/2014/main" id="{EEFC3946-31B0-4B0E-8EF1-05D7B4A4B0DA}"/>
            </a:ext>
          </a:extLst>
        </cdr:cNvPr>
        <cdr:cNvSpPr txBox="1"/>
      </cdr:nvSpPr>
      <cdr:spPr>
        <a:xfrm xmlns:a="http://schemas.openxmlformats.org/drawingml/2006/main">
          <a:off x="3352800" y="2276288"/>
          <a:ext cx="1122836" cy="3044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200"/>
            </a:lnSpc>
          </a:pPr>
          <a:r>
            <a:rPr lang="en-US" sz="1200" b="1">
              <a:solidFill>
                <a:schemeClr val="tx1">
                  <a:lumMod val="65000"/>
                  <a:lumOff val="35000"/>
                </a:schemeClr>
              </a:solidFill>
              <a:effectLst/>
              <a:latin typeface="Arial" panose="020B0604020202020204" pitchFamily="34" charset="0"/>
              <a:ea typeface="+mn-ea"/>
              <a:cs typeface="Arial" panose="020B0604020202020204" pitchFamily="34" charset="0"/>
            </a:rPr>
            <a:t>Gini coefficient</a:t>
          </a:r>
          <a:endParaRPr lang="en-US" sz="1200" b="1">
            <a:solidFill>
              <a:schemeClr val="tx1">
                <a:lumMod val="65000"/>
                <a:lumOff val="35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0.58953</cdr:x>
      <cdr:y>0.34809</cdr:y>
    </cdr:from>
    <cdr:to>
      <cdr:x>0.85361</cdr:x>
      <cdr:y>0.41685</cdr:y>
    </cdr:to>
    <cdr:sp macro="" textlink="">
      <cdr:nvSpPr>
        <cdr:cNvPr id="11" name="TextBox 1">
          <a:extLst xmlns:a="http://schemas.openxmlformats.org/drawingml/2006/main">
            <a:ext uri="{FF2B5EF4-FFF2-40B4-BE49-F238E27FC236}">
              <a16:creationId xmlns:a16="http://schemas.microsoft.com/office/drawing/2014/main" id="{FDE74DD3-2E65-4728-BB07-5ED547CDE84E}"/>
            </a:ext>
          </a:extLst>
        </cdr:cNvPr>
        <cdr:cNvSpPr txBox="1"/>
      </cdr:nvSpPr>
      <cdr:spPr>
        <a:xfrm xmlns:a="http://schemas.openxmlformats.org/drawingml/2006/main">
          <a:off x="3608968" y="1608044"/>
          <a:ext cx="1616638" cy="3176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400"/>
            </a:lnSpc>
          </a:pPr>
          <a:r>
            <a:rPr lang="en-US" sz="1400" b="1">
              <a:solidFill>
                <a:schemeClr val="tx1">
                  <a:lumMod val="65000"/>
                  <a:lumOff val="35000"/>
                </a:schemeClr>
              </a:solidFill>
              <a:latin typeface="Arial" panose="020B0604020202020204" pitchFamily="34" charset="0"/>
              <a:cs typeface="Arial" panose="020B0604020202020204" pitchFamily="34" charset="0"/>
            </a:rPr>
            <a:t>Cumulative</a:t>
          </a:r>
          <a:r>
            <a:rPr lang="en-US" sz="1400" b="1" baseline="0">
              <a:solidFill>
                <a:schemeClr val="tx1">
                  <a:lumMod val="65000"/>
                  <a:lumOff val="35000"/>
                </a:schemeClr>
              </a:solidFill>
              <a:latin typeface="Arial" panose="020B0604020202020204" pitchFamily="34" charset="0"/>
              <a:cs typeface="Arial" panose="020B0604020202020204" pitchFamily="34" charset="0"/>
            </a:rPr>
            <a:t> share of income</a:t>
          </a:r>
          <a:endParaRPr lang="en-US" sz="1400" b="1">
            <a:solidFill>
              <a:schemeClr val="tx1">
                <a:lumMod val="65000"/>
                <a:lumOff val="35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0.56583</cdr:x>
      <cdr:y>0.44622</cdr:y>
    </cdr:from>
    <cdr:to>
      <cdr:x>0.56583</cdr:x>
      <cdr:y>0.70333</cdr:y>
    </cdr:to>
    <cdr:cxnSp macro="">
      <cdr:nvCxnSpPr>
        <cdr:cNvPr id="6" name="Straight Arrow Connector 5">
          <a:extLst xmlns:a="http://schemas.openxmlformats.org/drawingml/2006/main">
            <a:ext uri="{FF2B5EF4-FFF2-40B4-BE49-F238E27FC236}">
              <a16:creationId xmlns:a16="http://schemas.microsoft.com/office/drawing/2014/main" id="{8AC52171-5AB9-428A-911A-22900185C285}"/>
            </a:ext>
          </a:extLst>
        </cdr:cNvPr>
        <cdr:cNvCxnSpPr/>
      </cdr:nvCxnSpPr>
      <cdr:spPr>
        <a:xfrm xmlns:a="http://schemas.openxmlformats.org/drawingml/2006/main">
          <a:off x="3464859" y="2061382"/>
          <a:ext cx="0" cy="1187721"/>
        </a:xfrm>
        <a:prstGeom xmlns:a="http://schemas.openxmlformats.org/drawingml/2006/main" prst="straightConnector1">
          <a:avLst/>
        </a:prstGeom>
        <a:ln xmlns:a="http://schemas.openxmlformats.org/drawingml/2006/main" w="22225">
          <a:solidFill>
            <a:schemeClr val="tx1">
              <a:lumMod val="50000"/>
              <a:lumOff val="50000"/>
            </a:schemeClr>
          </a:solidFill>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0.75908</cdr:x>
      <cdr:y>0.43505</cdr:y>
    </cdr:from>
    <cdr:to>
      <cdr:x>0.78912</cdr:x>
      <cdr:y>0.48459</cdr:y>
    </cdr:to>
    <cdr:cxnSp macro="">
      <cdr:nvCxnSpPr>
        <cdr:cNvPr id="7" name="Straight Arrow Connector 6">
          <a:extLst xmlns:a="http://schemas.openxmlformats.org/drawingml/2006/main">
            <a:ext uri="{FF2B5EF4-FFF2-40B4-BE49-F238E27FC236}">
              <a16:creationId xmlns:a16="http://schemas.microsoft.com/office/drawing/2014/main" id="{1B7FDF38-CDE0-40CF-B22E-7CC5C63BE20E}"/>
            </a:ext>
          </a:extLst>
        </cdr:cNvPr>
        <cdr:cNvCxnSpPr/>
      </cdr:nvCxnSpPr>
      <cdr:spPr>
        <a:xfrm xmlns:a="http://schemas.openxmlformats.org/drawingml/2006/main">
          <a:off x="4648200" y="2009776"/>
          <a:ext cx="183912" cy="228860"/>
        </a:xfrm>
        <a:prstGeom xmlns:a="http://schemas.openxmlformats.org/drawingml/2006/main" prst="straightConnector1">
          <a:avLst/>
        </a:prstGeom>
        <a:ln xmlns:a="http://schemas.openxmlformats.org/drawingml/2006/main" w="19050">
          <a:solidFill>
            <a:schemeClr val="tx1">
              <a:lumMod val="50000"/>
              <a:lumOff val="50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0.56785</cdr:x>
      <cdr:y>0.71632</cdr:y>
    </cdr:from>
    <cdr:to>
      <cdr:x>0.56785</cdr:x>
      <cdr:y>0.81508</cdr:y>
    </cdr:to>
    <cdr:cxnSp macro="">
      <cdr:nvCxnSpPr>
        <cdr:cNvPr id="12" name="Straight Arrow Connector 11">
          <a:extLst xmlns:a="http://schemas.openxmlformats.org/drawingml/2006/main">
            <a:ext uri="{FF2B5EF4-FFF2-40B4-BE49-F238E27FC236}">
              <a16:creationId xmlns:a16="http://schemas.microsoft.com/office/drawing/2014/main" id="{AFFC6FF4-E986-414B-A724-486406F9C229}"/>
            </a:ext>
          </a:extLst>
        </cdr:cNvPr>
        <cdr:cNvCxnSpPr/>
      </cdr:nvCxnSpPr>
      <cdr:spPr>
        <a:xfrm xmlns:a="http://schemas.openxmlformats.org/drawingml/2006/main">
          <a:off x="3477179" y="3309109"/>
          <a:ext cx="0" cy="456274"/>
        </a:xfrm>
        <a:prstGeom xmlns:a="http://schemas.openxmlformats.org/drawingml/2006/main" prst="straightConnector1">
          <a:avLst/>
        </a:prstGeom>
        <a:ln xmlns:a="http://schemas.openxmlformats.org/drawingml/2006/main" w="22225">
          <a:solidFill>
            <a:schemeClr val="tx1"/>
          </a:solidFill>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0.83956</cdr:x>
      <cdr:y>0.57544</cdr:y>
    </cdr:from>
    <cdr:to>
      <cdr:x>0.87013</cdr:x>
      <cdr:y>0.63469</cdr:y>
    </cdr:to>
    <cdr:cxnSp macro="">
      <cdr:nvCxnSpPr>
        <cdr:cNvPr id="13" name="Straight Arrow Connector 12">
          <a:extLst xmlns:a="http://schemas.openxmlformats.org/drawingml/2006/main">
            <a:ext uri="{FF2B5EF4-FFF2-40B4-BE49-F238E27FC236}">
              <a16:creationId xmlns:a16="http://schemas.microsoft.com/office/drawing/2014/main" id="{BCB768BC-9E08-4BB1-B51C-11814BB7542F}"/>
            </a:ext>
          </a:extLst>
        </cdr:cNvPr>
        <cdr:cNvCxnSpPr/>
      </cdr:nvCxnSpPr>
      <cdr:spPr>
        <a:xfrm xmlns:a="http://schemas.openxmlformats.org/drawingml/2006/main" flipH="1" flipV="1">
          <a:off x="5139597" y="2658331"/>
          <a:ext cx="187120" cy="273688"/>
        </a:xfrm>
        <a:prstGeom xmlns:a="http://schemas.openxmlformats.org/drawingml/2006/main" prst="straightConnector1">
          <a:avLst/>
        </a:prstGeom>
        <a:ln xmlns:a="http://schemas.openxmlformats.org/drawingml/2006/main" w="19050">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Splinter.David/Private/Auten-Misuse%20of%20Tax%20Data%20for%20Inequality/AutenSplinter-Calculations52c-Result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1"/>
      <sheetName val="T-2"/>
      <sheetName val="T-3"/>
      <sheetName val="T-4"/>
      <sheetName val="T-5"/>
      <sheetName val="F-1"/>
      <sheetName val="F-2"/>
      <sheetName val="F-3"/>
      <sheetName val="F-4"/>
      <sheetName val="F-5"/>
      <sheetName val="T-A1"/>
      <sheetName val="F-A1"/>
      <sheetName val="T-B1"/>
      <sheetName val="T-B2"/>
      <sheetName val="T-B3"/>
      <sheetName val="T-B4"/>
      <sheetName val="T-B5"/>
      <sheetName val="T-B6"/>
      <sheetName val="T-B7"/>
      <sheetName val="T-B8"/>
      <sheetName val="F-B1"/>
      <sheetName val="F-B2"/>
      <sheetName val="F-B3"/>
      <sheetName val="F-B4"/>
      <sheetName val="F-B5"/>
      <sheetName val="F-B6"/>
      <sheetName val="F-B7"/>
      <sheetName val="T-T0"/>
      <sheetName val="T-T1"/>
      <sheetName val="T-T1a"/>
      <sheetName val="T-T2"/>
      <sheetName val="T-T3"/>
      <sheetName val="T-T3a"/>
      <sheetName val="C0-Ref Stats"/>
      <sheetName val="C1-Incomes"/>
      <sheetName val="C2-Shares"/>
      <sheetName val="C3-Avg Income"/>
      <sheetName val="C4-Sources"/>
      <sheetName val="C5-Top Sources"/>
      <sheetName val="C5a-Shr by Source"/>
      <sheetName val="C6-Source Dist"/>
      <sheetName val="C7-Transf Dist"/>
      <sheetName val="C8-Tax Dist"/>
      <sheetName val="C9-Tax Rates"/>
      <sheetName val="C9a-Tax Rates"/>
      <sheetName val="C10-Adj by Source"/>
      <sheetName val="C11-ESI"/>
      <sheetName val="C12-CorpOwn"/>
      <sheetName val="C13-CapOwn"/>
      <sheetName val="C14-PS shares"/>
      <sheetName val="C15-Marriage"/>
      <sheetName val="C16-ShareCh"/>
      <sheetName val="C17-Over64"/>
      <sheetName val="C18-College"/>
      <sheetName val="C19-RetShares"/>
      <sheetName val="C20-Underrep Inc"/>
      <sheetName val="C21-Under20"/>
      <sheetName val="C22-Fiduciary"/>
      <sheetName val="C23-DCwealth"/>
      <sheetName val="C24-Estate"/>
      <sheetName val="C25-WageSplit"/>
      <sheetName val="C26-PSshare"/>
      <sheetName val="C27-PSZrepl"/>
      <sheetName val="TOTALS"/>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64">
          <cell r="A64" t="str">
            <v>Notes: See Table B1 for definitions of each tax and the online appendix for other details. In 1960, corporate income tax and property tax totals are distributed using 1962 distributions.</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ink/ink1.xml><?xml version="1.0" encoding="utf-8"?>
<inkml:ink xmlns:inkml="http://www.w3.org/2003/InkML">
  <inkml:definitions>
    <inkml:context xml:id="ctx0">
      <inkml:inkSource xml:id="inkSrc0">
        <inkml:traceFormat>
          <inkml:channel name="X" type="integer" max="1920" units="cm"/>
          <inkml:channel name="Y" type="integer" max="1080" units="cm"/>
          <inkml:channel name="T" type="integer" max="2.14748E9" units="dev"/>
        </inkml:traceFormat>
        <inkml:channelProperties>
          <inkml:channelProperty channel="X" name="resolution" value="32.10703" units="1/cm"/>
          <inkml:channelProperty channel="Y" name="resolution" value="32.14286" units="1/cm"/>
          <inkml:channelProperty channel="T" name="resolution" value="1" units="1/dev"/>
        </inkml:channelProperties>
      </inkml:inkSource>
      <inkml:timestamp xml:id="ts0" timeString="2020-04-09T13:31:07.854"/>
    </inkml:context>
    <inkml:brush xml:id="br0">
      <inkml:brushProperty name="width" value="0.025" units="cm"/>
      <inkml:brushProperty name="height" value="0.025" units="cm"/>
      <inkml:brushProperty name="color" value="#D8EEF8"/>
    </inkml:brush>
  </inkml:definitions>
  <inkml:trace contextRef="#ctx0" brushRef="#br0">0 0 0</inkml:trace>
</inkml:ink>
</file>

<file path=xl/ink/ink10.xml><?xml version="1.0" encoding="utf-8"?>
<inkml:ink xmlns:inkml="http://www.w3.org/2003/InkML">
  <inkml:definitions>
    <inkml:context xml:id="ctx0">
      <inkml:inkSource xml:id="inkSrc0">
        <inkml:traceFormat>
          <inkml:channel name="X" type="integer" max="1920" units="cm"/>
          <inkml:channel name="Y" type="integer" max="1080" units="cm"/>
          <inkml:channel name="T" type="integer" max="2.14748E9" units="dev"/>
        </inkml:traceFormat>
        <inkml:channelProperties>
          <inkml:channelProperty channel="X" name="resolution" value="32.10703" units="1/cm"/>
          <inkml:channelProperty channel="Y" name="resolution" value="32.14286" units="1/cm"/>
          <inkml:channelProperty channel="T" name="resolution" value="1" units="1/dev"/>
        </inkml:channelProperties>
      </inkml:inkSource>
      <inkml:timestamp xml:id="ts0" timeString="2020-05-06T21:19:59.643"/>
    </inkml:context>
    <inkml:brush xml:id="br0">
      <inkml:brushProperty name="width" value="0.025" units="cm"/>
      <inkml:brushProperty name="height" value="0.025" units="cm"/>
      <inkml:brushProperty name="color" value="#D8EEF8"/>
    </inkml:brush>
  </inkml:definitions>
  <inkml:trace contextRef="#ctx0" brushRef="#br0">0 0 0</inkml:trace>
</inkml:ink>
</file>

<file path=xl/ink/ink11.xml><?xml version="1.0" encoding="utf-8"?>
<inkml:ink xmlns:inkml="http://www.w3.org/2003/InkML">
  <inkml:definitions>
    <inkml:context xml:id="ctx0">
      <inkml:inkSource xml:id="inkSrc0">
        <inkml:traceFormat>
          <inkml:channel name="X" type="integer" max="1920" units="cm"/>
          <inkml:channel name="Y" type="integer" max="1080" units="cm"/>
          <inkml:channel name="T" type="integer" max="2.14748E9" units="dev"/>
        </inkml:traceFormat>
        <inkml:channelProperties>
          <inkml:channelProperty channel="X" name="resolution" value="32.10703" units="1/cm"/>
          <inkml:channelProperty channel="Y" name="resolution" value="32.14286" units="1/cm"/>
          <inkml:channelProperty channel="T" name="resolution" value="1" units="1/dev"/>
        </inkml:channelProperties>
      </inkml:inkSource>
      <inkml:timestamp xml:id="ts0" timeString="2020-05-06T21:19:59.644"/>
    </inkml:context>
    <inkml:brush xml:id="br0">
      <inkml:brushProperty name="width" value="0.025" units="cm"/>
      <inkml:brushProperty name="height" value="0.025" units="cm"/>
      <inkml:brushProperty name="color" value="#D8EEF8"/>
    </inkml:brush>
  </inkml:definitions>
  <inkml:trace contextRef="#ctx0" brushRef="#br0">0 0 0</inkml:trace>
</inkml:ink>
</file>

<file path=xl/ink/ink12.xml><?xml version="1.0" encoding="utf-8"?>
<inkml:ink xmlns:inkml="http://www.w3.org/2003/InkML">
  <inkml:definitions>
    <inkml:context xml:id="ctx0">
      <inkml:inkSource xml:id="inkSrc0">
        <inkml:traceFormat>
          <inkml:channel name="X" type="integer" max="1920" units="cm"/>
          <inkml:channel name="Y" type="integer" max="1080" units="cm"/>
          <inkml:channel name="T" type="integer" max="2.14748E9" units="dev"/>
        </inkml:traceFormat>
        <inkml:channelProperties>
          <inkml:channelProperty channel="X" name="resolution" value="32.10703" units="1/cm"/>
          <inkml:channelProperty channel="Y" name="resolution" value="32.14286" units="1/cm"/>
          <inkml:channelProperty channel="T" name="resolution" value="1" units="1/dev"/>
        </inkml:channelProperties>
      </inkml:inkSource>
      <inkml:timestamp xml:id="ts0" timeString="2020-05-06T21:19:59.645"/>
    </inkml:context>
    <inkml:brush xml:id="br0">
      <inkml:brushProperty name="width" value="0.025" units="cm"/>
      <inkml:brushProperty name="height" value="0.025" units="cm"/>
      <inkml:brushProperty name="color" value="#D8EEF8"/>
    </inkml:brush>
  </inkml:definitions>
  <inkml:trace contextRef="#ctx0" brushRef="#br0">0 0 0</inkml:trace>
</inkml:ink>
</file>

<file path=xl/ink/ink13.xml><?xml version="1.0" encoding="utf-8"?>
<inkml:ink xmlns:inkml="http://www.w3.org/2003/InkML">
  <inkml:definitions>
    <inkml:context xml:id="ctx0">
      <inkml:inkSource xml:id="inkSrc0">
        <inkml:traceFormat>
          <inkml:channel name="X" type="integer" max="1920" units="cm"/>
          <inkml:channel name="Y" type="integer" max="1080" units="cm"/>
          <inkml:channel name="T" type="integer" max="2.14748E9" units="dev"/>
        </inkml:traceFormat>
        <inkml:channelProperties>
          <inkml:channelProperty channel="X" name="resolution" value="32.10703" units="1/cm"/>
          <inkml:channelProperty channel="Y" name="resolution" value="32.14286" units="1/cm"/>
          <inkml:channelProperty channel="T" name="resolution" value="1" units="1/dev"/>
        </inkml:channelProperties>
      </inkml:inkSource>
      <inkml:timestamp xml:id="ts0" timeString="2020-05-06T21:19:59.646"/>
    </inkml:context>
    <inkml:brush xml:id="br0">
      <inkml:brushProperty name="width" value="0.025" units="cm"/>
      <inkml:brushProperty name="height" value="0.025" units="cm"/>
      <inkml:brushProperty name="color" value="#D8EEF8"/>
    </inkml:brush>
  </inkml:definitions>
  <inkml:trace contextRef="#ctx0" brushRef="#br0">0 0 0</inkml:trace>
</inkml:ink>
</file>

<file path=xl/ink/ink14.xml><?xml version="1.0" encoding="utf-8"?>
<inkml:ink xmlns:inkml="http://www.w3.org/2003/InkML">
  <inkml:definitions>
    <inkml:context xml:id="ctx0">
      <inkml:inkSource xml:id="inkSrc0">
        <inkml:traceFormat>
          <inkml:channel name="X" type="integer" max="1920" units="cm"/>
          <inkml:channel name="Y" type="integer" max="1080" units="cm"/>
          <inkml:channel name="T" type="integer" max="2.14748E9" units="dev"/>
        </inkml:traceFormat>
        <inkml:channelProperties>
          <inkml:channelProperty channel="X" name="resolution" value="32.10703" units="1/cm"/>
          <inkml:channelProperty channel="Y" name="resolution" value="32.14286" units="1/cm"/>
          <inkml:channelProperty channel="T" name="resolution" value="1" units="1/dev"/>
        </inkml:channelProperties>
      </inkml:inkSource>
      <inkml:timestamp xml:id="ts0" timeString="2020-05-06T21:19:59.647"/>
    </inkml:context>
    <inkml:brush xml:id="br0">
      <inkml:brushProperty name="width" value="0.05" units="cm"/>
      <inkml:brushProperty name="height" value="0.05" units="cm"/>
      <inkml:brushProperty name="color" value="#D8EEF8"/>
    </inkml:brush>
  </inkml:definitions>
  <inkml:trace contextRef="#ctx0" brushRef="#br0">0 0 0</inkml:trace>
</inkml:ink>
</file>

<file path=xl/ink/ink15.xml><?xml version="1.0" encoding="utf-8"?>
<inkml:ink xmlns:inkml="http://www.w3.org/2003/InkML">
  <inkml:definitions>
    <inkml:context xml:id="ctx0">
      <inkml:inkSource xml:id="inkSrc0">
        <inkml:traceFormat>
          <inkml:channel name="X" type="integer" max="1920" units="cm"/>
          <inkml:channel name="Y" type="integer" max="1080" units="cm"/>
          <inkml:channel name="T" type="integer" max="2.14748E9" units="dev"/>
        </inkml:traceFormat>
        <inkml:channelProperties>
          <inkml:channelProperty channel="X" name="resolution" value="32.10703" units="1/cm"/>
          <inkml:channelProperty channel="Y" name="resolution" value="32.14286" units="1/cm"/>
          <inkml:channelProperty channel="T" name="resolution" value="1" units="1/dev"/>
        </inkml:channelProperties>
      </inkml:inkSource>
      <inkml:timestamp xml:id="ts0" timeString="2020-05-06T21:19:59.648"/>
    </inkml:context>
    <inkml:brush xml:id="br0">
      <inkml:brushProperty name="width" value="0.05" units="cm"/>
      <inkml:brushProperty name="height" value="0.05" units="cm"/>
      <inkml:brushProperty name="color" value="#D8EEF8"/>
    </inkml:brush>
  </inkml:definitions>
  <inkml:trace contextRef="#ctx0" brushRef="#br0">0 0 0</inkml:trace>
</inkml:ink>
</file>

<file path=xl/ink/ink16.xml><?xml version="1.0" encoding="utf-8"?>
<inkml:ink xmlns:inkml="http://www.w3.org/2003/InkML">
  <inkml:definitions>
    <inkml:context xml:id="ctx0">
      <inkml:inkSource xml:id="inkSrc0">
        <inkml:traceFormat>
          <inkml:channel name="X" type="integer" max="1920" units="cm"/>
          <inkml:channel name="Y" type="integer" max="1080" units="cm"/>
          <inkml:channel name="T" type="integer" max="2.14748E9" units="dev"/>
        </inkml:traceFormat>
        <inkml:channelProperties>
          <inkml:channelProperty channel="X" name="resolution" value="32.10703" units="1/cm"/>
          <inkml:channelProperty channel="Y" name="resolution" value="32.14286" units="1/cm"/>
          <inkml:channelProperty channel="T" name="resolution" value="1" units="1/dev"/>
        </inkml:channelProperties>
      </inkml:inkSource>
      <inkml:timestamp xml:id="ts0" timeString="2020-05-06T21:19:59.649"/>
    </inkml:context>
    <inkml:brush xml:id="br0">
      <inkml:brushProperty name="width" value="0.05" units="cm"/>
      <inkml:brushProperty name="height" value="0.05" units="cm"/>
      <inkml:brushProperty name="color" value="#D8EEF8"/>
    </inkml:brush>
  </inkml:definitions>
  <inkml:trace contextRef="#ctx0" brushRef="#br0">0 0 0</inkml:trace>
</inkml:ink>
</file>

<file path=xl/ink/ink17.xml><?xml version="1.0" encoding="utf-8"?>
<inkml:ink xmlns:inkml="http://www.w3.org/2003/InkML">
  <inkml:definitions>
    <inkml:context xml:id="ctx0">
      <inkml:inkSource xml:id="inkSrc0">
        <inkml:traceFormat>
          <inkml:channel name="X" type="integer" max="1920" units="cm"/>
          <inkml:channel name="Y" type="integer" max="1080" units="cm"/>
          <inkml:channel name="T" type="integer" max="2.14748E9" units="dev"/>
        </inkml:traceFormat>
        <inkml:channelProperties>
          <inkml:channelProperty channel="X" name="resolution" value="32.10703" units="1/cm"/>
          <inkml:channelProperty channel="Y" name="resolution" value="32.14286" units="1/cm"/>
          <inkml:channelProperty channel="T" name="resolution" value="1" units="1/dev"/>
        </inkml:channelProperties>
      </inkml:inkSource>
      <inkml:timestamp xml:id="ts0" timeString="2020-04-14T13:18:09.656"/>
    </inkml:context>
    <inkml:brush xml:id="br0">
      <inkml:brushProperty name="width" value="0.025" units="cm"/>
      <inkml:brushProperty name="height" value="0.025" units="cm"/>
      <inkml:brushProperty name="color" value="#D8EEF8"/>
    </inkml:brush>
  </inkml:definitions>
  <inkml:trace contextRef="#ctx0" brushRef="#br0">0 0 0</inkml:trace>
</inkml:ink>
</file>

<file path=xl/ink/ink18.xml><?xml version="1.0" encoding="utf-8"?>
<inkml:ink xmlns:inkml="http://www.w3.org/2003/InkML">
  <inkml:definitions>
    <inkml:context xml:id="ctx0">
      <inkml:inkSource xml:id="inkSrc0">
        <inkml:traceFormat>
          <inkml:channel name="X" type="integer" max="1920" units="cm"/>
          <inkml:channel name="Y" type="integer" max="1080" units="cm"/>
          <inkml:channel name="T" type="integer" max="2.14748E9" units="dev"/>
        </inkml:traceFormat>
        <inkml:channelProperties>
          <inkml:channelProperty channel="X" name="resolution" value="32.10703" units="1/cm"/>
          <inkml:channelProperty channel="Y" name="resolution" value="32.14286" units="1/cm"/>
          <inkml:channelProperty channel="T" name="resolution" value="1" units="1/dev"/>
        </inkml:channelProperties>
      </inkml:inkSource>
      <inkml:timestamp xml:id="ts0" timeString="2020-04-14T13:18:09.660"/>
    </inkml:context>
    <inkml:brush xml:id="br0">
      <inkml:brushProperty name="width" value="0.025" units="cm"/>
      <inkml:brushProperty name="height" value="0.025" units="cm"/>
      <inkml:brushProperty name="color" value="#D8EEF8"/>
    </inkml:brush>
  </inkml:definitions>
  <inkml:trace contextRef="#ctx0" brushRef="#br0">0 0 0</inkml:trace>
</inkml:ink>
</file>

<file path=xl/ink/ink19.xml><?xml version="1.0" encoding="utf-8"?>
<inkml:ink xmlns:inkml="http://www.w3.org/2003/InkML">
  <inkml:definitions>
    <inkml:context xml:id="ctx0">
      <inkml:inkSource xml:id="inkSrc0">
        <inkml:traceFormat>
          <inkml:channel name="X" type="integer" max="1920" units="cm"/>
          <inkml:channel name="Y" type="integer" max="1080" units="cm"/>
          <inkml:channel name="T" type="integer" max="2.14748E9" units="dev"/>
        </inkml:traceFormat>
        <inkml:channelProperties>
          <inkml:channelProperty channel="X" name="resolution" value="32.10703" units="1/cm"/>
          <inkml:channelProperty channel="Y" name="resolution" value="32.14286" units="1/cm"/>
          <inkml:channelProperty channel="T" name="resolution" value="1" units="1/dev"/>
        </inkml:channelProperties>
      </inkml:inkSource>
      <inkml:timestamp xml:id="ts0" timeString="2020-04-14T13:18:09.663"/>
    </inkml:context>
    <inkml:brush xml:id="br0">
      <inkml:brushProperty name="width" value="0.025" units="cm"/>
      <inkml:brushProperty name="height" value="0.025" units="cm"/>
      <inkml:brushProperty name="color" value="#D8EEF8"/>
    </inkml:brush>
  </inkml:definitions>
  <inkml:trace contextRef="#ctx0" brushRef="#br0">0 0 0</inkml:trace>
</inkml:ink>
</file>

<file path=xl/ink/ink2.xml><?xml version="1.0" encoding="utf-8"?>
<inkml:ink xmlns:inkml="http://www.w3.org/2003/InkML">
  <inkml:definitions>
    <inkml:context xml:id="ctx0">
      <inkml:inkSource xml:id="inkSrc0">
        <inkml:traceFormat>
          <inkml:channel name="X" type="integer" max="1920" units="cm"/>
          <inkml:channel name="Y" type="integer" max="1080" units="cm"/>
          <inkml:channel name="T" type="integer" max="2.14748E9" units="dev"/>
        </inkml:traceFormat>
        <inkml:channelProperties>
          <inkml:channelProperty channel="X" name="resolution" value="32.10703" units="1/cm"/>
          <inkml:channelProperty channel="Y" name="resolution" value="32.14286" units="1/cm"/>
          <inkml:channelProperty channel="T" name="resolution" value="1" units="1/dev"/>
        </inkml:channelProperties>
      </inkml:inkSource>
      <inkml:timestamp xml:id="ts0" timeString="2020-04-09T13:31:12.204"/>
    </inkml:context>
    <inkml:brush xml:id="br0">
      <inkml:brushProperty name="width" value="0.025" units="cm"/>
      <inkml:brushProperty name="height" value="0.025" units="cm"/>
      <inkml:brushProperty name="color" value="#D8EEF8"/>
    </inkml:brush>
  </inkml:definitions>
  <inkml:trace contextRef="#ctx0" brushRef="#br0">53 238 0,'0'26'156,"-26"27"-140,26-26 15,0-1-15,0 27 15,0-26-15,0-1-1,-27 1 173</inkml:trace>
  <inkml:trace contextRef="#ctx0" brushRef="#br0" timeOffset="1543">0 132 0</inkml:trace>
  <inkml:trace contextRef="#ctx0" brushRef="#br0" timeOffset="2578">133 0 0,'0'53'78,"0"79"-46,0 0-17,0 27 1,0-27 0</inkml:trace>
</inkml:ink>
</file>

<file path=xl/ink/ink20.xml><?xml version="1.0" encoding="utf-8"?>
<inkml:ink xmlns:inkml="http://www.w3.org/2003/InkML">
  <inkml:definitions>
    <inkml:context xml:id="ctx0">
      <inkml:inkSource xml:id="inkSrc0">
        <inkml:traceFormat>
          <inkml:channel name="X" type="integer" max="1920" units="cm"/>
          <inkml:channel name="Y" type="integer" max="1080" units="cm"/>
          <inkml:channel name="T" type="integer" max="2.14748E9" units="dev"/>
        </inkml:traceFormat>
        <inkml:channelProperties>
          <inkml:channelProperty channel="X" name="resolution" value="32.10703" units="1/cm"/>
          <inkml:channelProperty channel="Y" name="resolution" value="32.14286" units="1/cm"/>
          <inkml:channelProperty channel="T" name="resolution" value="1" units="1/dev"/>
        </inkml:channelProperties>
      </inkml:inkSource>
      <inkml:timestamp xml:id="ts0" timeString="2020-04-14T13:18:09.664"/>
    </inkml:context>
    <inkml:brush xml:id="br0">
      <inkml:brushProperty name="width" value="0.025" units="cm"/>
      <inkml:brushProperty name="height" value="0.025" units="cm"/>
      <inkml:brushProperty name="color" value="#D8EEF8"/>
    </inkml:brush>
  </inkml:definitions>
  <inkml:trace contextRef="#ctx0" brushRef="#br0">0 0 0</inkml:trace>
</inkml:ink>
</file>

<file path=xl/ink/ink21.xml><?xml version="1.0" encoding="utf-8"?>
<inkml:ink xmlns:inkml="http://www.w3.org/2003/InkML">
  <inkml:definitions>
    <inkml:context xml:id="ctx0">
      <inkml:inkSource xml:id="inkSrc0">
        <inkml:traceFormat>
          <inkml:channel name="X" type="integer" max="1920" units="cm"/>
          <inkml:channel name="Y" type="integer" max="1080" units="cm"/>
          <inkml:channel name="T" type="integer" max="2.14748E9" units="dev"/>
        </inkml:traceFormat>
        <inkml:channelProperties>
          <inkml:channelProperty channel="X" name="resolution" value="32.10703" units="1/cm"/>
          <inkml:channelProperty channel="Y" name="resolution" value="32.14286" units="1/cm"/>
          <inkml:channelProperty channel="T" name="resolution" value="1" units="1/dev"/>
        </inkml:channelProperties>
      </inkml:inkSource>
      <inkml:timestamp xml:id="ts0" timeString="2020-04-14T13:18:09.666"/>
    </inkml:context>
    <inkml:brush xml:id="br0">
      <inkml:brushProperty name="width" value="0.05" units="cm"/>
      <inkml:brushProperty name="height" value="0.05" units="cm"/>
      <inkml:brushProperty name="color" value="#D8EEF8"/>
    </inkml:brush>
  </inkml:definitions>
  <inkml:trace contextRef="#ctx0" brushRef="#br0">0 0 0</inkml:trace>
</inkml:ink>
</file>

<file path=xl/ink/ink22.xml><?xml version="1.0" encoding="utf-8"?>
<inkml:ink xmlns:inkml="http://www.w3.org/2003/InkML">
  <inkml:definitions>
    <inkml:context xml:id="ctx0">
      <inkml:inkSource xml:id="inkSrc0">
        <inkml:traceFormat>
          <inkml:channel name="X" type="integer" max="1920" units="cm"/>
          <inkml:channel name="Y" type="integer" max="1080" units="cm"/>
          <inkml:channel name="T" type="integer" max="2.14748E9" units="dev"/>
        </inkml:traceFormat>
        <inkml:channelProperties>
          <inkml:channelProperty channel="X" name="resolution" value="32.10703" units="1/cm"/>
          <inkml:channelProperty channel="Y" name="resolution" value="32.14286" units="1/cm"/>
          <inkml:channelProperty channel="T" name="resolution" value="1" units="1/dev"/>
        </inkml:channelProperties>
      </inkml:inkSource>
      <inkml:timestamp xml:id="ts0" timeString="2020-04-14T13:18:09.667"/>
    </inkml:context>
    <inkml:brush xml:id="br0">
      <inkml:brushProperty name="width" value="0.05" units="cm"/>
      <inkml:brushProperty name="height" value="0.05" units="cm"/>
      <inkml:brushProperty name="color" value="#D8EEF8"/>
    </inkml:brush>
  </inkml:definitions>
  <inkml:trace contextRef="#ctx0" brushRef="#br0">0 0 0</inkml:trace>
</inkml:ink>
</file>

<file path=xl/ink/ink23.xml><?xml version="1.0" encoding="utf-8"?>
<inkml:ink xmlns:inkml="http://www.w3.org/2003/InkML">
  <inkml:definitions>
    <inkml:context xml:id="ctx0">
      <inkml:inkSource xml:id="inkSrc0">
        <inkml:traceFormat>
          <inkml:channel name="X" type="integer" max="1920" units="cm"/>
          <inkml:channel name="Y" type="integer" max="1080" units="cm"/>
          <inkml:channel name="T" type="integer" max="2.14748E9" units="dev"/>
        </inkml:traceFormat>
        <inkml:channelProperties>
          <inkml:channelProperty channel="X" name="resolution" value="32.10703" units="1/cm"/>
          <inkml:channelProperty channel="Y" name="resolution" value="32.14286" units="1/cm"/>
          <inkml:channelProperty channel="T" name="resolution" value="1" units="1/dev"/>
        </inkml:channelProperties>
      </inkml:inkSource>
      <inkml:timestamp xml:id="ts0" timeString="2020-04-14T13:18:09.668"/>
    </inkml:context>
    <inkml:brush xml:id="br0">
      <inkml:brushProperty name="width" value="0.05" units="cm"/>
      <inkml:brushProperty name="height" value="0.05" units="cm"/>
      <inkml:brushProperty name="color" value="#D8EEF8"/>
    </inkml:brush>
  </inkml:definitions>
  <inkml:trace contextRef="#ctx0" brushRef="#br0">0 0 0</inkml:trace>
</inkml:ink>
</file>

<file path=xl/ink/ink24.xml><?xml version="1.0" encoding="utf-8"?>
<inkml:ink xmlns:inkml="http://www.w3.org/2003/InkML">
  <inkml:definitions>
    <inkml:context xml:id="ctx0">
      <inkml:inkSource xml:id="inkSrc0">
        <inkml:traceFormat>
          <inkml:channel name="X" type="integer" max="1920" units="cm"/>
          <inkml:channel name="Y" type="integer" max="1080" units="cm"/>
          <inkml:channel name="T" type="integer" max="2.14748E9" units="dev"/>
        </inkml:traceFormat>
        <inkml:channelProperties>
          <inkml:channelProperty channel="X" name="resolution" value="32.10703" units="1/cm"/>
          <inkml:channelProperty channel="Y" name="resolution" value="32.14286" units="1/cm"/>
          <inkml:channelProperty channel="T" name="resolution" value="1" units="1/dev"/>
        </inkml:channelProperties>
      </inkml:inkSource>
      <inkml:timestamp xml:id="ts0" timeString="2020-05-27T14:44:28.219"/>
    </inkml:context>
    <inkml:brush xml:id="br0">
      <inkml:brushProperty name="width" value="0.025" units="cm"/>
      <inkml:brushProperty name="height" value="0.025" units="cm"/>
      <inkml:brushProperty name="color" value="#D8EEF8"/>
    </inkml:brush>
  </inkml:definitions>
  <inkml:trace contextRef="#ctx0" brushRef="#br0">0 0 0</inkml:trace>
</inkml:ink>
</file>

<file path=xl/ink/ink25.xml><?xml version="1.0" encoding="utf-8"?>
<inkml:ink xmlns:inkml="http://www.w3.org/2003/InkML">
  <inkml:definitions>
    <inkml:context xml:id="ctx0">
      <inkml:inkSource xml:id="inkSrc0">
        <inkml:traceFormat>
          <inkml:channel name="X" type="integer" max="1920" units="cm"/>
          <inkml:channel name="Y" type="integer" max="1080" units="cm"/>
          <inkml:channel name="T" type="integer" max="2.14748E9" units="dev"/>
        </inkml:traceFormat>
        <inkml:channelProperties>
          <inkml:channelProperty channel="X" name="resolution" value="32.10703" units="1/cm"/>
          <inkml:channelProperty channel="Y" name="resolution" value="32.14286" units="1/cm"/>
          <inkml:channelProperty channel="T" name="resolution" value="1" units="1/dev"/>
        </inkml:channelProperties>
      </inkml:inkSource>
      <inkml:timestamp xml:id="ts0" timeString="2020-05-27T14:44:28.220"/>
    </inkml:context>
    <inkml:brush xml:id="br0">
      <inkml:brushProperty name="width" value="0.025" units="cm"/>
      <inkml:brushProperty name="height" value="0.025" units="cm"/>
      <inkml:brushProperty name="color" value="#D8EEF8"/>
    </inkml:brush>
  </inkml:definitions>
  <inkml:trace contextRef="#ctx0" brushRef="#br0">0 0 0</inkml:trace>
</inkml:ink>
</file>

<file path=xl/ink/ink26.xml><?xml version="1.0" encoding="utf-8"?>
<inkml:ink xmlns:inkml="http://www.w3.org/2003/InkML">
  <inkml:definitions>
    <inkml:context xml:id="ctx0">
      <inkml:inkSource xml:id="inkSrc0">
        <inkml:traceFormat>
          <inkml:channel name="X" type="integer" max="1920" units="cm"/>
          <inkml:channel name="Y" type="integer" max="1080" units="cm"/>
          <inkml:channel name="T" type="integer" max="2.14748E9" units="dev"/>
        </inkml:traceFormat>
        <inkml:channelProperties>
          <inkml:channelProperty channel="X" name="resolution" value="32.10703" units="1/cm"/>
          <inkml:channelProperty channel="Y" name="resolution" value="32.14286" units="1/cm"/>
          <inkml:channelProperty channel="T" name="resolution" value="1" units="1/dev"/>
        </inkml:channelProperties>
      </inkml:inkSource>
      <inkml:timestamp xml:id="ts0" timeString="2020-05-27T14:44:28.221"/>
    </inkml:context>
    <inkml:brush xml:id="br0">
      <inkml:brushProperty name="width" value="0.025" units="cm"/>
      <inkml:brushProperty name="height" value="0.025" units="cm"/>
      <inkml:brushProperty name="color" value="#D8EEF8"/>
    </inkml:brush>
  </inkml:definitions>
  <inkml:trace contextRef="#ctx0" brushRef="#br0">0 0 0</inkml:trace>
</inkml:ink>
</file>

<file path=xl/ink/ink27.xml><?xml version="1.0" encoding="utf-8"?>
<inkml:ink xmlns:inkml="http://www.w3.org/2003/InkML">
  <inkml:definitions>
    <inkml:context xml:id="ctx0">
      <inkml:inkSource xml:id="inkSrc0">
        <inkml:traceFormat>
          <inkml:channel name="X" type="integer" max="1920" units="cm"/>
          <inkml:channel name="Y" type="integer" max="1080" units="cm"/>
          <inkml:channel name="T" type="integer" max="2.14748E9" units="dev"/>
        </inkml:traceFormat>
        <inkml:channelProperties>
          <inkml:channelProperty channel="X" name="resolution" value="32.10703" units="1/cm"/>
          <inkml:channelProperty channel="Y" name="resolution" value="32.14286" units="1/cm"/>
          <inkml:channelProperty channel="T" name="resolution" value="1" units="1/dev"/>
        </inkml:channelProperties>
      </inkml:inkSource>
      <inkml:timestamp xml:id="ts0" timeString="2020-05-27T14:44:28.222"/>
    </inkml:context>
    <inkml:brush xml:id="br0">
      <inkml:brushProperty name="width" value="0.025" units="cm"/>
      <inkml:brushProperty name="height" value="0.025" units="cm"/>
      <inkml:brushProperty name="color" value="#D8EEF8"/>
    </inkml:brush>
  </inkml:definitions>
  <inkml:trace contextRef="#ctx0" brushRef="#br0">0 0 0</inkml:trace>
</inkml:ink>
</file>

<file path=xl/ink/ink28.xml><?xml version="1.0" encoding="utf-8"?>
<inkml:ink xmlns:inkml="http://www.w3.org/2003/InkML">
  <inkml:definitions>
    <inkml:context xml:id="ctx0">
      <inkml:inkSource xml:id="inkSrc0">
        <inkml:traceFormat>
          <inkml:channel name="X" type="integer" max="1920" units="cm"/>
          <inkml:channel name="Y" type="integer" max="1080" units="cm"/>
          <inkml:channel name="T" type="integer" max="2.14748E9" units="dev"/>
        </inkml:traceFormat>
        <inkml:channelProperties>
          <inkml:channelProperty channel="X" name="resolution" value="32.10703" units="1/cm"/>
          <inkml:channelProperty channel="Y" name="resolution" value="32.14286" units="1/cm"/>
          <inkml:channelProperty channel="T" name="resolution" value="1" units="1/dev"/>
        </inkml:channelProperties>
      </inkml:inkSource>
      <inkml:timestamp xml:id="ts0" timeString="2020-05-27T14:44:28.223"/>
    </inkml:context>
    <inkml:brush xml:id="br0">
      <inkml:brushProperty name="width" value="0.05" units="cm"/>
      <inkml:brushProperty name="height" value="0.05" units="cm"/>
      <inkml:brushProperty name="color" value="#D8EEF8"/>
    </inkml:brush>
  </inkml:definitions>
  <inkml:trace contextRef="#ctx0" brushRef="#br0">0 0 0</inkml:trace>
</inkml:ink>
</file>

<file path=xl/ink/ink29.xml><?xml version="1.0" encoding="utf-8"?>
<inkml:ink xmlns:inkml="http://www.w3.org/2003/InkML">
  <inkml:definitions>
    <inkml:context xml:id="ctx0">
      <inkml:inkSource xml:id="inkSrc0">
        <inkml:traceFormat>
          <inkml:channel name="X" type="integer" max="1920" units="cm"/>
          <inkml:channel name="Y" type="integer" max="1080" units="cm"/>
          <inkml:channel name="T" type="integer" max="2.14748E9" units="dev"/>
        </inkml:traceFormat>
        <inkml:channelProperties>
          <inkml:channelProperty channel="X" name="resolution" value="32.10703" units="1/cm"/>
          <inkml:channelProperty channel="Y" name="resolution" value="32.14286" units="1/cm"/>
          <inkml:channelProperty channel="T" name="resolution" value="1" units="1/dev"/>
        </inkml:channelProperties>
      </inkml:inkSource>
      <inkml:timestamp xml:id="ts0" timeString="2020-05-27T14:44:28.224"/>
    </inkml:context>
    <inkml:brush xml:id="br0">
      <inkml:brushProperty name="width" value="0.05" units="cm"/>
      <inkml:brushProperty name="height" value="0.05" units="cm"/>
      <inkml:brushProperty name="color" value="#D8EEF8"/>
    </inkml:brush>
  </inkml:definitions>
  <inkml:trace contextRef="#ctx0" brushRef="#br0">0 0 0</inkml:trace>
</inkml:ink>
</file>

<file path=xl/ink/ink3.xml><?xml version="1.0" encoding="utf-8"?>
<inkml:ink xmlns:inkml="http://www.w3.org/2003/InkML">
  <inkml:definitions>
    <inkml:context xml:id="ctx0">
      <inkml:inkSource xml:id="inkSrc0">
        <inkml:traceFormat>
          <inkml:channel name="X" type="integer" max="1920" units="cm"/>
          <inkml:channel name="Y" type="integer" max="1080" units="cm"/>
          <inkml:channel name="T" type="integer" max="2.14748E9" units="dev"/>
        </inkml:traceFormat>
        <inkml:channelProperties>
          <inkml:channelProperty channel="X" name="resolution" value="32.10703" units="1/cm"/>
          <inkml:channelProperty channel="Y" name="resolution" value="32.14286" units="1/cm"/>
          <inkml:channelProperty channel="T" name="resolution" value="1" units="1/dev"/>
        </inkml:channelProperties>
      </inkml:inkSource>
      <inkml:timestamp xml:id="ts0" timeString="2020-04-09T13:31:15.573"/>
    </inkml:context>
    <inkml:brush xml:id="br0">
      <inkml:brushProperty name="width" value="0.025" units="cm"/>
      <inkml:brushProperty name="height" value="0.025" units="cm"/>
      <inkml:brushProperty name="color" value="#D8EEF8"/>
    </inkml:brush>
  </inkml:definitions>
  <inkml:trace contextRef="#ctx0" brushRef="#br0">0 0 0</inkml:trace>
</inkml:ink>
</file>

<file path=xl/ink/ink30.xml><?xml version="1.0" encoding="utf-8"?>
<inkml:ink xmlns:inkml="http://www.w3.org/2003/InkML">
  <inkml:definitions>
    <inkml:context xml:id="ctx0">
      <inkml:inkSource xml:id="inkSrc0">
        <inkml:traceFormat>
          <inkml:channel name="X" type="integer" max="1920" units="cm"/>
          <inkml:channel name="Y" type="integer" max="1080" units="cm"/>
          <inkml:channel name="T" type="integer" max="2.14748E9" units="dev"/>
        </inkml:traceFormat>
        <inkml:channelProperties>
          <inkml:channelProperty channel="X" name="resolution" value="32.10703" units="1/cm"/>
          <inkml:channelProperty channel="Y" name="resolution" value="32.14286" units="1/cm"/>
          <inkml:channelProperty channel="T" name="resolution" value="1" units="1/dev"/>
        </inkml:channelProperties>
      </inkml:inkSource>
      <inkml:timestamp xml:id="ts0" timeString="2020-05-27T14:44:28.225"/>
    </inkml:context>
    <inkml:brush xml:id="br0">
      <inkml:brushProperty name="width" value="0.05" units="cm"/>
      <inkml:brushProperty name="height" value="0.05" units="cm"/>
      <inkml:brushProperty name="color" value="#D8EEF8"/>
    </inkml:brush>
  </inkml:definitions>
  <inkml:trace contextRef="#ctx0" brushRef="#br0">0 0 0</inkml:trace>
</inkml:ink>
</file>

<file path=xl/ink/ink31.xml><?xml version="1.0" encoding="utf-8"?>
<inkml:ink xmlns:inkml="http://www.w3.org/2003/InkML">
  <inkml:definitions>
    <inkml:context xml:id="ctx0">
      <inkml:inkSource xml:id="inkSrc0">
        <inkml:traceFormat>
          <inkml:channel name="X" type="integer" max="1920" units="cm"/>
          <inkml:channel name="Y" type="integer" max="1080" units="cm"/>
          <inkml:channel name="T" type="integer" max="2.14748E9" units="dev"/>
        </inkml:traceFormat>
        <inkml:channelProperties>
          <inkml:channelProperty channel="X" name="resolution" value="32.10703" units="1/cm"/>
          <inkml:channelProperty channel="Y" name="resolution" value="32.14286" units="1/cm"/>
          <inkml:channelProperty channel="T" name="resolution" value="1" units="1/dev"/>
        </inkml:channelProperties>
      </inkml:inkSource>
      <inkml:timestamp xml:id="ts0" timeString="2020-06-05T13:40:01.085"/>
    </inkml:context>
    <inkml:brush xml:id="br0">
      <inkml:brushProperty name="width" value="0.025" units="cm"/>
      <inkml:brushProperty name="height" value="0.025" units="cm"/>
      <inkml:brushProperty name="color" value="#D8EEF8"/>
    </inkml:brush>
  </inkml:definitions>
  <inkml:trace contextRef="#ctx0" brushRef="#br0">0 0 0</inkml:trace>
</inkml:ink>
</file>

<file path=xl/ink/ink32.xml><?xml version="1.0" encoding="utf-8"?>
<inkml:ink xmlns:inkml="http://www.w3.org/2003/InkML">
  <inkml:definitions>
    <inkml:context xml:id="ctx0">
      <inkml:inkSource xml:id="inkSrc0">
        <inkml:traceFormat>
          <inkml:channel name="X" type="integer" max="1920" units="cm"/>
          <inkml:channel name="Y" type="integer" max="1080" units="cm"/>
          <inkml:channel name="T" type="integer" max="2.14748E9" units="dev"/>
        </inkml:traceFormat>
        <inkml:channelProperties>
          <inkml:channelProperty channel="X" name="resolution" value="32.10703" units="1/cm"/>
          <inkml:channelProperty channel="Y" name="resolution" value="32.14286" units="1/cm"/>
          <inkml:channelProperty channel="T" name="resolution" value="1" units="1/dev"/>
        </inkml:channelProperties>
      </inkml:inkSource>
      <inkml:timestamp xml:id="ts0" timeString="2020-06-05T13:40:01.086"/>
    </inkml:context>
    <inkml:brush xml:id="br0">
      <inkml:brushProperty name="width" value="0.025" units="cm"/>
      <inkml:brushProperty name="height" value="0.025" units="cm"/>
      <inkml:brushProperty name="color" value="#D8EEF8"/>
    </inkml:brush>
  </inkml:definitions>
  <inkml:trace contextRef="#ctx0" brushRef="#br0">0 0 0</inkml:trace>
</inkml:ink>
</file>

<file path=xl/ink/ink33.xml><?xml version="1.0" encoding="utf-8"?>
<inkml:ink xmlns:inkml="http://www.w3.org/2003/InkML">
  <inkml:definitions>
    <inkml:context xml:id="ctx0">
      <inkml:inkSource xml:id="inkSrc0">
        <inkml:traceFormat>
          <inkml:channel name="X" type="integer" max="1920" units="cm"/>
          <inkml:channel name="Y" type="integer" max="1080" units="cm"/>
          <inkml:channel name="T" type="integer" max="2.14748E9" units="dev"/>
        </inkml:traceFormat>
        <inkml:channelProperties>
          <inkml:channelProperty channel="X" name="resolution" value="32.10703" units="1/cm"/>
          <inkml:channelProperty channel="Y" name="resolution" value="32.14286" units="1/cm"/>
          <inkml:channelProperty channel="T" name="resolution" value="1" units="1/dev"/>
        </inkml:channelProperties>
      </inkml:inkSource>
      <inkml:timestamp xml:id="ts0" timeString="2020-06-05T13:40:01.087"/>
    </inkml:context>
    <inkml:brush xml:id="br0">
      <inkml:brushProperty name="width" value="0.025" units="cm"/>
      <inkml:brushProperty name="height" value="0.025" units="cm"/>
      <inkml:brushProperty name="color" value="#D8EEF8"/>
    </inkml:brush>
  </inkml:definitions>
  <inkml:trace contextRef="#ctx0" brushRef="#br0">0 0 0</inkml:trace>
</inkml:ink>
</file>

<file path=xl/ink/ink34.xml><?xml version="1.0" encoding="utf-8"?>
<inkml:ink xmlns:inkml="http://www.w3.org/2003/InkML">
  <inkml:definitions>
    <inkml:context xml:id="ctx0">
      <inkml:inkSource xml:id="inkSrc0">
        <inkml:traceFormat>
          <inkml:channel name="X" type="integer" max="1920" units="cm"/>
          <inkml:channel name="Y" type="integer" max="1080" units="cm"/>
          <inkml:channel name="T" type="integer" max="2.14748E9" units="dev"/>
        </inkml:traceFormat>
        <inkml:channelProperties>
          <inkml:channelProperty channel="X" name="resolution" value="32.10703" units="1/cm"/>
          <inkml:channelProperty channel="Y" name="resolution" value="32.14286" units="1/cm"/>
          <inkml:channelProperty channel="T" name="resolution" value="1" units="1/dev"/>
        </inkml:channelProperties>
      </inkml:inkSource>
      <inkml:timestamp xml:id="ts0" timeString="2020-06-05T13:40:01.088"/>
    </inkml:context>
    <inkml:brush xml:id="br0">
      <inkml:brushProperty name="width" value="0.025" units="cm"/>
      <inkml:brushProperty name="height" value="0.025" units="cm"/>
      <inkml:brushProperty name="color" value="#D8EEF8"/>
    </inkml:brush>
  </inkml:definitions>
  <inkml:trace contextRef="#ctx0" brushRef="#br0">0 0 0</inkml:trace>
</inkml:ink>
</file>

<file path=xl/ink/ink35.xml><?xml version="1.0" encoding="utf-8"?>
<inkml:ink xmlns:inkml="http://www.w3.org/2003/InkML">
  <inkml:definitions>
    <inkml:context xml:id="ctx0">
      <inkml:inkSource xml:id="inkSrc0">
        <inkml:traceFormat>
          <inkml:channel name="X" type="integer" max="1920" units="cm"/>
          <inkml:channel name="Y" type="integer" max="1080" units="cm"/>
          <inkml:channel name="T" type="integer" max="2.14748E9" units="dev"/>
        </inkml:traceFormat>
        <inkml:channelProperties>
          <inkml:channelProperty channel="X" name="resolution" value="32.10703" units="1/cm"/>
          <inkml:channelProperty channel="Y" name="resolution" value="32.14286" units="1/cm"/>
          <inkml:channelProperty channel="T" name="resolution" value="1" units="1/dev"/>
        </inkml:channelProperties>
      </inkml:inkSource>
      <inkml:timestamp xml:id="ts0" timeString="2020-06-05T13:40:01.089"/>
    </inkml:context>
    <inkml:brush xml:id="br0">
      <inkml:brushProperty name="width" value="0.05" units="cm"/>
      <inkml:brushProperty name="height" value="0.05" units="cm"/>
      <inkml:brushProperty name="color" value="#D8EEF8"/>
    </inkml:brush>
  </inkml:definitions>
  <inkml:trace contextRef="#ctx0" brushRef="#br0">0 0 0</inkml:trace>
</inkml:ink>
</file>

<file path=xl/ink/ink36.xml><?xml version="1.0" encoding="utf-8"?>
<inkml:ink xmlns:inkml="http://www.w3.org/2003/InkML">
  <inkml:definitions>
    <inkml:context xml:id="ctx0">
      <inkml:inkSource xml:id="inkSrc0">
        <inkml:traceFormat>
          <inkml:channel name="X" type="integer" max="1920" units="cm"/>
          <inkml:channel name="Y" type="integer" max="1080" units="cm"/>
          <inkml:channel name="T" type="integer" max="2.14748E9" units="dev"/>
        </inkml:traceFormat>
        <inkml:channelProperties>
          <inkml:channelProperty channel="X" name="resolution" value="32.10703" units="1/cm"/>
          <inkml:channelProperty channel="Y" name="resolution" value="32.14286" units="1/cm"/>
          <inkml:channelProperty channel="T" name="resolution" value="1" units="1/dev"/>
        </inkml:channelProperties>
      </inkml:inkSource>
      <inkml:timestamp xml:id="ts0" timeString="2020-06-05T13:40:01.090"/>
    </inkml:context>
    <inkml:brush xml:id="br0">
      <inkml:brushProperty name="width" value="0.05" units="cm"/>
      <inkml:brushProperty name="height" value="0.05" units="cm"/>
      <inkml:brushProperty name="color" value="#D8EEF8"/>
    </inkml:brush>
  </inkml:definitions>
  <inkml:trace contextRef="#ctx0" brushRef="#br0">0 0 0</inkml:trace>
</inkml:ink>
</file>

<file path=xl/ink/ink37.xml><?xml version="1.0" encoding="utf-8"?>
<inkml:ink xmlns:inkml="http://www.w3.org/2003/InkML">
  <inkml:definitions>
    <inkml:context xml:id="ctx0">
      <inkml:inkSource xml:id="inkSrc0">
        <inkml:traceFormat>
          <inkml:channel name="X" type="integer" max="1920" units="cm"/>
          <inkml:channel name="Y" type="integer" max="1080" units="cm"/>
          <inkml:channel name="T" type="integer" max="2.14748E9" units="dev"/>
        </inkml:traceFormat>
        <inkml:channelProperties>
          <inkml:channelProperty channel="X" name="resolution" value="32.10703" units="1/cm"/>
          <inkml:channelProperty channel="Y" name="resolution" value="32.14286" units="1/cm"/>
          <inkml:channelProperty channel="T" name="resolution" value="1" units="1/dev"/>
        </inkml:channelProperties>
      </inkml:inkSource>
      <inkml:timestamp xml:id="ts0" timeString="2020-06-05T13:40:01.091"/>
    </inkml:context>
    <inkml:brush xml:id="br0">
      <inkml:brushProperty name="width" value="0.05" units="cm"/>
      <inkml:brushProperty name="height" value="0.05" units="cm"/>
      <inkml:brushProperty name="color" value="#D8EEF8"/>
    </inkml:brush>
  </inkml:definitions>
  <inkml:trace contextRef="#ctx0" brushRef="#br0">0 0 0</inkml:trace>
</inkml:ink>
</file>

<file path=xl/ink/ink38.xml><?xml version="1.0" encoding="utf-8"?>
<inkml:ink xmlns:inkml="http://www.w3.org/2003/InkML">
  <inkml:definitions>
    <inkml:context xml:id="ctx0">
      <inkml:inkSource xml:id="inkSrc0">
        <inkml:traceFormat>
          <inkml:channel name="X" type="integer" max="1920" units="cm"/>
          <inkml:channel name="Y" type="integer" max="1080" units="cm"/>
          <inkml:channel name="T" type="integer" max="2.14748E9" units="dev"/>
        </inkml:traceFormat>
        <inkml:channelProperties>
          <inkml:channelProperty channel="X" name="resolution" value="32.10703" units="1/cm"/>
          <inkml:channelProperty channel="Y" name="resolution" value="32.14286" units="1/cm"/>
          <inkml:channelProperty channel="T" name="resolution" value="1" units="1/dev"/>
        </inkml:channelProperties>
      </inkml:inkSource>
      <inkml:timestamp xml:id="ts0" timeString="2020-06-18T16:35:53.637"/>
    </inkml:context>
    <inkml:brush xml:id="br0">
      <inkml:brushProperty name="width" value="0.025" units="cm"/>
      <inkml:brushProperty name="height" value="0.025" units="cm"/>
      <inkml:brushProperty name="color" value="#D8EEF8"/>
    </inkml:brush>
  </inkml:definitions>
  <inkml:trace contextRef="#ctx0" brushRef="#br0">0 0 0</inkml:trace>
</inkml:ink>
</file>

<file path=xl/ink/ink39.xml><?xml version="1.0" encoding="utf-8"?>
<inkml:ink xmlns:inkml="http://www.w3.org/2003/InkML">
  <inkml:definitions>
    <inkml:context xml:id="ctx0">
      <inkml:inkSource xml:id="inkSrc0">
        <inkml:traceFormat>
          <inkml:channel name="X" type="integer" max="1920" units="cm"/>
          <inkml:channel name="Y" type="integer" max="1080" units="cm"/>
          <inkml:channel name="T" type="integer" max="2.14748E9" units="dev"/>
        </inkml:traceFormat>
        <inkml:channelProperties>
          <inkml:channelProperty channel="X" name="resolution" value="32.10703" units="1/cm"/>
          <inkml:channelProperty channel="Y" name="resolution" value="32.14286" units="1/cm"/>
          <inkml:channelProperty channel="T" name="resolution" value="1" units="1/dev"/>
        </inkml:channelProperties>
      </inkml:inkSource>
      <inkml:timestamp xml:id="ts0" timeString="2020-06-18T16:35:53.638"/>
    </inkml:context>
    <inkml:brush xml:id="br0">
      <inkml:brushProperty name="width" value="0.025" units="cm"/>
      <inkml:brushProperty name="height" value="0.025" units="cm"/>
      <inkml:brushProperty name="color" value="#D8EEF8"/>
    </inkml:brush>
  </inkml:definitions>
  <inkml:trace contextRef="#ctx0" brushRef="#br0">53 238 0,'0'26'156,"-26"27"-140,26-26 15,0-1-15,0 27 15,0-26-15,0-1-1,-27 1 173</inkml:trace>
  <inkml:trace contextRef="#ctx0" brushRef="#br0" timeOffset="1">0 132 0</inkml:trace>
  <inkml:trace contextRef="#ctx0" brushRef="#br0" timeOffset="2">133 0 0,'0'53'78,"0"79"-46,0 0-17,0 27 1,0-27 0</inkml:trace>
</inkml:ink>
</file>

<file path=xl/ink/ink4.xml><?xml version="1.0" encoding="utf-8"?>
<inkml:ink xmlns:inkml="http://www.w3.org/2003/InkML">
  <inkml:definitions>
    <inkml:context xml:id="ctx0">
      <inkml:inkSource xml:id="inkSrc0">
        <inkml:traceFormat>
          <inkml:channel name="X" type="integer" max="1920" units="cm"/>
          <inkml:channel name="Y" type="integer" max="1080" units="cm"/>
          <inkml:channel name="T" type="integer" max="2.14748E9" units="dev"/>
        </inkml:traceFormat>
        <inkml:channelProperties>
          <inkml:channelProperty channel="X" name="resolution" value="32.10703" units="1/cm"/>
          <inkml:channelProperty channel="Y" name="resolution" value="32.14286" units="1/cm"/>
          <inkml:channelProperty channel="T" name="resolution" value="1" units="1/dev"/>
        </inkml:channelProperties>
      </inkml:inkSource>
      <inkml:timestamp xml:id="ts0" timeString="2020-04-09T13:31:32.289"/>
    </inkml:context>
    <inkml:brush xml:id="br0">
      <inkml:brushProperty name="width" value="0.025" units="cm"/>
      <inkml:brushProperty name="height" value="0.025" units="cm"/>
      <inkml:brushProperty name="color" value="#D8EEF8"/>
    </inkml:brush>
  </inkml:definitions>
  <inkml:trace contextRef="#ctx0" brushRef="#br0">0 0 0</inkml:trace>
</inkml:ink>
</file>

<file path=xl/ink/ink40.xml><?xml version="1.0" encoding="utf-8"?>
<inkml:ink xmlns:inkml="http://www.w3.org/2003/InkML">
  <inkml:definitions>
    <inkml:context xml:id="ctx0">
      <inkml:inkSource xml:id="inkSrc0">
        <inkml:traceFormat>
          <inkml:channel name="X" type="integer" max="1920" units="cm"/>
          <inkml:channel name="Y" type="integer" max="1080" units="cm"/>
          <inkml:channel name="T" type="integer" max="2.14748E9" units="dev"/>
        </inkml:traceFormat>
        <inkml:channelProperties>
          <inkml:channelProperty channel="X" name="resolution" value="32.10703" units="1/cm"/>
          <inkml:channelProperty channel="Y" name="resolution" value="32.14286" units="1/cm"/>
          <inkml:channelProperty channel="T" name="resolution" value="1" units="1/dev"/>
        </inkml:channelProperties>
      </inkml:inkSource>
      <inkml:timestamp xml:id="ts0" timeString="2020-06-18T16:35:53.641"/>
    </inkml:context>
    <inkml:brush xml:id="br0">
      <inkml:brushProperty name="width" value="0.025" units="cm"/>
      <inkml:brushProperty name="height" value="0.025" units="cm"/>
      <inkml:brushProperty name="color" value="#D8EEF8"/>
    </inkml:brush>
  </inkml:definitions>
  <inkml:trace contextRef="#ctx0" brushRef="#br0">0 0 0</inkml:trace>
</inkml:ink>
</file>

<file path=xl/ink/ink41.xml><?xml version="1.0" encoding="utf-8"?>
<inkml:ink xmlns:inkml="http://www.w3.org/2003/InkML">
  <inkml:definitions>
    <inkml:context xml:id="ctx0">
      <inkml:inkSource xml:id="inkSrc0">
        <inkml:traceFormat>
          <inkml:channel name="X" type="integer" max="1920" units="cm"/>
          <inkml:channel name="Y" type="integer" max="1080" units="cm"/>
          <inkml:channel name="T" type="integer" max="2.14748E9" units="dev"/>
        </inkml:traceFormat>
        <inkml:channelProperties>
          <inkml:channelProperty channel="X" name="resolution" value="32.10703" units="1/cm"/>
          <inkml:channelProperty channel="Y" name="resolution" value="32.14286" units="1/cm"/>
          <inkml:channelProperty channel="T" name="resolution" value="1" units="1/dev"/>
        </inkml:channelProperties>
      </inkml:inkSource>
      <inkml:timestamp xml:id="ts0" timeString="2020-06-18T16:35:53.642"/>
    </inkml:context>
    <inkml:brush xml:id="br0">
      <inkml:brushProperty name="width" value="0.025" units="cm"/>
      <inkml:brushProperty name="height" value="0.025" units="cm"/>
      <inkml:brushProperty name="color" value="#D8EEF8"/>
    </inkml:brush>
  </inkml:definitions>
  <inkml:trace contextRef="#ctx0" brushRef="#br0">0 0 0</inkml:trace>
</inkml:ink>
</file>

<file path=xl/ink/ink42.xml><?xml version="1.0" encoding="utf-8"?>
<inkml:ink xmlns:inkml="http://www.w3.org/2003/InkML">
  <inkml:definitions>
    <inkml:context xml:id="ctx0">
      <inkml:inkSource xml:id="inkSrc0">
        <inkml:traceFormat>
          <inkml:channel name="X" type="integer" max="1920" units="cm"/>
          <inkml:channel name="Y" type="integer" max="1080" units="cm"/>
          <inkml:channel name="T" type="integer" max="2.14748E9" units="dev"/>
        </inkml:traceFormat>
        <inkml:channelProperties>
          <inkml:channelProperty channel="X" name="resolution" value="32.10703" units="1/cm"/>
          <inkml:channelProperty channel="Y" name="resolution" value="32.14286" units="1/cm"/>
          <inkml:channelProperty channel="T" name="resolution" value="1" units="1/dev"/>
        </inkml:channelProperties>
      </inkml:inkSource>
      <inkml:timestamp xml:id="ts0" timeString="2020-06-18T16:35:53.643"/>
    </inkml:context>
    <inkml:brush xml:id="br0">
      <inkml:brushProperty name="width" value="0.025" units="cm"/>
      <inkml:brushProperty name="height" value="0.025" units="cm"/>
      <inkml:brushProperty name="color" value="#D8EEF8"/>
    </inkml:brush>
  </inkml:definitions>
  <inkml:trace contextRef="#ctx0" brushRef="#br0">0 0 0</inkml:trace>
</inkml:ink>
</file>

<file path=xl/ink/ink43.xml><?xml version="1.0" encoding="utf-8"?>
<inkml:ink xmlns:inkml="http://www.w3.org/2003/InkML">
  <inkml:definitions>
    <inkml:context xml:id="ctx0">
      <inkml:inkSource xml:id="inkSrc0">
        <inkml:traceFormat>
          <inkml:channel name="X" type="integer" max="1920" units="cm"/>
          <inkml:channel name="Y" type="integer" max="1080" units="cm"/>
          <inkml:channel name="T" type="integer" max="2.14748E9" units="dev"/>
        </inkml:traceFormat>
        <inkml:channelProperties>
          <inkml:channelProperty channel="X" name="resolution" value="32.10703" units="1/cm"/>
          <inkml:channelProperty channel="Y" name="resolution" value="32.14286" units="1/cm"/>
          <inkml:channelProperty channel="T" name="resolution" value="1" units="1/dev"/>
        </inkml:channelProperties>
      </inkml:inkSource>
      <inkml:timestamp xml:id="ts0" timeString="2020-06-18T16:35:53.644"/>
    </inkml:context>
    <inkml:brush xml:id="br0">
      <inkml:brushProperty name="width" value="0.05" units="cm"/>
      <inkml:brushProperty name="height" value="0.05" units="cm"/>
      <inkml:brushProperty name="color" value="#D8EEF8"/>
    </inkml:brush>
  </inkml:definitions>
  <inkml:trace contextRef="#ctx0" brushRef="#br0">0 106 0,'26'0'172,"0"0"-110,-26-27 1,27 27 30,-27-26-93,0-1 16,0 1 140</inkml:trace>
</inkml:ink>
</file>

<file path=xl/ink/ink44.xml><?xml version="1.0" encoding="utf-8"?>
<inkml:ink xmlns:inkml="http://www.w3.org/2003/InkML">
  <inkml:definitions>
    <inkml:context xml:id="ctx0">
      <inkml:inkSource xml:id="inkSrc0">
        <inkml:traceFormat>
          <inkml:channel name="X" type="integer" max="1920" units="cm"/>
          <inkml:channel name="Y" type="integer" max="1080" units="cm"/>
          <inkml:channel name="T" type="integer" max="2.14748E9" units="dev"/>
        </inkml:traceFormat>
        <inkml:channelProperties>
          <inkml:channelProperty channel="X" name="resolution" value="32.10703" units="1/cm"/>
          <inkml:channelProperty channel="Y" name="resolution" value="32.14286" units="1/cm"/>
          <inkml:channelProperty channel="T" name="resolution" value="1" units="1/dev"/>
        </inkml:channelProperties>
      </inkml:inkSource>
      <inkml:timestamp xml:id="ts0" timeString="2020-06-18T16:35:53.645"/>
    </inkml:context>
    <inkml:brush xml:id="br0">
      <inkml:brushProperty name="width" value="0.05" units="cm"/>
      <inkml:brushProperty name="height" value="0.05" units="cm"/>
      <inkml:brushProperty name="color" value="#D8EEF8"/>
    </inkml:brush>
  </inkml:definitions>
  <inkml:trace contextRef="#ctx0" brushRef="#br0">0 0 0</inkml:trace>
</inkml:ink>
</file>

<file path=xl/ink/ink45.xml><?xml version="1.0" encoding="utf-8"?>
<inkml:ink xmlns:inkml="http://www.w3.org/2003/InkML">
  <inkml:definitions>
    <inkml:context xml:id="ctx0">
      <inkml:inkSource xml:id="inkSrc0">
        <inkml:traceFormat>
          <inkml:channel name="X" type="integer" max="1920" units="cm"/>
          <inkml:channel name="Y" type="integer" max="1080" units="cm"/>
          <inkml:channel name="T" type="integer" max="2.14748E9" units="dev"/>
        </inkml:traceFormat>
        <inkml:channelProperties>
          <inkml:channelProperty channel="X" name="resolution" value="32.10703" units="1/cm"/>
          <inkml:channelProperty channel="Y" name="resolution" value="32.14286" units="1/cm"/>
          <inkml:channelProperty channel="T" name="resolution" value="1" units="1/dev"/>
        </inkml:channelProperties>
      </inkml:inkSource>
      <inkml:timestamp xml:id="ts0" timeString="2020-06-18T16:35:53.646"/>
    </inkml:context>
    <inkml:brush xml:id="br0">
      <inkml:brushProperty name="width" value="0.05" units="cm"/>
      <inkml:brushProperty name="height" value="0.05" units="cm"/>
      <inkml:brushProperty name="color" value="#D8EEF8"/>
    </inkml:brush>
  </inkml:definitions>
  <inkml:trace contextRef="#ctx0" brushRef="#br0">0 0 0</inkml:trace>
</inkml:ink>
</file>

<file path=xl/ink/ink46.xml><?xml version="1.0" encoding="utf-8"?>
<inkml:ink xmlns:inkml="http://www.w3.org/2003/InkML">
  <inkml:definitions>
    <inkml:context xml:id="ctx0">
      <inkml:inkSource xml:id="inkSrc0">
        <inkml:traceFormat>
          <inkml:channel name="X" type="integer" max="1920" units="cm"/>
          <inkml:channel name="Y" type="integer" max="1080" units="cm"/>
          <inkml:channel name="T" type="integer" max="2.14748E9" units="dev"/>
        </inkml:traceFormat>
        <inkml:channelProperties>
          <inkml:channelProperty channel="X" name="resolution" value="32.10703" units="1/cm"/>
          <inkml:channelProperty channel="Y" name="resolution" value="32.14286" units="1/cm"/>
          <inkml:channelProperty channel="T" name="resolution" value="1" units="1/dev"/>
        </inkml:channelProperties>
      </inkml:inkSource>
      <inkml:timestamp xml:id="ts0" timeString="2020-06-18T16:35:53.647"/>
    </inkml:context>
    <inkml:brush xml:id="br0">
      <inkml:brushProperty name="width" value="0.05" units="cm"/>
      <inkml:brushProperty name="height" value="0.05" units="cm"/>
      <inkml:brushProperty name="color" value="#D8EEF8"/>
    </inkml:brush>
  </inkml:definitions>
  <inkml:trace contextRef="#ctx0" brushRef="#br0">0 0 0</inkml:trace>
</inkml:ink>
</file>

<file path=xl/ink/ink47.xml><?xml version="1.0" encoding="utf-8"?>
<inkml:ink xmlns:inkml="http://www.w3.org/2003/InkML">
  <inkml:definitions>
    <inkml:context xml:id="ctx0">
      <inkml:inkSource xml:id="inkSrc0">
        <inkml:traceFormat>
          <inkml:channel name="X" type="integer" max="1920" units="cm"/>
          <inkml:channel name="Y" type="integer" max="1080" units="cm"/>
          <inkml:channel name="T" type="integer" max="2.14748E9" units="dev"/>
        </inkml:traceFormat>
        <inkml:channelProperties>
          <inkml:channelProperty channel="X" name="resolution" value="32.10703" units="1/cm"/>
          <inkml:channelProperty channel="Y" name="resolution" value="32.14286" units="1/cm"/>
          <inkml:channelProperty channel="T" name="resolution" value="1" units="1/dev"/>
        </inkml:channelProperties>
      </inkml:inkSource>
      <inkml:timestamp xml:id="ts0" timeString="2020-06-20T13:34:22.823"/>
    </inkml:context>
    <inkml:brush xml:id="br0">
      <inkml:brushProperty name="width" value="0.025" units="cm"/>
      <inkml:brushProperty name="height" value="0.025" units="cm"/>
      <inkml:brushProperty name="color" value="#D8EEF8"/>
    </inkml:brush>
  </inkml:definitions>
  <inkml:trace contextRef="#ctx0" brushRef="#br0">0 0 0</inkml:trace>
</inkml:ink>
</file>

<file path=xl/ink/ink48.xml><?xml version="1.0" encoding="utf-8"?>
<inkml:ink xmlns:inkml="http://www.w3.org/2003/InkML">
  <inkml:definitions>
    <inkml:context xml:id="ctx0">
      <inkml:inkSource xml:id="inkSrc0">
        <inkml:traceFormat>
          <inkml:channel name="X" type="integer" max="1920" units="cm"/>
          <inkml:channel name="Y" type="integer" max="1080" units="cm"/>
          <inkml:channel name="T" type="integer" max="2.14748E9" units="dev"/>
        </inkml:traceFormat>
        <inkml:channelProperties>
          <inkml:channelProperty channel="X" name="resolution" value="32.10703" units="1/cm"/>
          <inkml:channelProperty channel="Y" name="resolution" value="32.14286" units="1/cm"/>
          <inkml:channelProperty channel="T" name="resolution" value="1" units="1/dev"/>
        </inkml:channelProperties>
      </inkml:inkSource>
      <inkml:timestamp xml:id="ts0" timeString="2020-06-20T13:34:22.824"/>
    </inkml:context>
    <inkml:brush xml:id="br0">
      <inkml:brushProperty name="width" value="0.025" units="cm"/>
      <inkml:brushProperty name="height" value="0.025" units="cm"/>
      <inkml:brushProperty name="color" value="#D8EEF8"/>
    </inkml:brush>
  </inkml:definitions>
  <inkml:trace contextRef="#ctx0" brushRef="#br0">53 238 0,'0'26'156,"-26"27"-140,26-26 15,0-1-15,0 27 15,0-26-15,0-1-1,-27 1 173</inkml:trace>
  <inkml:trace contextRef="#ctx0" brushRef="#br0" timeOffset="1">0 132 0</inkml:trace>
  <inkml:trace contextRef="#ctx0" brushRef="#br0" timeOffset="2">133 0 0,'0'53'78,"0"79"-46,0 0-17,0 27 1,0-27 0</inkml:trace>
</inkml:ink>
</file>

<file path=xl/ink/ink49.xml><?xml version="1.0" encoding="utf-8"?>
<inkml:ink xmlns:inkml="http://www.w3.org/2003/InkML">
  <inkml:definitions>
    <inkml:context xml:id="ctx0">
      <inkml:inkSource xml:id="inkSrc0">
        <inkml:traceFormat>
          <inkml:channel name="X" type="integer" max="1920" units="cm"/>
          <inkml:channel name="Y" type="integer" max="1080" units="cm"/>
          <inkml:channel name="T" type="integer" max="2.14748E9" units="dev"/>
        </inkml:traceFormat>
        <inkml:channelProperties>
          <inkml:channelProperty channel="X" name="resolution" value="32.10703" units="1/cm"/>
          <inkml:channelProperty channel="Y" name="resolution" value="32.14286" units="1/cm"/>
          <inkml:channelProperty channel="T" name="resolution" value="1" units="1/dev"/>
        </inkml:channelProperties>
      </inkml:inkSource>
      <inkml:timestamp xml:id="ts0" timeString="2020-06-20T13:34:22.827"/>
    </inkml:context>
    <inkml:brush xml:id="br0">
      <inkml:brushProperty name="width" value="0.025" units="cm"/>
      <inkml:brushProperty name="height" value="0.025" units="cm"/>
      <inkml:brushProperty name="color" value="#D8EEF8"/>
    </inkml:brush>
  </inkml:definitions>
  <inkml:trace contextRef="#ctx0" brushRef="#br0">0 0 0</inkml:trace>
</inkml:ink>
</file>

<file path=xl/ink/ink5.xml><?xml version="1.0" encoding="utf-8"?>
<inkml:ink xmlns:inkml="http://www.w3.org/2003/InkML">
  <inkml:definitions>
    <inkml:context xml:id="ctx0">
      <inkml:inkSource xml:id="inkSrc0">
        <inkml:traceFormat>
          <inkml:channel name="X" type="integer" max="1920" units="cm"/>
          <inkml:channel name="Y" type="integer" max="1080" units="cm"/>
          <inkml:channel name="T" type="integer" max="2.14748E9" units="dev"/>
        </inkml:traceFormat>
        <inkml:channelProperties>
          <inkml:channelProperty channel="X" name="resolution" value="32.10703" units="1/cm"/>
          <inkml:channelProperty channel="Y" name="resolution" value="32.14286" units="1/cm"/>
          <inkml:channelProperty channel="T" name="resolution" value="1" units="1/dev"/>
        </inkml:channelProperties>
      </inkml:inkSource>
      <inkml:timestamp xml:id="ts0" timeString="2020-04-09T13:31:32.789"/>
    </inkml:context>
    <inkml:brush xml:id="br0">
      <inkml:brushProperty name="width" value="0.025" units="cm"/>
      <inkml:brushProperty name="height" value="0.025" units="cm"/>
      <inkml:brushProperty name="color" value="#D8EEF8"/>
    </inkml:brush>
  </inkml:definitions>
  <inkml:trace contextRef="#ctx0" brushRef="#br0">0 0 0</inkml:trace>
</inkml:ink>
</file>

<file path=xl/ink/ink50.xml><?xml version="1.0" encoding="utf-8"?>
<inkml:ink xmlns:inkml="http://www.w3.org/2003/InkML">
  <inkml:definitions>
    <inkml:context xml:id="ctx0">
      <inkml:inkSource xml:id="inkSrc0">
        <inkml:traceFormat>
          <inkml:channel name="X" type="integer" max="1920" units="cm"/>
          <inkml:channel name="Y" type="integer" max="1080" units="cm"/>
          <inkml:channel name="T" type="integer" max="2.14748E9" units="dev"/>
        </inkml:traceFormat>
        <inkml:channelProperties>
          <inkml:channelProperty channel="X" name="resolution" value="32.10703" units="1/cm"/>
          <inkml:channelProperty channel="Y" name="resolution" value="32.14286" units="1/cm"/>
          <inkml:channelProperty channel="T" name="resolution" value="1" units="1/dev"/>
        </inkml:channelProperties>
      </inkml:inkSource>
      <inkml:timestamp xml:id="ts0" timeString="2020-06-20T13:34:22.828"/>
    </inkml:context>
    <inkml:brush xml:id="br0">
      <inkml:brushProperty name="width" value="0.025" units="cm"/>
      <inkml:brushProperty name="height" value="0.025" units="cm"/>
      <inkml:brushProperty name="color" value="#D8EEF8"/>
    </inkml:brush>
  </inkml:definitions>
  <inkml:trace contextRef="#ctx0" brushRef="#br0">0 0 0</inkml:trace>
</inkml:ink>
</file>

<file path=xl/ink/ink51.xml><?xml version="1.0" encoding="utf-8"?>
<inkml:ink xmlns:inkml="http://www.w3.org/2003/InkML">
  <inkml:definitions>
    <inkml:context xml:id="ctx0">
      <inkml:inkSource xml:id="inkSrc0">
        <inkml:traceFormat>
          <inkml:channel name="X" type="integer" max="1920" units="cm"/>
          <inkml:channel name="Y" type="integer" max="1080" units="cm"/>
          <inkml:channel name="T" type="integer" max="2.14748E9" units="dev"/>
        </inkml:traceFormat>
        <inkml:channelProperties>
          <inkml:channelProperty channel="X" name="resolution" value="32.10703" units="1/cm"/>
          <inkml:channelProperty channel="Y" name="resolution" value="32.14286" units="1/cm"/>
          <inkml:channelProperty channel="T" name="resolution" value="1" units="1/dev"/>
        </inkml:channelProperties>
      </inkml:inkSource>
      <inkml:timestamp xml:id="ts0" timeString="2020-06-20T13:34:22.829"/>
    </inkml:context>
    <inkml:brush xml:id="br0">
      <inkml:brushProperty name="width" value="0.025" units="cm"/>
      <inkml:brushProperty name="height" value="0.025" units="cm"/>
      <inkml:brushProperty name="color" value="#D8EEF8"/>
    </inkml:brush>
  </inkml:definitions>
  <inkml:trace contextRef="#ctx0" brushRef="#br0">0 0 0</inkml:trace>
</inkml:ink>
</file>

<file path=xl/ink/ink52.xml><?xml version="1.0" encoding="utf-8"?>
<inkml:ink xmlns:inkml="http://www.w3.org/2003/InkML">
  <inkml:definitions>
    <inkml:context xml:id="ctx0">
      <inkml:inkSource xml:id="inkSrc0">
        <inkml:traceFormat>
          <inkml:channel name="X" type="integer" max="1920" units="cm"/>
          <inkml:channel name="Y" type="integer" max="1080" units="cm"/>
          <inkml:channel name="T" type="integer" max="2.14748E9" units="dev"/>
        </inkml:traceFormat>
        <inkml:channelProperties>
          <inkml:channelProperty channel="X" name="resolution" value="32.10703" units="1/cm"/>
          <inkml:channelProperty channel="Y" name="resolution" value="32.14286" units="1/cm"/>
          <inkml:channelProperty channel="T" name="resolution" value="1" units="1/dev"/>
        </inkml:channelProperties>
      </inkml:inkSource>
      <inkml:timestamp xml:id="ts0" timeString="2020-06-20T13:34:22.830"/>
    </inkml:context>
    <inkml:brush xml:id="br0">
      <inkml:brushProperty name="width" value="0.05" units="cm"/>
      <inkml:brushProperty name="height" value="0.05" units="cm"/>
      <inkml:brushProperty name="color" value="#D8EEF8"/>
    </inkml:brush>
  </inkml:definitions>
  <inkml:trace contextRef="#ctx0" brushRef="#br0">0 106 0,'26'0'172,"0"0"-110,-26-27 1,27 27 30,-27-26-93,0-1 16,0 1 140</inkml:trace>
</inkml:ink>
</file>

<file path=xl/ink/ink53.xml><?xml version="1.0" encoding="utf-8"?>
<inkml:ink xmlns:inkml="http://www.w3.org/2003/InkML">
  <inkml:definitions>
    <inkml:context xml:id="ctx0">
      <inkml:inkSource xml:id="inkSrc0">
        <inkml:traceFormat>
          <inkml:channel name="X" type="integer" max="1920" units="cm"/>
          <inkml:channel name="Y" type="integer" max="1080" units="cm"/>
          <inkml:channel name="T" type="integer" max="2.14748E9" units="dev"/>
        </inkml:traceFormat>
        <inkml:channelProperties>
          <inkml:channelProperty channel="X" name="resolution" value="32.10703" units="1/cm"/>
          <inkml:channelProperty channel="Y" name="resolution" value="32.14286" units="1/cm"/>
          <inkml:channelProperty channel="T" name="resolution" value="1" units="1/dev"/>
        </inkml:channelProperties>
      </inkml:inkSource>
      <inkml:timestamp xml:id="ts0" timeString="2020-06-20T13:34:22.831"/>
    </inkml:context>
    <inkml:brush xml:id="br0">
      <inkml:brushProperty name="width" value="0.05" units="cm"/>
      <inkml:brushProperty name="height" value="0.05" units="cm"/>
      <inkml:brushProperty name="color" value="#D8EEF8"/>
    </inkml:brush>
  </inkml:definitions>
  <inkml:trace contextRef="#ctx0" brushRef="#br0">0 0 0</inkml:trace>
</inkml:ink>
</file>

<file path=xl/ink/ink54.xml><?xml version="1.0" encoding="utf-8"?>
<inkml:ink xmlns:inkml="http://www.w3.org/2003/InkML">
  <inkml:definitions>
    <inkml:context xml:id="ctx0">
      <inkml:inkSource xml:id="inkSrc0">
        <inkml:traceFormat>
          <inkml:channel name="X" type="integer" max="1920" units="cm"/>
          <inkml:channel name="Y" type="integer" max="1080" units="cm"/>
          <inkml:channel name="T" type="integer" max="2.14748E9" units="dev"/>
        </inkml:traceFormat>
        <inkml:channelProperties>
          <inkml:channelProperty channel="X" name="resolution" value="32.10703" units="1/cm"/>
          <inkml:channelProperty channel="Y" name="resolution" value="32.14286" units="1/cm"/>
          <inkml:channelProperty channel="T" name="resolution" value="1" units="1/dev"/>
        </inkml:channelProperties>
      </inkml:inkSource>
      <inkml:timestamp xml:id="ts0" timeString="2020-06-20T13:34:22.832"/>
    </inkml:context>
    <inkml:brush xml:id="br0">
      <inkml:brushProperty name="width" value="0.05" units="cm"/>
      <inkml:brushProperty name="height" value="0.05" units="cm"/>
      <inkml:brushProperty name="color" value="#D8EEF8"/>
    </inkml:brush>
  </inkml:definitions>
  <inkml:trace contextRef="#ctx0" brushRef="#br0">0 0 0</inkml:trace>
</inkml:ink>
</file>

<file path=xl/ink/ink55.xml><?xml version="1.0" encoding="utf-8"?>
<inkml:ink xmlns:inkml="http://www.w3.org/2003/InkML">
  <inkml:definitions>
    <inkml:context xml:id="ctx0">
      <inkml:inkSource xml:id="inkSrc0">
        <inkml:traceFormat>
          <inkml:channel name="X" type="integer" max="1920" units="cm"/>
          <inkml:channel name="Y" type="integer" max="1080" units="cm"/>
          <inkml:channel name="T" type="integer" max="2.14748E9" units="dev"/>
        </inkml:traceFormat>
        <inkml:channelProperties>
          <inkml:channelProperty channel="X" name="resolution" value="32.10703" units="1/cm"/>
          <inkml:channelProperty channel="Y" name="resolution" value="32.14286" units="1/cm"/>
          <inkml:channelProperty channel="T" name="resolution" value="1" units="1/dev"/>
        </inkml:channelProperties>
      </inkml:inkSource>
      <inkml:timestamp xml:id="ts0" timeString="2020-06-20T13:34:22.833"/>
    </inkml:context>
    <inkml:brush xml:id="br0">
      <inkml:brushProperty name="width" value="0.05" units="cm"/>
      <inkml:brushProperty name="height" value="0.05" units="cm"/>
      <inkml:brushProperty name="color" value="#D8EEF8"/>
    </inkml:brush>
  </inkml:definitions>
  <inkml:trace contextRef="#ctx0" brushRef="#br0">0 0 0</inkml:trace>
</inkml:ink>
</file>

<file path=xl/ink/ink56.xml><?xml version="1.0" encoding="utf-8"?>
<inkml:ink xmlns:inkml="http://www.w3.org/2003/InkML">
  <inkml:definitions>
    <inkml:context xml:id="ctx0">
      <inkml:inkSource xml:id="inkSrc0">
        <inkml:traceFormat>
          <inkml:channel name="X" type="integer" max="1920" units="cm"/>
          <inkml:channel name="Y" type="integer" max="1080" units="cm"/>
          <inkml:channel name="T" type="integer" max="2.14748E9" units="dev"/>
        </inkml:traceFormat>
        <inkml:channelProperties>
          <inkml:channelProperty channel="X" name="resolution" value="32.10703" units="1/cm"/>
          <inkml:channelProperty channel="Y" name="resolution" value="32.14286" units="1/cm"/>
          <inkml:channelProperty channel="T" name="resolution" value="1" units="1/dev"/>
        </inkml:channelProperties>
      </inkml:inkSource>
      <inkml:timestamp xml:id="ts0" timeString="2020-07-24T19:14:39.516"/>
    </inkml:context>
    <inkml:brush xml:id="br0">
      <inkml:brushProperty name="width" value="0.025" units="cm"/>
      <inkml:brushProperty name="height" value="0.025" units="cm"/>
      <inkml:brushProperty name="color" value="#D8EEF8"/>
    </inkml:brush>
  </inkml:definitions>
  <inkml:trace contextRef="#ctx0" brushRef="#br0">0 0 0</inkml:trace>
</inkml:ink>
</file>

<file path=xl/ink/ink57.xml><?xml version="1.0" encoding="utf-8"?>
<inkml:ink xmlns:inkml="http://www.w3.org/2003/InkML">
  <inkml:definitions>
    <inkml:context xml:id="ctx0">
      <inkml:inkSource xml:id="inkSrc0">
        <inkml:traceFormat>
          <inkml:channel name="X" type="integer" max="1920" units="cm"/>
          <inkml:channel name="Y" type="integer" max="1080" units="cm"/>
          <inkml:channel name="T" type="integer" max="2.14748E9" units="dev"/>
        </inkml:traceFormat>
        <inkml:channelProperties>
          <inkml:channelProperty channel="X" name="resolution" value="32.10703" units="1/cm"/>
          <inkml:channelProperty channel="Y" name="resolution" value="32.14286" units="1/cm"/>
          <inkml:channelProperty channel="T" name="resolution" value="1" units="1/dev"/>
        </inkml:channelProperties>
      </inkml:inkSource>
      <inkml:timestamp xml:id="ts0" timeString="2020-07-24T19:14:39.517"/>
    </inkml:context>
    <inkml:brush xml:id="br0">
      <inkml:brushProperty name="width" value="0.025" units="cm"/>
      <inkml:brushProperty name="height" value="0.025" units="cm"/>
      <inkml:brushProperty name="color" value="#D8EEF8"/>
    </inkml:brush>
  </inkml:definitions>
  <inkml:trace contextRef="#ctx0" brushRef="#br0">53 238 0,'0'26'156,"-26"27"-140,26-26 15,0-1-15,0 27 15,0-26-15,0-1-1,-27 1 173</inkml:trace>
  <inkml:trace contextRef="#ctx0" brushRef="#br0" timeOffset="1">0 132 0</inkml:trace>
  <inkml:trace contextRef="#ctx0" brushRef="#br0" timeOffset="2">133 0 0,'0'53'78,"0"79"-46,0 0-17,0 27 1,0-27 0</inkml:trace>
</inkml:ink>
</file>

<file path=xl/ink/ink58.xml><?xml version="1.0" encoding="utf-8"?>
<inkml:ink xmlns:inkml="http://www.w3.org/2003/InkML">
  <inkml:definitions>
    <inkml:context xml:id="ctx0">
      <inkml:inkSource xml:id="inkSrc0">
        <inkml:traceFormat>
          <inkml:channel name="X" type="integer" max="1920" units="cm"/>
          <inkml:channel name="Y" type="integer" max="1080" units="cm"/>
          <inkml:channel name="T" type="integer" max="2.14748E9" units="dev"/>
        </inkml:traceFormat>
        <inkml:channelProperties>
          <inkml:channelProperty channel="X" name="resolution" value="32.10703" units="1/cm"/>
          <inkml:channelProperty channel="Y" name="resolution" value="32.14286" units="1/cm"/>
          <inkml:channelProperty channel="T" name="resolution" value="1" units="1/dev"/>
        </inkml:channelProperties>
      </inkml:inkSource>
      <inkml:timestamp xml:id="ts0" timeString="2020-07-24T19:14:39.520"/>
    </inkml:context>
    <inkml:brush xml:id="br0">
      <inkml:brushProperty name="width" value="0.025" units="cm"/>
      <inkml:brushProperty name="height" value="0.025" units="cm"/>
      <inkml:brushProperty name="color" value="#D8EEF8"/>
    </inkml:brush>
  </inkml:definitions>
  <inkml:trace contextRef="#ctx0" brushRef="#br0">0 0 0</inkml:trace>
</inkml:ink>
</file>

<file path=xl/ink/ink59.xml><?xml version="1.0" encoding="utf-8"?>
<inkml:ink xmlns:inkml="http://www.w3.org/2003/InkML">
  <inkml:definitions>
    <inkml:context xml:id="ctx0">
      <inkml:inkSource xml:id="inkSrc0">
        <inkml:traceFormat>
          <inkml:channel name="X" type="integer" max="1920" units="cm"/>
          <inkml:channel name="Y" type="integer" max="1080" units="cm"/>
          <inkml:channel name="T" type="integer" max="2.14748E9" units="dev"/>
        </inkml:traceFormat>
        <inkml:channelProperties>
          <inkml:channelProperty channel="X" name="resolution" value="32.10703" units="1/cm"/>
          <inkml:channelProperty channel="Y" name="resolution" value="32.14286" units="1/cm"/>
          <inkml:channelProperty channel="T" name="resolution" value="1" units="1/dev"/>
        </inkml:channelProperties>
      </inkml:inkSource>
      <inkml:timestamp xml:id="ts0" timeString="2020-07-24T19:14:39.521"/>
    </inkml:context>
    <inkml:brush xml:id="br0">
      <inkml:brushProperty name="width" value="0.025" units="cm"/>
      <inkml:brushProperty name="height" value="0.025" units="cm"/>
      <inkml:brushProperty name="color" value="#D8EEF8"/>
    </inkml:brush>
  </inkml:definitions>
  <inkml:trace contextRef="#ctx0" brushRef="#br0">0 0 0</inkml:trace>
</inkml:ink>
</file>

<file path=xl/ink/ink6.xml><?xml version="1.0" encoding="utf-8"?>
<inkml:ink xmlns:inkml="http://www.w3.org/2003/InkML">
  <inkml:definitions>
    <inkml:context xml:id="ctx0">
      <inkml:inkSource xml:id="inkSrc0">
        <inkml:traceFormat>
          <inkml:channel name="X" type="integer" max="1920" units="cm"/>
          <inkml:channel name="Y" type="integer" max="1080" units="cm"/>
          <inkml:channel name="T" type="integer" max="2.14748E9" units="dev"/>
        </inkml:traceFormat>
        <inkml:channelProperties>
          <inkml:channelProperty channel="X" name="resolution" value="32.10703" units="1/cm"/>
          <inkml:channelProperty channel="Y" name="resolution" value="32.14286" units="1/cm"/>
          <inkml:channelProperty channel="T" name="resolution" value="1" units="1/dev"/>
        </inkml:channelProperties>
      </inkml:inkSource>
      <inkml:timestamp xml:id="ts0" timeString="2020-04-09T13:34:10.326"/>
    </inkml:context>
    <inkml:brush xml:id="br0">
      <inkml:brushProperty name="width" value="0.05" units="cm"/>
      <inkml:brushProperty name="height" value="0.05" units="cm"/>
      <inkml:brushProperty name="color" value="#D8EEF8"/>
    </inkml:brush>
  </inkml:definitions>
  <inkml:trace contextRef="#ctx0" brushRef="#br0">0 106 0,'26'0'172,"0"0"-110,-26-27 1,27 27 30,-27-26-93,0-1 16,0 1 140</inkml:trace>
</inkml:ink>
</file>

<file path=xl/ink/ink60.xml><?xml version="1.0" encoding="utf-8"?>
<inkml:ink xmlns:inkml="http://www.w3.org/2003/InkML">
  <inkml:definitions>
    <inkml:context xml:id="ctx0">
      <inkml:inkSource xml:id="inkSrc0">
        <inkml:traceFormat>
          <inkml:channel name="X" type="integer" max="1920" units="cm"/>
          <inkml:channel name="Y" type="integer" max="1080" units="cm"/>
          <inkml:channel name="T" type="integer" max="2.14748E9" units="dev"/>
        </inkml:traceFormat>
        <inkml:channelProperties>
          <inkml:channelProperty channel="X" name="resolution" value="32.10703" units="1/cm"/>
          <inkml:channelProperty channel="Y" name="resolution" value="32.14286" units="1/cm"/>
          <inkml:channelProperty channel="T" name="resolution" value="1" units="1/dev"/>
        </inkml:channelProperties>
      </inkml:inkSource>
      <inkml:timestamp xml:id="ts0" timeString="2020-07-24T19:14:39.522"/>
    </inkml:context>
    <inkml:brush xml:id="br0">
      <inkml:brushProperty name="width" value="0.025" units="cm"/>
      <inkml:brushProperty name="height" value="0.025" units="cm"/>
      <inkml:brushProperty name="color" value="#D8EEF8"/>
    </inkml:brush>
  </inkml:definitions>
  <inkml:trace contextRef="#ctx0" brushRef="#br0">0 0 0</inkml:trace>
</inkml:ink>
</file>

<file path=xl/ink/ink61.xml><?xml version="1.0" encoding="utf-8"?>
<inkml:ink xmlns:inkml="http://www.w3.org/2003/InkML">
  <inkml:definitions>
    <inkml:context xml:id="ctx0">
      <inkml:inkSource xml:id="inkSrc0">
        <inkml:traceFormat>
          <inkml:channel name="X" type="integer" max="1920" units="cm"/>
          <inkml:channel name="Y" type="integer" max="1080" units="cm"/>
          <inkml:channel name="T" type="integer" max="2.14748E9" units="dev"/>
        </inkml:traceFormat>
        <inkml:channelProperties>
          <inkml:channelProperty channel="X" name="resolution" value="32.10703" units="1/cm"/>
          <inkml:channelProperty channel="Y" name="resolution" value="32.14286" units="1/cm"/>
          <inkml:channelProperty channel="T" name="resolution" value="1" units="1/dev"/>
        </inkml:channelProperties>
      </inkml:inkSource>
      <inkml:timestamp xml:id="ts0" timeString="2020-07-24T19:14:39.523"/>
    </inkml:context>
    <inkml:brush xml:id="br0">
      <inkml:brushProperty name="width" value="0.05" units="cm"/>
      <inkml:brushProperty name="height" value="0.05" units="cm"/>
      <inkml:brushProperty name="color" value="#D8EEF8"/>
    </inkml:brush>
  </inkml:definitions>
  <inkml:trace contextRef="#ctx0" brushRef="#br0">0 106 0,'26'0'172,"0"0"-110,-26-27 1,27 27 30,-27-26-93,0-1 16,0 1 140</inkml:trace>
</inkml:ink>
</file>

<file path=xl/ink/ink62.xml><?xml version="1.0" encoding="utf-8"?>
<inkml:ink xmlns:inkml="http://www.w3.org/2003/InkML">
  <inkml:definitions>
    <inkml:context xml:id="ctx0">
      <inkml:inkSource xml:id="inkSrc0">
        <inkml:traceFormat>
          <inkml:channel name="X" type="integer" max="1920" units="cm"/>
          <inkml:channel name="Y" type="integer" max="1080" units="cm"/>
          <inkml:channel name="T" type="integer" max="2.14748E9" units="dev"/>
        </inkml:traceFormat>
        <inkml:channelProperties>
          <inkml:channelProperty channel="X" name="resolution" value="32.10703" units="1/cm"/>
          <inkml:channelProperty channel="Y" name="resolution" value="32.14286" units="1/cm"/>
          <inkml:channelProperty channel="T" name="resolution" value="1" units="1/dev"/>
        </inkml:channelProperties>
      </inkml:inkSource>
      <inkml:timestamp xml:id="ts0" timeString="2020-07-24T19:14:39.524"/>
    </inkml:context>
    <inkml:brush xml:id="br0">
      <inkml:brushProperty name="width" value="0.05" units="cm"/>
      <inkml:brushProperty name="height" value="0.05" units="cm"/>
      <inkml:brushProperty name="color" value="#D8EEF8"/>
    </inkml:brush>
  </inkml:definitions>
  <inkml:trace contextRef="#ctx0" brushRef="#br0">0 0 0</inkml:trace>
</inkml:ink>
</file>

<file path=xl/ink/ink63.xml><?xml version="1.0" encoding="utf-8"?>
<inkml:ink xmlns:inkml="http://www.w3.org/2003/InkML">
  <inkml:definitions>
    <inkml:context xml:id="ctx0">
      <inkml:inkSource xml:id="inkSrc0">
        <inkml:traceFormat>
          <inkml:channel name="X" type="integer" max="1920" units="cm"/>
          <inkml:channel name="Y" type="integer" max="1080" units="cm"/>
          <inkml:channel name="T" type="integer" max="2.14748E9" units="dev"/>
        </inkml:traceFormat>
        <inkml:channelProperties>
          <inkml:channelProperty channel="X" name="resolution" value="32.10703" units="1/cm"/>
          <inkml:channelProperty channel="Y" name="resolution" value="32.14286" units="1/cm"/>
          <inkml:channelProperty channel="T" name="resolution" value="1" units="1/dev"/>
        </inkml:channelProperties>
      </inkml:inkSource>
      <inkml:timestamp xml:id="ts0" timeString="2020-07-24T19:14:39.525"/>
    </inkml:context>
    <inkml:brush xml:id="br0">
      <inkml:brushProperty name="width" value="0.05" units="cm"/>
      <inkml:brushProperty name="height" value="0.05" units="cm"/>
      <inkml:brushProperty name="color" value="#D8EEF8"/>
    </inkml:brush>
  </inkml:definitions>
  <inkml:trace contextRef="#ctx0" brushRef="#br0">0 0 0</inkml:trace>
</inkml:ink>
</file>

<file path=xl/ink/ink64.xml><?xml version="1.0" encoding="utf-8"?>
<inkml:ink xmlns:inkml="http://www.w3.org/2003/InkML">
  <inkml:definitions>
    <inkml:context xml:id="ctx0">
      <inkml:inkSource xml:id="inkSrc0">
        <inkml:traceFormat>
          <inkml:channel name="X" type="integer" max="1920" units="cm"/>
          <inkml:channel name="Y" type="integer" max="1080" units="cm"/>
          <inkml:channel name="T" type="integer" max="2.14748E9" units="dev"/>
        </inkml:traceFormat>
        <inkml:channelProperties>
          <inkml:channelProperty channel="X" name="resolution" value="32.10703" units="1/cm"/>
          <inkml:channelProperty channel="Y" name="resolution" value="32.14286" units="1/cm"/>
          <inkml:channelProperty channel="T" name="resolution" value="1" units="1/dev"/>
        </inkml:channelProperties>
      </inkml:inkSource>
      <inkml:timestamp xml:id="ts0" timeString="2020-07-24T19:14:39.526"/>
    </inkml:context>
    <inkml:brush xml:id="br0">
      <inkml:brushProperty name="width" value="0.05" units="cm"/>
      <inkml:brushProperty name="height" value="0.05" units="cm"/>
      <inkml:brushProperty name="color" value="#D8EEF8"/>
    </inkml:brush>
  </inkml:definitions>
  <inkml:trace contextRef="#ctx0" brushRef="#br0">0 0 0</inkml:trace>
</inkml:ink>
</file>

<file path=xl/ink/ink65.xml><?xml version="1.0" encoding="utf-8"?>
<inkml:ink xmlns:inkml="http://www.w3.org/2003/InkML">
  <inkml:definitions>
    <inkml:context xml:id="ctx0">
      <inkml:inkSource xml:id="inkSrc0">
        <inkml:traceFormat>
          <inkml:channel name="X" type="integer" max="1920" units="cm"/>
          <inkml:channel name="Y" type="integer" max="1080" units="cm"/>
          <inkml:channel name="T" type="integer" max="2.14748E9" units="dev"/>
        </inkml:traceFormat>
        <inkml:channelProperties>
          <inkml:channelProperty channel="X" name="resolution" value="32.10703" units="1/cm"/>
          <inkml:channelProperty channel="Y" name="resolution" value="32.14286" units="1/cm"/>
          <inkml:channelProperty channel="T" name="resolution" value="1" units="1/dev"/>
        </inkml:channelProperties>
      </inkml:inkSource>
      <inkml:timestamp xml:id="ts0" timeString="2020-07-24T19:22:05.660"/>
    </inkml:context>
    <inkml:brush xml:id="br0">
      <inkml:brushProperty name="width" value="0.025" units="cm"/>
      <inkml:brushProperty name="height" value="0.025" units="cm"/>
      <inkml:brushProperty name="color" value="#D8EEF8"/>
    </inkml:brush>
  </inkml:definitions>
  <inkml:trace contextRef="#ctx0" brushRef="#br0">0 0 0</inkml:trace>
</inkml:ink>
</file>

<file path=xl/ink/ink66.xml><?xml version="1.0" encoding="utf-8"?>
<inkml:ink xmlns:inkml="http://www.w3.org/2003/InkML">
  <inkml:definitions>
    <inkml:context xml:id="ctx0">
      <inkml:inkSource xml:id="inkSrc0">
        <inkml:traceFormat>
          <inkml:channel name="X" type="integer" max="1920" units="cm"/>
          <inkml:channel name="Y" type="integer" max="1080" units="cm"/>
          <inkml:channel name="T" type="integer" max="2.14748E9" units="dev"/>
        </inkml:traceFormat>
        <inkml:channelProperties>
          <inkml:channelProperty channel="X" name="resolution" value="32.10703" units="1/cm"/>
          <inkml:channelProperty channel="Y" name="resolution" value="32.14286" units="1/cm"/>
          <inkml:channelProperty channel="T" name="resolution" value="1" units="1/dev"/>
        </inkml:channelProperties>
      </inkml:inkSource>
      <inkml:timestamp xml:id="ts0" timeString="2020-07-24T19:22:05.661"/>
    </inkml:context>
    <inkml:brush xml:id="br0">
      <inkml:brushProperty name="width" value="0.025" units="cm"/>
      <inkml:brushProperty name="height" value="0.025" units="cm"/>
      <inkml:brushProperty name="color" value="#D8EEF8"/>
    </inkml:brush>
  </inkml:definitions>
  <inkml:trace contextRef="#ctx0" brushRef="#br0">53 238 0,'0'26'156,"-26"27"-140,26-26 15,0-1-15,0 27 15,0-26-15,0-1-1,-27 1 173</inkml:trace>
  <inkml:trace contextRef="#ctx0" brushRef="#br0" timeOffset="1">0 132 0</inkml:trace>
  <inkml:trace contextRef="#ctx0" brushRef="#br0" timeOffset="2">133 0 0,'0'53'78,"0"79"-46,0 0-17,0 27 1,0-27 0</inkml:trace>
</inkml:ink>
</file>

<file path=xl/ink/ink67.xml><?xml version="1.0" encoding="utf-8"?>
<inkml:ink xmlns:inkml="http://www.w3.org/2003/InkML">
  <inkml:definitions>
    <inkml:context xml:id="ctx0">
      <inkml:inkSource xml:id="inkSrc0">
        <inkml:traceFormat>
          <inkml:channel name="X" type="integer" max="1920" units="cm"/>
          <inkml:channel name="Y" type="integer" max="1080" units="cm"/>
          <inkml:channel name="T" type="integer" max="2.14748E9" units="dev"/>
        </inkml:traceFormat>
        <inkml:channelProperties>
          <inkml:channelProperty channel="X" name="resolution" value="32.10703" units="1/cm"/>
          <inkml:channelProperty channel="Y" name="resolution" value="32.14286" units="1/cm"/>
          <inkml:channelProperty channel="T" name="resolution" value="1" units="1/dev"/>
        </inkml:channelProperties>
      </inkml:inkSource>
      <inkml:timestamp xml:id="ts0" timeString="2020-07-24T19:22:05.664"/>
    </inkml:context>
    <inkml:brush xml:id="br0">
      <inkml:brushProperty name="width" value="0.025" units="cm"/>
      <inkml:brushProperty name="height" value="0.025" units="cm"/>
      <inkml:brushProperty name="color" value="#D8EEF8"/>
    </inkml:brush>
  </inkml:definitions>
  <inkml:trace contextRef="#ctx0" brushRef="#br0">0 0 0</inkml:trace>
</inkml:ink>
</file>

<file path=xl/ink/ink68.xml><?xml version="1.0" encoding="utf-8"?>
<inkml:ink xmlns:inkml="http://www.w3.org/2003/InkML">
  <inkml:definitions>
    <inkml:context xml:id="ctx0">
      <inkml:inkSource xml:id="inkSrc0">
        <inkml:traceFormat>
          <inkml:channel name="X" type="integer" max="1920" units="cm"/>
          <inkml:channel name="Y" type="integer" max="1080" units="cm"/>
          <inkml:channel name="T" type="integer" max="2.14748E9" units="dev"/>
        </inkml:traceFormat>
        <inkml:channelProperties>
          <inkml:channelProperty channel="X" name="resolution" value="32.10703" units="1/cm"/>
          <inkml:channelProperty channel="Y" name="resolution" value="32.14286" units="1/cm"/>
          <inkml:channelProperty channel="T" name="resolution" value="1" units="1/dev"/>
        </inkml:channelProperties>
      </inkml:inkSource>
      <inkml:timestamp xml:id="ts0" timeString="2020-07-24T19:22:05.665"/>
    </inkml:context>
    <inkml:brush xml:id="br0">
      <inkml:brushProperty name="width" value="0.025" units="cm"/>
      <inkml:brushProperty name="height" value="0.025" units="cm"/>
      <inkml:brushProperty name="color" value="#D8EEF8"/>
    </inkml:brush>
  </inkml:definitions>
  <inkml:trace contextRef="#ctx0" brushRef="#br0">0 0 0</inkml:trace>
</inkml:ink>
</file>

<file path=xl/ink/ink69.xml><?xml version="1.0" encoding="utf-8"?>
<inkml:ink xmlns:inkml="http://www.w3.org/2003/InkML">
  <inkml:definitions>
    <inkml:context xml:id="ctx0">
      <inkml:inkSource xml:id="inkSrc0">
        <inkml:traceFormat>
          <inkml:channel name="X" type="integer" max="1920" units="cm"/>
          <inkml:channel name="Y" type="integer" max="1080" units="cm"/>
          <inkml:channel name="T" type="integer" max="2.14748E9" units="dev"/>
        </inkml:traceFormat>
        <inkml:channelProperties>
          <inkml:channelProperty channel="X" name="resolution" value="32.10703" units="1/cm"/>
          <inkml:channelProperty channel="Y" name="resolution" value="32.14286" units="1/cm"/>
          <inkml:channelProperty channel="T" name="resolution" value="1" units="1/dev"/>
        </inkml:channelProperties>
      </inkml:inkSource>
      <inkml:timestamp xml:id="ts0" timeString="2020-07-24T19:22:05.666"/>
    </inkml:context>
    <inkml:brush xml:id="br0">
      <inkml:brushProperty name="width" value="0.025" units="cm"/>
      <inkml:brushProperty name="height" value="0.025" units="cm"/>
      <inkml:brushProperty name="color" value="#D8EEF8"/>
    </inkml:brush>
  </inkml:definitions>
  <inkml:trace contextRef="#ctx0" brushRef="#br0">0 0 0</inkml:trace>
</inkml:ink>
</file>

<file path=xl/ink/ink7.xml><?xml version="1.0" encoding="utf-8"?>
<inkml:ink xmlns:inkml="http://www.w3.org/2003/InkML">
  <inkml:definitions>
    <inkml:context xml:id="ctx0">
      <inkml:inkSource xml:id="inkSrc0">
        <inkml:traceFormat>
          <inkml:channel name="X" type="integer" max="1920" units="cm"/>
          <inkml:channel name="Y" type="integer" max="1080" units="cm"/>
          <inkml:channel name="T" type="integer" max="2.14748E9" units="dev"/>
        </inkml:traceFormat>
        <inkml:channelProperties>
          <inkml:channelProperty channel="X" name="resolution" value="32.10703" units="1/cm"/>
          <inkml:channelProperty channel="Y" name="resolution" value="32.14286" units="1/cm"/>
          <inkml:channelProperty channel="T" name="resolution" value="1" units="1/dev"/>
        </inkml:channelProperties>
      </inkml:inkSource>
      <inkml:timestamp xml:id="ts0" timeString="2020-04-09T13:34:12.428"/>
    </inkml:context>
    <inkml:brush xml:id="br0">
      <inkml:brushProperty name="width" value="0.05" units="cm"/>
      <inkml:brushProperty name="height" value="0.05" units="cm"/>
      <inkml:brushProperty name="color" value="#D8EEF8"/>
    </inkml:brush>
  </inkml:definitions>
  <inkml:trace contextRef="#ctx0" brushRef="#br0">0 0 0</inkml:trace>
</inkml:ink>
</file>

<file path=xl/ink/ink70.xml><?xml version="1.0" encoding="utf-8"?>
<inkml:ink xmlns:inkml="http://www.w3.org/2003/InkML">
  <inkml:definitions>
    <inkml:context xml:id="ctx0">
      <inkml:inkSource xml:id="inkSrc0">
        <inkml:traceFormat>
          <inkml:channel name="X" type="integer" max="1920" units="cm"/>
          <inkml:channel name="Y" type="integer" max="1080" units="cm"/>
          <inkml:channel name="T" type="integer" max="2.14748E9" units="dev"/>
        </inkml:traceFormat>
        <inkml:channelProperties>
          <inkml:channelProperty channel="X" name="resolution" value="32.10703" units="1/cm"/>
          <inkml:channelProperty channel="Y" name="resolution" value="32.14286" units="1/cm"/>
          <inkml:channelProperty channel="T" name="resolution" value="1" units="1/dev"/>
        </inkml:channelProperties>
      </inkml:inkSource>
      <inkml:timestamp xml:id="ts0" timeString="2020-07-24T19:22:05.667"/>
    </inkml:context>
    <inkml:brush xml:id="br0">
      <inkml:brushProperty name="width" value="0.05" units="cm"/>
      <inkml:brushProperty name="height" value="0.05" units="cm"/>
      <inkml:brushProperty name="color" value="#D8EEF8"/>
    </inkml:brush>
  </inkml:definitions>
  <inkml:trace contextRef="#ctx0" brushRef="#br0">0 106 0,'26'0'172,"0"0"-110,-26-27 1,27 27 30,-27-26-93,0-1 16,0 1 140</inkml:trace>
</inkml:ink>
</file>

<file path=xl/ink/ink71.xml><?xml version="1.0" encoding="utf-8"?>
<inkml:ink xmlns:inkml="http://www.w3.org/2003/InkML">
  <inkml:definitions>
    <inkml:context xml:id="ctx0">
      <inkml:inkSource xml:id="inkSrc0">
        <inkml:traceFormat>
          <inkml:channel name="X" type="integer" max="1920" units="cm"/>
          <inkml:channel name="Y" type="integer" max="1080" units="cm"/>
          <inkml:channel name="T" type="integer" max="2.14748E9" units="dev"/>
        </inkml:traceFormat>
        <inkml:channelProperties>
          <inkml:channelProperty channel="X" name="resolution" value="32.10703" units="1/cm"/>
          <inkml:channelProperty channel="Y" name="resolution" value="32.14286" units="1/cm"/>
          <inkml:channelProperty channel="T" name="resolution" value="1" units="1/dev"/>
        </inkml:channelProperties>
      </inkml:inkSource>
      <inkml:timestamp xml:id="ts0" timeString="2020-07-24T19:22:05.668"/>
    </inkml:context>
    <inkml:brush xml:id="br0">
      <inkml:brushProperty name="width" value="0.05" units="cm"/>
      <inkml:brushProperty name="height" value="0.05" units="cm"/>
      <inkml:brushProperty name="color" value="#D8EEF8"/>
    </inkml:brush>
  </inkml:definitions>
  <inkml:trace contextRef="#ctx0" brushRef="#br0">0 0 0</inkml:trace>
</inkml:ink>
</file>

<file path=xl/ink/ink72.xml><?xml version="1.0" encoding="utf-8"?>
<inkml:ink xmlns:inkml="http://www.w3.org/2003/InkML">
  <inkml:definitions>
    <inkml:context xml:id="ctx0">
      <inkml:inkSource xml:id="inkSrc0">
        <inkml:traceFormat>
          <inkml:channel name="X" type="integer" max="1920" units="cm"/>
          <inkml:channel name="Y" type="integer" max="1080" units="cm"/>
          <inkml:channel name="T" type="integer" max="2.14748E9" units="dev"/>
        </inkml:traceFormat>
        <inkml:channelProperties>
          <inkml:channelProperty channel="X" name="resolution" value="32.10703" units="1/cm"/>
          <inkml:channelProperty channel="Y" name="resolution" value="32.14286" units="1/cm"/>
          <inkml:channelProperty channel="T" name="resolution" value="1" units="1/dev"/>
        </inkml:channelProperties>
      </inkml:inkSource>
      <inkml:timestamp xml:id="ts0" timeString="2020-07-24T19:22:05.669"/>
    </inkml:context>
    <inkml:brush xml:id="br0">
      <inkml:brushProperty name="width" value="0.05" units="cm"/>
      <inkml:brushProperty name="height" value="0.05" units="cm"/>
      <inkml:brushProperty name="color" value="#D8EEF8"/>
    </inkml:brush>
  </inkml:definitions>
  <inkml:trace contextRef="#ctx0" brushRef="#br0">0 0 0</inkml:trace>
</inkml:ink>
</file>

<file path=xl/ink/ink73.xml><?xml version="1.0" encoding="utf-8"?>
<inkml:ink xmlns:inkml="http://www.w3.org/2003/InkML">
  <inkml:definitions>
    <inkml:context xml:id="ctx0">
      <inkml:inkSource xml:id="inkSrc0">
        <inkml:traceFormat>
          <inkml:channel name="X" type="integer" max="1920" units="cm"/>
          <inkml:channel name="Y" type="integer" max="1080" units="cm"/>
          <inkml:channel name="T" type="integer" max="2.14748E9" units="dev"/>
        </inkml:traceFormat>
        <inkml:channelProperties>
          <inkml:channelProperty channel="X" name="resolution" value="32.10703" units="1/cm"/>
          <inkml:channelProperty channel="Y" name="resolution" value="32.14286" units="1/cm"/>
          <inkml:channelProperty channel="T" name="resolution" value="1" units="1/dev"/>
        </inkml:channelProperties>
      </inkml:inkSource>
      <inkml:timestamp xml:id="ts0" timeString="2020-07-24T19:22:05.670"/>
    </inkml:context>
    <inkml:brush xml:id="br0">
      <inkml:brushProperty name="width" value="0.05" units="cm"/>
      <inkml:brushProperty name="height" value="0.05" units="cm"/>
      <inkml:brushProperty name="color" value="#D8EEF8"/>
    </inkml:brush>
  </inkml:definitions>
  <inkml:trace contextRef="#ctx0" brushRef="#br0">0 0 0</inkml:trace>
</inkml:ink>
</file>

<file path=xl/ink/ink74.xml><?xml version="1.0" encoding="utf-8"?>
<inkml:ink xmlns:inkml="http://www.w3.org/2003/InkML">
  <inkml:definitions>
    <inkml:context xml:id="ctx0">
      <inkml:inkSource xml:id="inkSrc0">
        <inkml:traceFormat>
          <inkml:channel name="X" type="integer" max="1920" units="cm"/>
          <inkml:channel name="Y" type="integer" max="1080" units="cm"/>
          <inkml:channel name="T" type="integer" max="2.14748E9" units="dev"/>
        </inkml:traceFormat>
        <inkml:channelProperties>
          <inkml:channelProperty channel="X" name="resolution" value="32.10703" units="1/cm"/>
          <inkml:channelProperty channel="Y" name="resolution" value="32.14286" units="1/cm"/>
          <inkml:channelProperty channel="T" name="resolution" value="1" units="1/dev"/>
        </inkml:channelProperties>
      </inkml:inkSource>
      <inkml:timestamp xml:id="ts0" timeString="2020-07-28T19:24:47.241"/>
    </inkml:context>
    <inkml:brush xml:id="br0">
      <inkml:brushProperty name="width" value="0.025" units="cm"/>
      <inkml:brushProperty name="height" value="0.025" units="cm"/>
      <inkml:brushProperty name="color" value="#D8EEF8"/>
    </inkml:brush>
  </inkml:definitions>
  <inkml:trace contextRef="#ctx0" brushRef="#br0">0 0 0</inkml:trace>
</inkml:ink>
</file>

<file path=xl/ink/ink75.xml><?xml version="1.0" encoding="utf-8"?>
<inkml:ink xmlns:inkml="http://www.w3.org/2003/InkML">
  <inkml:definitions>
    <inkml:context xml:id="ctx0">
      <inkml:inkSource xml:id="inkSrc0">
        <inkml:traceFormat>
          <inkml:channel name="X" type="integer" max="1920" units="cm"/>
          <inkml:channel name="Y" type="integer" max="1080" units="cm"/>
          <inkml:channel name="T" type="integer" max="2.14748E9" units="dev"/>
        </inkml:traceFormat>
        <inkml:channelProperties>
          <inkml:channelProperty channel="X" name="resolution" value="32.10703" units="1/cm"/>
          <inkml:channelProperty channel="Y" name="resolution" value="32.14286" units="1/cm"/>
          <inkml:channelProperty channel="T" name="resolution" value="1" units="1/dev"/>
        </inkml:channelProperties>
      </inkml:inkSource>
      <inkml:timestamp xml:id="ts0" timeString="2020-07-28T19:24:47.242"/>
    </inkml:context>
    <inkml:brush xml:id="br0">
      <inkml:brushProperty name="width" value="0.025" units="cm"/>
      <inkml:brushProperty name="height" value="0.025" units="cm"/>
      <inkml:brushProperty name="color" value="#D8EEF8"/>
    </inkml:brush>
  </inkml:definitions>
  <inkml:trace contextRef="#ctx0" brushRef="#br0">53 238 0,'0'26'156,"-26"27"-140,26-26 15,0-1-15,0 27 15,0-26-15,0-1-1,-27 1 173</inkml:trace>
  <inkml:trace contextRef="#ctx0" brushRef="#br0" timeOffset="1">0 132 0</inkml:trace>
  <inkml:trace contextRef="#ctx0" brushRef="#br0" timeOffset="2">133 0 0,'0'53'78,"0"79"-46,0 0-17,0 27 1,0-27 0</inkml:trace>
</inkml:ink>
</file>

<file path=xl/ink/ink76.xml><?xml version="1.0" encoding="utf-8"?>
<inkml:ink xmlns:inkml="http://www.w3.org/2003/InkML">
  <inkml:definitions>
    <inkml:context xml:id="ctx0">
      <inkml:inkSource xml:id="inkSrc0">
        <inkml:traceFormat>
          <inkml:channel name="X" type="integer" max="1920" units="cm"/>
          <inkml:channel name="Y" type="integer" max="1080" units="cm"/>
          <inkml:channel name="T" type="integer" max="2.14748E9" units="dev"/>
        </inkml:traceFormat>
        <inkml:channelProperties>
          <inkml:channelProperty channel="X" name="resolution" value="32.10703" units="1/cm"/>
          <inkml:channelProperty channel="Y" name="resolution" value="32.14286" units="1/cm"/>
          <inkml:channelProperty channel="T" name="resolution" value="1" units="1/dev"/>
        </inkml:channelProperties>
      </inkml:inkSource>
      <inkml:timestamp xml:id="ts0" timeString="2020-07-28T19:24:47.245"/>
    </inkml:context>
    <inkml:brush xml:id="br0">
      <inkml:brushProperty name="width" value="0.025" units="cm"/>
      <inkml:brushProperty name="height" value="0.025" units="cm"/>
      <inkml:brushProperty name="color" value="#D8EEF8"/>
    </inkml:brush>
  </inkml:definitions>
  <inkml:trace contextRef="#ctx0" brushRef="#br0">0 0 0</inkml:trace>
</inkml:ink>
</file>

<file path=xl/ink/ink77.xml><?xml version="1.0" encoding="utf-8"?>
<inkml:ink xmlns:inkml="http://www.w3.org/2003/InkML">
  <inkml:definitions>
    <inkml:context xml:id="ctx0">
      <inkml:inkSource xml:id="inkSrc0">
        <inkml:traceFormat>
          <inkml:channel name="X" type="integer" max="1920" units="cm"/>
          <inkml:channel name="Y" type="integer" max="1080" units="cm"/>
          <inkml:channel name="T" type="integer" max="2.14748E9" units="dev"/>
        </inkml:traceFormat>
        <inkml:channelProperties>
          <inkml:channelProperty channel="X" name="resolution" value="32.10703" units="1/cm"/>
          <inkml:channelProperty channel="Y" name="resolution" value="32.14286" units="1/cm"/>
          <inkml:channelProperty channel="T" name="resolution" value="1" units="1/dev"/>
        </inkml:channelProperties>
      </inkml:inkSource>
      <inkml:timestamp xml:id="ts0" timeString="2020-07-28T19:24:47.246"/>
    </inkml:context>
    <inkml:brush xml:id="br0">
      <inkml:brushProperty name="width" value="0.025" units="cm"/>
      <inkml:brushProperty name="height" value="0.025" units="cm"/>
      <inkml:brushProperty name="color" value="#D8EEF8"/>
    </inkml:brush>
  </inkml:definitions>
  <inkml:trace contextRef="#ctx0" brushRef="#br0">0 0 0</inkml:trace>
</inkml:ink>
</file>

<file path=xl/ink/ink78.xml><?xml version="1.0" encoding="utf-8"?>
<inkml:ink xmlns:inkml="http://www.w3.org/2003/InkML">
  <inkml:definitions>
    <inkml:context xml:id="ctx0">
      <inkml:inkSource xml:id="inkSrc0">
        <inkml:traceFormat>
          <inkml:channel name="X" type="integer" max="1920" units="cm"/>
          <inkml:channel name="Y" type="integer" max="1080" units="cm"/>
          <inkml:channel name="T" type="integer" max="2.14748E9" units="dev"/>
        </inkml:traceFormat>
        <inkml:channelProperties>
          <inkml:channelProperty channel="X" name="resolution" value="32.10703" units="1/cm"/>
          <inkml:channelProperty channel="Y" name="resolution" value="32.14286" units="1/cm"/>
          <inkml:channelProperty channel="T" name="resolution" value="1" units="1/dev"/>
        </inkml:channelProperties>
      </inkml:inkSource>
      <inkml:timestamp xml:id="ts0" timeString="2020-07-28T19:24:47.247"/>
    </inkml:context>
    <inkml:brush xml:id="br0">
      <inkml:brushProperty name="width" value="0.025" units="cm"/>
      <inkml:brushProperty name="height" value="0.025" units="cm"/>
      <inkml:brushProperty name="color" value="#D8EEF8"/>
    </inkml:brush>
  </inkml:definitions>
  <inkml:trace contextRef="#ctx0" brushRef="#br0">0 0 0</inkml:trace>
</inkml:ink>
</file>

<file path=xl/ink/ink79.xml><?xml version="1.0" encoding="utf-8"?>
<inkml:ink xmlns:inkml="http://www.w3.org/2003/InkML">
  <inkml:definitions>
    <inkml:context xml:id="ctx0">
      <inkml:inkSource xml:id="inkSrc0">
        <inkml:traceFormat>
          <inkml:channel name="X" type="integer" max="1920" units="cm"/>
          <inkml:channel name="Y" type="integer" max="1080" units="cm"/>
          <inkml:channel name="T" type="integer" max="2.14748E9" units="dev"/>
        </inkml:traceFormat>
        <inkml:channelProperties>
          <inkml:channelProperty channel="X" name="resolution" value="32.10703" units="1/cm"/>
          <inkml:channelProperty channel="Y" name="resolution" value="32.14286" units="1/cm"/>
          <inkml:channelProperty channel="T" name="resolution" value="1" units="1/dev"/>
        </inkml:channelProperties>
      </inkml:inkSource>
      <inkml:timestamp xml:id="ts0" timeString="2020-07-28T19:24:47.248"/>
    </inkml:context>
    <inkml:brush xml:id="br0">
      <inkml:brushProperty name="width" value="0.05" units="cm"/>
      <inkml:brushProperty name="height" value="0.05" units="cm"/>
      <inkml:brushProperty name="color" value="#D8EEF8"/>
    </inkml:brush>
  </inkml:definitions>
  <inkml:trace contextRef="#ctx0" brushRef="#br0">0 106 0,'26'0'172,"0"0"-110,-26-27 1,27 27 30,-27-26-93,0-1 16,0 1 140</inkml:trace>
</inkml:ink>
</file>

<file path=xl/ink/ink8.xml><?xml version="1.0" encoding="utf-8"?>
<inkml:ink xmlns:inkml="http://www.w3.org/2003/InkML">
  <inkml:definitions>
    <inkml:context xml:id="ctx0">
      <inkml:inkSource xml:id="inkSrc0">
        <inkml:traceFormat>
          <inkml:channel name="X" type="integer" max="1920" units="cm"/>
          <inkml:channel name="Y" type="integer" max="1080" units="cm"/>
          <inkml:channel name="T" type="integer" max="2.14748E9" units="dev"/>
        </inkml:traceFormat>
        <inkml:channelProperties>
          <inkml:channelProperty channel="X" name="resolution" value="32.10703" units="1/cm"/>
          <inkml:channelProperty channel="Y" name="resolution" value="32.14286" units="1/cm"/>
          <inkml:channelProperty channel="T" name="resolution" value="1" units="1/dev"/>
        </inkml:channelProperties>
      </inkml:inkSource>
      <inkml:timestamp xml:id="ts0" timeString="2020-04-09T13:34:13.307"/>
    </inkml:context>
    <inkml:brush xml:id="br0">
      <inkml:brushProperty name="width" value="0.05" units="cm"/>
      <inkml:brushProperty name="height" value="0.05" units="cm"/>
      <inkml:brushProperty name="color" value="#D8EEF8"/>
    </inkml:brush>
  </inkml:definitions>
  <inkml:trace contextRef="#ctx0" brushRef="#br0">0 0 0</inkml:trace>
</inkml:ink>
</file>

<file path=xl/ink/ink80.xml><?xml version="1.0" encoding="utf-8"?>
<inkml:ink xmlns:inkml="http://www.w3.org/2003/InkML">
  <inkml:definitions>
    <inkml:context xml:id="ctx0">
      <inkml:inkSource xml:id="inkSrc0">
        <inkml:traceFormat>
          <inkml:channel name="X" type="integer" max="1920" units="cm"/>
          <inkml:channel name="Y" type="integer" max="1080" units="cm"/>
          <inkml:channel name="T" type="integer" max="2.14748E9" units="dev"/>
        </inkml:traceFormat>
        <inkml:channelProperties>
          <inkml:channelProperty channel="X" name="resolution" value="32.10703" units="1/cm"/>
          <inkml:channelProperty channel="Y" name="resolution" value="32.14286" units="1/cm"/>
          <inkml:channelProperty channel="T" name="resolution" value="1" units="1/dev"/>
        </inkml:channelProperties>
      </inkml:inkSource>
      <inkml:timestamp xml:id="ts0" timeString="2020-07-28T19:24:47.249"/>
    </inkml:context>
    <inkml:brush xml:id="br0">
      <inkml:brushProperty name="width" value="0.05" units="cm"/>
      <inkml:brushProperty name="height" value="0.05" units="cm"/>
      <inkml:brushProperty name="color" value="#D8EEF8"/>
    </inkml:brush>
  </inkml:definitions>
  <inkml:trace contextRef="#ctx0" brushRef="#br0">0 0 0</inkml:trace>
</inkml:ink>
</file>

<file path=xl/ink/ink81.xml><?xml version="1.0" encoding="utf-8"?>
<inkml:ink xmlns:inkml="http://www.w3.org/2003/InkML">
  <inkml:definitions>
    <inkml:context xml:id="ctx0">
      <inkml:inkSource xml:id="inkSrc0">
        <inkml:traceFormat>
          <inkml:channel name="X" type="integer" max="1920" units="cm"/>
          <inkml:channel name="Y" type="integer" max="1080" units="cm"/>
          <inkml:channel name="T" type="integer" max="2.14748E9" units="dev"/>
        </inkml:traceFormat>
        <inkml:channelProperties>
          <inkml:channelProperty channel="X" name="resolution" value="32.10703" units="1/cm"/>
          <inkml:channelProperty channel="Y" name="resolution" value="32.14286" units="1/cm"/>
          <inkml:channelProperty channel="T" name="resolution" value="1" units="1/dev"/>
        </inkml:channelProperties>
      </inkml:inkSource>
      <inkml:timestamp xml:id="ts0" timeString="2020-07-28T19:24:47.250"/>
    </inkml:context>
    <inkml:brush xml:id="br0">
      <inkml:brushProperty name="width" value="0.05" units="cm"/>
      <inkml:brushProperty name="height" value="0.05" units="cm"/>
      <inkml:brushProperty name="color" value="#D8EEF8"/>
    </inkml:brush>
  </inkml:definitions>
  <inkml:trace contextRef="#ctx0" brushRef="#br0">0 0 0</inkml:trace>
</inkml:ink>
</file>

<file path=xl/ink/ink82.xml><?xml version="1.0" encoding="utf-8"?>
<inkml:ink xmlns:inkml="http://www.w3.org/2003/InkML">
  <inkml:definitions>
    <inkml:context xml:id="ctx0">
      <inkml:inkSource xml:id="inkSrc0">
        <inkml:traceFormat>
          <inkml:channel name="X" type="integer" max="1920" units="cm"/>
          <inkml:channel name="Y" type="integer" max="1080" units="cm"/>
          <inkml:channel name="T" type="integer" max="2.14748E9" units="dev"/>
        </inkml:traceFormat>
        <inkml:channelProperties>
          <inkml:channelProperty channel="X" name="resolution" value="32.10703" units="1/cm"/>
          <inkml:channelProperty channel="Y" name="resolution" value="32.14286" units="1/cm"/>
          <inkml:channelProperty channel="T" name="resolution" value="1" units="1/dev"/>
        </inkml:channelProperties>
      </inkml:inkSource>
      <inkml:timestamp xml:id="ts0" timeString="2020-07-28T19:24:47.251"/>
    </inkml:context>
    <inkml:brush xml:id="br0">
      <inkml:brushProperty name="width" value="0.05" units="cm"/>
      <inkml:brushProperty name="height" value="0.05" units="cm"/>
      <inkml:brushProperty name="color" value="#D8EEF8"/>
    </inkml:brush>
  </inkml:definitions>
  <inkml:trace contextRef="#ctx0" brushRef="#br0">0 0 0</inkml:trace>
</inkml:ink>
</file>

<file path=xl/ink/ink83.xml><?xml version="1.0" encoding="utf-8"?>
<inkml:ink xmlns:inkml="http://www.w3.org/2003/InkML">
  <inkml:definitions>
    <inkml:context xml:id="ctx0">
      <inkml:inkSource xml:id="inkSrc0">
        <inkml:traceFormat>
          <inkml:channel name="X" type="integer" max="1920" units="cm"/>
          <inkml:channel name="Y" type="integer" max="1080" units="cm"/>
          <inkml:channel name="T" type="integer" max="2.14748E9" units="dev"/>
        </inkml:traceFormat>
        <inkml:channelProperties>
          <inkml:channelProperty channel="X" name="resolution" value="32.10703" units="1/cm"/>
          <inkml:channelProperty channel="Y" name="resolution" value="32.14286" units="1/cm"/>
          <inkml:channelProperty channel="T" name="resolution" value="1" units="1/dev"/>
        </inkml:channelProperties>
      </inkml:inkSource>
      <inkml:timestamp xml:id="ts0" timeString="2020-08-26T16:30:08.653"/>
    </inkml:context>
    <inkml:brush xml:id="br0">
      <inkml:brushProperty name="width" value="0.025" units="cm"/>
      <inkml:brushProperty name="height" value="0.025" units="cm"/>
      <inkml:brushProperty name="color" value="#D8EEF8"/>
    </inkml:brush>
  </inkml:definitions>
  <inkml:trace contextRef="#ctx0" brushRef="#br0">0 0 0</inkml:trace>
</inkml:ink>
</file>

<file path=xl/ink/ink84.xml><?xml version="1.0" encoding="utf-8"?>
<inkml:ink xmlns:inkml="http://www.w3.org/2003/InkML">
  <inkml:definitions>
    <inkml:context xml:id="ctx0">
      <inkml:inkSource xml:id="inkSrc0">
        <inkml:traceFormat>
          <inkml:channel name="X" type="integer" max="1920" units="cm"/>
          <inkml:channel name="Y" type="integer" max="1080" units="cm"/>
          <inkml:channel name="T" type="integer" max="2.14748E9" units="dev"/>
        </inkml:traceFormat>
        <inkml:channelProperties>
          <inkml:channelProperty channel="X" name="resolution" value="32.10703" units="1/cm"/>
          <inkml:channelProperty channel="Y" name="resolution" value="32.14286" units="1/cm"/>
          <inkml:channelProperty channel="T" name="resolution" value="1" units="1/dev"/>
        </inkml:channelProperties>
      </inkml:inkSource>
      <inkml:timestamp xml:id="ts0" timeString="2020-08-26T16:30:08.654"/>
    </inkml:context>
    <inkml:brush xml:id="br0">
      <inkml:brushProperty name="width" value="0.025" units="cm"/>
      <inkml:brushProperty name="height" value="0.025" units="cm"/>
      <inkml:brushProperty name="color" value="#D8EEF8"/>
    </inkml:brush>
  </inkml:definitions>
  <inkml:trace contextRef="#ctx0" brushRef="#br0">53 238 0,'0'26'156,"-26"27"-140,26-26 15,0-1-15,0 27 15,0-26-15,0-1-1,-27 1 173</inkml:trace>
  <inkml:trace contextRef="#ctx0" brushRef="#br0" timeOffset="1">0 132 0</inkml:trace>
  <inkml:trace contextRef="#ctx0" brushRef="#br0" timeOffset="2">133 0 0,'0'53'78,"0"79"-46,0 0-17,0 27 1,0-27 0</inkml:trace>
</inkml:ink>
</file>

<file path=xl/ink/ink85.xml><?xml version="1.0" encoding="utf-8"?>
<inkml:ink xmlns:inkml="http://www.w3.org/2003/InkML">
  <inkml:definitions>
    <inkml:context xml:id="ctx0">
      <inkml:inkSource xml:id="inkSrc0">
        <inkml:traceFormat>
          <inkml:channel name="X" type="integer" max="1920" units="cm"/>
          <inkml:channel name="Y" type="integer" max="1080" units="cm"/>
          <inkml:channel name="T" type="integer" max="2.14748E9" units="dev"/>
        </inkml:traceFormat>
        <inkml:channelProperties>
          <inkml:channelProperty channel="X" name="resolution" value="32.10703" units="1/cm"/>
          <inkml:channelProperty channel="Y" name="resolution" value="32.14286" units="1/cm"/>
          <inkml:channelProperty channel="T" name="resolution" value="1" units="1/dev"/>
        </inkml:channelProperties>
      </inkml:inkSource>
      <inkml:timestamp xml:id="ts0" timeString="2020-08-26T16:30:08.657"/>
    </inkml:context>
    <inkml:brush xml:id="br0">
      <inkml:brushProperty name="width" value="0.025" units="cm"/>
      <inkml:brushProperty name="height" value="0.025" units="cm"/>
      <inkml:brushProperty name="color" value="#D8EEF8"/>
    </inkml:brush>
  </inkml:definitions>
  <inkml:trace contextRef="#ctx0" brushRef="#br0">0 0 0</inkml:trace>
</inkml:ink>
</file>

<file path=xl/ink/ink86.xml><?xml version="1.0" encoding="utf-8"?>
<inkml:ink xmlns:inkml="http://www.w3.org/2003/InkML">
  <inkml:definitions>
    <inkml:context xml:id="ctx0">
      <inkml:inkSource xml:id="inkSrc0">
        <inkml:traceFormat>
          <inkml:channel name="X" type="integer" max="1920" units="cm"/>
          <inkml:channel name="Y" type="integer" max="1080" units="cm"/>
          <inkml:channel name="T" type="integer" max="2.14748E9" units="dev"/>
        </inkml:traceFormat>
        <inkml:channelProperties>
          <inkml:channelProperty channel="X" name="resolution" value="32.10703" units="1/cm"/>
          <inkml:channelProperty channel="Y" name="resolution" value="32.14286" units="1/cm"/>
          <inkml:channelProperty channel="T" name="resolution" value="1" units="1/dev"/>
        </inkml:channelProperties>
      </inkml:inkSource>
      <inkml:timestamp xml:id="ts0" timeString="2020-08-26T16:30:08.669"/>
    </inkml:context>
    <inkml:brush xml:id="br0">
      <inkml:brushProperty name="width" value="0.025" units="cm"/>
      <inkml:brushProperty name="height" value="0.025" units="cm"/>
      <inkml:brushProperty name="color" value="#D8EEF8"/>
    </inkml:brush>
  </inkml:definitions>
  <inkml:trace contextRef="#ctx0" brushRef="#br0">0 0 0</inkml:trace>
</inkml:ink>
</file>

<file path=xl/ink/ink87.xml><?xml version="1.0" encoding="utf-8"?>
<inkml:ink xmlns:inkml="http://www.w3.org/2003/InkML">
  <inkml:definitions>
    <inkml:context xml:id="ctx0">
      <inkml:inkSource xml:id="inkSrc0">
        <inkml:traceFormat>
          <inkml:channel name="X" type="integer" max="1920" units="cm"/>
          <inkml:channel name="Y" type="integer" max="1080" units="cm"/>
          <inkml:channel name="T" type="integer" max="2.14748E9" units="dev"/>
        </inkml:traceFormat>
        <inkml:channelProperties>
          <inkml:channelProperty channel="X" name="resolution" value="32.10703" units="1/cm"/>
          <inkml:channelProperty channel="Y" name="resolution" value="32.14286" units="1/cm"/>
          <inkml:channelProperty channel="T" name="resolution" value="1" units="1/dev"/>
        </inkml:channelProperties>
      </inkml:inkSource>
      <inkml:timestamp xml:id="ts0" timeString="2020-08-26T16:30:08.670"/>
    </inkml:context>
    <inkml:brush xml:id="br0">
      <inkml:brushProperty name="width" value="0.025" units="cm"/>
      <inkml:brushProperty name="height" value="0.025" units="cm"/>
      <inkml:brushProperty name="color" value="#D8EEF8"/>
    </inkml:brush>
  </inkml:definitions>
  <inkml:trace contextRef="#ctx0" brushRef="#br0">0 0 0</inkml:trace>
</inkml:ink>
</file>

<file path=xl/ink/ink88.xml><?xml version="1.0" encoding="utf-8"?>
<inkml:ink xmlns:inkml="http://www.w3.org/2003/InkML">
  <inkml:definitions>
    <inkml:context xml:id="ctx0">
      <inkml:inkSource xml:id="inkSrc0">
        <inkml:traceFormat>
          <inkml:channel name="X" type="integer" max="1920" units="cm"/>
          <inkml:channel name="Y" type="integer" max="1080" units="cm"/>
          <inkml:channel name="T" type="integer" max="2.14748E9" units="dev"/>
        </inkml:traceFormat>
        <inkml:channelProperties>
          <inkml:channelProperty channel="X" name="resolution" value="32.10703" units="1/cm"/>
          <inkml:channelProperty channel="Y" name="resolution" value="32.14286" units="1/cm"/>
          <inkml:channelProperty channel="T" name="resolution" value="1" units="1/dev"/>
        </inkml:channelProperties>
      </inkml:inkSource>
      <inkml:timestamp xml:id="ts0" timeString="2020-08-26T16:30:08.671"/>
    </inkml:context>
    <inkml:brush xml:id="br0">
      <inkml:brushProperty name="width" value="0.05" units="cm"/>
      <inkml:brushProperty name="height" value="0.05" units="cm"/>
      <inkml:brushProperty name="color" value="#D8EEF8"/>
    </inkml:brush>
  </inkml:definitions>
  <inkml:trace contextRef="#ctx0" brushRef="#br0">0 106 0,'26'0'172,"0"0"-110,-26-27 1,27 27 30,-27-26-93,0-1 16,0 1 140</inkml:trace>
</inkml:ink>
</file>

<file path=xl/ink/ink89.xml><?xml version="1.0" encoding="utf-8"?>
<inkml:ink xmlns:inkml="http://www.w3.org/2003/InkML">
  <inkml:definitions>
    <inkml:context xml:id="ctx0">
      <inkml:inkSource xml:id="inkSrc0">
        <inkml:traceFormat>
          <inkml:channel name="X" type="integer" max="1920" units="cm"/>
          <inkml:channel name="Y" type="integer" max="1080" units="cm"/>
          <inkml:channel name="T" type="integer" max="2.14748E9" units="dev"/>
        </inkml:traceFormat>
        <inkml:channelProperties>
          <inkml:channelProperty channel="X" name="resolution" value="32.10703" units="1/cm"/>
          <inkml:channelProperty channel="Y" name="resolution" value="32.14286" units="1/cm"/>
          <inkml:channelProperty channel="T" name="resolution" value="1" units="1/dev"/>
        </inkml:channelProperties>
      </inkml:inkSource>
      <inkml:timestamp xml:id="ts0" timeString="2020-08-26T16:30:08.672"/>
    </inkml:context>
    <inkml:brush xml:id="br0">
      <inkml:brushProperty name="width" value="0.05" units="cm"/>
      <inkml:brushProperty name="height" value="0.05" units="cm"/>
      <inkml:brushProperty name="color" value="#D8EEF8"/>
    </inkml:brush>
  </inkml:definitions>
  <inkml:trace contextRef="#ctx0" brushRef="#br0">0 0 0</inkml:trace>
</inkml:ink>
</file>

<file path=xl/ink/ink9.xml><?xml version="1.0" encoding="utf-8"?>
<inkml:ink xmlns:inkml="http://www.w3.org/2003/InkML">
  <inkml:definitions>
    <inkml:context xml:id="ctx0">
      <inkml:inkSource xml:id="inkSrc0">
        <inkml:traceFormat>
          <inkml:channel name="X" type="integer" max="1920" units="cm"/>
          <inkml:channel name="Y" type="integer" max="1080" units="cm"/>
          <inkml:channel name="T" type="integer" max="2.14748E9" units="dev"/>
        </inkml:traceFormat>
        <inkml:channelProperties>
          <inkml:channelProperty channel="X" name="resolution" value="32.10703" units="1/cm"/>
          <inkml:channelProperty channel="Y" name="resolution" value="32.14286" units="1/cm"/>
          <inkml:channelProperty channel="T" name="resolution" value="1" units="1/dev"/>
        </inkml:channelProperties>
      </inkml:inkSource>
      <inkml:timestamp xml:id="ts0" timeString="2020-04-09T13:34:13.640"/>
    </inkml:context>
    <inkml:brush xml:id="br0">
      <inkml:brushProperty name="width" value="0.05" units="cm"/>
      <inkml:brushProperty name="height" value="0.05" units="cm"/>
      <inkml:brushProperty name="color" value="#D8EEF8"/>
    </inkml:brush>
  </inkml:definitions>
  <inkml:trace contextRef="#ctx0" brushRef="#br0">0 0 0</inkml:trace>
</inkml:ink>
</file>

<file path=xl/ink/ink90.xml><?xml version="1.0" encoding="utf-8"?>
<inkml:ink xmlns:inkml="http://www.w3.org/2003/InkML">
  <inkml:definitions>
    <inkml:context xml:id="ctx0">
      <inkml:inkSource xml:id="inkSrc0">
        <inkml:traceFormat>
          <inkml:channel name="X" type="integer" max="1920" units="cm"/>
          <inkml:channel name="Y" type="integer" max="1080" units="cm"/>
          <inkml:channel name="T" type="integer" max="2.14748E9" units="dev"/>
        </inkml:traceFormat>
        <inkml:channelProperties>
          <inkml:channelProperty channel="X" name="resolution" value="32.10703" units="1/cm"/>
          <inkml:channelProperty channel="Y" name="resolution" value="32.14286" units="1/cm"/>
          <inkml:channelProperty channel="T" name="resolution" value="1" units="1/dev"/>
        </inkml:channelProperties>
      </inkml:inkSource>
      <inkml:timestamp xml:id="ts0" timeString="2020-08-26T16:30:08.673"/>
    </inkml:context>
    <inkml:brush xml:id="br0">
      <inkml:brushProperty name="width" value="0.05" units="cm"/>
      <inkml:brushProperty name="height" value="0.05" units="cm"/>
      <inkml:brushProperty name="color" value="#D8EEF8"/>
    </inkml:brush>
  </inkml:definitions>
  <inkml:trace contextRef="#ctx0" brushRef="#br0">0 0 0</inkml:trace>
</inkml:ink>
</file>

<file path=xl/ink/ink91.xml><?xml version="1.0" encoding="utf-8"?>
<inkml:ink xmlns:inkml="http://www.w3.org/2003/InkML">
  <inkml:definitions>
    <inkml:context xml:id="ctx0">
      <inkml:inkSource xml:id="inkSrc0">
        <inkml:traceFormat>
          <inkml:channel name="X" type="integer" max="1920" units="cm"/>
          <inkml:channel name="Y" type="integer" max="1080" units="cm"/>
          <inkml:channel name="T" type="integer" max="2.14748E9" units="dev"/>
        </inkml:traceFormat>
        <inkml:channelProperties>
          <inkml:channelProperty channel="X" name="resolution" value="32.10703" units="1/cm"/>
          <inkml:channelProperty channel="Y" name="resolution" value="32.14286" units="1/cm"/>
          <inkml:channelProperty channel="T" name="resolution" value="1" units="1/dev"/>
        </inkml:channelProperties>
      </inkml:inkSource>
      <inkml:timestamp xml:id="ts0" timeString="2020-08-26T16:30:08.674"/>
    </inkml:context>
    <inkml:brush xml:id="br0">
      <inkml:brushProperty name="width" value="0.05" units="cm"/>
      <inkml:brushProperty name="height" value="0.05" units="cm"/>
      <inkml:brushProperty name="color" value="#D8EEF8"/>
    </inkml:brush>
  </inkml:definitions>
  <inkml:trace contextRef="#ctx0" brushRef="#br0">0 0 0</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davidsplinter.com/TaxProgressivity-Splinter.xlsx"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14.bin"/><Relationship Id="rId1" Type="http://schemas.openxmlformats.org/officeDocument/2006/relationships/hyperlink" Target="https://www.cbo.gov/system/files/2019-07/55413-CBO-supplemental-data.xlsx"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davidsplinter.com/AutenSplinter-IncomeIneq.xlsx" TargetMode="External"/><Relationship Id="rId7" Type="http://schemas.openxmlformats.org/officeDocument/2006/relationships/printerSettings" Target="../printerSettings/printerSettings2.bin"/><Relationship Id="rId2" Type="http://schemas.openxmlformats.org/officeDocument/2006/relationships/hyperlink" Target="https://eml.berkeley.edu/~saez/piketty-saezJEP07taxprog.pdf" TargetMode="External"/><Relationship Id="rId1" Type="http://schemas.openxmlformats.org/officeDocument/2006/relationships/hyperlink" Target="https://www.cbo.gov/system/files/2019-07/55413-CBO-supplemental-data.xlsx" TargetMode="External"/><Relationship Id="rId6" Type="http://schemas.openxmlformats.org/officeDocument/2006/relationships/hyperlink" Target="https://www.treasury.gov/resource-center/tax-policy/tax-analysis/Documents/Distribution-of-Tax-Burden-Current-Law-2015-Revised.xlsx" TargetMode="External"/><Relationship Id="rId5" Type="http://schemas.openxmlformats.org/officeDocument/2006/relationships/hyperlink" Target="https://www.taxpolicycenter.org/model-estimates/individual-income-tax-expenditures/average-effective-federal-tax-rates-filing-1" TargetMode="External"/><Relationship Id="rId4" Type="http://schemas.openxmlformats.org/officeDocument/2006/relationships/hyperlink" Target="https://www.jct.gov/publications.html?func=startdown&amp;id=5173"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27.xml.rels><?xml version="1.0" encoding="UTF-8" standalone="yes"?>
<Relationships xmlns="http://schemas.openxmlformats.org/package/2006/relationships"><Relationship Id="rId3" Type="http://schemas.openxmlformats.org/officeDocument/2006/relationships/hyperlink" Target="https://www.irs.gov/statistics/soi-tax-stats-archive-1954-to-1999-individual-income-tax-return-reports" TargetMode="External"/><Relationship Id="rId2" Type="http://schemas.openxmlformats.org/officeDocument/2006/relationships/hyperlink" Target="https://www.irs.gov/pub/irs-soi/55inar.pdf" TargetMode="External"/><Relationship Id="rId1" Type="http://schemas.openxmlformats.org/officeDocument/2006/relationships/hyperlink" Target="https://www.taxpolicycenter.org/statistics/effective-tax-rate-agi-1935-2015" TargetMode="External"/><Relationship Id="rId4"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hyperlink" Target="http://www.taxpolicycenter.org/taxtopics/Baseline-Definitions.cfm" TargetMode="External"/><Relationship Id="rId2" Type="http://schemas.openxmlformats.org/officeDocument/2006/relationships/hyperlink" Target="http://www.taxpolicycenter.org/TaxModel/income.cfm" TargetMode="External"/><Relationship Id="rId1" Type="http://schemas.openxmlformats.org/officeDocument/2006/relationships/hyperlink" Target="https://www.taxpolicycenter.org/model-estimates/baseline-distribution-income-and-federal-taxes-feburary-2020/t20-0009-baseline" TargetMode="External"/><Relationship Id="rId5" Type="http://schemas.openxmlformats.org/officeDocument/2006/relationships/drawing" Target="../drawings/drawing67.xml"/><Relationship Id="rId4"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www.cbo.gov/publication/55413" TargetMode="External"/></Relationships>
</file>

<file path=xl/worksheets/_rels/sheet37.xml.rels><?xml version="1.0" encoding="UTF-8" standalone="yes"?>
<Relationships xmlns="http://schemas.openxmlformats.org/package/2006/relationships"><Relationship Id="rId1" Type="http://schemas.openxmlformats.org/officeDocument/2006/relationships/hyperlink" Target="http://www.cbo.gov/publication/55413" TargetMode="External"/></Relationships>
</file>

<file path=xl/worksheets/_rels/sheet38.xml.rels><?xml version="1.0" encoding="UTF-8" standalone="yes"?>
<Relationships xmlns="http://schemas.openxmlformats.org/package/2006/relationships"><Relationship Id="rId1" Type="http://schemas.openxmlformats.org/officeDocument/2006/relationships/hyperlink" Target="http://www.cbo.gov/publication/55413" TargetMode="External"/></Relationships>
</file>

<file path=xl/worksheets/_rels/sheet39.xml.rels><?xml version="1.0" encoding="UTF-8" standalone="yes"?>
<Relationships xmlns="http://schemas.openxmlformats.org/package/2006/relationships"><Relationship Id="rId1" Type="http://schemas.openxmlformats.org/officeDocument/2006/relationships/hyperlink" Target="http://www.cbo.gov/publication/55413"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hyperlink" Target="http://www.cbo.gov/publication/55413" TargetMode="External"/></Relationships>
</file>

<file path=xl/worksheets/_rels/sheet41.xml.rels><?xml version="1.0" encoding="UTF-8" standalone="yes"?>
<Relationships xmlns="http://schemas.openxmlformats.org/package/2006/relationships"><Relationship Id="rId1" Type="http://schemas.openxmlformats.org/officeDocument/2006/relationships/hyperlink" Target="http://www.cbo.gov/publication/55413" TargetMode="External"/></Relationships>
</file>

<file path=xl/worksheets/_rels/sheet42.xml.rels><?xml version="1.0" encoding="UTF-8" standalone="yes"?>
<Relationships xmlns="http://schemas.openxmlformats.org/package/2006/relationships"><Relationship Id="rId1" Type="http://schemas.openxmlformats.org/officeDocument/2006/relationships/hyperlink" Target="http://www.cbo.gov/publication/55413" TargetMode="Externa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s://www.jct.gov/publications.html?func=startdown&amp;id=4563"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www.treasury.gov/resource-center/tax-policy/tax-analysis/Documents/Distribution-of-Tax-Burden-Current-Law-2015-Revised.xlsx" TargetMode="Externa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hyperlink" Target="https://www.census.gov/data/tables/2010/demo/age-and-sex/2010-age-sex-composition.html" TargetMode="External"/><Relationship Id="rId1" Type="http://schemas.openxmlformats.org/officeDocument/2006/relationships/hyperlink" Target="https://www.ssa.gov/OACT/COLA/cbb.html" TargetMode="Externa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davidsplinter.com/AutenSplinter-IncomeIneq.xlsx" TargetMode="External"/></Relationships>
</file>

<file path=xl/worksheets/_rels/sheet49.xml.rels><?xml version="1.0" encoding="UTF-8" standalone="yes"?>
<Relationships xmlns="http://schemas.openxmlformats.org/package/2006/relationships"><Relationship Id="rId1" Type="http://schemas.openxmlformats.org/officeDocument/2006/relationships/hyperlink" Target="http://davidsplinter.com/AutenSplinter-IncomeIneq.xlsx"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6728A-4619-43B3-AFAA-B6B07C006A0D}">
  <dimension ref="A1:K61"/>
  <sheetViews>
    <sheetView tabSelected="1" workbookViewId="0"/>
  </sheetViews>
  <sheetFormatPr defaultRowHeight="15"/>
  <cols>
    <col min="1" max="1" width="7" customWidth="1"/>
  </cols>
  <sheetData>
    <row r="1" spans="1:11" ht="21">
      <c r="A1" s="602" t="s">
        <v>653</v>
      </c>
    </row>
    <row r="2" spans="1:11">
      <c r="A2" t="s">
        <v>1056</v>
      </c>
    </row>
    <row r="3" spans="1:11">
      <c r="A3" t="s">
        <v>1054</v>
      </c>
    </row>
    <row r="4" spans="1:11" s="696" customFormat="1">
      <c r="A4" s="606" t="s">
        <v>1055</v>
      </c>
      <c r="B4" s="606"/>
      <c r="C4" s="606"/>
      <c r="D4" s="606"/>
      <c r="E4" s="606"/>
      <c r="F4" s="606"/>
      <c r="G4" s="606"/>
      <c r="H4" s="606"/>
    </row>
    <row r="6" spans="1:11">
      <c r="A6" s="615" t="s">
        <v>655</v>
      </c>
      <c r="B6" s="436"/>
      <c r="C6" s="436"/>
      <c r="D6" s="436"/>
      <c r="E6" s="436"/>
      <c r="F6" s="436"/>
      <c r="G6" s="436"/>
      <c r="H6" s="436"/>
      <c r="I6" s="436"/>
      <c r="J6" s="436"/>
    </row>
    <row r="7" spans="1:11">
      <c r="A7" s="605">
        <v>1</v>
      </c>
      <c r="B7" s="606" t="s">
        <v>657</v>
      </c>
      <c r="C7" s="607"/>
      <c r="D7" s="607"/>
    </row>
    <row r="8" spans="1:11">
      <c r="A8" s="605">
        <v>2</v>
      </c>
      <c r="B8" s="606" t="s">
        <v>495</v>
      </c>
      <c r="C8" s="607"/>
      <c r="D8" s="607"/>
      <c r="E8" s="607"/>
      <c r="F8" s="607"/>
      <c r="G8" s="607"/>
    </row>
    <row r="9" spans="1:11">
      <c r="A9" s="605">
        <v>3</v>
      </c>
      <c r="B9" s="606" t="s">
        <v>661</v>
      </c>
      <c r="C9" s="607"/>
      <c r="D9" s="607"/>
    </row>
    <row r="10" spans="1:11">
      <c r="A10" s="605">
        <v>4</v>
      </c>
      <c r="B10" s="606" t="s">
        <v>663</v>
      </c>
      <c r="C10" s="607"/>
      <c r="D10" s="607"/>
      <c r="E10" s="607"/>
      <c r="F10" s="607"/>
      <c r="G10" s="607"/>
      <c r="H10" s="607"/>
      <c r="I10" s="607"/>
      <c r="J10" s="607"/>
    </row>
    <row r="11" spans="1:11">
      <c r="A11" s="605">
        <v>5</v>
      </c>
      <c r="B11" s="606" t="s">
        <v>666</v>
      </c>
      <c r="C11" s="607"/>
      <c r="D11" s="607"/>
      <c r="E11" s="607"/>
      <c r="F11" s="607"/>
      <c r="G11" s="607"/>
      <c r="H11" s="607"/>
      <c r="I11" s="607"/>
      <c r="J11" s="607"/>
    </row>
    <row r="12" spans="1:11">
      <c r="A12" s="605">
        <v>6</v>
      </c>
      <c r="B12" s="606" t="s">
        <v>668</v>
      </c>
      <c r="C12" s="607"/>
      <c r="D12" s="607"/>
      <c r="E12" s="607"/>
      <c r="F12" s="607"/>
      <c r="G12" s="607"/>
      <c r="H12" s="607"/>
      <c r="I12" s="607"/>
      <c r="J12" s="607"/>
    </row>
    <row r="13" spans="1:11">
      <c r="A13" s="605">
        <v>7</v>
      </c>
      <c r="B13" s="606" t="s">
        <v>670</v>
      </c>
      <c r="C13" s="607"/>
      <c r="D13" s="607"/>
      <c r="E13" s="607"/>
      <c r="F13" s="607"/>
      <c r="G13" s="607"/>
      <c r="H13" s="607"/>
      <c r="I13" s="607"/>
      <c r="J13" s="607"/>
      <c r="K13" s="607"/>
    </row>
    <row r="14" spans="1:11">
      <c r="A14" s="605">
        <v>8</v>
      </c>
      <c r="B14" s="606" t="s">
        <v>710</v>
      </c>
      <c r="C14" s="607"/>
      <c r="D14" s="607"/>
      <c r="E14" s="607"/>
      <c r="F14" s="607"/>
      <c r="G14" s="607"/>
      <c r="H14" s="607"/>
      <c r="I14" s="607"/>
      <c r="J14" s="607"/>
      <c r="K14" s="607"/>
    </row>
    <row r="15" spans="1:11">
      <c r="A15" s="605" t="s">
        <v>654</v>
      </c>
      <c r="B15" s="606" t="s">
        <v>673</v>
      </c>
      <c r="C15" s="607"/>
      <c r="D15" s="607"/>
      <c r="E15" s="607"/>
      <c r="F15" s="607"/>
      <c r="G15" s="607"/>
      <c r="H15" s="607"/>
      <c r="I15" s="607"/>
      <c r="J15" s="607"/>
      <c r="K15" s="607"/>
    </row>
    <row r="16" spans="1:11">
      <c r="A16" s="607"/>
      <c r="B16" s="607"/>
      <c r="C16" s="607"/>
      <c r="D16" s="607"/>
      <c r="E16" s="607"/>
      <c r="F16" s="607"/>
      <c r="G16" s="607"/>
      <c r="H16" s="607"/>
      <c r="I16" s="607"/>
      <c r="J16" s="607"/>
      <c r="K16" s="607"/>
    </row>
    <row r="17" spans="1:11">
      <c r="A17" s="611" t="s">
        <v>674</v>
      </c>
      <c r="B17" s="612"/>
      <c r="C17" s="612"/>
      <c r="D17" s="612"/>
      <c r="E17" s="612"/>
      <c r="F17" s="612"/>
      <c r="G17" s="612"/>
      <c r="H17" s="612"/>
      <c r="I17" s="612"/>
      <c r="J17" s="612"/>
      <c r="K17" s="607"/>
    </row>
    <row r="18" spans="1:11">
      <c r="A18" s="605" t="s">
        <v>675</v>
      </c>
      <c r="B18" s="606" t="s">
        <v>681</v>
      </c>
      <c r="C18" s="607"/>
      <c r="D18" s="607"/>
      <c r="E18" s="607"/>
      <c r="F18" s="607"/>
      <c r="G18" s="607"/>
      <c r="H18" s="607"/>
      <c r="I18" s="607"/>
      <c r="J18" s="607"/>
      <c r="K18" s="607"/>
    </row>
    <row r="19" spans="1:11">
      <c r="A19" s="605" t="s">
        <v>676</v>
      </c>
      <c r="B19" s="606" t="s">
        <v>682</v>
      </c>
      <c r="C19" s="607"/>
      <c r="D19" s="607"/>
      <c r="E19" s="607"/>
      <c r="F19" s="607"/>
      <c r="G19" s="607"/>
      <c r="H19" s="607"/>
      <c r="I19" s="607"/>
      <c r="J19" s="607"/>
      <c r="K19" s="607"/>
    </row>
    <row r="20" spans="1:11">
      <c r="A20" s="605" t="s">
        <v>677</v>
      </c>
      <c r="B20" s="609" t="s">
        <v>711</v>
      </c>
      <c r="C20" s="607"/>
      <c r="D20" s="607"/>
      <c r="E20" s="607"/>
      <c r="F20" s="607"/>
      <c r="G20" s="607"/>
      <c r="H20" s="607"/>
      <c r="I20" s="607"/>
      <c r="J20" s="607"/>
      <c r="K20" s="607"/>
    </row>
    <row r="21" spans="1:11">
      <c r="A21" s="605" t="s">
        <v>678</v>
      </c>
      <c r="B21" s="610" t="s">
        <v>683</v>
      </c>
      <c r="C21" s="607"/>
      <c r="D21" s="607"/>
      <c r="E21" s="607"/>
      <c r="F21" s="607"/>
      <c r="G21" s="607"/>
      <c r="H21" s="607"/>
      <c r="I21" s="607"/>
      <c r="J21" s="607"/>
      <c r="K21" s="607"/>
    </row>
    <row r="22" spans="1:11" s="673" customFormat="1">
      <c r="A22" s="605" t="s">
        <v>679</v>
      </c>
      <c r="B22" s="606" t="s">
        <v>667</v>
      </c>
      <c r="C22" s="607"/>
      <c r="D22" s="607"/>
      <c r="E22" s="607"/>
      <c r="F22" s="607"/>
      <c r="G22" s="607"/>
      <c r="H22" s="607"/>
      <c r="I22" s="607"/>
      <c r="J22" s="607"/>
      <c r="K22" s="607"/>
    </row>
    <row r="23" spans="1:11">
      <c r="A23" s="605" t="s">
        <v>680</v>
      </c>
      <c r="B23" s="610" t="s">
        <v>684</v>
      </c>
      <c r="C23" s="607"/>
      <c r="D23" s="607"/>
      <c r="E23" s="607"/>
      <c r="F23" s="607"/>
      <c r="G23" s="607"/>
      <c r="H23" s="607"/>
      <c r="I23" s="607"/>
      <c r="J23" s="607"/>
      <c r="K23" s="607"/>
    </row>
    <row r="24" spans="1:11">
      <c r="A24" s="605" t="s">
        <v>811</v>
      </c>
      <c r="B24" s="610" t="s">
        <v>685</v>
      </c>
      <c r="C24" s="607"/>
      <c r="D24" s="607"/>
      <c r="E24" s="607"/>
      <c r="F24" s="607"/>
      <c r="G24" s="607"/>
      <c r="H24" s="607"/>
      <c r="I24" s="607"/>
      <c r="J24" s="607"/>
      <c r="K24" s="607"/>
    </row>
    <row r="25" spans="1:11">
      <c r="A25" s="607"/>
      <c r="B25" s="607"/>
      <c r="C25" s="607"/>
      <c r="D25" s="607"/>
    </row>
    <row r="26" spans="1:11">
      <c r="A26" s="613" t="s">
        <v>686</v>
      </c>
      <c r="B26" s="614"/>
      <c r="C26" s="614"/>
      <c r="D26" s="614"/>
      <c r="E26" s="109"/>
      <c r="F26" s="109"/>
      <c r="G26" s="109"/>
      <c r="H26" s="109"/>
      <c r="I26" s="109"/>
      <c r="J26" s="109"/>
    </row>
    <row r="27" spans="1:11">
      <c r="A27" s="605" t="s">
        <v>687</v>
      </c>
      <c r="B27" s="606" t="s">
        <v>648</v>
      </c>
      <c r="C27" s="607"/>
      <c r="D27" s="607"/>
    </row>
    <row r="28" spans="1:11">
      <c r="A28" s="605" t="s">
        <v>688</v>
      </c>
      <c r="B28" s="606" t="s">
        <v>713</v>
      </c>
      <c r="C28" s="607"/>
      <c r="D28" s="607"/>
    </row>
    <row r="29" spans="1:11">
      <c r="A29" s="605" t="s">
        <v>689</v>
      </c>
      <c r="B29" s="606" t="s">
        <v>598</v>
      </c>
      <c r="C29" s="607"/>
      <c r="D29" s="607"/>
    </row>
    <row r="30" spans="1:11">
      <c r="A30" s="605" t="s">
        <v>690</v>
      </c>
      <c r="B30" s="606" t="s">
        <v>597</v>
      </c>
      <c r="C30" s="607"/>
      <c r="D30" s="607"/>
    </row>
    <row r="31" spans="1:11">
      <c r="A31" s="605" t="s">
        <v>691</v>
      </c>
      <c r="B31" s="606" t="s">
        <v>714</v>
      </c>
      <c r="C31" s="607"/>
      <c r="D31" s="607"/>
    </row>
    <row r="32" spans="1:11">
      <c r="A32" s="605" t="s">
        <v>692</v>
      </c>
      <c r="B32" s="606" t="s">
        <v>715</v>
      </c>
      <c r="C32" s="607"/>
      <c r="D32" s="607"/>
    </row>
    <row r="33" spans="1:11">
      <c r="A33" s="605" t="s">
        <v>693</v>
      </c>
      <c r="B33" s="606" t="s">
        <v>716</v>
      </c>
      <c r="C33" s="607"/>
      <c r="D33" s="607"/>
    </row>
    <row r="34" spans="1:11">
      <c r="A34" s="605" t="s">
        <v>694</v>
      </c>
      <c r="B34" s="606" t="s">
        <v>717</v>
      </c>
      <c r="C34" s="607"/>
      <c r="D34" s="607"/>
    </row>
    <row r="35" spans="1:11">
      <c r="A35" s="605" t="s">
        <v>695</v>
      </c>
      <c r="B35" s="606" t="s">
        <v>241</v>
      </c>
      <c r="C35" s="607"/>
      <c r="D35" s="607"/>
    </row>
    <row r="36" spans="1:11">
      <c r="A36" s="605" t="s">
        <v>696</v>
      </c>
      <c r="B36" s="606" t="s">
        <v>709</v>
      </c>
      <c r="C36" s="607"/>
      <c r="D36" s="607"/>
    </row>
    <row r="37" spans="1:11">
      <c r="A37" s="605" t="s">
        <v>697</v>
      </c>
      <c r="B37" s="606" t="s">
        <v>712</v>
      </c>
      <c r="C37" s="607"/>
      <c r="D37" s="607"/>
    </row>
    <row r="38" spans="1:11" s="564" customFormat="1">
      <c r="A38" s="605" t="s">
        <v>771</v>
      </c>
      <c r="B38" s="606" t="s">
        <v>770</v>
      </c>
      <c r="C38" s="607"/>
      <c r="D38" s="607"/>
    </row>
    <row r="39" spans="1:11" s="564" customFormat="1">
      <c r="A39" s="605" t="s">
        <v>774</v>
      </c>
      <c r="B39" s="606" t="s">
        <v>775</v>
      </c>
      <c r="C39" s="607"/>
      <c r="D39" s="607"/>
      <c r="E39" s="607"/>
      <c r="F39" s="607"/>
      <c r="G39" s="607"/>
      <c r="H39" s="607"/>
      <c r="I39" s="607"/>
      <c r="J39" s="607"/>
      <c r="K39" s="607"/>
    </row>
    <row r="40" spans="1:11" s="673" customFormat="1">
      <c r="A40" s="605" t="s">
        <v>806</v>
      </c>
      <c r="B40" s="606" t="s">
        <v>803</v>
      </c>
      <c r="C40" s="607"/>
      <c r="D40" s="607"/>
      <c r="E40" s="607"/>
      <c r="F40" s="607"/>
      <c r="G40" s="607"/>
      <c r="H40" s="607"/>
      <c r="I40" s="607"/>
      <c r="J40" s="607"/>
      <c r="K40" s="607"/>
    </row>
    <row r="41" spans="1:11" s="673" customFormat="1">
      <c r="A41" s="605" t="s">
        <v>807</v>
      </c>
      <c r="B41" s="606" t="s">
        <v>805</v>
      </c>
      <c r="C41" s="607"/>
      <c r="D41" s="607"/>
      <c r="E41" s="607"/>
      <c r="F41" s="607"/>
      <c r="G41" s="607"/>
      <c r="H41" s="607"/>
      <c r="I41" s="607"/>
      <c r="J41" s="607"/>
      <c r="K41" s="607"/>
    </row>
    <row r="42" spans="1:11" s="673" customFormat="1">
      <c r="A42" s="605" t="s">
        <v>816</v>
      </c>
      <c r="B42" s="606" t="s">
        <v>817</v>
      </c>
      <c r="C42" s="607"/>
      <c r="D42" s="607"/>
      <c r="E42" s="607"/>
      <c r="F42" s="607"/>
      <c r="G42" s="607"/>
      <c r="H42" s="607"/>
      <c r="I42" s="607"/>
      <c r="J42" s="607"/>
      <c r="K42" s="607"/>
    </row>
    <row r="43" spans="1:11">
      <c r="A43" s="605" t="s">
        <v>1053</v>
      </c>
      <c r="B43" s="606" t="s">
        <v>1052</v>
      </c>
      <c r="C43" s="607"/>
      <c r="D43" s="607"/>
    </row>
    <row r="44" spans="1:11" s="695" customFormat="1">
      <c r="A44" s="605"/>
      <c r="B44" s="607"/>
      <c r="C44" s="607"/>
      <c r="D44" s="607"/>
    </row>
    <row r="45" spans="1:11">
      <c r="A45" s="616" t="s">
        <v>698</v>
      </c>
      <c r="B45" s="617"/>
      <c r="C45" s="617"/>
      <c r="D45" s="617"/>
      <c r="E45" s="419"/>
      <c r="F45" s="419"/>
      <c r="G45" s="419"/>
      <c r="H45" s="419"/>
      <c r="I45" s="419"/>
      <c r="J45" s="419"/>
    </row>
    <row r="46" spans="1:11">
      <c r="A46" s="606" t="s">
        <v>699</v>
      </c>
      <c r="B46" s="607"/>
      <c r="C46" s="607"/>
      <c r="D46" s="607"/>
    </row>
    <row r="47" spans="1:11">
      <c r="A47" s="606" t="s">
        <v>700</v>
      </c>
      <c r="B47" s="607"/>
      <c r="C47" s="607"/>
      <c r="D47" s="607"/>
    </row>
    <row r="48" spans="1:11">
      <c r="A48" s="606" t="s">
        <v>701</v>
      </c>
      <c r="B48" s="607"/>
      <c r="C48" s="607"/>
      <c r="D48" s="607"/>
    </row>
    <row r="49" spans="1:4">
      <c r="A49" s="606" t="s">
        <v>702</v>
      </c>
      <c r="B49" s="607"/>
      <c r="C49" s="607"/>
      <c r="D49" s="607"/>
    </row>
    <row r="50" spans="1:4">
      <c r="A50" s="606" t="s">
        <v>703</v>
      </c>
      <c r="B50" s="607"/>
      <c r="C50" s="607"/>
      <c r="D50" s="607"/>
    </row>
    <row r="51" spans="1:4">
      <c r="A51" s="606" t="s">
        <v>704</v>
      </c>
      <c r="B51" s="607"/>
      <c r="C51" s="607"/>
      <c r="D51" s="607"/>
    </row>
    <row r="52" spans="1:4">
      <c r="A52" s="606" t="s">
        <v>705</v>
      </c>
      <c r="B52" s="607"/>
      <c r="C52" s="607"/>
      <c r="D52" s="607"/>
    </row>
    <row r="53" spans="1:4" s="564" customFormat="1">
      <c r="A53" s="606" t="s">
        <v>759</v>
      </c>
      <c r="B53" s="607"/>
      <c r="C53" s="607"/>
      <c r="D53" s="607"/>
    </row>
    <row r="54" spans="1:4" s="564" customFormat="1">
      <c r="A54" s="606" t="s">
        <v>128</v>
      </c>
      <c r="B54" s="607"/>
      <c r="C54" s="607"/>
      <c r="D54" s="607"/>
    </row>
    <row r="55" spans="1:4">
      <c r="A55" s="606" t="s">
        <v>706</v>
      </c>
      <c r="B55" s="607"/>
      <c r="C55" s="607"/>
      <c r="D55" s="607"/>
    </row>
    <row r="56" spans="1:4">
      <c r="A56" s="606" t="s">
        <v>707</v>
      </c>
      <c r="B56" s="607"/>
      <c r="C56" s="607"/>
      <c r="D56" s="607"/>
    </row>
    <row r="57" spans="1:4">
      <c r="A57" s="606" t="s">
        <v>708</v>
      </c>
      <c r="B57" s="607"/>
      <c r="C57" s="607"/>
      <c r="D57" s="607"/>
    </row>
    <row r="58" spans="1:4">
      <c r="A58" s="606" t="s">
        <v>789</v>
      </c>
      <c r="B58" s="607"/>
      <c r="C58" s="607"/>
      <c r="D58" s="607"/>
    </row>
    <row r="59" spans="1:4">
      <c r="A59" s="606" t="s">
        <v>788</v>
      </c>
      <c r="B59" s="607"/>
      <c r="C59" s="607"/>
      <c r="D59" s="607"/>
    </row>
    <row r="60" spans="1:4">
      <c r="A60" s="606" t="s">
        <v>1063</v>
      </c>
      <c r="B60" s="697"/>
    </row>
    <row r="61" spans="1:4">
      <c r="A61" s="607"/>
    </row>
  </sheetData>
  <phoneticPr fontId="46" type="noConversion"/>
  <hyperlinks>
    <hyperlink ref="A7" location="'1-Prog'!A1" display="'1-Prog'!A1" xr:uid="{8FD6F2F2-22AF-47EE-B3A5-B3FC0716BF21}"/>
    <hyperlink ref="A8:B8" location="'2-Rates'!A1" display="'2-Rates'!A1" xr:uid="{ACC25E5F-0881-49ED-A008-64755275F4C6}"/>
    <hyperlink ref="A9:B9" location="'3-Kak'!A1" display="'3-Kak'!A1" xr:uid="{267A30ED-E38C-4C34-9456-7D04203BC60E}"/>
    <hyperlink ref="A10:B10" location="'4-Prog'!A1" display="'4-Prog'!A1" xr:uid="{1D9AE99E-150D-416B-926D-A3101C097249}"/>
    <hyperlink ref="A11:B11" location="'5-Top'!A1" display="'5-Top'!A1" xr:uid="{87824DB4-0135-4DF3-8B81-943D4F01B874}"/>
    <hyperlink ref="A22:B22" location="'B5-PrVsRd'!A1" display="B5" xr:uid="{0C0A0273-4164-4480-B3B1-52DECB7893E3}"/>
    <hyperlink ref="A7:B7" location="'1-Prog'!A1" display="'1-Prog'!A1" xr:uid="{D9F12FBF-8B8B-4A98-B511-37A45FCBC5C6}"/>
    <hyperlink ref="A12:B12" location="'6-Red'!A1" display="'6-Red'!A1" xr:uid="{A2360C93-2B02-4C47-B0D7-4702978EE10B}"/>
    <hyperlink ref="A13:B13" location="'7-RS'!A1" display="'7-RS'!A1" xr:uid="{47EF11A5-0CC3-4FD5-A18F-9F89CF0A1394}"/>
    <hyperlink ref="A14:B14" location="'8-Redist'!A1" display="'8-Redist'!A1" xr:uid="{63E73B61-EA5C-43E8-B7D7-07091A31C64B}"/>
    <hyperlink ref="A15:B15" location="'A1-Tx'!A1" display="A1" xr:uid="{D73EC6AC-9560-46B4-BB73-D313D918C4F2}"/>
    <hyperlink ref="A18:B18" location="'B1-Elast'!A1" display="B1" xr:uid="{DCB0BEC0-8161-4927-B754-15B6BCB10211}"/>
    <hyperlink ref="A19:B19" location="'B2-RdTr'!A1" display="B2" xr:uid="{AFAB3C68-BF0C-4641-8B55-E377A969F54E}"/>
    <hyperlink ref="A20:B20" location="'B3-Top'!A1" display="B3" xr:uid="{85002A58-8E91-4AA1-88AE-01F62EF453FF}"/>
    <hyperlink ref="A21:B21" location="'B4-Top'!A1" display="B4" xr:uid="{AAFA2AFD-642E-41D2-98DE-C32455CF4325}"/>
    <hyperlink ref="A23:B23" location="'B5-SL'!A1" display="B5" xr:uid="{2F0B248B-C737-4706-9165-6D78BA1F6172}"/>
    <hyperlink ref="A24:B24" location="'B6-SZ'!A1" display="B6" xr:uid="{B78C654D-A896-4EF1-AD35-E5351DA3F944}"/>
    <hyperlink ref="A27:B27" location="'C0-PrVsRd'!A1" display="C0" xr:uid="{BE089C93-EAB6-49E6-AFF2-127C286D5B72}"/>
    <hyperlink ref="A28:B28" location="'C1-RdTrAlt'!A1" display="C1" xr:uid="{6DE79002-653C-42A8-9BEA-F396AF2E36B8}"/>
    <hyperlink ref="A29:B29" location="'C2-NetEl'!A1" display="C2" xr:uid="{D18D6489-CDDD-4B67-9725-68DE78D4F728}"/>
    <hyperlink ref="A30:B30" location="'C3-EDI'!A1" display="C3" xr:uid="{9444594D-8325-4F22-9DC6-710646F8FFC2}"/>
    <hyperlink ref="A31:B31" location="'C4a-RSalt1'!A1" display="C4a" xr:uid="{12A9E2FF-F140-46CB-86A7-8B8D76B438F5}"/>
    <hyperlink ref="A32:B32" location="'C4b-RSalt2'!A1" display="C4b" xr:uid="{67BD05C2-B4F7-4369-BDCA-706D43F31C9F}"/>
    <hyperlink ref="A33:B33" location="'C4c-RSalt3'!A1" display="C4c" xr:uid="{801B9364-2AD6-4DC2-BF15-031A3AF1802B}"/>
    <hyperlink ref="A34:B34" location="'C4d-RSalt4'!A1" display="C4d" xr:uid="{3D41F981-EE0C-4DA9-9177-FB6816F830A6}"/>
    <hyperlink ref="A35:B35" location="'C5-SS'!A1" display="C5" xr:uid="{7A033C52-670B-4F5A-963B-F76CD2F4CB63}"/>
    <hyperlink ref="A36:B36" location="'C6-Top'!A1" display="C6" xr:uid="{4061C12E-8341-4941-B851-2074F160C2E5}"/>
    <hyperlink ref="A37:B37" location="'C7-Trans'!A1" display="C7" xr:uid="{C47047A6-CA9A-479E-A81D-2B341C788B75}"/>
    <hyperlink ref="A46" location="TxRt!A1" display="CBO Tax Rates" xr:uid="{A6827673-8378-4FEA-AC07-5DE1A932B290}"/>
    <hyperlink ref="A47" location="Dem!A1" display="CBO Demographics" xr:uid="{61C70D01-F2AF-4C40-830D-9D6FEA026374}"/>
    <hyperlink ref="A48" location="Inc!A1" display="CBO Incomes" xr:uid="{E4E05DD1-583C-4A29-B743-50970598347A}"/>
    <hyperlink ref="A49" location="Tax!A1" display="CBO Taxes" xr:uid="{9B341694-EB8A-46AA-A62D-E04709A19F7D}"/>
    <hyperlink ref="A50" location="Shares!A1" display="CBO Income Shares" xr:uid="{82B3E973-F89C-4FF0-AB0F-0831B2E4A04C}"/>
    <hyperlink ref="A51" location="Trans!A1" display="CBO Transfers" xr:uid="{011358BD-670F-480E-99DA-97D101AA0460}"/>
    <hyperlink ref="A52" location="'HH inc'!A1" display="CBO Household-level incomes" xr:uid="{E6AD5FA4-F7F1-4B9B-8D89-A0F15B6A7EB6}"/>
    <hyperlink ref="A55" location="NoTax!A1" display="Splinter (2019): Who Pays No Tax?" xr:uid="{390E4272-7302-46CD-9FDB-EDC5298081D1}"/>
    <hyperlink ref="A56" location="'SZ data'!A1" display="Saez and Zucman (2019)" xr:uid="{684A7199-387D-4661-A739-55B48D430A2B}"/>
    <hyperlink ref="A57" location="PikettySaez!A1" display="Piketty and Saez (2004)" xr:uid="{6B945BD5-05A7-4DAF-8444-23CF105EF416}"/>
    <hyperlink ref="A58" location="AS!A1" display="Auten and Splinter (2019)" xr:uid="{285F08C8-CC95-4FE5-8B64-030D7446E560}"/>
    <hyperlink ref="A53" location="OTA!A1" display="OTA" xr:uid="{6E39C411-DE2A-438C-8419-0E5EB2CA46D2}"/>
    <hyperlink ref="A54" location="JCT!A1" display="JCT" xr:uid="{1F359E31-5C98-48F4-8AEE-0BA8F2D19FB5}"/>
    <hyperlink ref="A38:B38" location="'C8-Suits'!A1" display="C8" xr:uid="{35996989-E943-4745-A536-FB4235C0591C}"/>
    <hyperlink ref="A39:B39" location="'C9-KakMid'!A1" display="C9" xr:uid="{81725907-98A8-4664-853A-E80376C97AE6}"/>
    <hyperlink ref="A59" location="AS!A1" display="Auten and Splinter (2019)" xr:uid="{6F045BAB-4E4D-4DA8-B8A6-B1EE6D16296E}"/>
    <hyperlink ref="A40:A41" location="'C9-KakMid'!A1" display="C9" xr:uid="{1EF5390D-376D-4D3C-90DE-342A3C40F347}"/>
    <hyperlink ref="A40:B40" location="'C10a-KakIC'!A1" display="C10a" xr:uid="{3A8B7FD5-8504-4B0A-A4ED-DE7DBB4A6437}"/>
    <hyperlink ref="A41:B41" location="'C10b-KakNIC'!A1" display="C10b" xr:uid="{B16597E0-61B5-47A9-91BA-8A49E646A46B}"/>
    <hyperlink ref="A42" location="'C9-KakMid'!A1" display="C9" xr:uid="{AE10DA0D-EC16-4559-9389-A211A22D7946}"/>
    <hyperlink ref="A42:B42" location="'C10b-KakNIC'!A1" display="C10b" xr:uid="{B2450D10-DBCD-49C0-B3F0-9409D72597B1}"/>
    <hyperlink ref="B42" location="'C10c-KakCredits'!A1" display="Bottom-code income tax rates at zero percent to control for refundable portion of tax credits: Kakwani Index of Federal Tax Progressivity" xr:uid="{9990B873-30EA-4A46-9110-8B09E29D47B8}"/>
    <hyperlink ref="A43" location="'C9-KakMid'!A1" display="C9" xr:uid="{0CF6B214-D7CF-4E8C-9406-3AE2AD31744F}"/>
    <hyperlink ref="A43:B43" location="'C11-TCJA'!A1" display="C11" xr:uid="{BFC7C3BF-BD7F-4518-ABBD-BD800D1F803F}"/>
    <hyperlink ref="A4:H4" r:id="rId1" display="   current version at http://davidsplinter.com/TaxProgressivity-Splinter.xlsx" xr:uid="{40628BE5-EDF4-481A-99EE-3D7E6A856A7B}"/>
    <hyperlink ref="A60:B60" location="longrun!A1" display="Long-run changes in taxes as a share of GDP" xr:uid="{9F05CF8F-7B91-472C-AD67-93B3E7E4C7D9}"/>
  </hyperlinks>
  <pageMargins left="0.7" right="0.7" top="0.75" bottom="0.75" header="0.3" footer="0.3"/>
  <pageSetup orientation="portrait" horizontalDpi="1200" verticalDpi="1200"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CAD726-02FC-4307-B065-FCC28D050D57}">
  <sheetPr codeName="Sheet29"/>
  <dimension ref="A1:L62"/>
  <sheetViews>
    <sheetView workbookViewId="0"/>
  </sheetViews>
  <sheetFormatPr defaultRowHeight="15"/>
  <cols>
    <col min="1" max="1" width="19" style="131" customWidth="1"/>
    <col min="2" max="8" width="7.28515625" style="131" customWidth="1"/>
    <col min="9" max="9" width="7.85546875" style="131" customWidth="1"/>
    <col min="10" max="10" width="8.7109375" style="46" customWidth="1"/>
    <col min="11" max="11" width="12.5703125" style="131" customWidth="1"/>
    <col min="12" max="16384" width="9.140625" style="131"/>
  </cols>
  <sheetData>
    <row r="1" spans="1:10">
      <c r="A1" s="9" t="s">
        <v>672</v>
      </c>
      <c r="J1" s="641" t="s">
        <v>762</v>
      </c>
    </row>
    <row r="2" spans="1:10">
      <c r="A2" s="9"/>
    </row>
    <row r="3" spans="1:10">
      <c r="A3" s="9"/>
    </row>
    <row r="4" spans="1:10">
      <c r="A4" s="9"/>
    </row>
    <row r="5" spans="1:10">
      <c r="A5" s="9"/>
    </row>
    <row r="6" spans="1:10">
      <c r="A6" s="9"/>
    </row>
    <row r="7" spans="1:10">
      <c r="A7" s="9"/>
    </row>
    <row r="8" spans="1:10">
      <c r="A8" s="9"/>
    </row>
    <row r="9" spans="1:10">
      <c r="A9" s="9"/>
    </row>
    <row r="10" spans="1:10">
      <c r="A10" s="9"/>
    </row>
    <row r="11" spans="1:10">
      <c r="A11" s="9"/>
    </row>
    <row r="12" spans="1:10">
      <c r="A12" s="9"/>
    </row>
    <row r="13" spans="1:10">
      <c r="A13" s="9"/>
    </row>
    <row r="14" spans="1:10">
      <c r="A14" s="9"/>
    </row>
    <row r="15" spans="1:10">
      <c r="A15" s="9"/>
    </row>
    <row r="16" spans="1:10">
      <c r="A16" s="9"/>
    </row>
    <row r="17" spans="1:12">
      <c r="A17" s="9"/>
    </row>
    <row r="18" spans="1:12">
      <c r="A18" s="9"/>
    </row>
    <row r="19" spans="1:12">
      <c r="A19" s="9"/>
    </row>
    <row r="20" spans="1:12">
      <c r="A20" s="9"/>
    </row>
    <row r="21" spans="1:12">
      <c r="A21" s="9"/>
    </row>
    <row r="22" spans="1:12">
      <c r="A22" s="9"/>
    </row>
    <row r="23" spans="1:12">
      <c r="A23" s="9"/>
    </row>
    <row r="24" spans="1:12">
      <c r="A24" s="9"/>
    </row>
    <row r="25" spans="1:12">
      <c r="A25" s="9"/>
    </row>
    <row r="26" spans="1:12">
      <c r="A26" s="9"/>
    </row>
    <row r="28" spans="1:12" s="423" customFormat="1">
      <c r="A28" s="718" t="s">
        <v>430</v>
      </c>
      <c r="B28" s="718"/>
      <c r="C28" s="718"/>
      <c r="D28" s="718"/>
      <c r="E28" s="718"/>
      <c r="F28" s="718"/>
      <c r="G28" s="718"/>
      <c r="H28" s="718"/>
      <c r="I28" s="718"/>
      <c r="J28" s="46"/>
    </row>
    <row r="29" spans="1:12" s="423" customFormat="1" ht="39" customHeight="1">
      <c r="A29" s="718" t="s">
        <v>433</v>
      </c>
      <c r="B29" s="718"/>
      <c r="C29" s="718"/>
      <c r="D29" s="718"/>
      <c r="E29" s="718"/>
      <c r="F29" s="718"/>
      <c r="G29" s="718"/>
      <c r="H29" s="718"/>
      <c r="I29" s="718"/>
      <c r="J29" s="46"/>
    </row>
    <row r="30" spans="1:12" ht="17.25" customHeight="1">
      <c r="A30" s="223"/>
      <c r="B30" s="223"/>
      <c r="C30" s="223"/>
      <c r="D30" s="223"/>
      <c r="E30" s="223"/>
      <c r="F30" s="223"/>
      <c r="G30" s="223"/>
      <c r="H30" s="223"/>
      <c r="I30" s="223"/>
    </row>
    <row r="31" spans="1:12">
      <c r="A31" s="192" t="s">
        <v>235</v>
      </c>
      <c r="B31" s="191"/>
      <c r="C31" s="191"/>
      <c r="D31" s="191"/>
      <c r="E31" s="191"/>
      <c r="F31" s="191"/>
      <c r="G31" s="191"/>
      <c r="H31" s="191"/>
      <c r="I31" s="191"/>
      <c r="J31" s="199"/>
      <c r="K31" s="191"/>
    </row>
    <row r="32" spans="1:12" ht="29.25" customHeight="1">
      <c r="A32" s="193"/>
      <c r="B32" s="233" t="s">
        <v>29</v>
      </c>
      <c r="C32" s="233" t="s">
        <v>30</v>
      </c>
      <c r="D32" s="233" t="s">
        <v>31</v>
      </c>
      <c r="E32" s="233" t="s">
        <v>32</v>
      </c>
      <c r="F32" s="413" t="s">
        <v>236</v>
      </c>
      <c r="H32" s="233" t="s">
        <v>33</v>
      </c>
      <c r="I32" s="233" t="s">
        <v>51</v>
      </c>
      <c r="J32" s="233" t="s">
        <v>52</v>
      </c>
      <c r="K32" s="233" t="s">
        <v>28</v>
      </c>
      <c r="L32" s="9"/>
    </row>
    <row r="33" spans="1:12">
      <c r="A33" s="105">
        <v>2016</v>
      </c>
      <c r="B33" s="114"/>
      <c r="C33" s="114"/>
      <c r="D33" s="114"/>
      <c r="E33" s="114"/>
      <c r="F33" s="414"/>
      <c r="H33" s="114"/>
      <c r="I33" s="114"/>
      <c r="J33" s="114"/>
      <c r="K33" s="52"/>
      <c r="L33" s="9"/>
    </row>
    <row r="34" spans="1:12">
      <c r="A34" s="11" t="s">
        <v>232</v>
      </c>
      <c r="B34" s="55">
        <f>TxRt!C$90</f>
        <v>-10.9</v>
      </c>
      <c r="C34" s="55">
        <f>TxRt!C$133</f>
        <v>-1.2</v>
      </c>
      <c r="D34" s="55">
        <f>TxRt!C$173</f>
        <v>3.1</v>
      </c>
      <c r="E34" s="55">
        <f>TxRt!C$213</f>
        <v>6.7</v>
      </c>
      <c r="F34" s="401">
        <f>TxRt!C$253</f>
        <v>16</v>
      </c>
      <c r="H34" s="55">
        <f>TxRt!C$293</f>
        <v>9.6999999999999993</v>
      </c>
      <c r="I34" s="55">
        <f>TxRt!C$333</f>
        <v>12.3</v>
      </c>
      <c r="J34" s="55">
        <f>TxRt!C$373</f>
        <v>16.899999999999999</v>
      </c>
      <c r="K34" s="55">
        <f>TxRt!C$413</f>
        <v>23.7</v>
      </c>
    </row>
    <row r="35" spans="1:12">
      <c r="A35" s="11" t="s">
        <v>17</v>
      </c>
      <c r="B35" s="55">
        <f>TxRt!D$90</f>
        <v>9.5</v>
      </c>
      <c r="C35" s="55">
        <f>TxRt!D$133</f>
        <v>8.6</v>
      </c>
      <c r="D35" s="55">
        <f>TxRt!D$173</f>
        <v>8.9</v>
      </c>
      <c r="E35" s="55">
        <f>TxRt!D$213</f>
        <v>9.3000000000000007</v>
      </c>
      <c r="F35" s="401">
        <f>TxRt!D$253</f>
        <v>6.6</v>
      </c>
      <c r="H35" s="55">
        <f>TxRt!D$293</f>
        <v>9.4</v>
      </c>
      <c r="I35" s="55">
        <f>TxRt!D$333</f>
        <v>8.9</v>
      </c>
      <c r="J35" s="55">
        <f>TxRt!D$373</f>
        <v>6.7</v>
      </c>
      <c r="K35" s="55">
        <f>TxRt!D$413</f>
        <v>2.2999999999999998</v>
      </c>
    </row>
    <row r="36" spans="1:12">
      <c r="A36" s="11" t="s">
        <v>233</v>
      </c>
      <c r="B36" s="55">
        <f>TxRt!E$90</f>
        <v>0.9</v>
      </c>
      <c r="C36" s="55">
        <f>TxRt!E$133</f>
        <v>0.9</v>
      </c>
      <c r="D36" s="55">
        <f>TxRt!E$173</f>
        <v>1</v>
      </c>
      <c r="E36" s="55">
        <f>TxRt!E$213</f>
        <v>1.2</v>
      </c>
      <c r="F36" s="401">
        <f>TxRt!E$253</f>
        <v>3.5</v>
      </c>
      <c r="H36" s="55">
        <f>TxRt!E$293</f>
        <v>1.5</v>
      </c>
      <c r="I36" s="55">
        <f>TxRt!E$333</f>
        <v>1.9</v>
      </c>
      <c r="J36" s="55">
        <f>TxRt!E$373</f>
        <v>2.7</v>
      </c>
      <c r="K36" s="55">
        <f>TxRt!E$413</f>
        <v>7.1</v>
      </c>
      <c r="L36" s="8"/>
    </row>
    <row r="37" spans="1:12">
      <c r="A37" s="229" t="s">
        <v>234</v>
      </c>
      <c r="B37" s="43">
        <f>TxRt!F$90</f>
        <v>2.2000000000000002</v>
      </c>
      <c r="C37" s="43">
        <f>TxRt!F$133</f>
        <v>1.1000000000000001</v>
      </c>
      <c r="D37" s="43">
        <f>TxRt!F$173</f>
        <v>0.9</v>
      </c>
      <c r="E37" s="43">
        <f>TxRt!F$213</f>
        <v>0.7</v>
      </c>
      <c r="F37" s="43">
        <f>TxRt!F$253</f>
        <v>0.4</v>
      </c>
      <c r="H37" s="43">
        <f>TxRt!F$293</f>
        <v>0.6</v>
      </c>
      <c r="I37" s="43">
        <f>TxRt!F$333</f>
        <v>0.5</v>
      </c>
      <c r="J37" s="43">
        <f>TxRt!F$373</f>
        <v>0.4</v>
      </c>
      <c r="K37" s="43">
        <f>TxRt!F$413</f>
        <v>0.2</v>
      </c>
      <c r="L37" s="8"/>
    </row>
    <row r="38" spans="1:12">
      <c r="A38" s="232" t="s">
        <v>458</v>
      </c>
      <c r="B38" s="230">
        <f>TxRt!B$90</f>
        <v>1.7</v>
      </c>
      <c r="C38" s="230">
        <f>TxRt!B$133</f>
        <v>9.4</v>
      </c>
      <c r="D38" s="230">
        <f>TxRt!B$173</f>
        <v>13.9</v>
      </c>
      <c r="E38" s="230">
        <f>TxRt!B$213</f>
        <v>17.899999999999999</v>
      </c>
      <c r="F38" s="230">
        <f>TxRt!B$253</f>
        <v>26.5</v>
      </c>
      <c r="H38" s="230">
        <f>TxRt!B$293</f>
        <v>21.2</v>
      </c>
      <c r="I38" s="230">
        <f>TxRt!B$333</f>
        <v>23.6</v>
      </c>
      <c r="J38" s="230">
        <f>TxRt!B$373</f>
        <v>26.8</v>
      </c>
      <c r="K38" s="230">
        <f>TxRt!B$413</f>
        <v>33.299999999999997</v>
      </c>
      <c r="L38" s="48"/>
    </row>
    <row r="39" spans="1:12">
      <c r="A39" s="4"/>
      <c r="B39" s="39"/>
      <c r="C39" s="39"/>
      <c r="D39" s="39"/>
      <c r="E39" s="39"/>
      <c r="F39" s="403"/>
      <c r="H39" s="39"/>
      <c r="I39" s="39"/>
      <c r="J39" s="39"/>
      <c r="K39" s="39"/>
    </row>
    <row r="40" spans="1:12">
      <c r="A40" s="105">
        <v>1979</v>
      </c>
      <c r="B40" s="49"/>
      <c r="C40" s="49"/>
      <c r="D40" s="49"/>
      <c r="E40" s="49"/>
      <c r="F40" s="49"/>
      <c r="H40" s="49"/>
      <c r="I40" s="49"/>
      <c r="J40" s="49"/>
      <c r="K40" s="49"/>
    </row>
    <row r="41" spans="1:12">
      <c r="A41" s="229" t="s">
        <v>232</v>
      </c>
      <c r="B41" s="43">
        <f>TxRt!C$53</f>
        <v>-0.2</v>
      </c>
      <c r="C41" s="43">
        <f>TxRt!C$96</f>
        <v>4.0999999999999996</v>
      </c>
      <c r="D41" s="43">
        <f>TxRt!C$136</f>
        <v>7.4</v>
      </c>
      <c r="E41" s="43">
        <f>TxRt!C$176</f>
        <v>10.1</v>
      </c>
      <c r="F41" s="401">
        <f>TxRt!C$216</f>
        <v>15.9</v>
      </c>
      <c r="H41" s="43">
        <f>TxRt!C$256</f>
        <v>12.3</v>
      </c>
      <c r="I41" s="43">
        <f>TxRt!C$296</f>
        <v>14.1</v>
      </c>
      <c r="J41" s="43">
        <f>TxRt!C$336</f>
        <v>16.8</v>
      </c>
      <c r="K41" s="43">
        <f>TxRt!C$376</f>
        <v>22.6</v>
      </c>
    </row>
    <row r="42" spans="1:12">
      <c r="A42" s="229" t="s">
        <v>17</v>
      </c>
      <c r="B42" s="43">
        <f>TxRt!D$53</f>
        <v>6</v>
      </c>
      <c r="C42" s="43">
        <f>TxRt!D$96</f>
        <v>7.7</v>
      </c>
      <c r="D42" s="43">
        <f>TxRt!D$136</f>
        <v>8.5</v>
      </c>
      <c r="E42" s="43">
        <f>TxRt!D$176</f>
        <v>8.5</v>
      </c>
      <c r="F42" s="401">
        <f>TxRt!D$216</f>
        <v>5.5</v>
      </c>
      <c r="H42" s="43">
        <f>TxRt!D$256</f>
        <v>7.9</v>
      </c>
      <c r="I42" s="43">
        <f>TxRt!D$296</f>
        <v>7.1</v>
      </c>
      <c r="J42" s="43">
        <f>TxRt!D$336</f>
        <v>4.4000000000000004</v>
      </c>
      <c r="K42" s="43">
        <f>TxRt!D$376</f>
        <v>1</v>
      </c>
    </row>
    <row r="43" spans="1:12">
      <c r="A43" s="229" t="s">
        <v>233</v>
      </c>
      <c r="B43" s="43">
        <f>TxRt!E$53</f>
        <v>1.5</v>
      </c>
      <c r="C43" s="43">
        <f>TxRt!E$96</f>
        <v>1.8</v>
      </c>
      <c r="D43" s="43">
        <f>TxRt!E$136</f>
        <v>2</v>
      </c>
      <c r="E43" s="43">
        <f>TxRt!E$176</f>
        <v>2.2000000000000002</v>
      </c>
      <c r="F43" s="401">
        <f>TxRt!E$216</f>
        <v>5</v>
      </c>
      <c r="H43" s="43">
        <f>TxRt!E$256</f>
        <v>2.6</v>
      </c>
      <c r="I43" s="43">
        <f>TxRt!E$296</f>
        <v>3.1</v>
      </c>
      <c r="J43" s="43">
        <f>TxRt!E$336</f>
        <v>5.2</v>
      </c>
      <c r="K43" s="43">
        <f>TxRt!E$376</f>
        <v>11</v>
      </c>
    </row>
    <row r="44" spans="1:12">
      <c r="A44" s="229" t="s">
        <v>234</v>
      </c>
      <c r="B44" s="43">
        <f>TxRt!F$53</f>
        <v>1.9</v>
      </c>
      <c r="C44" s="43">
        <f>TxRt!F$96</f>
        <v>1.3</v>
      </c>
      <c r="D44" s="43">
        <f>TxRt!F$136</f>
        <v>1.1000000000000001</v>
      </c>
      <c r="E44" s="43">
        <f>TxRt!F$176</f>
        <v>0.9</v>
      </c>
      <c r="F44" s="43">
        <f>TxRt!F$216</f>
        <v>0.7</v>
      </c>
      <c r="H44" s="43">
        <f>TxRt!F$256</f>
        <v>0.9</v>
      </c>
      <c r="I44" s="43">
        <f>TxRt!F$296</f>
        <v>0.8</v>
      </c>
      <c r="J44" s="43">
        <f>TxRt!F$336</f>
        <v>0.7</v>
      </c>
      <c r="K44" s="43">
        <f>TxRt!F$376</f>
        <v>0.5</v>
      </c>
    </row>
    <row r="45" spans="1:12">
      <c r="A45" s="232" t="s">
        <v>458</v>
      </c>
      <c r="B45" s="230">
        <f>TxRt!B$53</f>
        <v>9.3000000000000007</v>
      </c>
      <c r="C45" s="230">
        <f>TxRt!B$96</f>
        <v>15</v>
      </c>
      <c r="D45" s="230">
        <f>TxRt!B$136</f>
        <v>19.100000000000001</v>
      </c>
      <c r="E45" s="230">
        <f>TxRt!B$176</f>
        <v>21.7</v>
      </c>
      <c r="F45" s="230">
        <f>TxRt!B$216</f>
        <v>27.1</v>
      </c>
      <c r="G45" s="13"/>
      <c r="H45" s="230">
        <f>TxRt!B$256</f>
        <v>23.6</v>
      </c>
      <c r="I45" s="230">
        <f>TxRt!B$296</f>
        <v>25.2</v>
      </c>
      <c r="J45" s="230">
        <f>TxRt!B$336</f>
        <v>27.1</v>
      </c>
      <c r="K45" s="230">
        <f>TxRt!B$376</f>
        <v>35.1</v>
      </c>
    </row>
    <row r="46" spans="1:12">
      <c r="A46" s="4"/>
    </row>
    <row r="47" spans="1:12">
      <c r="A47" s="105" t="s">
        <v>432</v>
      </c>
      <c r="B47" s="44"/>
    </row>
    <row r="48" spans="1:12">
      <c r="A48" s="229" t="s">
        <v>232</v>
      </c>
      <c r="B48" s="102">
        <f t="shared" ref="B48:F52" si="0">B34-B41</f>
        <v>-10.700000000000001</v>
      </c>
      <c r="C48" s="102">
        <f t="shared" si="0"/>
        <v>-5.3</v>
      </c>
      <c r="D48" s="102">
        <f t="shared" si="0"/>
        <v>-4.3000000000000007</v>
      </c>
      <c r="E48" s="102">
        <f t="shared" si="0"/>
        <v>-3.3999999999999995</v>
      </c>
      <c r="F48" s="102">
        <f t="shared" si="0"/>
        <v>9.9999999999999645E-2</v>
      </c>
      <c r="G48" s="46"/>
      <c r="H48" s="102">
        <f t="shared" ref="H48:K52" si="1">H34-H41</f>
        <v>-2.6000000000000014</v>
      </c>
      <c r="I48" s="102">
        <f t="shared" si="1"/>
        <v>-1.7999999999999989</v>
      </c>
      <c r="J48" s="102">
        <f t="shared" si="1"/>
        <v>9.9999999999997868E-2</v>
      </c>
      <c r="K48" s="102">
        <f t="shared" si="1"/>
        <v>1.0999999999999979</v>
      </c>
    </row>
    <row r="49" spans="1:11">
      <c r="A49" s="229" t="s">
        <v>17</v>
      </c>
      <c r="B49" s="102">
        <f t="shared" si="0"/>
        <v>3.5</v>
      </c>
      <c r="C49" s="102">
        <f t="shared" si="0"/>
        <v>0.89999999999999947</v>
      </c>
      <c r="D49" s="102">
        <f t="shared" si="0"/>
        <v>0.40000000000000036</v>
      </c>
      <c r="E49" s="102">
        <f t="shared" si="0"/>
        <v>0.80000000000000071</v>
      </c>
      <c r="F49" s="102">
        <f t="shared" si="0"/>
        <v>1.0999999999999996</v>
      </c>
      <c r="G49" s="46"/>
      <c r="H49" s="102">
        <f t="shared" si="1"/>
        <v>1.5</v>
      </c>
      <c r="I49" s="102">
        <f t="shared" si="1"/>
        <v>1.8000000000000007</v>
      </c>
      <c r="J49" s="102">
        <f t="shared" si="1"/>
        <v>2.2999999999999998</v>
      </c>
      <c r="K49" s="102">
        <f t="shared" si="1"/>
        <v>1.2999999999999998</v>
      </c>
    </row>
    <row r="50" spans="1:11">
      <c r="A50" s="229" t="s">
        <v>233</v>
      </c>
      <c r="B50" s="102">
        <f t="shared" si="0"/>
        <v>-0.6</v>
      </c>
      <c r="C50" s="102">
        <f t="shared" si="0"/>
        <v>-0.9</v>
      </c>
      <c r="D50" s="102">
        <f t="shared" si="0"/>
        <v>-1</v>
      </c>
      <c r="E50" s="102">
        <f t="shared" si="0"/>
        <v>-1.0000000000000002</v>
      </c>
      <c r="F50" s="102">
        <f t="shared" si="0"/>
        <v>-1.5</v>
      </c>
      <c r="G50" s="46"/>
      <c r="H50" s="102">
        <f t="shared" si="1"/>
        <v>-1.1000000000000001</v>
      </c>
      <c r="I50" s="102">
        <f t="shared" si="1"/>
        <v>-1.2000000000000002</v>
      </c>
      <c r="J50" s="102">
        <f t="shared" si="1"/>
        <v>-2.5</v>
      </c>
      <c r="K50" s="102">
        <f t="shared" si="1"/>
        <v>-3.9000000000000004</v>
      </c>
    </row>
    <row r="51" spans="1:11">
      <c r="A51" s="229" t="s">
        <v>234</v>
      </c>
      <c r="B51" s="102">
        <f t="shared" si="0"/>
        <v>0.30000000000000027</v>
      </c>
      <c r="C51" s="102">
        <f t="shared" si="0"/>
        <v>-0.19999999999999996</v>
      </c>
      <c r="D51" s="102">
        <f t="shared" si="0"/>
        <v>-0.20000000000000007</v>
      </c>
      <c r="E51" s="102">
        <f t="shared" si="0"/>
        <v>-0.20000000000000007</v>
      </c>
      <c r="F51" s="102">
        <f t="shared" si="0"/>
        <v>-0.29999999999999993</v>
      </c>
      <c r="G51" s="46"/>
      <c r="H51" s="102">
        <f t="shared" si="1"/>
        <v>-0.30000000000000004</v>
      </c>
      <c r="I51" s="102">
        <f t="shared" si="1"/>
        <v>-0.30000000000000004</v>
      </c>
      <c r="J51" s="102">
        <f t="shared" si="1"/>
        <v>-0.29999999999999993</v>
      </c>
      <c r="K51" s="102">
        <f t="shared" si="1"/>
        <v>-0.3</v>
      </c>
    </row>
    <row r="52" spans="1:11">
      <c r="A52" s="231" t="s">
        <v>458</v>
      </c>
      <c r="B52" s="432">
        <f t="shared" si="0"/>
        <v>-7.6000000000000005</v>
      </c>
      <c r="C52" s="432">
        <f t="shared" si="0"/>
        <v>-5.6</v>
      </c>
      <c r="D52" s="432">
        <f t="shared" si="0"/>
        <v>-5.2000000000000011</v>
      </c>
      <c r="E52" s="432">
        <f t="shared" si="0"/>
        <v>-3.8000000000000007</v>
      </c>
      <c r="F52" s="432">
        <f t="shared" si="0"/>
        <v>-0.60000000000000142</v>
      </c>
      <c r="G52" s="415"/>
      <c r="H52" s="432">
        <f t="shared" si="1"/>
        <v>-2.4000000000000021</v>
      </c>
      <c r="I52" s="432">
        <f t="shared" si="1"/>
        <v>-1.5999999999999979</v>
      </c>
      <c r="J52" s="432">
        <f t="shared" si="1"/>
        <v>-0.30000000000000071</v>
      </c>
      <c r="K52" s="432">
        <f t="shared" si="1"/>
        <v>-1.8000000000000043</v>
      </c>
    </row>
    <row r="53" spans="1:11" s="673" customFormat="1">
      <c r="A53" s="232"/>
      <c r="B53" s="433"/>
      <c r="C53" s="433"/>
      <c r="D53" s="433"/>
      <c r="E53" s="433"/>
      <c r="F53" s="433"/>
      <c r="G53" s="671"/>
      <c r="H53" s="433"/>
      <c r="I53" s="433"/>
      <c r="J53" s="433"/>
      <c r="K53" s="433"/>
    </row>
    <row r="54" spans="1:11" s="673" customFormat="1">
      <c r="A54" s="232"/>
      <c r="B54" s="433"/>
      <c r="C54" s="433"/>
      <c r="D54" s="433"/>
      <c r="E54" s="433"/>
      <c r="F54" s="433"/>
      <c r="G54" s="671"/>
      <c r="H54" s="433"/>
      <c r="I54" s="433"/>
      <c r="J54" s="433"/>
      <c r="K54" s="433"/>
    </row>
    <row r="56" spans="1:11">
      <c r="A56" s="678" t="s">
        <v>800</v>
      </c>
      <c r="F56" s="131" t="s">
        <v>797</v>
      </c>
      <c r="G56" s="131" t="s">
        <v>796</v>
      </c>
      <c r="H56" s="131" t="s">
        <v>798</v>
      </c>
      <c r="I56" s="131" t="s">
        <v>795</v>
      </c>
      <c r="J56" s="46" t="s">
        <v>799</v>
      </c>
    </row>
    <row r="57" spans="1:11">
      <c r="A57" s="131" t="s">
        <v>794</v>
      </c>
      <c r="F57" s="131">
        <f>13391+26646</f>
        <v>40037</v>
      </c>
      <c r="G57" s="131">
        <f>11818+90638</f>
        <v>102456</v>
      </c>
      <c r="H57" s="282">
        <f>G57/(F57*65000)*1000</f>
        <v>3.9369736839577237E-2</v>
      </c>
      <c r="I57" s="131">
        <f>(5453+9934)</f>
        <v>15387</v>
      </c>
      <c r="J57" s="46">
        <f>6405+4641</f>
        <v>11046</v>
      </c>
    </row>
    <row r="58" spans="1:11">
      <c r="A58" s="131" t="s">
        <v>793</v>
      </c>
      <c r="I58" s="479">
        <f>I57/$G57</f>
        <v>0.15018154134457717</v>
      </c>
      <c r="J58" s="479">
        <f>J57/$G57</f>
        <v>0.10781213398922464</v>
      </c>
    </row>
    <row r="60" spans="1:11">
      <c r="A60" s="678" t="s">
        <v>801</v>
      </c>
      <c r="B60" s="673"/>
      <c r="C60" s="673"/>
      <c r="D60" s="673"/>
      <c r="E60" s="673"/>
      <c r="F60" s="673" t="s">
        <v>797</v>
      </c>
      <c r="G60" s="673" t="s">
        <v>796</v>
      </c>
      <c r="H60" s="673" t="s">
        <v>798</v>
      </c>
      <c r="I60" s="673" t="s">
        <v>795</v>
      </c>
      <c r="J60" s="46" t="s">
        <v>799</v>
      </c>
    </row>
    <row r="61" spans="1:11">
      <c r="A61" s="673" t="s">
        <v>802</v>
      </c>
      <c r="B61" s="673"/>
      <c r="C61" s="673"/>
      <c r="D61" s="673"/>
      <c r="E61" s="673"/>
      <c r="F61" s="673">
        <f>19513+21662</f>
        <v>41175</v>
      </c>
      <c r="G61" s="673">
        <f>-6117-41588</f>
        <v>-47705</v>
      </c>
      <c r="H61" s="282">
        <f>G61/(F61*65000)*1000</f>
        <v>-1.7824482742515527E-2</v>
      </c>
      <c r="I61" s="673">
        <f>873+8211</f>
        <v>9084</v>
      </c>
      <c r="J61" s="46">
        <f>5218+28389</f>
        <v>33607</v>
      </c>
    </row>
    <row r="62" spans="1:11">
      <c r="A62" s="673" t="s">
        <v>793</v>
      </c>
      <c r="B62" s="673"/>
      <c r="C62" s="673"/>
      <c r="D62" s="673"/>
      <c r="E62" s="673"/>
      <c r="F62" s="673"/>
      <c r="G62" s="673"/>
      <c r="H62" s="673"/>
      <c r="I62" s="479">
        <f>I61/$G61</f>
        <v>-0.19042029137406979</v>
      </c>
      <c r="J62" s="479">
        <f>J61/$G61</f>
        <v>-0.70447542186353629</v>
      </c>
    </row>
  </sheetData>
  <mergeCells count="2">
    <mergeCell ref="A29:I29"/>
    <mergeCell ref="A28:I28"/>
  </mergeCells>
  <phoneticPr fontId="46" type="noConversion"/>
  <hyperlinks>
    <hyperlink ref="J1" location="Index!A1" display="index" xr:uid="{9E47C557-B01F-4E4F-8E31-A67FC1FF4715}"/>
  </hyperlinks>
  <pageMargins left="0.7" right="0.7" top="0.75" bottom="0.75" header="0.3" footer="0.3"/>
  <pageSetup orientation="portrait" horizontalDpi="1200" verticalDpi="12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3FC98-A0E5-4C16-8403-928F3A662F50}">
  <sheetPr codeName="Sheet19">
    <tabColor theme="8" tint="0.79998168889431442"/>
  </sheetPr>
  <dimension ref="A1:GW172"/>
  <sheetViews>
    <sheetView zoomScale="85" zoomScaleNormal="85" workbookViewId="0"/>
  </sheetViews>
  <sheetFormatPr defaultRowHeight="15"/>
  <cols>
    <col min="1" max="1" width="8.28515625" style="46" customWidth="1"/>
    <col min="2" max="2" width="10.28515625" customWidth="1"/>
    <col min="3" max="3" width="7.85546875" style="131" customWidth="1"/>
    <col min="4" max="4" width="2.42578125" customWidth="1"/>
    <col min="5" max="12" width="6.5703125" customWidth="1"/>
    <col min="13" max="13" width="2.140625" style="40" customWidth="1"/>
    <col min="14" max="17" width="5.5703125" style="131" customWidth="1"/>
    <col min="18" max="19" width="6.7109375" style="131" customWidth="1"/>
    <col min="20" max="20" width="7.140625" style="131" customWidth="1"/>
    <col min="21" max="21" width="7.28515625" style="131" customWidth="1"/>
    <col min="22" max="22" width="2.5703125" style="131" customWidth="1"/>
    <col min="23" max="30" width="6.5703125" customWidth="1"/>
    <col min="31" max="31" width="3" style="40" customWidth="1"/>
    <col min="32" max="32" width="7.42578125" style="40" customWidth="1"/>
    <col min="33" max="34" width="5.7109375" style="40" customWidth="1"/>
    <col min="35" max="35" width="6.42578125" style="40" customWidth="1"/>
    <col min="36" max="36" width="7.28515625" style="40" customWidth="1"/>
    <col min="37" max="39" width="7" style="40" customWidth="1"/>
    <col min="40" max="40" width="2" customWidth="1"/>
    <col min="41" max="41" width="9.140625" customWidth="1"/>
    <col min="42" max="42" width="7.85546875" customWidth="1"/>
    <col min="43" max="44" width="5.5703125" customWidth="1"/>
    <col min="45" max="48" width="6.28515625" customWidth="1"/>
    <col min="49" max="103" width="5" customWidth="1"/>
    <col min="104" max="104" width="6.7109375" customWidth="1"/>
    <col min="105" max="105" width="3.28515625" customWidth="1"/>
    <col min="106" max="205" width="5.7109375" customWidth="1"/>
  </cols>
  <sheetData>
    <row r="1" spans="1:22" s="40" customFormat="1">
      <c r="A1" s="147" t="s">
        <v>623</v>
      </c>
      <c r="C1" s="131"/>
      <c r="L1" s="641" t="s">
        <v>762</v>
      </c>
      <c r="N1" s="131"/>
      <c r="O1" s="131"/>
      <c r="P1" s="131"/>
      <c r="Q1" s="131"/>
      <c r="R1" s="131"/>
      <c r="S1" s="131"/>
      <c r="T1" s="131"/>
      <c r="U1" s="131"/>
      <c r="V1" s="131"/>
    </row>
    <row r="2" spans="1:22" s="40" customFormat="1">
      <c r="C2" s="131"/>
      <c r="N2" s="131"/>
      <c r="O2" s="131"/>
      <c r="P2" s="131"/>
      <c r="Q2" s="131"/>
      <c r="R2" s="131"/>
      <c r="S2" s="131"/>
      <c r="T2" s="131"/>
      <c r="U2" s="131"/>
      <c r="V2" s="131"/>
    </row>
    <row r="3" spans="1:22" s="131" customFormat="1"/>
    <row r="4" spans="1:22" s="131" customFormat="1">
      <c r="A4" s="103"/>
    </row>
    <row r="5" spans="1:22" s="131" customFormat="1">
      <c r="A5" s="103"/>
    </row>
    <row r="6" spans="1:22" s="131" customFormat="1">
      <c r="A6" s="103"/>
    </row>
    <row r="7" spans="1:22" s="131" customFormat="1">
      <c r="A7" s="103"/>
    </row>
    <row r="8" spans="1:22" s="131" customFormat="1">
      <c r="A8" s="103"/>
    </row>
    <row r="9" spans="1:22" s="131" customFormat="1">
      <c r="A9" s="103"/>
    </row>
    <row r="10" spans="1:22" s="131" customFormat="1">
      <c r="A10" s="103"/>
    </row>
    <row r="11" spans="1:22" s="131" customFormat="1">
      <c r="A11" s="103"/>
    </row>
    <row r="12" spans="1:22" s="131" customFormat="1">
      <c r="A12" s="103"/>
    </row>
    <row r="13" spans="1:22" s="131" customFormat="1">
      <c r="A13" s="103"/>
    </row>
    <row r="14" spans="1:22" s="131" customFormat="1">
      <c r="A14" s="103"/>
    </row>
    <row r="15" spans="1:22" s="131" customFormat="1">
      <c r="A15" s="103"/>
    </row>
    <row r="16" spans="1:22" s="131" customFormat="1">
      <c r="A16" s="103"/>
    </row>
    <row r="17" spans="1:64" s="131" customFormat="1">
      <c r="A17" s="103"/>
    </row>
    <row r="18" spans="1:64" s="131" customFormat="1">
      <c r="A18" s="103"/>
    </row>
    <row r="19" spans="1:64" s="131" customFormat="1">
      <c r="A19" s="103"/>
    </row>
    <row r="20" spans="1:64" s="131" customFormat="1">
      <c r="A20" s="103"/>
    </row>
    <row r="21" spans="1:64" s="131" customFormat="1">
      <c r="A21" s="103"/>
    </row>
    <row r="22" spans="1:64" s="131" customFormat="1">
      <c r="A22" s="103"/>
    </row>
    <row r="23" spans="1:64" s="131" customFormat="1">
      <c r="A23" s="103"/>
    </row>
    <row r="24" spans="1:64" s="131" customFormat="1">
      <c r="A24" s="103"/>
    </row>
    <row r="25" spans="1:64" s="131" customFormat="1">
      <c r="A25" s="103"/>
    </row>
    <row r="26" spans="1:64" s="131" customFormat="1">
      <c r="A26" s="103"/>
    </row>
    <row r="27" spans="1:64" s="131" customFormat="1">
      <c r="A27" s="103"/>
    </row>
    <row r="28" spans="1:64" s="131" customFormat="1">
      <c r="A28" s="103"/>
    </row>
    <row r="29" spans="1:64" s="131" customFormat="1">
      <c r="A29" s="103"/>
    </row>
    <row r="30" spans="1:64" s="131" customFormat="1">
      <c r="A30" s="103"/>
      <c r="AF30" s="281"/>
    </row>
    <row r="32" spans="1:64" s="40" customFormat="1">
      <c r="A32" s="144"/>
      <c r="B32" s="729" t="s">
        <v>188</v>
      </c>
      <c r="C32" s="729" t="s">
        <v>255</v>
      </c>
      <c r="D32" s="120"/>
      <c r="E32" s="731" t="s">
        <v>204</v>
      </c>
      <c r="F32" s="731"/>
      <c r="G32" s="731"/>
      <c r="H32" s="731"/>
      <c r="I32" s="731"/>
      <c r="J32" s="731"/>
      <c r="K32" s="731"/>
      <c r="L32" s="731"/>
      <c r="M32" s="134"/>
      <c r="N32" s="732" t="s">
        <v>205</v>
      </c>
      <c r="O32" s="732"/>
      <c r="P32" s="732"/>
      <c r="Q32" s="732"/>
      <c r="R32" s="732"/>
      <c r="S32" s="732"/>
      <c r="T32" s="732"/>
      <c r="U32" s="732"/>
      <c r="V32" s="134"/>
      <c r="W32" s="736" t="s">
        <v>466</v>
      </c>
      <c r="X32" s="736"/>
      <c r="Y32" s="736"/>
      <c r="Z32" s="736"/>
      <c r="AA32" s="736"/>
      <c r="AB32" s="736"/>
      <c r="AC32" s="736"/>
      <c r="AD32" s="736"/>
      <c r="AE32" s="120"/>
      <c r="AF32" s="732" t="s">
        <v>624</v>
      </c>
      <c r="AG32" s="732"/>
      <c r="AH32" s="732"/>
      <c r="AI32" s="732"/>
      <c r="AJ32" s="732"/>
      <c r="AK32" s="732"/>
      <c r="AL32" s="732"/>
      <c r="AM32" s="732"/>
      <c r="AN32" s="120"/>
      <c r="AO32" s="731" t="s">
        <v>207</v>
      </c>
      <c r="AP32" s="731"/>
      <c r="AQ32" s="731"/>
      <c r="AR32" s="731"/>
      <c r="AS32" s="731"/>
      <c r="AT32" s="731"/>
      <c r="AU32" s="731"/>
      <c r="AV32" s="731"/>
      <c r="AZ32" s="40">
        <v>20</v>
      </c>
      <c r="BA32" s="40">
        <v>20</v>
      </c>
      <c r="BB32" s="40">
        <v>20</v>
      </c>
      <c r="BC32" s="40">
        <v>20</v>
      </c>
      <c r="BD32" s="40">
        <v>10</v>
      </c>
      <c r="BE32" s="40">
        <v>5</v>
      </c>
      <c r="BF32" s="40">
        <v>4</v>
      </c>
      <c r="BG32" s="40">
        <v>1</v>
      </c>
      <c r="BL32" s="40" t="s">
        <v>265</v>
      </c>
    </row>
    <row r="33" spans="1:64">
      <c r="A33" s="53"/>
      <c r="B33" s="730"/>
      <c r="C33" s="730"/>
      <c r="D33" s="6"/>
      <c r="E33" s="6" t="s">
        <v>158</v>
      </c>
      <c r="F33" s="6" t="s">
        <v>159</v>
      </c>
      <c r="G33" s="6" t="s">
        <v>160</v>
      </c>
      <c r="H33" s="6" t="s">
        <v>161</v>
      </c>
      <c r="I33" s="51" t="s">
        <v>33</v>
      </c>
      <c r="J33" s="51" t="s">
        <v>51</v>
      </c>
      <c r="K33" s="51" t="s">
        <v>52</v>
      </c>
      <c r="L33" s="51" t="s">
        <v>28</v>
      </c>
      <c r="M33" s="5"/>
      <c r="N33" s="6" t="s">
        <v>158</v>
      </c>
      <c r="O33" s="6" t="s">
        <v>159</v>
      </c>
      <c r="P33" s="6" t="s">
        <v>160</v>
      </c>
      <c r="Q33" s="6" t="s">
        <v>161</v>
      </c>
      <c r="R33" s="51" t="s">
        <v>33</v>
      </c>
      <c r="S33" s="51" t="s">
        <v>51</v>
      </c>
      <c r="T33" s="51" t="s">
        <v>52</v>
      </c>
      <c r="U33" s="51" t="s">
        <v>28</v>
      </c>
      <c r="V33" s="5"/>
      <c r="W33" s="6" t="s">
        <v>158</v>
      </c>
      <c r="X33" s="6" t="s">
        <v>159</v>
      </c>
      <c r="Y33" s="6" t="s">
        <v>160</v>
      </c>
      <c r="Z33" s="6" t="s">
        <v>161</v>
      </c>
      <c r="AA33" s="51" t="s">
        <v>33</v>
      </c>
      <c r="AB33" s="51" t="s">
        <v>51</v>
      </c>
      <c r="AC33" s="51" t="s">
        <v>52</v>
      </c>
      <c r="AD33" s="51" t="s">
        <v>28</v>
      </c>
      <c r="AF33" s="6" t="s">
        <v>158</v>
      </c>
      <c r="AG33" s="6" t="s">
        <v>159</v>
      </c>
      <c r="AH33" s="6" t="s">
        <v>160</v>
      </c>
      <c r="AI33" s="6" t="s">
        <v>161</v>
      </c>
      <c r="AJ33" s="51" t="s">
        <v>33</v>
      </c>
      <c r="AK33" s="51" t="s">
        <v>51</v>
      </c>
      <c r="AL33" s="51" t="s">
        <v>52</v>
      </c>
      <c r="AM33" s="51" t="s">
        <v>28</v>
      </c>
      <c r="AN33" s="6"/>
      <c r="AO33" s="6" t="s">
        <v>158</v>
      </c>
      <c r="AP33" s="6" t="s">
        <v>159</v>
      </c>
      <c r="AQ33" s="6" t="s">
        <v>160</v>
      </c>
      <c r="AR33" s="6" t="s">
        <v>161</v>
      </c>
      <c r="AS33" s="51" t="s">
        <v>33</v>
      </c>
      <c r="AT33" s="51" t="s">
        <v>51</v>
      </c>
      <c r="AU33" s="51" t="s">
        <v>52</v>
      </c>
      <c r="AV33" s="51" t="s">
        <v>28</v>
      </c>
      <c r="AX33" s="103" t="str">
        <f>CONCATENATE(A33," ",W33," ",X33," ",Y33," ",Z33," ",AA33," ",AB33," ",AC33," ",AD33)</f>
        <v xml:space="preserve"> Q1 Q2 Q3 Q4 P80-90 P90-95 P95-99 Top 1%</v>
      </c>
      <c r="AZ33">
        <v>0.1</v>
      </c>
      <c r="BA33">
        <v>0.3</v>
      </c>
      <c r="BB33">
        <v>0.5</v>
      </c>
      <c r="BC33">
        <v>0.7</v>
      </c>
      <c r="BD33">
        <v>0.85</v>
      </c>
      <c r="BE33">
        <v>0.92500000000000004</v>
      </c>
      <c r="BF33">
        <v>0.97499999999999998</v>
      </c>
      <c r="BG33">
        <v>0.995</v>
      </c>
      <c r="BL33" t="s">
        <v>266</v>
      </c>
    </row>
    <row r="34" spans="1:64">
      <c r="A34" s="46">
        <v>1979</v>
      </c>
      <c r="B34" s="45">
        <f t="shared" ref="B34:C53" si="0">B93</f>
        <v>0.46605505552056625</v>
      </c>
      <c r="C34" s="45">
        <f t="shared" si="0"/>
        <v>0.99659662423582795</v>
      </c>
      <c r="D34" s="46"/>
      <c r="E34" s="143">
        <f>LN(AO34)</f>
        <v>7.2734395170784572</v>
      </c>
      <c r="F34" s="143">
        <f t="shared" ref="F34:L34" si="1">LN(AP34)</f>
        <v>8.6242522637096446</v>
      </c>
      <c r="G34" s="143">
        <f t="shared" si="1"/>
        <v>9.2935687691789148</v>
      </c>
      <c r="H34" s="143">
        <f t="shared" si="1"/>
        <v>9.7275913091338353</v>
      </c>
      <c r="I34" s="143">
        <f t="shared" si="1"/>
        <v>10.07398953252474</v>
      </c>
      <c r="J34" s="143">
        <f t="shared" si="1"/>
        <v>10.351322257010802</v>
      </c>
      <c r="K34" s="143">
        <f t="shared" si="1"/>
        <v>10.793963942917221</v>
      </c>
      <c r="L34" s="143">
        <f t="shared" si="1"/>
        <v>12.194421028309698</v>
      </c>
      <c r="M34" s="131"/>
      <c r="N34" s="143">
        <f t="shared" ref="N34:N71" si="2">LN(AF34)</f>
        <v>9.6485953029073386</v>
      </c>
      <c r="O34" s="143">
        <f t="shared" ref="O34:O71" si="3">LN(AG34)</f>
        <v>10.521372248595526</v>
      </c>
      <c r="P34" s="143">
        <f t="shared" ref="P34:P71" si="4">LN(AH34)</f>
        <v>10.949050620114422</v>
      </c>
      <c r="Q34" s="143">
        <f t="shared" ref="Q34:Q71" si="5">LN(AI34)</f>
        <v>11.255449234575513</v>
      </c>
      <c r="R34" s="143">
        <f t="shared" ref="R34:R71" si="6">LN(AJ34)</f>
        <v>11.517913006481267</v>
      </c>
      <c r="S34" s="143">
        <f t="shared" ref="S34:S71" si="7">LN(AK34)</f>
        <v>11.729648448481516</v>
      </c>
      <c r="T34" s="143">
        <f t="shared" ref="T34:T71" si="8">LN(AL34)</f>
        <v>12.099600401019657</v>
      </c>
      <c r="U34" s="143">
        <f t="shared" ref="U34:U71" si="9">LN(AM34)</f>
        <v>13.241390083825969</v>
      </c>
      <c r="V34" s="143"/>
      <c r="W34" s="146">
        <f>TxRt!B53</f>
        <v>9.3000000000000007</v>
      </c>
      <c r="X34" s="146">
        <f>TxRt!B96</f>
        <v>15</v>
      </c>
      <c r="Y34" s="146">
        <f>TxRt!B136</f>
        <v>19.100000000000001</v>
      </c>
      <c r="Z34" s="146">
        <f>TxRt!B176</f>
        <v>21.7</v>
      </c>
      <c r="AA34" s="146">
        <f>TxRt!B256</f>
        <v>23.6</v>
      </c>
      <c r="AB34" s="146">
        <f>TxRt!B296</f>
        <v>25.2</v>
      </c>
      <c r="AC34" s="146">
        <f>TxRt!B336</f>
        <v>27.1</v>
      </c>
      <c r="AD34" s="146">
        <f>TxRt!B376</f>
        <v>35.1</v>
      </c>
      <c r="AF34" s="60">
        <f>Inc!B50</f>
        <v>15500</v>
      </c>
      <c r="AG34" s="60">
        <f>Inc!B90</f>
        <v>37100</v>
      </c>
      <c r="AH34" s="60">
        <f>Inc!B130</f>
        <v>56900</v>
      </c>
      <c r="AI34" s="60">
        <f>Inc!B170</f>
        <v>77300</v>
      </c>
      <c r="AJ34" s="60">
        <f>Inc!B250</f>
        <v>100500</v>
      </c>
      <c r="AK34" s="60">
        <f>Inc!B290</f>
        <v>124200</v>
      </c>
      <c r="AL34" s="60">
        <f>Inc!B330</f>
        <v>179800</v>
      </c>
      <c r="AM34" s="60">
        <f>Inc!B370</f>
        <v>563200</v>
      </c>
      <c r="AO34" s="60">
        <f t="shared" ref="AO34:AO71" si="10">W34*AF34/100</f>
        <v>1441.5</v>
      </c>
      <c r="AP34" s="60">
        <f t="shared" ref="AP34:AP71" si="11">X34*AG34/100</f>
        <v>5565</v>
      </c>
      <c r="AQ34" s="60">
        <f t="shared" ref="AQ34:AQ71" si="12">Y34*AH34/100</f>
        <v>10867.9</v>
      </c>
      <c r="AR34" s="60">
        <f t="shared" ref="AR34:AR71" si="13">Z34*AI34/100</f>
        <v>16774.099999999999</v>
      </c>
      <c r="AS34" s="60">
        <f t="shared" ref="AS34:AS71" si="14">AA34*AJ34/100</f>
        <v>23718</v>
      </c>
      <c r="AT34" s="60">
        <f t="shared" ref="AT34:AT71" si="15">AB34*AK34/100</f>
        <v>31298.400000000001</v>
      </c>
      <c r="AU34" s="60">
        <f t="shared" ref="AU34:AU71" si="16">AC34*AL34/100</f>
        <v>48725.8</v>
      </c>
      <c r="AV34" s="60">
        <f t="shared" ref="AV34:AV71" si="17">AD34*AM34/100</f>
        <v>197683.20000000001</v>
      </c>
      <c r="AX34" s="103" t="str">
        <f>CONCATENATE(A34," ",W34," ",X34," ",Y34," ",Z34," ",AA34," ",AB34," ",AC34," ",AD34)</f>
        <v>1979 9.3 15 19.1 21.7 23.6 25.2 27.1 35.1</v>
      </c>
      <c r="AZ34" t="str">
        <f>CONCATENATE($A34," ", AZ$33," ",W34, " ",AZ$32)</f>
        <v>1979 0.1 9.3 20</v>
      </c>
      <c r="BA34" s="131" t="str">
        <f t="shared" ref="BA34:BG34" si="18">CONCATENATE($A34," ", BA$33," ",X34, " ",BA$32)</f>
        <v>1979 0.3 15 20</v>
      </c>
      <c r="BB34" s="131" t="str">
        <f t="shared" si="18"/>
        <v>1979 0.5 19.1 20</v>
      </c>
      <c r="BC34" s="131" t="str">
        <f t="shared" si="18"/>
        <v>1979 0.7 21.7 20</v>
      </c>
      <c r="BD34" s="131" t="str">
        <f t="shared" si="18"/>
        <v>1979 0.85 23.6 10</v>
      </c>
      <c r="BE34" s="131" t="str">
        <f t="shared" si="18"/>
        <v>1979 0.925 25.2 5</v>
      </c>
      <c r="BF34" s="131" t="str">
        <f t="shared" si="18"/>
        <v>1979 0.975 27.1 4</v>
      </c>
      <c r="BG34" s="131" t="str">
        <f t="shared" si="18"/>
        <v>1979 0.995 35.1 1</v>
      </c>
      <c r="BL34" t="s">
        <v>267</v>
      </c>
    </row>
    <row r="35" spans="1:64">
      <c r="A35" s="46">
        <f>A34+1</f>
        <v>1980</v>
      </c>
      <c r="B35" s="45">
        <f t="shared" si="0"/>
        <v>0.48643729051379014</v>
      </c>
      <c r="C35" s="45">
        <f t="shared" si="0"/>
        <v>0.9957538420591513</v>
      </c>
      <c r="E35" s="143">
        <f t="shared" ref="E35:E71" si="19">LN(AO35)</f>
        <v>7.1899975826835529</v>
      </c>
      <c r="F35" s="143">
        <f t="shared" ref="F35:F71" si="20">LN(AP35)</f>
        <v>8.5627782246367214</v>
      </c>
      <c r="G35" s="143">
        <f t="shared" ref="G35:G71" si="21">LN(AQ35)</f>
        <v>9.2543572573929573</v>
      </c>
      <c r="H35" s="143">
        <f t="shared" ref="H35:H71" si="22">LN(AR35)</f>
        <v>9.7033156215591774</v>
      </c>
      <c r="I35" s="143">
        <f t="shared" ref="I35:I71" si="23">LN(AS35)</f>
        <v>10.068662950495112</v>
      </c>
      <c r="J35" s="143">
        <f t="shared" ref="J35:J71" si="24">LN(AT35)</f>
        <v>10.343643900434223</v>
      </c>
      <c r="K35" s="143">
        <f t="shared" ref="K35:K71" si="25">LN(AU35)</f>
        <v>10.771033319219361</v>
      </c>
      <c r="L35" s="143">
        <f t="shared" ref="L35:L71" si="26">LN(AV35)</f>
        <v>12.094242916227083</v>
      </c>
      <c r="M35" s="46"/>
      <c r="N35" s="143">
        <f t="shared" si="2"/>
        <v>9.6091164919335501</v>
      </c>
      <c r="O35" s="143">
        <f t="shared" si="3"/>
        <v>10.480100916840122</v>
      </c>
      <c r="P35" s="143">
        <f t="shared" si="4"/>
        <v>10.915088464214607</v>
      </c>
      <c r="Q35" s="143">
        <f t="shared" si="5"/>
        <v>11.226575837752225</v>
      </c>
      <c r="R35" s="143">
        <f t="shared" si="6"/>
        <v>11.495779306135258</v>
      </c>
      <c r="S35" s="143">
        <f t="shared" si="7"/>
        <v>11.710135634257934</v>
      </c>
      <c r="T35" s="143">
        <f t="shared" si="8"/>
        <v>12.065660491813428</v>
      </c>
      <c r="U35" s="143">
        <f t="shared" si="9"/>
        <v>13.199879819832157</v>
      </c>
      <c r="W35" s="146">
        <f>TxRt!B54</f>
        <v>8.9</v>
      </c>
      <c r="X35" s="146">
        <f>TxRt!B97</f>
        <v>14.7</v>
      </c>
      <c r="Y35" s="146">
        <f>TxRt!B137</f>
        <v>19</v>
      </c>
      <c r="Z35" s="146">
        <f>TxRt!B177</f>
        <v>21.8</v>
      </c>
      <c r="AA35" s="146">
        <f>TxRt!B257</f>
        <v>24</v>
      </c>
      <c r="AB35" s="146">
        <f>TxRt!B297</f>
        <v>25.5</v>
      </c>
      <c r="AC35" s="146">
        <f>TxRt!B337</f>
        <v>27.4</v>
      </c>
      <c r="AD35" s="146">
        <f>TxRt!B377</f>
        <v>33.1</v>
      </c>
      <c r="AF35" s="60">
        <f>Inc!B51</f>
        <v>14900</v>
      </c>
      <c r="AG35" s="60">
        <f>Inc!B91</f>
        <v>35600</v>
      </c>
      <c r="AH35" s="60">
        <f>Inc!B131</f>
        <v>55000</v>
      </c>
      <c r="AI35" s="60">
        <f>Inc!B171</f>
        <v>75100</v>
      </c>
      <c r="AJ35" s="60">
        <f>Inc!B251</f>
        <v>98300</v>
      </c>
      <c r="AK35" s="60">
        <f>Inc!B291</f>
        <v>121800</v>
      </c>
      <c r="AL35" s="60">
        <f>Inc!B331</f>
        <v>173800</v>
      </c>
      <c r="AM35" s="60">
        <f>Inc!B371</f>
        <v>540300</v>
      </c>
      <c r="AO35" s="60">
        <f t="shared" si="10"/>
        <v>1326.1</v>
      </c>
      <c r="AP35" s="60">
        <f t="shared" si="11"/>
        <v>5233.2</v>
      </c>
      <c r="AQ35" s="60">
        <f t="shared" si="12"/>
        <v>10450</v>
      </c>
      <c r="AR35" s="60">
        <f t="shared" si="13"/>
        <v>16371.8</v>
      </c>
      <c r="AS35" s="60">
        <f t="shared" si="14"/>
        <v>23592</v>
      </c>
      <c r="AT35" s="60">
        <f t="shared" si="15"/>
        <v>31059</v>
      </c>
      <c r="AU35" s="60">
        <f t="shared" si="16"/>
        <v>47621.2</v>
      </c>
      <c r="AV35" s="60">
        <f t="shared" si="17"/>
        <v>178839.3</v>
      </c>
      <c r="AX35" s="103" t="str">
        <f t="shared" ref="AX35:AX71" si="27">CONCATENATE(A35," ",W35," ",X35," ",Y35," ",Z35," ",AA35," ",AB35," ",AC35," ",AD35)</f>
        <v>1980 8.9 14.7 19 21.8 24 25.5 27.4 33.1</v>
      </c>
      <c r="AZ35" s="131" t="str">
        <f t="shared" ref="AZ35:AZ72" si="28">CONCATENATE($A35," ", AZ$33," ",W35, " ",AZ$32)</f>
        <v>1980 0.1 8.9 20</v>
      </c>
      <c r="BA35" s="131" t="str">
        <f t="shared" ref="BA35:BA72" si="29">CONCATENATE($A35," ", BA$33," ",X35, " ",BA$32)</f>
        <v>1980 0.3 14.7 20</v>
      </c>
      <c r="BB35" s="131" t="str">
        <f t="shared" ref="BB35:BB72" si="30">CONCATENATE($A35," ", BB$33," ",Y35, " ",BB$32)</f>
        <v>1980 0.5 19 20</v>
      </c>
      <c r="BC35" s="131" t="str">
        <f t="shared" ref="BC35:BC72" si="31">CONCATENATE($A35," ", BC$33," ",Z35, " ",BC$32)</f>
        <v>1980 0.7 21.8 20</v>
      </c>
      <c r="BD35" s="131" t="str">
        <f t="shared" ref="BD35:BD72" si="32">CONCATENATE($A35," ", BD$33," ",AA35, " ",BD$32)</f>
        <v>1980 0.85 24 10</v>
      </c>
      <c r="BE35" s="131" t="str">
        <f t="shared" ref="BE35:BE72" si="33">CONCATENATE($A35," ", BE$33," ",AB35, " ",BE$32)</f>
        <v>1980 0.925 25.5 5</v>
      </c>
      <c r="BF35" s="131" t="str">
        <f t="shared" ref="BF35:BF72" si="34">CONCATENATE($A35," ", BF$33," ",AC35, " ",BF$32)</f>
        <v>1980 0.975 27.4 4</v>
      </c>
      <c r="BG35" s="131" t="str">
        <f t="shared" ref="BG35:BG72" si="35">CONCATENATE($A35," ", BG$33," ",AD35, " ",BG$32)</f>
        <v>1980 0.995 33.1 1</v>
      </c>
      <c r="BL35" t="s">
        <v>268</v>
      </c>
    </row>
    <row r="36" spans="1:64">
      <c r="A36" s="46">
        <f t="shared" ref="A36:A67" si="36">A35+1</f>
        <v>1981</v>
      </c>
      <c r="B36" s="45">
        <f t="shared" si="0"/>
        <v>0.45123345328153963</v>
      </c>
      <c r="C36" s="45">
        <f t="shared" si="0"/>
        <v>0.99571085104450341</v>
      </c>
      <c r="E36" s="143">
        <f t="shared" si="19"/>
        <v>7.2521956852525271</v>
      </c>
      <c r="F36" s="143">
        <f t="shared" si="20"/>
        <v>8.587763484785528</v>
      </c>
      <c r="G36" s="143">
        <f t="shared" si="21"/>
        <v>9.2697218684912635</v>
      </c>
      <c r="H36" s="143">
        <f t="shared" si="22"/>
        <v>9.7379051117464499</v>
      </c>
      <c r="I36" s="143">
        <f t="shared" si="23"/>
        <v>10.087245577116045</v>
      </c>
      <c r="J36" s="143">
        <f t="shared" si="24"/>
        <v>10.356980629654874</v>
      </c>
      <c r="K36" s="143">
        <f t="shared" si="25"/>
        <v>10.75387776951349</v>
      </c>
      <c r="L36" s="143">
        <f t="shared" si="26"/>
        <v>12.007984445886608</v>
      </c>
      <c r="M36" s="46"/>
      <c r="N36" s="143">
        <f t="shared" si="2"/>
        <v>9.5956027727668278</v>
      </c>
      <c r="O36" s="143">
        <f t="shared" si="3"/>
        <v>10.471638242921388</v>
      </c>
      <c r="P36" s="143">
        <f t="shared" si="4"/>
        <v>10.909618988410072</v>
      </c>
      <c r="Q36" s="143">
        <f t="shared" si="5"/>
        <v>11.238488619268468</v>
      </c>
      <c r="R36" s="143">
        <f t="shared" si="6"/>
        <v>11.493742645553455</v>
      </c>
      <c r="S36" s="143">
        <f t="shared" si="7"/>
        <v>11.711776323715394</v>
      </c>
      <c r="T36" s="143">
        <f t="shared" si="8"/>
        <v>12.05583098219963</v>
      </c>
      <c r="U36" s="143">
        <f t="shared" si="9"/>
        <v>13.195427948261335</v>
      </c>
      <c r="W36" s="146">
        <f>TxRt!B55</f>
        <v>9.6</v>
      </c>
      <c r="X36" s="146">
        <f>TxRt!B98</f>
        <v>15.2</v>
      </c>
      <c r="Y36" s="146">
        <f>TxRt!B138</f>
        <v>19.399999999999999</v>
      </c>
      <c r="Z36" s="146">
        <f>TxRt!B178</f>
        <v>22.3</v>
      </c>
      <c r="AA36" s="146">
        <f>TxRt!B258</f>
        <v>24.5</v>
      </c>
      <c r="AB36" s="146">
        <f>TxRt!B298</f>
        <v>25.8</v>
      </c>
      <c r="AC36" s="146">
        <f>TxRt!B338</f>
        <v>27.2</v>
      </c>
      <c r="AD36" s="146">
        <f>TxRt!B378</f>
        <v>30.5</v>
      </c>
      <c r="AF36" s="60">
        <f>Inc!B52</f>
        <v>14700</v>
      </c>
      <c r="AG36" s="60">
        <f>Inc!B92</f>
        <v>35300</v>
      </c>
      <c r="AH36" s="60">
        <f>Inc!B132</f>
        <v>54700</v>
      </c>
      <c r="AI36" s="60">
        <f>Inc!B172</f>
        <v>76000</v>
      </c>
      <c r="AJ36" s="60">
        <f>Inc!B252</f>
        <v>98100</v>
      </c>
      <c r="AK36" s="60">
        <f>Inc!B292</f>
        <v>122000</v>
      </c>
      <c r="AL36" s="60">
        <f>Inc!B332</f>
        <v>172100</v>
      </c>
      <c r="AM36" s="60">
        <f>Inc!B372</f>
        <v>537900</v>
      </c>
      <c r="AO36" s="60">
        <f t="shared" si="10"/>
        <v>1411.2</v>
      </c>
      <c r="AP36" s="60">
        <f t="shared" si="11"/>
        <v>5365.6</v>
      </c>
      <c r="AQ36" s="60">
        <f t="shared" si="12"/>
        <v>10611.8</v>
      </c>
      <c r="AR36" s="60">
        <f t="shared" si="13"/>
        <v>16948</v>
      </c>
      <c r="AS36" s="60">
        <f t="shared" si="14"/>
        <v>24034.5</v>
      </c>
      <c r="AT36" s="60">
        <f t="shared" si="15"/>
        <v>31476</v>
      </c>
      <c r="AU36" s="60">
        <f t="shared" si="16"/>
        <v>46811.199999999997</v>
      </c>
      <c r="AV36" s="60">
        <f t="shared" si="17"/>
        <v>164059.5</v>
      </c>
      <c r="AX36" s="103" t="str">
        <f t="shared" si="27"/>
        <v>1981 9.6 15.2 19.4 22.3 24.5 25.8 27.2 30.5</v>
      </c>
      <c r="AZ36" s="131" t="str">
        <f t="shared" si="28"/>
        <v>1981 0.1 9.6 20</v>
      </c>
      <c r="BA36" s="131" t="str">
        <f t="shared" si="29"/>
        <v>1981 0.3 15.2 20</v>
      </c>
      <c r="BB36" s="131" t="str">
        <f t="shared" si="30"/>
        <v>1981 0.5 19.4 20</v>
      </c>
      <c r="BC36" s="131" t="str">
        <f t="shared" si="31"/>
        <v>1981 0.7 22.3 20</v>
      </c>
      <c r="BD36" s="131" t="str">
        <f t="shared" si="32"/>
        <v>1981 0.85 24.5 10</v>
      </c>
      <c r="BE36" s="131" t="str">
        <f t="shared" si="33"/>
        <v>1981 0.925 25.8 5</v>
      </c>
      <c r="BF36" s="131" t="str">
        <f t="shared" si="34"/>
        <v>1981 0.975 27.2 4</v>
      </c>
      <c r="BG36" s="131" t="str">
        <f t="shared" si="35"/>
        <v>1981 0.995 30.5 1</v>
      </c>
      <c r="BL36" t="s">
        <v>269</v>
      </c>
    </row>
    <row r="37" spans="1:64">
      <c r="A37" s="46">
        <f t="shared" si="36"/>
        <v>1982</v>
      </c>
      <c r="B37" s="45">
        <f t="shared" si="0"/>
        <v>0.39751332196359268</v>
      </c>
      <c r="C37" s="45">
        <f t="shared" si="0"/>
        <v>0.99617107528678572</v>
      </c>
      <c r="E37" s="143">
        <f t="shared" si="19"/>
        <v>7.2382094432777873</v>
      </c>
      <c r="F37" s="143">
        <f t="shared" si="20"/>
        <v>8.482601746646619</v>
      </c>
      <c r="G37" s="143">
        <f t="shared" si="21"/>
        <v>9.1856275091807777</v>
      </c>
      <c r="H37" s="143">
        <f t="shared" si="22"/>
        <v>9.6480273997453754</v>
      </c>
      <c r="I37" s="143">
        <f t="shared" si="23"/>
        <v>10.005502477942859</v>
      </c>
      <c r="J37" s="143">
        <f t="shared" si="24"/>
        <v>10.264676791694178</v>
      </c>
      <c r="K37" s="143">
        <f t="shared" si="25"/>
        <v>10.652234989194055</v>
      </c>
      <c r="L37" s="143">
        <f t="shared" si="26"/>
        <v>11.930993488327381</v>
      </c>
      <c r="M37" s="46"/>
      <c r="N37" s="143">
        <f t="shared" si="2"/>
        <v>9.5609972435893518</v>
      </c>
      <c r="O37" s="143">
        <f t="shared" si="3"/>
        <v>10.448714603019452</v>
      </c>
      <c r="P37" s="143">
        <f t="shared" si="4"/>
        <v>10.894885756897089</v>
      </c>
      <c r="Q37" s="143">
        <f t="shared" si="5"/>
        <v>11.227906509937931</v>
      </c>
      <c r="R37" s="143">
        <f t="shared" si="6"/>
        <v>11.492722757652709</v>
      </c>
      <c r="S37" s="143">
        <f t="shared" si="7"/>
        <v>11.704371929541184</v>
      </c>
      <c r="T37" s="143">
        <f t="shared" si="8"/>
        <v>12.058732057631465</v>
      </c>
      <c r="U37" s="143">
        <f t="shared" si="9"/>
        <v>13.247761786798662</v>
      </c>
      <c r="W37" s="146">
        <f>TxRt!B56</f>
        <v>9.8000000000000007</v>
      </c>
      <c r="X37" s="146">
        <f>TxRt!B99</f>
        <v>14</v>
      </c>
      <c r="Y37" s="146">
        <f>TxRt!B139</f>
        <v>18.100000000000001</v>
      </c>
      <c r="Z37" s="146">
        <f>TxRt!B179</f>
        <v>20.6</v>
      </c>
      <c r="AA37" s="146">
        <f>TxRt!B259</f>
        <v>22.6</v>
      </c>
      <c r="AB37" s="146">
        <f>TxRt!B299</f>
        <v>23.7</v>
      </c>
      <c r="AC37" s="146">
        <f>TxRt!B339</f>
        <v>24.5</v>
      </c>
      <c r="AD37" s="146">
        <f>TxRt!B379</f>
        <v>26.8</v>
      </c>
      <c r="AF37" s="60">
        <f>Inc!B53</f>
        <v>14200</v>
      </c>
      <c r="AG37" s="60">
        <f>Inc!B93</f>
        <v>34500</v>
      </c>
      <c r="AH37" s="60">
        <f>Inc!B133</f>
        <v>53900</v>
      </c>
      <c r="AI37" s="60">
        <f>Inc!B173</f>
        <v>75200</v>
      </c>
      <c r="AJ37" s="60">
        <f>Inc!B253</f>
        <v>98000</v>
      </c>
      <c r="AK37" s="60">
        <f>Inc!B293</f>
        <v>121100</v>
      </c>
      <c r="AL37" s="60">
        <f>Inc!B333</f>
        <v>172600</v>
      </c>
      <c r="AM37" s="60">
        <f>Inc!B373</f>
        <v>566800</v>
      </c>
      <c r="AO37" s="60">
        <f t="shared" si="10"/>
        <v>1391.6</v>
      </c>
      <c r="AP37" s="60">
        <f t="shared" si="11"/>
        <v>4830</v>
      </c>
      <c r="AQ37" s="60">
        <f t="shared" si="12"/>
        <v>9755.9000000000015</v>
      </c>
      <c r="AR37" s="60">
        <f t="shared" si="13"/>
        <v>15491.2</v>
      </c>
      <c r="AS37" s="60">
        <f t="shared" si="14"/>
        <v>22148</v>
      </c>
      <c r="AT37" s="60">
        <f t="shared" si="15"/>
        <v>28700.7</v>
      </c>
      <c r="AU37" s="60">
        <f t="shared" si="16"/>
        <v>42287</v>
      </c>
      <c r="AV37" s="60">
        <f t="shared" si="17"/>
        <v>151902.39999999999</v>
      </c>
      <c r="AX37" s="103" t="str">
        <f t="shared" si="27"/>
        <v>1982 9.8 14 18.1 20.6 22.6 23.7 24.5 26.8</v>
      </c>
      <c r="AZ37" s="131" t="str">
        <f t="shared" si="28"/>
        <v>1982 0.1 9.8 20</v>
      </c>
      <c r="BA37" s="131" t="str">
        <f t="shared" si="29"/>
        <v>1982 0.3 14 20</v>
      </c>
      <c r="BB37" s="131" t="str">
        <f t="shared" si="30"/>
        <v>1982 0.5 18.1 20</v>
      </c>
      <c r="BC37" s="131" t="str">
        <f t="shared" si="31"/>
        <v>1982 0.7 20.6 20</v>
      </c>
      <c r="BD37" s="131" t="str">
        <f t="shared" si="32"/>
        <v>1982 0.85 22.6 10</v>
      </c>
      <c r="BE37" s="131" t="str">
        <f t="shared" si="33"/>
        <v>1982 0.925 23.7 5</v>
      </c>
      <c r="BF37" s="131" t="str">
        <f t="shared" si="34"/>
        <v>1982 0.975 24.5 4</v>
      </c>
      <c r="BG37" s="131" t="str">
        <f t="shared" si="35"/>
        <v>1982 0.995 26.8 1</v>
      </c>
      <c r="BL37" t="s">
        <v>270</v>
      </c>
    </row>
    <row r="38" spans="1:64">
      <c r="A38" s="46">
        <f t="shared" si="36"/>
        <v>1983</v>
      </c>
      <c r="B38" s="45">
        <f t="shared" si="0"/>
        <v>0.32077907531844496</v>
      </c>
      <c r="C38" s="45">
        <f t="shared" si="0"/>
        <v>0.99737785818011504</v>
      </c>
      <c r="E38" s="143">
        <f t="shared" si="19"/>
        <v>7.3195999940543404</v>
      </c>
      <c r="F38" s="143">
        <f t="shared" si="20"/>
        <v>8.4591402599676204</v>
      </c>
      <c r="G38" s="143">
        <f t="shared" si="21"/>
        <v>9.1388443702711122</v>
      </c>
      <c r="H38" s="143">
        <f t="shared" si="22"/>
        <v>9.6194587985822491</v>
      </c>
      <c r="I38" s="143">
        <f t="shared" si="23"/>
        <v>9.9907655606431884</v>
      </c>
      <c r="J38" s="143">
        <f t="shared" si="24"/>
        <v>10.257224183859318</v>
      </c>
      <c r="K38" s="143">
        <f t="shared" si="25"/>
        <v>10.640807108815949</v>
      </c>
      <c r="L38" s="143">
        <f t="shared" si="26"/>
        <v>12.022961977469803</v>
      </c>
      <c r="M38" s="46"/>
      <c r="N38" s="143">
        <f t="shared" si="2"/>
        <v>9.5178250717241433</v>
      </c>
      <c r="O38" s="143">
        <f t="shared" si="3"/>
        <v>10.425253116340453</v>
      </c>
      <c r="P38" s="143">
        <f t="shared" si="4"/>
        <v>10.881813675329736</v>
      </c>
      <c r="Q38" s="143">
        <f t="shared" si="5"/>
        <v>11.22390916950531</v>
      </c>
      <c r="R38" s="143">
        <f t="shared" si="6"/>
        <v>11.504893293272964</v>
      </c>
      <c r="S38" s="143">
        <f t="shared" si="7"/>
        <v>11.731257459287216</v>
      </c>
      <c r="T38" s="143">
        <f t="shared" si="8"/>
        <v>12.088976873653927</v>
      </c>
      <c r="U38" s="143">
        <f t="shared" si="9"/>
        <v>13.339730275941085</v>
      </c>
      <c r="W38" s="146">
        <f>TxRt!B57</f>
        <v>11.1</v>
      </c>
      <c r="X38" s="146">
        <f>TxRt!B100</f>
        <v>14</v>
      </c>
      <c r="Y38" s="146">
        <f>TxRt!B140</f>
        <v>17.5</v>
      </c>
      <c r="Z38" s="146">
        <f>TxRt!B180</f>
        <v>20.100000000000001</v>
      </c>
      <c r="AA38" s="146">
        <f>TxRt!B260</f>
        <v>22</v>
      </c>
      <c r="AB38" s="146">
        <f>TxRt!B300</f>
        <v>22.9</v>
      </c>
      <c r="AC38" s="146">
        <f>TxRt!B340</f>
        <v>23.5</v>
      </c>
      <c r="AD38" s="146">
        <f>TxRt!B380</f>
        <v>26.8</v>
      </c>
      <c r="AF38" s="60">
        <f>Inc!B54</f>
        <v>13600</v>
      </c>
      <c r="AG38" s="60">
        <f>Inc!B94</f>
        <v>33700</v>
      </c>
      <c r="AH38" s="60">
        <f>Inc!B134</f>
        <v>53200</v>
      </c>
      <c r="AI38" s="60">
        <f>Inc!B174</f>
        <v>74900</v>
      </c>
      <c r="AJ38" s="60">
        <f>Inc!B254</f>
        <v>99200</v>
      </c>
      <c r="AK38" s="60">
        <f>Inc!B294</f>
        <v>124400</v>
      </c>
      <c r="AL38" s="60">
        <f>Inc!B334</f>
        <v>177900</v>
      </c>
      <c r="AM38" s="60">
        <f>Inc!B374</f>
        <v>621400</v>
      </c>
      <c r="AO38" s="60">
        <f t="shared" si="10"/>
        <v>1509.6</v>
      </c>
      <c r="AP38" s="60">
        <f t="shared" si="11"/>
        <v>4718</v>
      </c>
      <c r="AQ38" s="60">
        <f t="shared" si="12"/>
        <v>9310</v>
      </c>
      <c r="AR38" s="60">
        <f t="shared" si="13"/>
        <v>15054.9</v>
      </c>
      <c r="AS38" s="60">
        <f t="shared" si="14"/>
        <v>21824</v>
      </c>
      <c r="AT38" s="60">
        <f t="shared" si="15"/>
        <v>28487.599999999999</v>
      </c>
      <c r="AU38" s="60">
        <f t="shared" si="16"/>
        <v>41806.5</v>
      </c>
      <c r="AV38" s="60">
        <f t="shared" si="17"/>
        <v>166535.20000000001</v>
      </c>
      <c r="AX38" s="103" t="str">
        <f t="shared" si="27"/>
        <v>1983 11.1 14 17.5 20.1 22 22.9 23.5 26.8</v>
      </c>
      <c r="AZ38" s="131" t="str">
        <f t="shared" si="28"/>
        <v>1983 0.1 11.1 20</v>
      </c>
      <c r="BA38" s="131" t="str">
        <f t="shared" si="29"/>
        <v>1983 0.3 14 20</v>
      </c>
      <c r="BB38" s="131" t="str">
        <f t="shared" si="30"/>
        <v>1983 0.5 17.5 20</v>
      </c>
      <c r="BC38" s="131" t="str">
        <f t="shared" si="31"/>
        <v>1983 0.7 20.1 20</v>
      </c>
      <c r="BD38" s="131" t="str">
        <f t="shared" si="32"/>
        <v>1983 0.85 22 10</v>
      </c>
      <c r="BE38" s="131" t="str">
        <f t="shared" si="33"/>
        <v>1983 0.925 22.9 5</v>
      </c>
      <c r="BF38" s="131" t="str">
        <f t="shared" si="34"/>
        <v>1983 0.975 23.5 4</v>
      </c>
      <c r="BG38" s="131" t="str">
        <f t="shared" si="35"/>
        <v>1983 0.995 26.8 1</v>
      </c>
      <c r="BL38" t="s">
        <v>271</v>
      </c>
    </row>
    <row r="39" spans="1:64">
      <c r="A39" s="46">
        <f t="shared" si="36"/>
        <v>1984</v>
      </c>
      <c r="B39" s="45">
        <f t="shared" si="0"/>
        <v>0.28259644715037391</v>
      </c>
      <c r="C39" s="45">
        <f t="shared" si="0"/>
        <v>0.99806362751492228</v>
      </c>
      <c r="E39" s="143">
        <f t="shared" si="19"/>
        <v>7.4768120743110318</v>
      </c>
      <c r="F39" s="143">
        <f t="shared" si="20"/>
        <v>8.5818941993521136</v>
      </c>
      <c r="G39" s="143">
        <f t="shared" si="21"/>
        <v>9.2236513860358542</v>
      </c>
      <c r="H39" s="143">
        <f t="shared" si="22"/>
        <v>9.681387206893616</v>
      </c>
      <c r="I39" s="143">
        <f t="shared" si="23"/>
        <v>10.061601795629819</v>
      </c>
      <c r="J39" s="143">
        <f t="shared" si="24"/>
        <v>10.335919108874107</v>
      </c>
      <c r="K39" s="143">
        <f t="shared" si="25"/>
        <v>10.722275703049045</v>
      </c>
      <c r="L39" s="143">
        <f t="shared" si="26"/>
        <v>12.131047329668421</v>
      </c>
      <c r="M39" s="46"/>
      <c r="N39" s="143">
        <f t="shared" si="2"/>
        <v>9.5887768076964282</v>
      </c>
      <c r="O39" s="143">
        <f t="shared" si="3"/>
        <v>10.485703172388792</v>
      </c>
      <c r="P39" s="143">
        <f t="shared" si="4"/>
        <v>10.938449814127782</v>
      </c>
      <c r="Q39" s="143">
        <f t="shared" si="5"/>
        <v>11.275936506833965</v>
      </c>
      <c r="R39" s="143">
        <f t="shared" si="6"/>
        <v>11.571194373094205</v>
      </c>
      <c r="S39" s="143">
        <f t="shared" si="7"/>
        <v>11.805595078933049</v>
      </c>
      <c r="T39" s="143">
        <f t="shared" si="8"/>
        <v>12.170445467887022</v>
      </c>
      <c r="U39" s="143">
        <f t="shared" si="9"/>
        <v>13.440380649652182</v>
      </c>
      <c r="W39" s="146">
        <f>TxRt!B58</f>
        <v>12.1</v>
      </c>
      <c r="X39" s="146">
        <f>TxRt!B101</f>
        <v>14.9</v>
      </c>
      <c r="Y39" s="146">
        <f>TxRt!B141</f>
        <v>18</v>
      </c>
      <c r="Z39" s="146">
        <f>TxRt!B181</f>
        <v>20.3</v>
      </c>
      <c r="AA39" s="146">
        <f>TxRt!B261</f>
        <v>22.1</v>
      </c>
      <c r="AB39" s="146">
        <f>TxRt!B301</f>
        <v>23</v>
      </c>
      <c r="AC39" s="146">
        <f>TxRt!B341</f>
        <v>23.5</v>
      </c>
      <c r="AD39" s="146">
        <f>TxRt!B381</f>
        <v>27</v>
      </c>
      <c r="AF39" s="60">
        <f>Inc!B55</f>
        <v>14600</v>
      </c>
      <c r="AG39" s="60">
        <f>Inc!B95</f>
        <v>35800</v>
      </c>
      <c r="AH39" s="60">
        <f>Inc!B135</f>
        <v>56300</v>
      </c>
      <c r="AI39" s="60">
        <f>Inc!B175</f>
        <v>78900</v>
      </c>
      <c r="AJ39" s="60">
        <f>Inc!B255</f>
        <v>106000</v>
      </c>
      <c r="AK39" s="60">
        <f>Inc!B295</f>
        <v>134000</v>
      </c>
      <c r="AL39" s="60">
        <f>Inc!B335</f>
        <v>193000</v>
      </c>
      <c r="AM39" s="60">
        <f>Inc!B375</f>
        <v>687200</v>
      </c>
      <c r="AO39" s="60">
        <f t="shared" si="10"/>
        <v>1766.6</v>
      </c>
      <c r="AP39" s="60">
        <f t="shared" si="11"/>
        <v>5334.2</v>
      </c>
      <c r="AQ39" s="60">
        <f t="shared" si="12"/>
        <v>10134</v>
      </c>
      <c r="AR39" s="60">
        <f t="shared" si="13"/>
        <v>16016.7</v>
      </c>
      <c r="AS39" s="60">
        <f t="shared" si="14"/>
        <v>23426</v>
      </c>
      <c r="AT39" s="60">
        <f t="shared" si="15"/>
        <v>30820</v>
      </c>
      <c r="AU39" s="60">
        <f t="shared" si="16"/>
        <v>45355</v>
      </c>
      <c r="AV39" s="60">
        <f t="shared" si="17"/>
        <v>185544</v>
      </c>
      <c r="AX39" s="103" t="str">
        <f t="shared" si="27"/>
        <v>1984 12.1 14.9 18 20.3 22.1 23 23.5 27</v>
      </c>
      <c r="AZ39" s="131" t="str">
        <f t="shared" si="28"/>
        <v>1984 0.1 12.1 20</v>
      </c>
      <c r="BA39" s="131" t="str">
        <f t="shared" si="29"/>
        <v>1984 0.3 14.9 20</v>
      </c>
      <c r="BB39" s="131" t="str">
        <f t="shared" si="30"/>
        <v>1984 0.5 18 20</v>
      </c>
      <c r="BC39" s="131" t="str">
        <f t="shared" si="31"/>
        <v>1984 0.7 20.3 20</v>
      </c>
      <c r="BD39" s="131" t="str">
        <f t="shared" si="32"/>
        <v>1984 0.85 22.1 10</v>
      </c>
      <c r="BE39" s="131" t="str">
        <f t="shared" si="33"/>
        <v>1984 0.925 23 5</v>
      </c>
      <c r="BF39" s="131" t="str">
        <f t="shared" si="34"/>
        <v>1984 0.975 23.5 4</v>
      </c>
      <c r="BG39" s="131" t="str">
        <f t="shared" si="35"/>
        <v>1984 0.995 27 1</v>
      </c>
      <c r="BL39" t="s">
        <v>272</v>
      </c>
    </row>
    <row r="40" spans="1:64">
      <c r="A40" s="46">
        <f t="shared" si="36"/>
        <v>1985</v>
      </c>
      <c r="B40" s="45">
        <f t="shared" si="0"/>
        <v>0.29165868859437349</v>
      </c>
      <c r="C40" s="45">
        <f t="shared" si="0"/>
        <v>0.9975967278306217</v>
      </c>
      <c r="E40" s="143">
        <f t="shared" si="19"/>
        <v>7.4448332738921934</v>
      </c>
      <c r="F40" s="143">
        <f t="shared" si="20"/>
        <v>8.5952277302215787</v>
      </c>
      <c r="G40" s="143">
        <f t="shared" si="21"/>
        <v>9.2364758455808094</v>
      </c>
      <c r="H40" s="143">
        <f t="shared" si="22"/>
        <v>9.6949862779587885</v>
      </c>
      <c r="I40" s="143">
        <f t="shared" si="23"/>
        <v>10.06017928686237</v>
      </c>
      <c r="J40" s="143">
        <f t="shared" si="24"/>
        <v>10.340089505147834</v>
      </c>
      <c r="K40" s="143">
        <f t="shared" si="25"/>
        <v>10.737344052654676</v>
      </c>
      <c r="L40" s="143">
        <f t="shared" si="26"/>
        <v>12.165886386387355</v>
      </c>
      <c r="M40" s="46"/>
      <c r="N40" s="143">
        <f t="shared" si="2"/>
        <v>9.581903928408666</v>
      </c>
      <c r="O40" s="143">
        <f t="shared" si="3"/>
        <v>10.485703172388792</v>
      </c>
      <c r="P40" s="143">
        <f t="shared" si="4"/>
        <v>10.940224437486151</v>
      </c>
      <c r="Q40" s="143">
        <f t="shared" si="5"/>
        <v>11.279731577802517</v>
      </c>
      <c r="R40" s="143">
        <f t="shared" si="6"/>
        <v>11.560762794384388</v>
      </c>
      <c r="S40" s="143">
        <f t="shared" si="7"/>
        <v>11.80110741246366</v>
      </c>
      <c r="T40" s="143">
        <f t="shared" si="8"/>
        <v>12.181267526611203</v>
      </c>
      <c r="U40" s="143">
        <f t="shared" si="9"/>
        <v>13.509121258046797</v>
      </c>
      <c r="W40" s="146">
        <f>TxRt!B59</f>
        <v>11.8</v>
      </c>
      <c r="X40" s="146">
        <f>TxRt!B102</f>
        <v>15.1</v>
      </c>
      <c r="Y40" s="146">
        <f>TxRt!B142</f>
        <v>18.2</v>
      </c>
      <c r="Z40" s="146">
        <f>TxRt!B182</f>
        <v>20.5</v>
      </c>
      <c r="AA40" s="146">
        <f>TxRt!B262</f>
        <v>22.3</v>
      </c>
      <c r="AB40" s="146">
        <f>TxRt!B302</f>
        <v>23.2</v>
      </c>
      <c r="AC40" s="146">
        <f>TxRt!B342</f>
        <v>23.6</v>
      </c>
      <c r="AD40" s="146">
        <f>TxRt!B382</f>
        <v>26.1</v>
      </c>
      <c r="AF40" s="60">
        <f>Inc!B56</f>
        <v>14500</v>
      </c>
      <c r="AG40" s="60">
        <f>Inc!B96</f>
        <v>35800</v>
      </c>
      <c r="AH40" s="60">
        <f>Inc!B136</f>
        <v>56400</v>
      </c>
      <c r="AI40" s="60">
        <f>Inc!B176</f>
        <v>79200</v>
      </c>
      <c r="AJ40" s="60">
        <f>Inc!B256</f>
        <v>104900</v>
      </c>
      <c r="AK40" s="60">
        <f>Inc!B296</f>
        <v>133400</v>
      </c>
      <c r="AL40" s="60">
        <f>Inc!B336</f>
        <v>195100</v>
      </c>
      <c r="AM40" s="60">
        <f>Inc!B376</f>
        <v>736100</v>
      </c>
      <c r="AO40" s="60">
        <f t="shared" si="10"/>
        <v>1711</v>
      </c>
      <c r="AP40" s="60">
        <f t="shared" si="11"/>
        <v>5405.8</v>
      </c>
      <c r="AQ40" s="60">
        <f t="shared" si="12"/>
        <v>10264.799999999999</v>
      </c>
      <c r="AR40" s="60">
        <f t="shared" si="13"/>
        <v>16236</v>
      </c>
      <c r="AS40" s="60">
        <f t="shared" si="14"/>
        <v>23392.7</v>
      </c>
      <c r="AT40" s="60">
        <f t="shared" si="15"/>
        <v>30948.799999999999</v>
      </c>
      <c r="AU40" s="60">
        <f t="shared" si="16"/>
        <v>46043.6</v>
      </c>
      <c r="AV40" s="60">
        <f t="shared" si="17"/>
        <v>192122.1</v>
      </c>
      <c r="AX40" s="103" t="str">
        <f t="shared" si="27"/>
        <v>1985 11.8 15.1 18.2 20.5 22.3 23.2 23.6 26.1</v>
      </c>
      <c r="AZ40" s="131" t="str">
        <f t="shared" si="28"/>
        <v>1985 0.1 11.8 20</v>
      </c>
      <c r="BA40" s="131" t="str">
        <f t="shared" si="29"/>
        <v>1985 0.3 15.1 20</v>
      </c>
      <c r="BB40" s="131" t="str">
        <f t="shared" si="30"/>
        <v>1985 0.5 18.2 20</v>
      </c>
      <c r="BC40" s="131" t="str">
        <f t="shared" si="31"/>
        <v>1985 0.7 20.5 20</v>
      </c>
      <c r="BD40" s="131" t="str">
        <f t="shared" si="32"/>
        <v>1985 0.85 22.3 10</v>
      </c>
      <c r="BE40" s="131" t="str">
        <f t="shared" si="33"/>
        <v>1985 0.925 23.2 5</v>
      </c>
      <c r="BF40" s="131" t="str">
        <f t="shared" si="34"/>
        <v>1985 0.975 23.6 4</v>
      </c>
      <c r="BG40" s="131" t="str">
        <f t="shared" si="35"/>
        <v>1985 0.995 26.1 1</v>
      </c>
    </row>
    <row r="41" spans="1:64">
      <c r="A41" s="46">
        <f t="shared" si="36"/>
        <v>1986</v>
      </c>
      <c r="B41" s="45">
        <f t="shared" si="0"/>
        <v>0.28395024632202048</v>
      </c>
      <c r="C41" s="45">
        <f t="shared" si="0"/>
        <v>0.99653160486526104</v>
      </c>
      <c r="E41" s="143">
        <f t="shared" si="19"/>
        <v>7.4294021413797111</v>
      </c>
      <c r="F41" s="143">
        <f t="shared" si="20"/>
        <v>8.602453035367061</v>
      </c>
      <c r="G41" s="143">
        <f t="shared" si="21"/>
        <v>9.2557916348801008</v>
      </c>
      <c r="H41" s="143">
        <f t="shared" si="22"/>
        <v>9.7345954160538337</v>
      </c>
      <c r="I41" s="143">
        <f t="shared" si="23"/>
        <v>10.115671263613995</v>
      </c>
      <c r="J41" s="143">
        <f t="shared" si="24"/>
        <v>10.396248997029137</v>
      </c>
      <c r="K41" s="143">
        <f t="shared" si="25"/>
        <v>10.818997980052007</v>
      </c>
      <c r="L41" s="143">
        <f t="shared" si="26"/>
        <v>12.380790786144315</v>
      </c>
      <c r="M41" s="46"/>
      <c r="N41" s="143">
        <f t="shared" si="2"/>
        <v>9.5749834855640916</v>
      </c>
      <c r="O41" s="143">
        <f t="shared" si="3"/>
        <v>10.499573020252942</v>
      </c>
      <c r="P41" s="143">
        <f t="shared" si="4"/>
        <v>10.959540226785442</v>
      </c>
      <c r="Q41" s="143">
        <f t="shared" si="5"/>
        <v>11.314474526246391</v>
      </c>
      <c r="R41" s="143">
        <f t="shared" si="6"/>
        <v>11.607326140391713</v>
      </c>
      <c r="S41" s="143">
        <f t="shared" si="7"/>
        <v>11.848683160653573</v>
      </c>
      <c r="T41" s="143">
        <f t="shared" si="8"/>
        <v>12.267167744889985</v>
      </c>
      <c r="U41" s="143">
        <f t="shared" si="9"/>
        <v>13.779157728498475</v>
      </c>
      <c r="W41" s="146">
        <f>TxRt!B60</f>
        <v>11.7</v>
      </c>
      <c r="X41" s="146">
        <f>TxRt!B103</f>
        <v>15</v>
      </c>
      <c r="Y41" s="146">
        <f>TxRt!B143</f>
        <v>18.2</v>
      </c>
      <c r="Z41" s="146">
        <f>TxRt!B183</f>
        <v>20.6</v>
      </c>
      <c r="AA41" s="146">
        <f>TxRt!B263</f>
        <v>22.5</v>
      </c>
      <c r="AB41" s="146">
        <f>TxRt!B303</f>
        <v>23.4</v>
      </c>
      <c r="AC41" s="146">
        <f>TxRt!B343</f>
        <v>23.5</v>
      </c>
      <c r="AD41" s="146">
        <f>TxRt!B383</f>
        <v>24.7</v>
      </c>
      <c r="AF41" s="60">
        <f>Inc!B57</f>
        <v>14400</v>
      </c>
      <c r="AG41" s="60">
        <f>Inc!B97</f>
        <v>36300</v>
      </c>
      <c r="AH41" s="60">
        <f>Inc!B137</f>
        <v>57500</v>
      </c>
      <c r="AI41" s="60">
        <f>Inc!B177</f>
        <v>82000</v>
      </c>
      <c r="AJ41" s="60">
        <f>Inc!B257</f>
        <v>109900</v>
      </c>
      <c r="AK41" s="60">
        <f>Inc!B297</f>
        <v>139900</v>
      </c>
      <c r="AL41" s="60">
        <f>Inc!B337</f>
        <v>212600</v>
      </c>
      <c r="AM41" s="60">
        <f>Inc!B377</f>
        <v>964300</v>
      </c>
      <c r="AO41" s="60">
        <f t="shared" si="10"/>
        <v>1684.8</v>
      </c>
      <c r="AP41" s="60">
        <f t="shared" si="11"/>
        <v>5445</v>
      </c>
      <c r="AQ41" s="60">
        <f t="shared" si="12"/>
        <v>10465</v>
      </c>
      <c r="AR41" s="60">
        <f t="shared" si="13"/>
        <v>16892.000000000004</v>
      </c>
      <c r="AS41" s="60">
        <f t="shared" si="14"/>
        <v>24727.5</v>
      </c>
      <c r="AT41" s="60">
        <f t="shared" si="15"/>
        <v>32736.6</v>
      </c>
      <c r="AU41" s="60">
        <f t="shared" si="16"/>
        <v>49961</v>
      </c>
      <c r="AV41" s="60">
        <f t="shared" si="17"/>
        <v>238182.1</v>
      </c>
      <c r="AX41" s="103" t="str">
        <f t="shared" si="27"/>
        <v>1986 11.7 15 18.2 20.6 22.5 23.4 23.5 24.7</v>
      </c>
      <c r="AZ41" s="131" t="str">
        <f t="shared" si="28"/>
        <v>1986 0.1 11.7 20</v>
      </c>
      <c r="BA41" s="131" t="str">
        <f t="shared" si="29"/>
        <v>1986 0.3 15 20</v>
      </c>
      <c r="BB41" s="131" t="str">
        <f t="shared" si="30"/>
        <v>1986 0.5 18.2 20</v>
      </c>
      <c r="BC41" s="131" t="str">
        <f t="shared" si="31"/>
        <v>1986 0.7 20.6 20</v>
      </c>
      <c r="BD41" s="131" t="str">
        <f t="shared" si="32"/>
        <v>1986 0.85 22.5 10</v>
      </c>
      <c r="BE41" s="131" t="str">
        <f t="shared" si="33"/>
        <v>1986 0.925 23.4 5</v>
      </c>
      <c r="BF41" s="131" t="str">
        <f t="shared" si="34"/>
        <v>1986 0.975 23.5 4</v>
      </c>
      <c r="BG41" s="131" t="str">
        <f t="shared" si="35"/>
        <v>1986 0.995 24.7 1</v>
      </c>
    </row>
    <row r="42" spans="1:64">
      <c r="A42" s="46">
        <f t="shared" si="36"/>
        <v>1987</v>
      </c>
      <c r="B42" s="45">
        <f t="shared" si="0"/>
        <v>0.34059687683785622</v>
      </c>
      <c r="C42" s="45">
        <f t="shared" si="0"/>
        <v>0.99836940764253301</v>
      </c>
      <c r="E42" s="143">
        <f t="shared" si="19"/>
        <v>7.297497426625065</v>
      </c>
      <c r="F42" s="143">
        <f t="shared" si="20"/>
        <v>8.5295564503996353</v>
      </c>
      <c r="G42" s="143">
        <f t="shared" si="21"/>
        <v>9.2283374486778378</v>
      </c>
      <c r="H42" s="143">
        <f t="shared" si="22"/>
        <v>9.730918287184851</v>
      </c>
      <c r="I42" s="143">
        <f t="shared" si="23"/>
        <v>10.137974523310762</v>
      </c>
      <c r="J42" s="143">
        <f t="shared" si="24"/>
        <v>10.459898209522603</v>
      </c>
      <c r="K42" s="143">
        <f t="shared" si="25"/>
        <v>10.907263382509681</v>
      </c>
      <c r="L42" s="143">
        <f t="shared" si="26"/>
        <v>12.357130547647184</v>
      </c>
      <c r="M42" s="46"/>
      <c r="N42" s="143">
        <f t="shared" si="2"/>
        <v>9.532423871145296</v>
      </c>
      <c r="O42" s="143">
        <f t="shared" si="3"/>
        <v>10.474467099121865</v>
      </c>
      <c r="P42" s="143">
        <f t="shared" si="4"/>
        <v>10.95430917736789</v>
      </c>
      <c r="Q42" s="143">
        <f t="shared" si="5"/>
        <v>11.320553572322773</v>
      </c>
      <c r="R42" s="143">
        <f t="shared" si="6"/>
        <v>11.616384173338458</v>
      </c>
      <c r="S42" s="143">
        <f t="shared" si="7"/>
        <v>11.866395277960013</v>
      </c>
      <c r="T42" s="143">
        <f t="shared" si="8"/>
        <v>12.258190599792281</v>
      </c>
      <c r="U42" s="143">
        <f t="shared" si="9"/>
        <v>13.557775561880446</v>
      </c>
      <c r="W42" s="146">
        <f>TxRt!B61</f>
        <v>10.7</v>
      </c>
      <c r="X42" s="146">
        <f>TxRt!B104</f>
        <v>14.3</v>
      </c>
      <c r="Y42" s="146">
        <f>TxRt!B144</f>
        <v>17.8</v>
      </c>
      <c r="Z42" s="146">
        <f>TxRt!B184</f>
        <v>20.399999999999999</v>
      </c>
      <c r="AA42" s="146">
        <f>TxRt!B264</f>
        <v>22.8</v>
      </c>
      <c r="AB42" s="146">
        <f>TxRt!B304</f>
        <v>24.5</v>
      </c>
      <c r="AC42" s="146">
        <f>TxRt!B344</f>
        <v>25.9</v>
      </c>
      <c r="AD42" s="146">
        <f>TxRt!B384</f>
        <v>30.1</v>
      </c>
      <c r="AF42" s="60">
        <f>Inc!B58</f>
        <v>13800</v>
      </c>
      <c r="AG42" s="60">
        <f>Inc!B98</f>
        <v>35400</v>
      </c>
      <c r="AH42" s="60">
        <f>Inc!B138</f>
        <v>57200</v>
      </c>
      <c r="AI42" s="60">
        <f>Inc!B178</f>
        <v>82500</v>
      </c>
      <c r="AJ42" s="60">
        <f>Inc!B258</f>
        <v>110900</v>
      </c>
      <c r="AK42" s="60">
        <f>Inc!B298</f>
        <v>142400</v>
      </c>
      <c r="AL42" s="60">
        <f>Inc!B338</f>
        <v>210700</v>
      </c>
      <c r="AM42" s="60">
        <f>Inc!B378</f>
        <v>772800</v>
      </c>
      <c r="AO42" s="60">
        <f t="shared" si="10"/>
        <v>1476.6</v>
      </c>
      <c r="AP42" s="60">
        <f t="shared" si="11"/>
        <v>5062.2</v>
      </c>
      <c r="AQ42" s="60">
        <f t="shared" si="12"/>
        <v>10181.6</v>
      </c>
      <c r="AR42" s="60">
        <f t="shared" si="13"/>
        <v>16829.999999999996</v>
      </c>
      <c r="AS42" s="60">
        <f t="shared" si="14"/>
        <v>25285.200000000001</v>
      </c>
      <c r="AT42" s="60">
        <f t="shared" si="15"/>
        <v>34888</v>
      </c>
      <c r="AU42" s="60">
        <f t="shared" si="16"/>
        <v>54571.3</v>
      </c>
      <c r="AV42" s="60">
        <f t="shared" si="17"/>
        <v>232612.8</v>
      </c>
      <c r="AX42" s="103" t="str">
        <f t="shared" si="27"/>
        <v>1987 10.7 14.3 17.8 20.4 22.8 24.5 25.9 30.1</v>
      </c>
      <c r="AZ42" s="131" t="str">
        <f t="shared" si="28"/>
        <v>1987 0.1 10.7 20</v>
      </c>
      <c r="BA42" s="131" t="str">
        <f t="shared" si="29"/>
        <v>1987 0.3 14.3 20</v>
      </c>
      <c r="BB42" s="131" t="str">
        <f t="shared" si="30"/>
        <v>1987 0.5 17.8 20</v>
      </c>
      <c r="BC42" s="131" t="str">
        <f t="shared" si="31"/>
        <v>1987 0.7 20.4 20</v>
      </c>
      <c r="BD42" s="131" t="str">
        <f t="shared" si="32"/>
        <v>1987 0.85 22.8 10</v>
      </c>
      <c r="BE42" s="131" t="str">
        <f t="shared" si="33"/>
        <v>1987 0.925 24.5 5</v>
      </c>
      <c r="BF42" s="131" t="str">
        <f t="shared" si="34"/>
        <v>1987 0.975 25.9 4</v>
      </c>
      <c r="BG42" s="131" t="str">
        <f t="shared" si="35"/>
        <v>1987 0.995 30.1 1</v>
      </c>
    </row>
    <row r="43" spans="1:64">
      <c r="A43" s="46">
        <f t="shared" si="36"/>
        <v>1988</v>
      </c>
      <c r="B43" s="45">
        <f t="shared" si="0"/>
        <v>0.3549676919877629</v>
      </c>
      <c r="C43" s="45">
        <f t="shared" si="0"/>
        <v>0.99669569382533585</v>
      </c>
      <c r="E43" s="143">
        <f t="shared" si="19"/>
        <v>7.2852323505501326</v>
      </c>
      <c r="F43" s="143">
        <f t="shared" si="20"/>
        <v>8.5739515252348468</v>
      </c>
      <c r="G43" s="143">
        <f t="shared" si="21"/>
        <v>9.2661723509346618</v>
      </c>
      <c r="H43" s="143">
        <f t="shared" si="22"/>
        <v>9.7575827815627196</v>
      </c>
      <c r="I43" s="143">
        <f t="shared" si="23"/>
        <v>10.164481647981384</v>
      </c>
      <c r="J43" s="143">
        <f t="shared" si="24"/>
        <v>10.474591385183343</v>
      </c>
      <c r="K43" s="143">
        <f t="shared" si="25"/>
        <v>10.923462395687165</v>
      </c>
      <c r="L43" s="143">
        <f t="shared" si="26"/>
        <v>12.531327198545878</v>
      </c>
      <c r="M43" s="46"/>
      <c r="N43" s="143">
        <f t="shared" si="2"/>
        <v>9.5680148162479988</v>
      </c>
      <c r="O43" s="143">
        <f t="shared" si="3"/>
        <v>10.491274217438248</v>
      </c>
      <c r="P43" s="143">
        <f t="shared" si="4"/>
        <v>10.969920942840002</v>
      </c>
      <c r="Q43" s="143">
        <f t="shared" si="5"/>
        <v>11.32779998084354</v>
      </c>
      <c r="R43" s="143">
        <f t="shared" si="6"/>
        <v>11.629819216441728</v>
      </c>
      <c r="S43" s="143">
        <f t="shared" si="7"/>
        <v>11.885178438872279</v>
      </c>
      <c r="T43" s="143">
        <f t="shared" si="8"/>
        <v>12.289954129510877</v>
      </c>
      <c r="U43" s="143">
        <f t="shared" si="9"/>
        <v>13.783090666708162</v>
      </c>
      <c r="W43" s="146">
        <f>TxRt!B62</f>
        <v>10.199999999999999</v>
      </c>
      <c r="X43" s="146">
        <f>TxRt!B105</f>
        <v>14.7</v>
      </c>
      <c r="Y43" s="146">
        <f>TxRt!B145</f>
        <v>18.2</v>
      </c>
      <c r="Z43" s="146">
        <f>TxRt!B185</f>
        <v>20.8</v>
      </c>
      <c r="AA43" s="146">
        <f>TxRt!B265</f>
        <v>23.1</v>
      </c>
      <c r="AB43" s="146">
        <f>TxRt!B305</f>
        <v>24.4</v>
      </c>
      <c r="AC43" s="146">
        <f>TxRt!B345</f>
        <v>25.5</v>
      </c>
      <c r="AD43" s="146">
        <f>TxRt!B385</f>
        <v>28.6</v>
      </c>
      <c r="AF43" s="60">
        <f>Inc!B59</f>
        <v>14300</v>
      </c>
      <c r="AG43" s="60">
        <f>Inc!B99</f>
        <v>36000</v>
      </c>
      <c r="AH43" s="60">
        <f>Inc!B139</f>
        <v>58100</v>
      </c>
      <c r="AI43" s="60">
        <f>Inc!B179</f>
        <v>83100</v>
      </c>
      <c r="AJ43" s="60">
        <f>Inc!B259</f>
        <v>112400</v>
      </c>
      <c r="AK43" s="60">
        <f>Inc!B299</f>
        <v>145100</v>
      </c>
      <c r="AL43" s="60">
        <f>Inc!B339</f>
        <v>217500</v>
      </c>
      <c r="AM43" s="60">
        <f>Inc!B379</f>
        <v>968100</v>
      </c>
      <c r="AO43" s="60">
        <f t="shared" si="10"/>
        <v>1458.6</v>
      </c>
      <c r="AP43" s="60">
        <f t="shared" si="11"/>
        <v>5292</v>
      </c>
      <c r="AQ43" s="60">
        <f t="shared" si="12"/>
        <v>10574.2</v>
      </c>
      <c r="AR43" s="60">
        <f t="shared" si="13"/>
        <v>17284.8</v>
      </c>
      <c r="AS43" s="60">
        <f t="shared" si="14"/>
        <v>25964.400000000001</v>
      </c>
      <c r="AT43" s="60">
        <f t="shared" si="15"/>
        <v>35404.400000000001</v>
      </c>
      <c r="AU43" s="60">
        <f t="shared" si="16"/>
        <v>55462.5</v>
      </c>
      <c r="AV43" s="60">
        <f t="shared" si="17"/>
        <v>276876.59999999998</v>
      </c>
      <c r="AX43" s="103" t="str">
        <f t="shared" si="27"/>
        <v>1988 10.2 14.7 18.2 20.8 23.1 24.4 25.5 28.6</v>
      </c>
      <c r="AZ43" s="131" t="str">
        <f t="shared" si="28"/>
        <v>1988 0.1 10.2 20</v>
      </c>
      <c r="BA43" s="131" t="str">
        <f t="shared" si="29"/>
        <v>1988 0.3 14.7 20</v>
      </c>
      <c r="BB43" s="131" t="str">
        <f t="shared" si="30"/>
        <v>1988 0.5 18.2 20</v>
      </c>
      <c r="BC43" s="131" t="str">
        <f t="shared" si="31"/>
        <v>1988 0.7 20.8 20</v>
      </c>
      <c r="BD43" s="131" t="str">
        <f t="shared" si="32"/>
        <v>1988 0.85 23.1 10</v>
      </c>
      <c r="BE43" s="131" t="str">
        <f t="shared" si="33"/>
        <v>1988 0.925 24.4 5</v>
      </c>
      <c r="BF43" s="131" t="str">
        <f t="shared" si="34"/>
        <v>1988 0.975 25.5 4</v>
      </c>
      <c r="BG43" s="131" t="str">
        <f t="shared" si="35"/>
        <v>1988 0.995 28.6 1</v>
      </c>
    </row>
    <row r="44" spans="1:64">
      <c r="A44" s="46">
        <f t="shared" si="36"/>
        <v>1989</v>
      </c>
      <c r="B44" s="45">
        <f t="shared" si="0"/>
        <v>0.38362715775823686</v>
      </c>
      <c r="C44" s="45">
        <f t="shared" si="0"/>
        <v>0.99554181290520871</v>
      </c>
      <c r="E44" s="143">
        <f t="shared" si="19"/>
        <v>7.2723983925700466</v>
      </c>
      <c r="F44" s="143">
        <f t="shared" si="20"/>
        <v>8.5546623715307124</v>
      </c>
      <c r="G44" s="143">
        <f t="shared" si="21"/>
        <v>9.2709367580998769</v>
      </c>
      <c r="H44" s="143">
        <f t="shared" si="22"/>
        <v>9.7695446466802203</v>
      </c>
      <c r="I44" s="143">
        <f t="shared" si="23"/>
        <v>10.175154565791225</v>
      </c>
      <c r="J44" s="143">
        <f t="shared" si="24"/>
        <v>10.482765901936562</v>
      </c>
      <c r="K44" s="143">
        <f t="shared" si="25"/>
        <v>10.934714605349786</v>
      </c>
      <c r="L44" s="143">
        <f t="shared" si="26"/>
        <v>12.434606045478761</v>
      </c>
      <c r="M44" s="46"/>
      <c r="N44" s="143">
        <f t="shared" si="2"/>
        <v>9.6158054800843473</v>
      </c>
      <c r="O44" s="143">
        <f t="shared" si="3"/>
        <v>10.499573020252942</v>
      </c>
      <c r="P44" s="143">
        <f t="shared" si="4"/>
        <v>10.980195005816189</v>
      </c>
      <c r="Q44" s="143">
        <f t="shared" si="5"/>
        <v>11.339761845961039</v>
      </c>
      <c r="R44" s="143">
        <f t="shared" si="6"/>
        <v>11.644830535850167</v>
      </c>
      <c r="S44" s="143">
        <f t="shared" si="7"/>
        <v>11.901583454762012</v>
      </c>
      <c r="T44" s="143">
        <f t="shared" si="8"/>
        <v>12.309080395604402</v>
      </c>
      <c r="U44" s="143">
        <f t="shared" si="9"/>
        <v>13.71114954263953</v>
      </c>
      <c r="W44" s="146">
        <f>TxRt!B63</f>
        <v>9.6</v>
      </c>
      <c r="X44" s="146">
        <f>TxRt!B106</f>
        <v>14.3</v>
      </c>
      <c r="Y44" s="146">
        <f>TxRt!B146</f>
        <v>18.100000000000001</v>
      </c>
      <c r="Z44" s="146">
        <f>TxRt!B186</f>
        <v>20.8</v>
      </c>
      <c r="AA44" s="146">
        <f>TxRt!B266</f>
        <v>23</v>
      </c>
      <c r="AB44" s="146">
        <f>TxRt!B306</f>
        <v>24.2</v>
      </c>
      <c r="AC44" s="146">
        <f>TxRt!B346</f>
        <v>25.3</v>
      </c>
      <c r="AD44" s="146">
        <f>TxRt!B386</f>
        <v>27.9</v>
      </c>
      <c r="AF44" s="60">
        <f>Inc!B60</f>
        <v>15000</v>
      </c>
      <c r="AG44" s="60">
        <f>Inc!B100</f>
        <v>36300</v>
      </c>
      <c r="AH44" s="60">
        <f>Inc!B140</f>
        <v>58700</v>
      </c>
      <c r="AI44" s="60">
        <f>Inc!B180</f>
        <v>84100</v>
      </c>
      <c r="AJ44" s="60">
        <f>Inc!B260</f>
        <v>114100</v>
      </c>
      <c r="AK44" s="60">
        <f>Inc!B300</f>
        <v>147500</v>
      </c>
      <c r="AL44" s="60">
        <f>Inc!B340</f>
        <v>221700</v>
      </c>
      <c r="AM44" s="60">
        <f>Inc!B380</f>
        <v>900900</v>
      </c>
      <c r="AO44" s="60">
        <f t="shared" si="10"/>
        <v>1440</v>
      </c>
      <c r="AP44" s="60">
        <f t="shared" si="11"/>
        <v>5190.8999999999996</v>
      </c>
      <c r="AQ44" s="60">
        <f t="shared" si="12"/>
        <v>10624.7</v>
      </c>
      <c r="AR44" s="60">
        <f t="shared" si="13"/>
        <v>17492.8</v>
      </c>
      <c r="AS44" s="60">
        <f t="shared" si="14"/>
        <v>26243</v>
      </c>
      <c r="AT44" s="60">
        <f t="shared" si="15"/>
        <v>35695</v>
      </c>
      <c r="AU44" s="60">
        <f t="shared" si="16"/>
        <v>56090.1</v>
      </c>
      <c r="AV44" s="60">
        <f t="shared" si="17"/>
        <v>251351.1</v>
      </c>
      <c r="AX44" s="103" t="str">
        <f t="shared" si="27"/>
        <v>1989 9.6 14.3 18.1 20.8 23 24.2 25.3 27.9</v>
      </c>
      <c r="AZ44" s="131" t="str">
        <f t="shared" si="28"/>
        <v>1989 0.1 9.6 20</v>
      </c>
      <c r="BA44" s="131" t="str">
        <f t="shared" si="29"/>
        <v>1989 0.3 14.3 20</v>
      </c>
      <c r="BB44" s="131" t="str">
        <f t="shared" si="30"/>
        <v>1989 0.5 18.1 20</v>
      </c>
      <c r="BC44" s="131" t="str">
        <f t="shared" si="31"/>
        <v>1989 0.7 20.8 20</v>
      </c>
      <c r="BD44" s="131" t="str">
        <f t="shared" si="32"/>
        <v>1989 0.85 23 10</v>
      </c>
      <c r="BE44" s="131" t="str">
        <f t="shared" si="33"/>
        <v>1989 0.925 24.2 5</v>
      </c>
      <c r="BF44" s="131" t="str">
        <f t="shared" si="34"/>
        <v>1989 0.975 25.3 4</v>
      </c>
      <c r="BG44" s="131" t="str">
        <f t="shared" si="35"/>
        <v>1989 0.995 27.9 1</v>
      </c>
    </row>
    <row r="45" spans="1:64">
      <c r="A45" s="46">
        <f t="shared" si="36"/>
        <v>1990</v>
      </c>
      <c r="B45" s="45">
        <f t="shared" si="0"/>
        <v>0.34356374765485143</v>
      </c>
      <c r="C45" s="45">
        <f t="shared" si="0"/>
        <v>0.99684097518517423</v>
      </c>
      <c r="E45" s="143">
        <f t="shared" si="19"/>
        <v>7.4071963438814894</v>
      </c>
      <c r="F45" s="143">
        <f t="shared" si="20"/>
        <v>8.6349762270726202</v>
      </c>
      <c r="G45" s="143">
        <f t="shared" si="21"/>
        <v>9.2832376114888486</v>
      </c>
      <c r="H45" s="143">
        <f t="shared" si="22"/>
        <v>9.762384711558127</v>
      </c>
      <c r="I45" s="143">
        <f t="shared" si="23"/>
        <v>10.162808729968926</v>
      </c>
      <c r="J45" s="143">
        <f t="shared" si="24"/>
        <v>10.455304436496132</v>
      </c>
      <c r="K45" s="143">
        <f t="shared" si="25"/>
        <v>10.902853926546266</v>
      </c>
      <c r="L45" s="143">
        <f t="shared" si="26"/>
        <v>12.394577545991631</v>
      </c>
      <c r="M45" s="46"/>
      <c r="N45" s="143">
        <f t="shared" si="2"/>
        <v>9.6421227884017213</v>
      </c>
      <c r="O45" s="143">
        <f t="shared" si="3"/>
        <v>10.532096211958502</v>
      </c>
      <c r="P45" s="143">
        <f t="shared" si="4"/>
        <v>10.98698620339419</v>
      </c>
      <c r="Q45" s="143">
        <f t="shared" si="5"/>
        <v>11.332601910838946</v>
      </c>
      <c r="R45" s="143">
        <f t="shared" si="6"/>
        <v>11.632484700027868</v>
      </c>
      <c r="S45" s="143">
        <f t="shared" si="7"/>
        <v>11.878262781987614</v>
      </c>
      <c r="T45" s="143">
        <f t="shared" si="8"/>
        <v>12.281180118016978</v>
      </c>
      <c r="U45" s="143">
        <f t="shared" si="9"/>
        <v>13.67831531878643</v>
      </c>
      <c r="W45" s="146">
        <f>TxRt!B64</f>
        <v>10.7</v>
      </c>
      <c r="X45" s="146">
        <f>TxRt!B107</f>
        <v>15</v>
      </c>
      <c r="Y45" s="146">
        <f>TxRt!B147</f>
        <v>18.2</v>
      </c>
      <c r="Z45" s="146">
        <f>TxRt!B187</f>
        <v>20.8</v>
      </c>
      <c r="AA45" s="146">
        <f>TxRt!B267</f>
        <v>23</v>
      </c>
      <c r="AB45" s="146">
        <f>TxRt!B307</f>
        <v>24.1</v>
      </c>
      <c r="AC45" s="146">
        <f>TxRt!B347</f>
        <v>25.2</v>
      </c>
      <c r="AD45" s="146">
        <f>TxRt!B387</f>
        <v>27.7</v>
      </c>
      <c r="AF45" s="60">
        <f>Inc!B61</f>
        <v>15400</v>
      </c>
      <c r="AG45" s="60">
        <f>Inc!B101</f>
        <v>37500</v>
      </c>
      <c r="AH45" s="60">
        <f>Inc!B141</f>
        <v>59100</v>
      </c>
      <c r="AI45" s="60">
        <f>Inc!B181</f>
        <v>83500</v>
      </c>
      <c r="AJ45" s="60">
        <f>Inc!B261</f>
        <v>112700</v>
      </c>
      <c r="AK45" s="60">
        <f>Inc!B301</f>
        <v>144100</v>
      </c>
      <c r="AL45" s="60">
        <f>Inc!B341</f>
        <v>215600</v>
      </c>
      <c r="AM45" s="60">
        <f>Inc!B381</f>
        <v>871800</v>
      </c>
      <c r="AO45" s="60">
        <f t="shared" si="10"/>
        <v>1647.8</v>
      </c>
      <c r="AP45" s="60">
        <f t="shared" si="11"/>
        <v>5625</v>
      </c>
      <c r="AQ45" s="60">
        <f t="shared" si="12"/>
        <v>10756.2</v>
      </c>
      <c r="AR45" s="60">
        <f t="shared" si="13"/>
        <v>17368</v>
      </c>
      <c r="AS45" s="60">
        <f t="shared" si="14"/>
        <v>25921</v>
      </c>
      <c r="AT45" s="60">
        <f t="shared" si="15"/>
        <v>34728.1</v>
      </c>
      <c r="AU45" s="60">
        <f t="shared" si="16"/>
        <v>54331.199999999997</v>
      </c>
      <c r="AV45" s="60">
        <f t="shared" si="17"/>
        <v>241488.6</v>
      </c>
      <c r="AX45" s="103" t="str">
        <f t="shared" si="27"/>
        <v>1990 10.7 15 18.2 20.8 23 24.1 25.2 27.7</v>
      </c>
      <c r="AZ45" s="131" t="str">
        <f t="shared" si="28"/>
        <v>1990 0.1 10.7 20</v>
      </c>
      <c r="BA45" s="131" t="str">
        <f t="shared" si="29"/>
        <v>1990 0.3 15 20</v>
      </c>
      <c r="BB45" s="131" t="str">
        <f t="shared" si="30"/>
        <v>1990 0.5 18.2 20</v>
      </c>
      <c r="BC45" s="131" t="str">
        <f t="shared" si="31"/>
        <v>1990 0.7 20.8 20</v>
      </c>
      <c r="BD45" s="131" t="str">
        <f t="shared" si="32"/>
        <v>1990 0.85 23 10</v>
      </c>
      <c r="BE45" s="131" t="str">
        <f t="shared" si="33"/>
        <v>1990 0.925 24.1 5</v>
      </c>
      <c r="BF45" s="131" t="str">
        <f t="shared" si="34"/>
        <v>1990 0.975 25.2 4</v>
      </c>
      <c r="BG45" s="131" t="str">
        <f t="shared" si="35"/>
        <v>1990 0.995 27.7 1</v>
      </c>
    </row>
    <row r="46" spans="1:64">
      <c r="A46" s="46">
        <f t="shared" si="36"/>
        <v>1991</v>
      </c>
      <c r="B46" s="45">
        <f t="shared" si="0"/>
        <v>0.37016686907821716</v>
      </c>
      <c r="C46" s="45">
        <f t="shared" si="0"/>
        <v>0.997182344679028</v>
      </c>
      <c r="E46" s="143">
        <f t="shared" si="19"/>
        <v>7.3658128372094724</v>
      </c>
      <c r="F46" s="143">
        <f t="shared" si="20"/>
        <v>8.5767819828278942</v>
      </c>
      <c r="G46" s="143">
        <f t="shared" si="21"/>
        <v>9.242226560838505</v>
      </c>
      <c r="H46" s="143">
        <f t="shared" si="22"/>
        <v>9.7382295811680546</v>
      </c>
      <c r="I46" s="143">
        <f t="shared" si="23"/>
        <v>10.143252204866574</v>
      </c>
      <c r="J46" s="143">
        <f t="shared" si="24"/>
        <v>10.452481412719091</v>
      </c>
      <c r="K46" s="143">
        <f t="shared" si="25"/>
        <v>10.896905978325732</v>
      </c>
      <c r="L46" s="143">
        <f t="shared" si="26"/>
        <v>12.331218288331053</v>
      </c>
      <c r="M46" s="46"/>
      <c r="N46" s="143">
        <f t="shared" si="2"/>
        <v>9.6485953029073386</v>
      </c>
      <c r="O46" s="143">
        <f t="shared" si="3"/>
        <v>10.507803519389457</v>
      </c>
      <c r="P46" s="143">
        <f t="shared" si="4"/>
        <v>10.968198289528557</v>
      </c>
      <c r="Q46" s="143">
        <f t="shared" si="5"/>
        <v>11.322974881011783</v>
      </c>
      <c r="R46" s="143">
        <f t="shared" si="6"/>
        <v>11.617285480294472</v>
      </c>
      <c r="S46" s="143">
        <f t="shared" si="7"/>
        <v>11.871298965544542</v>
      </c>
      <c r="T46" s="143">
        <f t="shared" si="8"/>
        <v>12.263397712149443</v>
      </c>
      <c r="U46" s="143">
        <f t="shared" si="9"/>
        <v>13.572546879200758</v>
      </c>
      <c r="W46" s="146">
        <f>TxRt!B65</f>
        <v>10.199999999999999</v>
      </c>
      <c r="X46" s="146">
        <f>TxRt!B108</f>
        <v>14.5</v>
      </c>
      <c r="Y46" s="146">
        <f>TxRt!B148</f>
        <v>17.8</v>
      </c>
      <c r="Z46" s="146">
        <f>TxRt!B188</f>
        <v>20.5</v>
      </c>
      <c r="AA46" s="146">
        <f>TxRt!B268</f>
        <v>22.9</v>
      </c>
      <c r="AB46" s="146">
        <f>TxRt!B308</f>
        <v>24.2</v>
      </c>
      <c r="AC46" s="146">
        <f>TxRt!B348</f>
        <v>25.5</v>
      </c>
      <c r="AD46" s="146">
        <f>TxRt!B388</f>
        <v>28.9</v>
      </c>
      <c r="AF46" s="60">
        <f>Inc!B62</f>
        <v>15500</v>
      </c>
      <c r="AG46" s="60">
        <f>Inc!B102</f>
        <v>36600</v>
      </c>
      <c r="AH46" s="60">
        <f>Inc!B142</f>
        <v>58000</v>
      </c>
      <c r="AI46" s="60">
        <f>Inc!B182</f>
        <v>82700</v>
      </c>
      <c r="AJ46" s="60">
        <f>Inc!B262</f>
        <v>111000</v>
      </c>
      <c r="AK46" s="60">
        <f>Inc!B302</f>
        <v>143100</v>
      </c>
      <c r="AL46" s="60">
        <f>Inc!B342</f>
        <v>211800</v>
      </c>
      <c r="AM46" s="60">
        <f>Inc!B382</f>
        <v>784300</v>
      </c>
      <c r="AO46" s="60">
        <f t="shared" si="10"/>
        <v>1581</v>
      </c>
      <c r="AP46" s="60">
        <f t="shared" si="11"/>
        <v>5307</v>
      </c>
      <c r="AQ46" s="60">
        <f t="shared" si="12"/>
        <v>10324</v>
      </c>
      <c r="AR46" s="60">
        <f t="shared" si="13"/>
        <v>16953.5</v>
      </c>
      <c r="AS46" s="60">
        <f t="shared" si="14"/>
        <v>25419</v>
      </c>
      <c r="AT46" s="60">
        <f t="shared" si="15"/>
        <v>34630.199999999997</v>
      </c>
      <c r="AU46" s="60">
        <f t="shared" si="16"/>
        <v>54009</v>
      </c>
      <c r="AV46" s="60">
        <f t="shared" si="17"/>
        <v>226662.7</v>
      </c>
      <c r="AX46" s="103" t="str">
        <f t="shared" si="27"/>
        <v>1991 10.2 14.5 17.8 20.5 22.9 24.2 25.5 28.9</v>
      </c>
      <c r="AZ46" s="131" t="str">
        <f t="shared" si="28"/>
        <v>1991 0.1 10.2 20</v>
      </c>
      <c r="BA46" s="131" t="str">
        <f t="shared" si="29"/>
        <v>1991 0.3 14.5 20</v>
      </c>
      <c r="BB46" s="131" t="str">
        <f t="shared" si="30"/>
        <v>1991 0.5 17.8 20</v>
      </c>
      <c r="BC46" s="131" t="str">
        <f t="shared" si="31"/>
        <v>1991 0.7 20.5 20</v>
      </c>
      <c r="BD46" s="131" t="str">
        <f t="shared" si="32"/>
        <v>1991 0.85 22.9 10</v>
      </c>
      <c r="BE46" s="131" t="str">
        <f t="shared" si="33"/>
        <v>1991 0.925 24.2 5</v>
      </c>
      <c r="BF46" s="131" t="str">
        <f t="shared" si="34"/>
        <v>1991 0.975 25.5 4</v>
      </c>
      <c r="BG46" s="131" t="str">
        <f t="shared" si="35"/>
        <v>1991 0.995 28.9 1</v>
      </c>
    </row>
    <row r="47" spans="1:64">
      <c r="A47" s="46">
        <f t="shared" si="36"/>
        <v>1992</v>
      </c>
      <c r="B47" s="45">
        <f t="shared" si="0"/>
        <v>0.37633381745596539</v>
      </c>
      <c r="C47" s="45">
        <f t="shared" si="0"/>
        <v>0.99693548588952918</v>
      </c>
      <c r="E47" s="143">
        <f t="shared" si="19"/>
        <v>7.352441100243583</v>
      </c>
      <c r="F47" s="143">
        <f t="shared" si="20"/>
        <v>8.5262916744014969</v>
      </c>
      <c r="G47" s="143">
        <f t="shared" si="21"/>
        <v>9.241751825930276</v>
      </c>
      <c r="H47" s="143">
        <f t="shared" si="22"/>
        <v>9.7380526108985972</v>
      </c>
      <c r="I47" s="143">
        <f t="shared" si="23"/>
        <v>10.146123879225801</v>
      </c>
      <c r="J47" s="143">
        <f t="shared" si="24"/>
        <v>10.465660069253241</v>
      </c>
      <c r="K47" s="143">
        <f t="shared" si="25"/>
        <v>10.933335515027389</v>
      </c>
      <c r="L47" s="143">
        <f t="shared" si="26"/>
        <v>12.47515582590575</v>
      </c>
      <c r="M47" s="46"/>
      <c r="N47" s="143">
        <f t="shared" si="2"/>
        <v>9.655026193237628</v>
      </c>
      <c r="O47" s="143">
        <f t="shared" si="3"/>
        <v>10.499573020252942</v>
      </c>
      <c r="P47" s="143">
        <f t="shared" si="4"/>
        <v>10.973357372338583</v>
      </c>
      <c r="Q47" s="143">
        <f t="shared" si="5"/>
        <v>11.332601910838946</v>
      </c>
      <c r="R47" s="143">
        <f t="shared" si="6"/>
        <v>11.628929140726534</v>
      </c>
      <c r="S47" s="143">
        <f t="shared" si="7"/>
        <v>11.888618414744723</v>
      </c>
      <c r="T47" s="143">
        <f t="shared" si="8"/>
        <v>12.295913349529963</v>
      </c>
      <c r="U47" s="143">
        <f t="shared" si="9"/>
        <v>13.692551650563827</v>
      </c>
      <c r="W47" s="146">
        <f>TxRt!B66</f>
        <v>10</v>
      </c>
      <c r="X47" s="146">
        <f>TxRt!B109</f>
        <v>13.9</v>
      </c>
      <c r="Y47" s="146">
        <f>TxRt!B149</f>
        <v>17.7</v>
      </c>
      <c r="Z47" s="146">
        <f>TxRt!B189</f>
        <v>20.3</v>
      </c>
      <c r="AA47" s="146">
        <f>TxRt!B269</f>
        <v>22.7</v>
      </c>
      <c r="AB47" s="146">
        <f>TxRt!B309</f>
        <v>24.1</v>
      </c>
      <c r="AC47" s="146">
        <f>TxRt!B349</f>
        <v>25.6</v>
      </c>
      <c r="AD47" s="146">
        <f>TxRt!B389</f>
        <v>29.6</v>
      </c>
      <c r="AF47" s="60">
        <f>Inc!B63</f>
        <v>15600</v>
      </c>
      <c r="AG47" s="60">
        <f>Inc!B103</f>
        <v>36300</v>
      </c>
      <c r="AH47" s="60">
        <f>Inc!B143</f>
        <v>58300</v>
      </c>
      <c r="AI47" s="60">
        <f>Inc!B183</f>
        <v>83500</v>
      </c>
      <c r="AJ47" s="60">
        <f>Inc!B263</f>
        <v>112300</v>
      </c>
      <c r="AK47" s="60">
        <f>Inc!B303</f>
        <v>145600</v>
      </c>
      <c r="AL47" s="60">
        <f>Inc!B343</f>
        <v>218800</v>
      </c>
      <c r="AM47" s="60">
        <f>Inc!B383</f>
        <v>884300</v>
      </c>
      <c r="AO47" s="60">
        <f t="shared" si="10"/>
        <v>1560</v>
      </c>
      <c r="AP47" s="60">
        <f t="shared" si="11"/>
        <v>5045.7</v>
      </c>
      <c r="AQ47" s="60">
        <f t="shared" si="12"/>
        <v>10319.1</v>
      </c>
      <c r="AR47" s="60">
        <f t="shared" si="13"/>
        <v>16950.5</v>
      </c>
      <c r="AS47" s="60">
        <f t="shared" si="14"/>
        <v>25492.1</v>
      </c>
      <c r="AT47" s="60">
        <f t="shared" si="15"/>
        <v>35089.599999999999</v>
      </c>
      <c r="AU47" s="60">
        <f t="shared" si="16"/>
        <v>56012.800000000003</v>
      </c>
      <c r="AV47" s="60">
        <f t="shared" si="17"/>
        <v>261752.8</v>
      </c>
      <c r="AX47" s="103" t="str">
        <f t="shared" si="27"/>
        <v>1992 10 13.9 17.7 20.3 22.7 24.1 25.6 29.6</v>
      </c>
      <c r="AZ47" s="131" t="str">
        <f t="shared" si="28"/>
        <v>1992 0.1 10 20</v>
      </c>
      <c r="BA47" s="131" t="str">
        <f t="shared" si="29"/>
        <v>1992 0.3 13.9 20</v>
      </c>
      <c r="BB47" s="131" t="str">
        <f t="shared" si="30"/>
        <v>1992 0.5 17.7 20</v>
      </c>
      <c r="BC47" s="131" t="str">
        <f t="shared" si="31"/>
        <v>1992 0.7 20.3 20</v>
      </c>
      <c r="BD47" s="131" t="str">
        <f t="shared" si="32"/>
        <v>1992 0.85 22.7 10</v>
      </c>
      <c r="BE47" s="131" t="str">
        <f t="shared" si="33"/>
        <v>1992 0.925 24.1 5</v>
      </c>
      <c r="BF47" s="131" t="str">
        <f t="shared" si="34"/>
        <v>1992 0.975 25.6 4</v>
      </c>
      <c r="BG47" s="131" t="str">
        <f t="shared" si="35"/>
        <v>1992 0.995 29.6 1</v>
      </c>
    </row>
    <row r="48" spans="1:64">
      <c r="A48" s="46">
        <f t="shared" si="36"/>
        <v>1993</v>
      </c>
      <c r="B48" s="45">
        <f t="shared" si="0"/>
        <v>0.38521040670625251</v>
      </c>
      <c r="C48" s="45">
        <f t="shared" si="0"/>
        <v>0.99808559085375381</v>
      </c>
      <c r="E48" s="143">
        <f t="shared" si="19"/>
        <v>7.352441100243583</v>
      </c>
      <c r="F48" s="143">
        <f t="shared" si="20"/>
        <v>8.5218224597998997</v>
      </c>
      <c r="G48" s="143">
        <f t="shared" si="21"/>
        <v>9.2395107492759632</v>
      </c>
      <c r="H48" s="143">
        <f t="shared" si="22"/>
        <v>9.7464009002900678</v>
      </c>
      <c r="I48" s="143">
        <f t="shared" si="23"/>
        <v>10.159392539173632</v>
      </c>
      <c r="J48" s="143">
        <f t="shared" si="24"/>
        <v>10.488280852900594</v>
      </c>
      <c r="K48" s="143">
        <f t="shared" si="25"/>
        <v>10.973659213572388</v>
      </c>
      <c r="L48" s="143">
        <f t="shared" si="26"/>
        <v>12.550371318400851</v>
      </c>
      <c r="M48" s="46"/>
      <c r="N48" s="143">
        <f t="shared" si="2"/>
        <v>9.655026193237628</v>
      </c>
      <c r="O48" s="143">
        <f t="shared" si="3"/>
        <v>10.502324053624832</v>
      </c>
      <c r="P48" s="143">
        <f t="shared" si="4"/>
        <v>10.976782033219948</v>
      </c>
      <c r="Q48" s="143">
        <f t="shared" si="5"/>
        <v>11.340950200230418</v>
      </c>
      <c r="R48" s="143">
        <f t="shared" si="6"/>
        <v>11.642197800674367</v>
      </c>
      <c r="S48" s="143">
        <f t="shared" si="7"/>
        <v>11.89886790658953</v>
      </c>
      <c r="T48" s="143">
        <f t="shared" si="8"/>
        <v>12.305465389408209</v>
      </c>
      <c r="U48" s="143">
        <f t="shared" si="9"/>
        <v>13.652991628466498</v>
      </c>
      <c r="W48" s="146">
        <f>TxRt!B67</f>
        <v>10</v>
      </c>
      <c r="X48" s="146">
        <f>TxRt!B110</f>
        <v>13.8</v>
      </c>
      <c r="Y48" s="146">
        <f>TxRt!B150</f>
        <v>17.600000000000001</v>
      </c>
      <c r="Z48" s="146">
        <f>TxRt!B190</f>
        <v>20.3</v>
      </c>
      <c r="AA48" s="146">
        <f>TxRt!B270</f>
        <v>22.7</v>
      </c>
      <c r="AB48" s="146">
        <f>TxRt!B310</f>
        <v>24.4</v>
      </c>
      <c r="AC48" s="146">
        <f>TxRt!B350</f>
        <v>26.4</v>
      </c>
      <c r="AD48" s="146">
        <f>TxRt!B390</f>
        <v>33.200000000000003</v>
      </c>
      <c r="AF48" s="60">
        <f>Inc!B64</f>
        <v>15600</v>
      </c>
      <c r="AG48" s="60">
        <f>Inc!B104</f>
        <v>36400</v>
      </c>
      <c r="AH48" s="60">
        <f>Inc!B144</f>
        <v>58500</v>
      </c>
      <c r="AI48" s="60">
        <f>Inc!B184</f>
        <v>84200</v>
      </c>
      <c r="AJ48" s="60">
        <f>Inc!B264</f>
        <v>113800</v>
      </c>
      <c r="AK48" s="60">
        <f>Inc!B304</f>
        <v>147100</v>
      </c>
      <c r="AL48" s="60">
        <f>Inc!B344</f>
        <v>220900</v>
      </c>
      <c r="AM48" s="60">
        <f>Inc!B384</f>
        <v>850000</v>
      </c>
      <c r="AO48" s="60">
        <f t="shared" si="10"/>
        <v>1560</v>
      </c>
      <c r="AP48" s="60">
        <f t="shared" si="11"/>
        <v>5023.2</v>
      </c>
      <c r="AQ48" s="60">
        <f t="shared" si="12"/>
        <v>10296.000000000002</v>
      </c>
      <c r="AR48" s="60">
        <f t="shared" si="13"/>
        <v>17092.599999999999</v>
      </c>
      <c r="AS48" s="60">
        <f t="shared" si="14"/>
        <v>25832.6</v>
      </c>
      <c r="AT48" s="60">
        <f t="shared" si="15"/>
        <v>35892.400000000001</v>
      </c>
      <c r="AU48" s="60">
        <f t="shared" si="16"/>
        <v>58317.599999999999</v>
      </c>
      <c r="AV48" s="60">
        <f t="shared" si="17"/>
        <v>282200.00000000006</v>
      </c>
      <c r="AX48" s="103" t="str">
        <f t="shared" si="27"/>
        <v>1993 10 13.8 17.6 20.3 22.7 24.4 26.4 33.2</v>
      </c>
      <c r="AZ48" s="131" t="str">
        <f t="shared" si="28"/>
        <v>1993 0.1 10 20</v>
      </c>
      <c r="BA48" s="131" t="str">
        <f t="shared" si="29"/>
        <v>1993 0.3 13.8 20</v>
      </c>
      <c r="BB48" s="131" t="str">
        <f t="shared" si="30"/>
        <v>1993 0.5 17.6 20</v>
      </c>
      <c r="BC48" s="131" t="str">
        <f t="shared" si="31"/>
        <v>1993 0.7 20.3 20</v>
      </c>
      <c r="BD48" s="131" t="str">
        <f t="shared" si="32"/>
        <v>1993 0.85 22.7 10</v>
      </c>
      <c r="BE48" s="131" t="str">
        <f t="shared" si="33"/>
        <v>1993 0.925 24.4 5</v>
      </c>
      <c r="BF48" s="131" t="str">
        <f t="shared" si="34"/>
        <v>1993 0.975 26.4 4</v>
      </c>
      <c r="BG48" s="131" t="str">
        <f t="shared" si="35"/>
        <v>1993 0.995 33.2 1</v>
      </c>
    </row>
    <row r="49" spans="1:59">
      <c r="A49" s="46">
        <f t="shared" si="36"/>
        <v>1994</v>
      </c>
      <c r="B49" s="45">
        <f t="shared" si="0"/>
        <v>0.46776806229187384</v>
      </c>
      <c r="C49" s="45">
        <f t="shared" si="0"/>
        <v>0.99527294263355748</v>
      </c>
      <c r="E49" s="143">
        <f t="shared" si="19"/>
        <v>7.1475592711894542</v>
      </c>
      <c r="F49" s="143">
        <f t="shared" si="20"/>
        <v>8.5080515334989535</v>
      </c>
      <c r="G49" s="143">
        <f t="shared" si="21"/>
        <v>9.2542232771261368</v>
      </c>
      <c r="H49" s="143">
        <f t="shared" si="22"/>
        <v>9.7788932477630031</v>
      </c>
      <c r="I49" s="143">
        <f t="shared" si="23"/>
        <v>10.197730554939604</v>
      </c>
      <c r="J49" s="143">
        <f t="shared" si="24"/>
        <v>10.522062037590565</v>
      </c>
      <c r="K49" s="143">
        <f t="shared" si="25"/>
        <v>11.009993603323338</v>
      </c>
      <c r="L49" s="143">
        <f t="shared" si="26"/>
        <v>12.615893586542441</v>
      </c>
      <c r="M49" s="46"/>
      <c r="N49" s="143">
        <f t="shared" si="2"/>
        <v>9.6485953029073386</v>
      </c>
      <c r="O49" s="143">
        <f t="shared" si="3"/>
        <v>10.510532034042662</v>
      </c>
      <c r="P49" s="143">
        <f t="shared" si="4"/>
        <v>10.980195005816189</v>
      </c>
      <c r="Q49" s="143">
        <f t="shared" si="5"/>
        <v>11.35392973347977</v>
      </c>
      <c r="R49" s="143">
        <f t="shared" si="6"/>
        <v>11.663068123399947</v>
      </c>
      <c r="S49" s="143">
        <f t="shared" si="7"/>
        <v>11.916388570407721</v>
      </c>
      <c r="T49" s="143">
        <f t="shared" si="8"/>
        <v>12.330500223905226</v>
      </c>
      <c r="U49" s="143">
        <f t="shared" si="9"/>
        <v>13.68300720815118</v>
      </c>
      <c r="W49" s="146">
        <f>TxRt!B68</f>
        <v>8.1999999999999993</v>
      </c>
      <c r="X49" s="146">
        <f>TxRt!B111</f>
        <v>13.5</v>
      </c>
      <c r="Y49" s="146">
        <f>TxRt!B151</f>
        <v>17.8</v>
      </c>
      <c r="Z49" s="146">
        <f>TxRt!B191</f>
        <v>20.7</v>
      </c>
      <c r="AA49" s="146">
        <f>TxRt!B271</f>
        <v>23.1</v>
      </c>
      <c r="AB49" s="146">
        <f>TxRt!B311</f>
        <v>24.8</v>
      </c>
      <c r="AC49" s="146">
        <f>TxRt!B351</f>
        <v>26.7</v>
      </c>
      <c r="AD49" s="146">
        <f>TxRt!B391</f>
        <v>34.4</v>
      </c>
      <c r="AF49" s="60">
        <f>Inc!B65</f>
        <v>15500</v>
      </c>
      <c r="AG49" s="60">
        <f>Inc!B105</f>
        <v>36700</v>
      </c>
      <c r="AH49" s="60">
        <f>Inc!B145</f>
        <v>58700</v>
      </c>
      <c r="AI49" s="60">
        <f>Inc!B185</f>
        <v>85300</v>
      </c>
      <c r="AJ49" s="60">
        <f>Inc!B265</f>
        <v>116200</v>
      </c>
      <c r="AK49" s="60">
        <f>Inc!B305</f>
        <v>149700</v>
      </c>
      <c r="AL49" s="60">
        <f>Inc!B345</f>
        <v>226500</v>
      </c>
      <c r="AM49" s="60">
        <f>Inc!B385</f>
        <v>875900</v>
      </c>
      <c r="AO49" s="60">
        <f t="shared" si="10"/>
        <v>1270.9999999999998</v>
      </c>
      <c r="AP49" s="60">
        <f t="shared" si="11"/>
        <v>4954.5</v>
      </c>
      <c r="AQ49" s="60">
        <f t="shared" si="12"/>
        <v>10448.6</v>
      </c>
      <c r="AR49" s="60">
        <f t="shared" si="13"/>
        <v>17657.099999999999</v>
      </c>
      <c r="AS49" s="60">
        <f t="shared" si="14"/>
        <v>26842.2</v>
      </c>
      <c r="AT49" s="60">
        <f t="shared" si="15"/>
        <v>37125.599999999999</v>
      </c>
      <c r="AU49" s="60">
        <f t="shared" si="16"/>
        <v>60475.5</v>
      </c>
      <c r="AV49" s="60">
        <f t="shared" si="17"/>
        <v>301309.59999999998</v>
      </c>
      <c r="AX49" s="103" t="str">
        <f t="shared" si="27"/>
        <v>1994 8.2 13.5 17.8 20.7 23.1 24.8 26.7 34.4</v>
      </c>
      <c r="AZ49" s="131" t="str">
        <f t="shared" si="28"/>
        <v>1994 0.1 8.2 20</v>
      </c>
      <c r="BA49" s="131" t="str">
        <f t="shared" si="29"/>
        <v>1994 0.3 13.5 20</v>
      </c>
      <c r="BB49" s="131" t="str">
        <f t="shared" si="30"/>
        <v>1994 0.5 17.8 20</v>
      </c>
      <c r="BC49" s="131" t="str">
        <f t="shared" si="31"/>
        <v>1994 0.7 20.7 20</v>
      </c>
      <c r="BD49" s="131" t="str">
        <f t="shared" si="32"/>
        <v>1994 0.85 23.1 10</v>
      </c>
      <c r="BE49" s="131" t="str">
        <f t="shared" si="33"/>
        <v>1994 0.925 24.8 5</v>
      </c>
      <c r="BF49" s="131" t="str">
        <f t="shared" si="34"/>
        <v>1994 0.975 26.7 4</v>
      </c>
      <c r="BG49" s="131" t="str">
        <f t="shared" si="35"/>
        <v>1994 0.995 34.4 1</v>
      </c>
    </row>
    <row r="50" spans="1:59">
      <c r="A50" s="46">
        <f t="shared" si="36"/>
        <v>1995</v>
      </c>
      <c r="B50" s="45">
        <f t="shared" si="0"/>
        <v>0.50436887425171451</v>
      </c>
      <c r="C50" s="45">
        <f t="shared" si="0"/>
        <v>0.99251586343875564</v>
      </c>
      <c r="E50" s="143">
        <f t="shared" si="19"/>
        <v>7.1461420597090406</v>
      </c>
      <c r="F50" s="143">
        <f t="shared" si="20"/>
        <v>8.5805059616279902</v>
      </c>
      <c r="G50" s="143">
        <f t="shared" si="21"/>
        <v>9.2893733392642073</v>
      </c>
      <c r="H50" s="143">
        <f t="shared" si="22"/>
        <v>9.7997756771238258</v>
      </c>
      <c r="I50" s="143">
        <f t="shared" si="23"/>
        <v>10.233517654524203</v>
      </c>
      <c r="J50" s="143">
        <f t="shared" si="24"/>
        <v>10.565732128356258</v>
      </c>
      <c r="K50" s="143">
        <f t="shared" si="25"/>
        <v>11.079332450400694</v>
      </c>
      <c r="L50" s="143">
        <f t="shared" si="26"/>
        <v>12.734839164644395</v>
      </c>
      <c r="M50" s="46"/>
      <c r="N50" s="143">
        <f t="shared" si="2"/>
        <v>9.7231639984048464</v>
      </c>
      <c r="O50" s="143">
        <f t="shared" si="3"/>
        <v>10.561007555452923</v>
      </c>
      <c r="P50" s="143">
        <f t="shared" si="4"/>
        <v>11.015345067954259</v>
      </c>
      <c r="Q50" s="143">
        <f t="shared" si="5"/>
        <v>11.374812162840595</v>
      </c>
      <c r="R50" s="143">
        <f t="shared" si="6"/>
        <v>11.690234479940639</v>
      </c>
      <c r="S50" s="143">
        <f t="shared" si="7"/>
        <v>11.94405831982697</v>
      </c>
      <c r="T50" s="143">
        <f t="shared" si="8"/>
        <v>12.381285663086834</v>
      </c>
      <c r="U50" s="143">
        <f t="shared" si="9"/>
        <v>13.787522521424105</v>
      </c>
      <c r="W50" s="146">
        <f>TxRt!B69</f>
        <v>7.6</v>
      </c>
      <c r="X50" s="146">
        <f>TxRt!B112</f>
        <v>13.8</v>
      </c>
      <c r="Y50" s="146">
        <f>TxRt!B152</f>
        <v>17.8</v>
      </c>
      <c r="Z50" s="146">
        <f>TxRt!B192</f>
        <v>20.7</v>
      </c>
      <c r="AA50" s="146">
        <f>TxRt!B272</f>
        <v>23.3</v>
      </c>
      <c r="AB50" s="146">
        <f>TxRt!B312</f>
        <v>25.2</v>
      </c>
      <c r="AC50" s="146">
        <f>TxRt!B352</f>
        <v>27.2</v>
      </c>
      <c r="AD50" s="146">
        <f>TxRt!B392</f>
        <v>34.9</v>
      </c>
      <c r="AF50" s="60">
        <f>Inc!B66</f>
        <v>16700</v>
      </c>
      <c r="AG50" s="60">
        <f>Inc!B106</f>
        <v>38600</v>
      </c>
      <c r="AH50" s="60">
        <f>Inc!B146</f>
        <v>60800</v>
      </c>
      <c r="AI50" s="60">
        <f>Inc!B186</f>
        <v>87100</v>
      </c>
      <c r="AJ50" s="60">
        <f>Inc!B266</f>
        <v>119400</v>
      </c>
      <c r="AK50" s="60">
        <f>Inc!B306</f>
        <v>153900</v>
      </c>
      <c r="AL50" s="60">
        <f>Inc!B346</f>
        <v>238300</v>
      </c>
      <c r="AM50" s="60">
        <f>Inc!B386</f>
        <v>972400</v>
      </c>
      <c r="AO50" s="60">
        <f t="shared" si="10"/>
        <v>1269.2</v>
      </c>
      <c r="AP50" s="60">
        <f t="shared" si="11"/>
        <v>5326.8</v>
      </c>
      <c r="AQ50" s="60">
        <f t="shared" si="12"/>
        <v>10822.4</v>
      </c>
      <c r="AR50" s="60">
        <f t="shared" si="13"/>
        <v>18029.7</v>
      </c>
      <c r="AS50" s="60">
        <f t="shared" si="14"/>
        <v>27820.2</v>
      </c>
      <c r="AT50" s="60">
        <f t="shared" si="15"/>
        <v>38782.800000000003</v>
      </c>
      <c r="AU50" s="60">
        <f t="shared" si="16"/>
        <v>64817.599999999999</v>
      </c>
      <c r="AV50" s="60">
        <f t="shared" si="17"/>
        <v>339367.6</v>
      </c>
      <c r="AX50" s="103" t="str">
        <f t="shared" si="27"/>
        <v>1995 7.6 13.8 17.8 20.7 23.3 25.2 27.2 34.9</v>
      </c>
      <c r="AZ50" s="131" t="str">
        <f t="shared" si="28"/>
        <v>1995 0.1 7.6 20</v>
      </c>
      <c r="BA50" s="131" t="str">
        <f t="shared" si="29"/>
        <v>1995 0.3 13.8 20</v>
      </c>
      <c r="BB50" s="131" t="str">
        <f t="shared" si="30"/>
        <v>1995 0.5 17.8 20</v>
      </c>
      <c r="BC50" s="131" t="str">
        <f t="shared" si="31"/>
        <v>1995 0.7 20.7 20</v>
      </c>
      <c r="BD50" s="131" t="str">
        <f t="shared" si="32"/>
        <v>1995 0.85 23.3 10</v>
      </c>
      <c r="BE50" s="131" t="str">
        <f t="shared" si="33"/>
        <v>1995 0.925 25.2 5</v>
      </c>
      <c r="BF50" s="131" t="str">
        <f t="shared" si="34"/>
        <v>1995 0.975 27.2 4</v>
      </c>
      <c r="BG50" s="131" t="str">
        <f t="shared" si="35"/>
        <v>1995 0.995 34.9 1</v>
      </c>
    </row>
    <row r="51" spans="1:59">
      <c r="A51" s="46">
        <f t="shared" si="36"/>
        <v>1996</v>
      </c>
      <c r="B51" s="45">
        <f t="shared" si="0"/>
        <v>0.53716271449857289</v>
      </c>
      <c r="C51" s="45">
        <f t="shared" si="0"/>
        <v>0.98896260626761012</v>
      </c>
      <c r="E51" s="143">
        <f t="shared" si="19"/>
        <v>7.0349164245988156</v>
      </c>
      <c r="F51" s="143">
        <f t="shared" si="20"/>
        <v>8.5732332022989102</v>
      </c>
      <c r="G51" s="143">
        <f t="shared" si="21"/>
        <v>9.3040674812034272</v>
      </c>
      <c r="H51" s="143">
        <f t="shared" si="22"/>
        <v>9.8202309357852275</v>
      </c>
      <c r="I51" s="143">
        <f t="shared" si="23"/>
        <v>10.250758416399567</v>
      </c>
      <c r="J51" s="143">
        <f t="shared" si="24"/>
        <v>10.598749994352751</v>
      </c>
      <c r="K51" s="143">
        <f t="shared" si="25"/>
        <v>11.126556852553053</v>
      </c>
      <c r="L51" s="143">
        <f t="shared" si="26"/>
        <v>12.834508490020907</v>
      </c>
      <c r="M51" s="46"/>
      <c r="N51" s="143">
        <f t="shared" si="2"/>
        <v>9.7231639984048464</v>
      </c>
      <c r="O51" s="143">
        <f t="shared" si="3"/>
        <v>10.561007555452923</v>
      </c>
      <c r="P51" s="143">
        <f t="shared" si="4"/>
        <v>11.030039209893479</v>
      </c>
      <c r="Q51" s="143">
        <f t="shared" si="5"/>
        <v>11.395267421501996</v>
      </c>
      <c r="R51" s="143">
        <f t="shared" si="6"/>
        <v>11.711776323715394</v>
      </c>
      <c r="S51" s="143">
        <f t="shared" si="7"/>
        <v>11.981052334203104</v>
      </c>
      <c r="T51" s="143">
        <f t="shared" si="8"/>
        <v>12.421184025147118</v>
      </c>
      <c r="U51" s="143">
        <f t="shared" si="9"/>
        <v>13.890061289228571</v>
      </c>
      <c r="W51" s="146">
        <f>TxRt!B70</f>
        <v>6.8</v>
      </c>
      <c r="X51" s="146">
        <f>TxRt!B113</f>
        <v>13.7</v>
      </c>
      <c r="Y51" s="146">
        <f>TxRt!B153</f>
        <v>17.8</v>
      </c>
      <c r="Z51" s="146">
        <f>TxRt!B193</f>
        <v>20.7</v>
      </c>
      <c r="AA51" s="146">
        <f>TxRt!B273</f>
        <v>23.2</v>
      </c>
      <c r="AB51" s="146">
        <f>TxRt!B313</f>
        <v>25.1</v>
      </c>
      <c r="AC51" s="146">
        <f>TxRt!B353</f>
        <v>27.4</v>
      </c>
      <c r="AD51" s="146">
        <f>TxRt!B393</f>
        <v>34.799999999999997</v>
      </c>
      <c r="AF51" s="60">
        <f>Inc!B67</f>
        <v>16700</v>
      </c>
      <c r="AG51" s="60">
        <f>Inc!B107</f>
        <v>38600</v>
      </c>
      <c r="AH51" s="60">
        <f>Inc!B147</f>
        <v>61700</v>
      </c>
      <c r="AI51" s="60">
        <f>Inc!B187</f>
        <v>88900</v>
      </c>
      <c r="AJ51" s="60">
        <f>Inc!B267</f>
        <v>122000</v>
      </c>
      <c r="AK51" s="60">
        <f>Inc!B307</f>
        <v>159700</v>
      </c>
      <c r="AL51" s="60">
        <f>Inc!B347</f>
        <v>248000</v>
      </c>
      <c r="AM51" s="60">
        <f>Inc!B387</f>
        <v>1077400</v>
      </c>
      <c r="AO51" s="60">
        <f t="shared" si="10"/>
        <v>1135.5999999999999</v>
      </c>
      <c r="AP51" s="60">
        <f t="shared" si="11"/>
        <v>5288.2</v>
      </c>
      <c r="AQ51" s="60">
        <f t="shared" si="12"/>
        <v>10982.6</v>
      </c>
      <c r="AR51" s="60">
        <f t="shared" si="13"/>
        <v>18402.3</v>
      </c>
      <c r="AS51" s="60">
        <f t="shared" si="14"/>
        <v>28304</v>
      </c>
      <c r="AT51" s="60">
        <f t="shared" si="15"/>
        <v>40084.699999999997</v>
      </c>
      <c r="AU51" s="60">
        <f t="shared" si="16"/>
        <v>67952</v>
      </c>
      <c r="AV51" s="60">
        <f t="shared" si="17"/>
        <v>374935.2</v>
      </c>
      <c r="AX51" s="103" t="str">
        <f t="shared" si="27"/>
        <v>1996 6.8 13.7 17.8 20.7 23.2 25.1 27.4 34.8</v>
      </c>
      <c r="AZ51" s="131" t="str">
        <f t="shared" si="28"/>
        <v>1996 0.1 6.8 20</v>
      </c>
      <c r="BA51" s="131" t="str">
        <f t="shared" si="29"/>
        <v>1996 0.3 13.7 20</v>
      </c>
      <c r="BB51" s="131" t="str">
        <f t="shared" si="30"/>
        <v>1996 0.5 17.8 20</v>
      </c>
      <c r="BC51" s="131" t="str">
        <f t="shared" si="31"/>
        <v>1996 0.7 20.7 20</v>
      </c>
      <c r="BD51" s="131" t="str">
        <f t="shared" si="32"/>
        <v>1996 0.85 23.2 10</v>
      </c>
      <c r="BE51" s="131" t="str">
        <f t="shared" si="33"/>
        <v>1996 0.925 25.1 5</v>
      </c>
      <c r="BF51" s="131" t="str">
        <f t="shared" si="34"/>
        <v>1996 0.975 27.4 4</v>
      </c>
      <c r="BG51" s="131" t="str">
        <f t="shared" si="35"/>
        <v>1996 0.995 34.8 1</v>
      </c>
    </row>
    <row r="52" spans="1:59">
      <c r="A52" s="46">
        <f t="shared" si="36"/>
        <v>1997</v>
      </c>
      <c r="B52" s="45">
        <f t="shared" si="0"/>
        <v>0.52313350788626956</v>
      </c>
      <c r="C52" s="45">
        <f t="shared" si="0"/>
        <v>0.98728426542946734</v>
      </c>
      <c r="E52" s="143">
        <f t="shared" si="19"/>
        <v>7.1163941440934648</v>
      </c>
      <c r="F52" s="143">
        <f t="shared" si="20"/>
        <v>8.6305218767232414</v>
      </c>
      <c r="G52" s="143">
        <f t="shared" si="21"/>
        <v>9.3416317576573586</v>
      </c>
      <c r="H52" s="143">
        <f t="shared" si="22"/>
        <v>9.8435782997822194</v>
      </c>
      <c r="I52" s="143">
        <f t="shared" si="23"/>
        <v>10.287098931275692</v>
      </c>
      <c r="J52" s="143">
        <f t="shared" si="24"/>
        <v>10.640814284707822</v>
      </c>
      <c r="K52" s="143">
        <f t="shared" si="25"/>
        <v>11.19786397369468</v>
      </c>
      <c r="L52" s="143">
        <f t="shared" si="26"/>
        <v>12.949213551403464</v>
      </c>
      <c r="M52" s="46"/>
      <c r="N52" s="143">
        <f t="shared" si="2"/>
        <v>9.7756541810262423</v>
      </c>
      <c r="O52" s="143">
        <f t="shared" si="3"/>
        <v>10.596634733096073</v>
      </c>
      <c r="P52" s="143">
        <f t="shared" si="4"/>
        <v>11.05089000537367</v>
      </c>
      <c r="Q52" s="143">
        <f t="shared" si="5"/>
        <v>11.418614785498987</v>
      </c>
      <c r="R52" s="143">
        <f t="shared" si="6"/>
        <v>11.735268696113669</v>
      </c>
      <c r="S52" s="143">
        <f t="shared" si="7"/>
        <v>12.019140476178535</v>
      </c>
      <c r="T52" s="143">
        <f t="shared" si="8"/>
        <v>12.485218386959668</v>
      </c>
      <c r="U52" s="143">
        <f t="shared" si="9"/>
        <v>14.033922934902582</v>
      </c>
      <c r="W52" s="146">
        <f>TxRt!B71</f>
        <v>7</v>
      </c>
      <c r="X52" s="146">
        <f>TxRt!B114</f>
        <v>14</v>
      </c>
      <c r="Y52" s="146">
        <f>TxRt!B154</f>
        <v>18.100000000000001</v>
      </c>
      <c r="Z52" s="146">
        <f>TxRt!B194</f>
        <v>20.7</v>
      </c>
      <c r="AA52" s="146">
        <f>TxRt!B274</f>
        <v>23.5</v>
      </c>
      <c r="AB52" s="146">
        <f>TxRt!B314</f>
        <v>25.2</v>
      </c>
      <c r="AC52" s="146">
        <f>TxRt!B354</f>
        <v>27.6</v>
      </c>
      <c r="AD52" s="146">
        <f>TxRt!B394</f>
        <v>33.799999999999997</v>
      </c>
      <c r="AF52" s="60">
        <f>Inc!B68</f>
        <v>17600</v>
      </c>
      <c r="AG52" s="60">
        <f>Inc!B108</f>
        <v>40000</v>
      </c>
      <c r="AH52" s="60">
        <f>Inc!B148</f>
        <v>63000</v>
      </c>
      <c r="AI52" s="60">
        <f>Inc!B188</f>
        <v>91000</v>
      </c>
      <c r="AJ52" s="60">
        <f>Inc!B268</f>
        <v>124900</v>
      </c>
      <c r="AK52" s="60">
        <f>Inc!B308</f>
        <v>165900</v>
      </c>
      <c r="AL52" s="60">
        <f>Inc!B348</f>
        <v>264400</v>
      </c>
      <c r="AM52" s="60">
        <f>Inc!B388</f>
        <v>1244100</v>
      </c>
      <c r="AO52" s="60">
        <f t="shared" si="10"/>
        <v>1232</v>
      </c>
      <c r="AP52" s="60">
        <f t="shared" si="11"/>
        <v>5600</v>
      </c>
      <c r="AQ52" s="60">
        <f t="shared" si="12"/>
        <v>11403</v>
      </c>
      <c r="AR52" s="60">
        <f t="shared" si="13"/>
        <v>18837</v>
      </c>
      <c r="AS52" s="60">
        <f t="shared" si="14"/>
        <v>29351.5</v>
      </c>
      <c r="AT52" s="60">
        <f t="shared" si="15"/>
        <v>41806.800000000003</v>
      </c>
      <c r="AU52" s="60">
        <f t="shared" si="16"/>
        <v>72974.399999999994</v>
      </c>
      <c r="AV52" s="60">
        <f t="shared" si="17"/>
        <v>420505.8</v>
      </c>
      <c r="AX52" s="103" t="str">
        <f t="shared" si="27"/>
        <v>1997 7 14 18.1 20.7 23.5 25.2 27.6 33.8</v>
      </c>
      <c r="AZ52" s="131" t="str">
        <f t="shared" si="28"/>
        <v>1997 0.1 7 20</v>
      </c>
      <c r="BA52" s="131" t="str">
        <f t="shared" si="29"/>
        <v>1997 0.3 14 20</v>
      </c>
      <c r="BB52" s="131" t="str">
        <f t="shared" si="30"/>
        <v>1997 0.5 18.1 20</v>
      </c>
      <c r="BC52" s="131" t="str">
        <f t="shared" si="31"/>
        <v>1997 0.7 20.7 20</v>
      </c>
      <c r="BD52" s="131" t="str">
        <f t="shared" si="32"/>
        <v>1997 0.85 23.5 10</v>
      </c>
      <c r="BE52" s="131" t="str">
        <f t="shared" si="33"/>
        <v>1997 0.925 25.2 5</v>
      </c>
      <c r="BF52" s="131" t="str">
        <f t="shared" si="34"/>
        <v>1997 0.975 27.6 4</v>
      </c>
      <c r="BG52" s="131" t="str">
        <f t="shared" si="35"/>
        <v>1997 0.995 33.8 1</v>
      </c>
    </row>
    <row r="53" spans="1:59">
      <c r="A53" s="46">
        <f t="shared" si="36"/>
        <v>1998</v>
      </c>
      <c r="B53" s="45">
        <f t="shared" si="0"/>
        <v>0.52895512606139139</v>
      </c>
      <c r="C53" s="45">
        <f t="shared" si="0"/>
        <v>0.98699612309417262</v>
      </c>
      <c r="E53" s="143">
        <f t="shared" si="19"/>
        <v>7.167963374433163</v>
      </c>
      <c r="F53" s="143">
        <f t="shared" si="20"/>
        <v>8.6331256268790035</v>
      </c>
      <c r="G53" s="143">
        <f t="shared" si="21"/>
        <v>9.3365147681471363</v>
      </c>
      <c r="H53" s="143">
        <f t="shared" si="22"/>
        <v>9.8764760032892784</v>
      </c>
      <c r="I53" s="143">
        <f t="shared" si="23"/>
        <v>10.32439284513217</v>
      </c>
      <c r="J53" s="143">
        <f t="shared" si="24"/>
        <v>10.680985072664056</v>
      </c>
      <c r="K53" s="143">
        <f t="shared" si="25"/>
        <v>11.245056477276288</v>
      </c>
      <c r="L53" s="143">
        <f t="shared" si="26"/>
        <v>13.034213898476857</v>
      </c>
      <c r="M53" s="46"/>
      <c r="N53" s="143">
        <f t="shared" si="2"/>
        <v>9.8416121488180401</v>
      </c>
      <c r="O53" s="143">
        <f t="shared" si="3"/>
        <v>10.643041105910228</v>
      </c>
      <c r="P53" s="143">
        <f t="shared" si="4"/>
        <v>11.085214747914744</v>
      </c>
      <c r="Q53" s="143">
        <f t="shared" si="5"/>
        <v>11.456355113481834</v>
      </c>
      <c r="R53" s="143">
        <f t="shared" si="6"/>
        <v>11.776827008756605</v>
      </c>
      <c r="S53" s="143">
        <f t="shared" si="7"/>
        <v>12.05931126413477</v>
      </c>
      <c r="T53" s="143">
        <f t="shared" si="8"/>
        <v>12.539683649870355</v>
      </c>
      <c r="U53" s="143">
        <f t="shared" si="9"/>
        <v>14.161225661666665</v>
      </c>
      <c r="W53" s="146">
        <f>TxRt!B72</f>
        <v>6.9</v>
      </c>
      <c r="X53" s="146">
        <f>TxRt!B115</f>
        <v>13.4</v>
      </c>
      <c r="Y53" s="146">
        <f>TxRt!B155</f>
        <v>17.399999999999999</v>
      </c>
      <c r="Z53" s="146">
        <f>TxRt!B195</f>
        <v>20.6</v>
      </c>
      <c r="AA53" s="146">
        <f>TxRt!B275</f>
        <v>23.4</v>
      </c>
      <c r="AB53" s="146">
        <f>TxRt!B315</f>
        <v>25.2</v>
      </c>
      <c r="AC53" s="146">
        <f>TxRt!B355</f>
        <v>27.4</v>
      </c>
      <c r="AD53" s="146">
        <f>TxRt!B395</f>
        <v>32.4</v>
      </c>
      <c r="AF53" s="60">
        <f>Inc!B69</f>
        <v>18800</v>
      </c>
      <c r="AG53" s="60">
        <f>Inc!B109</f>
        <v>41900</v>
      </c>
      <c r="AH53" s="60">
        <f>Inc!B149</f>
        <v>65200</v>
      </c>
      <c r="AI53" s="60">
        <f>Inc!B189</f>
        <v>94500</v>
      </c>
      <c r="AJ53" s="60">
        <f>Inc!B269</f>
        <v>130200</v>
      </c>
      <c r="AK53" s="60">
        <f>Inc!B309</f>
        <v>172700</v>
      </c>
      <c r="AL53" s="60">
        <f>Inc!B349</f>
        <v>279200</v>
      </c>
      <c r="AM53" s="60">
        <f>Inc!B389</f>
        <v>1413000</v>
      </c>
      <c r="AO53" s="60">
        <f t="shared" si="10"/>
        <v>1297.2</v>
      </c>
      <c r="AP53" s="60">
        <f t="shared" si="11"/>
        <v>5614.6</v>
      </c>
      <c r="AQ53" s="60">
        <f t="shared" si="12"/>
        <v>11344.8</v>
      </c>
      <c r="AR53" s="60">
        <f t="shared" si="13"/>
        <v>19467.000000000004</v>
      </c>
      <c r="AS53" s="60">
        <f t="shared" si="14"/>
        <v>30466.799999999999</v>
      </c>
      <c r="AT53" s="60">
        <f t="shared" si="15"/>
        <v>43520.4</v>
      </c>
      <c r="AU53" s="60">
        <f t="shared" si="16"/>
        <v>76500.800000000003</v>
      </c>
      <c r="AV53" s="60">
        <f t="shared" si="17"/>
        <v>457812</v>
      </c>
      <c r="AX53" s="103" t="str">
        <f t="shared" si="27"/>
        <v>1998 6.9 13.4 17.4 20.6 23.4 25.2 27.4 32.4</v>
      </c>
      <c r="AZ53" s="131" t="str">
        <f t="shared" si="28"/>
        <v>1998 0.1 6.9 20</v>
      </c>
      <c r="BA53" s="131" t="str">
        <f t="shared" si="29"/>
        <v>1998 0.3 13.4 20</v>
      </c>
      <c r="BB53" s="131" t="str">
        <f t="shared" si="30"/>
        <v>1998 0.5 17.4 20</v>
      </c>
      <c r="BC53" s="131" t="str">
        <f t="shared" si="31"/>
        <v>1998 0.7 20.6 20</v>
      </c>
      <c r="BD53" s="131" t="str">
        <f t="shared" si="32"/>
        <v>1998 0.85 23.4 10</v>
      </c>
      <c r="BE53" s="131" t="str">
        <f t="shared" si="33"/>
        <v>1998 0.925 25.2 5</v>
      </c>
      <c r="BF53" s="131" t="str">
        <f t="shared" si="34"/>
        <v>1998 0.975 27.4 4</v>
      </c>
      <c r="BG53" s="131" t="str">
        <f t="shared" si="35"/>
        <v>1998 0.995 32.4 1</v>
      </c>
    </row>
    <row r="54" spans="1:59">
      <c r="A54" s="46">
        <f t="shared" si="36"/>
        <v>1999</v>
      </c>
      <c r="B54" s="45">
        <f t="shared" ref="B54:C71" si="37">B113</f>
        <v>0.51348774268706343</v>
      </c>
      <c r="C54" s="45">
        <f t="shared" si="37"/>
        <v>0.98765205942651535</v>
      </c>
      <c r="E54" s="143">
        <f t="shared" si="19"/>
        <v>7.2470805845857562</v>
      </c>
      <c r="F54" s="143">
        <f t="shared" si="20"/>
        <v>8.6904403669344834</v>
      </c>
      <c r="G54" s="143">
        <f t="shared" si="21"/>
        <v>9.3709700179011506</v>
      </c>
      <c r="H54" s="143">
        <f t="shared" si="22"/>
        <v>9.9074297717687525</v>
      </c>
      <c r="I54" s="143">
        <f t="shared" si="23"/>
        <v>10.376293501613306</v>
      </c>
      <c r="J54" s="143">
        <f t="shared" si="24"/>
        <v>10.733108667195946</v>
      </c>
      <c r="K54" s="143">
        <f t="shared" si="25"/>
        <v>11.313596091755274</v>
      </c>
      <c r="L54" s="143">
        <f t="shared" si="26"/>
        <v>13.127862628765568</v>
      </c>
      <c r="M54" s="46"/>
      <c r="N54" s="143">
        <f t="shared" si="2"/>
        <v>9.8781697445518386</v>
      </c>
      <c r="O54" s="143">
        <f t="shared" si="3"/>
        <v>10.678214720088496</v>
      </c>
      <c r="P54" s="143">
        <f t="shared" si="4"/>
        <v>11.113939322959773</v>
      </c>
      <c r="Q54" s="143">
        <f t="shared" si="5"/>
        <v>11.48246625748552</v>
      </c>
      <c r="R54" s="143">
        <f t="shared" si="6"/>
        <v>11.815988639460311</v>
      </c>
      <c r="S54" s="143">
        <f t="shared" si="7"/>
        <v>12.099600401019657</v>
      </c>
      <c r="T54" s="143">
        <f t="shared" si="8"/>
        <v>12.586561767568162</v>
      </c>
      <c r="U54" s="143">
        <f t="shared" si="9"/>
        <v>14.248720526380998</v>
      </c>
      <c r="W54" s="146">
        <f>TxRt!B73</f>
        <v>7.2</v>
      </c>
      <c r="X54" s="146">
        <f>TxRt!B116</f>
        <v>13.7</v>
      </c>
      <c r="Y54" s="146">
        <f>TxRt!B156</f>
        <v>17.5</v>
      </c>
      <c r="Z54" s="146">
        <f>TxRt!B196</f>
        <v>20.7</v>
      </c>
      <c r="AA54" s="146">
        <f>TxRt!B276</f>
        <v>23.7</v>
      </c>
      <c r="AB54" s="146">
        <f>TxRt!B316</f>
        <v>25.5</v>
      </c>
      <c r="AC54" s="146">
        <f>TxRt!B356</f>
        <v>28</v>
      </c>
      <c r="AD54" s="146">
        <f>TxRt!B396</f>
        <v>32.6</v>
      </c>
      <c r="AF54" s="60">
        <f>Inc!B70</f>
        <v>19500</v>
      </c>
      <c r="AG54" s="60">
        <f>Inc!B110</f>
        <v>43400</v>
      </c>
      <c r="AH54" s="60">
        <f>Inc!B150</f>
        <v>67100</v>
      </c>
      <c r="AI54" s="60">
        <f>Inc!B190</f>
        <v>97000</v>
      </c>
      <c r="AJ54" s="60">
        <f>Inc!B270</f>
        <v>135400</v>
      </c>
      <c r="AK54" s="60">
        <f>Inc!B310</f>
        <v>179800</v>
      </c>
      <c r="AL54" s="60">
        <f>Inc!B350</f>
        <v>292600</v>
      </c>
      <c r="AM54" s="60">
        <f>Inc!B390</f>
        <v>1542200</v>
      </c>
      <c r="AO54" s="60">
        <f t="shared" si="10"/>
        <v>1404</v>
      </c>
      <c r="AP54" s="60">
        <f t="shared" si="11"/>
        <v>5945.8</v>
      </c>
      <c r="AQ54" s="60">
        <f t="shared" si="12"/>
        <v>11742.5</v>
      </c>
      <c r="AR54" s="60">
        <f t="shared" si="13"/>
        <v>20079</v>
      </c>
      <c r="AS54" s="60">
        <f t="shared" si="14"/>
        <v>32089.8</v>
      </c>
      <c r="AT54" s="60">
        <f t="shared" si="15"/>
        <v>45849</v>
      </c>
      <c r="AU54" s="60">
        <f t="shared" si="16"/>
        <v>81928</v>
      </c>
      <c r="AV54" s="60">
        <f t="shared" si="17"/>
        <v>502757.2</v>
      </c>
      <c r="AX54" s="103" t="str">
        <f t="shared" si="27"/>
        <v>1999 7.2 13.7 17.5 20.7 23.7 25.5 28 32.6</v>
      </c>
      <c r="AZ54" s="131" t="str">
        <f t="shared" si="28"/>
        <v>1999 0.1 7.2 20</v>
      </c>
      <c r="BA54" s="131" t="str">
        <f t="shared" si="29"/>
        <v>1999 0.3 13.7 20</v>
      </c>
      <c r="BB54" s="131" t="str">
        <f t="shared" si="30"/>
        <v>1999 0.5 17.5 20</v>
      </c>
      <c r="BC54" s="131" t="str">
        <f t="shared" si="31"/>
        <v>1999 0.7 20.7 20</v>
      </c>
      <c r="BD54" s="131" t="str">
        <f t="shared" si="32"/>
        <v>1999 0.85 23.7 10</v>
      </c>
      <c r="BE54" s="131" t="str">
        <f t="shared" si="33"/>
        <v>1999 0.925 25.5 5</v>
      </c>
      <c r="BF54" s="131" t="str">
        <f t="shared" si="34"/>
        <v>1999 0.975 28 4</v>
      </c>
      <c r="BG54" s="131" t="str">
        <f t="shared" si="35"/>
        <v>1999 0.995 32.6 1</v>
      </c>
    </row>
    <row r="55" spans="1:59">
      <c r="A55" s="46">
        <f t="shared" si="36"/>
        <v>2000</v>
      </c>
      <c r="B55" s="45">
        <f t="shared" si="37"/>
        <v>0.53520363285059402</v>
      </c>
      <c r="C55" s="45">
        <f t="shared" si="37"/>
        <v>0.98475347670075331</v>
      </c>
      <c r="E55" s="143">
        <f t="shared" si="19"/>
        <v>7.1497598379372658</v>
      </c>
      <c r="F55" s="143">
        <f t="shared" si="20"/>
        <v>8.6854158238306898</v>
      </c>
      <c r="G55" s="143">
        <f t="shared" si="21"/>
        <v>9.3654191923762635</v>
      </c>
      <c r="H55" s="143">
        <f t="shared" si="22"/>
        <v>9.9248037397048048</v>
      </c>
      <c r="I55" s="143">
        <f t="shared" si="23"/>
        <v>10.396038201550377</v>
      </c>
      <c r="J55" s="143">
        <f t="shared" si="24"/>
        <v>10.76377919829018</v>
      </c>
      <c r="K55" s="143">
        <f t="shared" si="25"/>
        <v>11.34355961933649</v>
      </c>
      <c r="L55" s="143">
        <f t="shared" si="26"/>
        <v>13.213208330176746</v>
      </c>
      <c r="M55" s="46"/>
      <c r="N55" s="143">
        <f t="shared" si="2"/>
        <v>9.8678603748929774</v>
      </c>
      <c r="O55" s="143">
        <f t="shared" si="3"/>
        <v>10.680516217076775</v>
      </c>
      <c r="P55" s="143">
        <f t="shared" si="4"/>
        <v>11.119882876860622</v>
      </c>
      <c r="Q55" s="143">
        <f t="shared" si="5"/>
        <v>11.499840225421574</v>
      </c>
      <c r="R55" s="143">
        <f t="shared" si="6"/>
        <v>11.835733339397384</v>
      </c>
      <c r="S55" s="143">
        <f t="shared" si="7"/>
        <v>12.130270932113891</v>
      </c>
      <c r="T55" s="143">
        <f t="shared" si="8"/>
        <v>12.616525295149378</v>
      </c>
      <c r="U55" s="143">
        <f t="shared" si="9"/>
        <v>14.343311285936226</v>
      </c>
      <c r="W55" s="146">
        <f>TxRt!B74</f>
        <v>6.6</v>
      </c>
      <c r="X55" s="146">
        <f>TxRt!B117</f>
        <v>13.6</v>
      </c>
      <c r="Y55" s="146">
        <f>TxRt!B157</f>
        <v>17.3</v>
      </c>
      <c r="Z55" s="146">
        <f>TxRt!B197</f>
        <v>20.7</v>
      </c>
      <c r="AA55" s="146">
        <f>TxRt!B277</f>
        <v>23.7</v>
      </c>
      <c r="AB55" s="146">
        <f>TxRt!B317</f>
        <v>25.5</v>
      </c>
      <c r="AC55" s="146">
        <f>TxRt!B357</f>
        <v>28</v>
      </c>
      <c r="AD55" s="146">
        <f>TxRt!B397</f>
        <v>32.299999999999997</v>
      </c>
      <c r="AF55" s="60">
        <f>Inc!B71</f>
        <v>19300</v>
      </c>
      <c r="AG55" s="60">
        <f>Inc!B111</f>
        <v>43500</v>
      </c>
      <c r="AH55" s="60">
        <f>Inc!B151</f>
        <v>67500</v>
      </c>
      <c r="AI55" s="60">
        <f>Inc!B191</f>
        <v>98700</v>
      </c>
      <c r="AJ55" s="60">
        <f>Inc!B271</f>
        <v>138100</v>
      </c>
      <c r="AK55" s="60">
        <f>Inc!B311</f>
        <v>185400</v>
      </c>
      <c r="AL55" s="60">
        <f>Inc!B351</f>
        <v>301500</v>
      </c>
      <c r="AM55" s="60">
        <f>Inc!B391</f>
        <v>1695200</v>
      </c>
      <c r="AO55" s="60">
        <f t="shared" si="10"/>
        <v>1273.8</v>
      </c>
      <c r="AP55" s="60">
        <f t="shared" si="11"/>
        <v>5916</v>
      </c>
      <c r="AQ55" s="60">
        <f t="shared" si="12"/>
        <v>11677.5</v>
      </c>
      <c r="AR55" s="60">
        <f t="shared" si="13"/>
        <v>20430.900000000001</v>
      </c>
      <c r="AS55" s="60">
        <f t="shared" si="14"/>
        <v>32729.7</v>
      </c>
      <c r="AT55" s="60">
        <f t="shared" si="15"/>
        <v>47277</v>
      </c>
      <c r="AU55" s="60">
        <f t="shared" si="16"/>
        <v>84420</v>
      </c>
      <c r="AV55" s="60">
        <f t="shared" si="17"/>
        <v>547549.6</v>
      </c>
      <c r="AX55" s="103" t="str">
        <f t="shared" si="27"/>
        <v>2000 6.6 13.6 17.3 20.7 23.7 25.5 28 32.3</v>
      </c>
      <c r="AZ55" s="131" t="str">
        <f t="shared" si="28"/>
        <v>2000 0.1 6.6 20</v>
      </c>
      <c r="BA55" s="131" t="str">
        <f t="shared" si="29"/>
        <v>2000 0.3 13.6 20</v>
      </c>
      <c r="BB55" s="131" t="str">
        <f t="shared" si="30"/>
        <v>2000 0.5 17.3 20</v>
      </c>
      <c r="BC55" s="131" t="str">
        <f t="shared" si="31"/>
        <v>2000 0.7 20.7 20</v>
      </c>
      <c r="BD55" s="131" t="str">
        <f t="shared" si="32"/>
        <v>2000 0.85 23.7 10</v>
      </c>
      <c r="BE55" s="131" t="str">
        <f t="shared" si="33"/>
        <v>2000 0.925 25.5 5</v>
      </c>
      <c r="BF55" s="131" t="str">
        <f t="shared" si="34"/>
        <v>2000 0.975 28 4</v>
      </c>
      <c r="BG55" s="131" t="str">
        <f t="shared" si="35"/>
        <v>2000 0.995 32.3 1</v>
      </c>
    </row>
    <row r="56" spans="1:59">
      <c r="A56" s="46">
        <f t="shared" si="36"/>
        <v>2001</v>
      </c>
      <c r="B56" s="45">
        <f t="shared" si="37"/>
        <v>0.56914564594090522</v>
      </c>
      <c r="C56" s="45">
        <f t="shared" si="37"/>
        <v>0.98940476143875111</v>
      </c>
      <c r="E56" s="143">
        <f t="shared" si="19"/>
        <v>7.0553128433397516</v>
      </c>
      <c r="F56" s="143">
        <f t="shared" si="20"/>
        <v>8.5210457607317274</v>
      </c>
      <c r="G56" s="143">
        <f t="shared" si="21"/>
        <v>9.2639190528774122</v>
      </c>
      <c r="H56" s="143">
        <f t="shared" si="22"/>
        <v>9.842542566908687</v>
      </c>
      <c r="I56" s="143">
        <f t="shared" si="23"/>
        <v>10.333889145934323</v>
      </c>
      <c r="J56" s="143">
        <f t="shared" si="24"/>
        <v>10.697732676888851</v>
      </c>
      <c r="K56" s="143">
        <f t="shared" si="25"/>
        <v>11.241720234077242</v>
      </c>
      <c r="L56" s="143">
        <f t="shared" si="26"/>
        <v>12.980025319691562</v>
      </c>
      <c r="M56" s="46"/>
      <c r="N56" s="143">
        <f t="shared" si="2"/>
        <v>9.8521942581485771</v>
      </c>
      <c r="O56" s="143">
        <f t="shared" si="3"/>
        <v>10.666627104916108</v>
      </c>
      <c r="P56" s="143">
        <f t="shared" si="4"/>
        <v>11.115428526511241</v>
      </c>
      <c r="Q56" s="143">
        <f t="shared" si="5"/>
        <v>11.487607656985938</v>
      </c>
      <c r="R56" s="143">
        <f t="shared" si="6"/>
        <v>11.825544022712041</v>
      </c>
      <c r="S56" s="143">
        <f t="shared" si="7"/>
        <v>12.100156419938624</v>
      </c>
      <c r="T56" s="143">
        <f t="shared" si="8"/>
        <v>12.558488532548523</v>
      </c>
      <c r="U56" s="143">
        <f t="shared" si="9"/>
        <v>14.119459602879926</v>
      </c>
      <c r="W56" s="146">
        <f>TxRt!B75</f>
        <v>6.1</v>
      </c>
      <c r="X56" s="146">
        <f>TxRt!B118</f>
        <v>11.7</v>
      </c>
      <c r="Y56" s="146">
        <f>TxRt!B158</f>
        <v>15.7</v>
      </c>
      <c r="Z56" s="146">
        <f>TxRt!B198</f>
        <v>19.3</v>
      </c>
      <c r="AA56" s="146">
        <f>TxRt!B278</f>
        <v>22.5</v>
      </c>
      <c r="AB56" s="146">
        <f>TxRt!B318</f>
        <v>24.6</v>
      </c>
      <c r="AC56" s="146">
        <f>TxRt!B358</f>
        <v>26.8</v>
      </c>
      <c r="AD56" s="146">
        <f>TxRt!B398</f>
        <v>32</v>
      </c>
      <c r="AF56" s="60">
        <f>Inc!B72</f>
        <v>19000</v>
      </c>
      <c r="AG56" s="60">
        <f>Inc!B112</f>
        <v>42900</v>
      </c>
      <c r="AH56" s="60">
        <f>Inc!B152</f>
        <v>67200</v>
      </c>
      <c r="AI56" s="60">
        <f>Inc!B192</f>
        <v>97500</v>
      </c>
      <c r="AJ56" s="60">
        <f>Inc!B272</f>
        <v>136700</v>
      </c>
      <c r="AK56" s="60">
        <f>Inc!B312</f>
        <v>179900</v>
      </c>
      <c r="AL56" s="60">
        <f>Inc!B352</f>
        <v>284500</v>
      </c>
      <c r="AM56" s="60">
        <f>Inc!B392</f>
        <v>1355200</v>
      </c>
      <c r="AO56" s="60">
        <f t="shared" si="10"/>
        <v>1159</v>
      </c>
      <c r="AP56" s="60">
        <f t="shared" si="11"/>
        <v>5019.2999999999993</v>
      </c>
      <c r="AQ56" s="60">
        <f t="shared" si="12"/>
        <v>10550.4</v>
      </c>
      <c r="AR56" s="60">
        <f t="shared" si="13"/>
        <v>18817.5</v>
      </c>
      <c r="AS56" s="60">
        <f t="shared" si="14"/>
        <v>30757.5</v>
      </c>
      <c r="AT56" s="60">
        <f t="shared" si="15"/>
        <v>44255.4</v>
      </c>
      <c r="AU56" s="60">
        <f t="shared" si="16"/>
        <v>76246</v>
      </c>
      <c r="AV56" s="60">
        <f t="shared" si="17"/>
        <v>433664</v>
      </c>
      <c r="AX56" s="103" t="str">
        <f t="shared" si="27"/>
        <v>2001 6.1 11.7 15.7 19.3 22.5 24.6 26.8 32</v>
      </c>
      <c r="AZ56" s="131" t="str">
        <f t="shared" si="28"/>
        <v>2001 0.1 6.1 20</v>
      </c>
      <c r="BA56" s="131" t="str">
        <f t="shared" si="29"/>
        <v>2001 0.3 11.7 20</v>
      </c>
      <c r="BB56" s="131" t="str">
        <f t="shared" si="30"/>
        <v>2001 0.5 15.7 20</v>
      </c>
      <c r="BC56" s="131" t="str">
        <f t="shared" si="31"/>
        <v>2001 0.7 19.3 20</v>
      </c>
      <c r="BD56" s="131" t="str">
        <f t="shared" si="32"/>
        <v>2001 0.85 22.5 10</v>
      </c>
      <c r="BE56" s="131" t="str">
        <f t="shared" si="33"/>
        <v>2001 0.925 24.6 5</v>
      </c>
      <c r="BF56" s="131" t="str">
        <f t="shared" si="34"/>
        <v>2001 0.975 26.8 4</v>
      </c>
      <c r="BG56" s="131" t="str">
        <f t="shared" si="35"/>
        <v>2001 0.995 32 1</v>
      </c>
    </row>
    <row r="57" spans="1:59">
      <c r="A57" s="46">
        <f t="shared" si="36"/>
        <v>2002</v>
      </c>
      <c r="B57" s="45">
        <f t="shared" si="37"/>
        <v>0.59868921625498928</v>
      </c>
      <c r="C57" s="45">
        <f t="shared" si="37"/>
        <v>0.98938824338017228</v>
      </c>
      <c r="E57" s="143">
        <f t="shared" si="19"/>
        <v>6.959208560571053</v>
      </c>
      <c r="F57" s="143">
        <f t="shared" si="20"/>
        <v>8.433376705323127</v>
      </c>
      <c r="G57" s="143">
        <f t="shared" si="21"/>
        <v>9.2038996751461966</v>
      </c>
      <c r="H57" s="143">
        <f t="shared" si="22"/>
        <v>9.7826185100551388</v>
      </c>
      <c r="I57" s="143">
        <f t="shared" si="23"/>
        <v>10.285315490878139</v>
      </c>
      <c r="J57" s="143">
        <f t="shared" si="24"/>
        <v>10.650677743546954</v>
      </c>
      <c r="K57" s="143">
        <f t="shared" si="25"/>
        <v>11.174724535019328</v>
      </c>
      <c r="L57" s="143">
        <f t="shared" si="26"/>
        <v>12.856017657451481</v>
      </c>
      <c r="M57" s="46"/>
      <c r="N57" s="143">
        <f t="shared" si="2"/>
        <v>9.8416121488180401</v>
      </c>
      <c r="O57" s="143">
        <f t="shared" si="3"/>
        <v>10.640651618512848</v>
      </c>
      <c r="P57" s="143">
        <f t="shared" si="4"/>
        <v>11.094375117313408</v>
      </c>
      <c r="Q57" s="143">
        <f t="shared" si="5"/>
        <v>11.470017963958952</v>
      </c>
      <c r="R57" s="143">
        <f t="shared" si="6"/>
        <v>11.808575707071187</v>
      </c>
      <c r="S57" s="143">
        <f t="shared" si="7"/>
        <v>12.086162348857616</v>
      </c>
      <c r="T57" s="143">
        <f t="shared" si="8"/>
        <v>12.517959406678772</v>
      </c>
      <c r="U57" s="143">
        <f t="shared" si="9"/>
        <v>13.998581833648775</v>
      </c>
      <c r="W57" s="146">
        <f>TxRt!B76</f>
        <v>5.6</v>
      </c>
      <c r="X57" s="146">
        <f>TxRt!B119</f>
        <v>11</v>
      </c>
      <c r="Y57" s="146">
        <f>TxRt!B159</f>
        <v>15.1</v>
      </c>
      <c r="Z57" s="146">
        <f>TxRt!B199</f>
        <v>18.5</v>
      </c>
      <c r="AA57" s="146">
        <f>TxRt!B279</f>
        <v>21.8</v>
      </c>
      <c r="AB57" s="146">
        <f>TxRt!B319</f>
        <v>23.8</v>
      </c>
      <c r="AC57" s="146">
        <f>TxRt!B359</f>
        <v>26.1</v>
      </c>
      <c r="AD57" s="146">
        <f>TxRt!B399</f>
        <v>31.9</v>
      </c>
      <c r="AF57" s="60">
        <f>Inc!B73</f>
        <v>18800</v>
      </c>
      <c r="AG57" s="60">
        <f>Inc!B113</f>
        <v>41800</v>
      </c>
      <c r="AH57" s="60">
        <f>Inc!B153</f>
        <v>65800</v>
      </c>
      <c r="AI57" s="60">
        <f>Inc!B193</f>
        <v>95800</v>
      </c>
      <c r="AJ57" s="60">
        <f>Inc!B273</f>
        <v>134400</v>
      </c>
      <c r="AK57" s="60">
        <f>Inc!B313</f>
        <v>177400</v>
      </c>
      <c r="AL57" s="60">
        <f>Inc!B353</f>
        <v>273200</v>
      </c>
      <c r="AM57" s="60">
        <f>Inc!B393</f>
        <v>1200900</v>
      </c>
      <c r="AO57" s="60">
        <f t="shared" si="10"/>
        <v>1052.8</v>
      </c>
      <c r="AP57" s="60">
        <f t="shared" si="11"/>
        <v>4598</v>
      </c>
      <c r="AQ57" s="60">
        <f t="shared" si="12"/>
        <v>9935.7999999999993</v>
      </c>
      <c r="AR57" s="60">
        <f t="shared" si="13"/>
        <v>17723</v>
      </c>
      <c r="AS57" s="60">
        <f t="shared" si="14"/>
        <v>29299.200000000001</v>
      </c>
      <c r="AT57" s="60">
        <f t="shared" si="15"/>
        <v>42221.2</v>
      </c>
      <c r="AU57" s="60">
        <f t="shared" si="16"/>
        <v>71305.2</v>
      </c>
      <c r="AV57" s="60">
        <f t="shared" si="17"/>
        <v>383087.1</v>
      </c>
      <c r="AX57" s="103" t="str">
        <f t="shared" si="27"/>
        <v>2002 5.6 11 15.1 18.5 21.8 23.8 26.1 31.9</v>
      </c>
      <c r="AZ57" s="131" t="str">
        <f t="shared" si="28"/>
        <v>2002 0.1 5.6 20</v>
      </c>
      <c r="BA57" s="131" t="str">
        <f t="shared" si="29"/>
        <v>2002 0.3 11 20</v>
      </c>
      <c r="BB57" s="131" t="str">
        <f t="shared" si="30"/>
        <v>2002 0.5 15.1 20</v>
      </c>
      <c r="BC57" s="131" t="str">
        <f t="shared" si="31"/>
        <v>2002 0.7 18.5 20</v>
      </c>
      <c r="BD57" s="131" t="str">
        <f t="shared" si="32"/>
        <v>2002 0.85 21.8 10</v>
      </c>
      <c r="BE57" s="131" t="str">
        <f t="shared" si="33"/>
        <v>2002 0.925 23.8 5</v>
      </c>
      <c r="BF57" s="131" t="str">
        <f t="shared" si="34"/>
        <v>2002 0.975 26.1 4</v>
      </c>
      <c r="BG57" s="131" t="str">
        <f t="shared" si="35"/>
        <v>2002 0.995 31.9 1</v>
      </c>
    </row>
    <row r="58" spans="1:59">
      <c r="A58" s="46">
        <f t="shared" si="36"/>
        <v>2003</v>
      </c>
      <c r="B58" s="45">
        <f t="shared" si="37"/>
        <v>0.57032237651560158</v>
      </c>
      <c r="C58" s="45">
        <f t="shared" si="37"/>
        <v>0.99146588793558221</v>
      </c>
      <c r="E58" s="143">
        <f t="shared" si="19"/>
        <v>6.9608219999188297</v>
      </c>
      <c r="F58" s="143">
        <f t="shared" si="20"/>
        <v>8.3384013976725289</v>
      </c>
      <c r="G58" s="143">
        <f t="shared" si="21"/>
        <v>9.1479435557504729</v>
      </c>
      <c r="H58" s="143">
        <f t="shared" si="22"/>
        <v>9.7575249255893635</v>
      </c>
      <c r="I58" s="143">
        <f t="shared" si="23"/>
        <v>10.252396418403805</v>
      </c>
      <c r="J58" s="143">
        <f t="shared" si="24"/>
        <v>10.623447048747229</v>
      </c>
      <c r="K58" s="143">
        <f t="shared" si="25"/>
        <v>11.168423274391227</v>
      </c>
      <c r="L58" s="143">
        <f t="shared" si="26"/>
        <v>12.867097380521379</v>
      </c>
      <c r="M58" s="46"/>
      <c r="N58" s="143">
        <f t="shared" si="2"/>
        <v>9.8255260110664153</v>
      </c>
      <c r="O58" s="143">
        <f t="shared" si="3"/>
        <v>10.631036159813405</v>
      </c>
      <c r="P58" s="143">
        <f t="shared" si="4"/>
        <v>11.092854204472703</v>
      </c>
      <c r="Q58" s="143">
        <f t="shared" si="5"/>
        <v>11.483496654279417</v>
      </c>
      <c r="R58" s="143">
        <f t="shared" si="6"/>
        <v>11.822613617684624</v>
      </c>
      <c r="S58" s="143">
        <f t="shared" si="7"/>
        <v>12.106252310247962</v>
      </c>
      <c r="T58" s="143">
        <f t="shared" si="8"/>
        <v>12.55072561424158</v>
      </c>
      <c r="U58" s="143">
        <f t="shared" si="9"/>
        <v>14.061119853994148</v>
      </c>
      <c r="W58" s="146">
        <f>TxRt!B77</f>
        <v>5.7</v>
      </c>
      <c r="X58" s="146">
        <f>TxRt!B120</f>
        <v>10.1</v>
      </c>
      <c r="Y58" s="146">
        <f>TxRt!B160</f>
        <v>14.3</v>
      </c>
      <c r="Z58" s="146">
        <f>TxRt!B200</f>
        <v>17.8</v>
      </c>
      <c r="AA58" s="146">
        <f>TxRt!B280</f>
        <v>20.8</v>
      </c>
      <c r="AB58" s="146">
        <f>TxRt!B320</f>
        <v>22.7</v>
      </c>
      <c r="AC58" s="146">
        <f>TxRt!B360</f>
        <v>25.1</v>
      </c>
      <c r="AD58" s="146">
        <f>TxRt!B400</f>
        <v>30.3</v>
      </c>
      <c r="AF58" s="60">
        <f>Inc!B74</f>
        <v>18500</v>
      </c>
      <c r="AG58" s="60">
        <f>Inc!B114</f>
        <v>41400</v>
      </c>
      <c r="AH58" s="60">
        <f>Inc!B154</f>
        <v>65700</v>
      </c>
      <c r="AI58" s="60">
        <f>Inc!B194</f>
        <v>97100</v>
      </c>
      <c r="AJ58" s="60">
        <f>Inc!B274</f>
        <v>136300</v>
      </c>
      <c r="AK58" s="60">
        <f>Inc!B314</f>
        <v>181000</v>
      </c>
      <c r="AL58" s="60">
        <f>Inc!B354</f>
        <v>282300</v>
      </c>
      <c r="AM58" s="60">
        <f>Inc!B394</f>
        <v>1278400</v>
      </c>
      <c r="AO58" s="60">
        <f t="shared" si="10"/>
        <v>1054.5</v>
      </c>
      <c r="AP58" s="60">
        <f t="shared" si="11"/>
        <v>4181.3999999999996</v>
      </c>
      <c r="AQ58" s="60">
        <f t="shared" si="12"/>
        <v>9395.1</v>
      </c>
      <c r="AR58" s="60">
        <f t="shared" si="13"/>
        <v>17283.8</v>
      </c>
      <c r="AS58" s="60">
        <f t="shared" si="14"/>
        <v>28350.400000000001</v>
      </c>
      <c r="AT58" s="60">
        <f t="shared" si="15"/>
        <v>41087</v>
      </c>
      <c r="AU58" s="60">
        <f t="shared" si="16"/>
        <v>70857.3</v>
      </c>
      <c r="AV58" s="60">
        <f t="shared" si="17"/>
        <v>387355.2</v>
      </c>
      <c r="AX58" s="103" t="str">
        <f t="shared" si="27"/>
        <v>2003 5.7 10.1 14.3 17.8 20.8 22.7 25.1 30.3</v>
      </c>
      <c r="AZ58" s="131" t="str">
        <f t="shared" si="28"/>
        <v>2003 0.1 5.7 20</v>
      </c>
      <c r="BA58" s="131" t="str">
        <f t="shared" si="29"/>
        <v>2003 0.3 10.1 20</v>
      </c>
      <c r="BB58" s="131" t="str">
        <f t="shared" si="30"/>
        <v>2003 0.5 14.3 20</v>
      </c>
      <c r="BC58" s="131" t="str">
        <f t="shared" si="31"/>
        <v>2003 0.7 17.8 20</v>
      </c>
      <c r="BD58" s="131" t="str">
        <f t="shared" si="32"/>
        <v>2003 0.85 20.8 10</v>
      </c>
      <c r="BE58" s="131" t="str">
        <f t="shared" si="33"/>
        <v>2003 0.925 22.7 5</v>
      </c>
      <c r="BF58" s="131" t="str">
        <f t="shared" si="34"/>
        <v>2003 0.975 25.1 4</v>
      </c>
      <c r="BG58" s="131" t="str">
        <f t="shared" si="35"/>
        <v>2003 0.995 30.3 1</v>
      </c>
    </row>
    <row r="59" spans="1:59">
      <c r="A59" s="46">
        <f t="shared" si="36"/>
        <v>2004</v>
      </c>
      <c r="B59" s="45">
        <f t="shared" si="37"/>
        <v>0.58661247010257722</v>
      </c>
      <c r="C59" s="45">
        <f t="shared" si="37"/>
        <v>0.98822831859822424</v>
      </c>
      <c r="E59" s="143">
        <f t="shared" si="19"/>
        <v>6.9041487833880257</v>
      </c>
      <c r="F59" s="143">
        <f t="shared" si="20"/>
        <v>8.3818773504675477</v>
      </c>
      <c r="G59" s="143">
        <f t="shared" si="21"/>
        <v>9.2001688166546867</v>
      </c>
      <c r="H59" s="143">
        <f t="shared" si="22"/>
        <v>9.8001250395409745</v>
      </c>
      <c r="I59" s="143">
        <f t="shared" si="23"/>
        <v>10.293219541655294</v>
      </c>
      <c r="J59" s="143">
        <f t="shared" si="24"/>
        <v>10.665365236834283</v>
      </c>
      <c r="K59" s="143">
        <f t="shared" si="25"/>
        <v>11.240116241341154</v>
      </c>
      <c r="L59" s="143">
        <f t="shared" si="26"/>
        <v>13.03320424108451</v>
      </c>
      <c r="M59" s="46"/>
      <c r="N59" s="143">
        <f t="shared" si="2"/>
        <v>9.8416121488180401</v>
      </c>
      <c r="O59" s="143">
        <f t="shared" si="3"/>
        <v>10.654903641220049</v>
      </c>
      <c r="P59" s="143">
        <f t="shared" si="4"/>
        <v>11.124317473928487</v>
      </c>
      <c r="Q59" s="143">
        <f t="shared" si="5"/>
        <v>11.514923467632901</v>
      </c>
      <c r="R59" s="143">
        <f t="shared" si="6"/>
        <v>11.85864056867262</v>
      </c>
      <c r="S59" s="143">
        <f t="shared" si="7"/>
        <v>12.139398512262181</v>
      </c>
      <c r="T59" s="143">
        <f t="shared" si="8"/>
        <v>12.610537253304754</v>
      </c>
      <c r="U59" s="143">
        <f t="shared" si="9"/>
        <v>14.237177045410446</v>
      </c>
      <c r="W59" s="146">
        <f>TxRt!B78</f>
        <v>5.3</v>
      </c>
      <c r="X59" s="146">
        <f>TxRt!B121</f>
        <v>10.3</v>
      </c>
      <c r="Y59" s="146">
        <f>TxRt!B161</f>
        <v>14.6</v>
      </c>
      <c r="Z59" s="146">
        <f>TxRt!B201</f>
        <v>18</v>
      </c>
      <c r="AA59" s="146">
        <f>TxRt!B281</f>
        <v>20.9</v>
      </c>
      <c r="AB59" s="146">
        <f>TxRt!B321</f>
        <v>22.9</v>
      </c>
      <c r="AC59" s="146">
        <f>TxRt!B361</f>
        <v>25.4</v>
      </c>
      <c r="AD59" s="146">
        <f>TxRt!B401</f>
        <v>30</v>
      </c>
      <c r="AF59" s="60">
        <f>Inc!B75</f>
        <v>18800</v>
      </c>
      <c r="AG59" s="60">
        <f>Inc!B115</f>
        <v>42400</v>
      </c>
      <c r="AH59" s="60">
        <f>Inc!B155</f>
        <v>67800</v>
      </c>
      <c r="AI59" s="60">
        <f>Inc!B195</f>
        <v>100200</v>
      </c>
      <c r="AJ59" s="60">
        <f>Inc!B275</f>
        <v>141300</v>
      </c>
      <c r="AK59" s="60">
        <f>Inc!B315</f>
        <v>187100</v>
      </c>
      <c r="AL59" s="60">
        <f>Inc!B355</f>
        <v>299700</v>
      </c>
      <c r="AM59" s="60">
        <f>Inc!B395</f>
        <v>1524500</v>
      </c>
      <c r="AO59" s="60">
        <f t="shared" si="10"/>
        <v>996.4</v>
      </c>
      <c r="AP59" s="60">
        <f t="shared" si="11"/>
        <v>4367.2000000000007</v>
      </c>
      <c r="AQ59" s="60">
        <f t="shared" si="12"/>
        <v>9898.7999999999993</v>
      </c>
      <c r="AR59" s="60">
        <f t="shared" si="13"/>
        <v>18036</v>
      </c>
      <c r="AS59" s="60">
        <f t="shared" si="14"/>
        <v>29531.7</v>
      </c>
      <c r="AT59" s="60">
        <f t="shared" si="15"/>
        <v>42845.9</v>
      </c>
      <c r="AU59" s="60">
        <f t="shared" si="16"/>
        <v>76123.8</v>
      </c>
      <c r="AV59" s="60">
        <f t="shared" si="17"/>
        <v>457350</v>
      </c>
      <c r="AX59" s="103" t="str">
        <f t="shared" si="27"/>
        <v>2004 5.3 10.3 14.6 18 20.9 22.9 25.4 30</v>
      </c>
      <c r="AZ59" s="131" t="str">
        <f t="shared" si="28"/>
        <v>2004 0.1 5.3 20</v>
      </c>
      <c r="BA59" s="131" t="str">
        <f t="shared" si="29"/>
        <v>2004 0.3 10.3 20</v>
      </c>
      <c r="BB59" s="131" t="str">
        <f t="shared" si="30"/>
        <v>2004 0.5 14.6 20</v>
      </c>
      <c r="BC59" s="131" t="str">
        <f t="shared" si="31"/>
        <v>2004 0.7 18 20</v>
      </c>
      <c r="BD59" s="131" t="str">
        <f t="shared" si="32"/>
        <v>2004 0.85 20.9 10</v>
      </c>
      <c r="BE59" s="131" t="str">
        <f t="shared" si="33"/>
        <v>2004 0.925 22.9 5</v>
      </c>
      <c r="BF59" s="131" t="str">
        <f t="shared" si="34"/>
        <v>2004 0.975 25.4 4</v>
      </c>
      <c r="BG59" s="131" t="str">
        <f t="shared" si="35"/>
        <v>2004 0.995 30 1</v>
      </c>
    </row>
    <row r="60" spans="1:59">
      <c r="A60" s="46">
        <f t="shared" si="36"/>
        <v>2005</v>
      </c>
      <c r="B60" s="45">
        <f t="shared" si="37"/>
        <v>0.56541282189009578</v>
      </c>
      <c r="C60" s="45">
        <f t="shared" si="37"/>
        <v>0.98724914195942459</v>
      </c>
      <c r="E60" s="143">
        <f t="shared" si="19"/>
        <v>6.9674382811433109</v>
      </c>
      <c r="F60" s="143">
        <f t="shared" si="20"/>
        <v>8.4104984527452746</v>
      </c>
      <c r="G60" s="143">
        <f t="shared" si="21"/>
        <v>9.2313187783613753</v>
      </c>
      <c r="H60" s="143">
        <f t="shared" si="22"/>
        <v>9.8334780930701005</v>
      </c>
      <c r="I60" s="143">
        <f t="shared" si="23"/>
        <v>10.318308755568317</v>
      </c>
      <c r="J60" s="143">
        <f t="shared" si="24"/>
        <v>10.708511471981696</v>
      </c>
      <c r="K60" s="143">
        <f t="shared" si="25"/>
        <v>11.335408746430925</v>
      </c>
      <c r="L60" s="143">
        <f t="shared" si="26"/>
        <v>13.229034234190122</v>
      </c>
      <c r="M60" s="46"/>
      <c r="N60" s="143">
        <f t="shared" si="2"/>
        <v>9.8678603748929774</v>
      </c>
      <c r="O60" s="143">
        <f t="shared" si="3"/>
        <v>10.664293381569887</v>
      </c>
      <c r="P60" s="143">
        <f t="shared" si="4"/>
        <v>11.141861783579396</v>
      </c>
      <c r="Q60" s="143">
        <f t="shared" si="5"/>
        <v>11.531747219210816</v>
      </c>
      <c r="R60" s="143">
        <f t="shared" si="6"/>
        <v>11.878956503832987</v>
      </c>
      <c r="S60" s="143">
        <f t="shared" si="7"/>
        <v>12.178187442040638</v>
      </c>
      <c r="T60" s="143">
        <f t="shared" si="8"/>
        <v>12.686335963713525</v>
      </c>
      <c r="U60" s="143">
        <f t="shared" si="9"/>
        <v>14.42636249579739</v>
      </c>
      <c r="W60" s="146">
        <f>TxRt!B79</f>
        <v>5.5</v>
      </c>
      <c r="X60" s="146">
        <f>TxRt!B122</f>
        <v>10.5</v>
      </c>
      <c r="Y60" s="146">
        <f>TxRt!B162</f>
        <v>14.8</v>
      </c>
      <c r="Z60" s="146">
        <f>TxRt!B202</f>
        <v>18.3</v>
      </c>
      <c r="AA60" s="146">
        <f>TxRt!B282</f>
        <v>21</v>
      </c>
      <c r="AB60" s="146">
        <f>TxRt!B322</f>
        <v>23</v>
      </c>
      <c r="AC60" s="146">
        <f>TxRt!B362</f>
        <v>25.9</v>
      </c>
      <c r="AD60" s="146">
        <f>TxRt!B402</f>
        <v>30.2</v>
      </c>
      <c r="AF60" s="60">
        <f>Inc!B76</f>
        <v>19300</v>
      </c>
      <c r="AG60" s="60">
        <f>Inc!B116</f>
        <v>42800</v>
      </c>
      <c r="AH60" s="60">
        <f>Inc!B156</f>
        <v>69000</v>
      </c>
      <c r="AI60" s="60">
        <f>Inc!B196</f>
        <v>101900</v>
      </c>
      <c r="AJ60" s="60">
        <f>Inc!B276</f>
        <v>144200</v>
      </c>
      <c r="AK60" s="60">
        <f>Inc!B316</f>
        <v>194500</v>
      </c>
      <c r="AL60" s="60">
        <f>Inc!B356</f>
        <v>323300</v>
      </c>
      <c r="AM60" s="60">
        <f>Inc!B396</f>
        <v>1842000</v>
      </c>
      <c r="AO60" s="60">
        <f t="shared" si="10"/>
        <v>1061.5</v>
      </c>
      <c r="AP60" s="60">
        <f t="shared" si="11"/>
        <v>4494</v>
      </c>
      <c r="AQ60" s="60">
        <f t="shared" si="12"/>
        <v>10212</v>
      </c>
      <c r="AR60" s="60">
        <f t="shared" si="13"/>
        <v>18647.7</v>
      </c>
      <c r="AS60" s="60">
        <f t="shared" si="14"/>
        <v>30282</v>
      </c>
      <c r="AT60" s="60">
        <f t="shared" si="15"/>
        <v>44735</v>
      </c>
      <c r="AU60" s="60">
        <f t="shared" si="16"/>
        <v>83734.7</v>
      </c>
      <c r="AV60" s="60">
        <f t="shared" si="17"/>
        <v>556284</v>
      </c>
      <c r="AX60" s="103" t="str">
        <f t="shared" si="27"/>
        <v>2005 5.5 10.5 14.8 18.3 21 23 25.9 30.2</v>
      </c>
      <c r="AZ60" s="131" t="str">
        <f t="shared" si="28"/>
        <v>2005 0.1 5.5 20</v>
      </c>
      <c r="BA60" s="131" t="str">
        <f t="shared" si="29"/>
        <v>2005 0.3 10.5 20</v>
      </c>
      <c r="BB60" s="131" t="str">
        <f t="shared" si="30"/>
        <v>2005 0.5 14.8 20</v>
      </c>
      <c r="BC60" s="131" t="str">
        <f t="shared" si="31"/>
        <v>2005 0.7 18.3 20</v>
      </c>
      <c r="BD60" s="131" t="str">
        <f t="shared" si="32"/>
        <v>2005 0.85 21 10</v>
      </c>
      <c r="BE60" s="131" t="str">
        <f t="shared" si="33"/>
        <v>2005 0.925 23 5</v>
      </c>
      <c r="BF60" s="131" t="str">
        <f t="shared" si="34"/>
        <v>2005 0.975 25.9 4</v>
      </c>
      <c r="BG60" s="131" t="str">
        <f t="shared" si="35"/>
        <v>2005 0.995 30.2 1</v>
      </c>
    </row>
    <row r="61" spans="1:59">
      <c r="A61" s="46">
        <f t="shared" si="36"/>
        <v>2006</v>
      </c>
      <c r="B61" s="45">
        <f t="shared" si="37"/>
        <v>0.54180902931732144</v>
      </c>
      <c r="C61" s="45">
        <f t="shared" si="37"/>
        <v>0.98764065046112315</v>
      </c>
      <c r="E61" s="143">
        <f t="shared" si="19"/>
        <v>7.088158329953461</v>
      </c>
      <c r="F61" s="143">
        <f t="shared" si="20"/>
        <v>8.4430729114944683</v>
      </c>
      <c r="G61" s="143">
        <f t="shared" si="21"/>
        <v>9.2481466237119374</v>
      </c>
      <c r="H61" s="143">
        <f t="shared" si="22"/>
        <v>9.8529150509466028</v>
      </c>
      <c r="I61" s="143">
        <f t="shared" si="23"/>
        <v>10.351769464209347</v>
      </c>
      <c r="J61" s="143">
        <f t="shared" si="24"/>
        <v>10.740234952028148</v>
      </c>
      <c r="K61" s="143">
        <f t="shared" si="25"/>
        <v>11.366770732184129</v>
      </c>
      <c r="L61" s="143">
        <f t="shared" si="26"/>
        <v>13.294590152912654</v>
      </c>
      <c r="M61" s="46"/>
      <c r="N61" s="143">
        <f t="shared" si="2"/>
        <v>9.9183761650298781</v>
      </c>
      <c r="O61" s="143">
        <f t="shared" si="3"/>
        <v>10.687389096364537</v>
      </c>
      <c r="P61" s="143">
        <f t="shared" si="4"/>
        <v>11.151955596748616</v>
      </c>
      <c r="Q61" s="143">
        <f t="shared" si="5"/>
        <v>11.551184177087318</v>
      </c>
      <c r="R61" s="143">
        <f t="shared" si="6"/>
        <v>11.902938468519471</v>
      </c>
      <c r="S61" s="143">
        <f t="shared" si="7"/>
        <v>12.205572520488492</v>
      </c>
      <c r="T61" s="143">
        <f t="shared" si="8"/>
        <v>12.717697949466729</v>
      </c>
      <c r="U61" s="143">
        <f t="shared" si="9"/>
        <v>14.505251945389386</v>
      </c>
      <c r="W61" s="146">
        <f>TxRt!B80</f>
        <v>5.9</v>
      </c>
      <c r="X61" s="146">
        <f>TxRt!B123</f>
        <v>10.6</v>
      </c>
      <c r="Y61" s="146">
        <f>TxRt!B163</f>
        <v>14.9</v>
      </c>
      <c r="Z61" s="146">
        <f>TxRt!B203</f>
        <v>18.3</v>
      </c>
      <c r="AA61" s="146">
        <f>TxRt!B283</f>
        <v>21.2</v>
      </c>
      <c r="AB61" s="146">
        <f>TxRt!B323</f>
        <v>23.1</v>
      </c>
      <c r="AC61" s="146">
        <f>TxRt!B363</f>
        <v>25.9</v>
      </c>
      <c r="AD61" s="146">
        <f>TxRt!B403</f>
        <v>29.8</v>
      </c>
      <c r="AF61" s="60">
        <f>Inc!B77</f>
        <v>20300</v>
      </c>
      <c r="AG61" s="60">
        <f>Inc!B117</f>
        <v>43800</v>
      </c>
      <c r="AH61" s="60">
        <f>Inc!B157</f>
        <v>69700</v>
      </c>
      <c r="AI61" s="60">
        <f>Inc!B197</f>
        <v>103900</v>
      </c>
      <c r="AJ61" s="60">
        <f>Inc!B277</f>
        <v>147700</v>
      </c>
      <c r="AK61" s="60">
        <f>Inc!B317</f>
        <v>199900</v>
      </c>
      <c r="AL61" s="60">
        <f>Inc!B357</f>
        <v>333600</v>
      </c>
      <c r="AM61" s="60">
        <f>Inc!B397</f>
        <v>1993200</v>
      </c>
      <c r="AO61" s="60">
        <f t="shared" si="10"/>
        <v>1197.7</v>
      </c>
      <c r="AP61" s="60">
        <f t="shared" si="11"/>
        <v>4642.8</v>
      </c>
      <c r="AQ61" s="60">
        <f t="shared" si="12"/>
        <v>10385.299999999999</v>
      </c>
      <c r="AR61" s="60">
        <f t="shared" si="13"/>
        <v>19013.7</v>
      </c>
      <c r="AS61" s="60">
        <f t="shared" si="14"/>
        <v>31312.400000000001</v>
      </c>
      <c r="AT61" s="60">
        <f t="shared" si="15"/>
        <v>46176.9</v>
      </c>
      <c r="AU61" s="60">
        <f t="shared" si="16"/>
        <v>86402.4</v>
      </c>
      <c r="AV61" s="60">
        <f t="shared" si="17"/>
        <v>593973.6</v>
      </c>
      <c r="AX61" s="103" t="str">
        <f t="shared" si="27"/>
        <v>2006 5.9 10.6 14.9 18.3 21.2 23.1 25.9 29.8</v>
      </c>
      <c r="AZ61" s="131" t="str">
        <f t="shared" si="28"/>
        <v>2006 0.1 5.9 20</v>
      </c>
      <c r="BA61" s="131" t="str">
        <f t="shared" si="29"/>
        <v>2006 0.3 10.6 20</v>
      </c>
      <c r="BB61" s="131" t="str">
        <f t="shared" si="30"/>
        <v>2006 0.5 14.9 20</v>
      </c>
      <c r="BC61" s="131" t="str">
        <f t="shared" si="31"/>
        <v>2006 0.7 18.3 20</v>
      </c>
      <c r="BD61" s="131" t="str">
        <f t="shared" si="32"/>
        <v>2006 0.85 21.2 10</v>
      </c>
      <c r="BE61" s="131" t="str">
        <f t="shared" si="33"/>
        <v>2006 0.925 23.1 5</v>
      </c>
      <c r="BF61" s="131" t="str">
        <f t="shared" si="34"/>
        <v>2006 0.975 25.9 4</v>
      </c>
      <c r="BG61" s="131" t="str">
        <f t="shared" si="35"/>
        <v>2006 0.995 29.8 1</v>
      </c>
    </row>
    <row r="62" spans="1:59">
      <c r="A62" s="46">
        <f t="shared" si="36"/>
        <v>2007</v>
      </c>
      <c r="B62" s="45">
        <f t="shared" si="37"/>
        <v>0.57092277691975291</v>
      </c>
      <c r="C62" s="45">
        <f t="shared" si="37"/>
        <v>0.98158235007204964</v>
      </c>
      <c r="E62" s="143">
        <f t="shared" si="19"/>
        <v>7.0429852282422409</v>
      </c>
      <c r="F62" s="143">
        <f t="shared" si="20"/>
        <v>8.5269454828589151</v>
      </c>
      <c r="G62" s="143">
        <f t="shared" si="21"/>
        <v>9.2766523196628956</v>
      </c>
      <c r="H62" s="143">
        <f t="shared" si="22"/>
        <v>9.8685181895735337</v>
      </c>
      <c r="I62" s="143">
        <f t="shared" si="23"/>
        <v>10.357625357597261</v>
      </c>
      <c r="J62" s="143">
        <f t="shared" si="24"/>
        <v>10.748447682559737</v>
      </c>
      <c r="K62" s="143">
        <f t="shared" si="25"/>
        <v>11.37942835747225</v>
      </c>
      <c r="L62" s="143">
        <f t="shared" si="26"/>
        <v>13.291552074468186</v>
      </c>
      <c r="M62" s="46"/>
      <c r="N62" s="143">
        <f t="shared" si="2"/>
        <v>9.9804485936722571</v>
      </c>
      <c r="O62" s="143">
        <f t="shared" si="3"/>
        <v>10.734220396048636</v>
      </c>
      <c r="P62" s="143">
        <f t="shared" si="4"/>
        <v>11.187195324880918</v>
      </c>
      <c r="Q62" s="143">
        <f t="shared" si="5"/>
        <v>11.577776437289845</v>
      </c>
      <c r="R62" s="143">
        <f t="shared" si="6"/>
        <v>11.923046384614587</v>
      </c>
      <c r="S62" s="143">
        <f t="shared" si="7"/>
        <v>12.231252944060472</v>
      </c>
      <c r="T62" s="143">
        <f t="shared" si="8"/>
        <v>12.74984936943585</v>
      </c>
      <c r="U62" s="143">
        <f t="shared" si="9"/>
        <v>14.55740028251221</v>
      </c>
      <c r="W62" s="146">
        <f>TxRt!B81</f>
        <v>5.3</v>
      </c>
      <c r="X62" s="146">
        <f>TxRt!B124</f>
        <v>11</v>
      </c>
      <c r="Y62" s="146">
        <f>TxRt!B164</f>
        <v>14.8</v>
      </c>
      <c r="Z62" s="146">
        <f>TxRt!B204</f>
        <v>18.100000000000001</v>
      </c>
      <c r="AA62" s="146">
        <f>TxRt!B284</f>
        <v>20.9</v>
      </c>
      <c r="AB62" s="146">
        <f>TxRt!B324</f>
        <v>22.7</v>
      </c>
      <c r="AC62" s="146">
        <f>TxRt!B364</f>
        <v>25.4</v>
      </c>
      <c r="AD62" s="146">
        <f>TxRt!B404</f>
        <v>28.2</v>
      </c>
      <c r="AF62" s="60">
        <f>Inc!B78</f>
        <v>21600</v>
      </c>
      <c r="AG62" s="60">
        <f>Inc!B118</f>
        <v>45900</v>
      </c>
      <c r="AH62" s="60">
        <f>Inc!B158</f>
        <v>72200</v>
      </c>
      <c r="AI62" s="60">
        <f>Inc!B198</f>
        <v>106700</v>
      </c>
      <c r="AJ62" s="60">
        <f>Inc!B278</f>
        <v>150700</v>
      </c>
      <c r="AK62" s="60">
        <f>Inc!B318</f>
        <v>205100</v>
      </c>
      <c r="AL62" s="60">
        <f>Inc!B358</f>
        <v>344500</v>
      </c>
      <c r="AM62" s="60">
        <f>Inc!B398</f>
        <v>2099900</v>
      </c>
      <c r="AO62" s="60">
        <f t="shared" si="10"/>
        <v>1144.8</v>
      </c>
      <c r="AP62" s="60">
        <f t="shared" si="11"/>
        <v>5049</v>
      </c>
      <c r="AQ62" s="60">
        <f t="shared" si="12"/>
        <v>10685.6</v>
      </c>
      <c r="AR62" s="60">
        <f t="shared" si="13"/>
        <v>19312.7</v>
      </c>
      <c r="AS62" s="60">
        <f t="shared" si="14"/>
        <v>31496.3</v>
      </c>
      <c r="AT62" s="60">
        <f t="shared" si="15"/>
        <v>46557.7</v>
      </c>
      <c r="AU62" s="60">
        <f t="shared" si="16"/>
        <v>87503</v>
      </c>
      <c r="AV62" s="60">
        <f t="shared" si="17"/>
        <v>592171.80000000005</v>
      </c>
      <c r="AX62" s="103" t="str">
        <f t="shared" si="27"/>
        <v>2007 5.3 11 14.8 18.1 20.9 22.7 25.4 28.2</v>
      </c>
      <c r="AZ62" s="131" t="str">
        <f t="shared" si="28"/>
        <v>2007 0.1 5.3 20</v>
      </c>
      <c r="BA62" s="131" t="str">
        <f t="shared" si="29"/>
        <v>2007 0.3 11 20</v>
      </c>
      <c r="BB62" s="131" t="str">
        <f t="shared" si="30"/>
        <v>2007 0.5 14.8 20</v>
      </c>
      <c r="BC62" s="131" t="str">
        <f t="shared" si="31"/>
        <v>2007 0.7 18.1 20</v>
      </c>
      <c r="BD62" s="131" t="str">
        <f t="shared" si="32"/>
        <v>2007 0.85 20.9 10</v>
      </c>
      <c r="BE62" s="131" t="str">
        <f t="shared" si="33"/>
        <v>2007 0.925 22.7 5</v>
      </c>
      <c r="BF62" s="131" t="str">
        <f t="shared" si="34"/>
        <v>2007 0.975 25.4 4</v>
      </c>
      <c r="BG62" s="131" t="str">
        <f t="shared" si="35"/>
        <v>2007 0.995 28.2 1</v>
      </c>
    </row>
    <row r="63" spans="1:59">
      <c r="A63" s="46">
        <f t="shared" si="36"/>
        <v>2008</v>
      </c>
      <c r="B63" s="45">
        <f t="shared" si="37"/>
        <v>1.2150966796418934</v>
      </c>
      <c r="C63" s="45">
        <f t="shared" si="37"/>
        <v>0.91494438174475434</v>
      </c>
      <c r="E63" s="143">
        <f>LN(AO63)</f>
        <v>5.2512257590141864</v>
      </c>
      <c r="F63" s="143">
        <f t="shared" si="20"/>
        <v>8.1454336157732445</v>
      </c>
      <c r="G63" s="143">
        <f t="shared" si="21"/>
        <v>9.0525162867826161</v>
      </c>
      <c r="H63" s="143">
        <f t="shared" si="22"/>
        <v>9.7205257908547509</v>
      </c>
      <c r="I63" s="143">
        <f t="shared" si="23"/>
        <v>10.25787337844222</v>
      </c>
      <c r="J63" s="143">
        <f t="shared" si="24"/>
        <v>10.67427609831484</v>
      </c>
      <c r="K63" s="143">
        <f t="shared" si="25"/>
        <v>11.269895482848423</v>
      </c>
      <c r="L63" s="143">
        <f t="shared" si="26"/>
        <v>13.085581336271781</v>
      </c>
      <c r="M63" s="46"/>
      <c r="N63" s="143">
        <f t="shared" si="2"/>
        <v>9.9617564606601032</v>
      </c>
      <c r="O63" s="143">
        <f t="shared" si="3"/>
        <v>10.696480068065789</v>
      </c>
      <c r="P63" s="143">
        <f t="shared" si="4"/>
        <v>11.156250521031495</v>
      </c>
      <c r="Q63" s="143">
        <f t="shared" si="5"/>
        <v>11.553107254603061</v>
      </c>
      <c r="R63" s="143">
        <f t="shared" si="6"/>
        <v>11.902938468519471</v>
      </c>
      <c r="S63" s="143">
        <f t="shared" si="7"/>
        <v>12.197536314507888</v>
      </c>
      <c r="T63" s="143">
        <f t="shared" si="8"/>
        <v>12.672319225898198</v>
      </c>
      <c r="U63" s="143">
        <f t="shared" si="9"/>
        <v>14.354981945920173</v>
      </c>
      <c r="W63" s="146">
        <f>TxRt!B82</f>
        <v>0.9</v>
      </c>
      <c r="X63" s="146">
        <f>TxRt!B125</f>
        <v>7.8</v>
      </c>
      <c r="Y63" s="146">
        <f>TxRt!B165</f>
        <v>12.2</v>
      </c>
      <c r="Z63" s="146">
        <f>TxRt!B205</f>
        <v>16</v>
      </c>
      <c r="AA63" s="146">
        <f>TxRt!B285</f>
        <v>19.3</v>
      </c>
      <c r="AB63" s="146">
        <f>TxRt!B325</f>
        <v>21.8</v>
      </c>
      <c r="AC63" s="146">
        <f>TxRt!B365</f>
        <v>24.6</v>
      </c>
      <c r="AD63" s="146">
        <f>TxRt!B405</f>
        <v>28.1</v>
      </c>
      <c r="AF63" s="60">
        <f>Inc!B79</f>
        <v>21200</v>
      </c>
      <c r="AG63" s="60">
        <f>Inc!B119</f>
        <v>44200</v>
      </c>
      <c r="AH63" s="60">
        <f>Inc!B159</f>
        <v>70000</v>
      </c>
      <c r="AI63" s="60">
        <f>Inc!B199</f>
        <v>104100</v>
      </c>
      <c r="AJ63" s="60">
        <f>Inc!B279</f>
        <v>147700</v>
      </c>
      <c r="AK63" s="60">
        <f>Inc!B319</f>
        <v>198300</v>
      </c>
      <c r="AL63" s="60">
        <f>Inc!B359</f>
        <v>318800</v>
      </c>
      <c r="AM63" s="60">
        <f>Inc!B399</f>
        <v>1715100</v>
      </c>
      <c r="AO63" s="60">
        <f t="shared" si="10"/>
        <v>190.8</v>
      </c>
      <c r="AP63" s="60">
        <f t="shared" si="11"/>
        <v>3447.6</v>
      </c>
      <c r="AQ63" s="60">
        <f t="shared" si="12"/>
        <v>8540</v>
      </c>
      <c r="AR63" s="60">
        <f t="shared" si="13"/>
        <v>16656</v>
      </c>
      <c r="AS63" s="60">
        <f t="shared" si="14"/>
        <v>28506.1</v>
      </c>
      <c r="AT63" s="60">
        <f t="shared" si="15"/>
        <v>43229.4</v>
      </c>
      <c r="AU63" s="60">
        <f t="shared" si="16"/>
        <v>78424.800000000003</v>
      </c>
      <c r="AV63" s="60">
        <f t="shared" si="17"/>
        <v>481943.1</v>
      </c>
      <c r="AX63" s="103" t="str">
        <f t="shared" si="27"/>
        <v>2008 0.9 7.8 12.2 16 19.3 21.8 24.6 28.1</v>
      </c>
      <c r="AZ63" s="131" t="str">
        <f t="shared" si="28"/>
        <v>2008 0.1 0.9 20</v>
      </c>
      <c r="BA63" s="131" t="str">
        <f t="shared" si="29"/>
        <v>2008 0.3 7.8 20</v>
      </c>
      <c r="BB63" s="131" t="str">
        <f t="shared" si="30"/>
        <v>2008 0.5 12.2 20</v>
      </c>
      <c r="BC63" s="131" t="str">
        <f t="shared" si="31"/>
        <v>2008 0.7 16 20</v>
      </c>
      <c r="BD63" s="131" t="str">
        <f t="shared" si="32"/>
        <v>2008 0.85 19.3 10</v>
      </c>
      <c r="BE63" s="131" t="str">
        <f t="shared" si="33"/>
        <v>2008 0.925 21.8 5</v>
      </c>
      <c r="BF63" s="131" t="str">
        <f t="shared" si="34"/>
        <v>2008 0.975 24.6 4</v>
      </c>
      <c r="BG63" s="131" t="str">
        <f t="shared" si="35"/>
        <v>2008 0.995 28.1 1</v>
      </c>
    </row>
    <row r="64" spans="1:59">
      <c r="A64" s="46">
        <f t="shared" si="36"/>
        <v>2009</v>
      </c>
      <c r="B64" s="45">
        <f t="shared" si="37"/>
        <v>1.4543424176371653</v>
      </c>
      <c r="C64" s="45">
        <f t="shared" si="37"/>
        <v>0.89786523380227146</v>
      </c>
      <c r="E64" s="257">
        <f>LN(MAX(100,AO64))</f>
        <v>4.6051701859880918</v>
      </c>
      <c r="F64" s="143">
        <f t="shared" si="20"/>
        <v>8.0355379449500273</v>
      </c>
      <c r="G64" s="143">
        <f t="shared" si="21"/>
        <v>8.9960574490941703</v>
      </c>
      <c r="H64" s="143">
        <f t="shared" si="22"/>
        <v>9.6654524199737608</v>
      </c>
      <c r="I64" s="143">
        <f t="shared" si="23"/>
        <v>10.21294823991049</v>
      </c>
      <c r="J64" s="143">
        <f t="shared" si="24"/>
        <v>10.617720850092333</v>
      </c>
      <c r="K64" s="143">
        <f t="shared" si="25"/>
        <v>11.190718198142214</v>
      </c>
      <c r="L64" s="143">
        <f t="shared" si="26"/>
        <v>12.858861786426163</v>
      </c>
      <c r="M64" s="46"/>
      <c r="N64" s="143">
        <f t="shared" si="2"/>
        <v>9.9183761650298781</v>
      </c>
      <c r="O64" s="143">
        <f t="shared" si="3"/>
        <v>10.666627104916108</v>
      </c>
      <c r="P64" s="143">
        <f t="shared" si="4"/>
        <v>11.133128103610641</v>
      </c>
      <c r="Q64" s="143">
        <f t="shared" si="5"/>
        <v>11.529782582036651</v>
      </c>
      <c r="R64" s="143">
        <f t="shared" si="6"/>
        <v>11.878956503832987</v>
      </c>
      <c r="S64" s="143">
        <f t="shared" si="7"/>
        <v>12.168889854402458</v>
      </c>
      <c r="T64" s="143">
        <f t="shared" si="8"/>
        <v>12.609535750967664</v>
      </c>
      <c r="U64" s="143">
        <f t="shared" si="9"/>
        <v>14.107134849648679</v>
      </c>
      <c r="W64" s="146">
        <f>TxRt!B83</f>
        <v>-0.3</v>
      </c>
      <c r="X64" s="146">
        <f>TxRt!B126</f>
        <v>7.2</v>
      </c>
      <c r="Y64" s="146">
        <f>TxRt!B166</f>
        <v>11.8</v>
      </c>
      <c r="Z64" s="146">
        <f>TxRt!B206</f>
        <v>15.5</v>
      </c>
      <c r="AA64" s="146">
        <f>TxRt!B286</f>
        <v>18.899999999999999</v>
      </c>
      <c r="AB64" s="146">
        <f>TxRt!B326</f>
        <v>21.2</v>
      </c>
      <c r="AC64" s="146">
        <f>TxRt!B366</f>
        <v>24.2</v>
      </c>
      <c r="AD64" s="146">
        <f>TxRt!B406</f>
        <v>28.7</v>
      </c>
      <c r="AF64" s="60">
        <f>Inc!B80</f>
        <v>20300</v>
      </c>
      <c r="AG64" s="60">
        <f>Inc!B120</f>
        <v>42900</v>
      </c>
      <c r="AH64" s="60">
        <f>Inc!B160</f>
        <v>68400</v>
      </c>
      <c r="AI64" s="60">
        <f>Inc!B200</f>
        <v>101700</v>
      </c>
      <c r="AJ64" s="60">
        <f>Inc!B280</f>
        <v>144200</v>
      </c>
      <c r="AK64" s="60">
        <f>Inc!B320</f>
        <v>192700</v>
      </c>
      <c r="AL64" s="60">
        <f>Inc!B360</f>
        <v>299400</v>
      </c>
      <c r="AM64" s="60">
        <f>Inc!B400</f>
        <v>1338600</v>
      </c>
      <c r="AO64" s="60">
        <f t="shared" si="10"/>
        <v>-60.9</v>
      </c>
      <c r="AP64" s="60">
        <f t="shared" si="11"/>
        <v>3088.8</v>
      </c>
      <c r="AQ64" s="60">
        <f t="shared" si="12"/>
        <v>8071.2</v>
      </c>
      <c r="AR64" s="60">
        <f t="shared" si="13"/>
        <v>15763.5</v>
      </c>
      <c r="AS64" s="60">
        <f t="shared" si="14"/>
        <v>27253.8</v>
      </c>
      <c r="AT64" s="60">
        <f t="shared" si="15"/>
        <v>40852.400000000001</v>
      </c>
      <c r="AU64" s="60">
        <f t="shared" si="16"/>
        <v>72454.8</v>
      </c>
      <c r="AV64" s="60">
        <f t="shared" si="17"/>
        <v>384178.2</v>
      </c>
      <c r="AX64" s="103" t="str">
        <f t="shared" si="27"/>
        <v>2009 -0.3 7.2 11.8 15.5 18.9 21.2 24.2 28.7</v>
      </c>
      <c r="AZ64" s="131" t="str">
        <f t="shared" si="28"/>
        <v>2009 0.1 -0.3 20</v>
      </c>
      <c r="BA64" s="131" t="str">
        <f t="shared" si="29"/>
        <v>2009 0.3 7.2 20</v>
      </c>
      <c r="BB64" s="131" t="str">
        <f t="shared" si="30"/>
        <v>2009 0.5 11.8 20</v>
      </c>
      <c r="BC64" s="131" t="str">
        <f t="shared" si="31"/>
        <v>2009 0.7 15.5 20</v>
      </c>
      <c r="BD64" s="131" t="str">
        <f t="shared" si="32"/>
        <v>2009 0.85 18.9 10</v>
      </c>
      <c r="BE64" s="131" t="str">
        <f t="shared" si="33"/>
        <v>2009 0.925 21.2 5</v>
      </c>
      <c r="BF64" s="131" t="str">
        <f t="shared" si="34"/>
        <v>2009 0.975 24.2 4</v>
      </c>
      <c r="BG64" s="131" t="str">
        <f t="shared" si="35"/>
        <v>2009 0.995 28.7 1</v>
      </c>
    </row>
    <row r="65" spans="1:59">
      <c r="A65" s="46">
        <f t="shared" si="36"/>
        <v>2010</v>
      </c>
      <c r="B65" s="45">
        <f t="shared" si="37"/>
        <v>1.4159857252738428</v>
      </c>
      <c r="C65" s="45">
        <f t="shared" si="37"/>
        <v>0.89450058757633755</v>
      </c>
      <c r="E65" s="257">
        <f>LN(MAX(100,AO65))</f>
        <v>4.6051701859880918</v>
      </c>
      <c r="F65" s="143">
        <f t="shared" si="20"/>
        <v>8.0755204263385636</v>
      </c>
      <c r="G65" s="143">
        <f t="shared" si="21"/>
        <v>9.0108767255149704</v>
      </c>
      <c r="H65" s="143">
        <f t="shared" si="22"/>
        <v>9.6860029590735959</v>
      </c>
      <c r="I65" s="143">
        <f t="shared" si="23"/>
        <v>10.239752624843153</v>
      </c>
      <c r="J65" s="143">
        <f t="shared" si="24"/>
        <v>10.644166963541389</v>
      </c>
      <c r="K65" s="143">
        <f t="shared" si="25"/>
        <v>11.243528529138556</v>
      </c>
      <c r="L65" s="143">
        <f t="shared" si="26"/>
        <v>13.017695288630334</v>
      </c>
      <c r="M65" s="46"/>
      <c r="N65" s="143">
        <f t="shared" si="2"/>
        <v>9.8934372166826261</v>
      </c>
      <c r="O65" s="143">
        <f t="shared" si="3"/>
        <v>10.652542365034369</v>
      </c>
      <c r="P65" s="143">
        <f t="shared" si="4"/>
        <v>11.122841458900366</v>
      </c>
      <c r="Q65" s="143">
        <f t="shared" si="5"/>
        <v>11.524854035835503</v>
      </c>
      <c r="R65" s="143">
        <f t="shared" si="6"/>
        <v>11.879649744761963</v>
      </c>
      <c r="S65" s="143">
        <f t="shared" si="7"/>
        <v>12.176643834839362</v>
      </c>
      <c r="T65" s="143">
        <f t="shared" si="8"/>
        <v>12.637855061955712</v>
      </c>
      <c r="U65" s="143">
        <f t="shared" si="9"/>
        <v>14.245277958595404</v>
      </c>
      <c r="W65" s="146">
        <f>TxRt!B84</f>
        <v>0</v>
      </c>
      <c r="X65" s="146">
        <f>TxRt!B127</f>
        <v>7.6</v>
      </c>
      <c r="Y65" s="146">
        <f>TxRt!B167</f>
        <v>12.1</v>
      </c>
      <c r="Z65" s="146">
        <f>TxRt!B207</f>
        <v>15.9</v>
      </c>
      <c r="AA65" s="146">
        <f>TxRt!B287</f>
        <v>19.399999999999999</v>
      </c>
      <c r="AB65" s="146">
        <f>TxRt!B327</f>
        <v>21.6</v>
      </c>
      <c r="AC65" s="146">
        <f>TxRt!B367</f>
        <v>24.8</v>
      </c>
      <c r="AD65" s="146">
        <f>TxRt!B407</f>
        <v>29.3</v>
      </c>
      <c r="AF65" s="60">
        <f>Inc!B81</f>
        <v>19800</v>
      </c>
      <c r="AG65" s="60">
        <f>Inc!B121</f>
        <v>42300</v>
      </c>
      <c r="AH65" s="60">
        <f>Inc!B161</f>
        <v>67700</v>
      </c>
      <c r="AI65" s="60">
        <f>Inc!B201</f>
        <v>101200</v>
      </c>
      <c r="AJ65" s="60">
        <f>Inc!B281</f>
        <v>144300</v>
      </c>
      <c r="AK65" s="60">
        <f>Inc!B321</f>
        <v>194200</v>
      </c>
      <c r="AL65" s="60">
        <f>Inc!B361</f>
        <v>308000</v>
      </c>
      <c r="AM65" s="60">
        <f>Inc!B401</f>
        <v>1536900</v>
      </c>
      <c r="AO65" s="60">
        <f t="shared" si="10"/>
        <v>0</v>
      </c>
      <c r="AP65" s="60">
        <f t="shared" si="11"/>
        <v>3214.8</v>
      </c>
      <c r="AQ65" s="60">
        <f t="shared" si="12"/>
        <v>8191.7</v>
      </c>
      <c r="AR65" s="60">
        <f t="shared" si="13"/>
        <v>16090.8</v>
      </c>
      <c r="AS65" s="60">
        <f t="shared" si="14"/>
        <v>27994.2</v>
      </c>
      <c r="AT65" s="60">
        <f t="shared" si="15"/>
        <v>41947.199999999997</v>
      </c>
      <c r="AU65" s="60">
        <f t="shared" si="16"/>
        <v>76384</v>
      </c>
      <c r="AV65" s="60">
        <f t="shared" si="17"/>
        <v>450311.7</v>
      </c>
      <c r="AX65" s="103" t="str">
        <f t="shared" si="27"/>
        <v>2010 0 7.6 12.1 15.9 19.4 21.6 24.8 29.3</v>
      </c>
      <c r="AZ65" s="131" t="str">
        <f t="shared" si="28"/>
        <v>2010 0.1 0 20</v>
      </c>
      <c r="BA65" s="131" t="str">
        <f t="shared" si="29"/>
        <v>2010 0.3 7.6 20</v>
      </c>
      <c r="BB65" s="131" t="str">
        <f t="shared" si="30"/>
        <v>2010 0.5 12.1 20</v>
      </c>
      <c r="BC65" s="131" t="str">
        <f t="shared" si="31"/>
        <v>2010 0.7 15.9 20</v>
      </c>
      <c r="BD65" s="131" t="str">
        <f t="shared" si="32"/>
        <v>2010 0.85 19.4 10</v>
      </c>
      <c r="BE65" s="131" t="str">
        <f t="shared" si="33"/>
        <v>2010 0.925 21.6 5</v>
      </c>
      <c r="BF65" s="131" t="str">
        <f t="shared" si="34"/>
        <v>2010 0.975 24.8 4</v>
      </c>
      <c r="BG65" s="131" t="str">
        <f t="shared" si="35"/>
        <v>2010 0.995 29.3 1</v>
      </c>
    </row>
    <row r="66" spans="1:59">
      <c r="A66" s="46">
        <f t="shared" si="36"/>
        <v>2011</v>
      </c>
      <c r="B66" s="45">
        <f t="shared" si="37"/>
        <v>1.3381033361326713</v>
      </c>
      <c r="C66" s="45">
        <f t="shared" si="37"/>
        <v>0.89742495495157093</v>
      </c>
      <c r="E66" s="143">
        <f t="shared" si="19"/>
        <v>4.7924792842930852</v>
      </c>
      <c r="F66" s="143">
        <f t="shared" si="20"/>
        <v>8.0838531625420202</v>
      </c>
      <c r="G66" s="143">
        <f t="shared" si="21"/>
        <v>8.9936757867596828</v>
      </c>
      <c r="H66" s="143">
        <f t="shared" si="22"/>
        <v>9.6723559313747334</v>
      </c>
      <c r="I66" s="143">
        <f t="shared" si="23"/>
        <v>10.223296728260802</v>
      </c>
      <c r="J66" s="143">
        <f t="shared" si="24"/>
        <v>10.639790003410001</v>
      </c>
      <c r="K66" s="143">
        <f t="shared" si="25"/>
        <v>11.245951492103778</v>
      </c>
      <c r="L66" s="143">
        <f t="shared" si="26"/>
        <v>13.007208385414055</v>
      </c>
      <c r="M66" s="46"/>
      <c r="N66" s="143">
        <f t="shared" si="2"/>
        <v>9.9084750940471675</v>
      </c>
      <c r="O66" s="143">
        <f t="shared" si="3"/>
        <v>10.647803019670473</v>
      </c>
      <c r="P66" s="143">
        <f t="shared" si="4"/>
        <v>11.113939322959773</v>
      </c>
      <c r="Q66" s="143">
        <f t="shared" si="5"/>
        <v>11.523865405008562</v>
      </c>
      <c r="R66" s="143">
        <f t="shared" si="6"/>
        <v>11.889304992183297</v>
      </c>
      <c r="S66" s="143">
        <f t="shared" si="7"/>
        <v>12.190959007720126</v>
      </c>
      <c r="T66" s="143">
        <f t="shared" si="8"/>
        <v>12.660645327745366</v>
      </c>
      <c r="U66" s="143">
        <f t="shared" si="9"/>
        <v>14.245082741415672</v>
      </c>
      <c r="W66" s="146">
        <f>TxRt!B85</f>
        <v>0.6</v>
      </c>
      <c r="X66" s="146">
        <f>TxRt!B128</f>
        <v>7.7</v>
      </c>
      <c r="Y66" s="146">
        <f>TxRt!B168</f>
        <v>12</v>
      </c>
      <c r="Z66" s="146">
        <f>TxRt!B208</f>
        <v>15.7</v>
      </c>
      <c r="AA66" s="146">
        <f>TxRt!B288</f>
        <v>18.899999999999999</v>
      </c>
      <c r="AB66" s="146">
        <f>TxRt!B328</f>
        <v>21.2</v>
      </c>
      <c r="AC66" s="146">
        <f>TxRt!B368</f>
        <v>24.3</v>
      </c>
      <c r="AD66" s="146">
        <f>TxRt!B408</f>
        <v>29</v>
      </c>
      <c r="AF66" s="60">
        <f>Inc!B82</f>
        <v>20100</v>
      </c>
      <c r="AG66" s="60">
        <f>Inc!B122</f>
        <v>42100</v>
      </c>
      <c r="AH66" s="60">
        <f>Inc!B162</f>
        <v>67100</v>
      </c>
      <c r="AI66" s="60">
        <f>Inc!B202</f>
        <v>101100</v>
      </c>
      <c r="AJ66" s="60">
        <f>Inc!B282</f>
        <v>145700</v>
      </c>
      <c r="AK66" s="60">
        <f>Inc!B322</f>
        <v>197000</v>
      </c>
      <c r="AL66" s="60">
        <f>Inc!B362</f>
        <v>315100</v>
      </c>
      <c r="AM66" s="60">
        <f>Inc!B402</f>
        <v>1536600</v>
      </c>
      <c r="AO66" s="60">
        <f t="shared" si="10"/>
        <v>120.6</v>
      </c>
      <c r="AP66" s="60">
        <f t="shared" si="11"/>
        <v>3241.7</v>
      </c>
      <c r="AQ66" s="60">
        <f t="shared" si="12"/>
        <v>8052</v>
      </c>
      <c r="AR66" s="60">
        <f t="shared" si="13"/>
        <v>15872.7</v>
      </c>
      <c r="AS66" s="60">
        <f t="shared" si="14"/>
        <v>27537.3</v>
      </c>
      <c r="AT66" s="60">
        <f t="shared" si="15"/>
        <v>41764</v>
      </c>
      <c r="AU66" s="60">
        <f t="shared" si="16"/>
        <v>76569.3</v>
      </c>
      <c r="AV66" s="60">
        <f t="shared" si="17"/>
        <v>445614</v>
      </c>
      <c r="AX66" s="103" t="str">
        <f t="shared" si="27"/>
        <v>2011 0.6 7.7 12 15.7 18.9 21.2 24.3 29</v>
      </c>
      <c r="AZ66" s="131" t="str">
        <f t="shared" si="28"/>
        <v>2011 0.1 0.6 20</v>
      </c>
      <c r="BA66" s="131" t="str">
        <f t="shared" si="29"/>
        <v>2011 0.3 7.7 20</v>
      </c>
      <c r="BB66" s="131" t="str">
        <f t="shared" si="30"/>
        <v>2011 0.5 12 20</v>
      </c>
      <c r="BC66" s="131" t="str">
        <f t="shared" si="31"/>
        <v>2011 0.7 15.7 20</v>
      </c>
      <c r="BD66" s="131" t="str">
        <f t="shared" si="32"/>
        <v>2011 0.85 18.9 10</v>
      </c>
      <c r="BE66" s="131" t="str">
        <f t="shared" si="33"/>
        <v>2011 0.925 21.2 5</v>
      </c>
      <c r="BF66" s="131" t="str">
        <f t="shared" si="34"/>
        <v>2011 0.975 24.3 4</v>
      </c>
      <c r="BG66" s="131" t="str">
        <f t="shared" si="35"/>
        <v>2011 0.995 29 1</v>
      </c>
    </row>
    <row r="67" spans="1:59">
      <c r="A67" s="46">
        <f t="shared" si="36"/>
        <v>2012</v>
      </c>
      <c r="B67" s="45">
        <f t="shared" si="37"/>
        <v>1.1631519476657046</v>
      </c>
      <c r="C67" s="45">
        <f t="shared" si="37"/>
        <v>0.91991587220129667</v>
      </c>
      <c r="E67" s="143">
        <f t="shared" si="19"/>
        <v>5.1521348563699556</v>
      </c>
      <c r="F67" s="143">
        <f t="shared" si="20"/>
        <v>8.0767017613843937</v>
      </c>
      <c r="G67" s="143">
        <f t="shared" si="21"/>
        <v>9.010205088710892</v>
      </c>
      <c r="H67" s="143">
        <f t="shared" si="22"/>
        <v>9.6919143063366544</v>
      </c>
      <c r="I67" s="143">
        <f t="shared" si="23"/>
        <v>10.246566488208197</v>
      </c>
      <c r="J67" s="143">
        <f t="shared" si="24"/>
        <v>10.673595774232203</v>
      </c>
      <c r="K67" s="143">
        <f t="shared" si="25"/>
        <v>11.312218324399518</v>
      </c>
      <c r="L67" s="143">
        <f t="shared" si="26"/>
        <v>13.20444241035951</v>
      </c>
      <c r="M67" s="46"/>
      <c r="N67" s="143">
        <f t="shared" si="2"/>
        <v>9.8626655580158733</v>
      </c>
      <c r="O67" s="143">
        <f t="shared" si="3"/>
        <v>10.640651618512848</v>
      </c>
      <c r="P67" s="143">
        <f t="shared" si="4"/>
        <v>11.113939322959773</v>
      </c>
      <c r="Q67" s="143">
        <f t="shared" si="5"/>
        <v>11.53076538309856</v>
      </c>
      <c r="R67" s="143">
        <f t="shared" si="6"/>
        <v>11.896826395162552</v>
      </c>
      <c r="S67" s="143">
        <f t="shared" si="7"/>
        <v>12.206072645530174</v>
      </c>
      <c r="T67" s="143">
        <f t="shared" si="8"/>
        <v>12.706544857216672</v>
      </c>
      <c r="U67" s="143">
        <f t="shared" si="9"/>
        <v>14.456205878521795</v>
      </c>
      <c r="W67" s="146">
        <f>TxRt!B86</f>
        <v>0.9</v>
      </c>
      <c r="X67" s="146">
        <f>TxRt!B129</f>
        <v>7.7</v>
      </c>
      <c r="Y67" s="146">
        <f>TxRt!B169</f>
        <v>12.2</v>
      </c>
      <c r="Z67" s="146">
        <f>TxRt!B209</f>
        <v>15.9</v>
      </c>
      <c r="AA67" s="146">
        <f>TxRt!B289</f>
        <v>19.2</v>
      </c>
      <c r="AB67" s="146">
        <f>TxRt!B329</f>
        <v>21.6</v>
      </c>
      <c r="AC67" s="146">
        <f>TxRt!B369</f>
        <v>24.8</v>
      </c>
      <c r="AD67" s="146">
        <f>TxRt!B409</f>
        <v>28.6</v>
      </c>
      <c r="AF67" s="60">
        <f>Inc!B83</f>
        <v>19200</v>
      </c>
      <c r="AG67" s="60">
        <f>Inc!B123</f>
        <v>41800</v>
      </c>
      <c r="AH67" s="60">
        <f>Inc!B163</f>
        <v>67100</v>
      </c>
      <c r="AI67" s="60">
        <f>Inc!B203</f>
        <v>101800</v>
      </c>
      <c r="AJ67" s="60">
        <f>Inc!B283</f>
        <v>146800</v>
      </c>
      <c r="AK67" s="60">
        <f>Inc!B323</f>
        <v>200000</v>
      </c>
      <c r="AL67" s="60">
        <f>Inc!B363</f>
        <v>329900</v>
      </c>
      <c r="AM67" s="60">
        <f>Inc!B403</f>
        <v>1897800</v>
      </c>
      <c r="AO67" s="60">
        <f t="shared" si="10"/>
        <v>172.8</v>
      </c>
      <c r="AP67" s="60">
        <f t="shared" si="11"/>
        <v>3218.6</v>
      </c>
      <c r="AQ67" s="60">
        <f t="shared" si="12"/>
        <v>8186.2</v>
      </c>
      <c r="AR67" s="60">
        <f t="shared" si="13"/>
        <v>16186.2</v>
      </c>
      <c r="AS67" s="60">
        <f t="shared" si="14"/>
        <v>28185.599999999999</v>
      </c>
      <c r="AT67" s="60">
        <f t="shared" si="15"/>
        <v>43200</v>
      </c>
      <c r="AU67" s="60">
        <f t="shared" si="16"/>
        <v>81815.199999999997</v>
      </c>
      <c r="AV67" s="60">
        <f t="shared" si="17"/>
        <v>542770.80000000005</v>
      </c>
      <c r="AX67" s="103" t="str">
        <f t="shared" si="27"/>
        <v>2012 0.9 7.7 12.2 15.9 19.2 21.6 24.8 28.6</v>
      </c>
      <c r="AZ67" s="131" t="str">
        <f t="shared" si="28"/>
        <v>2012 0.1 0.9 20</v>
      </c>
      <c r="BA67" s="131" t="str">
        <f t="shared" si="29"/>
        <v>2012 0.3 7.7 20</v>
      </c>
      <c r="BB67" s="131" t="str">
        <f t="shared" si="30"/>
        <v>2012 0.5 12.2 20</v>
      </c>
      <c r="BC67" s="131" t="str">
        <f t="shared" si="31"/>
        <v>2012 0.7 15.9 20</v>
      </c>
      <c r="BD67" s="131" t="str">
        <f t="shared" si="32"/>
        <v>2012 0.85 19.2 10</v>
      </c>
      <c r="BE67" s="131" t="str">
        <f t="shared" si="33"/>
        <v>2012 0.925 21.6 5</v>
      </c>
      <c r="BF67" s="131" t="str">
        <f t="shared" si="34"/>
        <v>2012 0.975 24.8 4</v>
      </c>
      <c r="BG67" s="131" t="str">
        <f t="shared" si="35"/>
        <v>2012 0.995 28.6 1</v>
      </c>
    </row>
    <row r="68" spans="1:59">
      <c r="A68" s="46">
        <f>A67+1</f>
        <v>2013</v>
      </c>
      <c r="B68" s="45">
        <f t="shared" si="37"/>
        <v>0.88237684677883266</v>
      </c>
      <c r="C68" s="45">
        <f t="shared" si="37"/>
        <v>0.95904713496874994</v>
      </c>
      <c r="E68" s="143">
        <f t="shared" si="19"/>
        <v>6.126213947659596</v>
      </c>
      <c r="F68" s="143">
        <f t="shared" si="20"/>
        <v>8.2627137597921756</v>
      </c>
      <c r="G68" s="143">
        <f t="shared" si="21"/>
        <v>9.1438906924048702</v>
      </c>
      <c r="H68" s="143">
        <f t="shared" si="22"/>
        <v>9.8044072748354516</v>
      </c>
      <c r="I68" s="143">
        <f t="shared" si="23"/>
        <v>10.349630644795552</v>
      </c>
      <c r="J68" s="143">
        <f t="shared" si="24"/>
        <v>10.772183405602599</v>
      </c>
      <c r="K68" s="143">
        <f t="shared" si="25"/>
        <v>11.382396417935093</v>
      </c>
      <c r="L68" s="143">
        <f t="shared" si="26"/>
        <v>13.193118535152271</v>
      </c>
      <c r="M68" s="46"/>
      <c r="N68" s="143">
        <f t="shared" si="2"/>
        <v>9.8984750107125841</v>
      </c>
      <c r="O68" s="143">
        <f t="shared" si="3"/>
        <v>10.659609532257463</v>
      </c>
      <c r="P68" s="143">
        <f t="shared" si="4"/>
        <v>11.131665045558881</v>
      </c>
      <c r="Q68" s="143">
        <f t="shared" si="5"/>
        <v>11.553107254603061</v>
      </c>
      <c r="R68" s="143">
        <f t="shared" si="6"/>
        <v>11.915051671812877</v>
      </c>
      <c r="S68" s="143">
        <f t="shared" si="7"/>
        <v>12.233201312918426</v>
      </c>
      <c r="T68" s="143">
        <f t="shared" si="8"/>
        <v>12.717997664739466</v>
      </c>
      <c r="U68" s="143">
        <f t="shared" si="9"/>
        <v>14.283762654171204</v>
      </c>
      <c r="W68" s="146">
        <f>TxRt!B87</f>
        <v>2.2999999999999998</v>
      </c>
      <c r="X68" s="146">
        <f>TxRt!B130</f>
        <v>9.1</v>
      </c>
      <c r="Y68" s="146">
        <f>TxRt!B170</f>
        <v>13.7</v>
      </c>
      <c r="Z68" s="146">
        <f>TxRt!B210</f>
        <v>17.399999999999999</v>
      </c>
      <c r="AA68" s="146">
        <f>TxRt!B290</f>
        <v>20.9</v>
      </c>
      <c r="AB68" s="146">
        <f>TxRt!B330</f>
        <v>23.2</v>
      </c>
      <c r="AC68" s="146">
        <f>TxRt!B370</f>
        <v>26.3</v>
      </c>
      <c r="AD68" s="146">
        <f>TxRt!B410</f>
        <v>33.6</v>
      </c>
      <c r="AF68" s="60">
        <f>Inc!B84</f>
        <v>19900</v>
      </c>
      <c r="AG68" s="60">
        <f>Inc!B124</f>
        <v>42600</v>
      </c>
      <c r="AH68" s="60">
        <f>Inc!B164</f>
        <v>68300</v>
      </c>
      <c r="AI68" s="60">
        <f>Inc!B204</f>
        <v>104100</v>
      </c>
      <c r="AJ68" s="60">
        <f>Inc!B284</f>
        <v>149500</v>
      </c>
      <c r="AK68" s="60">
        <f>Inc!B324</f>
        <v>205500</v>
      </c>
      <c r="AL68" s="60">
        <f>Inc!B364</f>
        <v>333700</v>
      </c>
      <c r="AM68" s="60">
        <f>Inc!B404</f>
        <v>1597200</v>
      </c>
      <c r="AO68" s="60">
        <f t="shared" si="10"/>
        <v>457.7</v>
      </c>
      <c r="AP68" s="60">
        <f t="shared" si="11"/>
        <v>3876.6</v>
      </c>
      <c r="AQ68" s="60">
        <f t="shared" si="12"/>
        <v>9357.1</v>
      </c>
      <c r="AR68" s="60">
        <f t="shared" si="13"/>
        <v>18113.399999999998</v>
      </c>
      <c r="AS68" s="60">
        <f t="shared" si="14"/>
        <v>31245.5</v>
      </c>
      <c r="AT68" s="60">
        <f t="shared" si="15"/>
        <v>47676</v>
      </c>
      <c r="AU68" s="60">
        <f t="shared" si="16"/>
        <v>87763.1</v>
      </c>
      <c r="AV68" s="60">
        <f t="shared" si="17"/>
        <v>536659.19999999995</v>
      </c>
      <c r="AX68" s="103" t="str">
        <f t="shared" si="27"/>
        <v>2013 2.3 9.1 13.7 17.4 20.9 23.2 26.3 33.6</v>
      </c>
      <c r="AZ68" s="131" t="str">
        <f t="shared" si="28"/>
        <v>2013 0.1 2.3 20</v>
      </c>
      <c r="BA68" s="131" t="str">
        <f t="shared" si="29"/>
        <v>2013 0.3 9.1 20</v>
      </c>
      <c r="BB68" s="131" t="str">
        <f t="shared" si="30"/>
        <v>2013 0.5 13.7 20</v>
      </c>
      <c r="BC68" s="131" t="str">
        <f t="shared" si="31"/>
        <v>2013 0.7 17.4 20</v>
      </c>
      <c r="BD68" s="131" t="str">
        <f t="shared" si="32"/>
        <v>2013 0.85 20.9 10</v>
      </c>
      <c r="BE68" s="131" t="str">
        <f t="shared" si="33"/>
        <v>2013 0.925 23.2 5</v>
      </c>
      <c r="BF68" s="131" t="str">
        <f t="shared" si="34"/>
        <v>2013 0.975 26.3 4</v>
      </c>
      <c r="BG68" s="131" t="str">
        <f t="shared" si="35"/>
        <v>2013 0.995 33.6 1</v>
      </c>
    </row>
    <row r="69" spans="1:59">
      <c r="A69" s="46">
        <f>A68+1</f>
        <v>2014</v>
      </c>
      <c r="B69" s="45">
        <f t="shared" si="37"/>
        <v>0.93515832898767015</v>
      </c>
      <c r="C69" s="45">
        <f t="shared" si="37"/>
        <v>0.95112162378487497</v>
      </c>
      <c r="E69" s="143">
        <f t="shared" si="19"/>
        <v>5.9097120452357226</v>
      </c>
      <c r="F69" s="143">
        <f t="shared" si="20"/>
        <v>8.2540085905648439</v>
      </c>
      <c r="G69" s="143">
        <f t="shared" si="21"/>
        <v>9.1844069899496787</v>
      </c>
      <c r="H69" s="143">
        <f t="shared" si="22"/>
        <v>9.8433340697162848</v>
      </c>
      <c r="I69" s="143">
        <f t="shared" si="23"/>
        <v>10.388330531978504</v>
      </c>
      <c r="J69" s="143">
        <f t="shared" si="24"/>
        <v>10.79861184754847</v>
      </c>
      <c r="K69" s="143">
        <f t="shared" si="25"/>
        <v>11.435420035681755</v>
      </c>
      <c r="L69" s="143">
        <f t="shared" si="26"/>
        <v>13.311207615187477</v>
      </c>
      <c r="M69" s="46"/>
      <c r="N69" s="143">
        <f t="shared" si="2"/>
        <v>9.87302834505142</v>
      </c>
      <c r="O69" s="143">
        <f t="shared" si="3"/>
        <v>10.661954199216716</v>
      </c>
      <c r="P69" s="143">
        <f t="shared" si="4"/>
        <v>11.150519846322512</v>
      </c>
      <c r="Q69" s="143">
        <f t="shared" si="5"/>
        <v>11.569305798406337</v>
      </c>
      <c r="R69" s="143">
        <f t="shared" si="6"/>
        <v>11.939499536288627</v>
      </c>
      <c r="S69" s="143">
        <f t="shared" si="7"/>
        <v>12.251046011172905</v>
      </c>
      <c r="T69" s="143">
        <f t="shared" si="8"/>
        <v>12.755926656263643</v>
      </c>
      <c r="U69" s="143">
        <f t="shared" si="9"/>
        <v>14.40185173420641</v>
      </c>
      <c r="W69" s="146">
        <f>TxRt!B88</f>
        <v>1.9</v>
      </c>
      <c r="X69" s="146">
        <f>TxRt!B131</f>
        <v>9</v>
      </c>
      <c r="Y69" s="146">
        <f>TxRt!B171</f>
        <v>14</v>
      </c>
      <c r="Z69" s="146">
        <f>TxRt!B211</f>
        <v>17.8</v>
      </c>
      <c r="AA69" s="146">
        <f>TxRt!B291</f>
        <v>21.2</v>
      </c>
      <c r="AB69" s="146">
        <f>TxRt!B331</f>
        <v>23.4</v>
      </c>
      <c r="AC69" s="146">
        <f>TxRt!B371</f>
        <v>26.7</v>
      </c>
      <c r="AD69" s="146">
        <f>TxRt!B411</f>
        <v>33.6</v>
      </c>
      <c r="AF69" s="60">
        <f>Inc!B85</f>
        <v>19400</v>
      </c>
      <c r="AG69" s="60">
        <f>Inc!B125</f>
        <v>42700</v>
      </c>
      <c r="AH69" s="60">
        <f>Inc!B165</f>
        <v>69600</v>
      </c>
      <c r="AI69" s="60">
        <f>Inc!B205</f>
        <v>105800</v>
      </c>
      <c r="AJ69" s="60">
        <f>Inc!B285</f>
        <v>153200</v>
      </c>
      <c r="AK69" s="60">
        <f>Inc!B325</f>
        <v>209200</v>
      </c>
      <c r="AL69" s="60">
        <f>Inc!B365</f>
        <v>346600</v>
      </c>
      <c r="AM69" s="60">
        <f>Inc!B405</f>
        <v>1797400</v>
      </c>
      <c r="AO69" s="60">
        <f t="shared" si="10"/>
        <v>368.6</v>
      </c>
      <c r="AP69" s="60">
        <f t="shared" si="11"/>
        <v>3843</v>
      </c>
      <c r="AQ69" s="60">
        <f t="shared" si="12"/>
        <v>9744</v>
      </c>
      <c r="AR69" s="60">
        <f t="shared" si="13"/>
        <v>18832.400000000001</v>
      </c>
      <c r="AS69" s="60">
        <f t="shared" si="14"/>
        <v>32478.400000000001</v>
      </c>
      <c r="AT69" s="60">
        <f t="shared" si="15"/>
        <v>48952.800000000003</v>
      </c>
      <c r="AU69" s="60">
        <f t="shared" si="16"/>
        <v>92542.2</v>
      </c>
      <c r="AV69" s="60">
        <f t="shared" si="17"/>
        <v>603926.4</v>
      </c>
      <c r="AX69" s="103" t="str">
        <f t="shared" si="27"/>
        <v>2014 1.9 9 14 17.8 21.2 23.4 26.7 33.6</v>
      </c>
      <c r="AZ69" s="131" t="str">
        <f t="shared" si="28"/>
        <v>2014 0.1 1.9 20</v>
      </c>
      <c r="BA69" s="131" t="str">
        <f t="shared" si="29"/>
        <v>2014 0.3 9 20</v>
      </c>
      <c r="BB69" s="131" t="str">
        <f t="shared" si="30"/>
        <v>2014 0.5 14 20</v>
      </c>
      <c r="BC69" s="131" t="str">
        <f t="shared" si="31"/>
        <v>2014 0.7 17.8 20</v>
      </c>
      <c r="BD69" s="131" t="str">
        <f t="shared" si="32"/>
        <v>2014 0.85 21.2 10</v>
      </c>
      <c r="BE69" s="131" t="str">
        <f t="shared" si="33"/>
        <v>2014 0.925 23.4 5</v>
      </c>
      <c r="BF69" s="131" t="str">
        <f t="shared" si="34"/>
        <v>2014 0.975 26.7 4</v>
      </c>
      <c r="BG69" s="131" t="str">
        <f t="shared" si="35"/>
        <v>2014 0.995 33.6 1</v>
      </c>
    </row>
    <row r="70" spans="1:59">
      <c r="A70" s="46">
        <f>A69+1</f>
        <v>2015</v>
      </c>
      <c r="B70" s="45">
        <f t="shared" si="37"/>
        <v>1.0179341097002794</v>
      </c>
      <c r="C70" s="45">
        <f t="shared" si="37"/>
        <v>0.93614494479050969</v>
      </c>
      <c r="E70" s="143">
        <f t="shared" si="19"/>
        <v>5.7284750872465722</v>
      </c>
      <c r="F70" s="143">
        <f t="shared" si="20"/>
        <v>8.3195224360750579</v>
      </c>
      <c r="G70" s="143">
        <f t="shared" si="21"/>
        <v>9.2183085416253601</v>
      </c>
      <c r="H70" s="143">
        <f t="shared" si="22"/>
        <v>9.8814822010232479</v>
      </c>
      <c r="I70" s="143">
        <f t="shared" si="23"/>
        <v>10.428307793241789</v>
      </c>
      <c r="J70" s="143">
        <f t="shared" si="24"/>
        <v>10.842345713567923</v>
      </c>
      <c r="K70" s="143">
        <f t="shared" si="25"/>
        <v>11.472519009101827</v>
      </c>
      <c r="L70" s="143">
        <f t="shared" si="26"/>
        <v>13.345306108555519</v>
      </c>
      <c r="M70" s="46"/>
      <c r="N70" s="143">
        <f t="shared" si="2"/>
        <v>9.9281801651265003</v>
      </c>
      <c r="O70" s="143">
        <f t="shared" si="3"/>
        <v>10.705489138008156</v>
      </c>
      <c r="P70" s="143">
        <f t="shared" si="4"/>
        <v>11.184421397998193</v>
      </c>
      <c r="Q70" s="143">
        <f t="shared" si="5"/>
        <v>11.60185167416463</v>
      </c>
      <c r="R70" s="143">
        <f t="shared" si="6"/>
        <v>11.9747709065145</v>
      </c>
      <c r="S70" s="143">
        <f t="shared" si="7"/>
        <v>12.28626918752445</v>
      </c>
      <c r="T70" s="143">
        <f t="shared" si="8"/>
        <v>12.793025629683715</v>
      </c>
      <c r="U70" s="143">
        <f t="shared" si="9"/>
        <v>14.444918897557212</v>
      </c>
      <c r="W70" s="146">
        <f>TxRt!B89</f>
        <v>1.5</v>
      </c>
      <c r="X70" s="146">
        <f>TxRt!B132</f>
        <v>9.1999999999999993</v>
      </c>
      <c r="Y70" s="146">
        <f>TxRt!B172</f>
        <v>14</v>
      </c>
      <c r="Z70" s="146">
        <f>TxRt!B212</f>
        <v>17.899999999999999</v>
      </c>
      <c r="AA70" s="146">
        <f>TxRt!B292</f>
        <v>21.3</v>
      </c>
      <c r="AB70" s="146">
        <f>TxRt!B332</f>
        <v>23.6</v>
      </c>
      <c r="AC70" s="146">
        <f>TxRt!B372</f>
        <v>26.7</v>
      </c>
      <c r="AD70" s="146">
        <f>TxRt!B412</f>
        <v>33.299999999999997</v>
      </c>
      <c r="AF70" s="60">
        <f>Inc!B86</f>
        <v>20500</v>
      </c>
      <c r="AG70" s="60">
        <f>Inc!B126</f>
        <v>44600</v>
      </c>
      <c r="AH70" s="60">
        <f>Inc!B166</f>
        <v>72000</v>
      </c>
      <c r="AI70" s="60">
        <f>Inc!B206</f>
        <v>109300</v>
      </c>
      <c r="AJ70" s="60">
        <f>Inc!B286</f>
        <v>158700</v>
      </c>
      <c r="AK70" s="60">
        <f>Inc!B326</f>
        <v>216700</v>
      </c>
      <c r="AL70" s="60">
        <f>Inc!B366</f>
        <v>359700</v>
      </c>
      <c r="AM70" s="60">
        <f>Inc!B406</f>
        <v>1876500</v>
      </c>
      <c r="AO70" s="60">
        <f t="shared" si="10"/>
        <v>307.5</v>
      </c>
      <c r="AP70" s="60">
        <f t="shared" si="11"/>
        <v>4103.2</v>
      </c>
      <c r="AQ70" s="60">
        <f t="shared" si="12"/>
        <v>10080</v>
      </c>
      <c r="AR70" s="60">
        <f t="shared" si="13"/>
        <v>19564.699999999997</v>
      </c>
      <c r="AS70" s="60">
        <f t="shared" si="14"/>
        <v>33803.1</v>
      </c>
      <c r="AT70" s="60">
        <f t="shared" si="15"/>
        <v>51141.2</v>
      </c>
      <c r="AU70" s="60">
        <f t="shared" si="16"/>
        <v>96039.9</v>
      </c>
      <c r="AV70" s="60">
        <f t="shared" si="17"/>
        <v>624874.49999999988</v>
      </c>
      <c r="AX70" s="103" t="str">
        <f t="shared" si="27"/>
        <v>2015 1.5 9.2 14 17.9 21.3 23.6 26.7 33.3</v>
      </c>
      <c r="AZ70" s="131" t="str">
        <f t="shared" si="28"/>
        <v>2015 0.1 1.5 20</v>
      </c>
      <c r="BA70" s="131" t="str">
        <f t="shared" si="29"/>
        <v>2015 0.3 9.2 20</v>
      </c>
      <c r="BB70" s="131" t="str">
        <f t="shared" si="30"/>
        <v>2015 0.5 14 20</v>
      </c>
      <c r="BC70" s="131" t="str">
        <f t="shared" si="31"/>
        <v>2015 0.7 17.9 20</v>
      </c>
      <c r="BD70" s="131" t="str">
        <f t="shared" si="32"/>
        <v>2015 0.85 21.3 10</v>
      </c>
      <c r="BE70" s="131" t="str">
        <f t="shared" si="33"/>
        <v>2015 0.925 23.6 5</v>
      </c>
      <c r="BF70" s="131" t="str">
        <f t="shared" si="34"/>
        <v>2015 0.975 26.7 4</v>
      </c>
      <c r="BG70" s="131" t="str">
        <f t="shared" si="35"/>
        <v>2015 0.995 33.3 1</v>
      </c>
    </row>
    <row r="71" spans="1:59">
      <c r="A71" s="46">
        <f>A70+1</f>
        <v>2016</v>
      </c>
      <c r="B71" s="45">
        <f t="shared" si="37"/>
        <v>0.97979200975771663</v>
      </c>
      <c r="C71" s="45">
        <f t="shared" si="37"/>
        <v>0.94295449229745976</v>
      </c>
      <c r="E71" s="143">
        <f t="shared" si="19"/>
        <v>5.8585044198517515</v>
      </c>
      <c r="F71" s="143">
        <f t="shared" si="20"/>
        <v>8.3566018147589922</v>
      </c>
      <c r="G71" s="143">
        <f t="shared" si="21"/>
        <v>9.2180604949913203</v>
      </c>
      <c r="H71" s="143">
        <f t="shared" si="22"/>
        <v>9.8842231803546703</v>
      </c>
      <c r="I71" s="143">
        <f t="shared" si="23"/>
        <v>10.42925695968772</v>
      </c>
      <c r="J71" s="143">
        <f t="shared" si="24"/>
        <v>10.849702068581509</v>
      </c>
      <c r="K71" s="143">
        <f t="shared" si="25"/>
        <v>11.475701157671958</v>
      </c>
      <c r="L71" s="143">
        <f t="shared" si="26"/>
        <v>13.297442772941224</v>
      </c>
      <c r="M71" s="46"/>
      <c r="N71" s="143">
        <f t="shared" si="2"/>
        <v>9.9330463547776731</v>
      </c>
      <c r="O71" s="143">
        <f t="shared" si="3"/>
        <v>10.721062311471126</v>
      </c>
      <c r="P71" s="143">
        <f t="shared" si="4"/>
        <v>11.191341840842766</v>
      </c>
      <c r="Q71" s="143">
        <f t="shared" si="5"/>
        <v>11.604592653496052</v>
      </c>
      <c r="R71" s="143">
        <f t="shared" si="6"/>
        <v>11.980425963997845</v>
      </c>
      <c r="S71" s="143">
        <f t="shared" si="7"/>
        <v>12.293625542538035</v>
      </c>
      <c r="T71" s="143">
        <f t="shared" si="8"/>
        <v>12.792469456143239</v>
      </c>
      <c r="U71" s="143">
        <f t="shared" si="9"/>
        <v>14.397055561942917</v>
      </c>
      <c r="W71" s="146">
        <f>TxRt!B90</f>
        <v>1.7</v>
      </c>
      <c r="X71" s="146">
        <f>TxRt!B133</f>
        <v>9.4</v>
      </c>
      <c r="Y71" s="146">
        <f>TxRt!B173</f>
        <v>13.9</v>
      </c>
      <c r="Z71" s="146">
        <f>TxRt!B213</f>
        <v>17.899999999999999</v>
      </c>
      <c r="AA71" s="146">
        <f>TxRt!B293</f>
        <v>21.2</v>
      </c>
      <c r="AB71" s="146">
        <f>TxRt!B333</f>
        <v>23.6</v>
      </c>
      <c r="AC71" s="146">
        <f>TxRt!B373</f>
        <v>26.8</v>
      </c>
      <c r="AD71" s="146">
        <f>TxRt!B413</f>
        <v>33.299999999999997</v>
      </c>
      <c r="AF71" s="60">
        <f>Inc!B87</f>
        <v>20600</v>
      </c>
      <c r="AG71" s="60">
        <f>Inc!B127</f>
        <v>45300</v>
      </c>
      <c r="AH71" s="60">
        <f>Inc!B167</f>
        <v>72500</v>
      </c>
      <c r="AI71" s="60">
        <f>Inc!B207</f>
        <v>109600</v>
      </c>
      <c r="AJ71" s="60">
        <f>Inc!B287</f>
        <v>159600</v>
      </c>
      <c r="AK71" s="60">
        <f>Inc!B327</f>
        <v>218300</v>
      </c>
      <c r="AL71" s="60">
        <f>Inc!B367</f>
        <v>359500</v>
      </c>
      <c r="AM71" s="60">
        <f>Inc!B407</f>
        <v>1788800</v>
      </c>
      <c r="AO71" s="60">
        <f t="shared" si="10"/>
        <v>350.2</v>
      </c>
      <c r="AP71" s="60">
        <f t="shared" si="11"/>
        <v>4258.2</v>
      </c>
      <c r="AQ71" s="60">
        <f t="shared" si="12"/>
        <v>10077.5</v>
      </c>
      <c r="AR71" s="60">
        <f t="shared" si="13"/>
        <v>19618.399999999998</v>
      </c>
      <c r="AS71" s="60">
        <f t="shared" si="14"/>
        <v>33835.199999999997</v>
      </c>
      <c r="AT71" s="60">
        <f t="shared" si="15"/>
        <v>51518.8</v>
      </c>
      <c r="AU71" s="60">
        <f t="shared" si="16"/>
        <v>96346</v>
      </c>
      <c r="AV71" s="60">
        <f t="shared" si="17"/>
        <v>595670.39999999991</v>
      </c>
      <c r="AX71" s="103" t="str">
        <f t="shared" si="27"/>
        <v>2016 1.7 9.4 13.9 17.9 21.2 23.6 26.8 33.3</v>
      </c>
      <c r="AZ71" s="131" t="str">
        <f t="shared" si="28"/>
        <v>2016 0.1 1.7 20</v>
      </c>
      <c r="BA71" s="131" t="str">
        <f t="shared" si="29"/>
        <v>2016 0.3 9.4 20</v>
      </c>
      <c r="BB71" s="131" t="str">
        <f t="shared" si="30"/>
        <v>2016 0.5 13.9 20</v>
      </c>
      <c r="BC71" s="131" t="str">
        <f t="shared" si="31"/>
        <v>2016 0.7 17.9 20</v>
      </c>
      <c r="BD71" s="131" t="str">
        <f t="shared" si="32"/>
        <v>2016 0.85 21.2 10</v>
      </c>
      <c r="BE71" s="131" t="str">
        <f t="shared" si="33"/>
        <v>2016 0.925 23.6 5</v>
      </c>
      <c r="BF71" s="131" t="str">
        <f t="shared" si="34"/>
        <v>2016 0.975 26.8 4</v>
      </c>
      <c r="BG71" s="131" t="str">
        <f t="shared" si="35"/>
        <v>2016 0.995 33.3 1</v>
      </c>
    </row>
    <row r="72" spans="1:59" s="131" customFormat="1" ht="15" customHeight="1">
      <c r="A72" s="201" t="s">
        <v>154</v>
      </c>
      <c r="B72" s="451">
        <f>(B71-B34)/B34</f>
        <v>1.1023095837107169</v>
      </c>
      <c r="C72" s="45"/>
      <c r="E72" s="143"/>
      <c r="F72" s="143"/>
      <c r="G72" s="143"/>
      <c r="H72" s="143"/>
      <c r="I72" s="143"/>
      <c r="J72" s="143"/>
      <c r="K72" s="143"/>
      <c r="L72" s="143"/>
      <c r="M72" s="46"/>
      <c r="N72" s="143"/>
      <c r="O72" s="143"/>
      <c r="P72" s="143"/>
      <c r="Q72" s="143"/>
      <c r="R72" s="143"/>
      <c r="S72" s="143"/>
      <c r="T72" s="143"/>
      <c r="U72" s="143"/>
      <c r="W72" s="146"/>
      <c r="X72" s="146"/>
      <c r="Y72" s="146"/>
      <c r="Z72" s="146"/>
      <c r="AA72" s="146"/>
      <c r="AB72" s="146"/>
      <c r="AC72" s="146"/>
      <c r="AD72" s="146"/>
      <c r="AE72" s="46"/>
      <c r="AF72" s="60"/>
      <c r="AG72" s="60"/>
      <c r="AH72" s="60"/>
      <c r="AI72" s="60"/>
      <c r="AJ72" s="60"/>
      <c r="AK72" s="60"/>
      <c r="AL72" s="60"/>
      <c r="AM72" s="60"/>
      <c r="AO72" s="60"/>
      <c r="AP72" s="60"/>
      <c r="AQ72" s="60"/>
      <c r="AR72" s="60"/>
      <c r="AS72" s="60"/>
      <c r="AT72" s="60"/>
      <c r="AU72" s="60"/>
      <c r="AV72" s="60"/>
      <c r="AX72" s="103"/>
      <c r="AZ72" s="131" t="str">
        <f t="shared" si="28"/>
        <v>1979-2016 0.1  20</v>
      </c>
      <c r="BA72" s="131" t="str">
        <f t="shared" si="29"/>
        <v>1979-2016 0.3  20</v>
      </c>
      <c r="BB72" s="131" t="str">
        <f t="shared" si="30"/>
        <v>1979-2016 0.5  20</v>
      </c>
      <c r="BC72" s="131" t="str">
        <f t="shared" si="31"/>
        <v>1979-2016 0.7  20</v>
      </c>
      <c r="BD72" s="131" t="str">
        <f t="shared" si="32"/>
        <v>1979-2016 0.85  10</v>
      </c>
      <c r="BE72" s="131" t="str">
        <f t="shared" si="33"/>
        <v>1979-2016 0.925  5</v>
      </c>
      <c r="BF72" s="131" t="str">
        <f t="shared" si="34"/>
        <v>1979-2016 0.975  4</v>
      </c>
      <c r="BG72" s="131" t="str">
        <f t="shared" si="35"/>
        <v>1979-2016 0.995  1</v>
      </c>
    </row>
    <row r="73" spans="1:59" s="131" customFormat="1">
      <c r="A73" s="194" t="s">
        <v>791</v>
      </c>
      <c r="B73" s="647">
        <f>(B71-B41)/B41</f>
        <v>2.4505763683915256</v>
      </c>
      <c r="C73" s="239"/>
      <c r="D73" s="191"/>
      <c r="E73" s="240"/>
      <c r="F73" s="240"/>
      <c r="G73" s="240"/>
      <c r="H73" s="240"/>
      <c r="I73" s="240"/>
      <c r="J73" s="240"/>
      <c r="K73" s="240"/>
      <c r="L73" s="240"/>
      <c r="M73" s="199"/>
      <c r="N73" s="240"/>
      <c r="O73" s="240"/>
      <c r="P73" s="240"/>
      <c r="Q73" s="240"/>
      <c r="R73" s="240"/>
      <c r="S73" s="240"/>
      <c r="T73" s="240"/>
      <c r="U73" s="240"/>
      <c r="V73" s="191"/>
      <c r="W73" s="241"/>
      <c r="X73" s="241"/>
      <c r="Y73" s="241"/>
      <c r="Z73" s="241"/>
      <c r="AA73" s="241"/>
      <c r="AB73" s="241"/>
      <c r="AC73" s="241"/>
      <c r="AD73" s="241"/>
      <c r="AE73" s="199"/>
      <c r="AF73" s="242"/>
      <c r="AG73" s="242"/>
      <c r="AH73" s="242"/>
      <c r="AI73" s="242"/>
      <c r="AJ73" s="242"/>
      <c r="AK73" s="242"/>
      <c r="AL73" s="242"/>
      <c r="AM73" s="242"/>
      <c r="AN73" s="191"/>
      <c r="AO73" s="242"/>
      <c r="AP73" s="242"/>
      <c r="AQ73" s="242"/>
      <c r="AR73" s="242"/>
      <c r="AS73" s="242"/>
      <c r="AT73" s="242"/>
      <c r="AU73" s="242"/>
      <c r="AV73" s="242"/>
    </row>
    <row r="74" spans="1:59" s="131" customFormat="1" ht="5.25" customHeight="1">
      <c r="A74" s="119"/>
      <c r="B74" s="238"/>
      <c r="C74" s="238"/>
      <c r="E74" s="143"/>
      <c r="F74" s="143"/>
      <c r="G74" s="143"/>
      <c r="H74" s="143"/>
      <c r="I74" s="143"/>
      <c r="J74" s="143"/>
      <c r="K74" s="143"/>
      <c r="L74" s="143"/>
      <c r="M74" s="46"/>
      <c r="N74" s="143"/>
      <c r="O74" s="143"/>
      <c r="P74" s="143"/>
      <c r="Q74" s="143"/>
      <c r="R74" s="143"/>
      <c r="S74" s="143"/>
      <c r="T74" s="143"/>
      <c r="U74" s="143"/>
      <c r="W74" s="146"/>
      <c r="X74" s="146"/>
      <c r="Y74" s="146"/>
      <c r="Z74" s="146"/>
      <c r="AA74" s="146"/>
      <c r="AB74" s="146"/>
      <c r="AC74" s="146"/>
      <c r="AD74" s="146"/>
      <c r="AE74" s="46"/>
      <c r="AF74" s="60"/>
      <c r="AG74" s="60"/>
      <c r="AH74" s="60"/>
      <c r="AI74" s="60"/>
      <c r="AJ74" s="60"/>
      <c r="AK74" s="60"/>
      <c r="AL74" s="60"/>
      <c r="AM74" s="60"/>
      <c r="AO74" s="60"/>
      <c r="AP74" s="60"/>
      <c r="AQ74" s="60"/>
      <c r="AR74" s="60"/>
      <c r="AS74" s="60"/>
      <c r="AT74" s="60"/>
      <c r="AU74" s="60"/>
      <c r="AV74" s="60"/>
    </row>
    <row r="75" spans="1:59" s="131" customFormat="1">
      <c r="A75" s="243" t="s">
        <v>256</v>
      </c>
      <c r="B75" s="238"/>
      <c r="C75" s="238"/>
      <c r="E75" s="143"/>
      <c r="F75" s="143"/>
      <c r="G75" s="143"/>
      <c r="H75" s="143"/>
      <c r="I75" s="143"/>
      <c r="J75" s="143"/>
      <c r="K75" s="143"/>
      <c r="L75" s="143"/>
      <c r="M75" s="46"/>
      <c r="N75" s="143"/>
      <c r="O75" s="143"/>
      <c r="P75" s="143"/>
      <c r="Q75" s="143"/>
      <c r="R75" s="143"/>
      <c r="S75" s="143"/>
      <c r="T75" s="143"/>
      <c r="U75" s="143"/>
      <c r="Z75" s="146"/>
      <c r="AA75" s="146"/>
      <c r="AB75" s="146"/>
      <c r="AC75" s="146"/>
      <c r="AD75" s="146"/>
      <c r="AE75" s="46"/>
      <c r="AF75" s="60"/>
      <c r="AG75" s="60"/>
      <c r="AH75" s="60"/>
      <c r="AI75" s="60"/>
      <c r="AJ75" s="60"/>
      <c r="AK75" s="60"/>
      <c r="AL75" s="60"/>
      <c r="AM75" s="60"/>
      <c r="AO75" s="60"/>
      <c r="AP75" s="60"/>
      <c r="AQ75" s="60"/>
      <c r="AR75" s="60"/>
      <c r="AS75" s="60"/>
      <c r="AT75" s="60"/>
      <c r="AU75" s="60"/>
      <c r="AV75" s="60"/>
    </row>
    <row r="76" spans="1:59" s="465" customFormat="1">
      <c r="A76" s="103" t="s">
        <v>513</v>
      </c>
      <c r="B76" s="238"/>
      <c r="C76" s="238"/>
      <c r="E76" s="143"/>
      <c r="F76" s="143"/>
      <c r="G76" s="143"/>
      <c r="H76" s="143"/>
      <c r="I76" s="143"/>
      <c r="J76" s="143"/>
      <c r="K76" s="143"/>
      <c r="L76" s="143"/>
      <c r="M76" s="46"/>
      <c r="N76" s="143"/>
      <c r="O76" s="143"/>
      <c r="P76" s="143"/>
      <c r="Q76" s="143"/>
      <c r="R76" s="143"/>
      <c r="S76" s="143"/>
      <c r="T76" s="143"/>
      <c r="U76" s="143"/>
      <c r="W76" s="644"/>
      <c r="X76" s="644"/>
      <c r="Y76" s="146"/>
      <c r="Z76" s="645"/>
      <c r="AA76" s="146"/>
      <c r="AB76" s="146"/>
      <c r="AC76" s="146"/>
      <c r="AD76" s="146"/>
      <c r="AE76" s="46"/>
      <c r="AF76" s="153"/>
      <c r="AG76" s="153"/>
      <c r="AH76" s="153"/>
      <c r="AI76" s="60"/>
      <c r="AJ76" s="60"/>
      <c r="AK76" s="60"/>
      <c r="AL76" s="60"/>
      <c r="AM76" s="60"/>
      <c r="AO76" s="646"/>
      <c r="AP76" s="646"/>
      <c r="AQ76" s="646"/>
      <c r="AR76" s="60"/>
      <c r="AS76" s="60"/>
      <c r="AT76" s="60"/>
      <c r="AU76" s="60"/>
      <c r="AV76" s="60"/>
    </row>
    <row r="77" spans="1:59" s="465" customFormat="1">
      <c r="A77" s="103" t="s">
        <v>191</v>
      </c>
      <c r="B77" s="238"/>
      <c r="C77" s="238"/>
      <c r="E77" s="143"/>
      <c r="F77" s="143"/>
      <c r="G77" s="143"/>
      <c r="H77" s="143"/>
      <c r="I77" s="143"/>
      <c r="J77" s="143"/>
      <c r="K77" s="143"/>
      <c r="L77" s="143"/>
      <c r="M77" s="46"/>
      <c r="N77" s="143"/>
      <c r="O77" s="143"/>
      <c r="P77" s="143"/>
      <c r="Q77" s="143"/>
      <c r="R77" s="143"/>
      <c r="S77" s="143"/>
      <c r="T77" s="143"/>
      <c r="U77" s="143"/>
      <c r="W77" s="644"/>
      <c r="X77" s="644"/>
      <c r="Y77" s="146"/>
      <c r="Z77" s="645"/>
      <c r="AA77" s="146"/>
      <c r="AB77" s="146"/>
      <c r="AC77" s="146"/>
      <c r="AD77" s="146"/>
      <c r="AE77" s="46"/>
      <c r="AF77" s="153"/>
      <c r="AG77" s="153"/>
      <c r="AH77" s="153"/>
      <c r="AI77" s="60"/>
      <c r="AJ77" s="60"/>
      <c r="AK77" s="60"/>
      <c r="AL77" s="60"/>
      <c r="AM77" s="60"/>
      <c r="AP77" s="646"/>
      <c r="AQ77" s="646"/>
      <c r="AR77" s="60"/>
      <c r="AS77" s="60"/>
      <c r="AT77" s="60"/>
      <c r="AU77" s="60"/>
      <c r="AV77" s="60"/>
    </row>
    <row r="78" spans="1:59" s="131" customFormat="1">
      <c r="A78" s="243"/>
      <c r="B78" s="238"/>
      <c r="C78" s="238"/>
      <c r="E78" s="143"/>
      <c r="F78" s="143"/>
      <c r="G78" s="143"/>
      <c r="H78" s="143"/>
      <c r="I78" s="143"/>
      <c r="J78" s="143"/>
      <c r="K78" s="143"/>
      <c r="L78" s="143"/>
      <c r="M78" s="46"/>
      <c r="N78" s="143"/>
      <c r="O78" s="143"/>
      <c r="P78" s="143"/>
      <c r="Q78" s="143"/>
      <c r="R78" s="143"/>
      <c r="S78" s="143"/>
      <c r="T78" s="143"/>
      <c r="U78" s="143"/>
      <c r="W78" s="644"/>
      <c r="X78" s="644"/>
      <c r="Y78" s="146"/>
      <c r="Z78" s="146"/>
      <c r="AA78" s="146"/>
      <c r="AB78" s="146"/>
      <c r="AC78" s="146"/>
      <c r="AD78" s="146"/>
      <c r="AE78" s="46"/>
      <c r="AF78" s="153"/>
      <c r="AG78" s="153"/>
      <c r="AH78" s="153"/>
      <c r="AI78" s="60"/>
      <c r="AJ78" s="60"/>
      <c r="AK78" s="60"/>
      <c r="AL78" s="60"/>
      <c r="AM78" s="60"/>
      <c r="AO78" s="564"/>
      <c r="AP78" s="646"/>
      <c r="AQ78" s="646"/>
      <c r="AR78" s="60"/>
      <c r="AS78" s="60"/>
      <c r="AT78" s="60"/>
      <c r="AU78" s="60"/>
      <c r="AV78" s="60"/>
    </row>
    <row r="79" spans="1:59" s="131" customFormat="1">
      <c r="A79" s="247"/>
      <c r="B79" s="248"/>
      <c r="C79" s="248"/>
      <c r="D79" s="249"/>
      <c r="E79" s="250" t="s">
        <v>158</v>
      </c>
      <c r="F79" s="250" t="s">
        <v>159</v>
      </c>
      <c r="G79" s="250" t="s">
        <v>160</v>
      </c>
      <c r="H79" s="250" t="s">
        <v>161</v>
      </c>
      <c r="I79" s="251" t="s">
        <v>33</v>
      </c>
      <c r="J79" s="251" t="s">
        <v>51</v>
      </c>
      <c r="K79" s="251" t="s">
        <v>52</v>
      </c>
      <c r="L79" s="251" t="s">
        <v>28</v>
      </c>
      <c r="M79" s="46"/>
      <c r="N79" s="143"/>
      <c r="O79" s="143"/>
      <c r="P79" s="143"/>
      <c r="Q79" s="143"/>
      <c r="R79" s="143"/>
      <c r="S79" s="143"/>
      <c r="T79" s="143"/>
      <c r="U79" s="143"/>
      <c r="W79" s="146"/>
      <c r="X79" s="146"/>
      <c r="Y79" s="146"/>
      <c r="Z79" s="146"/>
      <c r="AA79" s="146"/>
      <c r="AB79" s="146"/>
      <c r="AC79" s="146"/>
      <c r="AD79" s="146"/>
      <c r="AE79" s="46"/>
      <c r="AF79" s="60"/>
      <c r="AG79" s="60"/>
      <c r="AH79" s="60"/>
      <c r="AI79" s="60"/>
      <c r="AJ79" s="60"/>
      <c r="AK79" s="60"/>
      <c r="AL79" s="60"/>
      <c r="AM79" s="60"/>
      <c r="AO79" s="564"/>
      <c r="AP79" s="646"/>
      <c r="AQ79" s="646"/>
      <c r="AR79" s="60"/>
      <c r="AS79" s="60"/>
      <c r="AT79" s="60"/>
      <c r="AU79" s="60"/>
      <c r="AV79" s="60"/>
    </row>
    <row r="80" spans="1:59" s="131" customFormat="1">
      <c r="A80" s="252" t="s">
        <v>260</v>
      </c>
      <c r="B80" s="248"/>
      <c r="C80" s="248"/>
      <c r="D80" s="249"/>
      <c r="E80" s="253">
        <v>20</v>
      </c>
      <c r="F80" s="253">
        <v>20</v>
      </c>
      <c r="G80" s="253">
        <v>20</v>
      </c>
      <c r="H80" s="253">
        <v>20</v>
      </c>
      <c r="I80" s="253">
        <v>10</v>
      </c>
      <c r="J80" s="253">
        <v>5</v>
      </c>
      <c r="K80" s="253">
        <v>4</v>
      </c>
      <c r="L80" s="253">
        <v>1</v>
      </c>
      <c r="M80" s="46"/>
      <c r="N80" s="143"/>
      <c r="O80" s="143"/>
      <c r="P80" s="143"/>
      <c r="Q80" s="143"/>
      <c r="R80" s="143"/>
      <c r="S80" s="143"/>
      <c r="T80" s="143"/>
      <c r="U80" s="143"/>
      <c r="W80" s="146"/>
      <c r="X80" s="146"/>
      <c r="Y80" s="146"/>
      <c r="Z80" s="146"/>
      <c r="AA80" s="146"/>
      <c r="AB80" s="146"/>
      <c r="AC80" s="146"/>
      <c r="AD80" s="146"/>
      <c r="AE80" s="46"/>
      <c r="AF80" s="60"/>
      <c r="AG80" s="60"/>
      <c r="AH80" s="60"/>
      <c r="AI80" s="60"/>
      <c r="AJ80" s="60"/>
      <c r="AK80" s="60"/>
      <c r="AL80" s="60"/>
      <c r="AM80" s="60"/>
      <c r="AO80" s="564"/>
      <c r="AP80" s="646"/>
      <c r="AQ80" s="646"/>
      <c r="AR80" s="60"/>
      <c r="AS80" s="60"/>
      <c r="AT80" s="60"/>
      <c r="AU80" s="60"/>
      <c r="AV80" s="60"/>
    </row>
    <row r="82" spans="1:205">
      <c r="A82" s="104" t="s">
        <v>189</v>
      </c>
      <c r="B82" s="12"/>
    </row>
    <row r="83" spans="1:205">
      <c r="A83" s="258" t="s">
        <v>494</v>
      </c>
      <c r="B83" s="12"/>
    </row>
    <row r="84" spans="1:205">
      <c r="A84" s="37"/>
      <c r="B84" s="47">
        <f>LINEST(E84:L84, N84:U84, TRUE, FALSE)-1</f>
        <v>0</v>
      </c>
      <c r="C84" s="45"/>
      <c r="D84" s="131"/>
      <c r="E84" s="143">
        <f t="shared" ref="E84:L84" si="38">LN(AO84)</f>
        <v>8.2940496401020276</v>
      </c>
      <c r="F84" s="143">
        <f t="shared" si="38"/>
        <v>8.987196820661973</v>
      </c>
      <c r="G84" s="143">
        <f t="shared" si="38"/>
        <v>9.5468126085973957</v>
      </c>
      <c r="H84" s="143">
        <f t="shared" si="38"/>
        <v>9.9034875525361272</v>
      </c>
      <c r="I84" s="143">
        <f t="shared" si="38"/>
        <v>10.308952660644293</v>
      </c>
      <c r="J84" s="143">
        <f t="shared" si="38"/>
        <v>10.596634733096073</v>
      </c>
      <c r="K84" s="143">
        <f t="shared" si="38"/>
        <v>11.002099841204238</v>
      </c>
      <c r="L84" s="143">
        <f t="shared" si="38"/>
        <v>12.611537753638338</v>
      </c>
      <c r="M84" s="46"/>
      <c r="N84" s="143">
        <f t="shared" ref="N84:U84" si="39">LN(AF84)</f>
        <v>9.9034875525361272</v>
      </c>
      <c r="O84" s="143">
        <f t="shared" si="39"/>
        <v>10.596634733096073</v>
      </c>
      <c r="P84" s="143">
        <f t="shared" si="39"/>
        <v>11.156250521031495</v>
      </c>
      <c r="Q84" s="143">
        <f t="shared" si="39"/>
        <v>11.512925464970229</v>
      </c>
      <c r="R84" s="143">
        <f t="shared" si="39"/>
        <v>11.918390573078392</v>
      </c>
      <c r="S84" s="143">
        <f t="shared" si="39"/>
        <v>12.206072645530174</v>
      </c>
      <c r="T84" s="143">
        <f t="shared" si="39"/>
        <v>12.611537753638338</v>
      </c>
      <c r="U84" s="143">
        <f t="shared" si="39"/>
        <v>14.220975666072439</v>
      </c>
      <c r="W84" s="146">
        <f t="shared" ref="W84:AD84" si="40">AO84/AF84*100</f>
        <v>20</v>
      </c>
      <c r="X84" s="146">
        <f t="shared" si="40"/>
        <v>20</v>
      </c>
      <c r="Y84" s="146">
        <f t="shared" si="40"/>
        <v>20</v>
      </c>
      <c r="Z84" s="146">
        <f t="shared" si="40"/>
        <v>20</v>
      </c>
      <c r="AA84" s="146">
        <f t="shared" si="40"/>
        <v>20</v>
      </c>
      <c r="AB84" s="146">
        <f t="shared" si="40"/>
        <v>20</v>
      </c>
      <c r="AC84" s="146">
        <f t="shared" si="40"/>
        <v>20</v>
      </c>
      <c r="AD84" s="146">
        <f t="shared" si="40"/>
        <v>20</v>
      </c>
      <c r="AE84" s="46"/>
      <c r="AF84" s="60">
        <v>20000</v>
      </c>
      <c r="AG84" s="60">
        <f>AF84*2</f>
        <v>40000</v>
      </c>
      <c r="AH84" s="60">
        <v>70000</v>
      </c>
      <c r="AI84" s="60">
        <v>100000</v>
      </c>
      <c r="AJ84" s="60">
        <v>150000</v>
      </c>
      <c r="AK84" s="60">
        <v>200000</v>
      </c>
      <c r="AL84" s="60">
        <v>300000</v>
      </c>
      <c r="AM84" s="60">
        <v>1500000</v>
      </c>
      <c r="AN84" s="131"/>
      <c r="AO84" s="60">
        <f>0.2*AF84</f>
        <v>4000</v>
      </c>
      <c r="AP84" s="60">
        <f t="shared" ref="AP84:AV84" si="41">0.2*AG84</f>
        <v>8000</v>
      </c>
      <c r="AQ84" s="60">
        <f t="shared" si="41"/>
        <v>14000</v>
      </c>
      <c r="AR84" s="60">
        <f t="shared" si="41"/>
        <v>20000</v>
      </c>
      <c r="AS84" s="60">
        <f t="shared" si="41"/>
        <v>30000</v>
      </c>
      <c r="AT84" s="60">
        <f t="shared" si="41"/>
        <v>40000</v>
      </c>
      <c r="AU84" s="60">
        <f t="shared" si="41"/>
        <v>60000</v>
      </c>
      <c r="AV84" s="60">
        <f t="shared" si="41"/>
        <v>300000</v>
      </c>
      <c r="AW84" s="149" t="s">
        <v>192</v>
      </c>
    </row>
    <row r="85" spans="1:205" s="131" customFormat="1" ht="10.5" customHeight="1">
      <c r="A85" s="37"/>
      <c r="B85" s="47"/>
      <c r="C85" s="45"/>
      <c r="E85" s="143"/>
      <c r="F85" s="143"/>
      <c r="G85" s="143"/>
      <c r="H85" s="143"/>
      <c r="I85" s="143"/>
      <c r="J85" s="143"/>
      <c r="K85" s="143"/>
      <c r="L85" s="143"/>
      <c r="M85" s="46"/>
      <c r="N85" s="143"/>
      <c r="O85" s="143"/>
      <c r="P85" s="143"/>
      <c r="Q85" s="143"/>
      <c r="R85" s="143"/>
      <c r="S85" s="143"/>
      <c r="T85" s="143"/>
      <c r="U85" s="143"/>
      <c r="W85" s="146"/>
      <c r="X85" s="146"/>
      <c r="Y85" s="146"/>
      <c r="Z85" s="146"/>
      <c r="AA85" s="146"/>
      <c r="AB85" s="146"/>
      <c r="AC85" s="146"/>
      <c r="AD85" s="146"/>
      <c r="AE85" s="46"/>
      <c r="AF85" s="60"/>
      <c r="AG85" s="60"/>
      <c r="AH85" s="60"/>
      <c r="AI85" s="60"/>
      <c r="AJ85" s="60"/>
      <c r="AK85" s="60"/>
      <c r="AL85" s="60"/>
      <c r="AM85" s="60"/>
      <c r="AO85" s="60"/>
      <c r="AP85" s="60"/>
      <c r="AQ85" s="60"/>
      <c r="AR85" s="60"/>
      <c r="AS85" s="60"/>
      <c r="AT85" s="60"/>
      <c r="AU85" s="60"/>
      <c r="AV85" s="60"/>
    </row>
    <row r="86" spans="1:205">
      <c r="A86" s="258" t="s">
        <v>190</v>
      </c>
      <c r="B86" s="12"/>
    </row>
    <row r="87" spans="1:205">
      <c r="A87" s="37"/>
      <c r="B87" s="47">
        <f>LINEST(E87:L87, N87:U87, TRUE, FALSE)-1</f>
        <v>0.99999999999999956</v>
      </c>
      <c r="C87" s="45"/>
      <c r="D87" s="131"/>
      <c r="E87" s="143">
        <f t="shared" ref="E87:L88" si="42">LN(AO87)</f>
        <v>4.6051701859880918</v>
      </c>
      <c r="F87" s="143">
        <f t="shared" si="42"/>
        <v>5.9914645471079817</v>
      </c>
      <c r="G87" s="143">
        <f t="shared" si="42"/>
        <v>7.110696122978827</v>
      </c>
      <c r="H87" s="143">
        <f t="shared" si="42"/>
        <v>7.8240460108562919</v>
      </c>
      <c r="I87" s="143">
        <f t="shared" si="42"/>
        <v>8.6349762270726202</v>
      </c>
      <c r="J87" s="143">
        <f t="shared" si="42"/>
        <v>9.2103403719761836</v>
      </c>
      <c r="K87" s="143">
        <f t="shared" si="42"/>
        <v>10.021270588192511</v>
      </c>
      <c r="L87" s="143">
        <f t="shared" si="42"/>
        <v>13.240146413060712</v>
      </c>
      <c r="M87" s="46"/>
      <c r="N87" s="143">
        <f t="shared" ref="N87:U88" si="43">LN(AF87)</f>
        <v>9.9034875525361272</v>
      </c>
      <c r="O87" s="143">
        <f t="shared" si="43"/>
        <v>10.596634733096073</v>
      </c>
      <c r="P87" s="143">
        <f t="shared" si="43"/>
        <v>11.156250521031495</v>
      </c>
      <c r="Q87" s="143">
        <f t="shared" si="43"/>
        <v>11.512925464970229</v>
      </c>
      <c r="R87" s="143">
        <f t="shared" si="43"/>
        <v>11.918390573078392</v>
      </c>
      <c r="S87" s="143">
        <f t="shared" si="43"/>
        <v>12.206072645530174</v>
      </c>
      <c r="T87" s="143">
        <f t="shared" si="43"/>
        <v>12.611537753638338</v>
      </c>
      <c r="U87" s="143">
        <f t="shared" si="43"/>
        <v>14.220975666072439</v>
      </c>
      <c r="W87" s="146">
        <f>AO87/AF87*100</f>
        <v>0.5</v>
      </c>
      <c r="X87" s="146">
        <f t="shared" ref="X87:AD87" si="44">AP87/AG87*100</f>
        <v>1</v>
      </c>
      <c r="Y87" s="146">
        <f t="shared" si="44"/>
        <v>1.7500000000000002</v>
      </c>
      <c r="Z87" s="146">
        <f t="shared" si="44"/>
        <v>2.5</v>
      </c>
      <c r="AA87" s="146">
        <f t="shared" si="44"/>
        <v>3.75</v>
      </c>
      <c r="AB87" s="146">
        <f t="shared" si="44"/>
        <v>5</v>
      </c>
      <c r="AC87" s="146">
        <f t="shared" si="44"/>
        <v>7.5</v>
      </c>
      <c r="AD87" s="146">
        <f t="shared" si="44"/>
        <v>37.5</v>
      </c>
      <c r="AE87" s="46"/>
      <c r="AF87" s="60">
        <v>20000</v>
      </c>
      <c r="AG87" s="60">
        <f>AF87*2</f>
        <v>40000</v>
      </c>
      <c r="AH87" s="60">
        <v>70000</v>
      </c>
      <c r="AI87" s="60">
        <v>100000</v>
      </c>
      <c r="AJ87" s="60">
        <v>150000</v>
      </c>
      <c r="AK87" s="60">
        <v>200000</v>
      </c>
      <c r="AL87" s="60">
        <v>300000</v>
      </c>
      <c r="AM87" s="60">
        <v>1500000</v>
      </c>
      <c r="AN87" s="131"/>
      <c r="AO87" s="60">
        <v>100</v>
      </c>
      <c r="AP87" s="60">
        <f>AO87*(AG87/AF87)*(AG87/AF87)</f>
        <v>400</v>
      </c>
      <c r="AQ87" s="60">
        <f t="shared" ref="AQ87:AV87" si="45">AP87*(AH87/AG87)*(AH87/AG87)</f>
        <v>1225</v>
      </c>
      <c r="AR87" s="60">
        <f t="shared" si="45"/>
        <v>2500</v>
      </c>
      <c r="AS87" s="60">
        <f t="shared" si="45"/>
        <v>5625</v>
      </c>
      <c r="AT87" s="60">
        <f t="shared" si="45"/>
        <v>10000</v>
      </c>
      <c r="AU87" s="60">
        <f t="shared" si="45"/>
        <v>22500</v>
      </c>
      <c r="AV87" s="60">
        <f t="shared" si="45"/>
        <v>562500</v>
      </c>
    </row>
    <row r="88" spans="1:205" s="131" customFormat="1">
      <c r="A88" s="37"/>
      <c r="B88" s="47">
        <f>LINEST(E88:L88, N88:U88, TRUE, FALSE)-1</f>
        <v>1.0000000000000004</v>
      </c>
      <c r="C88" s="45"/>
      <c r="E88" s="143">
        <f t="shared" si="42"/>
        <v>4.6051701859880918</v>
      </c>
      <c r="F88" s="143">
        <f t="shared" si="42"/>
        <v>5.9914645471079817</v>
      </c>
      <c r="G88" s="143">
        <f t="shared" si="42"/>
        <v>7.3777589082278725</v>
      </c>
      <c r="H88" s="143">
        <f t="shared" si="42"/>
        <v>8.7640532693477624</v>
      </c>
      <c r="I88" s="143">
        <f t="shared" si="42"/>
        <v>9.5749834855640916</v>
      </c>
      <c r="J88" s="143">
        <f t="shared" si="42"/>
        <v>10.099712014499074</v>
      </c>
      <c r="K88" s="143">
        <f t="shared" si="42"/>
        <v>10.624440543434057</v>
      </c>
      <c r="L88" s="143">
        <f t="shared" si="42"/>
        <v>11.149169072369039</v>
      </c>
      <c r="M88" s="46"/>
      <c r="N88" s="143">
        <f t="shared" si="43"/>
        <v>8.8536654280374503</v>
      </c>
      <c r="O88" s="143">
        <f t="shared" si="43"/>
        <v>9.5468126085973957</v>
      </c>
      <c r="P88" s="143">
        <f t="shared" si="43"/>
        <v>10.239959789157341</v>
      </c>
      <c r="Q88" s="143">
        <f t="shared" si="43"/>
        <v>10.933106969717286</v>
      </c>
      <c r="R88" s="143">
        <f t="shared" si="43"/>
        <v>11.33857207782545</v>
      </c>
      <c r="S88" s="143">
        <f t="shared" si="43"/>
        <v>11.600936342292941</v>
      </c>
      <c r="T88" s="143">
        <f t="shared" si="43"/>
        <v>11.863300606760433</v>
      </c>
      <c r="U88" s="143">
        <f t="shared" si="43"/>
        <v>12.125664871227924</v>
      </c>
      <c r="W88" s="146">
        <f>AO88/AF88*100</f>
        <v>1.4285714285714286</v>
      </c>
      <c r="X88" s="146">
        <f t="shared" ref="X88:AD88" si="46">AP88/AG88*100</f>
        <v>2.8571428571428572</v>
      </c>
      <c r="Y88" s="146">
        <f t="shared" si="46"/>
        <v>5.7142857142857144</v>
      </c>
      <c r="Z88" s="146">
        <f t="shared" si="46"/>
        <v>11.428571428571429</v>
      </c>
      <c r="AA88" s="146">
        <f t="shared" si="46"/>
        <v>17.142857142857142</v>
      </c>
      <c r="AB88" s="146">
        <f t="shared" si="46"/>
        <v>22.285714285714285</v>
      </c>
      <c r="AC88" s="146">
        <f t="shared" si="46"/>
        <v>28.971428571428575</v>
      </c>
      <c r="AD88" s="146">
        <f t="shared" si="46"/>
        <v>37.662857142857149</v>
      </c>
      <c r="AE88" s="46"/>
      <c r="AF88" s="60">
        <v>7000</v>
      </c>
      <c r="AG88" s="60">
        <f>AF88*2</f>
        <v>14000</v>
      </c>
      <c r="AH88" s="60">
        <f>AG88*2</f>
        <v>28000</v>
      </c>
      <c r="AI88" s="60">
        <f>AH88*2</f>
        <v>56000</v>
      </c>
      <c r="AJ88" s="60">
        <f>AI88*1.5</f>
        <v>84000</v>
      </c>
      <c r="AK88" s="60">
        <f>AJ88*1.3</f>
        <v>109200</v>
      </c>
      <c r="AL88" s="60">
        <f>AK88*1.3</f>
        <v>141960</v>
      </c>
      <c r="AM88" s="60">
        <f>AL88*1.3</f>
        <v>184548</v>
      </c>
      <c r="AO88" s="60">
        <v>100</v>
      </c>
      <c r="AP88" s="60">
        <f>AO88*(AG88/AF88)*(AG88/AF88)</f>
        <v>400</v>
      </c>
      <c r="AQ88" s="60">
        <f t="shared" ref="AQ88:AV88" si="47">AP88*(AH88/AG88)*(AH88/AG88)</f>
        <v>1600</v>
      </c>
      <c r="AR88" s="60">
        <f t="shared" si="47"/>
        <v>6400</v>
      </c>
      <c r="AS88" s="60">
        <f t="shared" si="47"/>
        <v>14400</v>
      </c>
      <c r="AT88" s="60">
        <f t="shared" si="47"/>
        <v>24336</v>
      </c>
      <c r="AU88" s="60">
        <f t="shared" si="47"/>
        <v>41127.840000000004</v>
      </c>
      <c r="AV88" s="60">
        <f t="shared" si="47"/>
        <v>69506.049600000013</v>
      </c>
    </row>
    <row r="89" spans="1:205" s="131" customFormat="1">
      <c r="A89" s="46"/>
      <c r="B89" s="45"/>
      <c r="C89" s="45"/>
      <c r="E89" s="143"/>
      <c r="F89" s="143"/>
      <c r="G89" s="143"/>
      <c r="H89" s="143"/>
      <c r="I89" s="143"/>
      <c r="J89" s="143"/>
      <c r="K89" s="143"/>
      <c r="L89" s="143"/>
      <c r="M89" s="46"/>
      <c r="N89" s="143"/>
      <c r="O89" s="143"/>
      <c r="P89" s="143"/>
      <c r="Q89" s="143"/>
      <c r="R89" s="143"/>
      <c r="S89" s="143"/>
      <c r="T89" s="143"/>
      <c r="U89" s="143"/>
      <c r="W89" s="146"/>
      <c r="X89" s="146"/>
      <c r="Y89" s="146"/>
      <c r="Z89" s="146"/>
      <c r="AA89" s="146"/>
      <c r="AB89" s="146"/>
      <c r="AC89" s="146"/>
      <c r="AD89" s="146"/>
      <c r="AE89" s="46"/>
      <c r="AF89" s="60"/>
      <c r="AG89" s="60"/>
      <c r="AH89" s="60"/>
      <c r="AI89" s="60"/>
      <c r="AJ89" s="60"/>
      <c r="AK89" s="60"/>
      <c r="AL89" s="60"/>
      <c r="AM89" s="60"/>
      <c r="AO89" s="60"/>
      <c r="AP89" s="60"/>
      <c r="AQ89" s="60"/>
      <c r="AR89" s="60"/>
      <c r="AS89" s="60"/>
      <c r="AT89" s="60"/>
      <c r="AU89" s="60"/>
      <c r="AV89" s="60"/>
    </row>
    <row r="90" spans="1:205">
      <c r="A90" s="256" t="s">
        <v>261</v>
      </c>
    </row>
    <row r="91" spans="1:205" s="131" customFormat="1">
      <c r="A91" s="256"/>
      <c r="E91" s="745" t="s">
        <v>158</v>
      </c>
      <c r="F91" s="745"/>
      <c r="G91" s="745"/>
      <c r="H91" s="745"/>
      <c r="I91" s="745"/>
      <c r="J91" s="745"/>
      <c r="K91" s="745"/>
      <c r="L91" s="745"/>
      <c r="M91" s="745"/>
      <c r="N91" s="745"/>
      <c r="O91" s="745"/>
      <c r="P91" s="745"/>
      <c r="Q91" s="745"/>
      <c r="R91" s="745"/>
      <c r="S91" s="745"/>
      <c r="T91" s="745"/>
      <c r="U91" s="745"/>
      <c r="V91" s="745"/>
      <c r="W91" s="745"/>
      <c r="X91" s="745"/>
      <c r="Y91" s="745" t="s">
        <v>159</v>
      </c>
      <c r="Z91" s="745"/>
      <c r="AA91" s="745"/>
      <c r="AB91" s="745"/>
      <c r="AC91" s="745"/>
      <c r="AD91" s="745"/>
      <c r="AE91" s="745"/>
      <c r="AF91" s="745"/>
      <c r="AG91" s="745"/>
      <c r="AH91" s="745"/>
      <c r="AI91" s="745"/>
      <c r="AJ91" s="745"/>
      <c r="AK91" s="745"/>
      <c r="AL91" s="745"/>
      <c r="AM91" s="745"/>
      <c r="AN91" s="745"/>
      <c r="AO91" s="745"/>
      <c r="AP91" s="745"/>
      <c r="AQ91" s="745"/>
      <c r="AR91" s="745"/>
      <c r="AS91" s="745" t="s">
        <v>160</v>
      </c>
      <c r="AT91" s="745"/>
      <c r="AU91" s="745"/>
      <c r="AV91" s="745"/>
      <c r="AW91" s="745"/>
      <c r="AX91" s="745"/>
      <c r="AY91" s="745"/>
      <c r="AZ91" s="745"/>
      <c r="BA91" s="745"/>
      <c r="BB91" s="745"/>
      <c r="BC91" s="745"/>
      <c r="BD91" s="745"/>
      <c r="BE91" s="745"/>
      <c r="BF91" s="745"/>
      <c r="BG91" s="745"/>
      <c r="BH91" s="745"/>
      <c r="BI91" s="745"/>
      <c r="BJ91" s="745"/>
      <c r="BK91" s="745"/>
      <c r="BL91" s="745"/>
      <c r="BM91" s="745" t="s">
        <v>161</v>
      </c>
      <c r="BN91" s="745"/>
      <c r="BO91" s="745"/>
      <c r="BP91" s="745"/>
      <c r="BQ91" s="745"/>
      <c r="BR91" s="745"/>
      <c r="BS91" s="745"/>
      <c r="BT91" s="745"/>
      <c r="BU91" s="745"/>
      <c r="BV91" s="745"/>
      <c r="BW91" s="745"/>
      <c r="BX91" s="745"/>
      <c r="BY91" s="745"/>
      <c r="BZ91" s="745"/>
      <c r="CA91" s="745"/>
      <c r="CB91" s="745"/>
      <c r="CC91" s="745"/>
      <c r="CD91" s="745"/>
      <c r="CE91" s="745"/>
      <c r="CF91" s="745"/>
      <c r="CG91" s="746" t="s">
        <v>33</v>
      </c>
      <c r="CH91" s="746"/>
      <c r="CI91" s="746"/>
      <c r="CJ91" s="746"/>
      <c r="CK91" s="746"/>
      <c r="CL91" s="746"/>
      <c r="CM91" s="746"/>
      <c r="CN91" s="746"/>
      <c r="CO91" s="746"/>
      <c r="CP91" s="746"/>
      <c r="CQ91" s="746" t="s">
        <v>51</v>
      </c>
      <c r="CR91" s="746"/>
      <c r="CS91" s="746"/>
      <c r="CT91" s="746"/>
      <c r="CU91" s="746"/>
      <c r="CV91" s="746" t="s">
        <v>52</v>
      </c>
      <c r="CW91" s="746"/>
      <c r="CX91" s="746"/>
      <c r="CY91" s="746"/>
      <c r="CZ91" s="251" t="s">
        <v>28</v>
      </c>
      <c r="DB91" s="745" t="s">
        <v>158</v>
      </c>
      <c r="DC91" s="745"/>
      <c r="DD91" s="745"/>
      <c r="DE91" s="745"/>
      <c r="DF91" s="745"/>
      <c r="DG91" s="745"/>
      <c r="DH91" s="745"/>
      <c r="DI91" s="745"/>
      <c r="DJ91" s="745"/>
      <c r="DK91" s="745"/>
      <c r="DL91" s="745"/>
      <c r="DM91" s="745"/>
      <c r="DN91" s="745"/>
      <c r="DO91" s="745"/>
      <c r="DP91" s="745"/>
      <c r="DQ91" s="745"/>
      <c r="DR91" s="745"/>
      <c r="DS91" s="745"/>
      <c r="DT91" s="745"/>
      <c r="DU91" s="745"/>
      <c r="DV91" s="745" t="s">
        <v>159</v>
      </c>
      <c r="DW91" s="745"/>
      <c r="DX91" s="745"/>
      <c r="DY91" s="745"/>
      <c r="DZ91" s="745"/>
      <c r="EA91" s="745"/>
      <c r="EB91" s="745"/>
      <c r="EC91" s="745"/>
      <c r="ED91" s="745"/>
      <c r="EE91" s="745"/>
      <c r="EF91" s="745"/>
      <c r="EG91" s="745"/>
      <c r="EH91" s="745"/>
      <c r="EI91" s="745"/>
      <c r="EJ91" s="745"/>
      <c r="EK91" s="745"/>
      <c r="EL91" s="745"/>
      <c r="EM91" s="745"/>
      <c r="EN91" s="745"/>
      <c r="EO91" s="745"/>
      <c r="EP91" s="745" t="s">
        <v>160</v>
      </c>
      <c r="EQ91" s="745"/>
      <c r="ER91" s="745"/>
      <c r="ES91" s="745"/>
      <c r="ET91" s="745"/>
      <c r="EU91" s="745"/>
      <c r="EV91" s="745"/>
      <c r="EW91" s="745"/>
      <c r="EX91" s="745"/>
      <c r="EY91" s="745"/>
      <c r="EZ91" s="745"/>
      <c r="FA91" s="745"/>
      <c r="FB91" s="745"/>
      <c r="FC91" s="745"/>
      <c r="FD91" s="745"/>
      <c r="FE91" s="745"/>
      <c r="FF91" s="745"/>
      <c r="FG91" s="745"/>
      <c r="FH91" s="745"/>
      <c r="FI91" s="745"/>
      <c r="FJ91" s="745" t="s">
        <v>161</v>
      </c>
      <c r="FK91" s="745"/>
      <c r="FL91" s="745"/>
      <c r="FM91" s="745"/>
      <c r="FN91" s="745"/>
      <c r="FO91" s="745"/>
      <c r="FP91" s="745"/>
      <c r="FQ91" s="745"/>
      <c r="FR91" s="745"/>
      <c r="FS91" s="745"/>
      <c r="FT91" s="745"/>
      <c r="FU91" s="745"/>
      <c r="FV91" s="745"/>
      <c r="FW91" s="745"/>
      <c r="FX91" s="745"/>
      <c r="FY91" s="745"/>
      <c r="FZ91" s="745"/>
      <c r="GA91" s="745"/>
      <c r="GB91" s="745"/>
      <c r="GC91" s="745"/>
      <c r="GD91" s="746" t="s">
        <v>33</v>
      </c>
      <c r="GE91" s="746"/>
      <c r="GF91" s="746"/>
      <c r="GG91" s="746"/>
      <c r="GH91" s="746"/>
      <c r="GI91" s="746"/>
      <c r="GJ91" s="746"/>
      <c r="GK91" s="746"/>
      <c r="GL91" s="746"/>
      <c r="GM91" s="746"/>
      <c r="GN91" s="746" t="s">
        <v>51</v>
      </c>
      <c r="GO91" s="746"/>
      <c r="GP91" s="746"/>
      <c r="GQ91" s="746"/>
      <c r="GR91" s="746"/>
      <c r="GS91" s="746" t="s">
        <v>52</v>
      </c>
      <c r="GT91" s="746"/>
      <c r="GU91" s="746"/>
      <c r="GV91" s="746"/>
      <c r="GW91" s="251" t="s">
        <v>28</v>
      </c>
    </row>
    <row r="92" spans="1:205" s="46" customFormat="1">
      <c r="A92" s="15"/>
      <c r="E92" s="255">
        <v>1</v>
      </c>
      <c r="F92" s="255">
        <f>E92+1</f>
        <v>2</v>
      </c>
      <c r="G92" s="255">
        <f t="shared" ref="G92:X92" si="48">F92+1</f>
        <v>3</v>
      </c>
      <c r="H92" s="255">
        <f t="shared" si="48"/>
        <v>4</v>
      </c>
      <c r="I92" s="255">
        <f t="shared" si="48"/>
        <v>5</v>
      </c>
      <c r="J92" s="255">
        <f t="shared" si="48"/>
        <v>6</v>
      </c>
      <c r="K92" s="255">
        <f t="shared" si="48"/>
        <v>7</v>
      </c>
      <c r="L92" s="255">
        <f t="shared" si="48"/>
        <v>8</v>
      </c>
      <c r="M92" s="255">
        <f t="shared" si="48"/>
        <v>9</v>
      </c>
      <c r="N92" s="255">
        <f t="shared" si="48"/>
        <v>10</v>
      </c>
      <c r="O92" s="255">
        <f t="shared" si="48"/>
        <v>11</v>
      </c>
      <c r="P92" s="255">
        <f t="shared" si="48"/>
        <v>12</v>
      </c>
      <c r="Q92" s="255">
        <f t="shared" si="48"/>
        <v>13</v>
      </c>
      <c r="R92" s="255">
        <f t="shared" si="48"/>
        <v>14</v>
      </c>
      <c r="S92" s="255">
        <f t="shared" si="48"/>
        <v>15</v>
      </c>
      <c r="T92" s="255">
        <f t="shared" si="48"/>
        <v>16</v>
      </c>
      <c r="U92" s="255">
        <f t="shared" si="48"/>
        <v>17</v>
      </c>
      <c r="V92" s="255">
        <f t="shared" si="48"/>
        <v>18</v>
      </c>
      <c r="W92" s="255">
        <f t="shared" si="48"/>
        <v>19</v>
      </c>
      <c r="X92" s="255">
        <f t="shared" si="48"/>
        <v>20</v>
      </c>
      <c r="Y92" s="255">
        <f t="shared" ref="Y92:CJ92" si="49">X92+1</f>
        <v>21</v>
      </c>
      <c r="Z92" s="255">
        <f t="shared" si="49"/>
        <v>22</v>
      </c>
      <c r="AA92" s="255">
        <f t="shared" si="49"/>
        <v>23</v>
      </c>
      <c r="AB92" s="255">
        <f t="shared" si="49"/>
        <v>24</v>
      </c>
      <c r="AC92" s="255">
        <f t="shared" si="49"/>
        <v>25</v>
      </c>
      <c r="AD92" s="255">
        <f t="shared" si="49"/>
        <v>26</v>
      </c>
      <c r="AE92" s="255">
        <f t="shared" si="49"/>
        <v>27</v>
      </c>
      <c r="AF92" s="255">
        <f t="shared" si="49"/>
        <v>28</v>
      </c>
      <c r="AG92" s="255">
        <f t="shared" si="49"/>
        <v>29</v>
      </c>
      <c r="AH92" s="255">
        <f t="shared" si="49"/>
        <v>30</v>
      </c>
      <c r="AI92" s="255">
        <f t="shared" si="49"/>
        <v>31</v>
      </c>
      <c r="AJ92" s="255">
        <f t="shared" si="49"/>
        <v>32</v>
      </c>
      <c r="AK92" s="255">
        <f t="shared" si="49"/>
        <v>33</v>
      </c>
      <c r="AL92" s="255">
        <f t="shared" si="49"/>
        <v>34</v>
      </c>
      <c r="AM92" s="255">
        <f t="shared" si="49"/>
        <v>35</v>
      </c>
      <c r="AN92" s="255">
        <f t="shared" si="49"/>
        <v>36</v>
      </c>
      <c r="AO92" s="255">
        <f t="shared" si="49"/>
        <v>37</v>
      </c>
      <c r="AP92" s="255">
        <f t="shared" si="49"/>
        <v>38</v>
      </c>
      <c r="AQ92" s="255">
        <f t="shared" si="49"/>
        <v>39</v>
      </c>
      <c r="AR92" s="255">
        <f t="shared" si="49"/>
        <v>40</v>
      </c>
      <c r="AS92" s="255">
        <f t="shared" si="49"/>
        <v>41</v>
      </c>
      <c r="AT92" s="255">
        <f t="shared" si="49"/>
        <v>42</v>
      </c>
      <c r="AU92" s="255">
        <f t="shared" si="49"/>
        <v>43</v>
      </c>
      <c r="AV92" s="255">
        <f t="shared" si="49"/>
        <v>44</v>
      </c>
      <c r="AW92" s="255">
        <f t="shared" si="49"/>
        <v>45</v>
      </c>
      <c r="AX92" s="255">
        <f t="shared" si="49"/>
        <v>46</v>
      </c>
      <c r="AY92" s="255">
        <f t="shared" si="49"/>
        <v>47</v>
      </c>
      <c r="AZ92" s="255">
        <f t="shared" si="49"/>
        <v>48</v>
      </c>
      <c r="BA92" s="255">
        <f t="shared" si="49"/>
        <v>49</v>
      </c>
      <c r="BB92" s="255">
        <f t="shared" si="49"/>
        <v>50</v>
      </c>
      <c r="BC92" s="255">
        <f t="shared" si="49"/>
        <v>51</v>
      </c>
      <c r="BD92" s="255">
        <f t="shared" si="49"/>
        <v>52</v>
      </c>
      <c r="BE92" s="255">
        <f t="shared" si="49"/>
        <v>53</v>
      </c>
      <c r="BF92" s="255">
        <f t="shared" si="49"/>
        <v>54</v>
      </c>
      <c r="BG92" s="255">
        <f t="shared" si="49"/>
        <v>55</v>
      </c>
      <c r="BH92" s="255">
        <f t="shared" si="49"/>
        <v>56</v>
      </c>
      <c r="BI92" s="255">
        <f t="shared" si="49"/>
        <v>57</v>
      </c>
      <c r="BJ92" s="255">
        <f t="shared" si="49"/>
        <v>58</v>
      </c>
      <c r="BK92" s="255">
        <f t="shared" si="49"/>
        <v>59</v>
      </c>
      <c r="BL92" s="255">
        <f t="shared" si="49"/>
        <v>60</v>
      </c>
      <c r="BM92" s="255">
        <f t="shared" si="49"/>
        <v>61</v>
      </c>
      <c r="BN92" s="255">
        <f t="shared" si="49"/>
        <v>62</v>
      </c>
      <c r="BO92" s="255">
        <f t="shared" si="49"/>
        <v>63</v>
      </c>
      <c r="BP92" s="255">
        <f t="shared" si="49"/>
        <v>64</v>
      </c>
      <c r="BQ92" s="255">
        <f t="shared" si="49"/>
        <v>65</v>
      </c>
      <c r="BR92" s="255">
        <f t="shared" si="49"/>
        <v>66</v>
      </c>
      <c r="BS92" s="255">
        <f t="shared" si="49"/>
        <v>67</v>
      </c>
      <c r="BT92" s="255">
        <f t="shared" si="49"/>
        <v>68</v>
      </c>
      <c r="BU92" s="255">
        <f t="shared" si="49"/>
        <v>69</v>
      </c>
      <c r="BV92" s="255">
        <f t="shared" si="49"/>
        <v>70</v>
      </c>
      <c r="BW92" s="255">
        <f t="shared" si="49"/>
        <v>71</v>
      </c>
      <c r="BX92" s="255">
        <f t="shared" si="49"/>
        <v>72</v>
      </c>
      <c r="BY92" s="255">
        <f t="shared" si="49"/>
        <v>73</v>
      </c>
      <c r="BZ92" s="255">
        <f t="shared" si="49"/>
        <v>74</v>
      </c>
      <c r="CA92" s="255">
        <f t="shared" si="49"/>
        <v>75</v>
      </c>
      <c r="CB92" s="255">
        <f t="shared" si="49"/>
        <v>76</v>
      </c>
      <c r="CC92" s="255">
        <f t="shared" si="49"/>
        <v>77</v>
      </c>
      <c r="CD92" s="255">
        <f t="shared" si="49"/>
        <v>78</v>
      </c>
      <c r="CE92" s="255">
        <f t="shared" si="49"/>
        <v>79</v>
      </c>
      <c r="CF92" s="255">
        <f t="shared" si="49"/>
        <v>80</v>
      </c>
      <c r="CG92" s="255">
        <f t="shared" si="49"/>
        <v>81</v>
      </c>
      <c r="CH92" s="255">
        <f t="shared" si="49"/>
        <v>82</v>
      </c>
      <c r="CI92" s="255">
        <f t="shared" si="49"/>
        <v>83</v>
      </c>
      <c r="CJ92" s="255">
        <f t="shared" si="49"/>
        <v>84</v>
      </c>
      <c r="CK92" s="255">
        <f t="shared" ref="CK92:CQ92" si="50">CJ92+1</f>
        <v>85</v>
      </c>
      <c r="CL92" s="255">
        <f t="shared" si="50"/>
        <v>86</v>
      </c>
      <c r="CM92" s="255">
        <f t="shared" si="50"/>
        <v>87</v>
      </c>
      <c r="CN92" s="255">
        <f t="shared" si="50"/>
        <v>88</v>
      </c>
      <c r="CO92" s="255">
        <f t="shared" si="50"/>
        <v>89</v>
      </c>
      <c r="CP92" s="255">
        <f t="shared" si="50"/>
        <v>90</v>
      </c>
      <c r="CQ92" s="255">
        <f t="shared" si="50"/>
        <v>91</v>
      </c>
      <c r="CR92" s="255">
        <f t="shared" ref="CR92:CZ92" si="51">CQ92+1</f>
        <v>92</v>
      </c>
      <c r="CS92" s="255">
        <f t="shared" si="51"/>
        <v>93</v>
      </c>
      <c r="CT92" s="255">
        <f t="shared" si="51"/>
        <v>94</v>
      </c>
      <c r="CU92" s="255">
        <f t="shared" si="51"/>
        <v>95</v>
      </c>
      <c r="CV92" s="255">
        <f t="shared" si="51"/>
        <v>96</v>
      </c>
      <c r="CW92" s="255">
        <f t="shared" si="51"/>
        <v>97</v>
      </c>
      <c r="CX92" s="255">
        <f t="shared" si="51"/>
        <v>98</v>
      </c>
      <c r="CY92" s="255">
        <f t="shared" si="51"/>
        <v>99</v>
      </c>
      <c r="CZ92" s="255">
        <f t="shared" si="51"/>
        <v>100</v>
      </c>
      <c r="DB92" s="255">
        <v>1</v>
      </c>
      <c r="DC92" s="255">
        <f>DB92+1</f>
        <v>2</v>
      </c>
      <c r="DD92" s="255">
        <f t="shared" ref="DD92:FO92" si="52">DC92+1</f>
        <v>3</v>
      </c>
      <c r="DE92" s="255">
        <f t="shared" si="52"/>
        <v>4</v>
      </c>
      <c r="DF92" s="255">
        <f t="shared" si="52"/>
        <v>5</v>
      </c>
      <c r="DG92" s="255">
        <f t="shared" si="52"/>
        <v>6</v>
      </c>
      <c r="DH92" s="255">
        <f t="shared" si="52"/>
        <v>7</v>
      </c>
      <c r="DI92" s="255">
        <f t="shared" si="52"/>
        <v>8</v>
      </c>
      <c r="DJ92" s="255">
        <f t="shared" si="52"/>
        <v>9</v>
      </c>
      <c r="DK92" s="255">
        <f t="shared" si="52"/>
        <v>10</v>
      </c>
      <c r="DL92" s="255">
        <f t="shared" si="52"/>
        <v>11</v>
      </c>
      <c r="DM92" s="255">
        <f t="shared" si="52"/>
        <v>12</v>
      </c>
      <c r="DN92" s="255">
        <f t="shared" si="52"/>
        <v>13</v>
      </c>
      <c r="DO92" s="255">
        <f t="shared" si="52"/>
        <v>14</v>
      </c>
      <c r="DP92" s="255">
        <f t="shared" si="52"/>
        <v>15</v>
      </c>
      <c r="DQ92" s="255">
        <f t="shared" si="52"/>
        <v>16</v>
      </c>
      <c r="DR92" s="255">
        <f t="shared" si="52"/>
        <v>17</v>
      </c>
      <c r="DS92" s="255">
        <f t="shared" si="52"/>
        <v>18</v>
      </c>
      <c r="DT92" s="255">
        <f t="shared" si="52"/>
        <v>19</v>
      </c>
      <c r="DU92" s="255">
        <f t="shared" si="52"/>
        <v>20</v>
      </c>
      <c r="DV92" s="255">
        <f t="shared" si="52"/>
        <v>21</v>
      </c>
      <c r="DW92" s="255">
        <f t="shared" si="52"/>
        <v>22</v>
      </c>
      <c r="DX92" s="255">
        <f t="shared" si="52"/>
        <v>23</v>
      </c>
      <c r="DY92" s="255">
        <f t="shared" si="52"/>
        <v>24</v>
      </c>
      <c r="DZ92" s="255">
        <f t="shared" si="52"/>
        <v>25</v>
      </c>
      <c r="EA92" s="255">
        <f t="shared" si="52"/>
        <v>26</v>
      </c>
      <c r="EB92" s="255">
        <f t="shared" si="52"/>
        <v>27</v>
      </c>
      <c r="EC92" s="255">
        <f t="shared" si="52"/>
        <v>28</v>
      </c>
      <c r="ED92" s="255">
        <f t="shared" si="52"/>
        <v>29</v>
      </c>
      <c r="EE92" s="255">
        <f t="shared" si="52"/>
        <v>30</v>
      </c>
      <c r="EF92" s="255">
        <f t="shared" si="52"/>
        <v>31</v>
      </c>
      <c r="EG92" s="255">
        <f t="shared" si="52"/>
        <v>32</v>
      </c>
      <c r="EH92" s="255">
        <f t="shared" si="52"/>
        <v>33</v>
      </c>
      <c r="EI92" s="255">
        <f t="shared" si="52"/>
        <v>34</v>
      </c>
      <c r="EJ92" s="255">
        <f t="shared" si="52"/>
        <v>35</v>
      </c>
      <c r="EK92" s="255">
        <f t="shared" si="52"/>
        <v>36</v>
      </c>
      <c r="EL92" s="255">
        <f t="shared" si="52"/>
        <v>37</v>
      </c>
      <c r="EM92" s="255">
        <f t="shared" si="52"/>
        <v>38</v>
      </c>
      <c r="EN92" s="255">
        <f t="shared" si="52"/>
        <v>39</v>
      </c>
      <c r="EO92" s="255">
        <f t="shared" si="52"/>
        <v>40</v>
      </c>
      <c r="EP92" s="255">
        <f t="shared" si="52"/>
        <v>41</v>
      </c>
      <c r="EQ92" s="255">
        <f t="shared" si="52"/>
        <v>42</v>
      </c>
      <c r="ER92" s="255">
        <f t="shared" si="52"/>
        <v>43</v>
      </c>
      <c r="ES92" s="255">
        <f t="shared" si="52"/>
        <v>44</v>
      </c>
      <c r="ET92" s="255">
        <f t="shared" si="52"/>
        <v>45</v>
      </c>
      <c r="EU92" s="255">
        <f t="shared" si="52"/>
        <v>46</v>
      </c>
      <c r="EV92" s="255">
        <f t="shared" si="52"/>
        <v>47</v>
      </c>
      <c r="EW92" s="255">
        <f t="shared" si="52"/>
        <v>48</v>
      </c>
      <c r="EX92" s="255">
        <f t="shared" si="52"/>
        <v>49</v>
      </c>
      <c r="EY92" s="255">
        <f t="shared" si="52"/>
        <v>50</v>
      </c>
      <c r="EZ92" s="255">
        <f t="shared" si="52"/>
        <v>51</v>
      </c>
      <c r="FA92" s="255">
        <f t="shared" si="52"/>
        <v>52</v>
      </c>
      <c r="FB92" s="255">
        <f t="shared" si="52"/>
        <v>53</v>
      </c>
      <c r="FC92" s="255">
        <f t="shared" si="52"/>
        <v>54</v>
      </c>
      <c r="FD92" s="255">
        <f t="shared" si="52"/>
        <v>55</v>
      </c>
      <c r="FE92" s="255">
        <f t="shared" si="52"/>
        <v>56</v>
      </c>
      <c r="FF92" s="255">
        <f t="shared" si="52"/>
        <v>57</v>
      </c>
      <c r="FG92" s="255">
        <f t="shared" si="52"/>
        <v>58</v>
      </c>
      <c r="FH92" s="255">
        <f t="shared" si="52"/>
        <v>59</v>
      </c>
      <c r="FI92" s="255">
        <f t="shared" si="52"/>
        <v>60</v>
      </c>
      <c r="FJ92" s="255">
        <f t="shared" si="52"/>
        <v>61</v>
      </c>
      <c r="FK92" s="255">
        <f t="shared" si="52"/>
        <v>62</v>
      </c>
      <c r="FL92" s="255">
        <f t="shared" si="52"/>
        <v>63</v>
      </c>
      <c r="FM92" s="255">
        <f t="shared" si="52"/>
        <v>64</v>
      </c>
      <c r="FN92" s="255">
        <f t="shared" si="52"/>
        <v>65</v>
      </c>
      <c r="FO92" s="255">
        <f t="shared" si="52"/>
        <v>66</v>
      </c>
      <c r="FP92" s="255">
        <f t="shared" ref="FP92:GW92" si="53">FO92+1</f>
        <v>67</v>
      </c>
      <c r="FQ92" s="255">
        <f t="shared" si="53"/>
        <v>68</v>
      </c>
      <c r="FR92" s="255">
        <f t="shared" si="53"/>
        <v>69</v>
      </c>
      <c r="FS92" s="255">
        <f t="shared" si="53"/>
        <v>70</v>
      </c>
      <c r="FT92" s="255">
        <f t="shared" si="53"/>
        <v>71</v>
      </c>
      <c r="FU92" s="255">
        <f t="shared" si="53"/>
        <v>72</v>
      </c>
      <c r="FV92" s="255">
        <f t="shared" si="53"/>
        <v>73</v>
      </c>
      <c r="FW92" s="255">
        <f t="shared" si="53"/>
        <v>74</v>
      </c>
      <c r="FX92" s="255">
        <f t="shared" si="53"/>
        <v>75</v>
      </c>
      <c r="FY92" s="255">
        <f t="shared" si="53"/>
        <v>76</v>
      </c>
      <c r="FZ92" s="255">
        <f t="shared" si="53"/>
        <v>77</v>
      </c>
      <c r="GA92" s="255">
        <f t="shared" si="53"/>
        <v>78</v>
      </c>
      <c r="GB92" s="255">
        <f t="shared" si="53"/>
        <v>79</v>
      </c>
      <c r="GC92" s="255">
        <f t="shared" si="53"/>
        <v>80</v>
      </c>
      <c r="GD92" s="255">
        <f t="shared" si="53"/>
        <v>81</v>
      </c>
      <c r="GE92" s="255">
        <f t="shared" si="53"/>
        <v>82</v>
      </c>
      <c r="GF92" s="255">
        <f t="shared" si="53"/>
        <v>83</v>
      </c>
      <c r="GG92" s="255">
        <f t="shared" si="53"/>
        <v>84</v>
      </c>
      <c r="GH92" s="255">
        <f t="shared" si="53"/>
        <v>85</v>
      </c>
      <c r="GI92" s="255">
        <f t="shared" si="53"/>
        <v>86</v>
      </c>
      <c r="GJ92" s="255">
        <f t="shared" si="53"/>
        <v>87</v>
      </c>
      <c r="GK92" s="255">
        <f t="shared" si="53"/>
        <v>88</v>
      </c>
      <c r="GL92" s="255">
        <f t="shared" si="53"/>
        <v>89</v>
      </c>
      <c r="GM92" s="255">
        <f t="shared" si="53"/>
        <v>90</v>
      </c>
      <c r="GN92" s="255">
        <f t="shared" si="53"/>
        <v>91</v>
      </c>
      <c r="GO92" s="255">
        <f t="shared" si="53"/>
        <v>92</v>
      </c>
      <c r="GP92" s="255">
        <f t="shared" si="53"/>
        <v>93</v>
      </c>
      <c r="GQ92" s="255">
        <f t="shared" si="53"/>
        <v>94</v>
      </c>
      <c r="GR92" s="255">
        <f t="shared" si="53"/>
        <v>95</v>
      </c>
      <c r="GS92" s="255">
        <f t="shared" si="53"/>
        <v>96</v>
      </c>
      <c r="GT92" s="255">
        <f t="shared" si="53"/>
        <v>97</v>
      </c>
      <c r="GU92" s="255">
        <f t="shared" si="53"/>
        <v>98</v>
      </c>
      <c r="GV92" s="255">
        <f t="shared" si="53"/>
        <v>99</v>
      </c>
      <c r="GW92" s="255">
        <f t="shared" si="53"/>
        <v>100</v>
      </c>
    </row>
    <row r="93" spans="1:205" s="46" customFormat="1" ht="9.75" customHeight="1">
      <c r="A93" s="60">
        <v>1979</v>
      </c>
      <c r="B93" s="143">
        <f>LINEST(E93:CZ93, DB93:GW93, TRUE, FALSE)-1</f>
        <v>0.46605505552056625</v>
      </c>
      <c r="C93" s="143">
        <f t="shared" ref="C93:C129" si="54">RSQ(E93:CZ93, DB93:GW93)</f>
        <v>0.99659662423582795</v>
      </c>
      <c r="D93" s="60"/>
      <c r="E93" s="143">
        <f t="shared" ref="E93:E130" si="55">E34</f>
        <v>7.2734395170784572</v>
      </c>
      <c r="F93" s="143">
        <f t="shared" ref="F93:X93" si="56">E93</f>
        <v>7.2734395170784572</v>
      </c>
      <c r="G93" s="143">
        <f t="shared" si="56"/>
        <v>7.2734395170784572</v>
      </c>
      <c r="H93" s="143">
        <f t="shared" si="56"/>
        <v>7.2734395170784572</v>
      </c>
      <c r="I93" s="143">
        <f t="shared" si="56"/>
        <v>7.2734395170784572</v>
      </c>
      <c r="J93" s="143">
        <f t="shared" si="56"/>
        <v>7.2734395170784572</v>
      </c>
      <c r="K93" s="143">
        <f t="shared" si="56"/>
        <v>7.2734395170784572</v>
      </c>
      <c r="L93" s="143">
        <f t="shared" si="56"/>
        <v>7.2734395170784572</v>
      </c>
      <c r="M93" s="143">
        <f t="shared" si="56"/>
        <v>7.2734395170784572</v>
      </c>
      <c r="N93" s="143">
        <f t="shared" si="56"/>
        <v>7.2734395170784572</v>
      </c>
      <c r="O93" s="143">
        <f t="shared" si="56"/>
        <v>7.2734395170784572</v>
      </c>
      <c r="P93" s="143">
        <f t="shared" si="56"/>
        <v>7.2734395170784572</v>
      </c>
      <c r="Q93" s="143">
        <f t="shared" si="56"/>
        <v>7.2734395170784572</v>
      </c>
      <c r="R93" s="143">
        <f t="shared" si="56"/>
        <v>7.2734395170784572</v>
      </c>
      <c r="S93" s="143">
        <f t="shared" si="56"/>
        <v>7.2734395170784572</v>
      </c>
      <c r="T93" s="143">
        <f t="shared" si="56"/>
        <v>7.2734395170784572</v>
      </c>
      <c r="U93" s="143">
        <f t="shared" si="56"/>
        <v>7.2734395170784572</v>
      </c>
      <c r="V93" s="143">
        <f t="shared" si="56"/>
        <v>7.2734395170784572</v>
      </c>
      <c r="W93" s="143">
        <f t="shared" si="56"/>
        <v>7.2734395170784572</v>
      </c>
      <c r="X93" s="143">
        <f t="shared" si="56"/>
        <v>7.2734395170784572</v>
      </c>
      <c r="Y93" s="143">
        <f t="shared" ref="Y93:Y130" si="57">F34</f>
        <v>8.6242522637096446</v>
      </c>
      <c r="Z93" s="143">
        <f t="shared" ref="Z93:AR93" si="58">Y93</f>
        <v>8.6242522637096446</v>
      </c>
      <c r="AA93" s="143">
        <f t="shared" si="58"/>
        <v>8.6242522637096446</v>
      </c>
      <c r="AB93" s="143">
        <f t="shared" si="58"/>
        <v>8.6242522637096446</v>
      </c>
      <c r="AC93" s="143">
        <f t="shared" si="58"/>
        <v>8.6242522637096446</v>
      </c>
      <c r="AD93" s="143">
        <f t="shared" si="58"/>
        <v>8.6242522637096446</v>
      </c>
      <c r="AE93" s="143">
        <f t="shared" si="58"/>
        <v>8.6242522637096446</v>
      </c>
      <c r="AF93" s="143">
        <f t="shared" si="58"/>
        <v>8.6242522637096446</v>
      </c>
      <c r="AG93" s="143">
        <f t="shared" si="58"/>
        <v>8.6242522637096446</v>
      </c>
      <c r="AH93" s="143">
        <f t="shared" si="58"/>
        <v>8.6242522637096446</v>
      </c>
      <c r="AI93" s="143">
        <f t="shared" si="58"/>
        <v>8.6242522637096446</v>
      </c>
      <c r="AJ93" s="143">
        <f t="shared" si="58"/>
        <v>8.6242522637096446</v>
      </c>
      <c r="AK93" s="143">
        <f t="shared" si="58"/>
        <v>8.6242522637096446</v>
      </c>
      <c r="AL93" s="143">
        <f t="shared" si="58"/>
        <v>8.6242522637096446</v>
      </c>
      <c r="AM93" s="143">
        <f t="shared" si="58"/>
        <v>8.6242522637096446</v>
      </c>
      <c r="AN93" s="143">
        <f t="shared" si="58"/>
        <v>8.6242522637096446</v>
      </c>
      <c r="AO93" s="143">
        <f t="shared" si="58"/>
        <v>8.6242522637096446</v>
      </c>
      <c r="AP93" s="143">
        <f t="shared" si="58"/>
        <v>8.6242522637096446</v>
      </c>
      <c r="AQ93" s="143">
        <f t="shared" si="58"/>
        <v>8.6242522637096446</v>
      </c>
      <c r="AR93" s="143">
        <f t="shared" si="58"/>
        <v>8.6242522637096446</v>
      </c>
      <c r="AS93" s="143">
        <f t="shared" ref="AS93:AS130" si="59">G34</f>
        <v>9.2935687691789148</v>
      </c>
      <c r="AT93" s="143">
        <f t="shared" ref="AT93:BL93" si="60">AS93</f>
        <v>9.2935687691789148</v>
      </c>
      <c r="AU93" s="143">
        <f t="shared" si="60"/>
        <v>9.2935687691789148</v>
      </c>
      <c r="AV93" s="143">
        <f t="shared" si="60"/>
        <v>9.2935687691789148</v>
      </c>
      <c r="AW93" s="143">
        <f t="shared" si="60"/>
        <v>9.2935687691789148</v>
      </c>
      <c r="AX93" s="143">
        <f t="shared" si="60"/>
        <v>9.2935687691789148</v>
      </c>
      <c r="AY93" s="143">
        <f t="shared" si="60"/>
        <v>9.2935687691789148</v>
      </c>
      <c r="AZ93" s="143">
        <f t="shared" si="60"/>
        <v>9.2935687691789148</v>
      </c>
      <c r="BA93" s="143">
        <f t="shared" si="60"/>
        <v>9.2935687691789148</v>
      </c>
      <c r="BB93" s="143">
        <f t="shared" si="60"/>
        <v>9.2935687691789148</v>
      </c>
      <c r="BC93" s="143">
        <f t="shared" si="60"/>
        <v>9.2935687691789148</v>
      </c>
      <c r="BD93" s="143">
        <f t="shared" si="60"/>
        <v>9.2935687691789148</v>
      </c>
      <c r="BE93" s="143">
        <f t="shared" si="60"/>
        <v>9.2935687691789148</v>
      </c>
      <c r="BF93" s="143">
        <f t="shared" si="60"/>
        <v>9.2935687691789148</v>
      </c>
      <c r="BG93" s="143">
        <f t="shared" si="60"/>
        <v>9.2935687691789148</v>
      </c>
      <c r="BH93" s="143">
        <f t="shared" si="60"/>
        <v>9.2935687691789148</v>
      </c>
      <c r="BI93" s="143">
        <f t="shared" si="60"/>
        <v>9.2935687691789148</v>
      </c>
      <c r="BJ93" s="143">
        <f t="shared" si="60"/>
        <v>9.2935687691789148</v>
      </c>
      <c r="BK93" s="143">
        <f t="shared" si="60"/>
        <v>9.2935687691789148</v>
      </c>
      <c r="BL93" s="143">
        <f t="shared" si="60"/>
        <v>9.2935687691789148</v>
      </c>
      <c r="BM93" s="143">
        <f t="shared" ref="BM93:BM130" si="61">H34</f>
        <v>9.7275913091338353</v>
      </c>
      <c r="BN93" s="143">
        <f t="shared" ref="BN93:CF93" si="62">BM93</f>
        <v>9.7275913091338353</v>
      </c>
      <c r="BO93" s="143">
        <f t="shared" si="62"/>
        <v>9.7275913091338353</v>
      </c>
      <c r="BP93" s="143">
        <f t="shared" si="62"/>
        <v>9.7275913091338353</v>
      </c>
      <c r="BQ93" s="143">
        <f t="shared" si="62"/>
        <v>9.7275913091338353</v>
      </c>
      <c r="BR93" s="143">
        <f t="shared" si="62"/>
        <v>9.7275913091338353</v>
      </c>
      <c r="BS93" s="143">
        <f t="shared" si="62"/>
        <v>9.7275913091338353</v>
      </c>
      <c r="BT93" s="143">
        <f t="shared" si="62"/>
        <v>9.7275913091338353</v>
      </c>
      <c r="BU93" s="143">
        <f t="shared" si="62"/>
        <v>9.7275913091338353</v>
      </c>
      <c r="BV93" s="143">
        <f t="shared" si="62"/>
        <v>9.7275913091338353</v>
      </c>
      <c r="BW93" s="143">
        <f t="shared" si="62"/>
        <v>9.7275913091338353</v>
      </c>
      <c r="BX93" s="143">
        <f t="shared" si="62"/>
        <v>9.7275913091338353</v>
      </c>
      <c r="BY93" s="143">
        <f t="shared" si="62"/>
        <v>9.7275913091338353</v>
      </c>
      <c r="BZ93" s="143">
        <f t="shared" si="62"/>
        <v>9.7275913091338353</v>
      </c>
      <c r="CA93" s="143">
        <f t="shared" si="62"/>
        <v>9.7275913091338353</v>
      </c>
      <c r="CB93" s="143">
        <f t="shared" si="62"/>
        <v>9.7275913091338353</v>
      </c>
      <c r="CC93" s="143">
        <f t="shared" si="62"/>
        <v>9.7275913091338353</v>
      </c>
      <c r="CD93" s="143">
        <f t="shared" si="62"/>
        <v>9.7275913091338353</v>
      </c>
      <c r="CE93" s="143">
        <f t="shared" si="62"/>
        <v>9.7275913091338353</v>
      </c>
      <c r="CF93" s="143">
        <f t="shared" si="62"/>
        <v>9.7275913091338353</v>
      </c>
      <c r="CG93" s="143">
        <f t="shared" ref="CG93:CG130" si="63">I34</f>
        <v>10.07398953252474</v>
      </c>
      <c r="CH93" s="143">
        <f t="shared" ref="CH93:CP93" si="64">CG93</f>
        <v>10.07398953252474</v>
      </c>
      <c r="CI93" s="143">
        <f t="shared" si="64"/>
        <v>10.07398953252474</v>
      </c>
      <c r="CJ93" s="143">
        <f t="shared" si="64"/>
        <v>10.07398953252474</v>
      </c>
      <c r="CK93" s="143">
        <f t="shared" si="64"/>
        <v>10.07398953252474</v>
      </c>
      <c r="CL93" s="143">
        <f t="shared" si="64"/>
        <v>10.07398953252474</v>
      </c>
      <c r="CM93" s="143">
        <f t="shared" si="64"/>
        <v>10.07398953252474</v>
      </c>
      <c r="CN93" s="143">
        <f t="shared" si="64"/>
        <v>10.07398953252474</v>
      </c>
      <c r="CO93" s="143">
        <f t="shared" si="64"/>
        <v>10.07398953252474</v>
      </c>
      <c r="CP93" s="143">
        <f t="shared" si="64"/>
        <v>10.07398953252474</v>
      </c>
      <c r="CQ93" s="143">
        <f t="shared" ref="CQ93:CQ130" si="65">J34</f>
        <v>10.351322257010802</v>
      </c>
      <c r="CR93" s="143">
        <f t="shared" ref="CR93:CU112" si="66">CQ93</f>
        <v>10.351322257010802</v>
      </c>
      <c r="CS93" s="143">
        <f t="shared" si="66"/>
        <v>10.351322257010802</v>
      </c>
      <c r="CT93" s="143">
        <f t="shared" si="66"/>
        <v>10.351322257010802</v>
      </c>
      <c r="CU93" s="143">
        <f t="shared" si="66"/>
        <v>10.351322257010802</v>
      </c>
      <c r="CV93" s="143">
        <f t="shared" ref="CV93:CV130" si="67">K34</f>
        <v>10.793963942917221</v>
      </c>
      <c r="CW93" s="143">
        <f t="shared" ref="CW93:CY112" si="68">CV93</f>
        <v>10.793963942917221</v>
      </c>
      <c r="CX93" s="143">
        <f t="shared" si="68"/>
        <v>10.793963942917221</v>
      </c>
      <c r="CY93" s="143">
        <f t="shared" si="68"/>
        <v>10.793963942917221</v>
      </c>
      <c r="CZ93" s="143">
        <f t="shared" ref="CZ93:CZ130" si="69">L34</f>
        <v>12.194421028309698</v>
      </c>
      <c r="DA93" s="60"/>
      <c r="DB93" s="143">
        <f t="shared" ref="DB93:DB130" si="70">N34</f>
        <v>9.6485953029073386</v>
      </c>
      <c r="DC93" s="143">
        <f t="shared" ref="DC93:DU93" si="71">DB93</f>
        <v>9.6485953029073386</v>
      </c>
      <c r="DD93" s="143">
        <f t="shared" si="71"/>
        <v>9.6485953029073386</v>
      </c>
      <c r="DE93" s="143">
        <f t="shared" si="71"/>
        <v>9.6485953029073386</v>
      </c>
      <c r="DF93" s="143">
        <f t="shared" si="71"/>
        <v>9.6485953029073386</v>
      </c>
      <c r="DG93" s="143">
        <f t="shared" si="71"/>
        <v>9.6485953029073386</v>
      </c>
      <c r="DH93" s="143">
        <f t="shared" si="71"/>
        <v>9.6485953029073386</v>
      </c>
      <c r="DI93" s="143">
        <f t="shared" si="71"/>
        <v>9.6485953029073386</v>
      </c>
      <c r="DJ93" s="143">
        <f t="shared" si="71"/>
        <v>9.6485953029073386</v>
      </c>
      <c r="DK93" s="143">
        <f t="shared" si="71"/>
        <v>9.6485953029073386</v>
      </c>
      <c r="DL93" s="143">
        <f t="shared" si="71"/>
        <v>9.6485953029073386</v>
      </c>
      <c r="DM93" s="143">
        <f t="shared" si="71"/>
        <v>9.6485953029073386</v>
      </c>
      <c r="DN93" s="143">
        <f t="shared" si="71"/>
        <v>9.6485953029073386</v>
      </c>
      <c r="DO93" s="143">
        <f t="shared" si="71"/>
        <v>9.6485953029073386</v>
      </c>
      <c r="DP93" s="143">
        <f t="shared" si="71"/>
        <v>9.6485953029073386</v>
      </c>
      <c r="DQ93" s="143">
        <f t="shared" si="71"/>
        <v>9.6485953029073386</v>
      </c>
      <c r="DR93" s="143">
        <f t="shared" si="71"/>
        <v>9.6485953029073386</v>
      </c>
      <c r="DS93" s="143">
        <f t="shared" si="71"/>
        <v>9.6485953029073386</v>
      </c>
      <c r="DT93" s="143">
        <f t="shared" si="71"/>
        <v>9.6485953029073386</v>
      </c>
      <c r="DU93" s="143">
        <f t="shared" si="71"/>
        <v>9.6485953029073386</v>
      </c>
      <c r="DV93" s="143">
        <f t="shared" ref="DV93:DV130" si="72">O34</f>
        <v>10.521372248595526</v>
      </c>
      <c r="DW93" s="143">
        <f t="shared" ref="DW93:EO93" si="73">DV93</f>
        <v>10.521372248595526</v>
      </c>
      <c r="DX93" s="143">
        <f t="shared" si="73"/>
        <v>10.521372248595526</v>
      </c>
      <c r="DY93" s="143">
        <f t="shared" si="73"/>
        <v>10.521372248595526</v>
      </c>
      <c r="DZ93" s="143">
        <f t="shared" si="73"/>
        <v>10.521372248595526</v>
      </c>
      <c r="EA93" s="143">
        <f t="shared" si="73"/>
        <v>10.521372248595526</v>
      </c>
      <c r="EB93" s="143">
        <f t="shared" si="73"/>
        <v>10.521372248595526</v>
      </c>
      <c r="EC93" s="143">
        <f t="shared" si="73"/>
        <v>10.521372248595526</v>
      </c>
      <c r="ED93" s="143">
        <f t="shared" si="73"/>
        <v>10.521372248595526</v>
      </c>
      <c r="EE93" s="143">
        <f t="shared" si="73"/>
        <v>10.521372248595526</v>
      </c>
      <c r="EF93" s="143">
        <f t="shared" si="73"/>
        <v>10.521372248595526</v>
      </c>
      <c r="EG93" s="143">
        <f t="shared" si="73"/>
        <v>10.521372248595526</v>
      </c>
      <c r="EH93" s="143">
        <f t="shared" si="73"/>
        <v>10.521372248595526</v>
      </c>
      <c r="EI93" s="143">
        <f t="shared" si="73"/>
        <v>10.521372248595526</v>
      </c>
      <c r="EJ93" s="143">
        <f t="shared" si="73"/>
        <v>10.521372248595526</v>
      </c>
      <c r="EK93" s="143">
        <f t="shared" si="73"/>
        <v>10.521372248595526</v>
      </c>
      <c r="EL93" s="143">
        <f t="shared" si="73"/>
        <v>10.521372248595526</v>
      </c>
      <c r="EM93" s="143">
        <f t="shared" si="73"/>
        <v>10.521372248595526</v>
      </c>
      <c r="EN93" s="143">
        <f t="shared" si="73"/>
        <v>10.521372248595526</v>
      </c>
      <c r="EO93" s="143">
        <f t="shared" si="73"/>
        <v>10.521372248595526</v>
      </c>
      <c r="EP93" s="143">
        <f t="shared" ref="EP93:EP130" si="74">P34</f>
        <v>10.949050620114422</v>
      </c>
      <c r="EQ93" s="143">
        <f t="shared" ref="EQ93:FI93" si="75">EP93</f>
        <v>10.949050620114422</v>
      </c>
      <c r="ER93" s="143">
        <f t="shared" si="75"/>
        <v>10.949050620114422</v>
      </c>
      <c r="ES93" s="143">
        <f t="shared" si="75"/>
        <v>10.949050620114422</v>
      </c>
      <c r="ET93" s="143">
        <f t="shared" si="75"/>
        <v>10.949050620114422</v>
      </c>
      <c r="EU93" s="143">
        <f t="shared" si="75"/>
        <v>10.949050620114422</v>
      </c>
      <c r="EV93" s="143">
        <f t="shared" si="75"/>
        <v>10.949050620114422</v>
      </c>
      <c r="EW93" s="143">
        <f t="shared" si="75"/>
        <v>10.949050620114422</v>
      </c>
      <c r="EX93" s="143">
        <f t="shared" si="75"/>
        <v>10.949050620114422</v>
      </c>
      <c r="EY93" s="143">
        <f t="shared" si="75"/>
        <v>10.949050620114422</v>
      </c>
      <c r="EZ93" s="143">
        <f t="shared" si="75"/>
        <v>10.949050620114422</v>
      </c>
      <c r="FA93" s="143">
        <f t="shared" si="75"/>
        <v>10.949050620114422</v>
      </c>
      <c r="FB93" s="143">
        <f t="shared" si="75"/>
        <v>10.949050620114422</v>
      </c>
      <c r="FC93" s="143">
        <f t="shared" si="75"/>
        <v>10.949050620114422</v>
      </c>
      <c r="FD93" s="143">
        <f t="shared" si="75"/>
        <v>10.949050620114422</v>
      </c>
      <c r="FE93" s="143">
        <f t="shared" si="75"/>
        <v>10.949050620114422</v>
      </c>
      <c r="FF93" s="143">
        <f t="shared" si="75"/>
        <v>10.949050620114422</v>
      </c>
      <c r="FG93" s="143">
        <f t="shared" si="75"/>
        <v>10.949050620114422</v>
      </c>
      <c r="FH93" s="143">
        <f t="shared" si="75"/>
        <v>10.949050620114422</v>
      </c>
      <c r="FI93" s="143">
        <f t="shared" si="75"/>
        <v>10.949050620114422</v>
      </c>
      <c r="FJ93" s="143">
        <f t="shared" ref="FJ93:FJ130" si="76">Q34</f>
        <v>11.255449234575513</v>
      </c>
      <c r="FK93" s="143">
        <f t="shared" ref="FK93:GC93" si="77">FJ93</f>
        <v>11.255449234575513</v>
      </c>
      <c r="FL93" s="143">
        <f t="shared" si="77"/>
        <v>11.255449234575513</v>
      </c>
      <c r="FM93" s="143">
        <f t="shared" si="77"/>
        <v>11.255449234575513</v>
      </c>
      <c r="FN93" s="143">
        <f t="shared" si="77"/>
        <v>11.255449234575513</v>
      </c>
      <c r="FO93" s="143">
        <f t="shared" si="77"/>
        <v>11.255449234575513</v>
      </c>
      <c r="FP93" s="143">
        <f t="shared" si="77"/>
        <v>11.255449234575513</v>
      </c>
      <c r="FQ93" s="143">
        <f t="shared" si="77"/>
        <v>11.255449234575513</v>
      </c>
      <c r="FR93" s="143">
        <f t="shared" si="77"/>
        <v>11.255449234575513</v>
      </c>
      <c r="FS93" s="143">
        <f t="shared" si="77"/>
        <v>11.255449234575513</v>
      </c>
      <c r="FT93" s="143">
        <f t="shared" si="77"/>
        <v>11.255449234575513</v>
      </c>
      <c r="FU93" s="143">
        <f t="shared" si="77"/>
        <v>11.255449234575513</v>
      </c>
      <c r="FV93" s="143">
        <f t="shared" si="77"/>
        <v>11.255449234575513</v>
      </c>
      <c r="FW93" s="143">
        <f t="shared" si="77"/>
        <v>11.255449234575513</v>
      </c>
      <c r="FX93" s="143">
        <f t="shared" si="77"/>
        <v>11.255449234575513</v>
      </c>
      <c r="FY93" s="143">
        <f t="shared" si="77"/>
        <v>11.255449234575513</v>
      </c>
      <c r="FZ93" s="143">
        <f t="shared" si="77"/>
        <v>11.255449234575513</v>
      </c>
      <c r="GA93" s="143">
        <f t="shared" si="77"/>
        <v>11.255449234575513</v>
      </c>
      <c r="GB93" s="143">
        <f t="shared" si="77"/>
        <v>11.255449234575513</v>
      </c>
      <c r="GC93" s="143">
        <f t="shared" si="77"/>
        <v>11.255449234575513</v>
      </c>
      <c r="GD93" s="143">
        <f t="shared" ref="GD93:GD130" si="78">R34</f>
        <v>11.517913006481267</v>
      </c>
      <c r="GE93" s="143">
        <f t="shared" ref="GE93:GM93" si="79">GD93</f>
        <v>11.517913006481267</v>
      </c>
      <c r="GF93" s="143">
        <f t="shared" si="79"/>
        <v>11.517913006481267</v>
      </c>
      <c r="GG93" s="143">
        <f t="shared" si="79"/>
        <v>11.517913006481267</v>
      </c>
      <c r="GH93" s="143">
        <f t="shared" si="79"/>
        <v>11.517913006481267</v>
      </c>
      <c r="GI93" s="143">
        <f t="shared" si="79"/>
        <v>11.517913006481267</v>
      </c>
      <c r="GJ93" s="143">
        <f t="shared" si="79"/>
        <v>11.517913006481267</v>
      </c>
      <c r="GK93" s="143">
        <f t="shared" si="79"/>
        <v>11.517913006481267</v>
      </c>
      <c r="GL93" s="143">
        <f t="shared" si="79"/>
        <v>11.517913006481267</v>
      </c>
      <c r="GM93" s="143">
        <f t="shared" si="79"/>
        <v>11.517913006481267</v>
      </c>
      <c r="GN93" s="143">
        <f t="shared" ref="GN93:GN130" si="80">S34</f>
        <v>11.729648448481516</v>
      </c>
      <c r="GO93" s="143">
        <f t="shared" ref="GO93:GR112" si="81">GN93</f>
        <v>11.729648448481516</v>
      </c>
      <c r="GP93" s="143">
        <f t="shared" si="81"/>
        <v>11.729648448481516</v>
      </c>
      <c r="GQ93" s="143">
        <f t="shared" si="81"/>
        <v>11.729648448481516</v>
      </c>
      <c r="GR93" s="143">
        <f t="shared" si="81"/>
        <v>11.729648448481516</v>
      </c>
      <c r="GS93" s="143">
        <f t="shared" ref="GS93:GS130" si="82">T34</f>
        <v>12.099600401019657</v>
      </c>
      <c r="GT93" s="143">
        <f t="shared" ref="GT93:GV112" si="83">GS93</f>
        <v>12.099600401019657</v>
      </c>
      <c r="GU93" s="143">
        <f t="shared" si="83"/>
        <v>12.099600401019657</v>
      </c>
      <c r="GV93" s="143">
        <f t="shared" si="83"/>
        <v>12.099600401019657</v>
      </c>
      <c r="GW93" s="143">
        <f t="shared" ref="GW93:GW130" si="84">U34</f>
        <v>13.241390083825969</v>
      </c>
    </row>
    <row r="94" spans="1:205" s="46" customFormat="1" ht="9.75" customHeight="1">
      <c r="A94" s="60">
        <v>1980</v>
      </c>
      <c r="B94" s="143">
        <f t="shared" ref="B94:B129" si="85">LINEST(E94:CZ94, DB94:GW94, TRUE, FALSE)-1</f>
        <v>0.48643729051379014</v>
      </c>
      <c r="C94" s="143">
        <f t="shared" si="54"/>
        <v>0.9957538420591513</v>
      </c>
      <c r="D94" s="60"/>
      <c r="E94" s="143">
        <f t="shared" si="55"/>
        <v>7.1899975826835529</v>
      </c>
      <c r="F94" s="143">
        <f t="shared" ref="F94:X94" si="86">E94</f>
        <v>7.1899975826835529</v>
      </c>
      <c r="G94" s="143">
        <f t="shared" si="86"/>
        <v>7.1899975826835529</v>
      </c>
      <c r="H94" s="143">
        <f t="shared" si="86"/>
        <v>7.1899975826835529</v>
      </c>
      <c r="I94" s="143">
        <f t="shared" si="86"/>
        <v>7.1899975826835529</v>
      </c>
      <c r="J94" s="143">
        <f t="shared" si="86"/>
        <v>7.1899975826835529</v>
      </c>
      <c r="K94" s="143">
        <f t="shared" si="86"/>
        <v>7.1899975826835529</v>
      </c>
      <c r="L94" s="143">
        <f t="shared" si="86"/>
        <v>7.1899975826835529</v>
      </c>
      <c r="M94" s="143">
        <f t="shared" si="86"/>
        <v>7.1899975826835529</v>
      </c>
      <c r="N94" s="143">
        <f t="shared" si="86"/>
        <v>7.1899975826835529</v>
      </c>
      <c r="O94" s="143">
        <f t="shared" si="86"/>
        <v>7.1899975826835529</v>
      </c>
      <c r="P94" s="143">
        <f t="shared" si="86"/>
        <v>7.1899975826835529</v>
      </c>
      <c r="Q94" s="143">
        <f t="shared" si="86"/>
        <v>7.1899975826835529</v>
      </c>
      <c r="R94" s="143">
        <f t="shared" si="86"/>
        <v>7.1899975826835529</v>
      </c>
      <c r="S94" s="143">
        <f t="shared" si="86"/>
        <v>7.1899975826835529</v>
      </c>
      <c r="T94" s="143">
        <f t="shared" si="86"/>
        <v>7.1899975826835529</v>
      </c>
      <c r="U94" s="143">
        <f t="shared" si="86"/>
        <v>7.1899975826835529</v>
      </c>
      <c r="V94" s="143">
        <f t="shared" si="86"/>
        <v>7.1899975826835529</v>
      </c>
      <c r="W94" s="143">
        <f t="shared" si="86"/>
        <v>7.1899975826835529</v>
      </c>
      <c r="X94" s="143">
        <f t="shared" si="86"/>
        <v>7.1899975826835529</v>
      </c>
      <c r="Y94" s="143">
        <f t="shared" si="57"/>
        <v>8.5627782246367214</v>
      </c>
      <c r="Z94" s="143">
        <f t="shared" ref="Z94:AR94" si="87">Y94</f>
        <v>8.5627782246367214</v>
      </c>
      <c r="AA94" s="143">
        <f t="shared" si="87"/>
        <v>8.5627782246367214</v>
      </c>
      <c r="AB94" s="143">
        <f t="shared" si="87"/>
        <v>8.5627782246367214</v>
      </c>
      <c r="AC94" s="143">
        <f t="shared" si="87"/>
        <v>8.5627782246367214</v>
      </c>
      <c r="AD94" s="143">
        <f t="shared" si="87"/>
        <v>8.5627782246367214</v>
      </c>
      <c r="AE94" s="143">
        <f t="shared" si="87"/>
        <v>8.5627782246367214</v>
      </c>
      <c r="AF94" s="143">
        <f t="shared" si="87"/>
        <v>8.5627782246367214</v>
      </c>
      <c r="AG94" s="143">
        <f t="shared" si="87"/>
        <v>8.5627782246367214</v>
      </c>
      <c r="AH94" s="143">
        <f t="shared" si="87"/>
        <v>8.5627782246367214</v>
      </c>
      <c r="AI94" s="143">
        <f t="shared" si="87"/>
        <v>8.5627782246367214</v>
      </c>
      <c r="AJ94" s="143">
        <f t="shared" si="87"/>
        <v>8.5627782246367214</v>
      </c>
      <c r="AK94" s="143">
        <f t="shared" si="87"/>
        <v>8.5627782246367214</v>
      </c>
      <c r="AL94" s="143">
        <f t="shared" si="87"/>
        <v>8.5627782246367214</v>
      </c>
      <c r="AM94" s="143">
        <f t="shared" si="87"/>
        <v>8.5627782246367214</v>
      </c>
      <c r="AN94" s="143">
        <f t="shared" si="87"/>
        <v>8.5627782246367214</v>
      </c>
      <c r="AO94" s="143">
        <f t="shared" si="87"/>
        <v>8.5627782246367214</v>
      </c>
      <c r="AP94" s="143">
        <f t="shared" si="87"/>
        <v>8.5627782246367214</v>
      </c>
      <c r="AQ94" s="143">
        <f t="shared" si="87"/>
        <v>8.5627782246367214</v>
      </c>
      <c r="AR94" s="143">
        <f t="shared" si="87"/>
        <v>8.5627782246367214</v>
      </c>
      <c r="AS94" s="143">
        <f t="shared" si="59"/>
        <v>9.2543572573929573</v>
      </c>
      <c r="AT94" s="143">
        <f t="shared" ref="AT94:BL94" si="88">AS94</f>
        <v>9.2543572573929573</v>
      </c>
      <c r="AU94" s="143">
        <f t="shared" si="88"/>
        <v>9.2543572573929573</v>
      </c>
      <c r="AV94" s="143">
        <f t="shared" si="88"/>
        <v>9.2543572573929573</v>
      </c>
      <c r="AW94" s="143">
        <f t="shared" si="88"/>
        <v>9.2543572573929573</v>
      </c>
      <c r="AX94" s="143">
        <f t="shared" si="88"/>
        <v>9.2543572573929573</v>
      </c>
      <c r="AY94" s="143">
        <f t="shared" si="88"/>
        <v>9.2543572573929573</v>
      </c>
      <c r="AZ94" s="143">
        <f t="shared" si="88"/>
        <v>9.2543572573929573</v>
      </c>
      <c r="BA94" s="143">
        <f t="shared" si="88"/>
        <v>9.2543572573929573</v>
      </c>
      <c r="BB94" s="143">
        <f t="shared" si="88"/>
        <v>9.2543572573929573</v>
      </c>
      <c r="BC94" s="143">
        <f t="shared" si="88"/>
        <v>9.2543572573929573</v>
      </c>
      <c r="BD94" s="143">
        <f t="shared" si="88"/>
        <v>9.2543572573929573</v>
      </c>
      <c r="BE94" s="143">
        <f t="shared" si="88"/>
        <v>9.2543572573929573</v>
      </c>
      <c r="BF94" s="143">
        <f t="shared" si="88"/>
        <v>9.2543572573929573</v>
      </c>
      <c r="BG94" s="143">
        <f t="shared" si="88"/>
        <v>9.2543572573929573</v>
      </c>
      <c r="BH94" s="143">
        <f t="shared" si="88"/>
        <v>9.2543572573929573</v>
      </c>
      <c r="BI94" s="143">
        <f t="shared" si="88"/>
        <v>9.2543572573929573</v>
      </c>
      <c r="BJ94" s="143">
        <f t="shared" si="88"/>
        <v>9.2543572573929573</v>
      </c>
      <c r="BK94" s="143">
        <f t="shared" si="88"/>
        <v>9.2543572573929573</v>
      </c>
      <c r="BL94" s="143">
        <f t="shared" si="88"/>
        <v>9.2543572573929573</v>
      </c>
      <c r="BM94" s="143">
        <f t="shared" si="61"/>
        <v>9.7033156215591774</v>
      </c>
      <c r="BN94" s="143">
        <f t="shared" ref="BN94:CF94" si="89">BM94</f>
        <v>9.7033156215591774</v>
      </c>
      <c r="BO94" s="143">
        <f t="shared" si="89"/>
        <v>9.7033156215591774</v>
      </c>
      <c r="BP94" s="143">
        <f t="shared" si="89"/>
        <v>9.7033156215591774</v>
      </c>
      <c r="BQ94" s="143">
        <f t="shared" si="89"/>
        <v>9.7033156215591774</v>
      </c>
      <c r="BR94" s="143">
        <f t="shared" si="89"/>
        <v>9.7033156215591774</v>
      </c>
      <c r="BS94" s="143">
        <f t="shared" si="89"/>
        <v>9.7033156215591774</v>
      </c>
      <c r="BT94" s="143">
        <f t="shared" si="89"/>
        <v>9.7033156215591774</v>
      </c>
      <c r="BU94" s="143">
        <f t="shared" si="89"/>
        <v>9.7033156215591774</v>
      </c>
      <c r="BV94" s="143">
        <f t="shared" si="89"/>
        <v>9.7033156215591774</v>
      </c>
      <c r="BW94" s="143">
        <f t="shared" si="89"/>
        <v>9.7033156215591774</v>
      </c>
      <c r="BX94" s="143">
        <f t="shared" si="89"/>
        <v>9.7033156215591774</v>
      </c>
      <c r="BY94" s="143">
        <f t="shared" si="89"/>
        <v>9.7033156215591774</v>
      </c>
      <c r="BZ94" s="143">
        <f t="shared" si="89"/>
        <v>9.7033156215591774</v>
      </c>
      <c r="CA94" s="143">
        <f t="shared" si="89"/>
        <v>9.7033156215591774</v>
      </c>
      <c r="CB94" s="143">
        <f t="shared" si="89"/>
        <v>9.7033156215591774</v>
      </c>
      <c r="CC94" s="143">
        <f t="shared" si="89"/>
        <v>9.7033156215591774</v>
      </c>
      <c r="CD94" s="143">
        <f t="shared" si="89"/>
        <v>9.7033156215591774</v>
      </c>
      <c r="CE94" s="143">
        <f t="shared" si="89"/>
        <v>9.7033156215591774</v>
      </c>
      <c r="CF94" s="143">
        <f t="shared" si="89"/>
        <v>9.7033156215591774</v>
      </c>
      <c r="CG94" s="143">
        <f t="shared" si="63"/>
        <v>10.068662950495112</v>
      </c>
      <c r="CH94" s="143">
        <f t="shared" ref="CH94:CP94" si="90">CG94</f>
        <v>10.068662950495112</v>
      </c>
      <c r="CI94" s="143">
        <f t="shared" si="90"/>
        <v>10.068662950495112</v>
      </c>
      <c r="CJ94" s="143">
        <f t="shared" si="90"/>
        <v>10.068662950495112</v>
      </c>
      <c r="CK94" s="143">
        <f t="shared" si="90"/>
        <v>10.068662950495112</v>
      </c>
      <c r="CL94" s="143">
        <f t="shared" si="90"/>
        <v>10.068662950495112</v>
      </c>
      <c r="CM94" s="143">
        <f t="shared" si="90"/>
        <v>10.068662950495112</v>
      </c>
      <c r="CN94" s="143">
        <f t="shared" si="90"/>
        <v>10.068662950495112</v>
      </c>
      <c r="CO94" s="143">
        <f t="shared" si="90"/>
        <v>10.068662950495112</v>
      </c>
      <c r="CP94" s="143">
        <f t="shared" si="90"/>
        <v>10.068662950495112</v>
      </c>
      <c r="CQ94" s="143">
        <f t="shared" si="65"/>
        <v>10.343643900434223</v>
      </c>
      <c r="CR94" s="143">
        <f t="shared" si="66"/>
        <v>10.343643900434223</v>
      </c>
      <c r="CS94" s="143">
        <f t="shared" si="66"/>
        <v>10.343643900434223</v>
      </c>
      <c r="CT94" s="143">
        <f t="shared" si="66"/>
        <v>10.343643900434223</v>
      </c>
      <c r="CU94" s="143">
        <f t="shared" si="66"/>
        <v>10.343643900434223</v>
      </c>
      <c r="CV94" s="143">
        <f t="shared" si="67"/>
        <v>10.771033319219361</v>
      </c>
      <c r="CW94" s="143">
        <f t="shared" si="68"/>
        <v>10.771033319219361</v>
      </c>
      <c r="CX94" s="143">
        <f t="shared" si="68"/>
        <v>10.771033319219361</v>
      </c>
      <c r="CY94" s="143">
        <f t="shared" si="68"/>
        <v>10.771033319219361</v>
      </c>
      <c r="CZ94" s="143">
        <f t="shared" si="69"/>
        <v>12.094242916227083</v>
      </c>
      <c r="DA94" s="60"/>
      <c r="DB94" s="143">
        <f t="shared" si="70"/>
        <v>9.6091164919335501</v>
      </c>
      <c r="DC94" s="143">
        <f t="shared" ref="DC94:DU94" si="91">DB94</f>
        <v>9.6091164919335501</v>
      </c>
      <c r="DD94" s="143">
        <f t="shared" si="91"/>
        <v>9.6091164919335501</v>
      </c>
      <c r="DE94" s="143">
        <f t="shared" si="91"/>
        <v>9.6091164919335501</v>
      </c>
      <c r="DF94" s="143">
        <f t="shared" si="91"/>
        <v>9.6091164919335501</v>
      </c>
      <c r="DG94" s="143">
        <f t="shared" si="91"/>
        <v>9.6091164919335501</v>
      </c>
      <c r="DH94" s="143">
        <f t="shared" si="91"/>
        <v>9.6091164919335501</v>
      </c>
      <c r="DI94" s="143">
        <f t="shared" si="91"/>
        <v>9.6091164919335501</v>
      </c>
      <c r="DJ94" s="143">
        <f t="shared" si="91"/>
        <v>9.6091164919335501</v>
      </c>
      <c r="DK94" s="143">
        <f t="shared" si="91"/>
        <v>9.6091164919335501</v>
      </c>
      <c r="DL94" s="143">
        <f t="shared" si="91"/>
        <v>9.6091164919335501</v>
      </c>
      <c r="DM94" s="143">
        <f t="shared" si="91"/>
        <v>9.6091164919335501</v>
      </c>
      <c r="DN94" s="143">
        <f t="shared" si="91"/>
        <v>9.6091164919335501</v>
      </c>
      <c r="DO94" s="143">
        <f t="shared" si="91"/>
        <v>9.6091164919335501</v>
      </c>
      <c r="DP94" s="143">
        <f t="shared" si="91"/>
        <v>9.6091164919335501</v>
      </c>
      <c r="DQ94" s="143">
        <f t="shared" si="91"/>
        <v>9.6091164919335501</v>
      </c>
      <c r="DR94" s="143">
        <f t="shared" si="91"/>
        <v>9.6091164919335501</v>
      </c>
      <c r="DS94" s="143">
        <f t="shared" si="91"/>
        <v>9.6091164919335501</v>
      </c>
      <c r="DT94" s="143">
        <f t="shared" si="91"/>
        <v>9.6091164919335501</v>
      </c>
      <c r="DU94" s="143">
        <f t="shared" si="91"/>
        <v>9.6091164919335501</v>
      </c>
      <c r="DV94" s="143">
        <f t="shared" si="72"/>
        <v>10.480100916840122</v>
      </c>
      <c r="DW94" s="143">
        <f t="shared" ref="DW94:EO94" si="92">DV94</f>
        <v>10.480100916840122</v>
      </c>
      <c r="DX94" s="143">
        <f t="shared" si="92"/>
        <v>10.480100916840122</v>
      </c>
      <c r="DY94" s="143">
        <f t="shared" si="92"/>
        <v>10.480100916840122</v>
      </c>
      <c r="DZ94" s="143">
        <f t="shared" si="92"/>
        <v>10.480100916840122</v>
      </c>
      <c r="EA94" s="143">
        <f t="shared" si="92"/>
        <v>10.480100916840122</v>
      </c>
      <c r="EB94" s="143">
        <f t="shared" si="92"/>
        <v>10.480100916840122</v>
      </c>
      <c r="EC94" s="143">
        <f t="shared" si="92"/>
        <v>10.480100916840122</v>
      </c>
      <c r="ED94" s="143">
        <f t="shared" si="92"/>
        <v>10.480100916840122</v>
      </c>
      <c r="EE94" s="143">
        <f t="shared" si="92"/>
        <v>10.480100916840122</v>
      </c>
      <c r="EF94" s="143">
        <f t="shared" si="92"/>
        <v>10.480100916840122</v>
      </c>
      <c r="EG94" s="143">
        <f t="shared" si="92"/>
        <v>10.480100916840122</v>
      </c>
      <c r="EH94" s="143">
        <f t="shared" si="92"/>
        <v>10.480100916840122</v>
      </c>
      <c r="EI94" s="143">
        <f t="shared" si="92"/>
        <v>10.480100916840122</v>
      </c>
      <c r="EJ94" s="143">
        <f t="shared" si="92"/>
        <v>10.480100916840122</v>
      </c>
      <c r="EK94" s="143">
        <f t="shared" si="92"/>
        <v>10.480100916840122</v>
      </c>
      <c r="EL94" s="143">
        <f t="shared" si="92"/>
        <v>10.480100916840122</v>
      </c>
      <c r="EM94" s="143">
        <f t="shared" si="92"/>
        <v>10.480100916840122</v>
      </c>
      <c r="EN94" s="143">
        <f t="shared" si="92"/>
        <v>10.480100916840122</v>
      </c>
      <c r="EO94" s="143">
        <f t="shared" si="92"/>
        <v>10.480100916840122</v>
      </c>
      <c r="EP94" s="143">
        <f t="shared" si="74"/>
        <v>10.915088464214607</v>
      </c>
      <c r="EQ94" s="143">
        <f t="shared" ref="EQ94:FI94" si="93">EP94</f>
        <v>10.915088464214607</v>
      </c>
      <c r="ER94" s="143">
        <f t="shared" si="93"/>
        <v>10.915088464214607</v>
      </c>
      <c r="ES94" s="143">
        <f t="shared" si="93"/>
        <v>10.915088464214607</v>
      </c>
      <c r="ET94" s="143">
        <f t="shared" si="93"/>
        <v>10.915088464214607</v>
      </c>
      <c r="EU94" s="143">
        <f t="shared" si="93"/>
        <v>10.915088464214607</v>
      </c>
      <c r="EV94" s="143">
        <f t="shared" si="93"/>
        <v>10.915088464214607</v>
      </c>
      <c r="EW94" s="143">
        <f t="shared" si="93"/>
        <v>10.915088464214607</v>
      </c>
      <c r="EX94" s="143">
        <f t="shared" si="93"/>
        <v>10.915088464214607</v>
      </c>
      <c r="EY94" s="143">
        <f t="shared" si="93"/>
        <v>10.915088464214607</v>
      </c>
      <c r="EZ94" s="143">
        <f t="shared" si="93"/>
        <v>10.915088464214607</v>
      </c>
      <c r="FA94" s="143">
        <f t="shared" si="93"/>
        <v>10.915088464214607</v>
      </c>
      <c r="FB94" s="143">
        <f t="shared" si="93"/>
        <v>10.915088464214607</v>
      </c>
      <c r="FC94" s="143">
        <f t="shared" si="93"/>
        <v>10.915088464214607</v>
      </c>
      <c r="FD94" s="143">
        <f t="shared" si="93"/>
        <v>10.915088464214607</v>
      </c>
      <c r="FE94" s="143">
        <f t="shared" si="93"/>
        <v>10.915088464214607</v>
      </c>
      <c r="FF94" s="143">
        <f t="shared" si="93"/>
        <v>10.915088464214607</v>
      </c>
      <c r="FG94" s="143">
        <f t="shared" si="93"/>
        <v>10.915088464214607</v>
      </c>
      <c r="FH94" s="143">
        <f t="shared" si="93"/>
        <v>10.915088464214607</v>
      </c>
      <c r="FI94" s="143">
        <f t="shared" si="93"/>
        <v>10.915088464214607</v>
      </c>
      <c r="FJ94" s="143">
        <f t="shared" si="76"/>
        <v>11.226575837752225</v>
      </c>
      <c r="FK94" s="143">
        <f t="shared" ref="FK94:GC94" si="94">FJ94</f>
        <v>11.226575837752225</v>
      </c>
      <c r="FL94" s="143">
        <f t="shared" si="94"/>
        <v>11.226575837752225</v>
      </c>
      <c r="FM94" s="143">
        <f t="shared" si="94"/>
        <v>11.226575837752225</v>
      </c>
      <c r="FN94" s="143">
        <f t="shared" si="94"/>
        <v>11.226575837752225</v>
      </c>
      <c r="FO94" s="143">
        <f t="shared" si="94"/>
        <v>11.226575837752225</v>
      </c>
      <c r="FP94" s="143">
        <f t="shared" si="94"/>
        <v>11.226575837752225</v>
      </c>
      <c r="FQ94" s="143">
        <f t="shared" si="94"/>
        <v>11.226575837752225</v>
      </c>
      <c r="FR94" s="143">
        <f t="shared" si="94"/>
        <v>11.226575837752225</v>
      </c>
      <c r="FS94" s="143">
        <f t="shared" si="94"/>
        <v>11.226575837752225</v>
      </c>
      <c r="FT94" s="143">
        <f t="shared" si="94"/>
        <v>11.226575837752225</v>
      </c>
      <c r="FU94" s="143">
        <f t="shared" si="94"/>
        <v>11.226575837752225</v>
      </c>
      <c r="FV94" s="143">
        <f t="shared" si="94"/>
        <v>11.226575837752225</v>
      </c>
      <c r="FW94" s="143">
        <f t="shared" si="94"/>
        <v>11.226575837752225</v>
      </c>
      <c r="FX94" s="143">
        <f t="shared" si="94"/>
        <v>11.226575837752225</v>
      </c>
      <c r="FY94" s="143">
        <f t="shared" si="94"/>
        <v>11.226575837752225</v>
      </c>
      <c r="FZ94" s="143">
        <f t="shared" si="94"/>
        <v>11.226575837752225</v>
      </c>
      <c r="GA94" s="143">
        <f t="shared" si="94"/>
        <v>11.226575837752225</v>
      </c>
      <c r="GB94" s="143">
        <f t="shared" si="94"/>
        <v>11.226575837752225</v>
      </c>
      <c r="GC94" s="143">
        <f t="shared" si="94"/>
        <v>11.226575837752225</v>
      </c>
      <c r="GD94" s="143">
        <f t="shared" si="78"/>
        <v>11.495779306135258</v>
      </c>
      <c r="GE94" s="143">
        <f t="shared" ref="GE94:GM94" si="95">GD94</f>
        <v>11.495779306135258</v>
      </c>
      <c r="GF94" s="143">
        <f t="shared" si="95"/>
        <v>11.495779306135258</v>
      </c>
      <c r="GG94" s="143">
        <f t="shared" si="95"/>
        <v>11.495779306135258</v>
      </c>
      <c r="GH94" s="143">
        <f t="shared" si="95"/>
        <v>11.495779306135258</v>
      </c>
      <c r="GI94" s="143">
        <f t="shared" si="95"/>
        <v>11.495779306135258</v>
      </c>
      <c r="GJ94" s="143">
        <f t="shared" si="95"/>
        <v>11.495779306135258</v>
      </c>
      <c r="GK94" s="143">
        <f t="shared" si="95"/>
        <v>11.495779306135258</v>
      </c>
      <c r="GL94" s="143">
        <f t="shared" si="95"/>
        <v>11.495779306135258</v>
      </c>
      <c r="GM94" s="143">
        <f t="shared" si="95"/>
        <v>11.495779306135258</v>
      </c>
      <c r="GN94" s="143">
        <f t="shared" si="80"/>
        <v>11.710135634257934</v>
      </c>
      <c r="GO94" s="143">
        <f t="shared" si="81"/>
        <v>11.710135634257934</v>
      </c>
      <c r="GP94" s="143">
        <f t="shared" si="81"/>
        <v>11.710135634257934</v>
      </c>
      <c r="GQ94" s="143">
        <f t="shared" si="81"/>
        <v>11.710135634257934</v>
      </c>
      <c r="GR94" s="143">
        <f t="shared" si="81"/>
        <v>11.710135634257934</v>
      </c>
      <c r="GS94" s="143">
        <f t="shared" si="82"/>
        <v>12.065660491813428</v>
      </c>
      <c r="GT94" s="143">
        <f t="shared" si="83"/>
        <v>12.065660491813428</v>
      </c>
      <c r="GU94" s="143">
        <f t="shared" si="83"/>
        <v>12.065660491813428</v>
      </c>
      <c r="GV94" s="143">
        <f t="shared" si="83"/>
        <v>12.065660491813428</v>
      </c>
      <c r="GW94" s="143">
        <f t="shared" si="84"/>
        <v>13.199879819832157</v>
      </c>
    </row>
    <row r="95" spans="1:205" s="46" customFormat="1" ht="9.75" customHeight="1">
      <c r="A95" s="60">
        <v>1981</v>
      </c>
      <c r="B95" s="143">
        <f t="shared" si="85"/>
        <v>0.45123345328153963</v>
      </c>
      <c r="C95" s="143">
        <f t="shared" si="54"/>
        <v>0.99571085104450341</v>
      </c>
      <c r="D95" s="60"/>
      <c r="E95" s="143">
        <f t="shared" si="55"/>
        <v>7.2521956852525271</v>
      </c>
      <c r="F95" s="143">
        <f t="shared" ref="F95:X95" si="96">E95</f>
        <v>7.2521956852525271</v>
      </c>
      <c r="G95" s="143">
        <f t="shared" si="96"/>
        <v>7.2521956852525271</v>
      </c>
      <c r="H95" s="143">
        <f t="shared" si="96"/>
        <v>7.2521956852525271</v>
      </c>
      <c r="I95" s="143">
        <f t="shared" si="96"/>
        <v>7.2521956852525271</v>
      </c>
      <c r="J95" s="143">
        <f t="shared" si="96"/>
        <v>7.2521956852525271</v>
      </c>
      <c r="K95" s="143">
        <f t="shared" si="96"/>
        <v>7.2521956852525271</v>
      </c>
      <c r="L95" s="143">
        <f t="shared" si="96"/>
        <v>7.2521956852525271</v>
      </c>
      <c r="M95" s="143">
        <f t="shared" si="96"/>
        <v>7.2521956852525271</v>
      </c>
      <c r="N95" s="143">
        <f t="shared" si="96"/>
        <v>7.2521956852525271</v>
      </c>
      <c r="O95" s="143">
        <f t="shared" si="96"/>
        <v>7.2521956852525271</v>
      </c>
      <c r="P95" s="143">
        <f t="shared" si="96"/>
        <v>7.2521956852525271</v>
      </c>
      <c r="Q95" s="143">
        <f t="shared" si="96"/>
        <v>7.2521956852525271</v>
      </c>
      <c r="R95" s="143">
        <f t="shared" si="96"/>
        <v>7.2521956852525271</v>
      </c>
      <c r="S95" s="143">
        <f t="shared" si="96"/>
        <v>7.2521956852525271</v>
      </c>
      <c r="T95" s="143">
        <f t="shared" si="96"/>
        <v>7.2521956852525271</v>
      </c>
      <c r="U95" s="143">
        <f t="shared" si="96"/>
        <v>7.2521956852525271</v>
      </c>
      <c r="V95" s="143">
        <f t="shared" si="96"/>
        <v>7.2521956852525271</v>
      </c>
      <c r="W95" s="143">
        <f t="shared" si="96"/>
        <v>7.2521956852525271</v>
      </c>
      <c r="X95" s="143">
        <f t="shared" si="96"/>
        <v>7.2521956852525271</v>
      </c>
      <c r="Y95" s="143">
        <f t="shared" si="57"/>
        <v>8.587763484785528</v>
      </c>
      <c r="Z95" s="143">
        <f t="shared" ref="Z95:AR95" si="97">Y95</f>
        <v>8.587763484785528</v>
      </c>
      <c r="AA95" s="143">
        <f t="shared" si="97"/>
        <v>8.587763484785528</v>
      </c>
      <c r="AB95" s="143">
        <f t="shared" si="97"/>
        <v>8.587763484785528</v>
      </c>
      <c r="AC95" s="143">
        <f t="shared" si="97"/>
        <v>8.587763484785528</v>
      </c>
      <c r="AD95" s="143">
        <f t="shared" si="97"/>
        <v>8.587763484785528</v>
      </c>
      <c r="AE95" s="143">
        <f t="shared" si="97"/>
        <v>8.587763484785528</v>
      </c>
      <c r="AF95" s="143">
        <f t="shared" si="97"/>
        <v>8.587763484785528</v>
      </c>
      <c r="AG95" s="143">
        <f t="shared" si="97"/>
        <v>8.587763484785528</v>
      </c>
      <c r="AH95" s="143">
        <f t="shared" si="97"/>
        <v>8.587763484785528</v>
      </c>
      <c r="AI95" s="143">
        <f t="shared" si="97"/>
        <v>8.587763484785528</v>
      </c>
      <c r="AJ95" s="143">
        <f t="shared" si="97"/>
        <v>8.587763484785528</v>
      </c>
      <c r="AK95" s="143">
        <f t="shared" si="97"/>
        <v>8.587763484785528</v>
      </c>
      <c r="AL95" s="143">
        <f t="shared" si="97"/>
        <v>8.587763484785528</v>
      </c>
      <c r="AM95" s="143">
        <f t="shared" si="97"/>
        <v>8.587763484785528</v>
      </c>
      <c r="AN95" s="143">
        <f t="shared" si="97"/>
        <v>8.587763484785528</v>
      </c>
      <c r="AO95" s="143">
        <f t="shared" si="97"/>
        <v>8.587763484785528</v>
      </c>
      <c r="AP95" s="143">
        <f t="shared" si="97"/>
        <v>8.587763484785528</v>
      </c>
      <c r="AQ95" s="143">
        <f t="shared" si="97"/>
        <v>8.587763484785528</v>
      </c>
      <c r="AR95" s="143">
        <f t="shared" si="97"/>
        <v>8.587763484785528</v>
      </c>
      <c r="AS95" s="143">
        <f t="shared" si="59"/>
        <v>9.2697218684912635</v>
      </c>
      <c r="AT95" s="143">
        <f t="shared" ref="AT95:BL95" si="98">AS95</f>
        <v>9.2697218684912635</v>
      </c>
      <c r="AU95" s="143">
        <f t="shared" si="98"/>
        <v>9.2697218684912635</v>
      </c>
      <c r="AV95" s="143">
        <f t="shared" si="98"/>
        <v>9.2697218684912635</v>
      </c>
      <c r="AW95" s="143">
        <f t="shared" si="98"/>
        <v>9.2697218684912635</v>
      </c>
      <c r="AX95" s="143">
        <f t="shared" si="98"/>
        <v>9.2697218684912635</v>
      </c>
      <c r="AY95" s="143">
        <f t="shared" si="98"/>
        <v>9.2697218684912635</v>
      </c>
      <c r="AZ95" s="143">
        <f t="shared" si="98"/>
        <v>9.2697218684912635</v>
      </c>
      <c r="BA95" s="143">
        <f t="shared" si="98"/>
        <v>9.2697218684912635</v>
      </c>
      <c r="BB95" s="143">
        <f t="shared" si="98"/>
        <v>9.2697218684912635</v>
      </c>
      <c r="BC95" s="143">
        <f t="shared" si="98"/>
        <v>9.2697218684912635</v>
      </c>
      <c r="BD95" s="143">
        <f t="shared" si="98"/>
        <v>9.2697218684912635</v>
      </c>
      <c r="BE95" s="143">
        <f t="shared" si="98"/>
        <v>9.2697218684912635</v>
      </c>
      <c r="BF95" s="143">
        <f t="shared" si="98"/>
        <v>9.2697218684912635</v>
      </c>
      <c r="BG95" s="143">
        <f t="shared" si="98"/>
        <v>9.2697218684912635</v>
      </c>
      <c r="BH95" s="143">
        <f t="shared" si="98"/>
        <v>9.2697218684912635</v>
      </c>
      <c r="BI95" s="143">
        <f t="shared" si="98"/>
        <v>9.2697218684912635</v>
      </c>
      <c r="BJ95" s="143">
        <f t="shared" si="98"/>
        <v>9.2697218684912635</v>
      </c>
      <c r="BK95" s="143">
        <f t="shared" si="98"/>
        <v>9.2697218684912635</v>
      </c>
      <c r="BL95" s="143">
        <f t="shared" si="98"/>
        <v>9.2697218684912635</v>
      </c>
      <c r="BM95" s="143">
        <f t="shared" si="61"/>
        <v>9.7379051117464499</v>
      </c>
      <c r="BN95" s="143">
        <f t="shared" ref="BN95:CF95" si="99">BM95</f>
        <v>9.7379051117464499</v>
      </c>
      <c r="BO95" s="143">
        <f t="shared" si="99"/>
        <v>9.7379051117464499</v>
      </c>
      <c r="BP95" s="143">
        <f t="shared" si="99"/>
        <v>9.7379051117464499</v>
      </c>
      <c r="BQ95" s="143">
        <f t="shared" si="99"/>
        <v>9.7379051117464499</v>
      </c>
      <c r="BR95" s="143">
        <f t="shared" si="99"/>
        <v>9.7379051117464499</v>
      </c>
      <c r="BS95" s="143">
        <f t="shared" si="99"/>
        <v>9.7379051117464499</v>
      </c>
      <c r="BT95" s="143">
        <f t="shared" si="99"/>
        <v>9.7379051117464499</v>
      </c>
      <c r="BU95" s="143">
        <f t="shared" si="99"/>
        <v>9.7379051117464499</v>
      </c>
      <c r="BV95" s="143">
        <f t="shared" si="99"/>
        <v>9.7379051117464499</v>
      </c>
      <c r="BW95" s="143">
        <f t="shared" si="99"/>
        <v>9.7379051117464499</v>
      </c>
      <c r="BX95" s="143">
        <f t="shared" si="99"/>
        <v>9.7379051117464499</v>
      </c>
      <c r="BY95" s="143">
        <f t="shared" si="99"/>
        <v>9.7379051117464499</v>
      </c>
      <c r="BZ95" s="143">
        <f t="shared" si="99"/>
        <v>9.7379051117464499</v>
      </c>
      <c r="CA95" s="143">
        <f t="shared" si="99"/>
        <v>9.7379051117464499</v>
      </c>
      <c r="CB95" s="143">
        <f t="shared" si="99"/>
        <v>9.7379051117464499</v>
      </c>
      <c r="CC95" s="143">
        <f t="shared" si="99"/>
        <v>9.7379051117464499</v>
      </c>
      <c r="CD95" s="143">
        <f t="shared" si="99"/>
        <v>9.7379051117464499</v>
      </c>
      <c r="CE95" s="143">
        <f t="shared" si="99"/>
        <v>9.7379051117464499</v>
      </c>
      <c r="CF95" s="143">
        <f t="shared" si="99"/>
        <v>9.7379051117464499</v>
      </c>
      <c r="CG95" s="143">
        <f t="shared" si="63"/>
        <v>10.087245577116045</v>
      </c>
      <c r="CH95" s="143">
        <f t="shared" ref="CH95:CP95" si="100">CG95</f>
        <v>10.087245577116045</v>
      </c>
      <c r="CI95" s="143">
        <f t="shared" si="100"/>
        <v>10.087245577116045</v>
      </c>
      <c r="CJ95" s="143">
        <f t="shared" si="100"/>
        <v>10.087245577116045</v>
      </c>
      <c r="CK95" s="143">
        <f t="shared" si="100"/>
        <v>10.087245577116045</v>
      </c>
      <c r="CL95" s="143">
        <f t="shared" si="100"/>
        <v>10.087245577116045</v>
      </c>
      <c r="CM95" s="143">
        <f t="shared" si="100"/>
        <v>10.087245577116045</v>
      </c>
      <c r="CN95" s="143">
        <f t="shared" si="100"/>
        <v>10.087245577116045</v>
      </c>
      <c r="CO95" s="143">
        <f t="shared" si="100"/>
        <v>10.087245577116045</v>
      </c>
      <c r="CP95" s="143">
        <f t="shared" si="100"/>
        <v>10.087245577116045</v>
      </c>
      <c r="CQ95" s="143">
        <f t="shared" si="65"/>
        <v>10.356980629654874</v>
      </c>
      <c r="CR95" s="143">
        <f t="shared" si="66"/>
        <v>10.356980629654874</v>
      </c>
      <c r="CS95" s="143">
        <f t="shared" si="66"/>
        <v>10.356980629654874</v>
      </c>
      <c r="CT95" s="143">
        <f t="shared" si="66"/>
        <v>10.356980629654874</v>
      </c>
      <c r="CU95" s="143">
        <f t="shared" si="66"/>
        <v>10.356980629654874</v>
      </c>
      <c r="CV95" s="143">
        <f t="shared" si="67"/>
        <v>10.75387776951349</v>
      </c>
      <c r="CW95" s="143">
        <f t="shared" si="68"/>
        <v>10.75387776951349</v>
      </c>
      <c r="CX95" s="143">
        <f t="shared" si="68"/>
        <v>10.75387776951349</v>
      </c>
      <c r="CY95" s="143">
        <f t="shared" si="68"/>
        <v>10.75387776951349</v>
      </c>
      <c r="CZ95" s="143">
        <f t="shared" si="69"/>
        <v>12.007984445886608</v>
      </c>
      <c r="DA95" s="60"/>
      <c r="DB95" s="143">
        <f t="shared" si="70"/>
        <v>9.5956027727668278</v>
      </c>
      <c r="DC95" s="143">
        <f t="shared" ref="DC95:DU95" si="101">DB95</f>
        <v>9.5956027727668278</v>
      </c>
      <c r="DD95" s="143">
        <f t="shared" si="101"/>
        <v>9.5956027727668278</v>
      </c>
      <c r="DE95" s="143">
        <f t="shared" si="101"/>
        <v>9.5956027727668278</v>
      </c>
      <c r="DF95" s="143">
        <f t="shared" si="101"/>
        <v>9.5956027727668278</v>
      </c>
      <c r="DG95" s="143">
        <f t="shared" si="101"/>
        <v>9.5956027727668278</v>
      </c>
      <c r="DH95" s="143">
        <f t="shared" si="101"/>
        <v>9.5956027727668278</v>
      </c>
      <c r="DI95" s="143">
        <f t="shared" si="101"/>
        <v>9.5956027727668278</v>
      </c>
      <c r="DJ95" s="143">
        <f t="shared" si="101"/>
        <v>9.5956027727668278</v>
      </c>
      <c r="DK95" s="143">
        <f t="shared" si="101"/>
        <v>9.5956027727668278</v>
      </c>
      <c r="DL95" s="143">
        <f t="shared" si="101"/>
        <v>9.5956027727668278</v>
      </c>
      <c r="DM95" s="143">
        <f t="shared" si="101"/>
        <v>9.5956027727668278</v>
      </c>
      <c r="DN95" s="143">
        <f t="shared" si="101"/>
        <v>9.5956027727668278</v>
      </c>
      <c r="DO95" s="143">
        <f t="shared" si="101"/>
        <v>9.5956027727668278</v>
      </c>
      <c r="DP95" s="143">
        <f t="shared" si="101"/>
        <v>9.5956027727668278</v>
      </c>
      <c r="DQ95" s="143">
        <f t="shared" si="101"/>
        <v>9.5956027727668278</v>
      </c>
      <c r="DR95" s="143">
        <f t="shared" si="101"/>
        <v>9.5956027727668278</v>
      </c>
      <c r="DS95" s="143">
        <f t="shared" si="101"/>
        <v>9.5956027727668278</v>
      </c>
      <c r="DT95" s="143">
        <f t="shared" si="101"/>
        <v>9.5956027727668278</v>
      </c>
      <c r="DU95" s="143">
        <f t="shared" si="101"/>
        <v>9.5956027727668278</v>
      </c>
      <c r="DV95" s="143">
        <f t="shared" si="72"/>
        <v>10.471638242921388</v>
      </c>
      <c r="DW95" s="143">
        <f t="shared" ref="DW95:EO95" si="102">DV95</f>
        <v>10.471638242921388</v>
      </c>
      <c r="DX95" s="143">
        <f t="shared" si="102"/>
        <v>10.471638242921388</v>
      </c>
      <c r="DY95" s="143">
        <f t="shared" si="102"/>
        <v>10.471638242921388</v>
      </c>
      <c r="DZ95" s="143">
        <f t="shared" si="102"/>
        <v>10.471638242921388</v>
      </c>
      <c r="EA95" s="143">
        <f t="shared" si="102"/>
        <v>10.471638242921388</v>
      </c>
      <c r="EB95" s="143">
        <f t="shared" si="102"/>
        <v>10.471638242921388</v>
      </c>
      <c r="EC95" s="143">
        <f t="shared" si="102"/>
        <v>10.471638242921388</v>
      </c>
      <c r="ED95" s="143">
        <f t="shared" si="102"/>
        <v>10.471638242921388</v>
      </c>
      <c r="EE95" s="143">
        <f t="shared" si="102"/>
        <v>10.471638242921388</v>
      </c>
      <c r="EF95" s="143">
        <f t="shared" si="102"/>
        <v>10.471638242921388</v>
      </c>
      <c r="EG95" s="143">
        <f t="shared" si="102"/>
        <v>10.471638242921388</v>
      </c>
      <c r="EH95" s="143">
        <f t="shared" si="102"/>
        <v>10.471638242921388</v>
      </c>
      <c r="EI95" s="143">
        <f t="shared" si="102"/>
        <v>10.471638242921388</v>
      </c>
      <c r="EJ95" s="143">
        <f t="shared" si="102"/>
        <v>10.471638242921388</v>
      </c>
      <c r="EK95" s="143">
        <f t="shared" si="102"/>
        <v>10.471638242921388</v>
      </c>
      <c r="EL95" s="143">
        <f t="shared" si="102"/>
        <v>10.471638242921388</v>
      </c>
      <c r="EM95" s="143">
        <f t="shared" si="102"/>
        <v>10.471638242921388</v>
      </c>
      <c r="EN95" s="143">
        <f t="shared" si="102"/>
        <v>10.471638242921388</v>
      </c>
      <c r="EO95" s="143">
        <f t="shared" si="102"/>
        <v>10.471638242921388</v>
      </c>
      <c r="EP95" s="143">
        <f t="shared" si="74"/>
        <v>10.909618988410072</v>
      </c>
      <c r="EQ95" s="143">
        <f t="shared" ref="EQ95:FI95" si="103">EP95</f>
        <v>10.909618988410072</v>
      </c>
      <c r="ER95" s="143">
        <f t="shared" si="103"/>
        <v>10.909618988410072</v>
      </c>
      <c r="ES95" s="143">
        <f t="shared" si="103"/>
        <v>10.909618988410072</v>
      </c>
      <c r="ET95" s="143">
        <f t="shared" si="103"/>
        <v>10.909618988410072</v>
      </c>
      <c r="EU95" s="143">
        <f t="shared" si="103"/>
        <v>10.909618988410072</v>
      </c>
      <c r="EV95" s="143">
        <f t="shared" si="103"/>
        <v>10.909618988410072</v>
      </c>
      <c r="EW95" s="143">
        <f t="shared" si="103"/>
        <v>10.909618988410072</v>
      </c>
      <c r="EX95" s="143">
        <f t="shared" si="103"/>
        <v>10.909618988410072</v>
      </c>
      <c r="EY95" s="143">
        <f t="shared" si="103"/>
        <v>10.909618988410072</v>
      </c>
      <c r="EZ95" s="143">
        <f t="shared" si="103"/>
        <v>10.909618988410072</v>
      </c>
      <c r="FA95" s="143">
        <f t="shared" si="103"/>
        <v>10.909618988410072</v>
      </c>
      <c r="FB95" s="143">
        <f t="shared" si="103"/>
        <v>10.909618988410072</v>
      </c>
      <c r="FC95" s="143">
        <f t="shared" si="103"/>
        <v>10.909618988410072</v>
      </c>
      <c r="FD95" s="143">
        <f t="shared" si="103"/>
        <v>10.909618988410072</v>
      </c>
      <c r="FE95" s="143">
        <f t="shared" si="103"/>
        <v>10.909618988410072</v>
      </c>
      <c r="FF95" s="143">
        <f t="shared" si="103"/>
        <v>10.909618988410072</v>
      </c>
      <c r="FG95" s="143">
        <f t="shared" si="103"/>
        <v>10.909618988410072</v>
      </c>
      <c r="FH95" s="143">
        <f t="shared" si="103"/>
        <v>10.909618988410072</v>
      </c>
      <c r="FI95" s="143">
        <f t="shared" si="103"/>
        <v>10.909618988410072</v>
      </c>
      <c r="FJ95" s="143">
        <f t="shared" si="76"/>
        <v>11.238488619268468</v>
      </c>
      <c r="FK95" s="143">
        <f t="shared" ref="FK95:GC95" si="104">FJ95</f>
        <v>11.238488619268468</v>
      </c>
      <c r="FL95" s="143">
        <f t="shared" si="104"/>
        <v>11.238488619268468</v>
      </c>
      <c r="FM95" s="143">
        <f t="shared" si="104"/>
        <v>11.238488619268468</v>
      </c>
      <c r="FN95" s="143">
        <f t="shared" si="104"/>
        <v>11.238488619268468</v>
      </c>
      <c r="FO95" s="143">
        <f t="shared" si="104"/>
        <v>11.238488619268468</v>
      </c>
      <c r="FP95" s="143">
        <f t="shared" si="104"/>
        <v>11.238488619268468</v>
      </c>
      <c r="FQ95" s="143">
        <f t="shared" si="104"/>
        <v>11.238488619268468</v>
      </c>
      <c r="FR95" s="143">
        <f t="shared" si="104"/>
        <v>11.238488619268468</v>
      </c>
      <c r="FS95" s="143">
        <f t="shared" si="104"/>
        <v>11.238488619268468</v>
      </c>
      <c r="FT95" s="143">
        <f t="shared" si="104"/>
        <v>11.238488619268468</v>
      </c>
      <c r="FU95" s="143">
        <f t="shared" si="104"/>
        <v>11.238488619268468</v>
      </c>
      <c r="FV95" s="143">
        <f t="shared" si="104"/>
        <v>11.238488619268468</v>
      </c>
      <c r="FW95" s="143">
        <f t="shared" si="104"/>
        <v>11.238488619268468</v>
      </c>
      <c r="FX95" s="143">
        <f t="shared" si="104"/>
        <v>11.238488619268468</v>
      </c>
      <c r="FY95" s="143">
        <f t="shared" si="104"/>
        <v>11.238488619268468</v>
      </c>
      <c r="FZ95" s="143">
        <f t="shared" si="104"/>
        <v>11.238488619268468</v>
      </c>
      <c r="GA95" s="143">
        <f t="shared" si="104"/>
        <v>11.238488619268468</v>
      </c>
      <c r="GB95" s="143">
        <f t="shared" si="104"/>
        <v>11.238488619268468</v>
      </c>
      <c r="GC95" s="143">
        <f t="shared" si="104"/>
        <v>11.238488619268468</v>
      </c>
      <c r="GD95" s="143">
        <f t="shared" si="78"/>
        <v>11.493742645553455</v>
      </c>
      <c r="GE95" s="143">
        <f t="shared" ref="GE95:GM95" si="105">GD95</f>
        <v>11.493742645553455</v>
      </c>
      <c r="GF95" s="143">
        <f t="shared" si="105"/>
        <v>11.493742645553455</v>
      </c>
      <c r="GG95" s="143">
        <f t="shared" si="105"/>
        <v>11.493742645553455</v>
      </c>
      <c r="GH95" s="143">
        <f t="shared" si="105"/>
        <v>11.493742645553455</v>
      </c>
      <c r="GI95" s="143">
        <f t="shared" si="105"/>
        <v>11.493742645553455</v>
      </c>
      <c r="GJ95" s="143">
        <f t="shared" si="105"/>
        <v>11.493742645553455</v>
      </c>
      <c r="GK95" s="143">
        <f t="shared" si="105"/>
        <v>11.493742645553455</v>
      </c>
      <c r="GL95" s="143">
        <f t="shared" si="105"/>
        <v>11.493742645553455</v>
      </c>
      <c r="GM95" s="143">
        <f t="shared" si="105"/>
        <v>11.493742645553455</v>
      </c>
      <c r="GN95" s="143">
        <f t="shared" si="80"/>
        <v>11.711776323715394</v>
      </c>
      <c r="GO95" s="143">
        <f t="shared" si="81"/>
        <v>11.711776323715394</v>
      </c>
      <c r="GP95" s="143">
        <f t="shared" si="81"/>
        <v>11.711776323715394</v>
      </c>
      <c r="GQ95" s="143">
        <f t="shared" si="81"/>
        <v>11.711776323715394</v>
      </c>
      <c r="GR95" s="143">
        <f t="shared" si="81"/>
        <v>11.711776323715394</v>
      </c>
      <c r="GS95" s="143">
        <f t="shared" si="82"/>
        <v>12.05583098219963</v>
      </c>
      <c r="GT95" s="143">
        <f t="shared" si="83"/>
        <v>12.05583098219963</v>
      </c>
      <c r="GU95" s="143">
        <f t="shared" si="83"/>
        <v>12.05583098219963</v>
      </c>
      <c r="GV95" s="143">
        <f t="shared" si="83"/>
        <v>12.05583098219963</v>
      </c>
      <c r="GW95" s="143">
        <f t="shared" si="84"/>
        <v>13.195427948261335</v>
      </c>
    </row>
    <row r="96" spans="1:205" s="46" customFormat="1" ht="9.75" customHeight="1">
      <c r="A96" s="60">
        <v>1982</v>
      </c>
      <c r="B96" s="143">
        <f t="shared" si="85"/>
        <v>0.39751332196359268</v>
      </c>
      <c r="C96" s="143">
        <f t="shared" si="54"/>
        <v>0.99617107528678572</v>
      </c>
      <c r="D96" s="60"/>
      <c r="E96" s="143">
        <f t="shared" si="55"/>
        <v>7.2382094432777873</v>
      </c>
      <c r="F96" s="143">
        <f t="shared" ref="F96:X96" si="106">E96</f>
        <v>7.2382094432777873</v>
      </c>
      <c r="G96" s="143">
        <f t="shared" si="106"/>
        <v>7.2382094432777873</v>
      </c>
      <c r="H96" s="143">
        <f t="shared" si="106"/>
        <v>7.2382094432777873</v>
      </c>
      <c r="I96" s="143">
        <f t="shared" si="106"/>
        <v>7.2382094432777873</v>
      </c>
      <c r="J96" s="143">
        <f t="shared" si="106"/>
        <v>7.2382094432777873</v>
      </c>
      <c r="K96" s="143">
        <f t="shared" si="106"/>
        <v>7.2382094432777873</v>
      </c>
      <c r="L96" s="143">
        <f t="shared" si="106"/>
        <v>7.2382094432777873</v>
      </c>
      <c r="M96" s="143">
        <f t="shared" si="106"/>
        <v>7.2382094432777873</v>
      </c>
      <c r="N96" s="143">
        <f t="shared" si="106"/>
        <v>7.2382094432777873</v>
      </c>
      <c r="O96" s="143">
        <f t="shared" si="106"/>
        <v>7.2382094432777873</v>
      </c>
      <c r="P96" s="143">
        <f t="shared" si="106"/>
        <v>7.2382094432777873</v>
      </c>
      <c r="Q96" s="143">
        <f t="shared" si="106"/>
        <v>7.2382094432777873</v>
      </c>
      <c r="R96" s="143">
        <f t="shared" si="106"/>
        <v>7.2382094432777873</v>
      </c>
      <c r="S96" s="143">
        <f t="shared" si="106"/>
        <v>7.2382094432777873</v>
      </c>
      <c r="T96" s="143">
        <f t="shared" si="106"/>
        <v>7.2382094432777873</v>
      </c>
      <c r="U96" s="143">
        <f t="shared" si="106"/>
        <v>7.2382094432777873</v>
      </c>
      <c r="V96" s="143">
        <f t="shared" si="106"/>
        <v>7.2382094432777873</v>
      </c>
      <c r="W96" s="143">
        <f t="shared" si="106"/>
        <v>7.2382094432777873</v>
      </c>
      <c r="X96" s="143">
        <f t="shared" si="106"/>
        <v>7.2382094432777873</v>
      </c>
      <c r="Y96" s="143">
        <f t="shared" si="57"/>
        <v>8.482601746646619</v>
      </c>
      <c r="Z96" s="143">
        <f t="shared" ref="Z96:AR96" si="107">Y96</f>
        <v>8.482601746646619</v>
      </c>
      <c r="AA96" s="143">
        <f t="shared" si="107"/>
        <v>8.482601746646619</v>
      </c>
      <c r="AB96" s="143">
        <f t="shared" si="107"/>
        <v>8.482601746646619</v>
      </c>
      <c r="AC96" s="143">
        <f t="shared" si="107"/>
        <v>8.482601746646619</v>
      </c>
      <c r="AD96" s="143">
        <f t="shared" si="107"/>
        <v>8.482601746646619</v>
      </c>
      <c r="AE96" s="143">
        <f t="shared" si="107"/>
        <v>8.482601746646619</v>
      </c>
      <c r="AF96" s="143">
        <f t="shared" si="107"/>
        <v>8.482601746646619</v>
      </c>
      <c r="AG96" s="143">
        <f t="shared" si="107"/>
        <v>8.482601746646619</v>
      </c>
      <c r="AH96" s="143">
        <f t="shared" si="107"/>
        <v>8.482601746646619</v>
      </c>
      <c r="AI96" s="143">
        <f t="shared" si="107"/>
        <v>8.482601746646619</v>
      </c>
      <c r="AJ96" s="143">
        <f t="shared" si="107"/>
        <v>8.482601746646619</v>
      </c>
      <c r="AK96" s="143">
        <f t="shared" si="107"/>
        <v>8.482601746646619</v>
      </c>
      <c r="AL96" s="143">
        <f t="shared" si="107"/>
        <v>8.482601746646619</v>
      </c>
      <c r="AM96" s="143">
        <f t="shared" si="107"/>
        <v>8.482601746646619</v>
      </c>
      <c r="AN96" s="143">
        <f t="shared" si="107"/>
        <v>8.482601746646619</v>
      </c>
      <c r="AO96" s="143">
        <f t="shared" si="107"/>
        <v>8.482601746646619</v>
      </c>
      <c r="AP96" s="143">
        <f t="shared" si="107"/>
        <v>8.482601746646619</v>
      </c>
      <c r="AQ96" s="143">
        <f t="shared" si="107"/>
        <v>8.482601746646619</v>
      </c>
      <c r="AR96" s="143">
        <f t="shared" si="107"/>
        <v>8.482601746646619</v>
      </c>
      <c r="AS96" s="143">
        <f t="shared" si="59"/>
        <v>9.1856275091807777</v>
      </c>
      <c r="AT96" s="143">
        <f t="shared" ref="AT96:BL96" si="108">AS96</f>
        <v>9.1856275091807777</v>
      </c>
      <c r="AU96" s="143">
        <f t="shared" si="108"/>
        <v>9.1856275091807777</v>
      </c>
      <c r="AV96" s="143">
        <f t="shared" si="108"/>
        <v>9.1856275091807777</v>
      </c>
      <c r="AW96" s="143">
        <f t="shared" si="108"/>
        <v>9.1856275091807777</v>
      </c>
      <c r="AX96" s="143">
        <f t="shared" si="108"/>
        <v>9.1856275091807777</v>
      </c>
      <c r="AY96" s="143">
        <f t="shared" si="108"/>
        <v>9.1856275091807777</v>
      </c>
      <c r="AZ96" s="143">
        <f t="shared" si="108"/>
        <v>9.1856275091807777</v>
      </c>
      <c r="BA96" s="143">
        <f t="shared" si="108"/>
        <v>9.1856275091807777</v>
      </c>
      <c r="BB96" s="143">
        <f t="shared" si="108"/>
        <v>9.1856275091807777</v>
      </c>
      <c r="BC96" s="143">
        <f t="shared" si="108"/>
        <v>9.1856275091807777</v>
      </c>
      <c r="BD96" s="143">
        <f t="shared" si="108"/>
        <v>9.1856275091807777</v>
      </c>
      <c r="BE96" s="143">
        <f t="shared" si="108"/>
        <v>9.1856275091807777</v>
      </c>
      <c r="BF96" s="143">
        <f t="shared" si="108"/>
        <v>9.1856275091807777</v>
      </c>
      <c r="BG96" s="143">
        <f t="shared" si="108"/>
        <v>9.1856275091807777</v>
      </c>
      <c r="BH96" s="143">
        <f t="shared" si="108"/>
        <v>9.1856275091807777</v>
      </c>
      <c r="BI96" s="143">
        <f t="shared" si="108"/>
        <v>9.1856275091807777</v>
      </c>
      <c r="BJ96" s="143">
        <f t="shared" si="108"/>
        <v>9.1856275091807777</v>
      </c>
      <c r="BK96" s="143">
        <f t="shared" si="108"/>
        <v>9.1856275091807777</v>
      </c>
      <c r="BL96" s="143">
        <f t="shared" si="108"/>
        <v>9.1856275091807777</v>
      </c>
      <c r="BM96" s="143">
        <f t="shared" si="61"/>
        <v>9.6480273997453754</v>
      </c>
      <c r="BN96" s="143">
        <f t="shared" ref="BN96:CF96" si="109">BM96</f>
        <v>9.6480273997453754</v>
      </c>
      <c r="BO96" s="143">
        <f t="shared" si="109"/>
        <v>9.6480273997453754</v>
      </c>
      <c r="BP96" s="143">
        <f t="shared" si="109"/>
        <v>9.6480273997453754</v>
      </c>
      <c r="BQ96" s="143">
        <f t="shared" si="109"/>
        <v>9.6480273997453754</v>
      </c>
      <c r="BR96" s="143">
        <f t="shared" si="109"/>
        <v>9.6480273997453754</v>
      </c>
      <c r="BS96" s="143">
        <f t="shared" si="109"/>
        <v>9.6480273997453754</v>
      </c>
      <c r="BT96" s="143">
        <f t="shared" si="109"/>
        <v>9.6480273997453754</v>
      </c>
      <c r="BU96" s="143">
        <f t="shared" si="109"/>
        <v>9.6480273997453754</v>
      </c>
      <c r="BV96" s="143">
        <f t="shared" si="109"/>
        <v>9.6480273997453754</v>
      </c>
      <c r="BW96" s="143">
        <f t="shared" si="109"/>
        <v>9.6480273997453754</v>
      </c>
      <c r="BX96" s="143">
        <f t="shared" si="109"/>
        <v>9.6480273997453754</v>
      </c>
      <c r="BY96" s="143">
        <f t="shared" si="109"/>
        <v>9.6480273997453754</v>
      </c>
      <c r="BZ96" s="143">
        <f t="shared" si="109"/>
        <v>9.6480273997453754</v>
      </c>
      <c r="CA96" s="143">
        <f t="shared" si="109"/>
        <v>9.6480273997453754</v>
      </c>
      <c r="CB96" s="143">
        <f t="shared" si="109"/>
        <v>9.6480273997453754</v>
      </c>
      <c r="CC96" s="143">
        <f t="shared" si="109"/>
        <v>9.6480273997453754</v>
      </c>
      <c r="CD96" s="143">
        <f t="shared" si="109"/>
        <v>9.6480273997453754</v>
      </c>
      <c r="CE96" s="143">
        <f t="shared" si="109"/>
        <v>9.6480273997453754</v>
      </c>
      <c r="CF96" s="143">
        <f t="shared" si="109"/>
        <v>9.6480273997453754</v>
      </c>
      <c r="CG96" s="143">
        <f t="shared" si="63"/>
        <v>10.005502477942859</v>
      </c>
      <c r="CH96" s="143">
        <f t="shared" ref="CH96:CP96" si="110">CG96</f>
        <v>10.005502477942859</v>
      </c>
      <c r="CI96" s="143">
        <f t="shared" si="110"/>
        <v>10.005502477942859</v>
      </c>
      <c r="CJ96" s="143">
        <f t="shared" si="110"/>
        <v>10.005502477942859</v>
      </c>
      <c r="CK96" s="143">
        <f t="shared" si="110"/>
        <v>10.005502477942859</v>
      </c>
      <c r="CL96" s="143">
        <f t="shared" si="110"/>
        <v>10.005502477942859</v>
      </c>
      <c r="CM96" s="143">
        <f t="shared" si="110"/>
        <v>10.005502477942859</v>
      </c>
      <c r="CN96" s="143">
        <f t="shared" si="110"/>
        <v>10.005502477942859</v>
      </c>
      <c r="CO96" s="143">
        <f t="shared" si="110"/>
        <v>10.005502477942859</v>
      </c>
      <c r="CP96" s="143">
        <f t="shared" si="110"/>
        <v>10.005502477942859</v>
      </c>
      <c r="CQ96" s="143">
        <f t="shared" si="65"/>
        <v>10.264676791694178</v>
      </c>
      <c r="CR96" s="143">
        <f t="shared" si="66"/>
        <v>10.264676791694178</v>
      </c>
      <c r="CS96" s="143">
        <f t="shared" si="66"/>
        <v>10.264676791694178</v>
      </c>
      <c r="CT96" s="143">
        <f t="shared" si="66"/>
        <v>10.264676791694178</v>
      </c>
      <c r="CU96" s="143">
        <f t="shared" si="66"/>
        <v>10.264676791694178</v>
      </c>
      <c r="CV96" s="143">
        <f t="shared" si="67"/>
        <v>10.652234989194055</v>
      </c>
      <c r="CW96" s="143">
        <f t="shared" si="68"/>
        <v>10.652234989194055</v>
      </c>
      <c r="CX96" s="143">
        <f t="shared" si="68"/>
        <v>10.652234989194055</v>
      </c>
      <c r="CY96" s="143">
        <f t="shared" si="68"/>
        <v>10.652234989194055</v>
      </c>
      <c r="CZ96" s="143">
        <f t="shared" si="69"/>
        <v>11.930993488327381</v>
      </c>
      <c r="DA96" s="60"/>
      <c r="DB96" s="143">
        <f t="shared" si="70"/>
        <v>9.5609972435893518</v>
      </c>
      <c r="DC96" s="143">
        <f t="shared" ref="DC96:DU96" si="111">DB96</f>
        <v>9.5609972435893518</v>
      </c>
      <c r="DD96" s="143">
        <f t="shared" si="111"/>
        <v>9.5609972435893518</v>
      </c>
      <c r="DE96" s="143">
        <f t="shared" si="111"/>
        <v>9.5609972435893518</v>
      </c>
      <c r="DF96" s="143">
        <f t="shared" si="111"/>
        <v>9.5609972435893518</v>
      </c>
      <c r="DG96" s="143">
        <f t="shared" si="111"/>
        <v>9.5609972435893518</v>
      </c>
      <c r="DH96" s="143">
        <f t="shared" si="111"/>
        <v>9.5609972435893518</v>
      </c>
      <c r="DI96" s="143">
        <f t="shared" si="111"/>
        <v>9.5609972435893518</v>
      </c>
      <c r="DJ96" s="143">
        <f t="shared" si="111"/>
        <v>9.5609972435893518</v>
      </c>
      <c r="DK96" s="143">
        <f t="shared" si="111"/>
        <v>9.5609972435893518</v>
      </c>
      <c r="DL96" s="143">
        <f t="shared" si="111"/>
        <v>9.5609972435893518</v>
      </c>
      <c r="DM96" s="143">
        <f t="shared" si="111"/>
        <v>9.5609972435893518</v>
      </c>
      <c r="DN96" s="143">
        <f t="shared" si="111"/>
        <v>9.5609972435893518</v>
      </c>
      <c r="DO96" s="143">
        <f t="shared" si="111"/>
        <v>9.5609972435893518</v>
      </c>
      <c r="DP96" s="143">
        <f t="shared" si="111"/>
        <v>9.5609972435893518</v>
      </c>
      <c r="DQ96" s="143">
        <f t="shared" si="111"/>
        <v>9.5609972435893518</v>
      </c>
      <c r="DR96" s="143">
        <f t="shared" si="111"/>
        <v>9.5609972435893518</v>
      </c>
      <c r="DS96" s="143">
        <f t="shared" si="111"/>
        <v>9.5609972435893518</v>
      </c>
      <c r="DT96" s="143">
        <f t="shared" si="111"/>
        <v>9.5609972435893518</v>
      </c>
      <c r="DU96" s="143">
        <f t="shared" si="111"/>
        <v>9.5609972435893518</v>
      </c>
      <c r="DV96" s="143">
        <f t="shared" si="72"/>
        <v>10.448714603019452</v>
      </c>
      <c r="DW96" s="143">
        <f t="shared" ref="DW96:EO96" si="112">DV96</f>
        <v>10.448714603019452</v>
      </c>
      <c r="DX96" s="143">
        <f t="shared" si="112"/>
        <v>10.448714603019452</v>
      </c>
      <c r="DY96" s="143">
        <f t="shared" si="112"/>
        <v>10.448714603019452</v>
      </c>
      <c r="DZ96" s="143">
        <f t="shared" si="112"/>
        <v>10.448714603019452</v>
      </c>
      <c r="EA96" s="143">
        <f t="shared" si="112"/>
        <v>10.448714603019452</v>
      </c>
      <c r="EB96" s="143">
        <f t="shared" si="112"/>
        <v>10.448714603019452</v>
      </c>
      <c r="EC96" s="143">
        <f t="shared" si="112"/>
        <v>10.448714603019452</v>
      </c>
      <c r="ED96" s="143">
        <f t="shared" si="112"/>
        <v>10.448714603019452</v>
      </c>
      <c r="EE96" s="143">
        <f t="shared" si="112"/>
        <v>10.448714603019452</v>
      </c>
      <c r="EF96" s="143">
        <f t="shared" si="112"/>
        <v>10.448714603019452</v>
      </c>
      <c r="EG96" s="143">
        <f t="shared" si="112"/>
        <v>10.448714603019452</v>
      </c>
      <c r="EH96" s="143">
        <f t="shared" si="112"/>
        <v>10.448714603019452</v>
      </c>
      <c r="EI96" s="143">
        <f t="shared" si="112"/>
        <v>10.448714603019452</v>
      </c>
      <c r="EJ96" s="143">
        <f t="shared" si="112"/>
        <v>10.448714603019452</v>
      </c>
      <c r="EK96" s="143">
        <f t="shared" si="112"/>
        <v>10.448714603019452</v>
      </c>
      <c r="EL96" s="143">
        <f t="shared" si="112"/>
        <v>10.448714603019452</v>
      </c>
      <c r="EM96" s="143">
        <f t="shared" si="112"/>
        <v>10.448714603019452</v>
      </c>
      <c r="EN96" s="143">
        <f t="shared" si="112"/>
        <v>10.448714603019452</v>
      </c>
      <c r="EO96" s="143">
        <f t="shared" si="112"/>
        <v>10.448714603019452</v>
      </c>
      <c r="EP96" s="143">
        <f t="shared" si="74"/>
        <v>10.894885756897089</v>
      </c>
      <c r="EQ96" s="143">
        <f t="shared" ref="EQ96:FI96" si="113">EP96</f>
        <v>10.894885756897089</v>
      </c>
      <c r="ER96" s="143">
        <f t="shared" si="113"/>
        <v>10.894885756897089</v>
      </c>
      <c r="ES96" s="143">
        <f t="shared" si="113"/>
        <v>10.894885756897089</v>
      </c>
      <c r="ET96" s="143">
        <f t="shared" si="113"/>
        <v>10.894885756897089</v>
      </c>
      <c r="EU96" s="143">
        <f t="shared" si="113"/>
        <v>10.894885756897089</v>
      </c>
      <c r="EV96" s="143">
        <f t="shared" si="113"/>
        <v>10.894885756897089</v>
      </c>
      <c r="EW96" s="143">
        <f t="shared" si="113"/>
        <v>10.894885756897089</v>
      </c>
      <c r="EX96" s="143">
        <f t="shared" si="113"/>
        <v>10.894885756897089</v>
      </c>
      <c r="EY96" s="143">
        <f t="shared" si="113"/>
        <v>10.894885756897089</v>
      </c>
      <c r="EZ96" s="143">
        <f t="shared" si="113"/>
        <v>10.894885756897089</v>
      </c>
      <c r="FA96" s="143">
        <f t="shared" si="113"/>
        <v>10.894885756897089</v>
      </c>
      <c r="FB96" s="143">
        <f t="shared" si="113"/>
        <v>10.894885756897089</v>
      </c>
      <c r="FC96" s="143">
        <f t="shared" si="113"/>
        <v>10.894885756897089</v>
      </c>
      <c r="FD96" s="143">
        <f t="shared" si="113"/>
        <v>10.894885756897089</v>
      </c>
      <c r="FE96" s="143">
        <f t="shared" si="113"/>
        <v>10.894885756897089</v>
      </c>
      <c r="FF96" s="143">
        <f t="shared" si="113"/>
        <v>10.894885756897089</v>
      </c>
      <c r="FG96" s="143">
        <f t="shared" si="113"/>
        <v>10.894885756897089</v>
      </c>
      <c r="FH96" s="143">
        <f t="shared" si="113"/>
        <v>10.894885756897089</v>
      </c>
      <c r="FI96" s="143">
        <f t="shared" si="113"/>
        <v>10.894885756897089</v>
      </c>
      <c r="FJ96" s="143">
        <f t="shared" si="76"/>
        <v>11.227906509937931</v>
      </c>
      <c r="FK96" s="143">
        <f t="shared" ref="FK96:GC96" si="114">FJ96</f>
        <v>11.227906509937931</v>
      </c>
      <c r="FL96" s="143">
        <f t="shared" si="114"/>
        <v>11.227906509937931</v>
      </c>
      <c r="FM96" s="143">
        <f t="shared" si="114"/>
        <v>11.227906509937931</v>
      </c>
      <c r="FN96" s="143">
        <f t="shared" si="114"/>
        <v>11.227906509937931</v>
      </c>
      <c r="FO96" s="143">
        <f t="shared" si="114"/>
        <v>11.227906509937931</v>
      </c>
      <c r="FP96" s="143">
        <f t="shared" si="114"/>
        <v>11.227906509937931</v>
      </c>
      <c r="FQ96" s="143">
        <f t="shared" si="114"/>
        <v>11.227906509937931</v>
      </c>
      <c r="FR96" s="143">
        <f t="shared" si="114"/>
        <v>11.227906509937931</v>
      </c>
      <c r="FS96" s="143">
        <f t="shared" si="114"/>
        <v>11.227906509937931</v>
      </c>
      <c r="FT96" s="143">
        <f t="shared" si="114"/>
        <v>11.227906509937931</v>
      </c>
      <c r="FU96" s="143">
        <f t="shared" si="114"/>
        <v>11.227906509937931</v>
      </c>
      <c r="FV96" s="143">
        <f t="shared" si="114"/>
        <v>11.227906509937931</v>
      </c>
      <c r="FW96" s="143">
        <f t="shared" si="114"/>
        <v>11.227906509937931</v>
      </c>
      <c r="FX96" s="143">
        <f t="shared" si="114"/>
        <v>11.227906509937931</v>
      </c>
      <c r="FY96" s="143">
        <f t="shared" si="114"/>
        <v>11.227906509937931</v>
      </c>
      <c r="FZ96" s="143">
        <f t="shared" si="114"/>
        <v>11.227906509937931</v>
      </c>
      <c r="GA96" s="143">
        <f t="shared" si="114"/>
        <v>11.227906509937931</v>
      </c>
      <c r="GB96" s="143">
        <f t="shared" si="114"/>
        <v>11.227906509937931</v>
      </c>
      <c r="GC96" s="143">
        <f t="shared" si="114"/>
        <v>11.227906509937931</v>
      </c>
      <c r="GD96" s="143">
        <f t="shared" si="78"/>
        <v>11.492722757652709</v>
      </c>
      <c r="GE96" s="143">
        <f t="shared" ref="GE96:GM96" si="115">GD96</f>
        <v>11.492722757652709</v>
      </c>
      <c r="GF96" s="143">
        <f t="shared" si="115"/>
        <v>11.492722757652709</v>
      </c>
      <c r="GG96" s="143">
        <f t="shared" si="115"/>
        <v>11.492722757652709</v>
      </c>
      <c r="GH96" s="143">
        <f t="shared" si="115"/>
        <v>11.492722757652709</v>
      </c>
      <c r="GI96" s="143">
        <f t="shared" si="115"/>
        <v>11.492722757652709</v>
      </c>
      <c r="GJ96" s="143">
        <f t="shared" si="115"/>
        <v>11.492722757652709</v>
      </c>
      <c r="GK96" s="143">
        <f t="shared" si="115"/>
        <v>11.492722757652709</v>
      </c>
      <c r="GL96" s="143">
        <f t="shared" si="115"/>
        <v>11.492722757652709</v>
      </c>
      <c r="GM96" s="143">
        <f t="shared" si="115"/>
        <v>11.492722757652709</v>
      </c>
      <c r="GN96" s="143">
        <f t="shared" si="80"/>
        <v>11.704371929541184</v>
      </c>
      <c r="GO96" s="143">
        <f t="shared" si="81"/>
        <v>11.704371929541184</v>
      </c>
      <c r="GP96" s="143">
        <f t="shared" si="81"/>
        <v>11.704371929541184</v>
      </c>
      <c r="GQ96" s="143">
        <f t="shared" si="81"/>
        <v>11.704371929541184</v>
      </c>
      <c r="GR96" s="143">
        <f t="shared" si="81"/>
        <v>11.704371929541184</v>
      </c>
      <c r="GS96" s="143">
        <f t="shared" si="82"/>
        <v>12.058732057631465</v>
      </c>
      <c r="GT96" s="143">
        <f t="shared" si="83"/>
        <v>12.058732057631465</v>
      </c>
      <c r="GU96" s="143">
        <f t="shared" si="83"/>
        <v>12.058732057631465</v>
      </c>
      <c r="GV96" s="143">
        <f t="shared" si="83"/>
        <v>12.058732057631465</v>
      </c>
      <c r="GW96" s="143">
        <f t="shared" si="84"/>
        <v>13.247761786798662</v>
      </c>
    </row>
    <row r="97" spans="1:205" s="46" customFormat="1" ht="9.75" customHeight="1">
      <c r="A97" s="60">
        <v>1983</v>
      </c>
      <c r="B97" s="143">
        <f t="shared" si="85"/>
        <v>0.32077907531844496</v>
      </c>
      <c r="C97" s="143">
        <f t="shared" si="54"/>
        <v>0.99737785818011504</v>
      </c>
      <c r="D97" s="60"/>
      <c r="E97" s="143">
        <f t="shared" si="55"/>
        <v>7.3195999940543404</v>
      </c>
      <c r="F97" s="143">
        <f t="shared" ref="F97:X97" si="116">E97</f>
        <v>7.3195999940543404</v>
      </c>
      <c r="G97" s="143">
        <f t="shared" si="116"/>
        <v>7.3195999940543404</v>
      </c>
      <c r="H97" s="143">
        <f t="shared" si="116"/>
        <v>7.3195999940543404</v>
      </c>
      <c r="I97" s="143">
        <f t="shared" si="116"/>
        <v>7.3195999940543404</v>
      </c>
      <c r="J97" s="143">
        <f t="shared" si="116"/>
        <v>7.3195999940543404</v>
      </c>
      <c r="K97" s="143">
        <f t="shared" si="116"/>
        <v>7.3195999940543404</v>
      </c>
      <c r="L97" s="143">
        <f t="shared" si="116"/>
        <v>7.3195999940543404</v>
      </c>
      <c r="M97" s="143">
        <f t="shared" si="116"/>
        <v>7.3195999940543404</v>
      </c>
      <c r="N97" s="143">
        <f t="shared" si="116"/>
        <v>7.3195999940543404</v>
      </c>
      <c r="O97" s="143">
        <f t="shared" si="116"/>
        <v>7.3195999940543404</v>
      </c>
      <c r="P97" s="143">
        <f t="shared" si="116"/>
        <v>7.3195999940543404</v>
      </c>
      <c r="Q97" s="143">
        <f t="shared" si="116"/>
        <v>7.3195999940543404</v>
      </c>
      <c r="R97" s="143">
        <f t="shared" si="116"/>
        <v>7.3195999940543404</v>
      </c>
      <c r="S97" s="143">
        <f t="shared" si="116"/>
        <v>7.3195999940543404</v>
      </c>
      <c r="T97" s="143">
        <f t="shared" si="116"/>
        <v>7.3195999940543404</v>
      </c>
      <c r="U97" s="143">
        <f t="shared" si="116"/>
        <v>7.3195999940543404</v>
      </c>
      <c r="V97" s="143">
        <f t="shared" si="116"/>
        <v>7.3195999940543404</v>
      </c>
      <c r="W97" s="143">
        <f t="shared" si="116"/>
        <v>7.3195999940543404</v>
      </c>
      <c r="X97" s="143">
        <f t="shared" si="116"/>
        <v>7.3195999940543404</v>
      </c>
      <c r="Y97" s="143">
        <f t="shared" si="57"/>
        <v>8.4591402599676204</v>
      </c>
      <c r="Z97" s="143">
        <f t="shared" ref="Z97:AR97" si="117">Y97</f>
        <v>8.4591402599676204</v>
      </c>
      <c r="AA97" s="143">
        <f t="shared" si="117"/>
        <v>8.4591402599676204</v>
      </c>
      <c r="AB97" s="143">
        <f t="shared" si="117"/>
        <v>8.4591402599676204</v>
      </c>
      <c r="AC97" s="143">
        <f t="shared" si="117"/>
        <v>8.4591402599676204</v>
      </c>
      <c r="AD97" s="143">
        <f t="shared" si="117"/>
        <v>8.4591402599676204</v>
      </c>
      <c r="AE97" s="143">
        <f t="shared" si="117"/>
        <v>8.4591402599676204</v>
      </c>
      <c r="AF97" s="143">
        <f t="shared" si="117"/>
        <v>8.4591402599676204</v>
      </c>
      <c r="AG97" s="143">
        <f t="shared" si="117"/>
        <v>8.4591402599676204</v>
      </c>
      <c r="AH97" s="143">
        <f t="shared" si="117"/>
        <v>8.4591402599676204</v>
      </c>
      <c r="AI97" s="143">
        <f t="shared" si="117"/>
        <v>8.4591402599676204</v>
      </c>
      <c r="AJ97" s="143">
        <f t="shared" si="117"/>
        <v>8.4591402599676204</v>
      </c>
      <c r="AK97" s="143">
        <f t="shared" si="117"/>
        <v>8.4591402599676204</v>
      </c>
      <c r="AL97" s="143">
        <f t="shared" si="117"/>
        <v>8.4591402599676204</v>
      </c>
      <c r="AM97" s="143">
        <f t="shared" si="117"/>
        <v>8.4591402599676204</v>
      </c>
      <c r="AN97" s="143">
        <f t="shared" si="117"/>
        <v>8.4591402599676204</v>
      </c>
      <c r="AO97" s="143">
        <f t="shared" si="117"/>
        <v>8.4591402599676204</v>
      </c>
      <c r="AP97" s="143">
        <f t="shared" si="117"/>
        <v>8.4591402599676204</v>
      </c>
      <c r="AQ97" s="143">
        <f t="shared" si="117"/>
        <v>8.4591402599676204</v>
      </c>
      <c r="AR97" s="143">
        <f t="shared" si="117"/>
        <v>8.4591402599676204</v>
      </c>
      <c r="AS97" s="143">
        <f t="shared" si="59"/>
        <v>9.1388443702711122</v>
      </c>
      <c r="AT97" s="143">
        <f t="shared" ref="AT97:BL97" si="118">AS97</f>
        <v>9.1388443702711122</v>
      </c>
      <c r="AU97" s="143">
        <f t="shared" si="118"/>
        <v>9.1388443702711122</v>
      </c>
      <c r="AV97" s="143">
        <f t="shared" si="118"/>
        <v>9.1388443702711122</v>
      </c>
      <c r="AW97" s="143">
        <f t="shared" si="118"/>
        <v>9.1388443702711122</v>
      </c>
      <c r="AX97" s="143">
        <f t="shared" si="118"/>
        <v>9.1388443702711122</v>
      </c>
      <c r="AY97" s="143">
        <f t="shared" si="118"/>
        <v>9.1388443702711122</v>
      </c>
      <c r="AZ97" s="143">
        <f t="shared" si="118"/>
        <v>9.1388443702711122</v>
      </c>
      <c r="BA97" s="143">
        <f t="shared" si="118"/>
        <v>9.1388443702711122</v>
      </c>
      <c r="BB97" s="143">
        <f t="shared" si="118"/>
        <v>9.1388443702711122</v>
      </c>
      <c r="BC97" s="143">
        <f t="shared" si="118"/>
        <v>9.1388443702711122</v>
      </c>
      <c r="BD97" s="143">
        <f t="shared" si="118"/>
        <v>9.1388443702711122</v>
      </c>
      <c r="BE97" s="143">
        <f t="shared" si="118"/>
        <v>9.1388443702711122</v>
      </c>
      <c r="BF97" s="143">
        <f t="shared" si="118"/>
        <v>9.1388443702711122</v>
      </c>
      <c r="BG97" s="143">
        <f t="shared" si="118"/>
        <v>9.1388443702711122</v>
      </c>
      <c r="BH97" s="143">
        <f t="shared" si="118"/>
        <v>9.1388443702711122</v>
      </c>
      <c r="BI97" s="143">
        <f t="shared" si="118"/>
        <v>9.1388443702711122</v>
      </c>
      <c r="BJ97" s="143">
        <f t="shared" si="118"/>
        <v>9.1388443702711122</v>
      </c>
      <c r="BK97" s="143">
        <f t="shared" si="118"/>
        <v>9.1388443702711122</v>
      </c>
      <c r="BL97" s="143">
        <f t="shared" si="118"/>
        <v>9.1388443702711122</v>
      </c>
      <c r="BM97" s="143">
        <f t="shared" si="61"/>
        <v>9.6194587985822491</v>
      </c>
      <c r="BN97" s="143">
        <f t="shared" ref="BN97:CF97" si="119">BM97</f>
        <v>9.6194587985822491</v>
      </c>
      <c r="BO97" s="143">
        <f t="shared" si="119"/>
        <v>9.6194587985822491</v>
      </c>
      <c r="BP97" s="143">
        <f t="shared" si="119"/>
        <v>9.6194587985822491</v>
      </c>
      <c r="BQ97" s="143">
        <f t="shared" si="119"/>
        <v>9.6194587985822491</v>
      </c>
      <c r="BR97" s="143">
        <f t="shared" si="119"/>
        <v>9.6194587985822491</v>
      </c>
      <c r="BS97" s="143">
        <f t="shared" si="119"/>
        <v>9.6194587985822491</v>
      </c>
      <c r="BT97" s="143">
        <f t="shared" si="119"/>
        <v>9.6194587985822491</v>
      </c>
      <c r="BU97" s="143">
        <f t="shared" si="119"/>
        <v>9.6194587985822491</v>
      </c>
      <c r="BV97" s="143">
        <f t="shared" si="119"/>
        <v>9.6194587985822491</v>
      </c>
      <c r="BW97" s="143">
        <f t="shared" si="119"/>
        <v>9.6194587985822491</v>
      </c>
      <c r="BX97" s="143">
        <f t="shared" si="119"/>
        <v>9.6194587985822491</v>
      </c>
      <c r="BY97" s="143">
        <f t="shared" si="119"/>
        <v>9.6194587985822491</v>
      </c>
      <c r="BZ97" s="143">
        <f t="shared" si="119"/>
        <v>9.6194587985822491</v>
      </c>
      <c r="CA97" s="143">
        <f t="shared" si="119"/>
        <v>9.6194587985822491</v>
      </c>
      <c r="CB97" s="143">
        <f t="shared" si="119"/>
        <v>9.6194587985822491</v>
      </c>
      <c r="CC97" s="143">
        <f t="shared" si="119"/>
        <v>9.6194587985822491</v>
      </c>
      <c r="CD97" s="143">
        <f t="shared" si="119"/>
        <v>9.6194587985822491</v>
      </c>
      <c r="CE97" s="143">
        <f t="shared" si="119"/>
        <v>9.6194587985822491</v>
      </c>
      <c r="CF97" s="143">
        <f t="shared" si="119"/>
        <v>9.6194587985822491</v>
      </c>
      <c r="CG97" s="143">
        <f t="shared" si="63"/>
        <v>9.9907655606431884</v>
      </c>
      <c r="CH97" s="143">
        <f t="shared" ref="CH97:CP97" si="120">CG97</f>
        <v>9.9907655606431884</v>
      </c>
      <c r="CI97" s="143">
        <f t="shared" si="120"/>
        <v>9.9907655606431884</v>
      </c>
      <c r="CJ97" s="143">
        <f t="shared" si="120"/>
        <v>9.9907655606431884</v>
      </c>
      <c r="CK97" s="143">
        <f t="shared" si="120"/>
        <v>9.9907655606431884</v>
      </c>
      <c r="CL97" s="143">
        <f t="shared" si="120"/>
        <v>9.9907655606431884</v>
      </c>
      <c r="CM97" s="143">
        <f t="shared" si="120"/>
        <v>9.9907655606431884</v>
      </c>
      <c r="CN97" s="143">
        <f t="shared" si="120"/>
        <v>9.9907655606431884</v>
      </c>
      <c r="CO97" s="143">
        <f t="shared" si="120"/>
        <v>9.9907655606431884</v>
      </c>
      <c r="CP97" s="143">
        <f t="shared" si="120"/>
        <v>9.9907655606431884</v>
      </c>
      <c r="CQ97" s="143">
        <f t="shared" si="65"/>
        <v>10.257224183859318</v>
      </c>
      <c r="CR97" s="143">
        <f t="shared" si="66"/>
        <v>10.257224183859318</v>
      </c>
      <c r="CS97" s="143">
        <f t="shared" si="66"/>
        <v>10.257224183859318</v>
      </c>
      <c r="CT97" s="143">
        <f t="shared" si="66"/>
        <v>10.257224183859318</v>
      </c>
      <c r="CU97" s="143">
        <f t="shared" si="66"/>
        <v>10.257224183859318</v>
      </c>
      <c r="CV97" s="143">
        <f t="shared" si="67"/>
        <v>10.640807108815949</v>
      </c>
      <c r="CW97" s="143">
        <f t="shared" si="68"/>
        <v>10.640807108815949</v>
      </c>
      <c r="CX97" s="143">
        <f t="shared" si="68"/>
        <v>10.640807108815949</v>
      </c>
      <c r="CY97" s="143">
        <f t="shared" si="68"/>
        <v>10.640807108815949</v>
      </c>
      <c r="CZ97" s="143">
        <f t="shared" si="69"/>
        <v>12.022961977469803</v>
      </c>
      <c r="DA97" s="60"/>
      <c r="DB97" s="143">
        <f t="shared" si="70"/>
        <v>9.5178250717241433</v>
      </c>
      <c r="DC97" s="143">
        <f t="shared" ref="DC97:DU97" si="121">DB97</f>
        <v>9.5178250717241433</v>
      </c>
      <c r="DD97" s="143">
        <f t="shared" si="121"/>
        <v>9.5178250717241433</v>
      </c>
      <c r="DE97" s="143">
        <f t="shared" si="121"/>
        <v>9.5178250717241433</v>
      </c>
      <c r="DF97" s="143">
        <f t="shared" si="121"/>
        <v>9.5178250717241433</v>
      </c>
      <c r="DG97" s="143">
        <f t="shared" si="121"/>
        <v>9.5178250717241433</v>
      </c>
      <c r="DH97" s="143">
        <f t="shared" si="121"/>
        <v>9.5178250717241433</v>
      </c>
      <c r="DI97" s="143">
        <f t="shared" si="121"/>
        <v>9.5178250717241433</v>
      </c>
      <c r="DJ97" s="143">
        <f t="shared" si="121"/>
        <v>9.5178250717241433</v>
      </c>
      <c r="DK97" s="143">
        <f t="shared" si="121"/>
        <v>9.5178250717241433</v>
      </c>
      <c r="DL97" s="143">
        <f t="shared" si="121"/>
        <v>9.5178250717241433</v>
      </c>
      <c r="DM97" s="143">
        <f t="shared" si="121"/>
        <v>9.5178250717241433</v>
      </c>
      <c r="DN97" s="143">
        <f t="shared" si="121"/>
        <v>9.5178250717241433</v>
      </c>
      <c r="DO97" s="143">
        <f t="shared" si="121"/>
        <v>9.5178250717241433</v>
      </c>
      <c r="DP97" s="143">
        <f t="shared" si="121"/>
        <v>9.5178250717241433</v>
      </c>
      <c r="DQ97" s="143">
        <f t="shared" si="121"/>
        <v>9.5178250717241433</v>
      </c>
      <c r="DR97" s="143">
        <f t="shared" si="121"/>
        <v>9.5178250717241433</v>
      </c>
      <c r="DS97" s="143">
        <f t="shared" si="121"/>
        <v>9.5178250717241433</v>
      </c>
      <c r="DT97" s="143">
        <f t="shared" si="121"/>
        <v>9.5178250717241433</v>
      </c>
      <c r="DU97" s="143">
        <f t="shared" si="121"/>
        <v>9.5178250717241433</v>
      </c>
      <c r="DV97" s="143">
        <f t="shared" si="72"/>
        <v>10.425253116340453</v>
      </c>
      <c r="DW97" s="143">
        <f t="shared" ref="DW97:EO97" si="122">DV97</f>
        <v>10.425253116340453</v>
      </c>
      <c r="DX97" s="143">
        <f t="shared" si="122"/>
        <v>10.425253116340453</v>
      </c>
      <c r="DY97" s="143">
        <f t="shared" si="122"/>
        <v>10.425253116340453</v>
      </c>
      <c r="DZ97" s="143">
        <f t="shared" si="122"/>
        <v>10.425253116340453</v>
      </c>
      <c r="EA97" s="143">
        <f t="shared" si="122"/>
        <v>10.425253116340453</v>
      </c>
      <c r="EB97" s="143">
        <f t="shared" si="122"/>
        <v>10.425253116340453</v>
      </c>
      <c r="EC97" s="143">
        <f t="shared" si="122"/>
        <v>10.425253116340453</v>
      </c>
      <c r="ED97" s="143">
        <f t="shared" si="122"/>
        <v>10.425253116340453</v>
      </c>
      <c r="EE97" s="143">
        <f t="shared" si="122"/>
        <v>10.425253116340453</v>
      </c>
      <c r="EF97" s="143">
        <f t="shared" si="122"/>
        <v>10.425253116340453</v>
      </c>
      <c r="EG97" s="143">
        <f t="shared" si="122"/>
        <v>10.425253116340453</v>
      </c>
      <c r="EH97" s="143">
        <f t="shared" si="122"/>
        <v>10.425253116340453</v>
      </c>
      <c r="EI97" s="143">
        <f t="shared" si="122"/>
        <v>10.425253116340453</v>
      </c>
      <c r="EJ97" s="143">
        <f t="shared" si="122"/>
        <v>10.425253116340453</v>
      </c>
      <c r="EK97" s="143">
        <f t="shared" si="122"/>
        <v>10.425253116340453</v>
      </c>
      <c r="EL97" s="143">
        <f t="shared" si="122"/>
        <v>10.425253116340453</v>
      </c>
      <c r="EM97" s="143">
        <f t="shared" si="122"/>
        <v>10.425253116340453</v>
      </c>
      <c r="EN97" s="143">
        <f t="shared" si="122"/>
        <v>10.425253116340453</v>
      </c>
      <c r="EO97" s="143">
        <f t="shared" si="122"/>
        <v>10.425253116340453</v>
      </c>
      <c r="EP97" s="143">
        <f t="shared" si="74"/>
        <v>10.881813675329736</v>
      </c>
      <c r="EQ97" s="143">
        <f t="shared" ref="EQ97:FI97" si="123">EP97</f>
        <v>10.881813675329736</v>
      </c>
      <c r="ER97" s="143">
        <f t="shared" si="123"/>
        <v>10.881813675329736</v>
      </c>
      <c r="ES97" s="143">
        <f t="shared" si="123"/>
        <v>10.881813675329736</v>
      </c>
      <c r="ET97" s="143">
        <f t="shared" si="123"/>
        <v>10.881813675329736</v>
      </c>
      <c r="EU97" s="143">
        <f t="shared" si="123"/>
        <v>10.881813675329736</v>
      </c>
      <c r="EV97" s="143">
        <f t="shared" si="123"/>
        <v>10.881813675329736</v>
      </c>
      <c r="EW97" s="143">
        <f t="shared" si="123"/>
        <v>10.881813675329736</v>
      </c>
      <c r="EX97" s="143">
        <f t="shared" si="123"/>
        <v>10.881813675329736</v>
      </c>
      <c r="EY97" s="143">
        <f t="shared" si="123"/>
        <v>10.881813675329736</v>
      </c>
      <c r="EZ97" s="143">
        <f t="shared" si="123"/>
        <v>10.881813675329736</v>
      </c>
      <c r="FA97" s="143">
        <f t="shared" si="123"/>
        <v>10.881813675329736</v>
      </c>
      <c r="FB97" s="143">
        <f t="shared" si="123"/>
        <v>10.881813675329736</v>
      </c>
      <c r="FC97" s="143">
        <f t="shared" si="123"/>
        <v>10.881813675329736</v>
      </c>
      <c r="FD97" s="143">
        <f t="shared" si="123"/>
        <v>10.881813675329736</v>
      </c>
      <c r="FE97" s="143">
        <f t="shared" si="123"/>
        <v>10.881813675329736</v>
      </c>
      <c r="FF97" s="143">
        <f t="shared" si="123"/>
        <v>10.881813675329736</v>
      </c>
      <c r="FG97" s="143">
        <f t="shared" si="123"/>
        <v>10.881813675329736</v>
      </c>
      <c r="FH97" s="143">
        <f t="shared" si="123"/>
        <v>10.881813675329736</v>
      </c>
      <c r="FI97" s="143">
        <f t="shared" si="123"/>
        <v>10.881813675329736</v>
      </c>
      <c r="FJ97" s="143">
        <f t="shared" si="76"/>
        <v>11.22390916950531</v>
      </c>
      <c r="FK97" s="143">
        <f t="shared" ref="FK97:GC97" si="124">FJ97</f>
        <v>11.22390916950531</v>
      </c>
      <c r="FL97" s="143">
        <f t="shared" si="124"/>
        <v>11.22390916950531</v>
      </c>
      <c r="FM97" s="143">
        <f t="shared" si="124"/>
        <v>11.22390916950531</v>
      </c>
      <c r="FN97" s="143">
        <f t="shared" si="124"/>
        <v>11.22390916950531</v>
      </c>
      <c r="FO97" s="143">
        <f t="shared" si="124"/>
        <v>11.22390916950531</v>
      </c>
      <c r="FP97" s="143">
        <f t="shared" si="124"/>
        <v>11.22390916950531</v>
      </c>
      <c r="FQ97" s="143">
        <f t="shared" si="124"/>
        <v>11.22390916950531</v>
      </c>
      <c r="FR97" s="143">
        <f t="shared" si="124"/>
        <v>11.22390916950531</v>
      </c>
      <c r="FS97" s="143">
        <f t="shared" si="124"/>
        <v>11.22390916950531</v>
      </c>
      <c r="FT97" s="143">
        <f t="shared" si="124"/>
        <v>11.22390916950531</v>
      </c>
      <c r="FU97" s="143">
        <f t="shared" si="124"/>
        <v>11.22390916950531</v>
      </c>
      <c r="FV97" s="143">
        <f t="shared" si="124"/>
        <v>11.22390916950531</v>
      </c>
      <c r="FW97" s="143">
        <f t="shared" si="124"/>
        <v>11.22390916950531</v>
      </c>
      <c r="FX97" s="143">
        <f t="shared" si="124"/>
        <v>11.22390916950531</v>
      </c>
      <c r="FY97" s="143">
        <f t="shared" si="124"/>
        <v>11.22390916950531</v>
      </c>
      <c r="FZ97" s="143">
        <f t="shared" si="124"/>
        <v>11.22390916950531</v>
      </c>
      <c r="GA97" s="143">
        <f t="shared" si="124"/>
        <v>11.22390916950531</v>
      </c>
      <c r="GB97" s="143">
        <f t="shared" si="124"/>
        <v>11.22390916950531</v>
      </c>
      <c r="GC97" s="143">
        <f t="shared" si="124"/>
        <v>11.22390916950531</v>
      </c>
      <c r="GD97" s="143">
        <f t="shared" si="78"/>
        <v>11.504893293272964</v>
      </c>
      <c r="GE97" s="143">
        <f t="shared" ref="GE97:GM97" si="125">GD97</f>
        <v>11.504893293272964</v>
      </c>
      <c r="GF97" s="143">
        <f t="shared" si="125"/>
        <v>11.504893293272964</v>
      </c>
      <c r="GG97" s="143">
        <f t="shared" si="125"/>
        <v>11.504893293272964</v>
      </c>
      <c r="GH97" s="143">
        <f t="shared" si="125"/>
        <v>11.504893293272964</v>
      </c>
      <c r="GI97" s="143">
        <f t="shared" si="125"/>
        <v>11.504893293272964</v>
      </c>
      <c r="GJ97" s="143">
        <f t="shared" si="125"/>
        <v>11.504893293272964</v>
      </c>
      <c r="GK97" s="143">
        <f t="shared" si="125"/>
        <v>11.504893293272964</v>
      </c>
      <c r="GL97" s="143">
        <f t="shared" si="125"/>
        <v>11.504893293272964</v>
      </c>
      <c r="GM97" s="143">
        <f t="shared" si="125"/>
        <v>11.504893293272964</v>
      </c>
      <c r="GN97" s="143">
        <f t="shared" si="80"/>
        <v>11.731257459287216</v>
      </c>
      <c r="GO97" s="143">
        <f t="shared" si="81"/>
        <v>11.731257459287216</v>
      </c>
      <c r="GP97" s="143">
        <f t="shared" si="81"/>
        <v>11.731257459287216</v>
      </c>
      <c r="GQ97" s="143">
        <f t="shared" si="81"/>
        <v>11.731257459287216</v>
      </c>
      <c r="GR97" s="143">
        <f t="shared" si="81"/>
        <v>11.731257459287216</v>
      </c>
      <c r="GS97" s="143">
        <f t="shared" si="82"/>
        <v>12.088976873653927</v>
      </c>
      <c r="GT97" s="143">
        <f t="shared" si="83"/>
        <v>12.088976873653927</v>
      </c>
      <c r="GU97" s="143">
        <f t="shared" si="83"/>
        <v>12.088976873653927</v>
      </c>
      <c r="GV97" s="143">
        <f t="shared" si="83"/>
        <v>12.088976873653927</v>
      </c>
      <c r="GW97" s="143">
        <f t="shared" si="84"/>
        <v>13.339730275941085</v>
      </c>
    </row>
    <row r="98" spans="1:205" s="46" customFormat="1" ht="9.75" customHeight="1">
      <c r="A98" s="60">
        <v>1984</v>
      </c>
      <c r="B98" s="143">
        <f t="shared" si="85"/>
        <v>0.28259644715037391</v>
      </c>
      <c r="C98" s="143">
        <f t="shared" si="54"/>
        <v>0.99806362751492228</v>
      </c>
      <c r="D98" s="60"/>
      <c r="E98" s="143">
        <f t="shared" si="55"/>
        <v>7.4768120743110318</v>
      </c>
      <c r="F98" s="143">
        <f t="shared" ref="F98:X98" si="126">E98</f>
        <v>7.4768120743110318</v>
      </c>
      <c r="G98" s="143">
        <f t="shared" si="126"/>
        <v>7.4768120743110318</v>
      </c>
      <c r="H98" s="143">
        <f t="shared" si="126"/>
        <v>7.4768120743110318</v>
      </c>
      <c r="I98" s="143">
        <f t="shared" si="126"/>
        <v>7.4768120743110318</v>
      </c>
      <c r="J98" s="143">
        <f t="shared" si="126"/>
        <v>7.4768120743110318</v>
      </c>
      <c r="K98" s="143">
        <f t="shared" si="126"/>
        <v>7.4768120743110318</v>
      </c>
      <c r="L98" s="143">
        <f t="shared" si="126"/>
        <v>7.4768120743110318</v>
      </c>
      <c r="M98" s="143">
        <f t="shared" si="126"/>
        <v>7.4768120743110318</v>
      </c>
      <c r="N98" s="143">
        <f t="shared" si="126"/>
        <v>7.4768120743110318</v>
      </c>
      <c r="O98" s="143">
        <f t="shared" si="126"/>
        <v>7.4768120743110318</v>
      </c>
      <c r="P98" s="143">
        <f t="shared" si="126"/>
        <v>7.4768120743110318</v>
      </c>
      <c r="Q98" s="143">
        <f t="shared" si="126"/>
        <v>7.4768120743110318</v>
      </c>
      <c r="R98" s="143">
        <f t="shared" si="126"/>
        <v>7.4768120743110318</v>
      </c>
      <c r="S98" s="143">
        <f t="shared" si="126"/>
        <v>7.4768120743110318</v>
      </c>
      <c r="T98" s="143">
        <f t="shared" si="126"/>
        <v>7.4768120743110318</v>
      </c>
      <c r="U98" s="143">
        <f t="shared" si="126"/>
        <v>7.4768120743110318</v>
      </c>
      <c r="V98" s="143">
        <f t="shared" si="126"/>
        <v>7.4768120743110318</v>
      </c>
      <c r="W98" s="143">
        <f t="shared" si="126"/>
        <v>7.4768120743110318</v>
      </c>
      <c r="X98" s="143">
        <f t="shared" si="126"/>
        <v>7.4768120743110318</v>
      </c>
      <c r="Y98" s="143">
        <f t="shared" si="57"/>
        <v>8.5818941993521136</v>
      </c>
      <c r="Z98" s="143">
        <f t="shared" ref="Z98:AR98" si="127">Y98</f>
        <v>8.5818941993521136</v>
      </c>
      <c r="AA98" s="143">
        <f t="shared" si="127"/>
        <v>8.5818941993521136</v>
      </c>
      <c r="AB98" s="143">
        <f t="shared" si="127"/>
        <v>8.5818941993521136</v>
      </c>
      <c r="AC98" s="143">
        <f t="shared" si="127"/>
        <v>8.5818941993521136</v>
      </c>
      <c r="AD98" s="143">
        <f t="shared" si="127"/>
        <v>8.5818941993521136</v>
      </c>
      <c r="AE98" s="143">
        <f t="shared" si="127"/>
        <v>8.5818941993521136</v>
      </c>
      <c r="AF98" s="143">
        <f t="shared" si="127"/>
        <v>8.5818941993521136</v>
      </c>
      <c r="AG98" s="143">
        <f t="shared" si="127"/>
        <v>8.5818941993521136</v>
      </c>
      <c r="AH98" s="143">
        <f t="shared" si="127"/>
        <v>8.5818941993521136</v>
      </c>
      <c r="AI98" s="143">
        <f t="shared" si="127"/>
        <v>8.5818941993521136</v>
      </c>
      <c r="AJ98" s="143">
        <f t="shared" si="127"/>
        <v>8.5818941993521136</v>
      </c>
      <c r="AK98" s="143">
        <f t="shared" si="127"/>
        <v>8.5818941993521136</v>
      </c>
      <c r="AL98" s="143">
        <f t="shared" si="127"/>
        <v>8.5818941993521136</v>
      </c>
      <c r="AM98" s="143">
        <f t="shared" si="127"/>
        <v>8.5818941993521136</v>
      </c>
      <c r="AN98" s="143">
        <f t="shared" si="127"/>
        <v>8.5818941993521136</v>
      </c>
      <c r="AO98" s="143">
        <f t="shared" si="127"/>
        <v>8.5818941993521136</v>
      </c>
      <c r="AP98" s="143">
        <f t="shared" si="127"/>
        <v>8.5818941993521136</v>
      </c>
      <c r="AQ98" s="143">
        <f t="shared" si="127"/>
        <v>8.5818941993521136</v>
      </c>
      <c r="AR98" s="143">
        <f t="shared" si="127"/>
        <v>8.5818941993521136</v>
      </c>
      <c r="AS98" s="143">
        <f t="shared" si="59"/>
        <v>9.2236513860358542</v>
      </c>
      <c r="AT98" s="143">
        <f t="shared" ref="AT98:BL98" si="128">AS98</f>
        <v>9.2236513860358542</v>
      </c>
      <c r="AU98" s="143">
        <f t="shared" si="128"/>
        <v>9.2236513860358542</v>
      </c>
      <c r="AV98" s="143">
        <f t="shared" si="128"/>
        <v>9.2236513860358542</v>
      </c>
      <c r="AW98" s="143">
        <f t="shared" si="128"/>
        <v>9.2236513860358542</v>
      </c>
      <c r="AX98" s="143">
        <f t="shared" si="128"/>
        <v>9.2236513860358542</v>
      </c>
      <c r="AY98" s="143">
        <f t="shared" si="128"/>
        <v>9.2236513860358542</v>
      </c>
      <c r="AZ98" s="143">
        <f t="shared" si="128"/>
        <v>9.2236513860358542</v>
      </c>
      <c r="BA98" s="143">
        <f t="shared" si="128"/>
        <v>9.2236513860358542</v>
      </c>
      <c r="BB98" s="143">
        <f t="shared" si="128"/>
        <v>9.2236513860358542</v>
      </c>
      <c r="BC98" s="143">
        <f t="shared" si="128"/>
        <v>9.2236513860358542</v>
      </c>
      <c r="BD98" s="143">
        <f t="shared" si="128"/>
        <v>9.2236513860358542</v>
      </c>
      <c r="BE98" s="143">
        <f t="shared" si="128"/>
        <v>9.2236513860358542</v>
      </c>
      <c r="BF98" s="143">
        <f t="shared" si="128"/>
        <v>9.2236513860358542</v>
      </c>
      <c r="BG98" s="143">
        <f t="shared" si="128"/>
        <v>9.2236513860358542</v>
      </c>
      <c r="BH98" s="143">
        <f t="shared" si="128"/>
        <v>9.2236513860358542</v>
      </c>
      <c r="BI98" s="143">
        <f t="shared" si="128"/>
        <v>9.2236513860358542</v>
      </c>
      <c r="BJ98" s="143">
        <f t="shared" si="128"/>
        <v>9.2236513860358542</v>
      </c>
      <c r="BK98" s="143">
        <f t="shared" si="128"/>
        <v>9.2236513860358542</v>
      </c>
      <c r="BL98" s="143">
        <f t="shared" si="128"/>
        <v>9.2236513860358542</v>
      </c>
      <c r="BM98" s="143">
        <f t="shared" si="61"/>
        <v>9.681387206893616</v>
      </c>
      <c r="BN98" s="143">
        <f t="shared" ref="BN98:CF98" si="129">BM98</f>
        <v>9.681387206893616</v>
      </c>
      <c r="BO98" s="143">
        <f t="shared" si="129"/>
        <v>9.681387206893616</v>
      </c>
      <c r="BP98" s="143">
        <f t="shared" si="129"/>
        <v>9.681387206893616</v>
      </c>
      <c r="BQ98" s="143">
        <f t="shared" si="129"/>
        <v>9.681387206893616</v>
      </c>
      <c r="BR98" s="143">
        <f t="shared" si="129"/>
        <v>9.681387206893616</v>
      </c>
      <c r="BS98" s="143">
        <f t="shared" si="129"/>
        <v>9.681387206893616</v>
      </c>
      <c r="BT98" s="143">
        <f t="shared" si="129"/>
        <v>9.681387206893616</v>
      </c>
      <c r="BU98" s="143">
        <f t="shared" si="129"/>
        <v>9.681387206893616</v>
      </c>
      <c r="BV98" s="143">
        <f t="shared" si="129"/>
        <v>9.681387206893616</v>
      </c>
      <c r="BW98" s="143">
        <f t="shared" si="129"/>
        <v>9.681387206893616</v>
      </c>
      <c r="BX98" s="143">
        <f t="shared" si="129"/>
        <v>9.681387206893616</v>
      </c>
      <c r="BY98" s="143">
        <f t="shared" si="129"/>
        <v>9.681387206893616</v>
      </c>
      <c r="BZ98" s="143">
        <f t="shared" si="129"/>
        <v>9.681387206893616</v>
      </c>
      <c r="CA98" s="143">
        <f t="shared" si="129"/>
        <v>9.681387206893616</v>
      </c>
      <c r="CB98" s="143">
        <f t="shared" si="129"/>
        <v>9.681387206893616</v>
      </c>
      <c r="CC98" s="143">
        <f t="shared" si="129"/>
        <v>9.681387206893616</v>
      </c>
      <c r="CD98" s="143">
        <f t="shared" si="129"/>
        <v>9.681387206893616</v>
      </c>
      <c r="CE98" s="143">
        <f t="shared" si="129"/>
        <v>9.681387206893616</v>
      </c>
      <c r="CF98" s="143">
        <f t="shared" si="129"/>
        <v>9.681387206893616</v>
      </c>
      <c r="CG98" s="143">
        <f t="shared" si="63"/>
        <v>10.061601795629819</v>
      </c>
      <c r="CH98" s="143">
        <f t="shared" ref="CH98:CP98" si="130">CG98</f>
        <v>10.061601795629819</v>
      </c>
      <c r="CI98" s="143">
        <f t="shared" si="130"/>
        <v>10.061601795629819</v>
      </c>
      <c r="CJ98" s="143">
        <f t="shared" si="130"/>
        <v>10.061601795629819</v>
      </c>
      <c r="CK98" s="143">
        <f t="shared" si="130"/>
        <v>10.061601795629819</v>
      </c>
      <c r="CL98" s="143">
        <f t="shared" si="130"/>
        <v>10.061601795629819</v>
      </c>
      <c r="CM98" s="143">
        <f t="shared" si="130"/>
        <v>10.061601795629819</v>
      </c>
      <c r="CN98" s="143">
        <f t="shared" si="130"/>
        <v>10.061601795629819</v>
      </c>
      <c r="CO98" s="143">
        <f t="shared" si="130"/>
        <v>10.061601795629819</v>
      </c>
      <c r="CP98" s="143">
        <f t="shared" si="130"/>
        <v>10.061601795629819</v>
      </c>
      <c r="CQ98" s="143">
        <f t="shared" si="65"/>
        <v>10.335919108874107</v>
      </c>
      <c r="CR98" s="143">
        <f t="shared" si="66"/>
        <v>10.335919108874107</v>
      </c>
      <c r="CS98" s="143">
        <f t="shared" si="66"/>
        <v>10.335919108874107</v>
      </c>
      <c r="CT98" s="143">
        <f t="shared" si="66"/>
        <v>10.335919108874107</v>
      </c>
      <c r="CU98" s="143">
        <f t="shared" si="66"/>
        <v>10.335919108874107</v>
      </c>
      <c r="CV98" s="143">
        <f t="shared" si="67"/>
        <v>10.722275703049045</v>
      </c>
      <c r="CW98" s="143">
        <f t="shared" si="68"/>
        <v>10.722275703049045</v>
      </c>
      <c r="CX98" s="143">
        <f t="shared" si="68"/>
        <v>10.722275703049045</v>
      </c>
      <c r="CY98" s="143">
        <f t="shared" si="68"/>
        <v>10.722275703049045</v>
      </c>
      <c r="CZ98" s="143">
        <f t="shared" si="69"/>
        <v>12.131047329668421</v>
      </c>
      <c r="DA98" s="60"/>
      <c r="DB98" s="143">
        <f t="shared" si="70"/>
        <v>9.5887768076964282</v>
      </c>
      <c r="DC98" s="143">
        <f t="shared" ref="DC98:DU98" si="131">DB98</f>
        <v>9.5887768076964282</v>
      </c>
      <c r="DD98" s="143">
        <f t="shared" si="131"/>
        <v>9.5887768076964282</v>
      </c>
      <c r="DE98" s="143">
        <f t="shared" si="131"/>
        <v>9.5887768076964282</v>
      </c>
      <c r="DF98" s="143">
        <f t="shared" si="131"/>
        <v>9.5887768076964282</v>
      </c>
      <c r="DG98" s="143">
        <f t="shared" si="131"/>
        <v>9.5887768076964282</v>
      </c>
      <c r="DH98" s="143">
        <f t="shared" si="131"/>
        <v>9.5887768076964282</v>
      </c>
      <c r="DI98" s="143">
        <f t="shared" si="131"/>
        <v>9.5887768076964282</v>
      </c>
      <c r="DJ98" s="143">
        <f t="shared" si="131"/>
        <v>9.5887768076964282</v>
      </c>
      <c r="DK98" s="143">
        <f t="shared" si="131"/>
        <v>9.5887768076964282</v>
      </c>
      <c r="DL98" s="143">
        <f t="shared" si="131"/>
        <v>9.5887768076964282</v>
      </c>
      <c r="DM98" s="143">
        <f t="shared" si="131"/>
        <v>9.5887768076964282</v>
      </c>
      <c r="DN98" s="143">
        <f t="shared" si="131"/>
        <v>9.5887768076964282</v>
      </c>
      <c r="DO98" s="143">
        <f t="shared" si="131"/>
        <v>9.5887768076964282</v>
      </c>
      <c r="DP98" s="143">
        <f t="shared" si="131"/>
        <v>9.5887768076964282</v>
      </c>
      <c r="DQ98" s="143">
        <f t="shared" si="131"/>
        <v>9.5887768076964282</v>
      </c>
      <c r="DR98" s="143">
        <f t="shared" si="131"/>
        <v>9.5887768076964282</v>
      </c>
      <c r="DS98" s="143">
        <f t="shared" si="131"/>
        <v>9.5887768076964282</v>
      </c>
      <c r="DT98" s="143">
        <f t="shared" si="131"/>
        <v>9.5887768076964282</v>
      </c>
      <c r="DU98" s="143">
        <f t="shared" si="131"/>
        <v>9.5887768076964282</v>
      </c>
      <c r="DV98" s="143">
        <f t="shared" si="72"/>
        <v>10.485703172388792</v>
      </c>
      <c r="DW98" s="143">
        <f t="shared" ref="DW98:EO98" si="132">DV98</f>
        <v>10.485703172388792</v>
      </c>
      <c r="DX98" s="143">
        <f t="shared" si="132"/>
        <v>10.485703172388792</v>
      </c>
      <c r="DY98" s="143">
        <f t="shared" si="132"/>
        <v>10.485703172388792</v>
      </c>
      <c r="DZ98" s="143">
        <f t="shared" si="132"/>
        <v>10.485703172388792</v>
      </c>
      <c r="EA98" s="143">
        <f t="shared" si="132"/>
        <v>10.485703172388792</v>
      </c>
      <c r="EB98" s="143">
        <f t="shared" si="132"/>
        <v>10.485703172388792</v>
      </c>
      <c r="EC98" s="143">
        <f t="shared" si="132"/>
        <v>10.485703172388792</v>
      </c>
      <c r="ED98" s="143">
        <f t="shared" si="132"/>
        <v>10.485703172388792</v>
      </c>
      <c r="EE98" s="143">
        <f t="shared" si="132"/>
        <v>10.485703172388792</v>
      </c>
      <c r="EF98" s="143">
        <f t="shared" si="132"/>
        <v>10.485703172388792</v>
      </c>
      <c r="EG98" s="143">
        <f t="shared" si="132"/>
        <v>10.485703172388792</v>
      </c>
      <c r="EH98" s="143">
        <f t="shared" si="132"/>
        <v>10.485703172388792</v>
      </c>
      <c r="EI98" s="143">
        <f t="shared" si="132"/>
        <v>10.485703172388792</v>
      </c>
      <c r="EJ98" s="143">
        <f t="shared" si="132"/>
        <v>10.485703172388792</v>
      </c>
      <c r="EK98" s="143">
        <f t="shared" si="132"/>
        <v>10.485703172388792</v>
      </c>
      <c r="EL98" s="143">
        <f t="shared" si="132"/>
        <v>10.485703172388792</v>
      </c>
      <c r="EM98" s="143">
        <f t="shared" si="132"/>
        <v>10.485703172388792</v>
      </c>
      <c r="EN98" s="143">
        <f t="shared" si="132"/>
        <v>10.485703172388792</v>
      </c>
      <c r="EO98" s="143">
        <f t="shared" si="132"/>
        <v>10.485703172388792</v>
      </c>
      <c r="EP98" s="143">
        <f t="shared" si="74"/>
        <v>10.938449814127782</v>
      </c>
      <c r="EQ98" s="143">
        <f t="shared" ref="EQ98:FI98" si="133">EP98</f>
        <v>10.938449814127782</v>
      </c>
      <c r="ER98" s="143">
        <f t="shared" si="133"/>
        <v>10.938449814127782</v>
      </c>
      <c r="ES98" s="143">
        <f t="shared" si="133"/>
        <v>10.938449814127782</v>
      </c>
      <c r="ET98" s="143">
        <f t="shared" si="133"/>
        <v>10.938449814127782</v>
      </c>
      <c r="EU98" s="143">
        <f t="shared" si="133"/>
        <v>10.938449814127782</v>
      </c>
      <c r="EV98" s="143">
        <f t="shared" si="133"/>
        <v>10.938449814127782</v>
      </c>
      <c r="EW98" s="143">
        <f t="shared" si="133"/>
        <v>10.938449814127782</v>
      </c>
      <c r="EX98" s="143">
        <f t="shared" si="133"/>
        <v>10.938449814127782</v>
      </c>
      <c r="EY98" s="143">
        <f t="shared" si="133"/>
        <v>10.938449814127782</v>
      </c>
      <c r="EZ98" s="143">
        <f t="shared" si="133"/>
        <v>10.938449814127782</v>
      </c>
      <c r="FA98" s="143">
        <f t="shared" si="133"/>
        <v>10.938449814127782</v>
      </c>
      <c r="FB98" s="143">
        <f t="shared" si="133"/>
        <v>10.938449814127782</v>
      </c>
      <c r="FC98" s="143">
        <f t="shared" si="133"/>
        <v>10.938449814127782</v>
      </c>
      <c r="FD98" s="143">
        <f t="shared" si="133"/>
        <v>10.938449814127782</v>
      </c>
      <c r="FE98" s="143">
        <f t="shared" si="133"/>
        <v>10.938449814127782</v>
      </c>
      <c r="FF98" s="143">
        <f t="shared" si="133"/>
        <v>10.938449814127782</v>
      </c>
      <c r="FG98" s="143">
        <f t="shared" si="133"/>
        <v>10.938449814127782</v>
      </c>
      <c r="FH98" s="143">
        <f t="shared" si="133"/>
        <v>10.938449814127782</v>
      </c>
      <c r="FI98" s="143">
        <f t="shared" si="133"/>
        <v>10.938449814127782</v>
      </c>
      <c r="FJ98" s="143">
        <f t="shared" si="76"/>
        <v>11.275936506833965</v>
      </c>
      <c r="FK98" s="143">
        <f t="shared" ref="FK98:GC98" si="134">FJ98</f>
        <v>11.275936506833965</v>
      </c>
      <c r="FL98" s="143">
        <f t="shared" si="134"/>
        <v>11.275936506833965</v>
      </c>
      <c r="FM98" s="143">
        <f t="shared" si="134"/>
        <v>11.275936506833965</v>
      </c>
      <c r="FN98" s="143">
        <f t="shared" si="134"/>
        <v>11.275936506833965</v>
      </c>
      <c r="FO98" s="143">
        <f t="shared" si="134"/>
        <v>11.275936506833965</v>
      </c>
      <c r="FP98" s="143">
        <f t="shared" si="134"/>
        <v>11.275936506833965</v>
      </c>
      <c r="FQ98" s="143">
        <f t="shared" si="134"/>
        <v>11.275936506833965</v>
      </c>
      <c r="FR98" s="143">
        <f t="shared" si="134"/>
        <v>11.275936506833965</v>
      </c>
      <c r="FS98" s="143">
        <f t="shared" si="134"/>
        <v>11.275936506833965</v>
      </c>
      <c r="FT98" s="143">
        <f t="shared" si="134"/>
        <v>11.275936506833965</v>
      </c>
      <c r="FU98" s="143">
        <f t="shared" si="134"/>
        <v>11.275936506833965</v>
      </c>
      <c r="FV98" s="143">
        <f t="shared" si="134"/>
        <v>11.275936506833965</v>
      </c>
      <c r="FW98" s="143">
        <f t="shared" si="134"/>
        <v>11.275936506833965</v>
      </c>
      <c r="FX98" s="143">
        <f t="shared" si="134"/>
        <v>11.275936506833965</v>
      </c>
      <c r="FY98" s="143">
        <f t="shared" si="134"/>
        <v>11.275936506833965</v>
      </c>
      <c r="FZ98" s="143">
        <f t="shared" si="134"/>
        <v>11.275936506833965</v>
      </c>
      <c r="GA98" s="143">
        <f t="shared" si="134"/>
        <v>11.275936506833965</v>
      </c>
      <c r="GB98" s="143">
        <f t="shared" si="134"/>
        <v>11.275936506833965</v>
      </c>
      <c r="GC98" s="143">
        <f t="shared" si="134"/>
        <v>11.275936506833965</v>
      </c>
      <c r="GD98" s="143">
        <f t="shared" si="78"/>
        <v>11.571194373094205</v>
      </c>
      <c r="GE98" s="143">
        <f t="shared" ref="GE98:GM98" si="135">GD98</f>
        <v>11.571194373094205</v>
      </c>
      <c r="GF98" s="143">
        <f t="shared" si="135"/>
        <v>11.571194373094205</v>
      </c>
      <c r="GG98" s="143">
        <f t="shared" si="135"/>
        <v>11.571194373094205</v>
      </c>
      <c r="GH98" s="143">
        <f t="shared" si="135"/>
        <v>11.571194373094205</v>
      </c>
      <c r="GI98" s="143">
        <f t="shared" si="135"/>
        <v>11.571194373094205</v>
      </c>
      <c r="GJ98" s="143">
        <f t="shared" si="135"/>
        <v>11.571194373094205</v>
      </c>
      <c r="GK98" s="143">
        <f t="shared" si="135"/>
        <v>11.571194373094205</v>
      </c>
      <c r="GL98" s="143">
        <f t="shared" si="135"/>
        <v>11.571194373094205</v>
      </c>
      <c r="GM98" s="143">
        <f t="shared" si="135"/>
        <v>11.571194373094205</v>
      </c>
      <c r="GN98" s="143">
        <f t="shared" si="80"/>
        <v>11.805595078933049</v>
      </c>
      <c r="GO98" s="143">
        <f t="shared" si="81"/>
        <v>11.805595078933049</v>
      </c>
      <c r="GP98" s="143">
        <f t="shared" si="81"/>
        <v>11.805595078933049</v>
      </c>
      <c r="GQ98" s="143">
        <f t="shared" si="81"/>
        <v>11.805595078933049</v>
      </c>
      <c r="GR98" s="143">
        <f t="shared" si="81"/>
        <v>11.805595078933049</v>
      </c>
      <c r="GS98" s="143">
        <f t="shared" si="82"/>
        <v>12.170445467887022</v>
      </c>
      <c r="GT98" s="143">
        <f t="shared" si="83"/>
        <v>12.170445467887022</v>
      </c>
      <c r="GU98" s="143">
        <f t="shared" si="83"/>
        <v>12.170445467887022</v>
      </c>
      <c r="GV98" s="143">
        <f t="shared" si="83"/>
        <v>12.170445467887022</v>
      </c>
      <c r="GW98" s="143">
        <f t="shared" si="84"/>
        <v>13.440380649652182</v>
      </c>
    </row>
    <row r="99" spans="1:205" s="46" customFormat="1" ht="9.75" customHeight="1">
      <c r="A99" s="60">
        <v>1985</v>
      </c>
      <c r="B99" s="143">
        <f t="shared" si="85"/>
        <v>0.29165868859437349</v>
      </c>
      <c r="C99" s="143">
        <f t="shared" si="54"/>
        <v>0.9975967278306217</v>
      </c>
      <c r="D99" s="60"/>
      <c r="E99" s="143">
        <f t="shared" si="55"/>
        <v>7.4448332738921934</v>
      </c>
      <c r="F99" s="143">
        <f t="shared" ref="F99:X99" si="136">E99</f>
        <v>7.4448332738921934</v>
      </c>
      <c r="G99" s="143">
        <f t="shared" si="136"/>
        <v>7.4448332738921934</v>
      </c>
      <c r="H99" s="143">
        <f t="shared" si="136"/>
        <v>7.4448332738921934</v>
      </c>
      <c r="I99" s="143">
        <f t="shared" si="136"/>
        <v>7.4448332738921934</v>
      </c>
      <c r="J99" s="143">
        <f t="shared" si="136"/>
        <v>7.4448332738921934</v>
      </c>
      <c r="K99" s="143">
        <f t="shared" si="136"/>
        <v>7.4448332738921934</v>
      </c>
      <c r="L99" s="143">
        <f t="shared" si="136"/>
        <v>7.4448332738921934</v>
      </c>
      <c r="M99" s="143">
        <f t="shared" si="136"/>
        <v>7.4448332738921934</v>
      </c>
      <c r="N99" s="143">
        <f t="shared" si="136"/>
        <v>7.4448332738921934</v>
      </c>
      <c r="O99" s="143">
        <f t="shared" si="136"/>
        <v>7.4448332738921934</v>
      </c>
      <c r="P99" s="143">
        <f t="shared" si="136"/>
        <v>7.4448332738921934</v>
      </c>
      <c r="Q99" s="143">
        <f t="shared" si="136"/>
        <v>7.4448332738921934</v>
      </c>
      <c r="R99" s="143">
        <f t="shared" si="136"/>
        <v>7.4448332738921934</v>
      </c>
      <c r="S99" s="143">
        <f t="shared" si="136"/>
        <v>7.4448332738921934</v>
      </c>
      <c r="T99" s="143">
        <f t="shared" si="136"/>
        <v>7.4448332738921934</v>
      </c>
      <c r="U99" s="143">
        <f t="shared" si="136"/>
        <v>7.4448332738921934</v>
      </c>
      <c r="V99" s="143">
        <f t="shared" si="136"/>
        <v>7.4448332738921934</v>
      </c>
      <c r="W99" s="143">
        <f t="shared" si="136"/>
        <v>7.4448332738921934</v>
      </c>
      <c r="X99" s="143">
        <f t="shared" si="136"/>
        <v>7.4448332738921934</v>
      </c>
      <c r="Y99" s="143">
        <f t="shared" si="57"/>
        <v>8.5952277302215787</v>
      </c>
      <c r="Z99" s="143">
        <f t="shared" ref="Z99:AR99" si="137">Y99</f>
        <v>8.5952277302215787</v>
      </c>
      <c r="AA99" s="143">
        <f t="shared" si="137"/>
        <v>8.5952277302215787</v>
      </c>
      <c r="AB99" s="143">
        <f t="shared" si="137"/>
        <v>8.5952277302215787</v>
      </c>
      <c r="AC99" s="143">
        <f t="shared" si="137"/>
        <v>8.5952277302215787</v>
      </c>
      <c r="AD99" s="143">
        <f t="shared" si="137"/>
        <v>8.5952277302215787</v>
      </c>
      <c r="AE99" s="143">
        <f t="shared" si="137"/>
        <v>8.5952277302215787</v>
      </c>
      <c r="AF99" s="143">
        <f t="shared" si="137"/>
        <v>8.5952277302215787</v>
      </c>
      <c r="AG99" s="143">
        <f t="shared" si="137"/>
        <v>8.5952277302215787</v>
      </c>
      <c r="AH99" s="143">
        <f t="shared" si="137"/>
        <v>8.5952277302215787</v>
      </c>
      <c r="AI99" s="143">
        <f t="shared" si="137"/>
        <v>8.5952277302215787</v>
      </c>
      <c r="AJ99" s="143">
        <f t="shared" si="137"/>
        <v>8.5952277302215787</v>
      </c>
      <c r="AK99" s="143">
        <f t="shared" si="137"/>
        <v>8.5952277302215787</v>
      </c>
      <c r="AL99" s="143">
        <f t="shared" si="137"/>
        <v>8.5952277302215787</v>
      </c>
      <c r="AM99" s="143">
        <f t="shared" si="137"/>
        <v>8.5952277302215787</v>
      </c>
      <c r="AN99" s="143">
        <f t="shared" si="137"/>
        <v>8.5952277302215787</v>
      </c>
      <c r="AO99" s="143">
        <f t="shared" si="137"/>
        <v>8.5952277302215787</v>
      </c>
      <c r="AP99" s="143">
        <f t="shared" si="137"/>
        <v>8.5952277302215787</v>
      </c>
      <c r="AQ99" s="143">
        <f t="shared" si="137"/>
        <v>8.5952277302215787</v>
      </c>
      <c r="AR99" s="143">
        <f t="shared" si="137"/>
        <v>8.5952277302215787</v>
      </c>
      <c r="AS99" s="143">
        <f t="shared" si="59"/>
        <v>9.2364758455808094</v>
      </c>
      <c r="AT99" s="143">
        <f t="shared" ref="AT99:BL99" si="138">AS99</f>
        <v>9.2364758455808094</v>
      </c>
      <c r="AU99" s="143">
        <f t="shared" si="138"/>
        <v>9.2364758455808094</v>
      </c>
      <c r="AV99" s="143">
        <f t="shared" si="138"/>
        <v>9.2364758455808094</v>
      </c>
      <c r="AW99" s="143">
        <f t="shared" si="138"/>
        <v>9.2364758455808094</v>
      </c>
      <c r="AX99" s="143">
        <f t="shared" si="138"/>
        <v>9.2364758455808094</v>
      </c>
      <c r="AY99" s="143">
        <f t="shared" si="138"/>
        <v>9.2364758455808094</v>
      </c>
      <c r="AZ99" s="143">
        <f t="shared" si="138"/>
        <v>9.2364758455808094</v>
      </c>
      <c r="BA99" s="143">
        <f t="shared" si="138"/>
        <v>9.2364758455808094</v>
      </c>
      <c r="BB99" s="143">
        <f t="shared" si="138"/>
        <v>9.2364758455808094</v>
      </c>
      <c r="BC99" s="143">
        <f t="shared" si="138"/>
        <v>9.2364758455808094</v>
      </c>
      <c r="BD99" s="143">
        <f t="shared" si="138"/>
        <v>9.2364758455808094</v>
      </c>
      <c r="BE99" s="143">
        <f t="shared" si="138"/>
        <v>9.2364758455808094</v>
      </c>
      <c r="BF99" s="143">
        <f t="shared" si="138"/>
        <v>9.2364758455808094</v>
      </c>
      <c r="BG99" s="143">
        <f t="shared" si="138"/>
        <v>9.2364758455808094</v>
      </c>
      <c r="BH99" s="143">
        <f t="shared" si="138"/>
        <v>9.2364758455808094</v>
      </c>
      <c r="BI99" s="143">
        <f t="shared" si="138"/>
        <v>9.2364758455808094</v>
      </c>
      <c r="BJ99" s="143">
        <f t="shared" si="138"/>
        <v>9.2364758455808094</v>
      </c>
      <c r="BK99" s="143">
        <f t="shared" si="138"/>
        <v>9.2364758455808094</v>
      </c>
      <c r="BL99" s="143">
        <f t="shared" si="138"/>
        <v>9.2364758455808094</v>
      </c>
      <c r="BM99" s="143">
        <f t="shared" si="61"/>
        <v>9.6949862779587885</v>
      </c>
      <c r="BN99" s="143">
        <f t="shared" ref="BN99:CF99" si="139">BM99</f>
        <v>9.6949862779587885</v>
      </c>
      <c r="BO99" s="143">
        <f t="shared" si="139"/>
        <v>9.6949862779587885</v>
      </c>
      <c r="BP99" s="143">
        <f t="shared" si="139"/>
        <v>9.6949862779587885</v>
      </c>
      <c r="BQ99" s="143">
        <f t="shared" si="139"/>
        <v>9.6949862779587885</v>
      </c>
      <c r="BR99" s="143">
        <f t="shared" si="139"/>
        <v>9.6949862779587885</v>
      </c>
      <c r="BS99" s="143">
        <f t="shared" si="139"/>
        <v>9.6949862779587885</v>
      </c>
      <c r="BT99" s="143">
        <f t="shared" si="139"/>
        <v>9.6949862779587885</v>
      </c>
      <c r="BU99" s="143">
        <f t="shared" si="139"/>
        <v>9.6949862779587885</v>
      </c>
      <c r="BV99" s="143">
        <f t="shared" si="139"/>
        <v>9.6949862779587885</v>
      </c>
      <c r="BW99" s="143">
        <f t="shared" si="139"/>
        <v>9.6949862779587885</v>
      </c>
      <c r="BX99" s="143">
        <f t="shared" si="139"/>
        <v>9.6949862779587885</v>
      </c>
      <c r="BY99" s="143">
        <f t="shared" si="139"/>
        <v>9.6949862779587885</v>
      </c>
      <c r="BZ99" s="143">
        <f t="shared" si="139"/>
        <v>9.6949862779587885</v>
      </c>
      <c r="CA99" s="143">
        <f t="shared" si="139"/>
        <v>9.6949862779587885</v>
      </c>
      <c r="CB99" s="143">
        <f t="shared" si="139"/>
        <v>9.6949862779587885</v>
      </c>
      <c r="CC99" s="143">
        <f t="shared" si="139"/>
        <v>9.6949862779587885</v>
      </c>
      <c r="CD99" s="143">
        <f t="shared" si="139"/>
        <v>9.6949862779587885</v>
      </c>
      <c r="CE99" s="143">
        <f t="shared" si="139"/>
        <v>9.6949862779587885</v>
      </c>
      <c r="CF99" s="143">
        <f t="shared" si="139"/>
        <v>9.6949862779587885</v>
      </c>
      <c r="CG99" s="143">
        <f t="shared" si="63"/>
        <v>10.06017928686237</v>
      </c>
      <c r="CH99" s="143">
        <f t="shared" ref="CH99:CP99" si="140">CG99</f>
        <v>10.06017928686237</v>
      </c>
      <c r="CI99" s="143">
        <f t="shared" si="140"/>
        <v>10.06017928686237</v>
      </c>
      <c r="CJ99" s="143">
        <f t="shared" si="140"/>
        <v>10.06017928686237</v>
      </c>
      <c r="CK99" s="143">
        <f t="shared" si="140"/>
        <v>10.06017928686237</v>
      </c>
      <c r="CL99" s="143">
        <f t="shared" si="140"/>
        <v>10.06017928686237</v>
      </c>
      <c r="CM99" s="143">
        <f t="shared" si="140"/>
        <v>10.06017928686237</v>
      </c>
      <c r="CN99" s="143">
        <f t="shared" si="140"/>
        <v>10.06017928686237</v>
      </c>
      <c r="CO99" s="143">
        <f t="shared" si="140"/>
        <v>10.06017928686237</v>
      </c>
      <c r="CP99" s="143">
        <f t="shared" si="140"/>
        <v>10.06017928686237</v>
      </c>
      <c r="CQ99" s="143">
        <f t="shared" si="65"/>
        <v>10.340089505147834</v>
      </c>
      <c r="CR99" s="143">
        <f t="shared" si="66"/>
        <v>10.340089505147834</v>
      </c>
      <c r="CS99" s="143">
        <f t="shared" si="66"/>
        <v>10.340089505147834</v>
      </c>
      <c r="CT99" s="143">
        <f t="shared" si="66"/>
        <v>10.340089505147834</v>
      </c>
      <c r="CU99" s="143">
        <f t="shared" si="66"/>
        <v>10.340089505147834</v>
      </c>
      <c r="CV99" s="143">
        <f t="shared" si="67"/>
        <v>10.737344052654676</v>
      </c>
      <c r="CW99" s="143">
        <f t="shared" si="68"/>
        <v>10.737344052654676</v>
      </c>
      <c r="CX99" s="143">
        <f t="shared" si="68"/>
        <v>10.737344052654676</v>
      </c>
      <c r="CY99" s="143">
        <f t="shared" si="68"/>
        <v>10.737344052654676</v>
      </c>
      <c r="CZ99" s="143">
        <f t="shared" si="69"/>
        <v>12.165886386387355</v>
      </c>
      <c r="DA99" s="60"/>
      <c r="DB99" s="143">
        <f t="shared" si="70"/>
        <v>9.581903928408666</v>
      </c>
      <c r="DC99" s="143">
        <f t="shared" ref="DC99:DU99" si="141">DB99</f>
        <v>9.581903928408666</v>
      </c>
      <c r="DD99" s="143">
        <f t="shared" si="141"/>
        <v>9.581903928408666</v>
      </c>
      <c r="DE99" s="143">
        <f t="shared" si="141"/>
        <v>9.581903928408666</v>
      </c>
      <c r="DF99" s="143">
        <f t="shared" si="141"/>
        <v>9.581903928408666</v>
      </c>
      <c r="DG99" s="143">
        <f t="shared" si="141"/>
        <v>9.581903928408666</v>
      </c>
      <c r="DH99" s="143">
        <f t="shared" si="141"/>
        <v>9.581903928408666</v>
      </c>
      <c r="DI99" s="143">
        <f t="shared" si="141"/>
        <v>9.581903928408666</v>
      </c>
      <c r="DJ99" s="143">
        <f t="shared" si="141"/>
        <v>9.581903928408666</v>
      </c>
      <c r="DK99" s="143">
        <f t="shared" si="141"/>
        <v>9.581903928408666</v>
      </c>
      <c r="DL99" s="143">
        <f t="shared" si="141"/>
        <v>9.581903928408666</v>
      </c>
      <c r="DM99" s="143">
        <f t="shared" si="141"/>
        <v>9.581903928408666</v>
      </c>
      <c r="DN99" s="143">
        <f t="shared" si="141"/>
        <v>9.581903928408666</v>
      </c>
      <c r="DO99" s="143">
        <f t="shared" si="141"/>
        <v>9.581903928408666</v>
      </c>
      <c r="DP99" s="143">
        <f t="shared" si="141"/>
        <v>9.581903928408666</v>
      </c>
      <c r="DQ99" s="143">
        <f t="shared" si="141"/>
        <v>9.581903928408666</v>
      </c>
      <c r="DR99" s="143">
        <f t="shared" si="141"/>
        <v>9.581903928408666</v>
      </c>
      <c r="DS99" s="143">
        <f t="shared" si="141"/>
        <v>9.581903928408666</v>
      </c>
      <c r="DT99" s="143">
        <f t="shared" si="141"/>
        <v>9.581903928408666</v>
      </c>
      <c r="DU99" s="143">
        <f t="shared" si="141"/>
        <v>9.581903928408666</v>
      </c>
      <c r="DV99" s="143">
        <f t="shared" si="72"/>
        <v>10.485703172388792</v>
      </c>
      <c r="DW99" s="143">
        <f t="shared" ref="DW99:EO99" si="142">DV99</f>
        <v>10.485703172388792</v>
      </c>
      <c r="DX99" s="143">
        <f t="shared" si="142"/>
        <v>10.485703172388792</v>
      </c>
      <c r="DY99" s="143">
        <f t="shared" si="142"/>
        <v>10.485703172388792</v>
      </c>
      <c r="DZ99" s="143">
        <f t="shared" si="142"/>
        <v>10.485703172388792</v>
      </c>
      <c r="EA99" s="143">
        <f t="shared" si="142"/>
        <v>10.485703172388792</v>
      </c>
      <c r="EB99" s="143">
        <f t="shared" si="142"/>
        <v>10.485703172388792</v>
      </c>
      <c r="EC99" s="143">
        <f t="shared" si="142"/>
        <v>10.485703172388792</v>
      </c>
      <c r="ED99" s="143">
        <f t="shared" si="142"/>
        <v>10.485703172388792</v>
      </c>
      <c r="EE99" s="143">
        <f t="shared" si="142"/>
        <v>10.485703172388792</v>
      </c>
      <c r="EF99" s="143">
        <f t="shared" si="142"/>
        <v>10.485703172388792</v>
      </c>
      <c r="EG99" s="143">
        <f t="shared" si="142"/>
        <v>10.485703172388792</v>
      </c>
      <c r="EH99" s="143">
        <f t="shared" si="142"/>
        <v>10.485703172388792</v>
      </c>
      <c r="EI99" s="143">
        <f t="shared" si="142"/>
        <v>10.485703172388792</v>
      </c>
      <c r="EJ99" s="143">
        <f t="shared" si="142"/>
        <v>10.485703172388792</v>
      </c>
      <c r="EK99" s="143">
        <f t="shared" si="142"/>
        <v>10.485703172388792</v>
      </c>
      <c r="EL99" s="143">
        <f t="shared" si="142"/>
        <v>10.485703172388792</v>
      </c>
      <c r="EM99" s="143">
        <f t="shared" si="142"/>
        <v>10.485703172388792</v>
      </c>
      <c r="EN99" s="143">
        <f t="shared" si="142"/>
        <v>10.485703172388792</v>
      </c>
      <c r="EO99" s="143">
        <f t="shared" si="142"/>
        <v>10.485703172388792</v>
      </c>
      <c r="EP99" s="143">
        <f t="shared" si="74"/>
        <v>10.940224437486151</v>
      </c>
      <c r="EQ99" s="143">
        <f t="shared" ref="EQ99:FI99" si="143">EP99</f>
        <v>10.940224437486151</v>
      </c>
      <c r="ER99" s="143">
        <f t="shared" si="143"/>
        <v>10.940224437486151</v>
      </c>
      <c r="ES99" s="143">
        <f t="shared" si="143"/>
        <v>10.940224437486151</v>
      </c>
      <c r="ET99" s="143">
        <f t="shared" si="143"/>
        <v>10.940224437486151</v>
      </c>
      <c r="EU99" s="143">
        <f t="shared" si="143"/>
        <v>10.940224437486151</v>
      </c>
      <c r="EV99" s="143">
        <f t="shared" si="143"/>
        <v>10.940224437486151</v>
      </c>
      <c r="EW99" s="143">
        <f t="shared" si="143"/>
        <v>10.940224437486151</v>
      </c>
      <c r="EX99" s="143">
        <f t="shared" si="143"/>
        <v>10.940224437486151</v>
      </c>
      <c r="EY99" s="143">
        <f t="shared" si="143"/>
        <v>10.940224437486151</v>
      </c>
      <c r="EZ99" s="143">
        <f t="shared" si="143"/>
        <v>10.940224437486151</v>
      </c>
      <c r="FA99" s="143">
        <f t="shared" si="143"/>
        <v>10.940224437486151</v>
      </c>
      <c r="FB99" s="143">
        <f t="shared" si="143"/>
        <v>10.940224437486151</v>
      </c>
      <c r="FC99" s="143">
        <f t="shared" si="143"/>
        <v>10.940224437486151</v>
      </c>
      <c r="FD99" s="143">
        <f t="shared" si="143"/>
        <v>10.940224437486151</v>
      </c>
      <c r="FE99" s="143">
        <f t="shared" si="143"/>
        <v>10.940224437486151</v>
      </c>
      <c r="FF99" s="143">
        <f t="shared" si="143"/>
        <v>10.940224437486151</v>
      </c>
      <c r="FG99" s="143">
        <f t="shared" si="143"/>
        <v>10.940224437486151</v>
      </c>
      <c r="FH99" s="143">
        <f t="shared" si="143"/>
        <v>10.940224437486151</v>
      </c>
      <c r="FI99" s="143">
        <f t="shared" si="143"/>
        <v>10.940224437486151</v>
      </c>
      <c r="FJ99" s="143">
        <f t="shared" si="76"/>
        <v>11.279731577802517</v>
      </c>
      <c r="FK99" s="143">
        <f t="shared" ref="FK99:GC99" si="144">FJ99</f>
        <v>11.279731577802517</v>
      </c>
      <c r="FL99" s="143">
        <f t="shared" si="144"/>
        <v>11.279731577802517</v>
      </c>
      <c r="FM99" s="143">
        <f t="shared" si="144"/>
        <v>11.279731577802517</v>
      </c>
      <c r="FN99" s="143">
        <f t="shared" si="144"/>
        <v>11.279731577802517</v>
      </c>
      <c r="FO99" s="143">
        <f t="shared" si="144"/>
        <v>11.279731577802517</v>
      </c>
      <c r="FP99" s="143">
        <f t="shared" si="144"/>
        <v>11.279731577802517</v>
      </c>
      <c r="FQ99" s="143">
        <f t="shared" si="144"/>
        <v>11.279731577802517</v>
      </c>
      <c r="FR99" s="143">
        <f t="shared" si="144"/>
        <v>11.279731577802517</v>
      </c>
      <c r="FS99" s="143">
        <f t="shared" si="144"/>
        <v>11.279731577802517</v>
      </c>
      <c r="FT99" s="143">
        <f t="shared" si="144"/>
        <v>11.279731577802517</v>
      </c>
      <c r="FU99" s="143">
        <f t="shared" si="144"/>
        <v>11.279731577802517</v>
      </c>
      <c r="FV99" s="143">
        <f t="shared" si="144"/>
        <v>11.279731577802517</v>
      </c>
      <c r="FW99" s="143">
        <f t="shared" si="144"/>
        <v>11.279731577802517</v>
      </c>
      <c r="FX99" s="143">
        <f t="shared" si="144"/>
        <v>11.279731577802517</v>
      </c>
      <c r="FY99" s="143">
        <f t="shared" si="144"/>
        <v>11.279731577802517</v>
      </c>
      <c r="FZ99" s="143">
        <f t="shared" si="144"/>
        <v>11.279731577802517</v>
      </c>
      <c r="GA99" s="143">
        <f t="shared" si="144"/>
        <v>11.279731577802517</v>
      </c>
      <c r="GB99" s="143">
        <f t="shared" si="144"/>
        <v>11.279731577802517</v>
      </c>
      <c r="GC99" s="143">
        <f t="shared" si="144"/>
        <v>11.279731577802517</v>
      </c>
      <c r="GD99" s="143">
        <f t="shared" si="78"/>
        <v>11.560762794384388</v>
      </c>
      <c r="GE99" s="143">
        <f t="shared" ref="GE99:GM99" si="145">GD99</f>
        <v>11.560762794384388</v>
      </c>
      <c r="GF99" s="143">
        <f t="shared" si="145"/>
        <v>11.560762794384388</v>
      </c>
      <c r="GG99" s="143">
        <f t="shared" si="145"/>
        <v>11.560762794384388</v>
      </c>
      <c r="GH99" s="143">
        <f t="shared" si="145"/>
        <v>11.560762794384388</v>
      </c>
      <c r="GI99" s="143">
        <f t="shared" si="145"/>
        <v>11.560762794384388</v>
      </c>
      <c r="GJ99" s="143">
        <f t="shared" si="145"/>
        <v>11.560762794384388</v>
      </c>
      <c r="GK99" s="143">
        <f t="shared" si="145"/>
        <v>11.560762794384388</v>
      </c>
      <c r="GL99" s="143">
        <f t="shared" si="145"/>
        <v>11.560762794384388</v>
      </c>
      <c r="GM99" s="143">
        <f t="shared" si="145"/>
        <v>11.560762794384388</v>
      </c>
      <c r="GN99" s="143">
        <f t="shared" si="80"/>
        <v>11.80110741246366</v>
      </c>
      <c r="GO99" s="143">
        <f t="shared" si="81"/>
        <v>11.80110741246366</v>
      </c>
      <c r="GP99" s="143">
        <f t="shared" si="81"/>
        <v>11.80110741246366</v>
      </c>
      <c r="GQ99" s="143">
        <f t="shared" si="81"/>
        <v>11.80110741246366</v>
      </c>
      <c r="GR99" s="143">
        <f t="shared" si="81"/>
        <v>11.80110741246366</v>
      </c>
      <c r="GS99" s="143">
        <f t="shared" si="82"/>
        <v>12.181267526611203</v>
      </c>
      <c r="GT99" s="143">
        <f t="shared" si="83"/>
        <v>12.181267526611203</v>
      </c>
      <c r="GU99" s="143">
        <f t="shared" si="83"/>
        <v>12.181267526611203</v>
      </c>
      <c r="GV99" s="143">
        <f t="shared" si="83"/>
        <v>12.181267526611203</v>
      </c>
      <c r="GW99" s="143">
        <f t="shared" si="84"/>
        <v>13.509121258046797</v>
      </c>
    </row>
    <row r="100" spans="1:205" s="46" customFormat="1" ht="9.75" customHeight="1">
      <c r="A100" s="60">
        <v>1986</v>
      </c>
      <c r="B100" s="143">
        <f t="shared" si="85"/>
        <v>0.28395024632202048</v>
      </c>
      <c r="C100" s="143">
        <f t="shared" si="54"/>
        <v>0.99653160486526104</v>
      </c>
      <c r="D100" s="60"/>
      <c r="E100" s="143">
        <f t="shared" si="55"/>
        <v>7.4294021413797111</v>
      </c>
      <c r="F100" s="143">
        <f t="shared" ref="F100:X100" si="146">E100</f>
        <v>7.4294021413797111</v>
      </c>
      <c r="G100" s="143">
        <f t="shared" si="146"/>
        <v>7.4294021413797111</v>
      </c>
      <c r="H100" s="143">
        <f t="shared" si="146"/>
        <v>7.4294021413797111</v>
      </c>
      <c r="I100" s="143">
        <f t="shared" si="146"/>
        <v>7.4294021413797111</v>
      </c>
      <c r="J100" s="143">
        <f t="shared" si="146"/>
        <v>7.4294021413797111</v>
      </c>
      <c r="K100" s="143">
        <f t="shared" si="146"/>
        <v>7.4294021413797111</v>
      </c>
      <c r="L100" s="143">
        <f t="shared" si="146"/>
        <v>7.4294021413797111</v>
      </c>
      <c r="M100" s="143">
        <f t="shared" si="146"/>
        <v>7.4294021413797111</v>
      </c>
      <c r="N100" s="143">
        <f t="shared" si="146"/>
        <v>7.4294021413797111</v>
      </c>
      <c r="O100" s="143">
        <f t="shared" si="146"/>
        <v>7.4294021413797111</v>
      </c>
      <c r="P100" s="143">
        <f t="shared" si="146"/>
        <v>7.4294021413797111</v>
      </c>
      <c r="Q100" s="143">
        <f t="shared" si="146"/>
        <v>7.4294021413797111</v>
      </c>
      <c r="R100" s="143">
        <f t="shared" si="146"/>
        <v>7.4294021413797111</v>
      </c>
      <c r="S100" s="143">
        <f t="shared" si="146"/>
        <v>7.4294021413797111</v>
      </c>
      <c r="T100" s="143">
        <f t="shared" si="146"/>
        <v>7.4294021413797111</v>
      </c>
      <c r="U100" s="143">
        <f t="shared" si="146"/>
        <v>7.4294021413797111</v>
      </c>
      <c r="V100" s="143">
        <f t="shared" si="146"/>
        <v>7.4294021413797111</v>
      </c>
      <c r="W100" s="143">
        <f t="shared" si="146"/>
        <v>7.4294021413797111</v>
      </c>
      <c r="X100" s="143">
        <f t="shared" si="146"/>
        <v>7.4294021413797111</v>
      </c>
      <c r="Y100" s="143">
        <f t="shared" si="57"/>
        <v>8.602453035367061</v>
      </c>
      <c r="Z100" s="143">
        <f t="shared" ref="Z100:AR100" si="147">Y100</f>
        <v>8.602453035367061</v>
      </c>
      <c r="AA100" s="143">
        <f t="shared" si="147"/>
        <v>8.602453035367061</v>
      </c>
      <c r="AB100" s="143">
        <f t="shared" si="147"/>
        <v>8.602453035367061</v>
      </c>
      <c r="AC100" s="143">
        <f t="shared" si="147"/>
        <v>8.602453035367061</v>
      </c>
      <c r="AD100" s="143">
        <f t="shared" si="147"/>
        <v>8.602453035367061</v>
      </c>
      <c r="AE100" s="143">
        <f t="shared" si="147"/>
        <v>8.602453035367061</v>
      </c>
      <c r="AF100" s="143">
        <f t="shared" si="147"/>
        <v>8.602453035367061</v>
      </c>
      <c r="AG100" s="143">
        <f t="shared" si="147"/>
        <v>8.602453035367061</v>
      </c>
      <c r="AH100" s="143">
        <f t="shared" si="147"/>
        <v>8.602453035367061</v>
      </c>
      <c r="AI100" s="143">
        <f t="shared" si="147"/>
        <v>8.602453035367061</v>
      </c>
      <c r="AJ100" s="143">
        <f t="shared" si="147"/>
        <v>8.602453035367061</v>
      </c>
      <c r="AK100" s="143">
        <f t="shared" si="147"/>
        <v>8.602453035367061</v>
      </c>
      <c r="AL100" s="143">
        <f t="shared" si="147"/>
        <v>8.602453035367061</v>
      </c>
      <c r="AM100" s="143">
        <f t="shared" si="147"/>
        <v>8.602453035367061</v>
      </c>
      <c r="AN100" s="143">
        <f t="shared" si="147"/>
        <v>8.602453035367061</v>
      </c>
      <c r="AO100" s="143">
        <f t="shared" si="147"/>
        <v>8.602453035367061</v>
      </c>
      <c r="AP100" s="143">
        <f t="shared" si="147"/>
        <v>8.602453035367061</v>
      </c>
      <c r="AQ100" s="143">
        <f t="shared" si="147"/>
        <v>8.602453035367061</v>
      </c>
      <c r="AR100" s="143">
        <f t="shared" si="147"/>
        <v>8.602453035367061</v>
      </c>
      <c r="AS100" s="143">
        <f t="shared" si="59"/>
        <v>9.2557916348801008</v>
      </c>
      <c r="AT100" s="143">
        <f t="shared" ref="AT100:BL100" si="148">AS100</f>
        <v>9.2557916348801008</v>
      </c>
      <c r="AU100" s="143">
        <f t="shared" si="148"/>
        <v>9.2557916348801008</v>
      </c>
      <c r="AV100" s="143">
        <f t="shared" si="148"/>
        <v>9.2557916348801008</v>
      </c>
      <c r="AW100" s="143">
        <f t="shared" si="148"/>
        <v>9.2557916348801008</v>
      </c>
      <c r="AX100" s="143">
        <f t="shared" si="148"/>
        <v>9.2557916348801008</v>
      </c>
      <c r="AY100" s="143">
        <f t="shared" si="148"/>
        <v>9.2557916348801008</v>
      </c>
      <c r="AZ100" s="143">
        <f t="shared" si="148"/>
        <v>9.2557916348801008</v>
      </c>
      <c r="BA100" s="143">
        <f t="shared" si="148"/>
        <v>9.2557916348801008</v>
      </c>
      <c r="BB100" s="143">
        <f t="shared" si="148"/>
        <v>9.2557916348801008</v>
      </c>
      <c r="BC100" s="143">
        <f t="shared" si="148"/>
        <v>9.2557916348801008</v>
      </c>
      <c r="BD100" s="143">
        <f t="shared" si="148"/>
        <v>9.2557916348801008</v>
      </c>
      <c r="BE100" s="143">
        <f t="shared" si="148"/>
        <v>9.2557916348801008</v>
      </c>
      <c r="BF100" s="143">
        <f t="shared" si="148"/>
        <v>9.2557916348801008</v>
      </c>
      <c r="BG100" s="143">
        <f t="shared" si="148"/>
        <v>9.2557916348801008</v>
      </c>
      <c r="BH100" s="143">
        <f t="shared" si="148"/>
        <v>9.2557916348801008</v>
      </c>
      <c r="BI100" s="143">
        <f t="shared" si="148"/>
        <v>9.2557916348801008</v>
      </c>
      <c r="BJ100" s="143">
        <f t="shared" si="148"/>
        <v>9.2557916348801008</v>
      </c>
      <c r="BK100" s="143">
        <f t="shared" si="148"/>
        <v>9.2557916348801008</v>
      </c>
      <c r="BL100" s="143">
        <f t="shared" si="148"/>
        <v>9.2557916348801008</v>
      </c>
      <c r="BM100" s="143">
        <f t="shared" si="61"/>
        <v>9.7345954160538337</v>
      </c>
      <c r="BN100" s="143">
        <f t="shared" ref="BN100:CF100" si="149">BM100</f>
        <v>9.7345954160538337</v>
      </c>
      <c r="BO100" s="143">
        <f t="shared" si="149"/>
        <v>9.7345954160538337</v>
      </c>
      <c r="BP100" s="143">
        <f t="shared" si="149"/>
        <v>9.7345954160538337</v>
      </c>
      <c r="BQ100" s="143">
        <f t="shared" si="149"/>
        <v>9.7345954160538337</v>
      </c>
      <c r="BR100" s="143">
        <f t="shared" si="149"/>
        <v>9.7345954160538337</v>
      </c>
      <c r="BS100" s="143">
        <f t="shared" si="149"/>
        <v>9.7345954160538337</v>
      </c>
      <c r="BT100" s="143">
        <f t="shared" si="149"/>
        <v>9.7345954160538337</v>
      </c>
      <c r="BU100" s="143">
        <f t="shared" si="149"/>
        <v>9.7345954160538337</v>
      </c>
      <c r="BV100" s="143">
        <f t="shared" si="149"/>
        <v>9.7345954160538337</v>
      </c>
      <c r="BW100" s="143">
        <f t="shared" si="149"/>
        <v>9.7345954160538337</v>
      </c>
      <c r="BX100" s="143">
        <f t="shared" si="149"/>
        <v>9.7345954160538337</v>
      </c>
      <c r="BY100" s="143">
        <f t="shared" si="149"/>
        <v>9.7345954160538337</v>
      </c>
      <c r="BZ100" s="143">
        <f t="shared" si="149"/>
        <v>9.7345954160538337</v>
      </c>
      <c r="CA100" s="143">
        <f t="shared" si="149"/>
        <v>9.7345954160538337</v>
      </c>
      <c r="CB100" s="143">
        <f t="shared" si="149"/>
        <v>9.7345954160538337</v>
      </c>
      <c r="CC100" s="143">
        <f t="shared" si="149"/>
        <v>9.7345954160538337</v>
      </c>
      <c r="CD100" s="143">
        <f t="shared" si="149"/>
        <v>9.7345954160538337</v>
      </c>
      <c r="CE100" s="143">
        <f t="shared" si="149"/>
        <v>9.7345954160538337</v>
      </c>
      <c r="CF100" s="143">
        <f t="shared" si="149"/>
        <v>9.7345954160538337</v>
      </c>
      <c r="CG100" s="143">
        <f t="shared" si="63"/>
        <v>10.115671263613995</v>
      </c>
      <c r="CH100" s="143">
        <f t="shared" ref="CH100:CP100" si="150">CG100</f>
        <v>10.115671263613995</v>
      </c>
      <c r="CI100" s="143">
        <f t="shared" si="150"/>
        <v>10.115671263613995</v>
      </c>
      <c r="CJ100" s="143">
        <f t="shared" si="150"/>
        <v>10.115671263613995</v>
      </c>
      <c r="CK100" s="143">
        <f t="shared" si="150"/>
        <v>10.115671263613995</v>
      </c>
      <c r="CL100" s="143">
        <f t="shared" si="150"/>
        <v>10.115671263613995</v>
      </c>
      <c r="CM100" s="143">
        <f t="shared" si="150"/>
        <v>10.115671263613995</v>
      </c>
      <c r="CN100" s="143">
        <f t="shared" si="150"/>
        <v>10.115671263613995</v>
      </c>
      <c r="CO100" s="143">
        <f t="shared" si="150"/>
        <v>10.115671263613995</v>
      </c>
      <c r="CP100" s="143">
        <f t="shared" si="150"/>
        <v>10.115671263613995</v>
      </c>
      <c r="CQ100" s="143">
        <f t="shared" si="65"/>
        <v>10.396248997029137</v>
      </c>
      <c r="CR100" s="143">
        <f t="shared" si="66"/>
        <v>10.396248997029137</v>
      </c>
      <c r="CS100" s="143">
        <f t="shared" si="66"/>
        <v>10.396248997029137</v>
      </c>
      <c r="CT100" s="143">
        <f t="shared" si="66"/>
        <v>10.396248997029137</v>
      </c>
      <c r="CU100" s="143">
        <f t="shared" si="66"/>
        <v>10.396248997029137</v>
      </c>
      <c r="CV100" s="143">
        <f t="shared" si="67"/>
        <v>10.818997980052007</v>
      </c>
      <c r="CW100" s="143">
        <f t="shared" si="68"/>
        <v>10.818997980052007</v>
      </c>
      <c r="CX100" s="143">
        <f t="shared" si="68"/>
        <v>10.818997980052007</v>
      </c>
      <c r="CY100" s="143">
        <f t="shared" si="68"/>
        <v>10.818997980052007</v>
      </c>
      <c r="CZ100" s="143">
        <f t="shared" si="69"/>
        <v>12.380790786144315</v>
      </c>
      <c r="DA100" s="60"/>
      <c r="DB100" s="143">
        <f t="shared" si="70"/>
        <v>9.5749834855640916</v>
      </c>
      <c r="DC100" s="143">
        <f t="shared" ref="DC100:DU100" si="151">DB100</f>
        <v>9.5749834855640916</v>
      </c>
      <c r="DD100" s="143">
        <f t="shared" si="151"/>
        <v>9.5749834855640916</v>
      </c>
      <c r="DE100" s="143">
        <f t="shared" si="151"/>
        <v>9.5749834855640916</v>
      </c>
      <c r="DF100" s="143">
        <f t="shared" si="151"/>
        <v>9.5749834855640916</v>
      </c>
      <c r="DG100" s="143">
        <f t="shared" si="151"/>
        <v>9.5749834855640916</v>
      </c>
      <c r="DH100" s="143">
        <f t="shared" si="151"/>
        <v>9.5749834855640916</v>
      </c>
      <c r="DI100" s="143">
        <f t="shared" si="151"/>
        <v>9.5749834855640916</v>
      </c>
      <c r="DJ100" s="143">
        <f t="shared" si="151"/>
        <v>9.5749834855640916</v>
      </c>
      <c r="DK100" s="143">
        <f t="shared" si="151"/>
        <v>9.5749834855640916</v>
      </c>
      <c r="DL100" s="143">
        <f t="shared" si="151"/>
        <v>9.5749834855640916</v>
      </c>
      <c r="DM100" s="143">
        <f t="shared" si="151"/>
        <v>9.5749834855640916</v>
      </c>
      <c r="DN100" s="143">
        <f t="shared" si="151"/>
        <v>9.5749834855640916</v>
      </c>
      <c r="DO100" s="143">
        <f t="shared" si="151"/>
        <v>9.5749834855640916</v>
      </c>
      <c r="DP100" s="143">
        <f t="shared" si="151"/>
        <v>9.5749834855640916</v>
      </c>
      <c r="DQ100" s="143">
        <f t="shared" si="151"/>
        <v>9.5749834855640916</v>
      </c>
      <c r="DR100" s="143">
        <f t="shared" si="151"/>
        <v>9.5749834855640916</v>
      </c>
      <c r="DS100" s="143">
        <f t="shared" si="151"/>
        <v>9.5749834855640916</v>
      </c>
      <c r="DT100" s="143">
        <f t="shared" si="151"/>
        <v>9.5749834855640916</v>
      </c>
      <c r="DU100" s="143">
        <f t="shared" si="151"/>
        <v>9.5749834855640916</v>
      </c>
      <c r="DV100" s="143">
        <f t="shared" si="72"/>
        <v>10.499573020252942</v>
      </c>
      <c r="DW100" s="143">
        <f t="shared" ref="DW100:EO100" si="152">DV100</f>
        <v>10.499573020252942</v>
      </c>
      <c r="DX100" s="143">
        <f t="shared" si="152"/>
        <v>10.499573020252942</v>
      </c>
      <c r="DY100" s="143">
        <f t="shared" si="152"/>
        <v>10.499573020252942</v>
      </c>
      <c r="DZ100" s="143">
        <f t="shared" si="152"/>
        <v>10.499573020252942</v>
      </c>
      <c r="EA100" s="143">
        <f t="shared" si="152"/>
        <v>10.499573020252942</v>
      </c>
      <c r="EB100" s="143">
        <f t="shared" si="152"/>
        <v>10.499573020252942</v>
      </c>
      <c r="EC100" s="143">
        <f t="shared" si="152"/>
        <v>10.499573020252942</v>
      </c>
      <c r="ED100" s="143">
        <f t="shared" si="152"/>
        <v>10.499573020252942</v>
      </c>
      <c r="EE100" s="143">
        <f t="shared" si="152"/>
        <v>10.499573020252942</v>
      </c>
      <c r="EF100" s="143">
        <f t="shared" si="152"/>
        <v>10.499573020252942</v>
      </c>
      <c r="EG100" s="143">
        <f t="shared" si="152"/>
        <v>10.499573020252942</v>
      </c>
      <c r="EH100" s="143">
        <f t="shared" si="152"/>
        <v>10.499573020252942</v>
      </c>
      <c r="EI100" s="143">
        <f t="shared" si="152"/>
        <v>10.499573020252942</v>
      </c>
      <c r="EJ100" s="143">
        <f t="shared" si="152"/>
        <v>10.499573020252942</v>
      </c>
      <c r="EK100" s="143">
        <f t="shared" si="152"/>
        <v>10.499573020252942</v>
      </c>
      <c r="EL100" s="143">
        <f t="shared" si="152"/>
        <v>10.499573020252942</v>
      </c>
      <c r="EM100" s="143">
        <f t="shared" si="152"/>
        <v>10.499573020252942</v>
      </c>
      <c r="EN100" s="143">
        <f t="shared" si="152"/>
        <v>10.499573020252942</v>
      </c>
      <c r="EO100" s="143">
        <f t="shared" si="152"/>
        <v>10.499573020252942</v>
      </c>
      <c r="EP100" s="143">
        <f t="shared" si="74"/>
        <v>10.959540226785442</v>
      </c>
      <c r="EQ100" s="143">
        <f t="shared" ref="EQ100:FI100" si="153">EP100</f>
        <v>10.959540226785442</v>
      </c>
      <c r="ER100" s="143">
        <f t="shared" si="153"/>
        <v>10.959540226785442</v>
      </c>
      <c r="ES100" s="143">
        <f t="shared" si="153"/>
        <v>10.959540226785442</v>
      </c>
      <c r="ET100" s="143">
        <f t="shared" si="153"/>
        <v>10.959540226785442</v>
      </c>
      <c r="EU100" s="143">
        <f t="shared" si="153"/>
        <v>10.959540226785442</v>
      </c>
      <c r="EV100" s="143">
        <f t="shared" si="153"/>
        <v>10.959540226785442</v>
      </c>
      <c r="EW100" s="143">
        <f t="shared" si="153"/>
        <v>10.959540226785442</v>
      </c>
      <c r="EX100" s="143">
        <f t="shared" si="153"/>
        <v>10.959540226785442</v>
      </c>
      <c r="EY100" s="143">
        <f t="shared" si="153"/>
        <v>10.959540226785442</v>
      </c>
      <c r="EZ100" s="143">
        <f t="shared" si="153"/>
        <v>10.959540226785442</v>
      </c>
      <c r="FA100" s="143">
        <f t="shared" si="153"/>
        <v>10.959540226785442</v>
      </c>
      <c r="FB100" s="143">
        <f t="shared" si="153"/>
        <v>10.959540226785442</v>
      </c>
      <c r="FC100" s="143">
        <f t="shared" si="153"/>
        <v>10.959540226785442</v>
      </c>
      <c r="FD100" s="143">
        <f t="shared" si="153"/>
        <v>10.959540226785442</v>
      </c>
      <c r="FE100" s="143">
        <f t="shared" si="153"/>
        <v>10.959540226785442</v>
      </c>
      <c r="FF100" s="143">
        <f t="shared" si="153"/>
        <v>10.959540226785442</v>
      </c>
      <c r="FG100" s="143">
        <f t="shared" si="153"/>
        <v>10.959540226785442</v>
      </c>
      <c r="FH100" s="143">
        <f t="shared" si="153"/>
        <v>10.959540226785442</v>
      </c>
      <c r="FI100" s="143">
        <f t="shared" si="153"/>
        <v>10.959540226785442</v>
      </c>
      <c r="FJ100" s="143">
        <f t="shared" si="76"/>
        <v>11.314474526246391</v>
      </c>
      <c r="FK100" s="143">
        <f t="shared" ref="FK100:GC100" si="154">FJ100</f>
        <v>11.314474526246391</v>
      </c>
      <c r="FL100" s="143">
        <f t="shared" si="154"/>
        <v>11.314474526246391</v>
      </c>
      <c r="FM100" s="143">
        <f t="shared" si="154"/>
        <v>11.314474526246391</v>
      </c>
      <c r="FN100" s="143">
        <f t="shared" si="154"/>
        <v>11.314474526246391</v>
      </c>
      <c r="FO100" s="143">
        <f t="shared" si="154"/>
        <v>11.314474526246391</v>
      </c>
      <c r="FP100" s="143">
        <f t="shared" si="154"/>
        <v>11.314474526246391</v>
      </c>
      <c r="FQ100" s="143">
        <f t="shared" si="154"/>
        <v>11.314474526246391</v>
      </c>
      <c r="FR100" s="143">
        <f t="shared" si="154"/>
        <v>11.314474526246391</v>
      </c>
      <c r="FS100" s="143">
        <f t="shared" si="154"/>
        <v>11.314474526246391</v>
      </c>
      <c r="FT100" s="143">
        <f t="shared" si="154"/>
        <v>11.314474526246391</v>
      </c>
      <c r="FU100" s="143">
        <f t="shared" si="154"/>
        <v>11.314474526246391</v>
      </c>
      <c r="FV100" s="143">
        <f t="shared" si="154"/>
        <v>11.314474526246391</v>
      </c>
      <c r="FW100" s="143">
        <f t="shared" si="154"/>
        <v>11.314474526246391</v>
      </c>
      <c r="FX100" s="143">
        <f t="shared" si="154"/>
        <v>11.314474526246391</v>
      </c>
      <c r="FY100" s="143">
        <f t="shared" si="154"/>
        <v>11.314474526246391</v>
      </c>
      <c r="FZ100" s="143">
        <f t="shared" si="154"/>
        <v>11.314474526246391</v>
      </c>
      <c r="GA100" s="143">
        <f t="shared" si="154"/>
        <v>11.314474526246391</v>
      </c>
      <c r="GB100" s="143">
        <f t="shared" si="154"/>
        <v>11.314474526246391</v>
      </c>
      <c r="GC100" s="143">
        <f t="shared" si="154"/>
        <v>11.314474526246391</v>
      </c>
      <c r="GD100" s="143">
        <f t="shared" si="78"/>
        <v>11.607326140391713</v>
      </c>
      <c r="GE100" s="143">
        <f t="shared" ref="GE100:GM100" si="155">GD100</f>
        <v>11.607326140391713</v>
      </c>
      <c r="GF100" s="143">
        <f t="shared" si="155"/>
        <v>11.607326140391713</v>
      </c>
      <c r="GG100" s="143">
        <f t="shared" si="155"/>
        <v>11.607326140391713</v>
      </c>
      <c r="GH100" s="143">
        <f t="shared" si="155"/>
        <v>11.607326140391713</v>
      </c>
      <c r="GI100" s="143">
        <f t="shared" si="155"/>
        <v>11.607326140391713</v>
      </c>
      <c r="GJ100" s="143">
        <f t="shared" si="155"/>
        <v>11.607326140391713</v>
      </c>
      <c r="GK100" s="143">
        <f t="shared" si="155"/>
        <v>11.607326140391713</v>
      </c>
      <c r="GL100" s="143">
        <f t="shared" si="155"/>
        <v>11.607326140391713</v>
      </c>
      <c r="GM100" s="143">
        <f t="shared" si="155"/>
        <v>11.607326140391713</v>
      </c>
      <c r="GN100" s="143">
        <f t="shared" si="80"/>
        <v>11.848683160653573</v>
      </c>
      <c r="GO100" s="143">
        <f t="shared" si="81"/>
        <v>11.848683160653573</v>
      </c>
      <c r="GP100" s="143">
        <f t="shared" si="81"/>
        <v>11.848683160653573</v>
      </c>
      <c r="GQ100" s="143">
        <f t="shared" si="81"/>
        <v>11.848683160653573</v>
      </c>
      <c r="GR100" s="143">
        <f t="shared" si="81"/>
        <v>11.848683160653573</v>
      </c>
      <c r="GS100" s="143">
        <f t="shared" si="82"/>
        <v>12.267167744889985</v>
      </c>
      <c r="GT100" s="143">
        <f t="shared" si="83"/>
        <v>12.267167744889985</v>
      </c>
      <c r="GU100" s="143">
        <f t="shared" si="83"/>
        <v>12.267167744889985</v>
      </c>
      <c r="GV100" s="143">
        <f t="shared" si="83"/>
        <v>12.267167744889985</v>
      </c>
      <c r="GW100" s="143">
        <f t="shared" si="84"/>
        <v>13.779157728498475</v>
      </c>
    </row>
    <row r="101" spans="1:205" s="46" customFormat="1" ht="9.75" customHeight="1">
      <c r="A101" s="60">
        <v>1987</v>
      </c>
      <c r="B101" s="143">
        <f t="shared" si="85"/>
        <v>0.34059687683785622</v>
      </c>
      <c r="C101" s="143">
        <f t="shared" si="54"/>
        <v>0.99836940764253301</v>
      </c>
      <c r="D101" s="60"/>
      <c r="E101" s="143">
        <f t="shared" si="55"/>
        <v>7.297497426625065</v>
      </c>
      <c r="F101" s="143">
        <f t="shared" ref="F101:X101" si="156">E101</f>
        <v>7.297497426625065</v>
      </c>
      <c r="G101" s="143">
        <f t="shared" si="156"/>
        <v>7.297497426625065</v>
      </c>
      <c r="H101" s="143">
        <f t="shared" si="156"/>
        <v>7.297497426625065</v>
      </c>
      <c r="I101" s="143">
        <f t="shared" si="156"/>
        <v>7.297497426625065</v>
      </c>
      <c r="J101" s="143">
        <f t="shared" si="156"/>
        <v>7.297497426625065</v>
      </c>
      <c r="K101" s="143">
        <f t="shared" si="156"/>
        <v>7.297497426625065</v>
      </c>
      <c r="L101" s="143">
        <f t="shared" si="156"/>
        <v>7.297497426625065</v>
      </c>
      <c r="M101" s="143">
        <f t="shared" si="156"/>
        <v>7.297497426625065</v>
      </c>
      <c r="N101" s="143">
        <f t="shared" si="156"/>
        <v>7.297497426625065</v>
      </c>
      <c r="O101" s="143">
        <f t="shared" si="156"/>
        <v>7.297497426625065</v>
      </c>
      <c r="P101" s="143">
        <f t="shared" si="156"/>
        <v>7.297497426625065</v>
      </c>
      <c r="Q101" s="143">
        <f t="shared" si="156"/>
        <v>7.297497426625065</v>
      </c>
      <c r="R101" s="143">
        <f t="shared" si="156"/>
        <v>7.297497426625065</v>
      </c>
      <c r="S101" s="143">
        <f t="shared" si="156"/>
        <v>7.297497426625065</v>
      </c>
      <c r="T101" s="143">
        <f t="shared" si="156"/>
        <v>7.297497426625065</v>
      </c>
      <c r="U101" s="143">
        <f t="shared" si="156"/>
        <v>7.297497426625065</v>
      </c>
      <c r="V101" s="143">
        <f t="shared" si="156"/>
        <v>7.297497426625065</v>
      </c>
      <c r="W101" s="143">
        <f t="shared" si="156"/>
        <v>7.297497426625065</v>
      </c>
      <c r="X101" s="143">
        <f t="shared" si="156"/>
        <v>7.297497426625065</v>
      </c>
      <c r="Y101" s="143">
        <f t="shared" si="57"/>
        <v>8.5295564503996353</v>
      </c>
      <c r="Z101" s="143">
        <f t="shared" ref="Z101:AR101" si="157">Y101</f>
        <v>8.5295564503996353</v>
      </c>
      <c r="AA101" s="143">
        <f t="shared" si="157"/>
        <v>8.5295564503996353</v>
      </c>
      <c r="AB101" s="143">
        <f t="shared" si="157"/>
        <v>8.5295564503996353</v>
      </c>
      <c r="AC101" s="143">
        <f t="shared" si="157"/>
        <v>8.5295564503996353</v>
      </c>
      <c r="AD101" s="143">
        <f t="shared" si="157"/>
        <v>8.5295564503996353</v>
      </c>
      <c r="AE101" s="143">
        <f t="shared" si="157"/>
        <v>8.5295564503996353</v>
      </c>
      <c r="AF101" s="143">
        <f t="shared" si="157"/>
        <v>8.5295564503996353</v>
      </c>
      <c r="AG101" s="143">
        <f t="shared" si="157"/>
        <v>8.5295564503996353</v>
      </c>
      <c r="AH101" s="143">
        <f t="shared" si="157"/>
        <v>8.5295564503996353</v>
      </c>
      <c r="AI101" s="143">
        <f t="shared" si="157"/>
        <v>8.5295564503996353</v>
      </c>
      <c r="AJ101" s="143">
        <f t="shared" si="157"/>
        <v>8.5295564503996353</v>
      </c>
      <c r="AK101" s="143">
        <f t="shared" si="157"/>
        <v>8.5295564503996353</v>
      </c>
      <c r="AL101" s="143">
        <f t="shared" si="157"/>
        <v>8.5295564503996353</v>
      </c>
      <c r="AM101" s="143">
        <f t="shared" si="157"/>
        <v>8.5295564503996353</v>
      </c>
      <c r="AN101" s="143">
        <f t="shared" si="157"/>
        <v>8.5295564503996353</v>
      </c>
      <c r="AO101" s="143">
        <f t="shared" si="157"/>
        <v>8.5295564503996353</v>
      </c>
      <c r="AP101" s="143">
        <f t="shared" si="157"/>
        <v>8.5295564503996353</v>
      </c>
      <c r="AQ101" s="143">
        <f t="shared" si="157"/>
        <v>8.5295564503996353</v>
      </c>
      <c r="AR101" s="143">
        <f t="shared" si="157"/>
        <v>8.5295564503996353</v>
      </c>
      <c r="AS101" s="143">
        <f t="shared" si="59"/>
        <v>9.2283374486778378</v>
      </c>
      <c r="AT101" s="143">
        <f t="shared" ref="AT101:BL101" si="158">AS101</f>
        <v>9.2283374486778378</v>
      </c>
      <c r="AU101" s="143">
        <f t="shared" si="158"/>
        <v>9.2283374486778378</v>
      </c>
      <c r="AV101" s="143">
        <f t="shared" si="158"/>
        <v>9.2283374486778378</v>
      </c>
      <c r="AW101" s="143">
        <f t="shared" si="158"/>
        <v>9.2283374486778378</v>
      </c>
      <c r="AX101" s="143">
        <f t="shared" si="158"/>
        <v>9.2283374486778378</v>
      </c>
      <c r="AY101" s="143">
        <f t="shared" si="158"/>
        <v>9.2283374486778378</v>
      </c>
      <c r="AZ101" s="143">
        <f t="shared" si="158"/>
        <v>9.2283374486778378</v>
      </c>
      <c r="BA101" s="143">
        <f t="shared" si="158"/>
        <v>9.2283374486778378</v>
      </c>
      <c r="BB101" s="143">
        <f t="shared" si="158"/>
        <v>9.2283374486778378</v>
      </c>
      <c r="BC101" s="143">
        <f t="shared" si="158"/>
        <v>9.2283374486778378</v>
      </c>
      <c r="BD101" s="143">
        <f t="shared" si="158"/>
        <v>9.2283374486778378</v>
      </c>
      <c r="BE101" s="143">
        <f t="shared" si="158"/>
        <v>9.2283374486778378</v>
      </c>
      <c r="BF101" s="143">
        <f t="shared" si="158"/>
        <v>9.2283374486778378</v>
      </c>
      <c r="BG101" s="143">
        <f t="shared" si="158"/>
        <v>9.2283374486778378</v>
      </c>
      <c r="BH101" s="143">
        <f t="shared" si="158"/>
        <v>9.2283374486778378</v>
      </c>
      <c r="BI101" s="143">
        <f t="shared" si="158"/>
        <v>9.2283374486778378</v>
      </c>
      <c r="BJ101" s="143">
        <f t="shared" si="158"/>
        <v>9.2283374486778378</v>
      </c>
      <c r="BK101" s="143">
        <f t="shared" si="158"/>
        <v>9.2283374486778378</v>
      </c>
      <c r="BL101" s="143">
        <f t="shared" si="158"/>
        <v>9.2283374486778378</v>
      </c>
      <c r="BM101" s="143">
        <f t="shared" si="61"/>
        <v>9.730918287184851</v>
      </c>
      <c r="BN101" s="143">
        <f t="shared" ref="BN101:CF101" si="159">BM101</f>
        <v>9.730918287184851</v>
      </c>
      <c r="BO101" s="143">
        <f t="shared" si="159"/>
        <v>9.730918287184851</v>
      </c>
      <c r="BP101" s="143">
        <f t="shared" si="159"/>
        <v>9.730918287184851</v>
      </c>
      <c r="BQ101" s="143">
        <f t="shared" si="159"/>
        <v>9.730918287184851</v>
      </c>
      <c r="BR101" s="143">
        <f t="shared" si="159"/>
        <v>9.730918287184851</v>
      </c>
      <c r="BS101" s="143">
        <f t="shared" si="159"/>
        <v>9.730918287184851</v>
      </c>
      <c r="BT101" s="143">
        <f t="shared" si="159"/>
        <v>9.730918287184851</v>
      </c>
      <c r="BU101" s="143">
        <f t="shared" si="159"/>
        <v>9.730918287184851</v>
      </c>
      <c r="BV101" s="143">
        <f t="shared" si="159"/>
        <v>9.730918287184851</v>
      </c>
      <c r="BW101" s="143">
        <f t="shared" si="159"/>
        <v>9.730918287184851</v>
      </c>
      <c r="BX101" s="143">
        <f t="shared" si="159"/>
        <v>9.730918287184851</v>
      </c>
      <c r="BY101" s="143">
        <f t="shared" si="159"/>
        <v>9.730918287184851</v>
      </c>
      <c r="BZ101" s="143">
        <f t="shared" si="159"/>
        <v>9.730918287184851</v>
      </c>
      <c r="CA101" s="143">
        <f t="shared" si="159"/>
        <v>9.730918287184851</v>
      </c>
      <c r="CB101" s="143">
        <f t="shared" si="159"/>
        <v>9.730918287184851</v>
      </c>
      <c r="CC101" s="143">
        <f t="shared" si="159"/>
        <v>9.730918287184851</v>
      </c>
      <c r="CD101" s="143">
        <f t="shared" si="159"/>
        <v>9.730918287184851</v>
      </c>
      <c r="CE101" s="143">
        <f t="shared" si="159"/>
        <v>9.730918287184851</v>
      </c>
      <c r="CF101" s="143">
        <f t="shared" si="159"/>
        <v>9.730918287184851</v>
      </c>
      <c r="CG101" s="143">
        <f t="shared" si="63"/>
        <v>10.137974523310762</v>
      </c>
      <c r="CH101" s="143">
        <f t="shared" ref="CH101:CP101" si="160">CG101</f>
        <v>10.137974523310762</v>
      </c>
      <c r="CI101" s="143">
        <f t="shared" si="160"/>
        <v>10.137974523310762</v>
      </c>
      <c r="CJ101" s="143">
        <f t="shared" si="160"/>
        <v>10.137974523310762</v>
      </c>
      <c r="CK101" s="143">
        <f t="shared" si="160"/>
        <v>10.137974523310762</v>
      </c>
      <c r="CL101" s="143">
        <f t="shared" si="160"/>
        <v>10.137974523310762</v>
      </c>
      <c r="CM101" s="143">
        <f t="shared" si="160"/>
        <v>10.137974523310762</v>
      </c>
      <c r="CN101" s="143">
        <f t="shared" si="160"/>
        <v>10.137974523310762</v>
      </c>
      <c r="CO101" s="143">
        <f t="shared" si="160"/>
        <v>10.137974523310762</v>
      </c>
      <c r="CP101" s="143">
        <f t="shared" si="160"/>
        <v>10.137974523310762</v>
      </c>
      <c r="CQ101" s="143">
        <f t="shared" si="65"/>
        <v>10.459898209522603</v>
      </c>
      <c r="CR101" s="143">
        <f t="shared" si="66"/>
        <v>10.459898209522603</v>
      </c>
      <c r="CS101" s="143">
        <f t="shared" si="66"/>
        <v>10.459898209522603</v>
      </c>
      <c r="CT101" s="143">
        <f t="shared" si="66"/>
        <v>10.459898209522603</v>
      </c>
      <c r="CU101" s="143">
        <f t="shared" si="66"/>
        <v>10.459898209522603</v>
      </c>
      <c r="CV101" s="143">
        <f t="shared" si="67"/>
        <v>10.907263382509681</v>
      </c>
      <c r="CW101" s="143">
        <f t="shared" si="68"/>
        <v>10.907263382509681</v>
      </c>
      <c r="CX101" s="143">
        <f t="shared" si="68"/>
        <v>10.907263382509681</v>
      </c>
      <c r="CY101" s="143">
        <f t="shared" si="68"/>
        <v>10.907263382509681</v>
      </c>
      <c r="CZ101" s="143">
        <f t="shared" si="69"/>
        <v>12.357130547647184</v>
      </c>
      <c r="DA101" s="60"/>
      <c r="DB101" s="143">
        <f t="shared" si="70"/>
        <v>9.532423871145296</v>
      </c>
      <c r="DC101" s="143">
        <f t="shared" ref="DC101:DU101" si="161">DB101</f>
        <v>9.532423871145296</v>
      </c>
      <c r="DD101" s="143">
        <f t="shared" si="161"/>
        <v>9.532423871145296</v>
      </c>
      <c r="DE101" s="143">
        <f t="shared" si="161"/>
        <v>9.532423871145296</v>
      </c>
      <c r="DF101" s="143">
        <f t="shared" si="161"/>
        <v>9.532423871145296</v>
      </c>
      <c r="DG101" s="143">
        <f t="shared" si="161"/>
        <v>9.532423871145296</v>
      </c>
      <c r="DH101" s="143">
        <f t="shared" si="161"/>
        <v>9.532423871145296</v>
      </c>
      <c r="DI101" s="143">
        <f t="shared" si="161"/>
        <v>9.532423871145296</v>
      </c>
      <c r="DJ101" s="143">
        <f t="shared" si="161"/>
        <v>9.532423871145296</v>
      </c>
      <c r="DK101" s="143">
        <f t="shared" si="161"/>
        <v>9.532423871145296</v>
      </c>
      <c r="DL101" s="143">
        <f t="shared" si="161"/>
        <v>9.532423871145296</v>
      </c>
      <c r="DM101" s="143">
        <f t="shared" si="161"/>
        <v>9.532423871145296</v>
      </c>
      <c r="DN101" s="143">
        <f t="shared" si="161"/>
        <v>9.532423871145296</v>
      </c>
      <c r="DO101" s="143">
        <f t="shared" si="161"/>
        <v>9.532423871145296</v>
      </c>
      <c r="DP101" s="143">
        <f t="shared" si="161"/>
        <v>9.532423871145296</v>
      </c>
      <c r="DQ101" s="143">
        <f t="shared" si="161"/>
        <v>9.532423871145296</v>
      </c>
      <c r="DR101" s="143">
        <f t="shared" si="161"/>
        <v>9.532423871145296</v>
      </c>
      <c r="DS101" s="143">
        <f t="shared" si="161"/>
        <v>9.532423871145296</v>
      </c>
      <c r="DT101" s="143">
        <f t="shared" si="161"/>
        <v>9.532423871145296</v>
      </c>
      <c r="DU101" s="143">
        <f t="shared" si="161"/>
        <v>9.532423871145296</v>
      </c>
      <c r="DV101" s="143">
        <f t="shared" si="72"/>
        <v>10.474467099121865</v>
      </c>
      <c r="DW101" s="143">
        <f t="shared" ref="DW101:EO101" si="162">DV101</f>
        <v>10.474467099121865</v>
      </c>
      <c r="DX101" s="143">
        <f t="shared" si="162"/>
        <v>10.474467099121865</v>
      </c>
      <c r="DY101" s="143">
        <f t="shared" si="162"/>
        <v>10.474467099121865</v>
      </c>
      <c r="DZ101" s="143">
        <f t="shared" si="162"/>
        <v>10.474467099121865</v>
      </c>
      <c r="EA101" s="143">
        <f t="shared" si="162"/>
        <v>10.474467099121865</v>
      </c>
      <c r="EB101" s="143">
        <f t="shared" si="162"/>
        <v>10.474467099121865</v>
      </c>
      <c r="EC101" s="143">
        <f t="shared" si="162"/>
        <v>10.474467099121865</v>
      </c>
      <c r="ED101" s="143">
        <f t="shared" si="162"/>
        <v>10.474467099121865</v>
      </c>
      <c r="EE101" s="143">
        <f t="shared" si="162"/>
        <v>10.474467099121865</v>
      </c>
      <c r="EF101" s="143">
        <f t="shared" si="162"/>
        <v>10.474467099121865</v>
      </c>
      <c r="EG101" s="143">
        <f t="shared" si="162"/>
        <v>10.474467099121865</v>
      </c>
      <c r="EH101" s="143">
        <f t="shared" si="162"/>
        <v>10.474467099121865</v>
      </c>
      <c r="EI101" s="143">
        <f t="shared" si="162"/>
        <v>10.474467099121865</v>
      </c>
      <c r="EJ101" s="143">
        <f t="shared" si="162"/>
        <v>10.474467099121865</v>
      </c>
      <c r="EK101" s="143">
        <f t="shared" si="162"/>
        <v>10.474467099121865</v>
      </c>
      <c r="EL101" s="143">
        <f t="shared" si="162"/>
        <v>10.474467099121865</v>
      </c>
      <c r="EM101" s="143">
        <f t="shared" si="162"/>
        <v>10.474467099121865</v>
      </c>
      <c r="EN101" s="143">
        <f t="shared" si="162"/>
        <v>10.474467099121865</v>
      </c>
      <c r="EO101" s="143">
        <f t="shared" si="162"/>
        <v>10.474467099121865</v>
      </c>
      <c r="EP101" s="143">
        <f t="shared" si="74"/>
        <v>10.95430917736789</v>
      </c>
      <c r="EQ101" s="143">
        <f t="shared" ref="EQ101:FI101" si="163">EP101</f>
        <v>10.95430917736789</v>
      </c>
      <c r="ER101" s="143">
        <f t="shared" si="163"/>
        <v>10.95430917736789</v>
      </c>
      <c r="ES101" s="143">
        <f t="shared" si="163"/>
        <v>10.95430917736789</v>
      </c>
      <c r="ET101" s="143">
        <f t="shared" si="163"/>
        <v>10.95430917736789</v>
      </c>
      <c r="EU101" s="143">
        <f t="shared" si="163"/>
        <v>10.95430917736789</v>
      </c>
      <c r="EV101" s="143">
        <f t="shared" si="163"/>
        <v>10.95430917736789</v>
      </c>
      <c r="EW101" s="143">
        <f t="shared" si="163"/>
        <v>10.95430917736789</v>
      </c>
      <c r="EX101" s="143">
        <f t="shared" si="163"/>
        <v>10.95430917736789</v>
      </c>
      <c r="EY101" s="143">
        <f t="shared" si="163"/>
        <v>10.95430917736789</v>
      </c>
      <c r="EZ101" s="143">
        <f t="shared" si="163"/>
        <v>10.95430917736789</v>
      </c>
      <c r="FA101" s="143">
        <f t="shared" si="163"/>
        <v>10.95430917736789</v>
      </c>
      <c r="FB101" s="143">
        <f t="shared" si="163"/>
        <v>10.95430917736789</v>
      </c>
      <c r="FC101" s="143">
        <f t="shared" si="163"/>
        <v>10.95430917736789</v>
      </c>
      <c r="FD101" s="143">
        <f t="shared" si="163"/>
        <v>10.95430917736789</v>
      </c>
      <c r="FE101" s="143">
        <f t="shared" si="163"/>
        <v>10.95430917736789</v>
      </c>
      <c r="FF101" s="143">
        <f t="shared" si="163"/>
        <v>10.95430917736789</v>
      </c>
      <c r="FG101" s="143">
        <f t="shared" si="163"/>
        <v>10.95430917736789</v>
      </c>
      <c r="FH101" s="143">
        <f t="shared" si="163"/>
        <v>10.95430917736789</v>
      </c>
      <c r="FI101" s="143">
        <f t="shared" si="163"/>
        <v>10.95430917736789</v>
      </c>
      <c r="FJ101" s="143">
        <f t="shared" si="76"/>
        <v>11.320553572322773</v>
      </c>
      <c r="FK101" s="143">
        <f t="shared" ref="FK101:GC101" si="164">FJ101</f>
        <v>11.320553572322773</v>
      </c>
      <c r="FL101" s="143">
        <f t="shared" si="164"/>
        <v>11.320553572322773</v>
      </c>
      <c r="FM101" s="143">
        <f t="shared" si="164"/>
        <v>11.320553572322773</v>
      </c>
      <c r="FN101" s="143">
        <f t="shared" si="164"/>
        <v>11.320553572322773</v>
      </c>
      <c r="FO101" s="143">
        <f t="shared" si="164"/>
        <v>11.320553572322773</v>
      </c>
      <c r="FP101" s="143">
        <f t="shared" si="164"/>
        <v>11.320553572322773</v>
      </c>
      <c r="FQ101" s="143">
        <f t="shared" si="164"/>
        <v>11.320553572322773</v>
      </c>
      <c r="FR101" s="143">
        <f t="shared" si="164"/>
        <v>11.320553572322773</v>
      </c>
      <c r="FS101" s="143">
        <f t="shared" si="164"/>
        <v>11.320553572322773</v>
      </c>
      <c r="FT101" s="143">
        <f t="shared" si="164"/>
        <v>11.320553572322773</v>
      </c>
      <c r="FU101" s="143">
        <f t="shared" si="164"/>
        <v>11.320553572322773</v>
      </c>
      <c r="FV101" s="143">
        <f t="shared" si="164"/>
        <v>11.320553572322773</v>
      </c>
      <c r="FW101" s="143">
        <f t="shared" si="164"/>
        <v>11.320553572322773</v>
      </c>
      <c r="FX101" s="143">
        <f t="shared" si="164"/>
        <v>11.320553572322773</v>
      </c>
      <c r="FY101" s="143">
        <f t="shared" si="164"/>
        <v>11.320553572322773</v>
      </c>
      <c r="FZ101" s="143">
        <f t="shared" si="164"/>
        <v>11.320553572322773</v>
      </c>
      <c r="GA101" s="143">
        <f t="shared" si="164"/>
        <v>11.320553572322773</v>
      </c>
      <c r="GB101" s="143">
        <f t="shared" si="164"/>
        <v>11.320553572322773</v>
      </c>
      <c r="GC101" s="143">
        <f t="shared" si="164"/>
        <v>11.320553572322773</v>
      </c>
      <c r="GD101" s="143">
        <f t="shared" si="78"/>
        <v>11.616384173338458</v>
      </c>
      <c r="GE101" s="143">
        <f t="shared" ref="GE101:GM101" si="165">GD101</f>
        <v>11.616384173338458</v>
      </c>
      <c r="GF101" s="143">
        <f t="shared" si="165"/>
        <v>11.616384173338458</v>
      </c>
      <c r="GG101" s="143">
        <f t="shared" si="165"/>
        <v>11.616384173338458</v>
      </c>
      <c r="GH101" s="143">
        <f t="shared" si="165"/>
        <v>11.616384173338458</v>
      </c>
      <c r="GI101" s="143">
        <f t="shared" si="165"/>
        <v>11.616384173338458</v>
      </c>
      <c r="GJ101" s="143">
        <f t="shared" si="165"/>
        <v>11.616384173338458</v>
      </c>
      <c r="GK101" s="143">
        <f t="shared" si="165"/>
        <v>11.616384173338458</v>
      </c>
      <c r="GL101" s="143">
        <f t="shared" si="165"/>
        <v>11.616384173338458</v>
      </c>
      <c r="GM101" s="143">
        <f t="shared" si="165"/>
        <v>11.616384173338458</v>
      </c>
      <c r="GN101" s="143">
        <f t="shared" si="80"/>
        <v>11.866395277960013</v>
      </c>
      <c r="GO101" s="143">
        <f t="shared" si="81"/>
        <v>11.866395277960013</v>
      </c>
      <c r="GP101" s="143">
        <f t="shared" si="81"/>
        <v>11.866395277960013</v>
      </c>
      <c r="GQ101" s="143">
        <f t="shared" si="81"/>
        <v>11.866395277960013</v>
      </c>
      <c r="GR101" s="143">
        <f t="shared" si="81"/>
        <v>11.866395277960013</v>
      </c>
      <c r="GS101" s="143">
        <f t="shared" si="82"/>
        <v>12.258190599792281</v>
      </c>
      <c r="GT101" s="143">
        <f t="shared" si="83"/>
        <v>12.258190599792281</v>
      </c>
      <c r="GU101" s="143">
        <f t="shared" si="83"/>
        <v>12.258190599792281</v>
      </c>
      <c r="GV101" s="143">
        <f t="shared" si="83"/>
        <v>12.258190599792281</v>
      </c>
      <c r="GW101" s="143">
        <f t="shared" si="84"/>
        <v>13.557775561880446</v>
      </c>
    </row>
    <row r="102" spans="1:205" s="46" customFormat="1" ht="9.75" customHeight="1">
      <c r="A102" s="60">
        <v>1988</v>
      </c>
      <c r="B102" s="143">
        <f t="shared" si="85"/>
        <v>0.3549676919877629</v>
      </c>
      <c r="C102" s="143">
        <f t="shared" si="54"/>
        <v>0.99669569382533585</v>
      </c>
      <c r="D102" s="60"/>
      <c r="E102" s="143">
        <f t="shared" si="55"/>
        <v>7.2852323505501326</v>
      </c>
      <c r="F102" s="143">
        <f t="shared" ref="F102:X102" si="166">E102</f>
        <v>7.2852323505501326</v>
      </c>
      <c r="G102" s="143">
        <f t="shared" si="166"/>
        <v>7.2852323505501326</v>
      </c>
      <c r="H102" s="143">
        <f t="shared" si="166"/>
        <v>7.2852323505501326</v>
      </c>
      <c r="I102" s="143">
        <f t="shared" si="166"/>
        <v>7.2852323505501326</v>
      </c>
      <c r="J102" s="143">
        <f t="shared" si="166"/>
        <v>7.2852323505501326</v>
      </c>
      <c r="K102" s="143">
        <f t="shared" si="166"/>
        <v>7.2852323505501326</v>
      </c>
      <c r="L102" s="143">
        <f t="shared" si="166"/>
        <v>7.2852323505501326</v>
      </c>
      <c r="M102" s="143">
        <f t="shared" si="166"/>
        <v>7.2852323505501326</v>
      </c>
      <c r="N102" s="143">
        <f t="shared" si="166"/>
        <v>7.2852323505501326</v>
      </c>
      <c r="O102" s="143">
        <f t="shared" si="166"/>
        <v>7.2852323505501326</v>
      </c>
      <c r="P102" s="143">
        <f t="shared" si="166"/>
        <v>7.2852323505501326</v>
      </c>
      <c r="Q102" s="143">
        <f t="shared" si="166"/>
        <v>7.2852323505501326</v>
      </c>
      <c r="R102" s="143">
        <f t="shared" si="166"/>
        <v>7.2852323505501326</v>
      </c>
      <c r="S102" s="143">
        <f t="shared" si="166"/>
        <v>7.2852323505501326</v>
      </c>
      <c r="T102" s="143">
        <f t="shared" si="166"/>
        <v>7.2852323505501326</v>
      </c>
      <c r="U102" s="143">
        <f t="shared" si="166"/>
        <v>7.2852323505501326</v>
      </c>
      <c r="V102" s="143">
        <f t="shared" si="166"/>
        <v>7.2852323505501326</v>
      </c>
      <c r="W102" s="143">
        <f t="shared" si="166"/>
        <v>7.2852323505501326</v>
      </c>
      <c r="X102" s="143">
        <f t="shared" si="166"/>
        <v>7.2852323505501326</v>
      </c>
      <c r="Y102" s="143">
        <f t="shared" si="57"/>
        <v>8.5739515252348468</v>
      </c>
      <c r="Z102" s="143">
        <f t="shared" ref="Z102:AR102" si="167">Y102</f>
        <v>8.5739515252348468</v>
      </c>
      <c r="AA102" s="143">
        <f t="shared" si="167"/>
        <v>8.5739515252348468</v>
      </c>
      <c r="AB102" s="143">
        <f t="shared" si="167"/>
        <v>8.5739515252348468</v>
      </c>
      <c r="AC102" s="143">
        <f t="shared" si="167"/>
        <v>8.5739515252348468</v>
      </c>
      <c r="AD102" s="143">
        <f t="shared" si="167"/>
        <v>8.5739515252348468</v>
      </c>
      <c r="AE102" s="143">
        <f t="shared" si="167"/>
        <v>8.5739515252348468</v>
      </c>
      <c r="AF102" s="143">
        <f t="shared" si="167"/>
        <v>8.5739515252348468</v>
      </c>
      <c r="AG102" s="143">
        <f t="shared" si="167"/>
        <v>8.5739515252348468</v>
      </c>
      <c r="AH102" s="143">
        <f t="shared" si="167"/>
        <v>8.5739515252348468</v>
      </c>
      <c r="AI102" s="143">
        <f t="shared" si="167"/>
        <v>8.5739515252348468</v>
      </c>
      <c r="AJ102" s="143">
        <f t="shared" si="167"/>
        <v>8.5739515252348468</v>
      </c>
      <c r="AK102" s="143">
        <f t="shared" si="167"/>
        <v>8.5739515252348468</v>
      </c>
      <c r="AL102" s="143">
        <f t="shared" si="167"/>
        <v>8.5739515252348468</v>
      </c>
      <c r="AM102" s="143">
        <f t="shared" si="167"/>
        <v>8.5739515252348468</v>
      </c>
      <c r="AN102" s="143">
        <f t="shared" si="167"/>
        <v>8.5739515252348468</v>
      </c>
      <c r="AO102" s="143">
        <f t="shared" si="167"/>
        <v>8.5739515252348468</v>
      </c>
      <c r="AP102" s="143">
        <f t="shared" si="167"/>
        <v>8.5739515252348468</v>
      </c>
      <c r="AQ102" s="143">
        <f t="shared" si="167"/>
        <v>8.5739515252348468</v>
      </c>
      <c r="AR102" s="143">
        <f t="shared" si="167"/>
        <v>8.5739515252348468</v>
      </c>
      <c r="AS102" s="143">
        <f t="shared" si="59"/>
        <v>9.2661723509346618</v>
      </c>
      <c r="AT102" s="143">
        <f t="shared" ref="AT102:BL102" si="168">AS102</f>
        <v>9.2661723509346618</v>
      </c>
      <c r="AU102" s="143">
        <f t="shared" si="168"/>
        <v>9.2661723509346618</v>
      </c>
      <c r="AV102" s="143">
        <f t="shared" si="168"/>
        <v>9.2661723509346618</v>
      </c>
      <c r="AW102" s="143">
        <f t="shared" si="168"/>
        <v>9.2661723509346618</v>
      </c>
      <c r="AX102" s="143">
        <f t="shared" si="168"/>
        <v>9.2661723509346618</v>
      </c>
      <c r="AY102" s="143">
        <f t="shared" si="168"/>
        <v>9.2661723509346618</v>
      </c>
      <c r="AZ102" s="143">
        <f t="shared" si="168"/>
        <v>9.2661723509346618</v>
      </c>
      <c r="BA102" s="143">
        <f t="shared" si="168"/>
        <v>9.2661723509346618</v>
      </c>
      <c r="BB102" s="143">
        <f t="shared" si="168"/>
        <v>9.2661723509346618</v>
      </c>
      <c r="BC102" s="143">
        <f t="shared" si="168"/>
        <v>9.2661723509346618</v>
      </c>
      <c r="BD102" s="143">
        <f t="shared" si="168"/>
        <v>9.2661723509346618</v>
      </c>
      <c r="BE102" s="143">
        <f t="shared" si="168"/>
        <v>9.2661723509346618</v>
      </c>
      <c r="BF102" s="143">
        <f t="shared" si="168"/>
        <v>9.2661723509346618</v>
      </c>
      <c r="BG102" s="143">
        <f t="shared" si="168"/>
        <v>9.2661723509346618</v>
      </c>
      <c r="BH102" s="143">
        <f t="shared" si="168"/>
        <v>9.2661723509346618</v>
      </c>
      <c r="BI102" s="143">
        <f t="shared" si="168"/>
        <v>9.2661723509346618</v>
      </c>
      <c r="BJ102" s="143">
        <f t="shared" si="168"/>
        <v>9.2661723509346618</v>
      </c>
      <c r="BK102" s="143">
        <f t="shared" si="168"/>
        <v>9.2661723509346618</v>
      </c>
      <c r="BL102" s="143">
        <f t="shared" si="168"/>
        <v>9.2661723509346618</v>
      </c>
      <c r="BM102" s="143">
        <f t="shared" si="61"/>
        <v>9.7575827815627196</v>
      </c>
      <c r="BN102" s="143">
        <f t="shared" ref="BN102:CF102" si="169">BM102</f>
        <v>9.7575827815627196</v>
      </c>
      <c r="BO102" s="143">
        <f t="shared" si="169"/>
        <v>9.7575827815627196</v>
      </c>
      <c r="BP102" s="143">
        <f t="shared" si="169"/>
        <v>9.7575827815627196</v>
      </c>
      <c r="BQ102" s="143">
        <f t="shared" si="169"/>
        <v>9.7575827815627196</v>
      </c>
      <c r="BR102" s="143">
        <f t="shared" si="169"/>
        <v>9.7575827815627196</v>
      </c>
      <c r="BS102" s="143">
        <f t="shared" si="169"/>
        <v>9.7575827815627196</v>
      </c>
      <c r="BT102" s="143">
        <f t="shared" si="169"/>
        <v>9.7575827815627196</v>
      </c>
      <c r="BU102" s="143">
        <f t="shared" si="169"/>
        <v>9.7575827815627196</v>
      </c>
      <c r="BV102" s="143">
        <f t="shared" si="169"/>
        <v>9.7575827815627196</v>
      </c>
      <c r="BW102" s="143">
        <f t="shared" si="169"/>
        <v>9.7575827815627196</v>
      </c>
      <c r="BX102" s="143">
        <f t="shared" si="169"/>
        <v>9.7575827815627196</v>
      </c>
      <c r="BY102" s="143">
        <f t="shared" si="169"/>
        <v>9.7575827815627196</v>
      </c>
      <c r="BZ102" s="143">
        <f t="shared" si="169"/>
        <v>9.7575827815627196</v>
      </c>
      <c r="CA102" s="143">
        <f t="shared" si="169"/>
        <v>9.7575827815627196</v>
      </c>
      <c r="CB102" s="143">
        <f t="shared" si="169"/>
        <v>9.7575827815627196</v>
      </c>
      <c r="CC102" s="143">
        <f t="shared" si="169"/>
        <v>9.7575827815627196</v>
      </c>
      <c r="CD102" s="143">
        <f t="shared" si="169"/>
        <v>9.7575827815627196</v>
      </c>
      <c r="CE102" s="143">
        <f t="shared" si="169"/>
        <v>9.7575827815627196</v>
      </c>
      <c r="CF102" s="143">
        <f t="shared" si="169"/>
        <v>9.7575827815627196</v>
      </c>
      <c r="CG102" s="143">
        <f t="shared" si="63"/>
        <v>10.164481647981384</v>
      </c>
      <c r="CH102" s="143">
        <f t="shared" ref="CH102:CP102" si="170">CG102</f>
        <v>10.164481647981384</v>
      </c>
      <c r="CI102" s="143">
        <f t="shared" si="170"/>
        <v>10.164481647981384</v>
      </c>
      <c r="CJ102" s="143">
        <f t="shared" si="170"/>
        <v>10.164481647981384</v>
      </c>
      <c r="CK102" s="143">
        <f t="shared" si="170"/>
        <v>10.164481647981384</v>
      </c>
      <c r="CL102" s="143">
        <f t="shared" si="170"/>
        <v>10.164481647981384</v>
      </c>
      <c r="CM102" s="143">
        <f t="shared" si="170"/>
        <v>10.164481647981384</v>
      </c>
      <c r="CN102" s="143">
        <f t="shared" si="170"/>
        <v>10.164481647981384</v>
      </c>
      <c r="CO102" s="143">
        <f t="shared" si="170"/>
        <v>10.164481647981384</v>
      </c>
      <c r="CP102" s="143">
        <f t="shared" si="170"/>
        <v>10.164481647981384</v>
      </c>
      <c r="CQ102" s="143">
        <f t="shared" si="65"/>
        <v>10.474591385183343</v>
      </c>
      <c r="CR102" s="143">
        <f t="shared" si="66"/>
        <v>10.474591385183343</v>
      </c>
      <c r="CS102" s="143">
        <f t="shared" si="66"/>
        <v>10.474591385183343</v>
      </c>
      <c r="CT102" s="143">
        <f t="shared" si="66"/>
        <v>10.474591385183343</v>
      </c>
      <c r="CU102" s="143">
        <f t="shared" si="66"/>
        <v>10.474591385183343</v>
      </c>
      <c r="CV102" s="143">
        <f t="shared" si="67"/>
        <v>10.923462395687165</v>
      </c>
      <c r="CW102" s="143">
        <f t="shared" si="68"/>
        <v>10.923462395687165</v>
      </c>
      <c r="CX102" s="143">
        <f t="shared" si="68"/>
        <v>10.923462395687165</v>
      </c>
      <c r="CY102" s="143">
        <f t="shared" si="68"/>
        <v>10.923462395687165</v>
      </c>
      <c r="CZ102" s="143">
        <f t="shared" si="69"/>
        <v>12.531327198545878</v>
      </c>
      <c r="DA102" s="60"/>
      <c r="DB102" s="143">
        <f t="shared" si="70"/>
        <v>9.5680148162479988</v>
      </c>
      <c r="DC102" s="143">
        <f t="shared" ref="DC102:DU102" si="171">DB102</f>
        <v>9.5680148162479988</v>
      </c>
      <c r="DD102" s="143">
        <f t="shared" si="171"/>
        <v>9.5680148162479988</v>
      </c>
      <c r="DE102" s="143">
        <f t="shared" si="171"/>
        <v>9.5680148162479988</v>
      </c>
      <c r="DF102" s="143">
        <f t="shared" si="171"/>
        <v>9.5680148162479988</v>
      </c>
      <c r="DG102" s="143">
        <f t="shared" si="171"/>
        <v>9.5680148162479988</v>
      </c>
      <c r="DH102" s="143">
        <f t="shared" si="171"/>
        <v>9.5680148162479988</v>
      </c>
      <c r="DI102" s="143">
        <f t="shared" si="171"/>
        <v>9.5680148162479988</v>
      </c>
      <c r="DJ102" s="143">
        <f t="shared" si="171"/>
        <v>9.5680148162479988</v>
      </c>
      <c r="DK102" s="143">
        <f t="shared" si="171"/>
        <v>9.5680148162479988</v>
      </c>
      <c r="DL102" s="143">
        <f t="shared" si="171"/>
        <v>9.5680148162479988</v>
      </c>
      <c r="DM102" s="143">
        <f t="shared" si="171"/>
        <v>9.5680148162479988</v>
      </c>
      <c r="DN102" s="143">
        <f t="shared" si="171"/>
        <v>9.5680148162479988</v>
      </c>
      <c r="DO102" s="143">
        <f t="shared" si="171"/>
        <v>9.5680148162479988</v>
      </c>
      <c r="DP102" s="143">
        <f t="shared" si="171"/>
        <v>9.5680148162479988</v>
      </c>
      <c r="DQ102" s="143">
        <f t="shared" si="171"/>
        <v>9.5680148162479988</v>
      </c>
      <c r="DR102" s="143">
        <f t="shared" si="171"/>
        <v>9.5680148162479988</v>
      </c>
      <c r="DS102" s="143">
        <f t="shared" si="171"/>
        <v>9.5680148162479988</v>
      </c>
      <c r="DT102" s="143">
        <f t="shared" si="171"/>
        <v>9.5680148162479988</v>
      </c>
      <c r="DU102" s="143">
        <f t="shared" si="171"/>
        <v>9.5680148162479988</v>
      </c>
      <c r="DV102" s="143">
        <f t="shared" si="72"/>
        <v>10.491274217438248</v>
      </c>
      <c r="DW102" s="143">
        <f t="shared" ref="DW102:EO102" si="172">DV102</f>
        <v>10.491274217438248</v>
      </c>
      <c r="DX102" s="143">
        <f t="shared" si="172"/>
        <v>10.491274217438248</v>
      </c>
      <c r="DY102" s="143">
        <f t="shared" si="172"/>
        <v>10.491274217438248</v>
      </c>
      <c r="DZ102" s="143">
        <f t="shared" si="172"/>
        <v>10.491274217438248</v>
      </c>
      <c r="EA102" s="143">
        <f t="shared" si="172"/>
        <v>10.491274217438248</v>
      </c>
      <c r="EB102" s="143">
        <f t="shared" si="172"/>
        <v>10.491274217438248</v>
      </c>
      <c r="EC102" s="143">
        <f t="shared" si="172"/>
        <v>10.491274217438248</v>
      </c>
      <c r="ED102" s="143">
        <f t="shared" si="172"/>
        <v>10.491274217438248</v>
      </c>
      <c r="EE102" s="143">
        <f t="shared" si="172"/>
        <v>10.491274217438248</v>
      </c>
      <c r="EF102" s="143">
        <f t="shared" si="172"/>
        <v>10.491274217438248</v>
      </c>
      <c r="EG102" s="143">
        <f t="shared" si="172"/>
        <v>10.491274217438248</v>
      </c>
      <c r="EH102" s="143">
        <f t="shared" si="172"/>
        <v>10.491274217438248</v>
      </c>
      <c r="EI102" s="143">
        <f t="shared" si="172"/>
        <v>10.491274217438248</v>
      </c>
      <c r="EJ102" s="143">
        <f t="shared" si="172"/>
        <v>10.491274217438248</v>
      </c>
      <c r="EK102" s="143">
        <f t="shared" si="172"/>
        <v>10.491274217438248</v>
      </c>
      <c r="EL102" s="143">
        <f t="shared" si="172"/>
        <v>10.491274217438248</v>
      </c>
      <c r="EM102" s="143">
        <f t="shared" si="172"/>
        <v>10.491274217438248</v>
      </c>
      <c r="EN102" s="143">
        <f t="shared" si="172"/>
        <v>10.491274217438248</v>
      </c>
      <c r="EO102" s="143">
        <f t="shared" si="172"/>
        <v>10.491274217438248</v>
      </c>
      <c r="EP102" s="143">
        <f t="shared" si="74"/>
        <v>10.969920942840002</v>
      </c>
      <c r="EQ102" s="143">
        <f t="shared" ref="EQ102:FI102" si="173">EP102</f>
        <v>10.969920942840002</v>
      </c>
      <c r="ER102" s="143">
        <f t="shared" si="173"/>
        <v>10.969920942840002</v>
      </c>
      <c r="ES102" s="143">
        <f t="shared" si="173"/>
        <v>10.969920942840002</v>
      </c>
      <c r="ET102" s="143">
        <f t="shared" si="173"/>
        <v>10.969920942840002</v>
      </c>
      <c r="EU102" s="143">
        <f t="shared" si="173"/>
        <v>10.969920942840002</v>
      </c>
      <c r="EV102" s="143">
        <f t="shared" si="173"/>
        <v>10.969920942840002</v>
      </c>
      <c r="EW102" s="143">
        <f t="shared" si="173"/>
        <v>10.969920942840002</v>
      </c>
      <c r="EX102" s="143">
        <f t="shared" si="173"/>
        <v>10.969920942840002</v>
      </c>
      <c r="EY102" s="143">
        <f t="shared" si="173"/>
        <v>10.969920942840002</v>
      </c>
      <c r="EZ102" s="143">
        <f t="shared" si="173"/>
        <v>10.969920942840002</v>
      </c>
      <c r="FA102" s="143">
        <f t="shared" si="173"/>
        <v>10.969920942840002</v>
      </c>
      <c r="FB102" s="143">
        <f t="shared" si="173"/>
        <v>10.969920942840002</v>
      </c>
      <c r="FC102" s="143">
        <f t="shared" si="173"/>
        <v>10.969920942840002</v>
      </c>
      <c r="FD102" s="143">
        <f t="shared" si="173"/>
        <v>10.969920942840002</v>
      </c>
      <c r="FE102" s="143">
        <f t="shared" si="173"/>
        <v>10.969920942840002</v>
      </c>
      <c r="FF102" s="143">
        <f t="shared" si="173"/>
        <v>10.969920942840002</v>
      </c>
      <c r="FG102" s="143">
        <f t="shared" si="173"/>
        <v>10.969920942840002</v>
      </c>
      <c r="FH102" s="143">
        <f t="shared" si="173"/>
        <v>10.969920942840002</v>
      </c>
      <c r="FI102" s="143">
        <f t="shared" si="173"/>
        <v>10.969920942840002</v>
      </c>
      <c r="FJ102" s="143">
        <f t="shared" si="76"/>
        <v>11.32779998084354</v>
      </c>
      <c r="FK102" s="143">
        <f t="shared" ref="FK102:GC102" si="174">FJ102</f>
        <v>11.32779998084354</v>
      </c>
      <c r="FL102" s="143">
        <f t="shared" si="174"/>
        <v>11.32779998084354</v>
      </c>
      <c r="FM102" s="143">
        <f t="shared" si="174"/>
        <v>11.32779998084354</v>
      </c>
      <c r="FN102" s="143">
        <f t="shared" si="174"/>
        <v>11.32779998084354</v>
      </c>
      <c r="FO102" s="143">
        <f t="shared" si="174"/>
        <v>11.32779998084354</v>
      </c>
      <c r="FP102" s="143">
        <f t="shared" si="174"/>
        <v>11.32779998084354</v>
      </c>
      <c r="FQ102" s="143">
        <f t="shared" si="174"/>
        <v>11.32779998084354</v>
      </c>
      <c r="FR102" s="143">
        <f t="shared" si="174"/>
        <v>11.32779998084354</v>
      </c>
      <c r="FS102" s="143">
        <f t="shared" si="174"/>
        <v>11.32779998084354</v>
      </c>
      <c r="FT102" s="143">
        <f t="shared" si="174"/>
        <v>11.32779998084354</v>
      </c>
      <c r="FU102" s="143">
        <f t="shared" si="174"/>
        <v>11.32779998084354</v>
      </c>
      <c r="FV102" s="143">
        <f t="shared" si="174"/>
        <v>11.32779998084354</v>
      </c>
      <c r="FW102" s="143">
        <f t="shared" si="174"/>
        <v>11.32779998084354</v>
      </c>
      <c r="FX102" s="143">
        <f t="shared" si="174"/>
        <v>11.32779998084354</v>
      </c>
      <c r="FY102" s="143">
        <f t="shared" si="174"/>
        <v>11.32779998084354</v>
      </c>
      <c r="FZ102" s="143">
        <f t="shared" si="174"/>
        <v>11.32779998084354</v>
      </c>
      <c r="GA102" s="143">
        <f t="shared" si="174"/>
        <v>11.32779998084354</v>
      </c>
      <c r="GB102" s="143">
        <f t="shared" si="174"/>
        <v>11.32779998084354</v>
      </c>
      <c r="GC102" s="143">
        <f t="shared" si="174"/>
        <v>11.32779998084354</v>
      </c>
      <c r="GD102" s="143">
        <f t="shared" si="78"/>
        <v>11.629819216441728</v>
      </c>
      <c r="GE102" s="143">
        <f t="shared" ref="GE102:GM102" si="175">GD102</f>
        <v>11.629819216441728</v>
      </c>
      <c r="GF102" s="143">
        <f t="shared" si="175"/>
        <v>11.629819216441728</v>
      </c>
      <c r="GG102" s="143">
        <f t="shared" si="175"/>
        <v>11.629819216441728</v>
      </c>
      <c r="GH102" s="143">
        <f t="shared" si="175"/>
        <v>11.629819216441728</v>
      </c>
      <c r="GI102" s="143">
        <f t="shared" si="175"/>
        <v>11.629819216441728</v>
      </c>
      <c r="GJ102" s="143">
        <f t="shared" si="175"/>
        <v>11.629819216441728</v>
      </c>
      <c r="GK102" s="143">
        <f t="shared" si="175"/>
        <v>11.629819216441728</v>
      </c>
      <c r="GL102" s="143">
        <f t="shared" si="175"/>
        <v>11.629819216441728</v>
      </c>
      <c r="GM102" s="143">
        <f t="shared" si="175"/>
        <v>11.629819216441728</v>
      </c>
      <c r="GN102" s="143">
        <f t="shared" si="80"/>
        <v>11.885178438872279</v>
      </c>
      <c r="GO102" s="143">
        <f t="shared" si="81"/>
        <v>11.885178438872279</v>
      </c>
      <c r="GP102" s="143">
        <f t="shared" si="81"/>
        <v>11.885178438872279</v>
      </c>
      <c r="GQ102" s="143">
        <f t="shared" si="81"/>
        <v>11.885178438872279</v>
      </c>
      <c r="GR102" s="143">
        <f t="shared" si="81"/>
        <v>11.885178438872279</v>
      </c>
      <c r="GS102" s="143">
        <f t="shared" si="82"/>
        <v>12.289954129510877</v>
      </c>
      <c r="GT102" s="143">
        <f t="shared" si="83"/>
        <v>12.289954129510877</v>
      </c>
      <c r="GU102" s="143">
        <f t="shared" si="83"/>
        <v>12.289954129510877</v>
      </c>
      <c r="GV102" s="143">
        <f t="shared" si="83"/>
        <v>12.289954129510877</v>
      </c>
      <c r="GW102" s="143">
        <f t="shared" si="84"/>
        <v>13.783090666708162</v>
      </c>
    </row>
    <row r="103" spans="1:205" s="46" customFormat="1" ht="9.75" customHeight="1">
      <c r="A103" s="60">
        <v>1989</v>
      </c>
      <c r="B103" s="143">
        <f t="shared" si="85"/>
        <v>0.38362715775823686</v>
      </c>
      <c r="C103" s="143">
        <f t="shared" si="54"/>
        <v>0.99554181290520871</v>
      </c>
      <c r="D103" s="60"/>
      <c r="E103" s="143">
        <f t="shared" si="55"/>
        <v>7.2723983925700466</v>
      </c>
      <c r="F103" s="143">
        <f t="shared" ref="F103:X103" si="176">E103</f>
        <v>7.2723983925700466</v>
      </c>
      <c r="G103" s="143">
        <f t="shared" si="176"/>
        <v>7.2723983925700466</v>
      </c>
      <c r="H103" s="143">
        <f t="shared" si="176"/>
        <v>7.2723983925700466</v>
      </c>
      <c r="I103" s="143">
        <f t="shared" si="176"/>
        <v>7.2723983925700466</v>
      </c>
      <c r="J103" s="143">
        <f t="shared" si="176"/>
        <v>7.2723983925700466</v>
      </c>
      <c r="K103" s="143">
        <f t="shared" si="176"/>
        <v>7.2723983925700466</v>
      </c>
      <c r="L103" s="143">
        <f t="shared" si="176"/>
        <v>7.2723983925700466</v>
      </c>
      <c r="M103" s="143">
        <f t="shared" si="176"/>
        <v>7.2723983925700466</v>
      </c>
      <c r="N103" s="143">
        <f t="shared" si="176"/>
        <v>7.2723983925700466</v>
      </c>
      <c r="O103" s="143">
        <f t="shared" si="176"/>
        <v>7.2723983925700466</v>
      </c>
      <c r="P103" s="143">
        <f t="shared" si="176"/>
        <v>7.2723983925700466</v>
      </c>
      <c r="Q103" s="143">
        <f t="shared" si="176"/>
        <v>7.2723983925700466</v>
      </c>
      <c r="R103" s="143">
        <f t="shared" si="176"/>
        <v>7.2723983925700466</v>
      </c>
      <c r="S103" s="143">
        <f t="shared" si="176"/>
        <v>7.2723983925700466</v>
      </c>
      <c r="T103" s="143">
        <f t="shared" si="176"/>
        <v>7.2723983925700466</v>
      </c>
      <c r="U103" s="143">
        <f t="shared" si="176"/>
        <v>7.2723983925700466</v>
      </c>
      <c r="V103" s="143">
        <f t="shared" si="176"/>
        <v>7.2723983925700466</v>
      </c>
      <c r="W103" s="143">
        <f t="shared" si="176"/>
        <v>7.2723983925700466</v>
      </c>
      <c r="X103" s="143">
        <f t="shared" si="176"/>
        <v>7.2723983925700466</v>
      </c>
      <c r="Y103" s="143">
        <f t="shared" si="57"/>
        <v>8.5546623715307124</v>
      </c>
      <c r="Z103" s="143">
        <f t="shared" ref="Z103:AR103" si="177">Y103</f>
        <v>8.5546623715307124</v>
      </c>
      <c r="AA103" s="143">
        <f t="shared" si="177"/>
        <v>8.5546623715307124</v>
      </c>
      <c r="AB103" s="143">
        <f t="shared" si="177"/>
        <v>8.5546623715307124</v>
      </c>
      <c r="AC103" s="143">
        <f t="shared" si="177"/>
        <v>8.5546623715307124</v>
      </c>
      <c r="AD103" s="143">
        <f t="shared" si="177"/>
        <v>8.5546623715307124</v>
      </c>
      <c r="AE103" s="143">
        <f t="shared" si="177"/>
        <v>8.5546623715307124</v>
      </c>
      <c r="AF103" s="143">
        <f t="shared" si="177"/>
        <v>8.5546623715307124</v>
      </c>
      <c r="AG103" s="143">
        <f t="shared" si="177"/>
        <v>8.5546623715307124</v>
      </c>
      <c r="AH103" s="143">
        <f t="shared" si="177"/>
        <v>8.5546623715307124</v>
      </c>
      <c r="AI103" s="143">
        <f t="shared" si="177"/>
        <v>8.5546623715307124</v>
      </c>
      <c r="AJ103" s="143">
        <f t="shared" si="177"/>
        <v>8.5546623715307124</v>
      </c>
      <c r="AK103" s="143">
        <f t="shared" si="177"/>
        <v>8.5546623715307124</v>
      </c>
      <c r="AL103" s="143">
        <f t="shared" si="177"/>
        <v>8.5546623715307124</v>
      </c>
      <c r="AM103" s="143">
        <f t="shared" si="177"/>
        <v>8.5546623715307124</v>
      </c>
      <c r="AN103" s="143">
        <f t="shared" si="177"/>
        <v>8.5546623715307124</v>
      </c>
      <c r="AO103" s="143">
        <f t="shared" si="177"/>
        <v>8.5546623715307124</v>
      </c>
      <c r="AP103" s="143">
        <f t="shared" si="177"/>
        <v>8.5546623715307124</v>
      </c>
      <c r="AQ103" s="143">
        <f t="shared" si="177"/>
        <v>8.5546623715307124</v>
      </c>
      <c r="AR103" s="143">
        <f t="shared" si="177"/>
        <v>8.5546623715307124</v>
      </c>
      <c r="AS103" s="143">
        <f t="shared" si="59"/>
        <v>9.2709367580998769</v>
      </c>
      <c r="AT103" s="143">
        <f t="shared" ref="AT103:BL103" si="178">AS103</f>
        <v>9.2709367580998769</v>
      </c>
      <c r="AU103" s="143">
        <f t="shared" si="178"/>
        <v>9.2709367580998769</v>
      </c>
      <c r="AV103" s="143">
        <f t="shared" si="178"/>
        <v>9.2709367580998769</v>
      </c>
      <c r="AW103" s="143">
        <f t="shared" si="178"/>
        <v>9.2709367580998769</v>
      </c>
      <c r="AX103" s="143">
        <f t="shared" si="178"/>
        <v>9.2709367580998769</v>
      </c>
      <c r="AY103" s="143">
        <f t="shared" si="178"/>
        <v>9.2709367580998769</v>
      </c>
      <c r="AZ103" s="143">
        <f t="shared" si="178"/>
        <v>9.2709367580998769</v>
      </c>
      <c r="BA103" s="143">
        <f t="shared" si="178"/>
        <v>9.2709367580998769</v>
      </c>
      <c r="BB103" s="143">
        <f t="shared" si="178"/>
        <v>9.2709367580998769</v>
      </c>
      <c r="BC103" s="143">
        <f t="shared" si="178"/>
        <v>9.2709367580998769</v>
      </c>
      <c r="BD103" s="143">
        <f t="shared" si="178"/>
        <v>9.2709367580998769</v>
      </c>
      <c r="BE103" s="143">
        <f t="shared" si="178"/>
        <v>9.2709367580998769</v>
      </c>
      <c r="BF103" s="143">
        <f t="shared" si="178"/>
        <v>9.2709367580998769</v>
      </c>
      <c r="BG103" s="143">
        <f t="shared" si="178"/>
        <v>9.2709367580998769</v>
      </c>
      <c r="BH103" s="143">
        <f t="shared" si="178"/>
        <v>9.2709367580998769</v>
      </c>
      <c r="BI103" s="143">
        <f t="shared" si="178"/>
        <v>9.2709367580998769</v>
      </c>
      <c r="BJ103" s="143">
        <f t="shared" si="178"/>
        <v>9.2709367580998769</v>
      </c>
      <c r="BK103" s="143">
        <f t="shared" si="178"/>
        <v>9.2709367580998769</v>
      </c>
      <c r="BL103" s="143">
        <f t="shared" si="178"/>
        <v>9.2709367580998769</v>
      </c>
      <c r="BM103" s="143">
        <f t="shared" si="61"/>
        <v>9.7695446466802203</v>
      </c>
      <c r="BN103" s="143">
        <f t="shared" ref="BN103:CF103" si="179">BM103</f>
        <v>9.7695446466802203</v>
      </c>
      <c r="BO103" s="143">
        <f t="shared" si="179"/>
        <v>9.7695446466802203</v>
      </c>
      <c r="BP103" s="143">
        <f t="shared" si="179"/>
        <v>9.7695446466802203</v>
      </c>
      <c r="BQ103" s="143">
        <f t="shared" si="179"/>
        <v>9.7695446466802203</v>
      </c>
      <c r="BR103" s="143">
        <f t="shared" si="179"/>
        <v>9.7695446466802203</v>
      </c>
      <c r="BS103" s="143">
        <f t="shared" si="179"/>
        <v>9.7695446466802203</v>
      </c>
      <c r="BT103" s="143">
        <f t="shared" si="179"/>
        <v>9.7695446466802203</v>
      </c>
      <c r="BU103" s="143">
        <f t="shared" si="179"/>
        <v>9.7695446466802203</v>
      </c>
      <c r="BV103" s="143">
        <f t="shared" si="179"/>
        <v>9.7695446466802203</v>
      </c>
      <c r="BW103" s="143">
        <f t="shared" si="179"/>
        <v>9.7695446466802203</v>
      </c>
      <c r="BX103" s="143">
        <f t="shared" si="179"/>
        <v>9.7695446466802203</v>
      </c>
      <c r="BY103" s="143">
        <f t="shared" si="179"/>
        <v>9.7695446466802203</v>
      </c>
      <c r="BZ103" s="143">
        <f t="shared" si="179"/>
        <v>9.7695446466802203</v>
      </c>
      <c r="CA103" s="143">
        <f t="shared" si="179"/>
        <v>9.7695446466802203</v>
      </c>
      <c r="CB103" s="143">
        <f t="shared" si="179"/>
        <v>9.7695446466802203</v>
      </c>
      <c r="CC103" s="143">
        <f t="shared" si="179"/>
        <v>9.7695446466802203</v>
      </c>
      <c r="CD103" s="143">
        <f t="shared" si="179"/>
        <v>9.7695446466802203</v>
      </c>
      <c r="CE103" s="143">
        <f t="shared" si="179"/>
        <v>9.7695446466802203</v>
      </c>
      <c r="CF103" s="143">
        <f t="shared" si="179"/>
        <v>9.7695446466802203</v>
      </c>
      <c r="CG103" s="143">
        <f t="shared" si="63"/>
        <v>10.175154565791225</v>
      </c>
      <c r="CH103" s="143">
        <f t="shared" ref="CH103:CP103" si="180">CG103</f>
        <v>10.175154565791225</v>
      </c>
      <c r="CI103" s="143">
        <f t="shared" si="180"/>
        <v>10.175154565791225</v>
      </c>
      <c r="CJ103" s="143">
        <f t="shared" si="180"/>
        <v>10.175154565791225</v>
      </c>
      <c r="CK103" s="143">
        <f t="shared" si="180"/>
        <v>10.175154565791225</v>
      </c>
      <c r="CL103" s="143">
        <f t="shared" si="180"/>
        <v>10.175154565791225</v>
      </c>
      <c r="CM103" s="143">
        <f t="shared" si="180"/>
        <v>10.175154565791225</v>
      </c>
      <c r="CN103" s="143">
        <f t="shared" si="180"/>
        <v>10.175154565791225</v>
      </c>
      <c r="CO103" s="143">
        <f t="shared" si="180"/>
        <v>10.175154565791225</v>
      </c>
      <c r="CP103" s="143">
        <f t="shared" si="180"/>
        <v>10.175154565791225</v>
      </c>
      <c r="CQ103" s="143">
        <f t="shared" si="65"/>
        <v>10.482765901936562</v>
      </c>
      <c r="CR103" s="143">
        <f t="shared" si="66"/>
        <v>10.482765901936562</v>
      </c>
      <c r="CS103" s="143">
        <f t="shared" si="66"/>
        <v>10.482765901936562</v>
      </c>
      <c r="CT103" s="143">
        <f t="shared" si="66"/>
        <v>10.482765901936562</v>
      </c>
      <c r="CU103" s="143">
        <f t="shared" si="66"/>
        <v>10.482765901936562</v>
      </c>
      <c r="CV103" s="143">
        <f t="shared" si="67"/>
        <v>10.934714605349786</v>
      </c>
      <c r="CW103" s="143">
        <f t="shared" si="68"/>
        <v>10.934714605349786</v>
      </c>
      <c r="CX103" s="143">
        <f t="shared" si="68"/>
        <v>10.934714605349786</v>
      </c>
      <c r="CY103" s="143">
        <f t="shared" si="68"/>
        <v>10.934714605349786</v>
      </c>
      <c r="CZ103" s="143">
        <f t="shared" si="69"/>
        <v>12.434606045478761</v>
      </c>
      <c r="DA103" s="60"/>
      <c r="DB103" s="143">
        <f t="shared" si="70"/>
        <v>9.6158054800843473</v>
      </c>
      <c r="DC103" s="143">
        <f t="shared" ref="DC103:DU103" si="181">DB103</f>
        <v>9.6158054800843473</v>
      </c>
      <c r="DD103" s="143">
        <f t="shared" si="181"/>
        <v>9.6158054800843473</v>
      </c>
      <c r="DE103" s="143">
        <f t="shared" si="181"/>
        <v>9.6158054800843473</v>
      </c>
      <c r="DF103" s="143">
        <f t="shared" si="181"/>
        <v>9.6158054800843473</v>
      </c>
      <c r="DG103" s="143">
        <f t="shared" si="181"/>
        <v>9.6158054800843473</v>
      </c>
      <c r="DH103" s="143">
        <f t="shared" si="181"/>
        <v>9.6158054800843473</v>
      </c>
      <c r="DI103" s="143">
        <f t="shared" si="181"/>
        <v>9.6158054800843473</v>
      </c>
      <c r="DJ103" s="143">
        <f t="shared" si="181"/>
        <v>9.6158054800843473</v>
      </c>
      <c r="DK103" s="143">
        <f t="shared" si="181"/>
        <v>9.6158054800843473</v>
      </c>
      <c r="DL103" s="143">
        <f t="shared" si="181"/>
        <v>9.6158054800843473</v>
      </c>
      <c r="DM103" s="143">
        <f t="shared" si="181"/>
        <v>9.6158054800843473</v>
      </c>
      <c r="DN103" s="143">
        <f t="shared" si="181"/>
        <v>9.6158054800843473</v>
      </c>
      <c r="DO103" s="143">
        <f t="shared" si="181"/>
        <v>9.6158054800843473</v>
      </c>
      <c r="DP103" s="143">
        <f t="shared" si="181"/>
        <v>9.6158054800843473</v>
      </c>
      <c r="DQ103" s="143">
        <f t="shared" si="181"/>
        <v>9.6158054800843473</v>
      </c>
      <c r="DR103" s="143">
        <f t="shared" si="181"/>
        <v>9.6158054800843473</v>
      </c>
      <c r="DS103" s="143">
        <f t="shared" si="181"/>
        <v>9.6158054800843473</v>
      </c>
      <c r="DT103" s="143">
        <f t="shared" si="181"/>
        <v>9.6158054800843473</v>
      </c>
      <c r="DU103" s="143">
        <f t="shared" si="181"/>
        <v>9.6158054800843473</v>
      </c>
      <c r="DV103" s="143">
        <f t="shared" si="72"/>
        <v>10.499573020252942</v>
      </c>
      <c r="DW103" s="143">
        <f t="shared" ref="DW103:EO103" si="182">DV103</f>
        <v>10.499573020252942</v>
      </c>
      <c r="DX103" s="143">
        <f t="shared" si="182"/>
        <v>10.499573020252942</v>
      </c>
      <c r="DY103" s="143">
        <f t="shared" si="182"/>
        <v>10.499573020252942</v>
      </c>
      <c r="DZ103" s="143">
        <f t="shared" si="182"/>
        <v>10.499573020252942</v>
      </c>
      <c r="EA103" s="143">
        <f t="shared" si="182"/>
        <v>10.499573020252942</v>
      </c>
      <c r="EB103" s="143">
        <f t="shared" si="182"/>
        <v>10.499573020252942</v>
      </c>
      <c r="EC103" s="143">
        <f t="shared" si="182"/>
        <v>10.499573020252942</v>
      </c>
      <c r="ED103" s="143">
        <f t="shared" si="182"/>
        <v>10.499573020252942</v>
      </c>
      <c r="EE103" s="143">
        <f t="shared" si="182"/>
        <v>10.499573020252942</v>
      </c>
      <c r="EF103" s="143">
        <f t="shared" si="182"/>
        <v>10.499573020252942</v>
      </c>
      <c r="EG103" s="143">
        <f t="shared" si="182"/>
        <v>10.499573020252942</v>
      </c>
      <c r="EH103" s="143">
        <f t="shared" si="182"/>
        <v>10.499573020252942</v>
      </c>
      <c r="EI103" s="143">
        <f t="shared" si="182"/>
        <v>10.499573020252942</v>
      </c>
      <c r="EJ103" s="143">
        <f t="shared" si="182"/>
        <v>10.499573020252942</v>
      </c>
      <c r="EK103" s="143">
        <f t="shared" si="182"/>
        <v>10.499573020252942</v>
      </c>
      <c r="EL103" s="143">
        <f t="shared" si="182"/>
        <v>10.499573020252942</v>
      </c>
      <c r="EM103" s="143">
        <f t="shared" si="182"/>
        <v>10.499573020252942</v>
      </c>
      <c r="EN103" s="143">
        <f t="shared" si="182"/>
        <v>10.499573020252942</v>
      </c>
      <c r="EO103" s="143">
        <f t="shared" si="182"/>
        <v>10.499573020252942</v>
      </c>
      <c r="EP103" s="143">
        <f t="shared" si="74"/>
        <v>10.980195005816189</v>
      </c>
      <c r="EQ103" s="143">
        <f t="shared" ref="EQ103:FI103" si="183">EP103</f>
        <v>10.980195005816189</v>
      </c>
      <c r="ER103" s="143">
        <f t="shared" si="183"/>
        <v>10.980195005816189</v>
      </c>
      <c r="ES103" s="143">
        <f t="shared" si="183"/>
        <v>10.980195005816189</v>
      </c>
      <c r="ET103" s="143">
        <f t="shared" si="183"/>
        <v>10.980195005816189</v>
      </c>
      <c r="EU103" s="143">
        <f t="shared" si="183"/>
        <v>10.980195005816189</v>
      </c>
      <c r="EV103" s="143">
        <f t="shared" si="183"/>
        <v>10.980195005816189</v>
      </c>
      <c r="EW103" s="143">
        <f t="shared" si="183"/>
        <v>10.980195005816189</v>
      </c>
      <c r="EX103" s="143">
        <f t="shared" si="183"/>
        <v>10.980195005816189</v>
      </c>
      <c r="EY103" s="143">
        <f t="shared" si="183"/>
        <v>10.980195005816189</v>
      </c>
      <c r="EZ103" s="143">
        <f t="shared" si="183"/>
        <v>10.980195005816189</v>
      </c>
      <c r="FA103" s="143">
        <f t="shared" si="183"/>
        <v>10.980195005816189</v>
      </c>
      <c r="FB103" s="143">
        <f t="shared" si="183"/>
        <v>10.980195005816189</v>
      </c>
      <c r="FC103" s="143">
        <f t="shared" si="183"/>
        <v>10.980195005816189</v>
      </c>
      <c r="FD103" s="143">
        <f t="shared" si="183"/>
        <v>10.980195005816189</v>
      </c>
      <c r="FE103" s="143">
        <f t="shared" si="183"/>
        <v>10.980195005816189</v>
      </c>
      <c r="FF103" s="143">
        <f t="shared" si="183"/>
        <v>10.980195005816189</v>
      </c>
      <c r="FG103" s="143">
        <f t="shared" si="183"/>
        <v>10.980195005816189</v>
      </c>
      <c r="FH103" s="143">
        <f t="shared" si="183"/>
        <v>10.980195005816189</v>
      </c>
      <c r="FI103" s="143">
        <f t="shared" si="183"/>
        <v>10.980195005816189</v>
      </c>
      <c r="FJ103" s="143">
        <f t="shared" si="76"/>
        <v>11.339761845961039</v>
      </c>
      <c r="FK103" s="143">
        <f t="shared" ref="FK103:GC103" si="184">FJ103</f>
        <v>11.339761845961039</v>
      </c>
      <c r="FL103" s="143">
        <f t="shared" si="184"/>
        <v>11.339761845961039</v>
      </c>
      <c r="FM103" s="143">
        <f t="shared" si="184"/>
        <v>11.339761845961039</v>
      </c>
      <c r="FN103" s="143">
        <f t="shared" si="184"/>
        <v>11.339761845961039</v>
      </c>
      <c r="FO103" s="143">
        <f t="shared" si="184"/>
        <v>11.339761845961039</v>
      </c>
      <c r="FP103" s="143">
        <f t="shared" si="184"/>
        <v>11.339761845961039</v>
      </c>
      <c r="FQ103" s="143">
        <f t="shared" si="184"/>
        <v>11.339761845961039</v>
      </c>
      <c r="FR103" s="143">
        <f t="shared" si="184"/>
        <v>11.339761845961039</v>
      </c>
      <c r="FS103" s="143">
        <f t="shared" si="184"/>
        <v>11.339761845961039</v>
      </c>
      <c r="FT103" s="143">
        <f t="shared" si="184"/>
        <v>11.339761845961039</v>
      </c>
      <c r="FU103" s="143">
        <f t="shared" si="184"/>
        <v>11.339761845961039</v>
      </c>
      <c r="FV103" s="143">
        <f t="shared" si="184"/>
        <v>11.339761845961039</v>
      </c>
      <c r="FW103" s="143">
        <f t="shared" si="184"/>
        <v>11.339761845961039</v>
      </c>
      <c r="FX103" s="143">
        <f t="shared" si="184"/>
        <v>11.339761845961039</v>
      </c>
      <c r="FY103" s="143">
        <f t="shared" si="184"/>
        <v>11.339761845961039</v>
      </c>
      <c r="FZ103" s="143">
        <f t="shared" si="184"/>
        <v>11.339761845961039</v>
      </c>
      <c r="GA103" s="143">
        <f t="shared" si="184"/>
        <v>11.339761845961039</v>
      </c>
      <c r="GB103" s="143">
        <f t="shared" si="184"/>
        <v>11.339761845961039</v>
      </c>
      <c r="GC103" s="143">
        <f t="shared" si="184"/>
        <v>11.339761845961039</v>
      </c>
      <c r="GD103" s="143">
        <f t="shared" si="78"/>
        <v>11.644830535850167</v>
      </c>
      <c r="GE103" s="143">
        <f t="shared" ref="GE103:GM103" si="185">GD103</f>
        <v>11.644830535850167</v>
      </c>
      <c r="GF103" s="143">
        <f t="shared" si="185"/>
        <v>11.644830535850167</v>
      </c>
      <c r="GG103" s="143">
        <f t="shared" si="185"/>
        <v>11.644830535850167</v>
      </c>
      <c r="GH103" s="143">
        <f t="shared" si="185"/>
        <v>11.644830535850167</v>
      </c>
      <c r="GI103" s="143">
        <f t="shared" si="185"/>
        <v>11.644830535850167</v>
      </c>
      <c r="GJ103" s="143">
        <f t="shared" si="185"/>
        <v>11.644830535850167</v>
      </c>
      <c r="GK103" s="143">
        <f t="shared" si="185"/>
        <v>11.644830535850167</v>
      </c>
      <c r="GL103" s="143">
        <f t="shared" si="185"/>
        <v>11.644830535850167</v>
      </c>
      <c r="GM103" s="143">
        <f t="shared" si="185"/>
        <v>11.644830535850167</v>
      </c>
      <c r="GN103" s="143">
        <f t="shared" si="80"/>
        <v>11.901583454762012</v>
      </c>
      <c r="GO103" s="143">
        <f t="shared" si="81"/>
        <v>11.901583454762012</v>
      </c>
      <c r="GP103" s="143">
        <f t="shared" si="81"/>
        <v>11.901583454762012</v>
      </c>
      <c r="GQ103" s="143">
        <f t="shared" si="81"/>
        <v>11.901583454762012</v>
      </c>
      <c r="GR103" s="143">
        <f t="shared" si="81"/>
        <v>11.901583454762012</v>
      </c>
      <c r="GS103" s="143">
        <f t="shared" si="82"/>
        <v>12.309080395604402</v>
      </c>
      <c r="GT103" s="143">
        <f t="shared" si="83"/>
        <v>12.309080395604402</v>
      </c>
      <c r="GU103" s="143">
        <f t="shared" si="83"/>
        <v>12.309080395604402</v>
      </c>
      <c r="GV103" s="143">
        <f t="shared" si="83"/>
        <v>12.309080395604402</v>
      </c>
      <c r="GW103" s="143">
        <f t="shared" si="84"/>
        <v>13.71114954263953</v>
      </c>
    </row>
    <row r="104" spans="1:205" s="46" customFormat="1" ht="9.75" customHeight="1">
      <c r="A104" s="60">
        <v>1990</v>
      </c>
      <c r="B104" s="143">
        <f t="shared" si="85"/>
        <v>0.34356374765485143</v>
      </c>
      <c r="C104" s="143">
        <f t="shared" si="54"/>
        <v>0.99684097518517423</v>
      </c>
      <c r="D104" s="60"/>
      <c r="E104" s="143">
        <f t="shared" si="55"/>
        <v>7.4071963438814894</v>
      </c>
      <c r="F104" s="143">
        <f t="shared" ref="F104:X104" si="186">E104</f>
        <v>7.4071963438814894</v>
      </c>
      <c r="G104" s="143">
        <f t="shared" si="186"/>
        <v>7.4071963438814894</v>
      </c>
      <c r="H104" s="143">
        <f t="shared" si="186"/>
        <v>7.4071963438814894</v>
      </c>
      <c r="I104" s="143">
        <f t="shared" si="186"/>
        <v>7.4071963438814894</v>
      </c>
      <c r="J104" s="143">
        <f t="shared" si="186"/>
        <v>7.4071963438814894</v>
      </c>
      <c r="K104" s="143">
        <f t="shared" si="186"/>
        <v>7.4071963438814894</v>
      </c>
      <c r="L104" s="143">
        <f t="shared" si="186"/>
        <v>7.4071963438814894</v>
      </c>
      <c r="M104" s="143">
        <f t="shared" si="186"/>
        <v>7.4071963438814894</v>
      </c>
      <c r="N104" s="143">
        <f t="shared" si="186"/>
        <v>7.4071963438814894</v>
      </c>
      <c r="O104" s="143">
        <f t="shared" si="186"/>
        <v>7.4071963438814894</v>
      </c>
      <c r="P104" s="143">
        <f t="shared" si="186"/>
        <v>7.4071963438814894</v>
      </c>
      <c r="Q104" s="143">
        <f t="shared" si="186"/>
        <v>7.4071963438814894</v>
      </c>
      <c r="R104" s="143">
        <f t="shared" si="186"/>
        <v>7.4071963438814894</v>
      </c>
      <c r="S104" s="143">
        <f t="shared" si="186"/>
        <v>7.4071963438814894</v>
      </c>
      <c r="T104" s="143">
        <f t="shared" si="186"/>
        <v>7.4071963438814894</v>
      </c>
      <c r="U104" s="143">
        <f t="shared" si="186"/>
        <v>7.4071963438814894</v>
      </c>
      <c r="V104" s="143">
        <f t="shared" si="186"/>
        <v>7.4071963438814894</v>
      </c>
      <c r="W104" s="143">
        <f t="shared" si="186"/>
        <v>7.4071963438814894</v>
      </c>
      <c r="X104" s="143">
        <f t="shared" si="186"/>
        <v>7.4071963438814894</v>
      </c>
      <c r="Y104" s="143">
        <f t="shared" si="57"/>
        <v>8.6349762270726202</v>
      </c>
      <c r="Z104" s="143">
        <f t="shared" ref="Z104:AR104" si="187">Y104</f>
        <v>8.6349762270726202</v>
      </c>
      <c r="AA104" s="143">
        <f t="shared" si="187"/>
        <v>8.6349762270726202</v>
      </c>
      <c r="AB104" s="143">
        <f t="shared" si="187"/>
        <v>8.6349762270726202</v>
      </c>
      <c r="AC104" s="143">
        <f t="shared" si="187"/>
        <v>8.6349762270726202</v>
      </c>
      <c r="AD104" s="143">
        <f t="shared" si="187"/>
        <v>8.6349762270726202</v>
      </c>
      <c r="AE104" s="143">
        <f t="shared" si="187"/>
        <v>8.6349762270726202</v>
      </c>
      <c r="AF104" s="143">
        <f t="shared" si="187"/>
        <v>8.6349762270726202</v>
      </c>
      <c r="AG104" s="143">
        <f t="shared" si="187"/>
        <v>8.6349762270726202</v>
      </c>
      <c r="AH104" s="143">
        <f t="shared" si="187"/>
        <v>8.6349762270726202</v>
      </c>
      <c r="AI104" s="143">
        <f t="shared" si="187"/>
        <v>8.6349762270726202</v>
      </c>
      <c r="AJ104" s="143">
        <f t="shared" si="187"/>
        <v>8.6349762270726202</v>
      </c>
      <c r="AK104" s="143">
        <f t="shared" si="187"/>
        <v>8.6349762270726202</v>
      </c>
      <c r="AL104" s="143">
        <f t="shared" si="187"/>
        <v>8.6349762270726202</v>
      </c>
      <c r="AM104" s="143">
        <f t="shared" si="187"/>
        <v>8.6349762270726202</v>
      </c>
      <c r="AN104" s="143">
        <f t="shared" si="187"/>
        <v>8.6349762270726202</v>
      </c>
      <c r="AO104" s="143">
        <f t="shared" si="187"/>
        <v>8.6349762270726202</v>
      </c>
      <c r="AP104" s="143">
        <f t="shared" si="187"/>
        <v>8.6349762270726202</v>
      </c>
      <c r="AQ104" s="143">
        <f t="shared" si="187"/>
        <v>8.6349762270726202</v>
      </c>
      <c r="AR104" s="143">
        <f t="shared" si="187"/>
        <v>8.6349762270726202</v>
      </c>
      <c r="AS104" s="143">
        <f t="shared" si="59"/>
        <v>9.2832376114888486</v>
      </c>
      <c r="AT104" s="143">
        <f t="shared" ref="AT104:BL104" si="188">AS104</f>
        <v>9.2832376114888486</v>
      </c>
      <c r="AU104" s="143">
        <f t="shared" si="188"/>
        <v>9.2832376114888486</v>
      </c>
      <c r="AV104" s="143">
        <f t="shared" si="188"/>
        <v>9.2832376114888486</v>
      </c>
      <c r="AW104" s="143">
        <f t="shared" si="188"/>
        <v>9.2832376114888486</v>
      </c>
      <c r="AX104" s="143">
        <f t="shared" si="188"/>
        <v>9.2832376114888486</v>
      </c>
      <c r="AY104" s="143">
        <f t="shared" si="188"/>
        <v>9.2832376114888486</v>
      </c>
      <c r="AZ104" s="143">
        <f t="shared" si="188"/>
        <v>9.2832376114888486</v>
      </c>
      <c r="BA104" s="143">
        <f t="shared" si="188"/>
        <v>9.2832376114888486</v>
      </c>
      <c r="BB104" s="143">
        <f t="shared" si="188"/>
        <v>9.2832376114888486</v>
      </c>
      <c r="BC104" s="143">
        <f t="shared" si="188"/>
        <v>9.2832376114888486</v>
      </c>
      <c r="BD104" s="143">
        <f t="shared" si="188"/>
        <v>9.2832376114888486</v>
      </c>
      <c r="BE104" s="143">
        <f t="shared" si="188"/>
        <v>9.2832376114888486</v>
      </c>
      <c r="BF104" s="143">
        <f t="shared" si="188"/>
        <v>9.2832376114888486</v>
      </c>
      <c r="BG104" s="143">
        <f t="shared" si="188"/>
        <v>9.2832376114888486</v>
      </c>
      <c r="BH104" s="143">
        <f t="shared" si="188"/>
        <v>9.2832376114888486</v>
      </c>
      <c r="BI104" s="143">
        <f t="shared" si="188"/>
        <v>9.2832376114888486</v>
      </c>
      <c r="BJ104" s="143">
        <f t="shared" si="188"/>
        <v>9.2832376114888486</v>
      </c>
      <c r="BK104" s="143">
        <f t="shared" si="188"/>
        <v>9.2832376114888486</v>
      </c>
      <c r="BL104" s="143">
        <f t="shared" si="188"/>
        <v>9.2832376114888486</v>
      </c>
      <c r="BM104" s="143">
        <f t="shared" si="61"/>
        <v>9.762384711558127</v>
      </c>
      <c r="BN104" s="143">
        <f t="shared" ref="BN104:CF104" si="189">BM104</f>
        <v>9.762384711558127</v>
      </c>
      <c r="BO104" s="143">
        <f t="shared" si="189"/>
        <v>9.762384711558127</v>
      </c>
      <c r="BP104" s="143">
        <f t="shared" si="189"/>
        <v>9.762384711558127</v>
      </c>
      <c r="BQ104" s="143">
        <f t="shared" si="189"/>
        <v>9.762384711558127</v>
      </c>
      <c r="BR104" s="143">
        <f t="shared" si="189"/>
        <v>9.762384711558127</v>
      </c>
      <c r="BS104" s="143">
        <f t="shared" si="189"/>
        <v>9.762384711558127</v>
      </c>
      <c r="BT104" s="143">
        <f t="shared" si="189"/>
        <v>9.762384711558127</v>
      </c>
      <c r="BU104" s="143">
        <f t="shared" si="189"/>
        <v>9.762384711558127</v>
      </c>
      <c r="BV104" s="143">
        <f t="shared" si="189"/>
        <v>9.762384711558127</v>
      </c>
      <c r="BW104" s="143">
        <f t="shared" si="189"/>
        <v>9.762384711558127</v>
      </c>
      <c r="BX104" s="143">
        <f t="shared" si="189"/>
        <v>9.762384711558127</v>
      </c>
      <c r="BY104" s="143">
        <f t="shared" si="189"/>
        <v>9.762384711558127</v>
      </c>
      <c r="BZ104" s="143">
        <f t="shared" si="189"/>
        <v>9.762384711558127</v>
      </c>
      <c r="CA104" s="143">
        <f t="shared" si="189"/>
        <v>9.762384711558127</v>
      </c>
      <c r="CB104" s="143">
        <f t="shared" si="189"/>
        <v>9.762384711558127</v>
      </c>
      <c r="CC104" s="143">
        <f t="shared" si="189"/>
        <v>9.762384711558127</v>
      </c>
      <c r="CD104" s="143">
        <f t="shared" si="189"/>
        <v>9.762384711558127</v>
      </c>
      <c r="CE104" s="143">
        <f t="shared" si="189"/>
        <v>9.762384711558127</v>
      </c>
      <c r="CF104" s="143">
        <f t="shared" si="189"/>
        <v>9.762384711558127</v>
      </c>
      <c r="CG104" s="143">
        <f t="shared" si="63"/>
        <v>10.162808729968926</v>
      </c>
      <c r="CH104" s="143">
        <f t="shared" ref="CH104:CP104" si="190">CG104</f>
        <v>10.162808729968926</v>
      </c>
      <c r="CI104" s="143">
        <f t="shared" si="190"/>
        <v>10.162808729968926</v>
      </c>
      <c r="CJ104" s="143">
        <f t="shared" si="190"/>
        <v>10.162808729968926</v>
      </c>
      <c r="CK104" s="143">
        <f t="shared" si="190"/>
        <v>10.162808729968926</v>
      </c>
      <c r="CL104" s="143">
        <f t="shared" si="190"/>
        <v>10.162808729968926</v>
      </c>
      <c r="CM104" s="143">
        <f t="shared" si="190"/>
        <v>10.162808729968926</v>
      </c>
      <c r="CN104" s="143">
        <f t="shared" si="190"/>
        <v>10.162808729968926</v>
      </c>
      <c r="CO104" s="143">
        <f t="shared" si="190"/>
        <v>10.162808729968926</v>
      </c>
      <c r="CP104" s="143">
        <f t="shared" si="190"/>
        <v>10.162808729968926</v>
      </c>
      <c r="CQ104" s="143">
        <f t="shared" si="65"/>
        <v>10.455304436496132</v>
      </c>
      <c r="CR104" s="143">
        <f t="shared" si="66"/>
        <v>10.455304436496132</v>
      </c>
      <c r="CS104" s="143">
        <f t="shared" si="66"/>
        <v>10.455304436496132</v>
      </c>
      <c r="CT104" s="143">
        <f t="shared" si="66"/>
        <v>10.455304436496132</v>
      </c>
      <c r="CU104" s="143">
        <f t="shared" si="66"/>
        <v>10.455304436496132</v>
      </c>
      <c r="CV104" s="143">
        <f t="shared" si="67"/>
        <v>10.902853926546266</v>
      </c>
      <c r="CW104" s="143">
        <f t="shared" si="68"/>
        <v>10.902853926546266</v>
      </c>
      <c r="CX104" s="143">
        <f t="shared" si="68"/>
        <v>10.902853926546266</v>
      </c>
      <c r="CY104" s="143">
        <f t="shared" si="68"/>
        <v>10.902853926546266</v>
      </c>
      <c r="CZ104" s="143">
        <f t="shared" si="69"/>
        <v>12.394577545991631</v>
      </c>
      <c r="DA104" s="60"/>
      <c r="DB104" s="143">
        <f t="shared" si="70"/>
        <v>9.6421227884017213</v>
      </c>
      <c r="DC104" s="143">
        <f t="shared" ref="DC104:DU104" si="191">DB104</f>
        <v>9.6421227884017213</v>
      </c>
      <c r="DD104" s="143">
        <f t="shared" si="191"/>
        <v>9.6421227884017213</v>
      </c>
      <c r="DE104" s="143">
        <f t="shared" si="191"/>
        <v>9.6421227884017213</v>
      </c>
      <c r="DF104" s="143">
        <f t="shared" si="191"/>
        <v>9.6421227884017213</v>
      </c>
      <c r="DG104" s="143">
        <f t="shared" si="191"/>
        <v>9.6421227884017213</v>
      </c>
      <c r="DH104" s="143">
        <f t="shared" si="191"/>
        <v>9.6421227884017213</v>
      </c>
      <c r="DI104" s="143">
        <f t="shared" si="191"/>
        <v>9.6421227884017213</v>
      </c>
      <c r="DJ104" s="143">
        <f t="shared" si="191"/>
        <v>9.6421227884017213</v>
      </c>
      <c r="DK104" s="143">
        <f t="shared" si="191"/>
        <v>9.6421227884017213</v>
      </c>
      <c r="DL104" s="143">
        <f t="shared" si="191"/>
        <v>9.6421227884017213</v>
      </c>
      <c r="DM104" s="143">
        <f t="shared" si="191"/>
        <v>9.6421227884017213</v>
      </c>
      <c r="DN104" s="143">
        <f t="shared" si="191"/>
        <v>9.6421227884017213</v>
      </c>
      <c r="DO104" s="143">
        <f t="shared" si="191"/>
        <v>9.6421227884017213</v>
      </c>
      <c r="DP104" s="143">
        <f t="shared" si="191"/>
        <v>9.6421227884017213</v>
      </c>
      <c r="DQ104" s="143">
        <f t="shared" si="191"/>
        <v>9.6421227884017213</v>
      </c>
      <c r="DR104" s="143">
        <f t="shared" si="191"/>
        <v>9.6421227884017213</v>
      </c>
      <c r="DS104" s="143">
        <f t="shared" si="191"/>
        <v>9.6421227884017213</v>
      </c>
      <c r="DT104" s="143">
        <f t="shared" si="191"/>
        <v>9.6421227884017213</v>
      </c>
      <c r="DU104" s="143">
        <f t="shared" si="191"/>
        <v>9.6421227884017213</v>
      </c>
      <c r="DV104" s="143">
        <f t="shared" si="72"/>
        <v>10.532096211958502</v>
      </c>
      <c r="DW104" s="143">
        <f t="shared" ref="DW104:EO104" si="192">DV104</f>
        <v>10.532096211958502</v>
      </c>
      <c r="DX104" s="143">
        <f t="shared" si="192"/>
        <v>10.532096211958502</v>
      </c>
      <c r="DY104" s="143">
        <f t="shared" si="192"/>
        <v>10.532096211958502</v>
      </c>
      <c r="DZ104" s="143">
        <f t="shared" si="192"/>
        <v>10.532096211958502</v>
      </c>
      <c r="EA104" s="143">
        <f t="shared" si="192"/>
        <v>10.532096211958502</v>
      </c>
      <c r="EB104" s="143">
        <f t="shared" si="192"/>
        <v>10.532096211958502</v>
      </c>
      <c r="EC104" s="143">
        <f t="shared" si="192"/>
        <v>10.532096211958502</v>
      </c>
      <c r="ED104" s="143">
        <f t="shared" si="192"/>
        <v>10.532096211958502</v>
      </c>
      <c r="EE104" s="143">
        <f t="shared" si="192"/>
        <v>10.532096211958502</v>
      </c>
      <c r="EF104" s="143">
        <f t="shared" si="192"/>
        <v>10.532096211958502</v>
      </c>
      <c r="EG104" s="143">
        <f t="shared" si="192"/>
        <v>10.532096211958502</v>
      </c>
      <c r="EH104" s="143">
        <f t="shared" si="192"/>
        <v>10.532096211958502</v>
      </c>
      <c r="EI104" s="143">
        <f t="shared" si="192"/>
        <v>10.532096211958502</v>
      </c>
      <c r="EJ104" s="143">
        <f t="shared" si="192"/>
        <v>10.532096211958502</v>
      </c>
      <c r="EK104" s="143">
        <f t="shared" si="192"/>
        <v>10.532096211958502</v>
      </c>
      <c r="EL104" s="143">
        <f t="shared" si="192"/>
        <v>10.532096211958502</v>
      </c>
      <c r="EM104" s="143">
        <f t="shared" si="192"/>
        <v>10.532096211958502</v>
      </c>
      <c r="EN104" s="143">
        <f t="shared" si="192"/>
        <v>10.532096211958502</v>
      </c>
      <c r="EO104" s="143">
        <f t="shared" si="192"/>
        <v>10.532096211958502</v>
      </c>
      <c r="EP104" s="143">
        <f t="shared" si="74"/>
        <v>10.98698620339419</v>
      </c>
      <c r="EQ104" s="143">
        <f t="shared" ref="EQ104:FI104" si="193">EP104</f>
        <v>10.98698620339419</v>
      </c>
      <c r="ER104" s="143">
        <f t="shared" si="193"/>
        <v>10.98698620339419</v>
      </c>
      <c r="ES104" s="143">
        <f t="shared" si="193"/>
        <v>10.98698620339419</v>
      </c>
      <c r="ET104" s="143">
        <f t="shared" si="193"/>
        <v>10.98698620339419</v>
      </c>
      <c r="EU104" s="143">
        <f t="shared" si="193"/>
        <v>10.98698620339419</v>
      </c>
      <c r="EV104" s="143">
        <f t="shared" si="193"/>
        <v>10.98698620339419</v>
      </c>
      <c r="EW104" s="143">
        <f t="shared" si="193"/>
        <v>10.98698620339419</v>
      </c>
      <c r="EX104" s="143">
        <f t="shared" si="193"/>
        <v>10.98698620339419</v>
      </c>
      <c r="EY104" s="143">
        <f t="shared" si="193"/>
        <v>10.98698620339419</v>
      </c>
      <c r="EZ104" s="143">
        <f t="shared" si="193"/>
        <v>10.98698620339419</v>
      </c>
      <c r="FA104" s="143">
        <f t="shared" si="193"/>
        <v>10.98698620339419</v>
      </c>
      <c r="FB104" s="143">
        <f t="shared" si="193"/>
        <v>10.98698620339419</v>
      </c>
      <c r="FC104" s="143">
        <f t="shared" si="193"/>
        <v>10.98698620339419</v>
      </c>
      <c r="FD104" s="143">
        <f t="shared" si="193"/>
        <v>10.98698620339419</v>
      </c>
      <c r="FE104" s="143">
        <f t="shared" si="193"/>
        <v>10.98698620339419</v>
      </c>
      <c r="FF104" s="143">
        <f t="shared" si="193"/>
        <v>10.98698620339419</v>
      </c>
      <c r="FG104" s="143">
        <f t="shared" si="193"/>
        <v>10.98698620339419</v>
      </c>
      <c r="FH104" s="143">
        <f t="shared" si="193"/>
        <v>10.98698620339419</v>
      </c>
      <c r="FI104" s="143">
        <f t="shared" si="193"/>
        <v>10.98698620339419</v>
      </c>
      <c r="FJ104" s="143">
        <f t="shared" si="76"/>
        <v>11.332601910838946</v>
      </c>
      <c r="FK104" s="143">
        <f t="shared" ref="FK104:GC104" si="194">FJ104</f>
        <v>11.332601910838946</v>
      </c>
      <c r="FL104" s="143">
        <f t="shared" si="194"/>
        <v>11.332601910838946</v>
      </c>
      <c r="FM104" s="143">
        <f t="shared" si="194"/>
        <v>11.332601910838946</v>
      </c>
      <c r="FN104" s="143">
        <f t="shared" si="194"/>
        <v>11.332601910838946</v>
      </c>
      <c r="FO104" s="143">
        <f t="shared" si="194"/>
        <v>11.332601910838946</v>
      </c>
      <c r="FP104" s="143">
        <f t="shared" si="194"/>
        <v>11.332601910838946</v>
      </c>
      <c r="FQ104" s="143">
        <f t="shared" si="194"/>
        <v>11.332601910838946</v>
      </c>
      <c r="FR104" s="143">
        <f t="shared" si="194"/>
        <v>11.332601910838946</v>
      </c>
      <c r="FS104" s="143">
        <f t="shared" si="194"/>
        <v>11.332601910838946</v>
      </c>
      <c r="FT104" s="143">
        <f t="shared" si="194"/>
        <v>11.332601910838946</v>
      </c>
      <c r="FU104" s="143">
        <f t="shared" si="194"/>
        <v>11.332601910838946</v>
      </c>
      <c r="FV104" s="143">
        <f t="shared" si="194"/>
        <v>11.332601910838946</v>
      </c>
      <c r="FW104" s="143">
        <f t="shared" si="194"/>
        <v>11.332601910838946</v>
      </c>
      <c r="FX104" s="143">
        <f t="shared" si="194"/>
        <v>11.332601910838946</v>
      </c>
      <c r="FY104" s="143">
        <f t="shared" si="194"/>
        <v>11.332601910838946</v>
      </c>
      <c r="FZ104" s="143">
        <f t="shared" si="194"/>
        <v>11.332601910838946</v>
      </c>
      <c r="GA104" s="143">
        <f t="shared" si="194"/>
        <v>11.332601910838946</v>
      </c>
      <c r="GB104" s="143">
        <f t="shared" si="194"/>
        <v>11.332601910838946</v>
      </c>
      <c r="GC104" s="143">
        <f t="shared" si="194"/>
        <v>11.332601910838946</v>
      </c>
      <c r="GD104" s="143">
        <f t="shared" si="78"/>
        <v>11.632484700027868</v>
      </c>
      <c r="GE104" s="143">
        <f t="shared" ref="GE104:GM104" si="195">GD104</f>
        <v>11.632484700027868</v>
      </c>
      <c r="GF104" s="143">
        <f t="shared" si="195"/>
        <v>11.632484700027868</v>
      </c>
      <c r="GG104" s="143">
        <f t="shared" si="195"/>
        <v>11.632484700027868</v>
      </c>
      <c r="GH104" s="143">
        <f t="shared" si="195"/>
        <v>11.632484700027868</v>
      </c>
      <c r="GI104" s="143">
        <f t="shared" si="195"/>
        <v>11.632484700027868</v>
      </c>
      <c r="GJ104" s="143">
        <f t="shared" si="195"/>
        <v>11.632484700027868</v>
      </c>
      <c r="GK104" s="143">
        <f t="shared" si="195"/>
        <v>11.632484700027868</v>
      </c>
      <c r="GL104" s="143">
        <f t="shared" si="195"/>
        <v>11.632484700027868</v>
      </c>
      <c r="GM104" s="143">
        <f t="shared" si="195"/>
        <v>11.632484700027868</v>
      </c>
      <c r="GN104" s="143">
        <f t="shared" si="80"/>
        <v>11.878262781987614</v>
      </c>
      <c r="GO104" s="143">
        <f t="shared" si="81"/>
        <v>11.878262781987614</v>
      </c>
      <c r="GP104" s="143">
        <f t="shared" si="81"/>
        <v>11.878262781987614</v>
      </c>
      <c r="GQ104" s="143">
        <f t="shared" si="81"/>
        <v>11.878262781987614</v>
      </c>
      <c r="GR104" s="143">
        <f t="shared" si="81"/>
        <v>11.878262781987614</v>
      </c>
      <c r="GS104" s="143">
        <f t="shared" si="82"/>
        <v>12.281180118016978</v>
      </c>
      <c r="GT104" s="143">
        <f t="shared" si="83"/>
        <v>12.281180118016978</v>
      </c>
      <c r="GU104" s="143">
        <f t="shared" si="83"/>
        <v>12.281180118016978</v>
      </c>
      <c r="GV104" s="143">
        <f t="shared" si="83"/>
        <v>12.281180118016978</v>
      </c>
      <c r="GW104" s="143">
        <f t="shared" si="84"/>
        <v>13.67831531878643</v>
      </c>
    </row>
    <row r="105" spans="1:205" s="46" customFormat="1" ht="9.75" customHeight="1">
      <c r="A105" s="60">
        <v>1991</v>
      </c>
      <c r="B105" s="143">
        <f t="shared" si="85"/>
        <v>0.37016686907821716</v>
      </c>
      <c r="C105" s="143">
        <f t="shared" si="54"/>
        <v>0.997182344679028</v>
      </c>
      <c r="D105" s="60"/>
      <c r="E105" s="143">
        <f t="shared" si="55"/>
        <v>7.3658128372094724</v>
      </c>
      <c r="F105" s="143">
        <f t="shared" ref="F105:X105" si="196">E105</f>
        <v>7.3658128372094724</v>
      </c>
      <c r="G105" s="143">
        <f t="shared" si="196"/>
        <v>7.3658128372094724</v>
      </c>
      <c r="H105" s="143">
        <f t="shared" si="196"/>
        <v>7.3658128372094724</v>
      </c>
      <c r="I105" s="143">
        <f t="shared" si="196"/>
        <v>7.3658128372094724</v>
      </c>
      <c r="J105" s="143">
        <f t="shared" si="196"/>
        <v>7.3658128372094724</v>
      </c>
      <c r="K105" s="143">
        <f t="shared" si="196"/>
        <v>7.3658128372094724</v>
      </c>
      <c r="L105" s="143">
        <f t="shared" si="196"/>
        <v>7.3658128372094724</v>
      </c>
      <c r="M105" s="143">
        <f t="shared" si="196"/>
        <v>7.3658128372094724</v>
      </c>
      <c r="N105" s="143">
        <f t="shared" si="196"/>
        <v>7.3658128372094724</v>
      </c>
      <c r="O105" s="143">
        <f t="shared" si="196"/>
        <v>7.3658128372094724</v>
      </c>
      <c r="P105" s="143">
        <f t="shared" si="196"/>
        <v>7.3658128372094724</v>
      </c>
      <c r="Q105" s="143">
        <f t="shared" si="196"/>
        <v>7.3658128372094724</v>
      </c>
      <c r="R105" s="143">
        <f t="shared" si="196"/>
        <v>7.3658128372094724</v>
      </c>
      <c r="S105" s="143">
        <f t="shared" si="196"/>
        <v>7.3658128372094724</v>
      </c>
      <c r="T105" s="143">
        <f t="shared" si="196"/>
        <v>7.3658128372094724</v>
      </c>
      <c r="U105" s="143">
        <f t="shared" si="196"/>
        <v>7.3658128372094724</v>
      </c>
      <c r="V105" s="143">
        <f t="shared" si="196"/>
        <v>7.3658128372094724</v>
      </c>
      <c r="W105" s="143">
        <f t="shared" si="196"/>
        <v>7.3658128372094724</v>
      </c>
      <c r="X105" s="143">
        <f t="shared" si="196"/>
        <v>7.3658128372094724</v>
      </c>
      <c r="Y105" s="143">
        <f t="shared" si="57"/>
        <v>8.5767819828278942</v>
      </c>
      <c r="Z105" s="143">
        <f t="shared" ref="Z105:AR105" si="197">Y105</f>
        <v>8.5767819828278942</v>
      </c>
      <c r="AA105" s="143">
        <f t="shared" si="197"/>
        <v>8.5767819828278942</v>
      </c>
      <c r="AB105" s="143">
        <f t="shared" si="197"/>
        <v>8.5767819828278942</v>
      </c>
      <c r="AC105" s="143">
        <f t="shared" si="197"/>
        <v>8.5767819828278942</v>
      </c>
      <c r="AD105" s="143">
        <f t="shared" si="197"/>
        <v>8.5767819828278942</v>
      </c>
      <c r="AE105" s="143">
        <f t="shared" si="197"/>
        <v>8.5767819828278942</v>
      </c>
      <c r="AF105" s="143">
        <f t="shared" si="197"/>
        <v>8.5767819828278942</v>
      </c>
      <c r="AG105" s="143">
        <f t="shared" si="197"/>
        <v>8.5767819828278942</v>
      </c>
      <c r="AH105" s="143">
        <f t="shared" si="197"/>
        <v>8.5767819828278942</v>
      </c>
      <c r="AI105" s="143">
        <f t="shared" si="197"/>
        <v>8.5767819828278942</v>
      </c>
      <c r="AJ105" s="143">
        <f t="shared" si="197"/>
        <v>8.5767819828278942</v>
      </c>
      <c r="AK105" s="143">
        <f t="shared" si="197"/>
        <v>8.5767819828278942</v>
      </c>
      <c r="AL105" s="143">
        <f t="shared" si="197"/>
        <v>8.5767819828278942</v>
      </c>
      <c r="AM105" s="143">
        <f t="shared" si="197"/>
        <v>8.5767819828278942</v>
      </c>
      <c r="AN105" s="143">
        <f t="shared" si="197"/>
        <v>8.5767819828278942</v>
      </c>
      <c r="AO105" s="143">
        <f t="shared" si="197"/>
        <v>8.5767819828278942</v>
      </c>
      <c r="AP105" s="143">
        <f t="shared" si="197"/>
        <v>8.5767819828278942</v>
      </c>
      <c r="AQ105" s="143">
        <f t="shared" si="197"/>
        <v>8.5767819828278942</v>
      </c>
      <c r="AR105" s="143">
        <f t="shared" si="197"/>
        <v>8.5767819828278942</v>
      </c>
      <c r="AS105" s="143">
        <f t="shared" si="59"/>
        <v>9.242226560838505</v>
      </c>
      <c r="AT105" s="143">
        <f t="shared" ref="AT105:BL105" si="198">AS105</f>
        <v>9.242226560838505</v>
      </c>
      <c r="AU105" s="143">
        <f t="shared" si="198"/>
        <v>9.242226560838505</v>
      </c>
      <c r="AV105" s="143">
        <f t="shared" si="198"/>
        <v>9.242226560838505</v>
      </c>
      <c r="AW105" s="143">
        <f t="shared" si="198"/>
        <v>9.242226560838505</v>
      </c>
      <c r="AX105" s="143">
        <f t="shared" si="198"/>
        <v>9.242226560838505</v>
      </c>
      <c r="AY105" s="143">
        <f t="shared" si="198"/>
        <v>9.242226560838505</v>
      </c>
      <c r="AZ105" s="143">
        <f t="shared" si="198"/>
        <v>9.242226560838505</v>
      </c>
      <c r="BA105" s="143">
        <f t="shared" si="198"/>
        <v>9.242226560838505</v>
      </c>
      <c r="BB105" s="143">
        <f t="shared" si="198"/>
        <v>9.242226560838505</v>
      </c>
      <c r="BC105" s="143">
        <f t="shared" si="198"/>
        <v>9.242226560838505</v>
      </c>
      <c r="BD105" s="143">
        <f t="shared" si="198"/>
        <v>9.242226560838505</v>
      </c>
      <c r="BE105" s="143">
        <f t="shared" si="198"/>
        <v>9.242226560838505</v>
      </c>
      <c r="BF105" s="143">
        <f t="shared" si="198"/>
        <v>9.242226560838505</v>
      </c>
      <c r="BG105" s="143">
        <f t="shared" si="198"/>
        <v>9.242226560838505</v>
      </c>
      <c r="BH105" s="143">
        <f t="shared" si="198"/>
        <v>9.242226560838505</v>
      </c>
      <c r="BI105" s="143">
        <f t="shared" si="198"/>
        <v>9.242226560838505</v>
      </c>
      <c r="BJ105" s="143">
        <f t="shared" si="198"/>
        <v>9.242226560838505</v>
      </c>
      <c r="BK105" s="143">
        <f t="shared" si="198"/>
        <v>9.242226560838505</v>
      </c>
      <c r="BL105" s="143">
        <f t="shared" si="198"/>
        <v>9.242226560838505</v>
      </c>
      <c r="BM105" s="143">
        <f t="shared" si="61"/>
        <v>9.7382295811680546</v>
      </c>
      <c r="BN105" s="143">
        <f t="shared" ref="BN105:CF105" si="199">BM105</f>
        <v>9.7382295811680546</v>
      </c>
      <c r="BO105" s="143">
        <f t="shared" si="199"/>
        <v>9.7382295811680546</v>
      </c>
      <c r="BP105" s="143">
        <f t="shared" si="199"/>
        <v>9.7382295811680546</v>
      </c>
      <c r="BQ105" s="143">
        <f t="shared" si="199"/>
        <v>9.7382295811680546</v>
      </c>
      <c r="BR105" s="143">
        <f t="shared" si="199"/>
        <v>9.7382295811680546</v>
      </c>
      <c r="BS105" s="143">
        <f t="shared" si="199"/>
        <v>9.7382295811680546</v>
      </c>
      <c r="BT105" s="143">
        <f t="shared" si="199"/>
        <v>9.7382295811680546</v>
      </c>
      <c r="BU105" s="143">
        <f t="shared" si="199"/>
        <v>9.7382295811680546</v>
      </c>
      <c r="BV105" s="143">
        <f t="shared" si="199"/>
        <v>9.7382295811680546</v>
      </c>
      <c r="BW105" s="143">
        <f t="shared" si="199"/>
        <v>9.7382295811680546</v>
      </c>
      <c r="BX105" s="143">
        <f t="shared" si="199"/>
        <v>9.7382295811680546</v>
      </c>
      <c r="BY105" s="143">
        <f t="shared" si="199"/>
        <v>9.7382295811680546</v>
      </c>
      <c r="BZ105" s="143">
        <f t="shared" si="199"/>
        <v>9.7382295811680546</v>
      </c>
      <c r="CA105" s="143">
        <f t="shared" si="199"/>
        <v>9.7382295811680546</v>
      </c>
      <c r="CB105" s="143">
        <f t="shared" si="199"/>
        <v>9.7382295811680546</v>
      </c>
      <c r="CC105" s="143">
        <f t="shared" si="199"/>
        <v>9.7382295811680546</v>
      </c>
      <c r="CD105" s="143">
        <f t="shared" si="199"/>
        <v>9.7382295811680546</v>
      </c>
      <c r="CE105" s="143">
        <f t="shared" si="199"/>
        <v>9.7382295811680546</v>
      </c>
      <c r="CF105" s="143">
        <f t="shared" si="199"/>
        <v>9.7382295811680546</v>
      </c>
      <c r="CG105" s="143">
        <f t="shared" si="63"/>
        <v>10.143252204866574</v>
      </c>
      <c r="CH105" s="143">
        <f t="shared" ref="CH105:CP105" si="200">CG105</f>
        <v>10.143252204866574</v>
      </c>
      <c r="CI105" s="143">
        <f t="shared" si="200"/>
        <v>10.143252204866574</v>
      </c>
      <c r="CJ105" s="143">
        <f t="shared" si="200"/>
        <v>10.143252204866574</v>
      </c>
      <c r="CK105" s="143">
        <f t="shared" si="200"/>
        <v>10.143252204866574</v>
      </c>
      <c r="CL105" s="143">
        <f t="shared" si="200"/>
        <v>10.143252204866574</v>
      </c>
      <c r="CM105" s="143">
        <f t="shared" si="200"/>
        <v>10.143252204866574</v>
      </c>
      <c r="CN105" s="143">
        <f t="shared" si="200"/>
        <v>10.143252204866574</v>
      </c>
      <c r="CO105" s="143">
        <f t="shared" si="200"/>
        <v>10.143252204866574</v>
      </c>
      <c r="CP105" s="143">
        <f t="shared" si="200"/>
        <v>10.143252204866574</v>
      </c>
      <c r="CQ105" s="143">
        <f t="shared" si="65"/>
        <v>10.452481412719091</v>
      </c>
      <c r="CR105" s="143">
        <f t="shared" si="66"/>
        <v>10.452481412719091</v>
      </c>
      <c r="CS105" s="143">
        <f t="shared" si="66"/>
        <v>10.452481412719091</v>
      </c>
      <c r="CT105" s="143">
        <f t="shared" si="66"/>
        <v>10.452481412719091</v>
      </c>
      <c r="CU105" s="143">
        <f t="shared" si="66"/>
        <v>10.452481412719091</v>
      </c>
      <c r="CV105" s="143">
        <f t="shared" si="67"/>
        <v>10.896905978325732</v>
      </c>
      <c r="CW105" s="143">
        <f t="shared" si="68"/>
        <v>10.896905978325732</v>
      </c>
      <c r="CX105" s="143">
        <f t="shared" si="68"/>
        <v>10.896905978325732</v>
      </c>
      <c r="CY105" s="143">
        <f t="shared" si="68"/>
        <v>10.896905978325732</v>
      </c>
      <c r="CZ105" s="143">
        <f t="shared" si="69"/>
        <v>12.331218288331053</v>
      </c>
      <c r="DA105" s="60"/>
      <c r="DB105" s="143">
        <f t="shared" si="70"/>
        <v>9.6485953029073386</v>
      </c>
      <c r="DC105" s="143">
        <f t="shared" ref="DC105:DU105" si="201">DB105</f>
        <v>9.6485953029073386</v>
      </c>
      <c r="DD105" s="143">
        <f t="shared" si="201"/>
        <v>9.6485953029073386</v>
      </c>
      <c r="DE105" s="143">
        <f t="shared" si="201"/>
        <v>9.6485953029073386</v>
      </c>
      <c r="DF105" s="143">
        <f t="shared" si="201"/>
        <v>9.6485953029073386</v>
      </c>
      <c r="DG105" s="143">
        <f t="shared" si="201"/>
        <v>9.6485953029073386</v>
      </c>
      <c r="DH105" s="143">
        <f t="shared" si="201"/>
        <v>9.6485953029073386</v>
      </c>
      <c r="DI105" s="143">
        <f t="shared" si="201"/>
        <v>9.6485953029073386</v>
      </c>
      <c r="DJ105" s="143">
        <f t="shared" si="201"/>
        <v>9.6485953029073386</v>
      </c>
      <c r="DK105" s="143">
        <f t="shared" si="201"/>
        <v>9.6485953029073386</v>
      </c>
      <c r="DL105" s="143">
        <f t="shared" si="201"/>
        <v>9.6485953029073386</v>
      </c>
      <c r="DM105" s="143">
        <f t="shared" si="201"/>
        <v>9.6485953029073386</v>
      </c>
      <c r="DN105" s="143">
        <f t="shared" si="201"/>
        <v>9.6485953029073386</v>
      </c>
      <c r="DO105" s="143">
        <f t="shared" si="201"/>
        <v>9.6485953029073386</v>
      </c>
      <c r="DP105" s="143">
        <f t="shared" si="201"/>
        <v>9.6485953029073386</v>
      </c>
      <c r="DQ105" s="143">
        <f t="shared" si="201"/>
        <v>9.6485953029073386</v>
      </c>
      <c r="DR105" s="143">
        <f t="shared" si="201"/>
        <v>9.6485953029073386</v>
      </c>
      <c r="DS105" s="143">
        <f t="shared" si="201"/>
        <v>9.6485953029073386</v>
      </c>
      <c r="DT105" s="143">
        <f t="shared" si="201"/>
        <v>9.6485953029073386</v>
      </c>
      <c r="DU105" s="143">
        <f t="shared" si="201"/>
        <v>9.6485953029073386</v>
      </c>
      <c r="DV105" s="143">
        <f t="shared" si="72"/>
        <v>10.507803519389457</v>
      </c>
      <c r="DW105" s="143">
        <f t="shared" ref="DW105:EO105" si="202">DV105</f>
        <v>10.507803519389457</v>
      </c>
      <c r="DX105" s="143">
        <f t="shared" si="202"/>
        <v>10.507803519389457</v>
      </c>
      <c r="DY105" s="143">
        <f t="shared" si="202"/>
        <v>10.507803519389457</v>
      </c>
      <c r="DZ105" s="143">
        <f t="shared" si="202"/>
        <v>10.507803519389457</v>
      </c>
      <c r="EA105" s="143">
        <f t="shared" si="202"/>
        <v>10.507803519389457</v>
      </c>
      <c r="EB105" s="143">
        <f t="shared" si="202"/>
        <v>10.507803519389457</v>
      </c>
      <c r="EC105" s="143">
        <f t="shared" si="202"/>
        <v>10.507803519389457</v>
      </c>
      <c r="ED105" s="143">
        <f t="shared" si="202"/>
        <v>10.507803519389457</v>
      </c>
      <c r="EE105" s="143">
        <f t="shared" si="202"/>
        <v>10.507803519389457</v>
      </c>
      <c r="EF105" s="143">
        <f t="shared" si="202"/>
        <v>10.507803519389457</v>
      </c>
      <c r="EG105" s="143">
        <f t="shared" si="202"/>
        <v>10.507803519389457</v>
      </c>
      <c r="EH105" s="143">
        <f t="shared" si="202"/>
        <v>10.507803519389457</v>
      </c>
      <c r="EI105" s="143">
        <f t="shared" si="202"/>
        <v>10.507803519389457</v>
      </c>
      <c r="EJ105" s="143">
        <f t="shared" si="202"/>
        <v>10.507803519389457</v>
      </c>
      <c r="EK105" s="143">
        <f t="shared" si="202"/>
        <v>10.507803519389457</v>
      </c>
      <c r="EL105" s="143">
        <f t="shared" si="202"/>
        <v>10.507803519389457</v>
      </c>
      <c r="EM105" s="143">
        <f t="shared" si="202"/>
        <v>10.507803519389457</v>
      </c>
      <c r="EN105" s="143">
        <f t="shared" si="202"/>
        <v>10.507803519389457</v>
      </c>
      <c r="EO105" s="143">
        <f t="shared" si="202"/>
        <v>10.507803519389457</v>
      </c>
      <c r="EP105" s="143">
        <f t="shared" si="74"/>
        <v>10.968198289528557</v>
      </c>
      <c r="EQ105" s="143">
        <f t="shared" ref="EQ105:FI105" si="203">EP105</f>
        <v>10.968198289528557</v>
      </c>
      <c r="ER105" s="143">
        <f t="shared" si="203"/>
        <v>10.968198289528557</v>
      </c>
      <c r="ES105" s="143">
        <f t="shared" si="203"/>
        <v>10.968198289528557</v>
      </c>
      <c r="ET105" s="143">
        <f t="shared" si="203"/>
        <v>10.968198289528557</v>
      </c>
      <c r="EU105" s="143">
        <f t="shared" si="203"/>
        <v>10.968198289528557</v>
      </c>
      <c r="EV105" s="143">
        <f t="shared" si="203"/>
        <v>10.968198289528557</v>
      </c>
      <c r="EW105" s="143">
        <f t="shared" si="203"/>
        <v>10.968198289528557</v>
      </c>
      <c r="EX105" s="143">
        <f t="shared" si="203"/>
        <v>10.968198289528557</v>
      </c>
      <c r="EY105" s="143">
        <f t="shared" si="203"/>
        <v>10.968198289528557</v>
      </c>
      <c r="EZ105" s="143">
        <f t="shared" si="203"/>
        <v>10.968198289528557</v>
      </c>
      <c r="FA105" s="143">
        <f t="shared" si="203"/>
        <v>10.968198289528557</v>
      </c>
      <c r="FB105" s="143">
        <f t="shared" si="203"/>
        <v>10.968198289528557</v>
      </c>
      <c r="FC105" s="143">
        <f t="shared" si="203"/>
        <v>10.968198289528557</v>
      </c>
      <c r="FD105" s="143">
        <f t="shared" si="203"/>
        <v>10.968198289528557</v>
      </c>
      <c r="FE105" s="143">
        <f t="shared" si="203"/>
        <v>10.968198289528557</v>
      </c>
      <c r="FF105" s="143">
        <f t="shared" si="203"/>
        <v>10.968198289528557</v>
      </c>
      <c r="FG105" s="143">
        <f t="shared" si="203"/>
        <v>10.968198289528557</v>
      </c>
      <c r="FH105" s="143">
        <f t="shared" si="203"/>
        <v>10.968198289528557</v>
      </c>
      <c r="FI105" s="143">
        <f t="shared" si="203"/>
        <v>10.968198289528557</v>
      </c>
      <c r="FJ105" s="143">
        <f t="shared" si="76"/>
        <v>11.322974881011783</v>
      </c>
      <c r="FK105" s="143">
        <f t="shared" ref="FK105:GC105" si="204">FJ105</f>
        <v>11.322974881011783</v>
      </c>
      <c r="FL105" s="143">
        <f t="shared" si="204"/>
        <v>11.322974881011783</v>
      </c>
      <c r="FM105" s="143">
        <f t="shared" si="204"/>
        <v>11.322974881011783</v>
      </c>
      <c r="FN105" s="143">
        <f t="shared" si="204"/>
        <v>11.322974881011783</v>
      </c>
      <c r="FO105" s="143">
        <f t="shared" si="204"/>
        <v>11.322974881011783</v>
      </c>
      <c r="FP105" s="143">
        <f t="shared" si="204"/>
        <v>11.322974881011783</v>
      </c>
      <c r="FQ105" s="143">
        <f t="shared" si="204"/>
        <v>11.322974881011783</v>
      </c>
      <c r="FR105" s="143">
        <f t="shared" si="204"/>
        <v>11.322974881011783</v>
      </c>
      <c r="FS105" s="143">
        <f t="shared" si="204"/>
        <v>11.322974881011783</v>
      </c>
      <c r="FT105" s="143">
        <f t="shared" si="204"/>
        <v>11.322974881011783</v>
      </c>
      <c r="FU105" s="143">
        <f t="shared" si="204"/>
        <v>11.322974881011783</v>
      </c>
      <c r="FV105" s="143">
        <f t="shared" si="204"/>
        <v>11.322974881011783</v>
      </c>
      <c r="FW105" s="143">
        <f t="shared" si="204"/>
        <v>11.322974881011783</v>
      </c>
      <c r="FX105" s="143">
        <f t="shared" si="204"/>
        <v>11.322974881011783</v>
      </c>
      <c r="FY105" s="143">
        <f t="shared" si="204"/>
        <v>11.322974881011783</v>
      </c>
      <c r="FZ105" s="143">
        <f t="shared" si="204"/>
        <v>11.322974881011783</v>
      </c>
      <c r="GA105" s="143">
        <f t="shared" si="204"/>
        <v>11.322974881011783</v>
      </c>
      <c r="GB105" s="143">
        <f t="shared" si="204"/>
        <v>11.322974881011783</v>
      </c>
      <c r="GC105" s="143">
        <f t="shared" si="204"/>
        <v>11.322974881011783</v>
      </c>
      <c r="GD105" s="143">
        <f t="shared" si="78"/>
        <v>11.617285480294472</v>
      </c>
      <c r="GE105" s="143">
        <f t="shared" ref="GE105:GM105" si="205">GD105</f>
        <v>11.617285480294472</v>
      </c>
      <c r="GF105" s="143">
        <f t="shared" si="205"/>
        <v>11.617285480294472</v>
      </c>
      <c r="GG105" s="143">
        <f t="shared" si="205"/>
        <v>11.617285480294472</v>
      </c>
      <c r="GH105" s="143">
        <f t="shared" si="205"/>
        <v>11.617285480294472</v>
      </c>
      <c r="GI105" s="143">
        <f t="shared" si="205"/>
        <v>11.617285480294472</v>
      </c>
      <c r="GJ105" s="143">
        <f t="shared" si="205"/>
        <v>11.617285480294472</v>
      </c>
      <c r="GK105" s="143">
        <f t="shared" si="205"/>
        <v>11.617285480294472</v>
      </c>
      <c r="GL105" s="143">
        <f t="shared" si="205"/>
        <v>11.617285480294472</v>
      </c>
      <c r="GM105" s="143">
        <f t="shared" si="205"/>
        <v>11.617285480294472</v>
      </c>
      <c r="GN105" s="143">
        <f t="shared" si="80"/>
        <v>11.871298965544542</v>
      </c>
      <c r="GO105" s="143">
        <f t="shared" si="81"/>
        <v>11.871298965544542</v>
      </c>
      <c r="GP105" s="143">
        <f t="shared" si="81"/>
        <v>11.871298965544542</v>
      </c>
      <c r="GQ105" s="143">
        <f t="shared" si="81"/>
        <v>11.871298965544542</v>
      </c>
      <c r="GR105" s="143">
        <f t="shared" si="81"/>
        <v>11.871298965544542</v>
      </c>
      <c r="GS105" s="143">
        <f t="shared" si="82"/>
        <v>12.263397712149443</v>
      </c>
      <c r="GT105" s="143">
        <f t="shared" si="83"/>
        <v>12.263397712149443</v>
      </c>
      <c r="GU105" s="143">
        <f t="shared" si="83"/>
        <v>12.263397712149443</v>
      </c>
      <c r="GV105" s="143">
        <f t="shared" si="83"/>
        <v>12.263397712149443</v>
      </c>
      <c r="GW105" s="143">
        <f t="shared" si="84"/>
        <v>13.572546879200758</v>
      </c>
    </row>
    <row r="106" spans="1:205" s="46" customFormat="1" ht="9.75" customHeight="1">
      <c r="A106" s="60">
        <v>1992</v>
      </c>
      <c r="B106" s="143">
        <f t="shared" si="85"/>
        <v>0.37633381745596539</v>
      </c>
      <c r="C106" s="143">
        <f t="shared" si="54"/>
        <v>0.99693548588952918</v>
      </c>
      <c r="D106" s="60"/>
      <c r="E106" s="143">
        <f t="shared" si="55"/>
        <v>7.352441100243583</v>
      </c>
      <c r="F106" s="143">
        <f t="shared" ref="F106:X106" si="206">E106</f>
        <v>7.352441100243583</v>
      </c>
      <c r="G106" s="143">
        <f t="shared" si="206"/>
        <v>7.352441100243583</v>
      </c>
      <c r="H106" s="143">
        <f t="shared" si="206"/>
        <v>7.352441100243583</v>
      </c>
      <c r="I106" s="143">
        <f t="shared" si="206"/>
        <v>7.352441100243583</v>
      </c>
      <c r="J106" s="143">
        <f t="shared" si="206"/>
        <v>7.352441100243583</v>
      </c>
      <c r="K106" s="143">
        <f t="shared" si="206"/>
        <v>7.352441100243583</v>
      </c>
      <c r="L106" s="143">
        <f t="shared" si="206"/>
        <v>7.352441100243583</v>
      </c>
      <c r="M106" s="143">
        <f t="shared" si="206"/>
        <v>7.352441100243583</v>
      </c>
      <c r="N106" s="143">
        <f t="shared" si="206"/>
        <v>7.352441100243583</v>
      </c>
      <c r="O106" s="143">
        <f t="shared" si="206"/>
        <v>7.352441100243583</v>
      </c>
      <c r="P106" s="143">
        <f t="shared" si="206"/>
        <v>7.352441100243583</v>
      </c>
      <c r="Q106" s="143">
        <f t="shared" si="206"/>
        <v>7.352441100243583</v>
      </c>
      <c r="R106" s="143">
        <f t="shared" si="206"/>
        <v>7.352441100243583</v>
      </c>
      <c r="S106" s="143">
        <f t="shared" si="206"/>
        <v>7.352441100243583</v>
      </c>
      <c r="T106" s="143">
        <f t="shared" si="206"/>
        <v>7.352441100243583</v>
      </c>
      <c r="U106" s="143">
        <f t="shared" si="206"/>
        <v>7.352441100243583</v>
      </c>
      <c r="V106" s="143">
        <f t="shared" si="206"/>
        <v>7.352441100243583</v>
      </c>
      <c r="W106" s="143">
        <f t="shared" si="206"/>
        <v>7.352441100243583</v>
      </c>
      <c r="X106" s="143">
        <f t="shared" si="206"/>
        <v>7.352441100243583</v>
      </c>
      <c r="Y106" s="143">
        <f t="shared" si="57"/>
        <v>8.5262916744014969</v>
      </c>
      <c r="Z106" s="143">
        <f t="shared" ref="Z106:AR106" si="207">Y106</f>
        <v>8.5262916744014969</v>
      </c>
      <c r="AA106" s="143">
        <f t="shared" si="207"/>
        <v>8.5262916744014969</v>
      </c>
      <c r="AB106" s="143">
        <f t="shared" si="207"/>
        <v>8.5262916744014969</v>
      </c>
      <c r="AC106" s="143">
        <f t="shared" si="207"/>
        <v>8.5262916744014969</v>
      </c>
      <c r="AD106" s="143">
        <f t="shared" si="207"/>
        <v>8.5262916744014969</v>
      </c>
      <c r="AE106" s="143">
        <f t="shared" si="207"/>
        <v>8.5262916744014969</v>
      </c>
      <c r="AF106" s="143">
        <f t="shared" si="207"/>
        <v>8.5262916744014969</v>
      </c>
      <c r="AG106" s="143">
        <f t="shared" si="207"/>
        <v>8.5262916744014969</v>
      </c>
      <c r="AH106" s="143">
        <f t="shared" si="207"/>
        <v>8.5262916744014969</v>
      </c>
      <c r="AI106" s="143">
        <f t="shared" si="207"/>
        <v>8.5262916744014969</v>
      </c>
      <c r="AJ106" s="143">
        <f t="shared" si="207"/>
        <v>8.5262916744014969</v>
      </c>
      <c r="AK106" s="143">
        <f t="shared" si="207"/>
        <v>8.5262916744014969</v>
      </c>
      <c r="AL106" s="143">
        <f t="shared" si="207"/>
        <v>8.5262916744014969</v>
      </c>
      <c r="AM106" s="143">
        <f t="shared" si="207"/>
        <v>8.5262916744014969</v>
      </c>
      <c r="AN106" s="143">
        <f t="shared" si="207"/>
        <v>8.5262916744014969</v>
      </c>
      <c r="AO106" s="143">
        <f t="shared" si="207"/>
        <v>8.5262916744014969</v>
      </c>
      <c r="AP106" s="143">
        <f t="shared" si="207"/>
        <v>8.5262916744014969</v>
      </c>
      <c r="AQ106" s="143">
        <f t="shared" si="207"/>
        <v>8.5262916744014969</v>
      </c>
      <c r="AR106" s="143">
        <f t="shared" si="207"/>
        <v>8.5262916744014969</v>
      </c>
      <c r="AS106" s="143">
        <f t="shared" si="59"/>
        <v>9.241751825930276</v>
      </c>
      <c r="AT106" s="143">
        <f t="shared" ref="AT106:BL106" si="208">AS106</f>
        <v>9.241751825930276</v>
      </c>
      <c r="AU106" s="143">
        <f t="shared" si="208"/>
        <v>9.241751825930276</v>
      </c>
      <c r="AV106" s="143">
        <f t="shared" si="208"/>
        <v>9.241751825930276</v>
      </c>
      <c r="AW106" s="143">
        <f t="shared" si="208"/>
        <v>9.241751825930276</v>
      </c>
      <c r="AX106" s="143">
        <f t="shared" si="208"/>
        <v>9.241751825930276</v>
      </c>
      <c r="AY106" s="143">
        <f t="shared" si="208"/>
        <v>9.241751825930276</v>
      </c>
      <c r="AZ106" s="143">
        <f t="shared" si="208"/>
        <v>9.241751825930276</v>
      </c>
      <c r="BA106" s="143">
        <f t="shared" si="208"/>
        <v>9.241751825930276</v>
      </c>
      <c r="BB106" s="143">
        <f t="shared" si="208"/>
        <v>9.241751825930276</v>
      </c>
      <c r="BC106" s="143">
        <f t="shared" si="208"/>
        <v>9.241751825930276</v>
      </c>
      <c r="BD106" s="143">
        <f t="shared" si="208"/>
        <v>9.241751825930276</v>
      </c>
      <c r="BE106" s="143">
        <f t="shared" si="208"/>
        <v>9.241751825930276</v>
      </c>
      <c r="BF106" s="143">
        <f t="shared" si="208"/>
        <v>9.241751825930276</v>
      </c>
      <c r="BG106" s="143">
        <f t="shared" si="208"/>
        <v>9.241751825930276</v>
      </c>
      <c r="BH106" s="143">
        <f t="shared" si="208"/>
        <v>9.241751825930276</v>
      </c>
      <c r="BI106" s="143">
        <f t="shared" si="208"/>
        <v>9.241751825930276</v>
      </c>
      <c r="BJ106" s="143">
        <f t="shared" si="208"/>
        <v>9.241751825930276</v>
      </c>
      <c r="BK106" s="143">
        <f t="shared" si="208"/>
        <v>9.241751825930276</v>
      </c>
      <c r="BL106" s="143">
        <f t="shared" si="208"/>
        <v>9.241751825930276</v>
      </c>
      <c r="BM106" s="143">
        <f t="shared" si="61"/>
        <v>9.7380526108985972</v>
      </c>
      <c r="BN106" s="143">
        <f t="shared" ref="BN106:CF106" si="209">BM106</f>
        <v>9.7380526108985972</v>
      </c>
      <c r="BO106" s="143">
        <f t="shared" si="209"/>
        <v>9.7380526108985972</v>
      </c>
      <c r="BP106" s="143">
        <f t="shared" si="209"/>
        <v>9.7380526108985972</v>
      </c>
      <c r="BQ106" s="143">
        <f t="shared" si="209"/>
        <v>9.7380526108985972</v>
      </c>
      <c r="BR106" s="143">
        <f t="shared" si="209"/>
        <v>9.7380526108985972</v>
      </c>
      <c r="BS106" s="143">
        <f t="shared" si="209"/>
        <v>9.7380526108985972</v>
      </c>
      <c r="BT106" s="143">
        <f t="shared" si="209"/>
        <v>9.7380526108985972</v>
      </c>
      <c r="BU106" s="143">
        <f t="shared" si="209"/>
        <v>9.7380526108985972</v>
      </c>
      <c r="BV106" s="143">
        <f t="shared" si="209"/>
        <v>9.7380526108985972</v>
      </c>
      <c r="BW106" s="143">
        <f t="shared" si="209"/>
        <v>9.7380526108985972</v>
      </c>
      <c r="BX106" s="143">
        <f t="shared" si="209"/>
        <v>9.7380526108985972</v>
      </c>
      <c r="BY106" s="143">
        <f t="shared" si="209"/>
        <v>9.7380526108985972</v>
      </c>
      <c r="BZ106" s="143">
        <f t="shared" si="209"/>
        <v>9.7380526108985972</v>
      </c>
      <c r="CA106" s="143">
        <f t="shared" si="209"/>
        <v>9.7380526108985972</v>
      </c>
      <c r="CB106" s="143">
        <f t="shared" si="209"/>
        <v>9.7380526108985972</v>
      </c>
      <c r="CC106" s="143">
        <f t="shared" si="209"/>
        <v>9.7380526108985972</v>
      </c>
      <c r="CD106" s="143">
        <f t="shared" si="209"/>
        <v>9.7380526108985972</v>
      </c>
      <c r="CE106" s="143">
        <f t="shared" si="209"/>
        <v>9.7380526108985972</v>
      </c>
      <c r="CF106" s="143">
        <f t="shared" si="209"/>
        <v>9.7380526108985972</v>
      </c>
      <c r="CG106" s="143">
        <f t="shared" si="63"/>
        <v>10.146123879225801</v>
      </c>
      <c r="CH106" s="143">
        <f t="shared" ref="CH106:CP106" si="210">CG106</f>
        <v>10.146123879225801</v>
      </c>
      <c r="CI106" s="143">
        <f t="shared" si="210"/>
        <v>10.146123879225801</v>
      </c>
      <c r="CJ106" s="143">
        <f t="shared" si="210"/>
        <v>10.146123879225801</v>
      </c>
      <c r="CK106" s="143">
        <f t="shared" si="210"/>
        <v>10.146123879225801</v>
      </c>
      <c r="CL106" s="143">
        <f t="shared" si="210"/>
        <v>10.146123879225801</v>
      </c>
      <c r="CM106" s="143">
        <f t="shared" si="210"/>
        <v>10.146123879225801</v>
      </c>
      <c r="CN106" s="143">
        <f t="shared" si="210"/>
        <v>10.146123879225801</v>
      </c>
      <c r="CO106" s="143">
        <f t="shared" si="210"/>
        <v>10.146123879225801</v>
      </c>
      <c r="CP106" s="143">
        <f t="shared" si="210"/>
        <v>10.146123879225801</v>
      </c>
      <c r="CQ106" s="143">
        <f t="shared" si="65"/>
        <v>10.465660069253241</v>
      </c>
      <c r="CR106" s="143">
        <f t="shared" si="66"/>
        <v>10.465660069253241</v>
      </c>
      <c r="CS106" s="143">
        <f t="shared" si="66"/>
        <v>10.465660069253241</v>
      </c>
      <c r="CT106" s="143">
        <f t="shared" si="66"/>
        <v>10.465660069253241</v>
      </c>
      <c r="CU106" s="143">
        <f t="shared" si="66"/>
        <v>10.465660069253241</v>
      </c>
      <c r="CV106" s="143">
        <f t="shared" si="67"/>
        <v>10.933335515027389</v>
      </c>
      <c r="CW106" s="143">
        <f t="shared" si="68"/>
        <v>10.933335515027389</v>
      </c>
      <c r="CX106" s="143">
        <f t="shared" si="68"/>
        <v>10.933335515027389</v>
      </c>
      <c r="CY106" s="143">
        <f t="shared" si="68"/>
        <v>10.933335515027389</v>
      </c>
      <c r="CZ106" s="143">
        <f t="shared" si="69"/>
        <v>12.47515582590575</v>
      </c>
      <c r="DA106" s="60"/>
      <c r="DB106" s="143">
        <f t="shared" si="70"/>
        <v>9.655026193237628</v>
      </c>
      <c r="DC106" s="143">
        <f t="shared" ref="DC106:DU106" si="211">DB106</f>
        <v>9.655026193237628</v>
      </c>
      <c r="DD106" s="143">
        <f t="shared" si="211"/>
        <v>9.655026193237628</v>
      </c>
      <c r="DE106" s="143">
        <f t="shared" si="211"/>
        <v>9.655026193237628</v>
      </c>
      <c r="DF106" s="143">
        <f t="shared" si="211"/>
        <v>9.655026193237628</v>
      </c>
      <c r="DG106" s="143">
        <f t="shared" si="211"/>
        <v>9.655026193237628</v>
      </c>
      <c r="DH106" s="143">
        <f t="shared" si="211"/>
        <v>9.655026193237628</v>
      </c>
      <c r="DI106" s="143">
        <f t="shared" si="211"/>
        <v>9.655026193237628</v>
      </c>
      <c r="DJ106" s="143">
        <f t="shared" si="211"/>
        <v>9.655026193237628</v>
      </c>
      <c r="DK106" s="143">
        <f t="shared" si="211"/>
        <v>9.655026193237628</v>
      </c>
      <c r="DL106" s="143">
        <f t="shared" si="211"/>
        <v>9.655026193237628</v>
      </c>
      <c r="DM106" s="143">
        <f t="shared" si="211"/>
        <v>9.655026193237628</v>
      </c>
      <c r="DN106" s="143">
        <f t="shared" si="211"/>
        <v>9.655026193237628</v>
      </c>
      <c r="DO106" s="143">
        <f t="shared" si="211"/>
        <v>9.655026193237628</v>
      </c>
      <c r="DP106" s="143">
        <f t="shared" si="211"/>
        <v>9.655026193237628</v>
      </c>
      <c r="DQ106" s="143">
        <f t="shared" si="211"/>
        <v>9.655026193237628</v>
      </c>
      <c r="DR106" s="143">
        <f t="shared" si="211"/>
        <v>9.655026193237628</v>
      </c>
      <c r="DS106" s="143">
        <f t="shared" si="211"/>
        <v>9.655026193237628</v>
      </c>
      <c r="DT106" s="143">
        <f t="shared" si="211"/>
        <v>9.655026193237628</v>
      </c>
      <c r="DU106" s="143">
        <f t="shared" si="211"/>
        <v>9.655026193237628</v>
      </c>
      <c r="DV106" s="143">
        <f t="shared" si="72"/>
        <v>10.499573020252942</v>
      </c>
      <c r="DW106" s="143">
        <f t="shared" ref="DW106:EO106" si="212">DV106</f>
        <v>10.499573020252942</v>
      </c>
      <c r="DX106" s="143">
        <f t="shared" si="212"/>
        <v>10.499573020252942</v>
      </c>
      <c r="DY106" s="143">
        <f t="shared" si="212"/>
        <v>10.499573020252942</v>
      </c>
      <c r="DZ106" s="143">
        <f t="shared" si="212"/>
        <v>10.499573020252942</v>
      </c>
      <c r="EA106" s="143">
        <f t="shared" si="212"/>
        <v>10.499573020252942</v>
      </c>
      <c r="EB106" s="143">
        <f t="shared" si="212"/>
        <v>10.499573020252942</v>
      </c>
      <c r="EC106" s="143">
        <f t="shared" si="212"/>
        <v>10.499573020252942</v>
      </c>
      <c r="ED106" s="143">
        <f t="shared" si="212"/>
        <v>10.499573020252942</v>
      </c>
      <c r="EE106" s="143">
        <f t="shared" si="212"/>
        <v>10.499573020252942</v>
      </c>
      <c r="EF106" s="143">
        <f t="shared" si="212"/>
        <v>10.499573020252942</v>
      </c>
      <c r="EG106" s="143">
        <f t="shared" si="212"/>
        <v>10.499573020252942</v>
      </c>
      <c r="EH106" s="143">
        <f t="shared" si="212"/>
        <v>10.499573020252942</v>
      </c>
      <c r="EI106" s="143">
        <f t="shared" si="212"/>
        <v>10.499573020252942</v>
      </c>
      <c r="EJ106" s="143">
        <f t="shared" si="212"/>
        <v>10.499573020252942</v>
      </c>
      <c r="EK106" s="143">
        <f t="shared" si="212"/>
        <v>10.499573020252942</v>
      </c>
      <c r="EL106" s="143">
        <f t="shared" si="212"/>
        <v>10.499573020252942</v>
      </c>
      <c r="EM106" s="143">
        <f t="shared" si="212"/>
        <v>10.499573020252942</v>
      </c>
      <c r="EN106" s="143">
        <f t="shared" si="212"/>
        <v>10.499573020252942</v>
      </c>
      <c r="EO106" s="143">
        <f t="shared" si="212"/>
        <v>10.499573020252942</v>
      </c>
      <c r="EP106" s="143">
        <f t="shared" si="74"/>
        <v>10.973357372338583</v>
      </c>
      <c r="EQ106" s="143">
        <f t="shared" ref="EQ106:FI106" si="213">EP106</f>
        <v>10.973357372338583</v>
      </c>
      <c r="ER106" s="143">
        <f t="shared" si="213"/>
        <v>10.973357372338583</v>
      </c>
      <c r="ES106" s="143">
        <f t="shared" si="213"/>
        <v>10.973357372338583</v>
      </c>
      <c r="ET106" s="143">
        <f t="shared" si="213"/>
        <v>10.973357372338583</v>
      </c>
      <c r="EU106" s="143">
        <f t="shared" si="213"/>
        <v>10.973357372338583</v>
      </c>
      <c r="EV106" s="143">
        <f t="shared" si="213"/>
        <v>10.973357372338583</v>
      </c>
      <c r="EW106" s="143">
        <f t="shared" si="213"/>
        <v>10.973357372338583</v>
      </c>
      <c r="EX106" s="143">
        <f t="shared" si="213"/>
        <v>10.973357372338583</v>
      </c>
      <c r="EY106" s="143">
        <f t="shared" si="213"/>
        <v>10.973357372338583</v>
      </c>
      <c r="EZ106" s="143">
        <f t="shared" si="213"/>
        <v>10.973357372338583</v>
      </c>
      <c r="FA106" s="143">
        <f t="shared" si="213"/>
        <v>10.973357372338583</v>
      </c>
      <c r="FB106" s="143">
        <f t="shared" si="213"/>
        <v>10.973357372338583</v>
      </c>
      <c r="FC106" s="143">
        <f t="shared" si="213"/>
        <v>10.973357372338583</v>
      </c>
      <c r="FD106" s="143">
        <f t="shared" si="213"/>
        <v>10.973357372338583</v>
      </c>
      <c r="FE106" s="143">
        <f t="shared" si="213"/>
        <v>10.973357372338583</v>
      </c>
      <c r="FF106" s="143">
        <f t="shared" si="213"/>
        <v>10.973357372338583</v>
      </c>
      <c r="FG106" s="143">
        <f t="shared" si="213"/>
        <v>10.973357372338583</v>
      </c>
      <c r="FH106" s="143">
        <f t="shared" si="213"/>
        <v>10.973357372338583</v>
      </c>
      <c r="FI106" s="143">
        <f t="shared" si="213"/>
        <v>10.973357372338583</v>
      </c>
      <c r="FJ106" s="143">
        <f t="shared" si="76"/>
        <v>11.332601910838946</v>
      </c>
      <c r="FK106" s="143">
        <f t="shared" ref="FK106:GC106" si="214">FJ106</f>
        <v>11.332601910838946</v>
      </c>
      <c r="FL106" s="143">
        <f t="shared" si="214"/>
        <v>11.332601910838946</v>
      </c>
      <c r="FM106" s="143">
        <f t="shared" si="214"/>
        <v>11.332601910838946</v>
      </c>
      <c r="FN106" s="143">
        <f t="shared" si="214"/>
        <v>11.332601910838946</v>
      </c>
      <c r="FO106" s="143">
        <f t="shared" si="214"/>
        <v>11.332601910838946</v>
      </c>
      <c r="FP106" s="143">
        <f t="shared" si="214"/>
        <v>11.332601910838946</v>
      </c>
      <c r="FQ106" s="143">
        <f t="shared" si="214"/>
        <v>11.332601910838946</v>
      </c>
      <c r="FR106" s="143">
        <f t="shared" si="214"/>
        <v>11.332601910838946</v>
      </c>
      <c r="FS106" s="143">
        <f t="shared" si="214"/>
        <v>11.332601910838946</v>
      </c>
      <c r="FT106" s="143">
        <f t="shared" si="214"/>
        <v>11.332601910838946</v>
      </c>
      <c r="FU106" s="143">
        <f t="shared" si="214"/>
        <v>11.332601910838946</v>
      </c>
      <c r="FV106" s="143">
        <f t="shared" si="214"/>
        <v>11.332601910838946</v>
      </c>
      <c r="FW106" s="143">
        <f t="shared" si="214"/>
        <v>11.332601910838946</v>
      </c>
      <c r="FX106" s="143">
        <f t="shared" si="214"/>
        <v>11.332601910838946</v>
      </c>
      <c r="FY106" s="143">
        <f t="shared" si="214"/>
        <v>11.332601910838946</v>
      </c>
      <c r="FZ106" s="143">
        <f t="shared" si="214"/>
        <v>11.332601910838946</v>
      </c>
      <c r="GA106" s="143">
        <f t="shared" si="214"/>
        <v>11.332601910838946</v>
      </c>
      <c r="GB106" s="143">
        <f t="shared" si="214"/>
        <v>11.332601910838946</v>
      </c>
      <c r="GC106" s="143">
        <f t="shared" si="214"/>
        <v>11.332601910838946</v>
      </c>
      <c r="GD106" s="143">
        <f t="shared" si="78"/>
        <v>11.628929140726534</v>
      </c>
      <c r="GE106" s="143">
        <f t="shared" ref="GE106:GM106" si="215">GD106</f>
        <v>11.628929140726534</v>
      </c>
      <c r="GF106" s="143">
        <f t="shared" si="215"/>
        <v>11.628929140726534</v>
      </c>
      <c r="GG106" s="143">
        <f t="shared" si="215"/>
        <v>11.628929140726534</v>
      </c>
      <c r="GH106" s="143">
        <f t="shared" si="215"/>
        <v>11.628929140726534</v>
      </c>
      <c r="GI106" s="143">
        <f t="shared" si="215"/>
        <v>11.628929140726534</v>
      </c>
      <c r="GJ106" s="143">
        <f t="shared" si="215"/>
        <v>11.628929140726534</v>
      </c>
      <c r="GK106" s="143">
        <f t="shared" si="215"/>
        <v>11.628929140726534</v>
      </c>
      <c r="GL106" s="143">
        <f t="shared" si="215"/>
        <v>11.628929140726534</v>
      </c>
      <c r="GM106" s="143">
        <f t="shared" si="215"/>
        <v>11.628929140726534</v>
      </c>
      <c r="GN106" s="143">
        <f t="shared" si="80"/>
        <v>11.888618414744723</v>
      </c>
      <c r="GO106" s="143">
        <f t="shared" si="81"/>
        <v>11.888618414744723</v>
      </c>
      <c r="GP106" s="143">
        <f t="shared" si="81"/>
        <v>11.888618414744723</v>
      </c>
      <c r="GQ106" s="143">
        <f t="shared" si="81"/>
        <v>11.888618414744723</v>
      </c>
      <c r="GR106" s="143">
        <f t="shared" si="81"/>
        <v>11.888618414744723</v>
      </c>
      <c r="GS106" s="143">
        <f t="shared" si="82"/>
        <v>12.295913349529963</v>
      </c>
      <c r="GT106" s="143">
        <f t="shared" si="83"/>
        <v>12.295913349529963</v>
      </c>
      <c r="GU106" s="143">
        <f t="shared" si="83"/>
        <v>12.295913349529963</v>
      </c>
      <c r="GV106" s="143">
        <f t="shared" si="83"/>
        <v>12.295913349529963</v>
      </c>
      <c r="GW106" s="143">
        <f t="shared" si="84"/>
        <v>13.692551650563827</v>
      </c>
    </row>
    <row r="107" spans="1:205" s="46" customFormat="1" ht="9.75" customHeight="1">
      <c r="A107" s="60">
        <v>1993</v>
      </c>
      <c r="B107" s="143">
        <f t="shared" si="85"/>
        <v>0.38521040670625251</v>
      </c>
      <c r="C107" s="143">
        <f t="shared" si="54"/>
        <v>0.99808559085375381</v>
      </c>
      <c r="D107" s="60"/>
      <c r="E107" s="143">
        <f t="shared" si="55"/>
        <v>7.352441100243583</v>
      </c>
      <c r="F107" s="143">
        <f t="shared" ref="F107:X107" si="216">E107</f>
        <v>7.352441100243583</v>
      </c>
      <c r="G107" s="143">
        <f t="shared" si="216"/>
        <v>7.352441100243583</v>
      </c>
      <c r="H107" s="143">
        <f t="shared" si="216"/>
        <v>7.352441100243583</v>
      </c>
      <c r="I107" s="143">
        <f t="shared" si="216"/>
        <v>7.352441100243583</v>
      </c>
      <c r="J107" s="143">
        <f t="shared" si="216"/>
        <v>7.352441100243583</v>
      </c>
      <c r="K107" s="143">
        <f t="shared" si="216"/>
        <v>7.352441100243583</v>
      </c>
      <c r="L107" s="143">
        <f t="shared" si="216"/>
        <v>7.352441100243583</v>
      </c>
      <c r="M107" s="143">
        <f t="shared" si="216"/>
        <v>7.352441100243583</v>
      </c>
      <c r="N107" s="143">
        <f t="shared" si="216"/>
        <v>7.352441100243583</v>
      </c>
      <c r="O107" s="143">
        <f t="shared" si="216"/>
        <v>7.352441100243583</v>
      </c>
      <c r="P107" s="143">
        <f t="shared" si="216"/>
        <v>7.352441100243583</v>
      </c>
      <c r="Q107" s="143">
        <f t="shared" si="216"/>
        <v>7.352441100243583</v>
      </c>
      <c r="R107" s="143">
        <f t="shared" si="216"/>
        <v>7.352441100243583</v>
      </c>
      <c r="S107" s="143">
        <f t="shared" si="216"/>
        <v>7.352441100243583</v>
      </c>
      <c r="T107" s="143">
        <f t="shared" si="216"/>
        <v>7.352441100243583</v>
      </c>
      <c r="U107" s="143">
        <f t="shared" si="216"/>
        <v>7.352441100243583</v>
      </c>
      <c r="V107" s="143">
        <f t="shared" si="216"/>
        <v>7.352441100243583</v>
      </c>
      <c r="W107" s="143">
        <f t="shared" si="216"/>
        <v>7.352441100243583</v>
      </c>
      <c r="X107" s="143">
        <f t="shared" si="216"/>
        <v>7.352441100243583</v>
      </c>
      <c r="Y107" s="143">
        <f t="shared" si="57"/>
        <v>8.5218224597998997</v>
      </c>
      <c r="Z107" s="143">
        <f t="shared" ref="Z107:AR107" si="217">Y107</f>
        <v>8.5218224597998997</v>
      </c>
      <c r="AA107" s="143">
        <f t="shared" si="217"/>
        <v>8.5218224597998997</v>
      </c>
      <c r="AB107" s="143">
        <f t="shared" si="217"/>
        <v>8.5218224597998997</v>
      </c>
      <c r="AC107" s="143">
        <f t="shared" si="217"/>
        <v>8.5218224597998997</v>
      </c>
      <c r="AD107" s="143">
        <f t="shared" si="217"/>
        <v>8.5218224597998997</v>
      </c>
      <c r="AE107" s="143">
        <f t="shared" si="217"/>
        <v>8.5218224597998997</v>
      </c>
      <c r="AF107" s="143">
        <f t="shared" si="217"/>
        <v>8.5218224597998997</v>
      </c>
      <c r="AG107" s="143">
        <f t="shared" si="217"/>
        <v>8.5218224597998997</v>
      </c>
      <c r="AH107" s="143">
        <f t="shared" si="217"/>
        <v>8.5218224597998997</v>
      </c>
      <c r="AI107" s="143">
        <f t="shared" si="217"/>
        <v>8.5218224597998997</v>
      </c>
      <c r="AJ107" s="143">
        <f t="shared" si="217"/>
        <v>8.5218224597998997</v>
      </c>
      <c r="AK107" s="143">
        <f t="shared" si="217"/>
        <v>8.5218224597998997</v>
      </c>
      <c r="AL107" s="143">
        <f t="shared" si="217"/>
        <v>8.5218224597998997</v>
      </c>
      <c r="AM107" s="143">
        <f t="shared" si="217"/>
        <v>8.5218224597998997</v>
      </c>
      <c r="AN107" s="143">
        <f t="shared" si="217"/>
        <v>8.5218224597998997</v>
      </c>
      <c r="AO107" s="143">
        <f t="shared" si="217"/>
        <v>8.5218224597998997</v>
      </c>
      <c r="AP107" s="143">
        <f t="shared" si="217"/>
        <v>8.5218224597998997</v>
      </c>
      <c r="AQ107" s="143">
        <f t="shared" si="217"/>
        <v>8.5218224597998997</v>
      </c>
      <c r="AR107" s="143">
        <f t="shared" si="217"/>
        <v>8.5218224597998997</v>
      </c>
      <c r="AS107" s="143">
        <f t="shared" si="59"/>
        <v>9.2395107492759632</v>
      </c>
      <c r="AT107" s="143">
        <f t="shared" ref="AT107:BL107" si="218">AS107</f>
        <v>9.2395107492759632</v>
      </c>
      <c r="AU107" s="143">
        <f t="shared" si="218"/>
        <v>9.2395107492759632</v>
      </c>
      <c r="AV107" s="143">
        <f t="shared" si="218"/>
        <v>9.2395107492759632</v>
      </c>
      <c r="AW107" s="143">
        <f t="shared" si="218"/>
        <v>9.2395107492759632</v>
      </c>
      <c r="AX107" s="143">
        <f t="shared" si="218"/>
        <v>9.2395107492759632</v>
      </c>
      <c r="AY107" s="143">
        <f t="shared" si="218"/>
        <v>9.2395107492759632</v>
      </c>
      <c r="AZ107" s="143">
        <f t="shared" si="218"/>
        <v>9.2395107492759632</v>
      </c>
      <c r="BA107" s="143">
        <f t="shared" si="218"/>
        <v>9.2395107492759632</v>
      </c>
      <c r="BB107" s="143">
        <f t="shared" si="218"/>
        <v>9.2395107492759632</v>
      </c>
      <c r="BC107" s="143">
        <f t="shared" si="218"/>
        <v>9.2395107492759632</v>
      </c>
      <c r="BD107" s="143">
        <f t="shared" si="218"/>
        <v>9.2395107492759632</v>
      </c>
      <c r="BE107" s="143">
        <f t="shared" si="218"/>
        <v>9.2395107492759632</v>
      </c>
      <c r="BF107" s="143">
        <f t="shared" si="218"/>
        <v>9.2395107492759632</v>
      </c>
      <c r="BG107" s="143">
        <f t="shared" si="218"/>
        <v>9.2395107492759632</v>
      </c>
      <c r="BH107" s="143">
        <f t="shared" si="218"/>
        <v>9.2395107492759632</v>
      </c>
      <c r="BI107" s="143">
        <f t="shared" si="218"/>
        <v>9.2395107492759632</v>
      </c>
      <c r="BJ107" s="143">
        <f t="shared" si="218"/>
        <v>9.2395107492759632</v>
      </c>
      <c r="BK107" s="143">
        <f t="shared" si="218"/>
        <v>9.2395107492759632</v>
      </c>
      <c r="BL107" s="143">
        <f t="shared" si="218"/>
        <v>9.2395107492759632</v>
      </c>
      <c r="BM107" s="143">
        <f t="shared" si="61"/>
        <v>9.7464009002900678</v>
      </c>
      <c r="BN107" s="143">
        <f t="shared" ref="BN107:CF107" si="219">BM107</f>
        <v>9.7464009002900678</v>
      </c>
      <c r="BO107" s="143">
        <f t="shared" si="219"/>
        <v>9.7464009002900678</v>
      </c>
      <c r="BP107" s="143">
        <f t="shared" si="219"/>
        <v>9.7464009002900678</v>
      </c>
      <c r="BQ107" s="143">
        <f t="shared" si="219"/>
        <v>9.7464009002900678</v>
      </c>
      <c r="BR107" s="143">
        <f t="shared" si="219"/>
        <v>9.7464009002900678</v>
      </c>
      <c r="BS107" s="143">
        <f t="shared" si="219"/>
        <v>9.7464009002900678</v>
      </c>
      <c r="BT107" s="143">
        <f t="shared" si="219"/>
        <v>9.7464009002900678</v>
      </c>
      <c r="BU107" s="143">
        <f t="shared" si="219"/>
        <v>9.7464009002900678</v>
      </c>
      <c r="BV107" s="143">
        <f t="shared" si="219"/>
        <v>9.7464009002900678</v>
      </c>
      <c r="BW107" s="143">
        <f t="shared" si="219"/>
        <v>9.7464009002900678</v>
      </c>
      <c r="BX107" s="143">
        <f t="shared" si="219"/>
        <v>9.7464009002900678</v>
      </c>
      <c r="BY107" s="143">
        <f t="shared" si="219"/>
        <v>9.7464009002900678</v>
      </c>
      <c r="BZ107" s="143">
        <f t="shared" si="219"/>
        <v>9.7464009002900678</v>
      </c>
      <c r="CA107" s="143">
        <f t="shared" si="219"/>
        <v>9.7464009002900678</v>
      </c>
      <c r="CB107" s="143">
        <f t="shared" si="219"/>
        <v>9.7464009002900678</v>
      </c>
      <c r="CC107" s="143">
        <f t="shared" si="219"/>
        <v>9.7464009002900678</v>
      </c>
      <c r="CD107" s="143">
        <f t="shared" si="219"/>
        <v>9.7464009002900678</v>
      </c>
      <c r="CE107" s="143">
        <f t="shared" si="219"/>
        <v>9.7464009002900678</v>
      </c>
      <c r="CF107" s="143">
        <f t="shared" si="219"/>
        <v>9.7464009002900678</v>
      </c>
      <c r="CG107" s="143">
        <f t="shared" si="63"/>
        <v>10.159392539173632</v>
      </c>
      <c r="CH107" s="143">
        <f t="shared" ref="CH107:CP107" si="220">CG107</f>
        <v>10.159392539173632</v>
      </c>
      <c r="CI107" s="143">
        <f t="shared" si="220"/>
        <v>10.159392539173632</v>
      </c>
      <c r="CJ107" s="143">
        <f t="shared" si="220"/>
        <v>10.159392539173632</v>
      </c>
      <c r="CK107" s="143">
        <f t="shared" si="220"/>
        <v>10.159392539173632</v>
      </c>
      <c r="CL107" s="143">
        <f t="shared" si="220"/>
        <v>10.159392539173632</v>
      </c>
      <c r="CM107" s="143">
        <f t="shared" si="220"/>
        <v>10.159392539173632</v>
      </c>
      <c r="CN107" s="143">
        <f t="shared" si="220"/>
        <v>10.159392539173632</v>
      </c>
      <c r="CO107" s="143">
        <f t="shared" si="220"/>
        <v>10.159392539173632</v>
      </c>
      <c r="CP107" s="143">
        <f t="shared" si="220"/>
        <v>10.159392539173632</v>
      </c>
      <c r="CQ107" s="143">
        <f t="shared" si="65"/>
        <v>10.488280852900594</v>
      </c>
      <c r="CR107" s="143">
        <f t="shared" si="66"/>
        <v>10.488280852900594</v>
      </c>
      <c r="CS107" s="143">
        <f t="shared" si="66"/>
        <v>10.488280852900594</v>
      </c>
      <c r="CT107" s="143">
        <f t="shared" si="66"/>
        <v>10.488280852900594</v>
      </c>
      <c r="CU107" s="143">
        <f t="shared" si="66"/>
        <v>10.488280852900594</v>
      </c>
      <c r="CV107" s="143">
        <f t="shared" si="67"/>
        <v>10.973659213572388</v>
      </c>
      <c r="CW107" s="143">
        <f t="shared" si="68"/>
        <v>10.973659213572388</v>
      </c>
      <c r="CX107" s="143">
        <f t="shared" si="68"/>
        <v>10.973659213572388</v>
      </c>
      <c r="CY107" s="143">
        <f t="shared" si="68"/>
        <v>10.973659213572388</v>
      </c>
      <c r="CZ107" s="143">
        <f t="shared" si="69"/>
        <v>12.550371318400851</v>
      </c>
      <c r="DA107" s="60"/>
      <c r="DB107" s="143">
        <f t="shared" si="70"/>
        <v>9.655026193237628</v>
      </c>
      <c r="DC107" s="143">
        <f t="shared" ref="DC107:DU107" si="221">DB107</f>
        <v>9.655026193237628</v>
      </c>
      <c r="DD107" s="143">
        <f t="shared" si="221"/>
        <v>9.655026193237628</v>
      </c>
      <c r="DE107" s="143">
        <f t="shared" si="221"/>
        <v>9.655026193237628</v>
      </c>
      <c r="DF107" s="143">
        <f t="shared" si="221"/>
        <v>9.655026193237628</v>
      </c>
      <c r="DG107" s="143">
        <f t="shared" si="221"/>
        <v>9.655026193237628</v>
      </c>
      <c r="DH107" s="143">
        <f t="shared" si="221"/>
        <v>9.655026193237628</v>
      </c>
      <c r="DI107" s="143">
        <f t="shared" si="221"/>
        <v>9.655026193237628</v>
      </c>
      <c r="DJ107" s="143">
        <f t="shared" si="221"/>
        <v>9.655026193237628</v>
      </c>
      <c r="DK107" s="143">
        <f t="shared" si="221"/>
        <v>9.655026193237628</v>
      </c>
      <c r="DL107" s="143">
        <f t="shared" si="221"/>
        <v>9.655026193237628</v>
      </c>
      <c r="DM107" s="143">
        <f t="shared" si="221"/>
        <v>9.655026193237628</v>
      </c>
      <c r="DN107" s="143">
        <f t="shared" si="221"/>
        <v>9.655026193237628</v>
      </c>
      <c r="DO107" s="143">
        <f t="shared" si="221"/>
        <v>9.655026193237628</v>
      </c>
      <c r="DP107" s="143">
        <f t="shared" si="221"/>
        <v>9.655026193237628</v>
      </c>
      <c r="DQ107" s="143">
        <f t="shared" si="221"/>
        <v>9.655026193237628</v>
      </c>
      <c r="DR107" s="143">
        <f t="shared" si="221"/>
        <v>9.655026193237628</v>
      </c>
      <c r="DS107" s="143">
        <f t="shared" si="221"/>
        <v>9.655026193237628</v>
      </c>
      <c r="DT107" s="143">
        <f t="shared" si="221"/>
        <v>9.655026193237628</v>
      </c>
      <c r="DU107" s="143">
        <f t="shared" si="221"/>
        <v>9.655026193237628</v>
      </c>
      <c r="DV107" s="143">
        <f t="shared" si="72"/>
        <v>10.502324053624832</v>
      </c>
      <c r="DW107" s="143">
        <f t="shared" ref="DW107:EO107" si="222">DV107</f>
        <v>10.502324053624832</v>
      </c>
      <c r="DX107" s="143">
        <f t="shared" si="222"/>
        <v>10.502324053624832</v>
      </c>
      <c r="DY107" s="143">
        <f t="shared" si="222"/>
        <v>10.502324053624832</v>
      </c>
      <c r="DZ107" s="143">
        <f t="shared" si="222"/>
        <v>10.502324053624832</v>
      </c>
      <c r="EA107" s="143">
        <f t="shared" si="222"/>
        <v>10.502324053624832</v>
      </c>
      <c r="EB107" s="143">
        <f t="shared" si="222"/>
        <v>10.502324053624832</v>
      </c>
      <c r="EC107" s="143">
        <f t="shared" si="222"/>
        <v>10.502324053624832</v>
      </c>
      <c r="ED107" s="143">
        <f t="shared" si="222"/>
        <v>10.502324053624832</v>
      </c>
      <c r="EE107" s="143">
        <f t="shared" si="222"/>
        <v>10.502324053624832</v>
      </c>
      <c r="EF107" s="143">
        <f t="shared" si="222"/>
        <v>10.502324053624832</v>
      </c>
      <c r="EG107" s="143">
        <f t="shared" si="222"/>
        <v>10.502324053624832</v>
      </c>
      <c r="EH107" s="143">
        <f t="shared" si="222"/>
        <v>10.502324053624832</v>
      </c>
      <c r="EI107" s="143">
        <f t="shared" si="222"/>
        <v>10.502324053624832</v>
      </c>
      <c r="EJ107" s="143">
        <f t="shared" si="222"/>
        <v>10.502324053624832</v>
      </c>
      <c r="EK107" s="143">
        <f t="shared" si="222"/>
        <v>10.502324053624832</v>
      </c>
      <c r="EL107" s="143">
        <f t="shared" si="222"/>
        <v>10.502324053624832</v>
      </c>
      <c r="EM107" s="143">
        <f t="shared" si="222"/>
        <v>10.502324053624832</v>
      </c>
      <c r="EN107" s="143">
        <f t="shared" si="222"/>
        <v>10.502324053624832</v>
      </c>
      <c r="EO107" s="143">
        <f t="shared" si="222"/>
        <v>10.502324053624832</v>
      </c>
      <c r="EP107" s="143">
        <f t="shared" si="74"/>
        <v>10.976782033219948</v>
      </c>
      <c r="EQ107" s="143">
        <f t="shared" ref="EQ107:FI107" si="223">EP107</f>
        <v>10.976782033219948</v>
      </c>
      <c r="ER107" s="143">
        <f t="shared" si="223"/>
        <v>10.976782033219948</v>
      </c>
      <c r="ES107" s="143">
        <f t="shared" si="223"/>
        <v>10.976782033219948</v>
      </c>
      <c r="ET107" s="143">
        <f t="shared" si="223"/>
        <v>10.976782033219948</v>
      </c>
      <c r="EU107" s="143">
        <f t="shared" si="223"/>
        <v>10.976782033219948</v>
      </c>
      <c r="EV107" s="143">
        <f t="shared" si="223"/>
        <v>10.976782033219948</v>
      </c>
      <c r="EW107" s="143">
        <f t="shared" si="223"/>
        <v>10.976782033219948</v>
      </c>
      <c r="EX107" s="143">
        <f t="shared" si="223"/>
        <v>10.976782033219948</v>
      </c>
      <c r="EY107" s="143">
        <f t="shared" si="223"/>
        <v>10.976782033219948</v>
      </c>
      <c r="EZ107" s="143">
        <f t="shared" si="223"/>
        <v>10.976782033219948</v>
      </c>
      <c r="FA107" s="143">
        <f t="shared" si="223"/>
        <v>10.976782033219948</v>
      </c>
      <c r="FB107" s="143">
        <f t="shared" si="223"/>
        <v>10.976782033219948</v>
      </c>
      <c r="FC107" s="143">
        <f t="shared" si="223"/>
        <v>10.976782033219948</v>
      </c>
      <c r="FD107" s="143">
        <f t="shared" si="223"/>
        <v>10.976782033219948</v>
      </c>
      <c r="FE107" s="143">
        <f t="shared" si="223"/>
        <v>10.976782033219948</v>
      </c>
      <c r="FF107" s="143">
        <f t="shared" si="223"/>
        <v>10.976782033219948</v>
      </c>
      <c r="FG107" s="143">
        <f t="shared" si="223"/>
        <v>10.976782033219948</v>
      </c>
      <c r="FH107" s="143">
        <f t="shared" si="223"/>
        <v>10.976782033219948</v>
      </c>
      <c r="FI107" s="143">
        <f t="shared" si="223"/>
        <v>10.976782033219948</v>
      </c>
      <c r="FJ107" s="143">
        <f t="shared" si="76"/>
        <v>11.340950200230418</v>
      </c>
      <c r="FK107" s="143">
        <f t="shared" ref="FK107:GC107" si="224">FJ107</f>
        <v>11.340950200230418</v>
      </c>
      <c r="FL107" s="143">
        <f t="shared" si="224"/>
        <v>11.340950200230418</v>
      </c>
      <c r="FM107" s="143">
        <f t="shared" si="224"/>
        <v>11.340950200230418</v>
      </c>
      <c r="FN107" s="143">
        <f t="shared" si="224"/>
        <v>11.340950200230418</v>
      </c>
      <c r="FO107" s="143">
        <f t="shared" si="224"/>
        <v>11.340950200230418</v>
      </c>
      <c r="FP107" s="143">
        <f t="shared" si="224"/>
        <v>11.340950200230418</v>
      </c>
      <c r="FQ107" s="143">
        <f t="shared" si="224"/>
        <v>11.340950200230418</v>
      </c>
      <c r="FR107" s="143">
        <f t="shared" si="224"/>
        <v>11.340950200230418</v>
      </c>
      <c r="FS107" s="143">
        <f t="shared" si="224"/>
        <v>11.340950200230418</v>
      </c>
      <c r="FT107" s="143">
        <f t="shared" si="224"/>
        <v>11.340950200230418</v>
      </c>
      <c r="FU107" s="143">
        <f t="shared" si="224"/>
        <v>11.340950200230418</v>
      </c>
      <c r="FV107" s="143">
        <f t="shared" si="224"/>
        <v>11.340950200230418</v>
      </c>
      <c r="FW107" s="143">
        <f t="shared" si="224"/>
        <v>11.340950200230418</v>
      </c>
      <c r="FX107" s="143">
        <f t="shared" si="224"/>
        <v>11.340950200230418</v>
      </c>
      <c r="FY107" s="143">
        <f t="shared" si="224"/>
        <v>11.340950200230418</v>
      </c>
      <c r="FZ107" s="143">
        <f t="shared" si="224"/>
        <v>11.340950200230418</v>
      </c>
      <c r="GA107" s="143">
        <f t="shared" si="224"/>
        <v>11.340950200230418</v>
      </c>
      <c r="GB107" s="143">
        <f t="shared" si="224"/>
        <v>11.340950200230418</v>
      </c>
      <c r="GC107" s="143">
        <f t="shared" si="224"/>
        <v>11.340950200230418</v>
      </c>
      <c r="GD107" s="143">
        <f t="shared" si="78"/>
        <v>11.642197800674367</v>
      </c>
      <c r="GE107" s="143">
        <f t="shared" ref="GE107:GM107" si="225">GD107</f>
        <v>11.642197800674367</v>
      </c>
      <c r="GF107" s="143">
        <f t="shared" si="225"/>
        <v>11.642197800674367</v>
      </c>
      <c r="GG107" s="143">
        <f t="shared" si="225"/>
        <v>11.642197800674367</v>
      </c>
      <c r="GH107" s="143">
        <f t="shared" si="225"/>
        <v>11.642197800674367</v>
      </c>
      <c r="GI107" s="143">
        <f t="shared" si="225"/>
        <v>11.642197800674367</v>
      </c>
      <c r="GJ107" s="143">
        <f t="shared" si="225"/>
        <v>11.642197800674367</v>
      </c>
      <c r="GK107" s="143">
        <f t="shared" si="225"/>
        <v>11.642197800674367</v>
      </c>
      <c r="GL107" s="143">
        <f t="shared" si="225"/>
        <v>11.642197800674367</v>
      </c>
      <c r="GM107" s="143">
        <f t="shared" si="225"/>
        <v>11.642197800674367</v>
      </c>
      <c r="GN107" s="143">
        <f t="shared" si="80"/>
        <v>11.89886790658953</v>
      </c>
      <c r="GO107" s="143">
        <f t="shared" si="81"/>
        <v>11.89886790658953</v>
      </c>
      <c r="GP107" s="143">
        <f t="shared" si="81"/>
        <v>11.89886790658953</v>
      </c>
      <c r="GQ107" s="143">
        <f t="shared" si="81"/>
        <v>11.89886790658953</v>
      </c>
      <c r="GR107" s="143">
        <f t="shared" si="81"/>
        <v>11.89886790658953</v>
      </c>
      <c r="GS107" s="143">
        <f t="shared" si="82"/>
        <v>12.305465389408209</v>
      </c>
      <c r="GT107" s="143">
        <f t="shared" si="83"/>
        <v>12.305465389408209</v>
      </c>
      <c r="GU107" s="143">
        <f t="shared" si="83"/>
        <v>12.305465389408209</v>
      </c>
      <c r="GV107" s="143">
        <f t="shared" si="83"/>
        <v>12.305465389408209</v>
      </c>
      <c r="GW107" s="143">
        <f t="shared" si="84"/>
        <v>13.652991628466498</v>
      </c>
    </row>
    <row r="108" spans="1:205" s="46" customFormat="1" ht="9.75" customHeight="1">
      <c r="A108" s="60">
        <v>1994</v>
      </c>
      <c r="B108" s="143">
        <f t="shared" si="85"/>
        <v>0.46776806229187384</v>
      </c>
      <c r="C108" s="143">
        <f t="shared" si="54"/>
        <v>0.99527294263355748</v>
      </c>
      <c r="D108" s="60"/>
      <c r="E108" s="143">
        <f t="shared" si="55"/>
        <v>7.1475592711894542</v>
      </c>
      <c r="F108" s="143">
        <f t="shared" ref="F108:X108" si="226">E108</f>
        <v>7.1475592711894542</v>
      </c>
      <c r="G108" s="143">
        <f t="shared" si="226"/>
        <v>7.1475592711894542</v>
      </c>
      <c r="H108" s="143">
        <f t="shared" si="226"/>
        <v>7.1475592711894542</v>
      </c>
      <c r="I108" s="143">
        <f t="shared" si="226"/>
        <v>7.1475592711894542</v>
      </c>
      <c r="J108" s="143">
        <f t="shared" si="226"/>
        <v>7.1475592711894542</v>
      </c>
      <c r="K108" s="143">
        <f t="shared" si="226"/>
        <v>7.1475592711894542</v>
      </c>
      <c r="L108" s="143">
        <f t="shared" si="226"/>
        <v>7.1475592711894542</v>
      </c>
      <c r="M108" s="143">
        <f t="shared" si="226"/>
        <v>7.1475592711894542</v>
      </c>
      <c r="N108" s="143">
        <f t="shared" si="226"/>
        <v>7.1475592711894542</v>
      </c>
      <c r="O108" s="143">
        <f t="shared" si="226"/>
        <v>7.1475592711894542</v>
      </c>
      <c r="P108" s="143">
        <f t="shared" si="226"/>
        <v>7.1475592711894542</v>
      </c>
      <c r="Q108" s="143">
        <f t="shared" si="226"/>
        <v>7.1475592711894542</v>
      </c>
      <c r="R108" s="143">
        <f t="shared" si="226"/>
        <v>7.1475592711894542</v>
      </c>
      <c r="S108" s="143">
        <f t="shared" si="226"/>
        <v>7.1475592711894542</v>
      </c>
      <c r="T108" s="143">
        <f t="shared" si="226"/>
        <v>7.1475592711894542</v>
      </c>
      <c r="U108" s="143">
        <f t="shared" si="226"/>
        <v>7.1475592711894542</v>
      </c>
      <c r="V108" s="143">
        <f t="shared" si="226"/>
        <v>7.1475592711894542</v>
      </c>
      <c r="W108" s="143">
        <f t="shared" si="226"/>
        <v>7.1475592711894542</v>
      </c>
      <c r="X108" s="143">
        <f t="shared" si="226"/>
        <v>7.1475592711894542</v>
      </c>
      <c r="Y108" s="143">
        <f t="shared" si="57"/>
        <v>8.5080515334989535</v>
      </c>
      <c r="Z108" s="143">
        <f t="shared" ref="Z108:AR108" si="227">Y108</f>
        <v>8.5080515334989535</v>
      </c>
      <c r="AA108" s="143">
        <f t="shared" si="227"/>
        <v>8.5080515334989535</v>
      </c>
      <c r="AB108" s="143">
        <f t="shared" si="227"/>
        <v>8.5080515334989535</v>
      </c>
      <c r="AC108" s="143">
        <f t="shared" si="227"/>
        <v>8.5080515334989535</v>
      </c>
      <c r="AD108" s="143">
        <f t="shared" si="227"/>
        <v>8.5080515334989535</v>
      </c>
      <c r="AE108" s="143">
        <f t="shared" si="227"/>
        <v>8.5080515334989535</v>
      </c>
      <c r="AF108" s="143">
        <f t="shared" si="227"/>
        <v>8.5080515334989535</v>
      </c>
      <c r="AG108" s="143">
        <f t="shared" si="227"/>
        <v>8.5080515334989535</v>
      </c>
      <c r="AH108" s="143">
        <f t="shared" si="227"/>
        <v>8.5080515334989535</v>
      </c>
      <c r="AI108" s="143">
        <f t="shared" si="227"/>
        <v>8.5080515334989535</v>
      </c>
      <c r="AJ108" s="143">
        <f t="shared" si="227"/>
        <v>8.5080515334989535</v>
      </c>
      <c r="AK108" s="143">
        <f t="shared" si="227"/>
        <v>8.5080515334989535</v>
      </c>
      <c r="AL108" s="143">
        <f t="shared" si="227"/>
        <v>8.5080515334989535</v>
      </c>
      <c r="AM108" s="143">
        <f t="shared" si="227"/>
        <v>8.5080515334989535</v>
      </c>
      <c r="AN108" s="143">
        <f t="shared" si="227"/>
        <v>8.5080515334989535</v>
      </c>
      <c r="AO108" s="143">
        <f t="shared" si="227"/>
        <v>8.5080515334989535</v>
      </c>
      <c r="AP108" s="143">
        <f t="shared" si="227"/>
        <v>8.5080515334989535</v>
      </c>
      <c r="AQ108" s="143">
        <f t="shared" si="227"/>
        <v>8.5080515334989535</v>
      </c>
      <c r="AR108" s="143">
        <f t="shared" si="227"/>
        <v>8.5080515334989535</v>
      </c>
      <c r="AS108" s="143">
        <f t="shared" si="59"/>
        <v>9.2542232771261368</v>
      </c>
      <c r="AT108" s="143">
        <f t="shared" ref="AT108:BL108" si="228">AS108</f>
        <v>9.2542232771261368</v>
      </c>
      <c r="AU108" s="143">
        <f t="shared" si="228"/>
        <v>9.2542232771261368</v>
      </c>
      <c r="AV108" s="143">
        <f t="shared" si="228"/>
        <v>9.2542232771261368</v>
      </c>
      <c r="AW108" s="143">
        <f t="shared" si="228"/>
        <v>9.2542232771261368</v>
      </c>
      <c r="AX108" s="143">
        <f t="shared" si="228"/>
        <v>9.2542232771261368</v>
      </c>
      <c r="AY108" s="143">
        <f t="shared" si="228"/>
        <v>9.2542232771261368</v>
      </c>
      <c r="AZ108" s="143">
        <f t="shared" si="228"/>
        <v>9.2542232771261368</v>
      </c>
      <c r="BA108" s="143">
        <f t="shared" si="228"/>
        <v>9.2542232771261368</v>
      </c>
      <c r="BB108" s="143">
        <f t="shared" si="228"/>
        <v>9.2542232771261368</v>
      </c>
      <c r="BC108" s="143">
        <f t="shared" si="228"/>
        <v>9.2542232771261368</v>
      </c>
      <c r="BD108" s="143">
        <f t="shared" si="228"/>
        <v>9.2542232771261368</v>
      </c>
      <c r="BE108" s="143">
        <f t="shared" si="228"/>
        <v>9.2542232771261368</v>
      </c>
      <c r="BF108" s="143">
        <f t="shared" si="228"/>
        <v>9.2542232771261368</v>
      </c>
      <c r="BG108" s="143">
        <f t="shared" si="228"/>
        <v>9.2542232771261368</v>
      </c>
      <c r="BH108" s="143">
        <f t="shared" si="228"/>
        <v>9.2542232771261368</v>
      </c>
      <c r="BI108" s="143">
        <f t="shared" si="228"/>
        <v>9.2542232771261368</v>
      </c>
      <c r="BJ108" s="143">
        <f t="shared" si="228"/>
        <v>9.2542232771261368</v>
      </c>
      <c r="BK108" s="143">
        <f t="shared" si="228"/>
        <v>9.2542232771261368</v>
      </c>
      <c r="BL108" s="143">
        <f t="shared" si="228"/>
        <v>9.2542232771261368</v>
      </c>
      <c r="BM108" s="143">
        <f t="shared" si="61"/>
        <v>9.7788932477630031</v>
      </c>
      <c r="BN108" s="143">
        <f t="shared" ref="BN108:CF108" si="229">BM108</f>
        <v>9.7788932477630031</v>
      </c>
      <c r="BO108" s="143">
        <f t="shared" si="229"/>
        <v>9.7788932477630031</v>
      </c>
      <c r="BP108" s="143">
        <f t="shared" si="229"/>
        <v>9.7788932477630031</v>
      </c>
      <c r="BQ108" s="143">
        <f t="shared" si="229"/>
        <v>9.7788932477630031</v>
      </c>
      <c r="BR108" s="143">
        <f t="shared" si="229"/>
        <v>9.7788932477630031</v>
      </c>
      <c r="BS108" s="143">
        <f t="shared" si="229"/>
        <v>9.7788932477630031</v>
      </c>
      <c r="BT108" s="143">
        <f t="shared" si="229"/>
        <v>9.7788932477630031</v>
      </c>
      <c r="BU108" s="143">
        <f t="shared" si="229"/>
        <v>9.7788932477630031</v>
      </c>
      <c r="BV108" s="143">
        <f t="shared" si="229"/>
        <v>9.7788932477630031</v>
      </c>
      <c r="BW108" s="143">
        <f t="shared" si="229"/>
        <v>9.7788932477630031</v>
      </c>
      <c r="BX108" s="143">
        <f t="shared" si="229"/>
        <v>9.7788932477630031</v>
      </c>
      <c r="BY108" s="143">
        <f t="shared" si="229"/>
        <v>9.7788932477630031</v>
      </c>
      <c r="BZ108" s="143">
        <f t="shared" si="229"/>
        <v>9.7788932477630031</v>
      </c>
      <c r="CA108" s="143">
        <f t="shared" si="229"/>
        <v>9.7788932477630031</v>
      </c>
      <c r="CB108" s="143">
        <f t="shared" si="229"/>
        <v>9.7788932477630031</v>
      </c>
      <c r="CC108" s="143">
        <f t="shared" si="229"/>
        <v>9.7788932477630031</v>
      </c>
      <c r="CD108" s="143">
        <f t="shared" si="229"/>
        <v>9.7788932477630031</v>
      </c>
      <c r="CE108" s="143">
        <f t="shared" si="229"/>
        <v>9.7788932477630031</v>
      </c>
      <c r="CF108" s="143">
        <f t="shared" si="229"/>
        <v>9.7788932477630031</v>
      </c>
      <c r="CG108" s="143">
        <f t="shared" si="63"/>
        <v>10.197730554939604</v>
      </c>
      <c r="CH108" s="143">
        <f t="shared" ref="CH108:CP108" si="230">CG108</f>
        <v>10.197730554939604</v>
      </c>
      <c r="CI108" s="143">
        <f t="shared" si="230"/>
        <v>10.197730554939604</v>
      </c>
      <c r="CJ108" s="143">
        <f t="shared" si="230"/>
        <v>10.197730554939604</v>
      </c>
      <c r="CK108" s="143">
        <f t="shared" si="230"/>
        <v>10.197730554939604</v>
      </c>
      <c r="CL108" s="143">
        <f t="shared" si="230"/>
        <v>10.197730554939604</v>
      </c>
      <c r="CM108" s="143">
        <f t="shared" si="230"/>
        <v>10.197730554939604</v>
      </c>
      <c r="CN108" s="143">
        <f t="shared" si="230"/>
        <v>10.197730554939604</v>
      </c>
      <c r="CO108" s="143">
        <f t="shared" si="230"/>
        <v>10.197730554939604</v>
      </c>
      <c r="CP108" s="143">
        <f t="shared" si="230"/>
        <v>10.197730554939604</v>
      </c>
      <c r="CQ108" s="143">
        <f t="shared" si="65"/>
        <v>10.522062037590565</v>
      </c>
      <c r="CR108" s="143">
        <f t="shared" si="66"/>
        <v>10.522062037590565</v>
      </c>
      <c r="CS108" s="143">
        <f t="shared" si="66"/>
        <v>10.522062037590565</v>
      </c>
      <c r="CT108" s="143">
        <f t="shared" si="66"/>
        <v>10.522062037590565</v>
      </c>
      <c r="CU108" s="143">
        <f t="shared" si="66"/>
        <v>10.522062037590565</v>
      </c>
      <c r="CV108" s="143">
        <f t="shared" si="67"/>
        <v>11.009993603323338</v>
      </c>
      <c r="CW108" s="143">
        <f t="shared" si="68"/>
        <v>11.009993603323338</v>
      </c>
      <c r="CX108" s="143">
        <f t="shared" si="68"/>
        <v>11.009993603323338</v>
      </c>
      <c r="CY108" s="143">
        <f t="shared" si="68"/>
        <v>11.009993603323338</v>
      </c>
      <c r="CZ108" s="143">
        <f t="shared" si="69"/>
        <v>12.615893586542441</v>
      </c>
      <c r="DA108" s="60"/>
      <c r="DB108" s="143">
        <f t="shared" si="70"/>
        <v>9.6485953029073386</v>
      </c>
      <c r="DC108" s="143">
        <f t="shared" ref="DC108:DU108" si="231">DB108</f>
        <v>9.6485953029073386</v>
      </c>
      <c r="DD108" s="143">
        <f t="shared" si="231"/>
        <v>9.6485953029073386</v>
      </c>
      <c r="DE108" s="143">
        <f t="shared" si="231"/>
        <v>9.6485953029073386</v>
      </c>
      <c r="DF108" s="143">
        <f t="shared" si="231"/>
        <v>9.6485953029073386</v>
      </c>
      <c r="DG108" s="143">
        <f t="shared" si="231"/>
        <v>9.6485953029073386</v>
      </c>
      <c r="DH108" s="143">
        <f t="shared" si="231"/>
        <v>9.6485953029073386</v>
      </c>
      <c r="DI108" s="143">
        <f t="shared" si="231"/>
        <v>9.6485953029073386</v>
      </c>
      <c r="DJ108" s="143">
        <f t="shared" si="231"/>
        <v>9.6485953029073386</v>
      </c>
      <c r="DK108" s="143">
        <f t="shared" si="231"/>
        <v>9.6485953029073386</v>
      </c>
      <c r="DL108" s="143">
        <f t="shared" si="231"/>
        <v>9.6485953029073386</v>
      </c>
      <c r="DM108" s="143">
        <f t="shared" si="231"/>
        <v>9.6485953029073386</v>
      </c>
      <c r="DN108" s="143">
        <f t="shared" si="231"/>
        <v>9.6485953029073386</v>
      </c>
      <c r="DO108" s="143">
        <f t="shared" si="231"/>
        <v>9.6485953029073386</v>
      </c>
      <c r="DP108" s="143">
        <f t="shared" si="231"/>
        <v>9.6485953029073386</v>
      </c>
      <c r="DQ108" s="143">
        <f t="shared" si="231"/>
        <v>9.6485953029073386</v>
      </c>
      <c r="DR108" s="143">
        <f t="shared" si="231"/>
        <v>9.6485953029073386</v>
      </c>
      <c r="DS108" s="143">
        <f t="shared" si="231"/>
        <v>9.6485953029073386</v>
      </c>
      <c r="DT108" s="143">
        <f t="shared" si="231"/>
        <v>9.6485953029073386</v>
      </c>
      <c r="DU108" s="143">
        <f t="shared" si="231"/>
        <v>9.6485953029073386</v>
      </c>
      <c r="DV108" s="143">
        <f t="shared" si="72"/>
        <v>10.510532034042662</v>
      </c>
      <c r="DW108" s="143">
        <f t="shared" ref="DW108:EO108" si="232">DV108</f>
        <v>10.510532034042662</v>
      </c>
      <c r="DX108" s="143">
        <f t="shared" si="232"/>
        <v>10.510532034042662</v>
      </c>
      <c r="DY108" s="143">
        <f t="shared" si="232"/>
        <v>10.510532034042662</v>
      </c>
      <c r="DZ108" s="143">
        <f t="shared" si="232"/>
        <v>10.510532034042662</v>
      </c>
      <c r="EA108" s="143">
        <f t="shared" si="232"/>
        <v>10.510532034042662</v>
      </c>
      <c r="EB108" s="143">
        <f t="shared" si="232"/>
        <v>10.510532034042662</v>
      </c>
      <c r="EC108" s="143">
        <f t="shared" si="232"/>
        <v>10.510532034042662</v>
      </c>
      <c r="ED108" s="143">
        <f t="shared" si="232"/>
        <v>10.510532034042662</v>
      </c>
      <c r="EE108" s="143">
        <f t="shared" si="232"/>
        <v>10.510532034042662</v>
      </c>
      <c r="EF108" s="143">
        <f t="shared" si="232"/>
        <v>10.510532034042662</v>
      </c>
      <c r="EG108" s="143">
        <f t="shared" si="232"/>
        <v>10.510532034042662</v>
      </c>
      <c r="EH108" s="143">
        <f t="shared" si="232"/>
        <v>10.510532034042662</v>
      </c>
      <c r="EI108" s="143">
        <f t="shared" si="232"/>
        <v>10.510532034042662</v>
      </c>
      <c r="EJ108" s="143">
        <f t="shared" si="232"/>
        <v>10.510532034042662</v>
      </c>
      <c r="EK108" s="143">
        <f t="shared" si="232"/>
        <v>10.510532034042662</v>
      </c>
      <c r="EL108" s="143">
        <f t="shared" si="232"/>
        <v>10.510532034042662</v>
      </c>
      <c r="EM108" s="143">
        <f t="shared" si="232"/>
        <v>10.510532034042662</v>
      </c>
      <c r="EN108" s="143">
        <f t="shared" si="232"/>
        <v>10.510532034042662</v>
      </c>
      <c r="EO108" s="143">
        <f t="shared" si="232"/>
        <v>10.510532034042662</v>
      </c>
      <c r="EP108" s="143">
        <f t="shared" si="74"/>
        <v>10.980195005816189</v>
      </c>
      <c r="EQ108" s="143">
        <f t="shared" ref="EQ108:FI108" si="233">EP108</f>
        <v>10.980195005816189</v>
      </c>
      <c r="ER108" s="143">
        <f t="shared" si="233"/>
        <v>10.980195005816189</v>
      </c>
      <c r="ES108" s="143">
        <f t="shared" si="233"/>
        <v>10.980195005816189</v>
      </c>
      <c r="ET108" s="143">
        <f t="shared" si="233"/>
        <v>10.980195005816189</v>
      </c>
      <c r="EU108" s="143">
        <f t="shared" si="233"/>
        <v>10.980195005816189</v>
      </c>
      <c r="EV108" s="143">
        <f t="shared" si="233"/>
        <v>10.980195005816189</v>
      </c>
      <c r="EW108" s="143">
        <f t="shared" si="233"/>
        <v>10.980195005816189</v>
      </c>
      <c r="EX108" s="143">
        <f t="shared" si="233"/>
        <v>10.980195005816189</v>
      </c>
      <c r="EY108" s="143">
        <f t="shared" si="233"/>
        <v>10.980195005816189</v>
      </c>
      <c r="EZ108" s="143">
        <f t="shared" si="233"/>
        <v>10.980195005816189</v>
      </c>
      <c r="FA108" s="143">
        <f t="shared" si="233"/>
        <v>10.980195005816189</v>
      </c>
      <c r="FB108" s="143">
        <f t="shared" si="233"/>
        <v>10.980195005816189</v>
      </c>
      <c r="FC108" s="143">
        <f t="shared" si="233"/>
        <v>10.980195005816189</v>
      </c>
      <c r="FD108" s="143">
        <f t="shared" si="233"/>
        <v>10.980195005816189</v>
      </c>
      <c r="FE108" s="143">
        <f t="shared" si="233"/>
        <v>10.980195005816189</v>
      </c>
      <c r="FF108" s="143">
        <f t="shared" si="233"/>
        <v>10.980195005816189</v>
      </c>
      <c r="FG108" s="143">
        <f t="shared" si="233"/>
        <v>10.980195005816189</v>
      </c>
      <c r="FH108" s="143">
        <f t="shared" si="233"/>
        <v>10.980195005816189</v>
      </c>
      <c r="FI108" s="143">
        <f t="shared" si="233"/>
        <v>10.980195005816189</v>
      </c>
      <c r="FJ108" s="143">
        <f t="shared" si="76"/>
        <v>11.35392973347977</v>
      </c>
      <c r="FK108" s="143">
        <f t="shared" ref="FK108:GC108" si="234">FJ108</f>
        <v>11.35392973347977</v>
      </c>
      <c r="FL108" s="143">
        <f t="shared" si="234"/>
        <v>11.35392973347977</v>
      </c>
      <c r="FM108" s="143">
        <f t="shared" si="234"/>
        <v>11.35392973347977</v>
      </c>
      <c r="FN108" s="143">
        <f t="shared" si="234"/>
        <v>11.35392973347977</v>
      </c>
      <c r="FO108" s="143">
        <f t="shared" si="234"/>
        <v>11.35392973347977</v>
      </c>
      <c r="FP108" s="143">
        <f t="shared" si="234"/>
        <v>11.35392973347977</v>
      </c>
      <c r="FQ108" s="143">
        <f t="shared" si="234"/>
        <v>11.35392973347977</v>
      </c>
      <c r="FR108" s="143">
        <f t="shared" si="234"/>
        <v>11.35392973347977</v>
      </c>
      <c r="FS108" s="143">
        <f t="shared" si="234"/>
        <v>11.35392973347977</v>
      </c>
      <c r="FT108" s="143">
        <f t="shared" si="234"/>
        <v>11.35392973347977</v>
      </c>
      <c r="FU108" s="143">
        <f t="shared" si="234"/>
        <v>11.35392973347977</v>
      </c>
      <c r="FV108" s="143">
        <f t="shared" si="234"/>
        <v>11.35392973347977</v>
      </c>
      <c r="FW108" s="143">
        <f t="shared" si="234"/>
        <v>11.35392973347977</v>
      </c>
      <c r="FX108" s="143">
        <f t="shared" si="234"/>
        <v>11.35392973347977</v>
      </c>
      <c r="FY108" s="143">
        <f t="shared" si="234"/>
        <v>11.35392973347977</v>
      </c>
      <c r="FZ108" s="143">
        <f t="shared" si="234"/>
        <v>11.35392973347977</v>
      </c>
      <c r="GA108" s="143">
        <f t="shared" si="234"/>
        <v>11.35392973347977</v>
      </c>
      <c r="GB108" s="143">
        <f t="shared" si="234"/>
        <v>11.35392973347977</v>
      </c>
      <c r="GC108" s="143">
        <f t="shared" si="234"/>
        <v>11.35392973347977</v>
      </c>
      <c r="GD108" s="143">
        <f t="shared" si="78"/>
        <v>11.663068123399947</v>
      </c>
      <c r="GE108" s="143">
        <f t="shared" ref="GE108:GM108" si="235">GD108</f>
        <v>11.663068123399947</v>
      </c>
      <c r="GF108" s="143">
        <f t="shared" si="235"/>
        <v>11.663068123399947</v>
      </c>
      <c r="GG108" s="143">
        <f t="shared" si="235"/>
        <v>11.663068123399947</v>
      </c>
      <c r="GH108" s="143">
        <f t="shared" si="235"/>
        <v>11.663068123399947</v>
      </c>
      <c r="GI108" s="143">
        <f t="shared" si="235"/>
        <v>11.663068123399947</v>
      </c>
      <c r="GJ108" s="143">
        <f t="shared" si="235"/>
        <v>11.663068123399947</v>
      </c>
      <c r="GK108" s="143">
        <f t="shared" si="235"/>
        <v>11.663068123399947</v>
      </c>
      <c r="GL108" s="143">
        <f t="shared" si="235"/>
        <v>11.663068123399947</v>
      </c>
      <c r="GM108" s="143">
        <f t="shared" si="235"/>
        <v>11.663068123399947</v>
      </c>
      <c r="GN108" s="143">
        <f t="shared" si="80"/>
        <v>11.916388570407721</v>
      </c>
      <c r="GO108" s="143">
        <f t="shared" si="81"/>
        <v>11.916388570407721</v>
      </c>
      <c r="GP108" s="143">
        <f t="shared" si="81"/>
        <v>11.916388570407721</v>
      </c>
      <c r="GQ108" s="143">
        <f t="shared" si="81"/>
        <v>11.916388570407721</v>
      </c>
      <c r="GR108" s="143">
        <f t="shared" si="81"/>
        <v>11.916388570407721</v>
      </c>
      <c r="GS108" s="143">
        <f t="shared" si="82"/>
        <v>12.330500223905226</v>
      </c>
      <c r="GT108" s="143">
        <f t="shared" si="83"/>
        <v>12.330500223905226</v>
      </c>
      <c r="GU108" s="143">
        <f t="shared" si="83"/>
        <v>12.330500223905226</v>
      </c>
      <c r="GV108" s="143">
        <f t="shared" si="83"/>
        <v>12.330500223905226</v>
      </c>
      <c r="GW108" s="143">
        <f t="shared" si="84"/>
        <v>13.68300720815118</v>
      </c>
    </row>
    <row r="109" spans="1:205" s="46" customFormat="1" ht="9.75" customHeight="1">
      <c r="A109" s="60">
        <v>1995</v>
      </c>
      <c r="B109" s="143">
        <f t="shared" si="85"/>
        <v>0.50436887425171451</v>
      </c>
      <c r="C109" s="143">
        <f t="shared" si="54"/>
        <v>0.99251586343875564</v>
      </c>
      <c r="D109" s="60"/>
      <c r="E109" s="143">
        <f t="shared" si="55"/>
        <v>7.1461420597090406</v>
      </c>
      <c r="F109" s="143">
        <f t="shared" ref="F109:X109" si="236">E109</f>
        <v>7.1461420597090406</v>
      </c>
      <c r="G109" s="143">
        <f t="shared" si="236"/>
        <v>7.1461420597090406</v>
      </c>
      <c r="H109" s="143">
        <f t="shared" si="236"/>
        <v>7.1461420597090406</v>
      </c>
      <c r="I109" s="143">
        <f t="shared" si="236"/>
        <v>7.1461420597090406</v>
      </c>
      <c r="J109" s="143">
        <f t="shared" si="236"/>
        <v>7.1461420597090406</v>
      </c>
      <c r="K109" s="143">
        <f t="shared" si="236"/>
        <v>7.1461420597090406</v>
      </c>
      <c r="L109" s="143">
        <f t="shared" si="236"/>
        <v>7.1461420597090406</v>
      </c>
      <c r="M109" s="143">
        <f t="shared" si="236"/>
        <v>7.1461420597090406</v>
      </c>
      <c r="N109" s="143">
        <f t="shared" si="236"/>
        <v>7.1461420597090406</v>
      </c>
      <c r="O109" s="143">
        <f t="shared" si="236"/>
        <v>7.1461420597090406</v>
      </c>
      <c r="P109" s="143">
        <f t="shared" si="236"/>
        <v>7.1461420597090406</v>
      </c>
      <c r="Q109" s="143">
        <f t="shared" si="236"/>
        <v>7.1461420597090406</v>
      </c>
      <c r="R109" s="143">
        <f t="shared" si="236"/>
        <v>7.1461420597090406</v>
      </c>
      <c r="S109" s="143">
        <f t="shared" si="236"/>
        <v>7.1461420597090406</v>
      </c>
      <c r="T109" s="143">
        <f t="shared" si="236"/>
        <v>7.1461420597090406</v>
      </c>
      <c r="U109" s="143">
        <f t="shared" si="236"/>
        <v>7.1461420597090406</v>
      </c>
      <c r="V109" s="143">
        <f t="shared" si="236"/>
        <v>7.1461420597090406</v>
      </c>
      <c r="W109" s="143">
        <f t="shared" si="236"/>
        <v>7.1461420597090406</v>
      </c>
      <c r="X109" s="143">
        <f t="shared" si="236"/>
        <v>7.1461420597090406</v>
      </c>
      <c r="Y109" s="143">
        <f t="shared" si="57"/>
        <v>8.5805059616279902</v>
      </c>
      <c r="Z109" s="143">
        <f t="shared" ref="Z109:AR109" si="237">Y109</f>
        <v>8.5805059616279902</v>
      </c>
      <c r="AA109" s="143">
        <f t="shared" si="237"/>
        <v>8.5805059616279902</v>
      </c>
      <c r="AB109" s="143">
        <f t="shared" si="237"/>
        <v>8.5805059616279902</v>
      </c>
      <c r="AC109" s="143">
        <f t="shared" si="237"/>
        <v>8.5805059616279902</v>
      </c>
      <c r="AD109" s="143">
        <f t="shared" si="237"/>
        <v>8.5805059616279902</v>
      </c>
      <c r="AE109" s="143">
        <f t="shared" si="237"/>
        <v>8.5805059616279902</v>
      </c>
      <c r="AF109" s="143">
        <f t="shared" si="237"/>
        <v>8.5805059616279902</v>
      </c>
      <c r="AG109" s="143">
        <f t="shared" si="237"/>
        <v>8.5805059616279902</v>
      </c>
      <c r="AH109" s="143">
        <f t="shared" si="237"/>
        <v>8.5805059616279902</v>
      </c>
      <c r="AI109" s="143">
        <f t="shared" si="237"/>
        <v>8.5805059616279902</v>
      </c>
      <c r="AJ109" s="143">
        <f t="shared" si="237"/>
        <v>8.5805059616279902</v>
      </c>
      <c r="AK109" s="143">
        <f t="shared" si="237"/>
        <v>8.5805059616279902</v>
      </c>
      <c r="AL109" s="143">
        <f t="shared" si="237"/>
        <v>8.5805059616279902</v>
      </c>
      <c r="AM109" s="143">
        <f t="shared" si="237"/>
        <v>8.5805059616279902</v>
      </c>
      <c r="AN109" s="143">
        <f t="shared" si="237"/>
        <v>8.5805059616279902</v>
      </c>
      <c r="AO109" s="143">
        <f t="shared" si="237"/>
        <v>8.5805059616279902</v>
      </c>
      <c r="AP109" s="143">
        <f t="shared" si="237"/>
        <v>8.5805059616279902</v>
      </c>
      <c r="AQ109" s="143">
        <f t="shared" si="237"/>
        <v>8.5805059616279902</v>
      </c>
      <c r="AR109" s="143">
        <f t="shared" si="237"/>
        <v>8.5805059616279902</v>
      </c>
      <c r="AS109" s="143">
        <f t="shared" si="59"/>
        <v>9.2893733392642073</v>
      </c>
      <c r="AT109" s="143">
        <f t="shared" ref="AT109:BL109" si="238">AS109</f>
        <v>9.2893733392642073</v>
      </c>
      <c r="AU109" s="143">
        <f t="shared" si="238"/>
        <v>9.2893733392642073</v>
      </c>
      <c r="AV109" s="143">
        <f t="shared" si="238"/>
        <v>9.2893733392642073</v>
      </c>
      <c r="AW109" s="143">
        <f t="shared" si="238"/>
        <v>9.2893733392642073</v>
      </c>
      <c r="AX109" s="143">
        <f t="shared" si="238"/>
        <v>9.2893733392642073</v>
      </c>
      <c r="AY109" s="143">
        <f t="shared" si="238"/>
        <v>9.2893733392642073</v>
      </c>
      <c r="AZ109" s="143">
        <f t="shared" si="238"/>
        <v>9.2893733392642073</v>
      </c>
      <c r="BA109" s="143">
        <f t="shared" si="238"/>
        <v>9.2893733392642073</v>
      </c>
      <c r="BB109" s="143">
        <f t="shared" si="238"/>
        <v>9.2893733392642073</v>
      </c>
      <c r="BC109" s="143">
        <f t="shared" si="238"/>
        <v>9.2893733392642073</v>
      </c>
      <c r="BD109" s="143">
        <f t="shared" si="238"/>
        <v>9.2893733392642073</v>
      </c>
      <c r="BE109" s="143">
        <f t="shared" si="238"/>
        <v>9.2893733392642073</v>
      </c>
      <c r="BF109" s="143">
        <f t="shared" si="238"/>
        <v>9.2893733392642073</v>
      </c>
      <c r="BG109" s="143">
        <f t="shared" si="238"/>
        <v>9.2893733392642073</v>
      </c>
      <c r="BH109" s="143">
        <f t="shared" si="238"/>
        <v>9.2893733392642073</v>
      </c>
      <c r="BI109" s="143">
        <f t="shared" si="238"/>
        <v>9.2893733392642073</v>
      </c>
      <c r="BJ109" s="143">
        <f t="shared" si="238"/>
        <v>9.2893733392642073</v>
      </c>
      <c r="BK109" s="143">
        <f t="shared" si="238"/>
        <v>9.2893733392642073</v>
      </c>
      <c r="BL109" s="143">
        <f t="shared" si="238"/>
        <v>9.2893733392642073</v>
      </c>
      <c r="BM109" s="143">
        <f t="shared" si="61"/>
        <v>9.7997756771238258</v>
      </c>
      <c r="BN109" s="143">
        <f t="shared" ref="BN109:CF109" si="239">BM109</f>
        <v>9.7997756771238258</v>
      </c>
      <c r="BO109" s="143">
        <f t="shared" si="239"/>
        <v>9.7997756771238258</v>
      </c>
      <c r="BP109" s="143">
        <f t="shared" si="239"/>
        <v>9.7997756771238258</v>
      </c>
      <c r="BQ109" s="143">
        <f t="shared" si="239"/>
        <v>9.7997756771238258</v>
      </c>
      <c r="BR109" s="143">
        <f t="shared" si="239"/>
        <v>9.7997756771238258</v>
      </c>
      <c r="BS109" s="143">
        <f t="shared" si="239"/>
        <v>9.7997756771238258</v>
      </c>
      <c r="BT109" s="143">
        <f t="shared" si="239"/>
        <v>9.7997756771238258</v>
      </c>
      <c r="BU109" s="143">
        <f t="shared" si="239"/>
        <v>9.7997756771238258</v>
      </c>
      <c r="BV109" s="143">
        <f t="shared" si="239"/>
        <v>9.7997756771238258</v>
      </c>
      <c r="BW109" s="143">
        <f t="shared" si="239"/>
        <v>9.7997756771238258</v>
      </c>
      <c r="BX109" s="143">
        <f t="shared" si="239"/>
        <v>9.7997756771238258</v>
      </c>
      <c r="BY109" s="143">
        <f t="shared" si="239"/>
        <v>9.7997756771238258</v>
      </c>
      <c r="BZ109" s="143">
        <f t="shared" si="239"/>
        <v>9.7997756771238258</v>
      </c>
      <c r="CA109" s="143">
        <f t="shared" si="239"/>
        <v>9.7997756771238258</v>
      </c>
      <c r="CB109" s="143">
        <f t="shared" si="239"/>
        <v>9.7997756771238258</v>
      </c>
      <c r="CC109" s="143">
        <f t="shared" si="239"/>
        <v>9.7997756771238258</v>
      </c>
      <c r="CD109" s="143">
        <f t="shared" si="239"/>
        <v>9.7997756771238258</v>
      </c>
      <c r="CE109" s="143">
        <f t="shared" si="239"/>
        <v>9.7997756771238258</v>
      </c>
      <c r="CF109" s="143">
        <f t="shared" si="239"/>
        <v>9.7997756771238258</v>
      </c>
      <c r="CG109" s="143">
        <f t="shared" si="63"/>
        <v>10.233517654524203</v>
      </c>
      <c r="CH109" s="143">
        <f t="shared" ref="CH109:CP109" si="240">CG109</f>
        <v>10.233517654524203</v>
      </c>
      <c r="CI109" s="143">
        <f t="shared" si="240"/>
        <v>10.233517654524203</v>
      </c>
      <c r="CJ109" s="143">
        <f t="shared" si="240"/>
        <v>10.233517654524203</v>
      </c>
      <c r="CK109" s="143">
        <f t="shared" si="240"/>
        <v>10.233517654524203</v>
      </c>
      <c r="CL109" s="143">
        <f t="shared" si="240"/>
        <v>10.233517654524203</v>
      </c>
      <c r="CM109" s="143">
        <f t="shared" si="240"/>
        <v>10.233517654524203</v>
      </c>
      <c r="CN109" s="143">
        <f t="shared" si="240"/>
        <v>10.233517654524203</v>
      </c>
      <c r="CO109" s="143">
        <f t="shared" si="240"/>
        <v>10.233517654524203</v>
      </c>
      <c r="CP109" s="143">
        <f t="shared" si="240"/>
        <v>10.233517654524203</v>
      </c>
      <c r="CQ109" s="143">
        <f t="shared" si="65"/>
        <v>10.565732128356258</v>
      </c>
      <c r="CR109" s="143">
        <f t="shared" si="66"/>
        <v>10.565732128356258</v>
      </c>
      <c r="CS109" s="143">
        <f t="shared" si="66"/>
        <v>10.565732128356258</v>
      </c>
      <c r="CT109" s="143">
        <f t="shared" si="66"/>
        <v>10.565732128356258</v>
      </c>
      <c r="CU109" s="143">
        <f t="shared" si="66"/>
        <v>10.565732128356258</v>
      </c>
      <c r="CV109" s="143">
        <f t="shared" si="67"/>
        <v>11.079332450400694</v>
      </c>
      <c r="CW109" s="143">
        <f t="shared" si="68"/>
        <v>11.079332450400694</v>
      </c>
      <c r="CX109" s="143">
        <f t="shared" si="68"/>
        <v>11.079332450400694</v>
      </c>
      <c r="CY109" s="143">
        <f t="shared" si="68"/>
        <v>11.079332450400694</v>
      </c>
      <c r="CZ109" s="143">
        <f t="shared" si="69"/>
        <v>12.734839164644395</v>
      </c>
      <c r="DA109" s="60"/>
      <c r="DB109" s="143">
        <f t="shared" si="70"/>
        <v>9.7231639984048464</v>
      </c>
      <c r="DC109" s="143">
        <f t="shared" ref="DC109:DU109" si="241">DB109</f>
        <v>9.7231639984048464</v>
      </c>
      <c r="DD109" s="143">
        <f t="shared" si="241"/>
        <v>9.7231639984048464</v>
      </c>
      <c r="DE109" s="143">
        <f t="shared" si="241"/>
        <v>9.7231639984048464</v>
      </c>
      <c r="DF109" s="143">
        <f t="shared" si="241"/>
        <v>9.7231639984048464</v>
      </c>
      <c r="DG109" s="143">
        <f t="shared" si="241"/>
        <v>9.7231639984048464</v>
      </c>
      <c r="DH109" s="143">
        <f t="shared" si="241"/>
        <v>9.7231639984048464</v>
      </c>
      <c r="DI109" s="143">
        <f t="shared" si="241"/>
        <v>9.7231639984048464</v>
      </c>
      <c r="DJ109" s="143">
        <f t="shared" si="241"/>
        <v>9.7231639984048464</v>
      </c>
      <c r="DK109" s="143">
        <f t="shared" si="241"/>
        <v>9.7231639984048464</v>
      </c>
      <c r="DL109" s="143">
        <f t="shared" si="241"/>
        <v>9.7231639984048464</v>
      </c>
      <c r="DM109" s="143">
        <f t="shared" si="241"/>
        <v>9.7231639984048464</v>
      </c>
      <c r="DN109" s="143">
        <f t="shared" si="241"/>
        <v>9.7231639984048464</v>
      </c>
      <c r="DO109" s="143">
        <f t="shared" si="241"/>
        <v>9.7231639984048464</v>
      </c>
      <c r="DP109" s="143">
        <f t="shared" si="241"/>
        <v>9.7231639984048464</v>
      </c>
      <c r="DQ109" s="143">
        <f t="shared" si="241"/>
        <v>9.7231639984048464</v>
      </c>
      <c r="DR109" s="143">
        <f t="shared" si="241"/>
        <v>9.7231639984048464</v>
      </c>
      <c r="DS109" s="143">
        <f t="shared" si="241"/>
        <v>9.7231639984048464</v>
      </c>
      <c r="DT109" s="143">
        <f t="shared" si="241"/>
        <v>9.7231639984048464</v>
      </c>
      <c r="DU109" s="143">
        <f t="shared" si="241"/>
        <v>9.7231639984048464</v>
      </c>
      <c r="DV109" s="143">
        <f t="shared" si="72"/>
        <v>10.561007555452923</v>
      </c>
      <c r="DW109" s="143">
        <f t="shared" ref="DW109:EO109" si="242">DV109</f>
        <v>10.561007555452923</v>
      </c>
      <c r="DX109" s="143">
        <f t="shared" si="242"/>
        <v>10.561007555452923</v>
      </c>
      <c r="DY109" s="143">
        <f t="shared" si="242"/>
        <v>10.561007555452923</v>
      </c>
      <c r="DZ109" s="143">
        <f t="shared" si="242"/>
        <v>10.561007555452923</v>
      </c>
      <c r="EA109" s="143">
        <f t="shared" si="242"/>
        <v>10.561007555452923</v>
      </c>
      <c r="EB109" s="143">
        <f t="shared" si="242"/>
        <v>10.561007555452923</v>
      </c>
      <c r="EC109" s="143">
        <f t="shared" si="242"/>
        <v>10.561007555452923</v>
      </c>
      <c r="ED109" s="143">
        <f t="shared" si="242"/>
        <v>10.561007555452923</v>
      </c>
      <c r="EE109" s="143">
        <f t="shared" si="242"/>
        <v>10.561007555452923</v>
      </c>
      <c r="EF109" s="143">
        <f t="shared" si="242"/>
        <v>10.561007555452923</v>
      </c>
      <c r="EG109" s="143">
        <f t="shared" si="242"/>
        <v>10.561007555452923</v>
      </c>
      <c r="EH109" s="143">
        <f t="shared" si="242"/>
        <v>10.561007555452923</v>
      </c>
      <c r="EI109" s="143">
        <f t="shared" si="242"/>
        <v>10.561007555452923</v>
      </c>
      <c r="EJ109" s="143">
        <f t="shared" si="242"/>
        <v>10.561007555452923</v>
      </c>
      <c r="EK109" s="143">
        <f t="shared" si="242"/>
        <v>10.561007555452923</v>
      </c>
      <c r="EL109" s="143">
        <f t="shared" si="242"/>
        <v>10.561007555452923</v>
      </c>
      <c r="EM109" s="143">
        <f t="shared" si="242"/>
        <v>10.561007555452923</v>
      </c>
      <c r="EN109" s="143">
        <f t="shared" si="242"/>
        <v>10.561007555452923</v>
      </c>
      <c r="EO109" s="143">
        <f t="shared" si="242"/>
        <v>10.561007555452923</v>
      </c>
      <c r="EP109" s="143">
        <f t="shared" si="74"/>
        <v>11.015345067954259</v>
      </c>
      <c r="EQ109" s="143">
        <f t="shared" ref="EQ109:FI109" si="243">EP109</f>
        <v>11.015345067954259</v>
      </c>
      <c r="ER109" s="143">
        <f t="shared" si="243"/>
        <v>11.015345067954259</v>
      </c>
      <c r="ES109" s="143">
        <f t="shared" si="243"/>
        <v>11.015345067954259</v>
      </c>
      <c r="ET109" s="143">
        <f t="shared" si="243"/>
        <v>11.015345067954259</v>
      </c>
      <c r="EU109" s="143">
        <f t="shared" si="243"/>
        <v>11.015345067954259</v>
      </c>
      <c r="EV109" s="143">
        <f t="shared" si="243"/>
        <v>11.015345067954259</v>
      </c>
      <c r="EW109" s="143">
        <f t="shared" si="243"/>
        <v>11.015345067954259</v>
      </c>
      <c r="EX109" s="143">
        <f t="shared" si="243"/>
        <v>11.015345067954259</v>
      </c>
      <c r="EY109" s="143">
        <f t="shared" si="243"/>
        <v>11.015345067954259</v>
      </c>
      <c r="EZ109" s="143">
        <f t="shared" si="243"/>
        <v>11.015345067954259</v>
      </c>
      <c r="FA109" s="143">
        <f t="shared" si="243"/>
        <v>11.015345067954259</v>
      </c>
      <c r="FB109" s="143">
        <f t="shared" si="243"/>
        <v>11.015345067954259</v>
      </c>
      <c r="FC109" s="143">
        <f t="shared" si="243"/>
        <v>11.015345067954259</v>
      </c>
      <c r="FD109" s="143">
        <f t="shared" si="243"/>
        <v>11.015345067954259</v>
      </c>
      <c r="FE109" s="143">
        <f t="shared" si="243"/>
        <v>11.015345067954259</v>
      </c>
      <c r="FF109" s="143">
        <f t="shared" si="243"/>
        <v>11.015345067954259</v>
      </c>
      <c r="FG109" s="143">
        <f t="shared" si="243"/>
        <v>11.015345067954259</v>
      </c>
      <c r="FH109" s="143">
        <f t="shared" si="243"/>
        <v>11.015345067954259</v>
      </c>
      <c r="FI109" s="143">
        <f t="shared" si="243"/>
        <v>11.015345067954259</v>
      </c>
      <c r="FJ109" s="143">
        <f t="shared" si="76"/>
        <v>11.374812162840595</v>
      </c>
      <c r="FK109" s="143">
        <f t="shared" ref="FK109:GC109" si="244">FJ109</f>
        <v>11.374812162840595</v>
      </c>
      <c r="FL109" s="143">
        <f t="shared" si="244"/>
        <v>11.374812162840595</v>
      </c>
      <c r="FM109" s="143">
        <f t="shared" si="244"/>
        <v>11.374812162840595</v>
      </c>
      <c r="FN109" s="143">
        <f t="shared" si="244"/>
        <v>11.374812162840595</v>
      </c>
      <c r="FO109" s="143">
        <f t="shared" si="244"/>
        <v>11.374812162840595</v>
      </c>
      <c r="FP109" s="143">
        <f t="shared" si="244"/>
        <v>11.374812162840595</v>
      </c>
      <c r="FQ109" s="143">
        <f t="shared" si="244"/>
        <v>11.374812162840595</v>
      </c>
      <c r="FR109" s="143">
        <f t="shared" si="244"/>
        <v>11.374812162840595</v>
      </c>
      <c r="FS109" s="143">
        <f t="shared" si="244"/>
        <v>11.374812162840595</v>
      </c>
      <c r="FT109" s="143">
        <f t="shared" si="244"/>
        <v>11.374812162840595</v>
      </c>
      <c r="FU109" s="143">
        <f t="shared" si="244"/>
        <v>11.374812162840595</v>
      </c>
      <c r="FV109" s="143">
        <f t="shared" si="244"/>
        <v>11.374812162840595</v>
      </c>
      <c r="FW109" s="143">
        <f t="shared" si="244"/>
        <v>11.374812162840595</v>
      </c>
      <c r="FX109" s="143">
        <f t="shared" si="244"/>
        <v>11.374812162840595</v>
      </c>
      <c r="FY109" s="143">
        <f t="shared" si="244"/>
        <v>11.374812162840595</v>
      </c>
      <c r="FZ109" s="143">
        <f t="shared" si="244"/>
        <v>11.374812162840595</v>
      </c>
      <c r="GA109" s="143">
        <f t="shared" si="244"/>
        <v>11.374812162840595</v>
      </c>
      <c r="GB109" s="143">
        <f t="shared" si="244"/>
        <v>11.374812162840595</v>
      </c>
      <c r="GC109" s="143">
        <f t="shared" si="244"/>
        <v>11.374812162840595</v>
      </c>
      <c r="GD109" s="143">
        <f t="shared" si="78"/>
        <v>11.690234479940639</v>
      </c>
      <c r="GE109" s="143">
        <f t="shared" ref="GE109:GM109" si="245">GD109</f>
        <v>11.690234479940639</v>
      </c>
      <c r="GF109" s="143">
        <f t="shared" si="245"/>
        <v>11.690234479940639</v>
      </c>
      <c r="GG109" s="143">
        <f t="shared" si="245"/>
        <v>11.690234479940639</v>
      </c>
      <c r="GH109" s="143">
        <f t="shared" si="245"/>
        <v>11.690234479940639</v>
      </c>
      <c r="GI109" s="143">
        <f t="shared" si="245"/>
        <v>11.690234479940639</v>
      </c>
      <c r="GJ109" s="143">
        <f t="shared" si="245"/>
        <v>11.690234479940639</v>
      </c>
      <c r="GK109" s="143">
        <f t="shared" si="245"/>
        <v>11.690234479940639</v>
      </c>
      <c r="GL109" s="143">
        <f t="shared" si="245"/>
        <v>11.690234479940639</v>
      </c>
      <c r="GM109" s="143">
        <f t="shared" si="245"/>
        <v>11.690234479940639</v>
      </c>
      <c r="GN109" s="143">
        <f t="shared" si="80"/>
        <v>11.94405831982697</v>
      </c>
      <c r="GO109" s="143">
        <f t="shared" si="81"/>
        <v>11.94405831982697</v>
      </c>
      <c r="GP109" s="143">
        <f t="shared" si="81"/>
        <v>11.94405831982697</v>
      </c>
      <c r="GQ109" s="143">
        <f t="shared" si="81"/>
        <v>11.94405831982697</v>
      </c>
      <c r="GR109" s="143">
        <f t="shared" si="81"/>
        <v>11.94405831982697</v>
      </c>
      <c r="GS109" s="143">
        <f t="shared" si="82"/>
        <v>12.381285663086834</v>
      </c>
      <c r="GT109" s="143">
        <f t="shared" si="83"/>
        <v>12.381285663086834</v>
      </c>
      <c r="GU109" s="143">
        <f t="shared" si="83"/>
        <v>12.381285663086834</v>
      </c>
      <c r="GV109" s="143">
        <f t="shared" si="83"/>
        <v>12.381285663086834</v>
      </c>
      <c r="GW109" s="143">
        <f t="shared" si="84"/>
        <v>13.787522521424105</v>
      </c>
    </row>
    <row r="110" spans="1:205" s="46" customFormat="1" ht="9.75" customHeight="1">
      <c r="A110" s="60">
        <v>1996</v>
      </c>
      <c r="B110" s="143">
        <f t="shared" si="85"/>
        <v>0.53716271449857289</v>
      </c>
      <c r="C110" s="143">
        <f t="shared" si="54"/>
        <v>0.98896260626761012</v>
      </c>
      <c r="D110" s="60"/>
      <c r="E110" s="143">
        <f t="shared" si="55"/>
        <v>7.0349164245988156</v>
      </c>
      <c r="F110" s="143">
        <f t="shared" ref="F110:X110" si="246">E110</f>
        <v>7.0349164245988156</v>
      </c>
      <c r="G110" s="143">
        <f t="shared" si="246"/>
        <v>7.0349164245988156</v>
      </c>
      <c r="H110" s="143">
        <f t="shared" si="246"/>
        <v>7.0349164245988156</v>
      </c>
      <c r="I110" s="143">
        <f t="shared" si="246"/>
        <v>7.0349164245988156</v>
      </c>
      <c r="J110" s="143">
        <f t="shared" si="246"/>
        <v>7.0349164245988156</v>
      </c>
      <c r="K110" s="143">
        <f t="shared" si="246"/>
        <v>7.0349164245988156</v>
      </c>
      <c r="L110" s="143">
        <f t="shared" si="246"/>
        <v>7.0349164245988156</v>
      </c>
      <c r="M110" s="143">
        <f t="shared" si="246"/>
        <v>7.0349164245988156</v>
      </c>
      <c r="N110" s="143">
        <f t="shared" si="246"/>
        <v>7.0349164245988156</v>
      </c>
      <c r="O110" s="143">
        <f t="shared" si="246"/>
        <v>7.0349164245988156</v>
      </c>
      <c r="P110" s="143">
        <f t="shared" si="246"/>
        <v>7.0349164245988156</v>
      </c>
      <c r="Q110" s="143">
        <f t="shared" si="246"/>
        <v>7.0349164245988156</v>
      </c>
      <c r="R110" s="143">
        <f t="shared" si="246"/>
        <v>7.0349164245988156</v>
      </c>
      <c r="S110" s="143">
        <f t="shared" si="246"/>
        <v>7.0349164245988156</v>
      </c>
      <c r="T110" s="143">
        <f t="shared" si="246"/>
        <v>7.0349164245988156</v>
      </c>
      <c r="U110" s="143">
        <f t="shared" si="246"/>
        <v>7.0349164245988156</v>
      </c>
      <c r="V110" s="143">
        <f t="shared" si="246"/>
        <v>7.0349164245988156</v>
      </c>
      <c r="W110" s="143">
        <f t="shared" si="246"/>
        <v>7.0349164245988156</v>
      </c>
      <c r="X110" s="143">
        <f t="shared" si="246"/>
        <v>7.0349164245988156</v>
      </c>
      <c r="Y110" s="143">
        <f t="shared" si="57"/>
        <v>8.5732332022989102</v>
      </c>
      <c r="Z110" s="143">
        <f t="shared" ref="Z110:AR110" si="247">Y110</f>
        <v>8.5732332022989102</v>
      </c>
      <c r="AA110" s="143">
        <f t="shared" si="247"/>
        <v>8.5732332022989102</v>
      </c>
      <c r="AB110" s="143">
        <f t="shared" si="247"/>
        <v>8.5732332022989102</v>
      </c>
      <c r="AC110" s="143">
        <f t="shared" si="247"/>
        <v>8.5732332022989102</v>
      </c>
      <c r="AD110" s="143">
        <f t="shared" si="247"/>
        <v>8.5732332022989102</v>
      </c>
      <c r="AE110" s="143">
        <f t="shared" si="247"/>
        <v>8.5732332022989102</v>
      </c>
      <c r="AF110" s="143">
        <f t="shared" si="247"/>
        <v>8.5732332022989102</v>
      </c>
      <c r="AG110" s="143">
        <f t="shared" si="247"/>
        <v>8.5732332022989102</v>
      </c>
      <c r="AH110" s="143">
        <f t="shared" si="247"/>
        <v>8.5732332022989102</v>
      </c>
      <c r="AI110" s="143">
        <f t="shared" si="247"/>
        <v>8.5732332022989102</v>
      </c>
      <c r="AJ110" s="143">
        <f t="shared" si="247"/>
        <v>8.5732332022989102</v>
      </c>
      <c r="AK110" s="143">
        <f t="shared" si="247"/>
        <v>8.5732332022989102</v>
      </c>
      <c r="AL110" s="143">
        <f t="shared" si="247"/>
        <v>8.5732332022989102</v>
      </c>
      <c r="AM110" s="143">
        <f t="shared" si="247"/>
        <v>8.5732332022989102</v>
      </c>
      <c r="AN110" s="143">
        <f t="shared" si="247"/>
        <v>8.5732332022989102</v>
      </c>
      <c r="AO110" s="143">
        <f t="shared" si="247"/>
        <v>8.5732332022989102</v>
      </c>
      <c r="AP110" s="143">
        <f t="shared" si="247"/>
        <v>8.5732332022989102</v>
      </c>
      <c r="AQ110" s="143">
        <f t="shared" si="247"/>
        <v>8.5732332022989102</v>
      </c>
      <c r="AR110" s="143">
        <f t="shared" si="247"/>
        <v>8.5732332022989102</v>
      </c>
      <c r="AS110" s="143">
        <f t="shared" si="59"/>
        <v>9.3040674812034272</v>
      </c>
      <c r="AT110" s="143">
        <f t="shared" ref="AT110:BL110" si="248">AS110</f>
        <v>9.3040674812034272</v>
      </c>
      <c r="AU110" s="143">
        <f t="shared" si="248"/>
        <v>9.3040674812034272</v>
      </c>
      <c r="AV110" s="143">
        <f t="shared" si="248"/>
        <v>9.3040674812034272</v>
      </c>
      <c r="AW110" s="143">
        <f t="shared" si="248"/>
        <v>9.3040674812034272</v>
      </c>
      <c r="AX110" s="143">
        <f t="shared" si="248"/>
        <v>9.3040674812034272</v>
      </c>
      <c r="AY110" s="143">
        <f t="shared" si="248"/>
        <v>9.3040674812034272</v>
      </c>
      <c r="AZ110" s="143">
        <f t="shared" si="248"/>
        <v>9.3040674812034272</v>
      </c>
      <c r="BA110" s="143">
        <f t="shared" si="248"/>
        <v>9.3040674812034272</v>
      </c>
      <c r="BB110" s="143">
        <f t="shared" si="248"/>
        <v>9.3040674812034272</v>
      </c>
      <c r="BC110" s="143">
        <f t="shared" si="248"/>
        <v>9.3040674812034272</v>
      </c>
      <c r="BD110" s="143">
        <f t="shared" si="248"/>
        <v>9.3040674812034272</v>
      </c>
      <c r="BE110" s="143">
        <f t="shared" si="248"/>
        <v>9.3040674812034272</v>
      </c>
      <c r="BF110" s="143">
        <f t="shared" si="248"/>
        <v>9.3040674812034272</v>
      </c>
      <c r="BG110" s="143">
        <f t="shared" si="248"/>
        <v>9.3040674812034272</v>
      </c>
      <c r="BH110" s="143">
        <f t="shared" si="248"/>
        <v>9.3040674812034272</v>
      </c>
      <c r="BI110" s="143">
        <f t="shared" si="248"/>
        <v>9.3040674812034272</v>
      </c>
      <c r="BJ110" s="143">
        <f t="shared" si="248"/>
        <v>9.3040674812034272</v>
      </c>
      <c r="BK110" s="143">
        <f t="shared" si="248"/>
        <v>9.3040674812034272</v>
      </c>
      <c r="BL110" s="143">
        <f t="shared" si="248"/>
        <v>9.3040674812034272</v>
      </c>
      <c r="BM110" s="143">
        <f t="shared" si="61"/>
        <v>9.8202309357852275</v>
      </c>
      <c r="BN110" s="143">
        <f t="shared" ref="BN110:CF110" si="249">BM110</f>
        <v>9.8202309357852275</v>
      </c>
      <c r="BO110" s="143">
        <f t="shared" si="249"/>
        <v>9.8202309357852275</v>
      </c>
      <c r="BP110" s="143">
        <f t="shared" si="249"/>
        <v>9.8202309357852275</v>
      </c>
      <c r="BQ110" s="143">
        <f t="shared" si="249"/>
        <v>9.8202309357852275</v>
      </c>
      <c r="BR110" s="143">
        <f t="shared" si="249"/>
        <v>9.8202309357852275</v>
      </c>
      <c r="BS110" s="143">
        <f t="shared" si="249"/>
        <v>9.8202309357852275</v>
      </c>
      <c r="BT110" s="143">
        <f t="shared" si="249"/>
        <v>9.8202309357852275</v>
      </c>
      <c r="BU110" s="143">
        <f t="shared" si="249"/>
        <v>9.8202309357852275</v>
      </c>
      <c r="BV110" s="143">
        <f t="shared" si="249"/>
        <v>9.8202309357852275</v>
      </c>
      <c r="BW110" s="143">
        <f t="shared" si="249"/>
        <v>9.8202309357852275</v>
      </c>
      <c r="BX110" s="143">
        <f t="shared" si="249"/>
        <v>9.8202309357852275</v>
      </c>
      <c r="BY110" s="143">
        <f t="shared" si="249"/>
        <v>9.8202309357852275</v>
      </c>
      <c r="BZ110" s="143">
        <f t="shared" si="249"/>
        <v>9.8202309357852275</v>
      </c>
      <c r="CA110" s="143">
        <f t="shared" si="249"/>
        <v>9.8202309357852275</v>
      </c>
      <c r="CB110" s="143">
        <f t="shared" si="249"/>
        <v>9.8202309357852275</v>
      </c>
      <c r="CC110" s="143">
        <f t="shared" si="249"/>
        <v>9.8202309357852275</v>
      </c>
      <c r="CD110" s="143">
        <f t="shared" si="249"/>
        <v>9.8202309357852275</v>
      </c>
      <c r="CE110" s="143">
        <f t="shared" si="249"/>
        <v>9.8202309357852275</v>
      </c>
      <c r="CF110" s="143">
        <f t="shared" si="249"/>
        <v>9.8202309357852275</v>
      </c>
      <c r="CG110" s="143">
        <f t="shared" si="63"/>
        <v>10.250758416399567</v>
      </c>
      <c r="CH110" s="143">
        <f t="shared" ref="CH110:CP110" si="250">CG110</f>
        <v>10.250758416399567</v>
      </c>
      <c r="CI110" s="143">
        <f t="shared" si="250"/>
        <v>10.250758416399567</v>
      </c>
      <c r="CJ110" s="143">
        <f t="shared" si="250"/>
        <v>10.250758416399567</v>
      </c>
      <c r="CK110" s="143">
        <f t="shared" si="250"/>
        <v>10.250758416399567</v>
      </c>
      <c r="CL110" s="143">
        <f t="shared" si="250"/>
        <v>10.250758416399567</v>
      </c>
      <c r="CM110" s="143">
        <f t="shared" si="250"/>
        <v>10.250758416399567</v>
      </c>
      <c r="CN110" s="143">
        <f t="shared" si="250"/>
        <v>10.250758416399567</v>
      </c>
      <c r="CO110" s="143">
        <f t="shared" si="250"/>
        <v>10.250758416399567</v>
      </c>
      <c r="CP110" s="143">
        <f t="shared" si="250"/>
        <v>10.250758416399567</v>
      </c>
      <c r="CQ110" s="143">
        <f t="shared" si="65"/>
        <v>10.598749994352751</v>
      </c>
      <c r="CR110" s="143">
        <f t="shared" si="66"/>
        <v>10.598749994352751</v>
      </c>
      <c r="CS110" s="143">
        <f t="shared" si="66"/>
        <v>10.598749994352751</v>
      </c>
      <c r="CT110" s="143">
        <f t="shared" si="66"/>
        <v>10.598749994352751</v>
      </c>
      <c r="CU110" s="143">
        <f t="shared" si="66"/>
        <v>10.598749994352751</v>
      </c>
      <c r="CV110" s="143">
        <f t="shared" si="67"/>
        <v>11.126556852553053</v>
      </c>
      <c r="CW110" s="143">
        <f t="shared" si="68"/>
        <v>11.126556852553053</v>
      </c>
      <c r="CX110" s="143">
        <f t="shared" si="68"/>
        <v>11.126556852553053</v>
      </c>
      <c r="CY110" s="143">
        <f t="shared" si="68"/>
        <v>11.126556852553053</v>
      </c>
      <c r="CZ110" s="143">
        <f t="shared" si="69"/>
        <v>12.834508490020907</v>
      </c>
      <c r="DA110" s="60"/>
      <c r="DB110" s="143">
        <f t="shared" si="70"/>
        <v>9.7231639984048464</v>
      </c>
      <c r="DC110" s="143">
        <f t="shared" ref="DC110:DU110" si="251">DB110</f>
        <v>9.7231639984048464</v>
      </c>
      <c r="DD110" s="143">
        <f t="shared" si="251"/>
        <v>9.7231639984048464</v>
      </c>
      <c r="DE110" s="143">
        <f t="shared" si="251"/>
        <v>9.7231639984048464</v>
      </c>
      <c r="DF110" s="143">
        <f t="shared" si="251"/>
        <v>9.7231639984048464</v>
      </c>
      <c r="DG110" s="143">
        <f t="shared" si="251"/>
        <v>9.7231639984048464</v>
      </c>
      <c r="DH110" s="143">
        <f t="shared" si="251"/>
        <v>9.7231639984048464</v>
      </c>
      <c r="DI110" s="143">
        <f t="shared" si="251"/>
        <v>9.7231639984048464</v>
      </c>
      <c r="DJ110" s="143">
        <f t="shared" si="251"/>
        <v>9.7231639984048464</v>
      </c>
      <c r="DK110" s="143">
        <f t="shared" si="251"/>
        <v>9.7231639984048464</v>
      </c>
      <c r="DL110" s="143">
        <f t="shared" si="251"/>
        <v>9.7231639984048464</v>
      </c>
      <c r="DM110" s="143">
        <f t="shared" si="251"/>
        <v>9.7231639984048464</v>
      </c>
      <c r="DN110" s="143">
        <f t="shared" si="251"/>
        <v>9.7231639984048464</v>
      </c>
      <c r="DO110" s="143">
        <f t="shared" si="251"/>
        <v>9.7231639984048464</v>
      </c>
      <c r="DP110" s="143">
        <f t="shared" si="251"/>
        <v>9.7231639984048464</v>
      </c>
      <c r="DQ110" s="143">
        <f t="shared" si="251"/>
        <v>9.7231639984048464</v>
      </c>
      <c r="DR110" s="143">
        <f t="shared" si="251"/>
        <v>9.7231639984048464</v>
      </c>
      <c r="DS110" s="143">
        <f t="shared" si="251"/>
        <v>9.7231639984048464</v>
      </c>
      <c r="DT110" s="143">
        <f t="shared" si="251"/>
        <v>9.7231639984048464</v>
      </c>
      <c r="DU110" s="143">
        <f t="shared" si="251"/>
        <v>9.7231639984048464</v>
      </c>
      <c r="DV110" s="143">
        <f t="shared" si="72"/>
        <v>10.561007555452923</v>
      </c>
      <c r="DW110" s="143">
        <f t="shared" ref="DW110:EO110" si="252">DV110</f>
        <v>10.561007555452923</v>
      </c>
      <c r="DX110" s="143">
        <f t="shared" si="252"/>
        <v>10.561007555452923</v>
      </c>
      <c r="DY110" s="143">
        <f t="shared" si="252"/>
        <v>10.561007555452923</v>
      </c>
      <c r="DZ110" s="143">
        <f t="shared" si="252"/>
        <v>10.561007555452923</v>
      </c>
      <c r="EA110" s="143">
        <f t="shared" si="252"/>
        <v>10.561007555452923</v>
      </c>
      <c r="EB110" s="143">
        <f t="shared" si="252"/>
        <v>10.561007555452923</v>
      </c>
      <c r="EC110" s="143">
        <f t="shared" si="252"/>
        <v>10.561007555452923</v>
      </c>
      <c r="ED110" s="143">
        <f t="shared" si="252"/>
        <v>10.561007555452923</v>
      </c>
      <c r="EE110" s="143">
        <f t="shared" si="252"/>
        <v>10.561007555452923</v>
      </c>
      <c r="EF110" s="143">
        <f t="shared" si="252"/>
        <v>10.561007555452923</v>
      </c>
      <c r="EG110" s="143">
        <f t="shared" si="252"/>
        <v>10.561007555452923</v>
      </c>
      <c r="EH110" s="143">
        <f t="shared" si="252"/>
        <v>10.561007555452923</v>
      </c>
      <c r="EI110" s="143">
        <f t="shared" si="252"/>
        <v>10.561007555452923</v>
      </c>
      <c r="EJ110" s="143">
        <f t="shared" si="252"/>
        <v>10.561007555452923</v>
      </c>
      <c r="EK110" s="143">
        <f t="shared" si="252"/>
        <v>10.561007555452923</v>
      </c>
      <c r="EL110" s="143">
        <f t="shared" si="252"/>
        <v>10.561007555452923</v>
      </c>
      <c r="EM110" s="143">
        <f t="shared" si="252"/>
        <v>10.561007555452923</v>
      </c>
      <c r="EN110" s="143">
        <f t="shared" si="252"/>
        <v>10.561007555452923</v>
      </c>
      <c r="EO110" s="143">
        <f t="shared" si="252"/>
        <v>10.561007555452923</v>
      </c>
      <c r="EP110" s="143">
        <f t="shared" si="74"/>
        <v>11.030039209893479</v>
      </c>
      <c r="EQ110" s="143">
        <f t="shared" ref="EQ110:FI110" si="253">EP110</f>
        <v>11.030039209893479</v>
      </c>
      <c r="ER110" s="143">
        <f t="shared" si="253"/>
        <v>11.030039209893479</v>
      </c>
      <c r="ES110" s="143">
        <f t="shared" si="253"/>
        <v>11.030039209893479</v>
      </c>
      <c r="ET110" s="143">
        <f t="shared" si="253"/>
        <v>11.030039209893479</v>
      </c>
      <c r="EU110" s="143">
        <f t="shared" si="253"/>
        <v>11.030039209893479</v>
      </c>
      <c r="EV110" s="143">
        <f t="shared" si="253"/>
        <v>11.030039209893479</v>
      </c>
      <c r="EW110" s="143">
        <f t="shared" si="253"/>
        <v>11.030039209893479</v>
      </c>
      <c r="EX110" s="143">
        <f t="shared" si="253"/>
        <v>11.030039209893479</v>
      </c>
      <c r="EY110" s="143">
        <f t="shared" si="253"/>
        <v>11.030039209893479</v>
      </c>
      <c r="EZ110" s="143">
        <f t="shared" si="253"/>
        <v>11.030039209893479</v>
      </c>
      <c r="FA110" s="143">
        <f t="shared" si="253"/>
        <v>11.030039209893479</v>
      </c>
      <c r="FB110" s="143">
        <f t="shared" si="253"/>
        <v>11.030039209893479</v>
      </c>
      <c r="FC110" s="143">
        <f t="shared" si="253"/>
        <v>11.030039209893479</v>
      </c>
      <c r="FD110" s="143">
        <f t="shared" si="253"/>
        <v>11.030039209893479</v>
      </c>
      <c r="FE110" s="143">
        <f t="shared" si="253"/>
        <v>11.030039209893479</v>
      </c>
      <c r="FF110" s="143">
        <f t="shared" si="253"/>
        <v>11.030039209893479</v>
      </c>
      <c r="FG110" s="143">
        <f t="shared" si="253"/>
        <v>11.030039209893479</v>
      </c>
      <c r="FH110" s="143">
        <f t="shared" si="253"/>
        <v>11.030039209893479</v>
      </c>
      <c r="FI110" s="143">
        <f t="shared" si="253"/>
        <v>11.030039209893479</v>
      </c>
      <c r="FJ110" s="143">
        <f t="shared" si="76"/>
        <v>11.395267421501996</v>
      </c>
      <c r="FK110" s="143">
        <f t="shared" ref="FK110:GC110" si="254">FJ110</f>
        <v>11.395267421501996</v>
      </c>
      <c r="FL110" s="143">
        <f t="shared" si="254"/>
        <v>11.395267421501996</v>
      </c>
      <c r="FM110" s="143">
        <f t="shared" si="254"/>
        <v>11.395267421501996</v>
      </c>
      <c r="FN110" s="143">
        <f t="shared" si="254"/>
        <v>11.395267421501996</v>
      </c>
      <c r="FO110" s="143">
        <f t="shared" si="254"/>
        <v>11.395267421501996</v>
      </c>
      <c r="FP110" s="143">
        <f t="shared" si="254"/>
        <v>11.395267421501996</v>
      </c>
      <c r="FQ110" s="143">
        <f t="shared" si="254"/>
        <v>11.395267421501996</v>
      </c>
      <c r="FR110" s="143">
        <f t="shared" si="254"/>
        <v>11.395267421501996</v>
      </c>
      <c r="FS110" s="143">
        <f t="shared" si="254"/>
        <v>11.395267421501996</v>
      </c>
      <c r="FT110" s="143">
        <f t="shared" si="254"/>
        <v>11.395267421501996</v>
      </c>
      <c r="FU110" s="143">
        <f t="shared" si="254"/>
        <v>11.395267421501996</v>
      </c>
      <c r="FV110" s="143">
        <f t="shared" si="254"/>
        <v>11.395267421501996</v>
      </c>
      <c r="FW110" s="143">
        <f t="shared" si="254"/>
        <v>11.395267421501996</v>
      </c>
      <c r="FX110" s="143">
        <f t="shared" si="254"/>
        <v>11.395267421501996</v>
      </c>
      <c r="FY110" s="143">
        <f t="shared" si="254"/>
        <v>11.395267421501996</v>
      </c>
      <c r="FZ110" s="143">
        <f t="shared" si="254"/>
        <v>11.395267421501996</v>
      </c>
      <c r="GA110" s="143">
        <f t="shared" si="254"/>
        <v>11.395267421501996</v>
      </c>
      <c r="GB110" s="143">
        <f t="shared" si="254"/>
        <v>11.395267421501996</v>
      </c>
      <c r="GC110" s="143">
        <f t="shared" si="254"/>
        <v>11.395267421501996</v>
      </c>
      <c r="GD110" s="143">
        <f t="shared" si="78"/>
        <v>11.711776323715394</v>
      </c>
      <c r="GE110" s="143">
        <f t="shared" ref="GE110:GM110" si="255">GD110</f>
        <v>11.711776323715394</v>
      </c>
      <c r="GF110" s="143">
        <f t="shared" si="255"/>
        <v>11.711776323715394</v>
      </c>
      <c r="GG110" s="143">
        <f t="shared" si="255"/>
        <v>11.711776323715394</v>
      </c>
      <c r="GH110" s="143">
        <f t="shared" si="255"/>
        <v>11.711776323715394</v>
      </c>
      <c r="GI110" s="143">
        <f t="shared" si="255"/>
        <v>11.711776323715394</v>
      </c>
      <c r="GJ110" s="143">
        <f t="shared" si="255"/>
        <v>11.711776323715394</v>
      </c>
      <c r="GK110" s="143">
        <f t="shared" si="255"/>
        <v>11.711776323715394</v>
      </c>
      <c r="GL110" s="143">
        <f t="shared" si="255"/>
        <v>11.711776323715394</v>
      </c>
      <c r="GM110" s="143">
        <f t="shared" si="255"/>
        <v>11.711776323715394</v>
      </c>
      <c r="GN110" s="143">
        <f t="shared" si="80"/>
        <v>11.981052334203104</v>
      </c>
      <c r="GO110" s="143">
        <f t="shared" si="81"/>
        <v>11.981052334203104</v>
      </c>
      <c r="GP110" s="143">
        <f t="shared" si="81"/>
        <v>11.981052334203104</v>
      </c>
      <c r="GQ110" s="143">
        <f t="shared" si="81"/>
        <v>11.981052334203104</v>
      </c>
      <c r="GR110" s="143">
        <f t="shared" si="81"/>
        <v>11.981052334203104</v>
      </c>
      <c r="GS110" s="143">
        <f t="shared" si="82"/>
        <v>12.421184025147118</v>
      </c>
      <c r="GT110" s="143">
        <f t="shared" si="83"/>
        <v>12.421184025147118</v>
      </c>
      <c r="GU110" s="143">
        <f t="shared" si="83"/>
        <v>12.421184025147118</v>
      </c>
      <c r="GV110" s="143">
        <f t="shared" si="83"/>
        <v>12.421184025147118</v>
      </c>
      <c r="GW110" s="143">
        <f t="shared" si="84"/>
        <v>13.890061289228571</v>
      </c>
    </row>
    <row r="111" spans="1:205" s="46" customFormat="1" ht="9.75" customHeight="1">
      <c r="A111" s="60">
        <v>1997</v>
      </c>
      <c r="B111" s="143">
        <f t="shared" si="85"/>
        <v>0.52313350788626956</v>
      </c>
      <c r="C111" s="143">
        <f t="shared" si="54"/>
        <v>0.98728426542946734</v>
      </c>
      <c r="D111" s="60"/>
      <c r="E111" s="143">
        <f t="shared" si="55"/>
        <v>7.1163941440934648</v>
      </c>
      <c r="F111" s="143">
        <f t="shared" ref="F111:X111" si="256">E111</f>
        <v>7.1163941440934648</v>
      </c>
      <c r="G111" s="143">
        <f t="shared" si="256"/>
        <v>7.1163941440934648</v>
      </c>
      <c r="H111" s="143">
        <f t="shared" si="256"/>
        <v>7.1163941440934648</v>
      </c>
      <c r="I111" s="143">
        <f t="shared" si="256"/>
        <v>7.1163941440934648</v>
      </c>
      <c r="J111" s="143">
        <f t="shared" si="256"/>
        <v>7.1163941440934648</v>
      </c>
      <c r="K111" s="143">
        <f t="shared" si="256"/>
        <v>7.1163941440934648</v>
      </c>
      <c r="L111" s="143">
        <f t="shared" si="256"/>
        <v>7.1163941440934648</v>
      </c>
      <c r="M111" s="143">
        <f t="shared" si="256"/>
        <v>7.1163941440934648</v>
      </c>
      <c r="N111" s="143">
        <f t="shared" si="256"/>
        <v>7.1163941440934648</v>
      </c>
      <c r="O111" s="143">
        <f t="shared" si="256"/>
        <v>7.1163941440934648</v>
      </c>
      <c r="P111" s="143">
        <f t="shared" si="256"/>
        <v>7.1163941440934648</v>
      </c>
      <c r="Q111" s="143">
        <f t="shared" si="256"/>
        <v>7.1163941440934648</v>
      </c>
      <c r="R111" s="143">
        <f t="shared" si="256"/>
        <v>7.1163941440934648</v>
      </c>
      <c r="S111" s="143">
        <f t="shared" si="256"/>
        <v>7.1163941440934648</v>
      </c>
      <c r="T111" s="143">
        <f t="shared" si="256"/>
        <v>7.1163941440934648</v>
      </c>
      <c r="U111" s="143">
        <f t="shared" si="256"/>
        <v>7.1163941440934648</v>
      </c>
      <c r="V111" s="143">
        <f t="shared" si="256"/>
        <v>7.1163941440934648</v>
      </c>
      <c r="W111" s="143">
        <f t="shared" si="256"/>
        <v>7.1163941440934648</v>
      </c>
      <c r="X111" s="143">
        <f t="shared" si="256"/>
        <v>7.1163941440934648</v>
      </c>
      <c r="Y111" s="143">
        <f t="shared" si="57"/>
        <v>8.6305218767232414</v>
      </c>
      <c r="Z111" s="143">
        <f t="shared" ref="Z111:AR111" si="257">Y111</f>
        <v>8.6305218767232414</v>
      </c>
      <c r="AA111" s="143">
        <f t="shared" si="257"/>
        <v>8.6305218767232414</v>
      </c>
      <c r="AB111" s="143">
        <f t="shared" si="257"/>
        <v>8.6305218767232414</v>
      </c>
      <c r="AC111" s="143">
        <f t="shared" si="257"/>
        <v>8.6305218767232414</v>
      </c>
      <c r="AD111" s="143">
        <f t="shared" si="257"/>
        <v>8.6305218767232414</v>
      </c>
      <c r="AE111" s="143">
        <f t="shared" si="257"/>
        <v>8.6305218767232414</v>
      </c>
      <c r="AF111" s="143">
        <f t="shared" si="257"/>
        <v>8.6305218767232414</v>
      </c>
      <c r="AG111" s="143">
        <f t="shared" si="257"/>
        <v>8.6305218767232414</v>
      </c>
      <c r="AH111" s="143">
        <f t="shared" si="257"/>
        <v>8.6305218767232414</v>
      </c>
      <c r="AI111" s="143">
        <f t="shared" si="257"/>
        <v>8.6305218767232414</v>
      </c>
      <c r="AJ111" s="143">
        <f t="shared" si="257"/>
        <v>8.6305218767232414</v>
      </c>
      <c r="AK111" s="143">
        <f t="shared" si="257"/>
        <v>8.6305218767232414</v>
      </c>
      <c r="AL111" s="143">
        <f t="shared" si="257"/>
        <v>8.6305218767232414</v>
      </c>
      <c r="AM111" s="143">
        <f t="shared" si="257"/>
        <v>8.6305218767232414</v>
      </c>
      <c r="AN111" s="143">
        <f t="shared" si="257"/>
        <v>8.6305218767232414</v>
      </c>
      <c r="AO111" s="143">
        <f t="shared" si="257"/>
        <v>8.6305218767232414</v>
      </c>
      <c r="AP111" s="143">
        <f t="shared" si="257"/>
        <v>8.6305218767232414</v>
      </c>
      <c r="AQ111" s="143">
        <f t="shared" si="257"/>
        <v>8.6305218767232414</v>
      </c>
      <c r="AR111" s="143">
        <f t="shared" si="257"/>
        <v>8.6305218767232414</v>
      </c>
      <c r="AS111" s="143">
        <f t="shared" si="59"/>
        <v>9.3416317576573586</v>
      </c>
      <c r="AT111" s="143">
        <f t="shared" ref="AT111:BL111" si="258">AS111</f>
        <v>9.3416317576573586</v>
      </c>
      <c r="AU111" s="143">
        <f t="shared" si="258"/>
        <v>9.3416317576573586</v>
      </c>
      <c r="AV111" s="143">
        <f t="shared" si="258"/>
        <v>9.3416317576573586</v>
      </c>
      <c r="AW111" s="143">
        <f t="shared" si="258"/>
        <v>9.3416317576573586</v>
      </c>
      <c r="AX111" s="143">
        <f t="shared" si="258"/>
        <v>9.3416317576573586</v>
      </c>
      <c r="AY111" s="143">
        <f t="shared" si="258"/>
        <v>9.3416317576573586</v>
      </c>
      <c r="AZ111" s="143">
        <f t="shared" si="258"/>
        <v>9.3416317576573586</v>
      </c>
      <c r="BA111" s="143">
        <f t="shared" si="258"/>
        <v>9.3416317576573586</v>
      </c>
      <c r="BB111" s="143">
        <f t="shared" si="258"/>
        <v>9.3416317576573586</v>
      </c>
      <c r="BC111" s="143">
        <f t="shared" si="258"/>
        <v>9.3416317576573586</v>
      </c>
      <c r="BD111" s="143">
        <f t="shared" si="258"/>
        <v>9.3416317576573586</v>
      </c>
      <c r="BE111" s="143">
        <f t="shared" si="258"/>
        <v>9.3416317576573586</v>
      </c>
      <c r="BF111" s="143">
        <f t="shared" si="258"/>
        <v>9.3416317576573586</v>
      </c>
      <c r="BG111" s="143">
        <f t="shared" si="258"/>
        <v>9.3416317576573586</v>
      </c>
      <c r="BH111" s="143">
        <f t="shared" si="258"/>
        <v>9.3416317576573586</v>
      </c>
      <c r="BI111" s="143">
        <f t="shared" si="258"/>
        <v>9.3416317576573586</v>
      </c>
      <c r="BJ111" s="143">
        <f t="shared" si="258"/>
        <v>9.3416317576573586</v>
      </c>
      <c r="BK111" s="143">
        <f t="shared" si="258"/>
        <v>9.3416317576573586</v>
      </c>
      <c r="BL111" s="143">
        <f t="shared" si="258"/>
        <v>9.3416317576573586</v>
      </c>
      <c r="BM111" s="143">
        <f t="shared" si="61"/>
        <v>9.8435782997822194</v>
      </c>
      <c r="BN111" s="143">
        <f t="shared" ref="BN111:CF111" si="259">BM111</f>
        <v>9.8435782997822194</v>
      </c>
      <c r="BO111" s="143">
        <f t="shared" si="259"/>
        <v>9.8435782997822194</v>
      </c>
      <c r="BP111" s="143">
        <f t="shared" si="259"/>
        <v>9.8435782997822194</v>
      </c>
      <c r="BQ111" s="143">
        <f t="shared" si="259"/>
        <v>9.8435782997822194</v>
      </c>
      <c r="BR111" s="143">
        <f t="shared" si="259"/>
        <v>9.8435782997822194</v>
      </c>
      <c r="BS111" s="143">
        <f t="shared" si="259"/>
        <v>9.8435782997822194</v>
      </c>
      <c r="BT111" s="143">
        <f t="shared" si="259"/>
        <v>9.8435782997822194</v>
      </c>
      <c r="BU111" s="143">
        <f t="shared" si="259"/>
        <v>9.8435782997822194</v>
      </c>
      <c r="BV111" s="143">
        <f t="shared" si="259"/>
        <v>9.8435782997822194</v>
      </c>
      <c r="BW111" s="143">
        <f t="shared" si="259"/>
        <v>9.8435782997822194</v>
      </c>
      <c r="BX111" s="143">
        <f t="shared" si="259"/>
        <v>9.8435782997822194</v>
      </c>
      <c r="BY111" s="143">
        <f t="shared" si="259"/>
        <v>9.8435782997822194</v>
      </c>
      <c r="BZ111" s="143">
        <f t="shared" si="259"/>
        <v>9.8435782997822194</v>
      </c>
      <c r="CA111" s="143">
        <f t="shared" si="259"/>
        <v>9.8435782997822194</v>
      </c>
      <c r="CB111" s="143">
        <f t="shared" si="259"/>
        <v>9.8435782997822194</v>
      </c>
      <c r="CC111" s="143">
        <f t="shared" si="259"/>
        <v>9.8435782997822194</v>
      </c>
      <c r="CD111" s="143">
        <f t="shared" si="259"/>
        <v>9.8435782997822194</v>
      </c>
      <c r="CE111" s="143">
        <f t="shared" si="259"/>
        <v>9.8435782997822194</v>
      </c>
      <c r="CF111" s="143">
        <f t="shared" si="259"/>
        <v>9.8435782997822194</v>
      </c>
      <c r="CG111" s="143">
        <f t="shared" si="63"/>
        <v>10.287098931275692</v>
      </c>
      <c r="CH111" s="143">
        <f t="shared" ref="CH111:CP111" si="260">CG111</f>
        <v>10.287098931275692</v>
      </c>
      <c r="CI111" s="143">
        <f t="shared" si="260"/>
        <v>10.287098931275692</v>
      </c>
      <c r="CJ111" s="143">
        <f t="shared" si="260"/>
        <v>10.287098931275692</v>
      </c>
      <c r="CK111" s="143">
        <f t="shared" si="260"/>
        <v>10.287098931275692</v>
      </c>
      <c r="CL111" s="143">
        <f t="shared" si="260"/>
        <v>10.287098931275692</v>
      </c>
      <c r="CM111" s="143">
        <f t="shared" si="260"/>
        <v>10.287098931275692</v>
      </c>
      <c r="CN111" s="143">
        <f t="shared" si="260"/>
        <v>10.287098931275692</v>
      </c>
      <c r="CO111" s="143">
        <f t="shared" si="260"/>
        <v>10.287098931275692</v>
      </c>
      <c r="CP111" s="143">
        <f t="shared" si="260"/>
        <v>10.287098931275692</v>
      </c>
      <c r="CQ111" s="143">
        <f t="shared" si="65"/>
        <v>10.640814284707822</v>
      </c>
      <c r="CR111" s="143">
        <f t="shared" si="66"/>
        <v>10.640814284707822</v>
      </c>
      <c r="CS111" s="143">
        <f t="shared" si="66"/>
        <v>10.640814284707822</v>
      </c>
      <c r="CT111" s="143">
        <f t="shared" si="66"/>
        <v>10.640814284707822</v>
      </c>
      <c r="CU111" s="143">
        <f t="shared" si="66"/>
        <v>10.640814284707822</v>
      </c>
      <c r="CV111" s="143">
        <f t="shared" si="67"/>
        <v>11.19786397369468</v>
      </c>
      <c r="CW111" s="143">
        <f t="shared" si="68"/>
        <v>11.19786397369468</v>
      </c>
      <c r="CX111" s="143">
        <f t="shared" si="68"/>
        <v>11.19786397369468</v>
      </c>
      <c r="CY111" s="143">
        <f t="shared" si="68"/>
        <v>11.19786397369468</v>
      </c>
      <c r="CZ111" s="143">
        <f t="shared" si="69"/>
        <v>12.949213551403464</v>
      </c>
      <c r="DA111" s="60"/>
      <c r="DB111" s="143">
        <f t="shared" si="70"/>
        <v>9.7756541810262423</v>
      </c>
      <c r="DC111" s="143">
        <f t="shared" ref="DC111:DU111" si="261">DB111</f>
        <v>9.7756541810262423</v>
      </c>
      <c r="DD111" s="143">
        <f t="shared" si="261"/>
        <v>9.7756541810262423</v>
      </c>
      <c r="DE111" s="143">
        <f t="shared" si="261"/>
        <v>9.7756541810262423</v>
      </c>
      <c r="DF111" s="143">
        <f t="shared" si="261"/>
        <v>9.7756541810262423</v>
      </c>
      <c r="DG111" s="143">
        <f t="shared" si="261"/>
        <v>9.7756541810262423</v>
      </c>
      <c r="DH111" s="143">
        <f t="shared" si="261"/>
        <v>9.7756541810262423</v>
      </c>
      <c r="DI111" s="143">
        <f t="shared" si="261"/>
        <v>9.7756541810262423</v>
      </c>
      <c r="DJ111" s="143">
        <f t="shared" si="261"/>
        <v>9.7756541810262423</v>
      </c>
      <c r="DK111" s="143">
        <f t="shared" si="261"/>
        <v>9.7756541810262423</v>
      </c>
      <c r="DL111" s="143">
        <f t="shared" si="261"/>
        <v>9.7756541810262423</v>
      </c>
      <c r="DM111" s="143">
        <f t="shared" si="261"/>
        <v>9.7756541810262423</v>
      </c>
      <c r="DN111" s="143">
        <f t="shared" si="261"/>
        <v>9.7756541810262423</v>
      </c>
      <c r="DO111" s="143">
        <f t="shared" si="261"/>
        <v>9.7756541810262423</v>
      </c>
      <c r="DP111" s="143">
        <f t="shared" si="261"/>
        <v>9.7756541810262423</v>
      </c>
      <c r="DQ111" s="143">
        <f t="shared" si="261"/>
        <v>9.7756541810262423</v>
      </c>
      <c r="DR111" s="143">
        <f t="shared" si="261"/>
        <v>9.7756541810262423</v>
      </c>
      <c r="DS111" s="143">
        <f t="shared" si="261"/>
        <v>9.7756541810262423</v>
      </c>
      <c r="DT111" s="143">
        <f t="shared" si="261"/>
        <v>9.7756541810262423</v>
      </c>
      <c r="DU111" s="143">
        <f t="shared" si="261"/>
        <v>9.7756541810262423</v>
      </c>
      <c r="DV111" s="143">
        <f t="shared" si="72"/>
        <v>10.596634733096073</v>
      </c>
      <c r="DW111" s="143">
        <f t="shared" ref="DW111:EO111" si="262">DV111</f>
        <v>10.596634733096073</v>
      </c>
      <c r="DX111" s="143">
        <f t="shared" si="262"/>
        <v>10.596634733096073</v>
      </c>
      <c r="DY111" s="143">
        <f t="shared" si="262"/>
        <v>10.596634733096073</v>
      </c>
      <c r="DZ111" s="143">
        <f t="shared" si="262"/>
        <v>10.596634733096073</v>
      </c>
      <c r="EA111" s="143">
        <f t="shared" si="262"/>
        <v>10.596634733096073</v>
      </c>
      <c r="EB111" s="143">
        <f t="shared" si="262"/>
        <v>10.596634733096073</v>
      </c>
      <c r="EC111" s="143">
        <f t="shared" si="262"/>
        <v>10.596634733096073</v>
      </c>
      <c r="ED111" s="143">
        <f t="shared" si="262"/>
        <v>10.596634733096073</v>
      </c>
      <c r="EE111" s="143">
        <f t="shared" si="262"/>
        <v>10.596634733096073</v>
      </c>
      <c r="EF111" s="143">
        <f t="shared" si="262"/>
        <v>10.596634733096073</v>
      </c>
      <c r="EG111" s="143">
        <f t="shared" si="262"/>
        <v>10.596634733096073</v>
      </c>
      <c r="EH111" s="143">
        <f t="shared" si="262"/>
        <v>10.596634733096073</v>
      </c>
      <c r="EI111" s="143">
        <f t="shared" si="262"/>
        <v>10.596634733096073</v>
      </c>
      <c r="EJ111" s="143">
        <f t="shared" si="262"/>
        <v>10.596634733096073</v>
      </c>
      <c r="EK111" s="143">
        <f t="shared" si="262"/>
        <v>10.596634733096073</v>
      </c>
      <c r="EL111" s="143">
        <f t="shared" si="262"/>
        <v>10.596634733096073</v>
      </c>
      <c r="EM111" s="143">
        <f t="shared" si="262"/>
        <v>10.596634733096073</v>
      </c>
      <c r="EN111" s="143">
        <f t="shared" si="262"/>
        <v>10.596634733096073</v>
      </c>
      <c r="EO111" s="143">
        <f t="shared" si="262"/>
        <v>10.596634733096073</v>
      </c>
      <c r="EP111" s="143">
        <f t="shared" si="74"/>
        <v>11.05089000537367</v>
      </c>
      <c r="EQ111" s="143">
        <f t="shared" ref="EQ111:FI111" si="263">EP111</f>
        <v>11.05089000537367</v>
      </c>
      <c r="ER111" s="143">
        <f t="shared" si="263"/>
        <v>11.05089000537367</v>
      </c>
      <c r="ES111" s="143">
        <f t="shared" si="263"/>
        <v>11.05089000537367</v>
      </c>
      <c r="ET111" s="143">
        <f t="shared" si="263"/>
        <v>11.05089000537367</v>
      </c>
      <c r="EU111" s="143">
        <f t="shared" si="263"/>
        <v>11.05089000537367</v>
      </c>
      <c r="EV111" s="143">
        <f t="shared" si="263"/>
        <v>11.05089000537367</v>
      </c>
      <c r="EW111" s="143">
        <f t="shared" si="263"/>
        <v>11.05089000537367</v>
      </c>
      <c r="EX111" s="143">
        <f t="shared" si="263"/>
        <v>11.05089000537367</v>
      </c>
      <c r="EY111" s="143">
        <f t="shared" si="263"/>
        <v>11.05089000537367</v>
      </c>
      <c r="EZ111" s="143">
        <f t="shared" si="263"/>
        <v>11.05089000537367</v>
      </c>
      <c r="FA111" s="143">
        <f t="shared" si="263"/>
        <v>11.05089000537367</v>
      </c>
      <c r="FB111" s="143">
        <f t="shared" si="263"/>
        <v>11.05089000537367</v>
      </c>
      <c r="FC111" s="143">
        <f t="shared" si="263"/>
        <v>11.05089000537367</v>
      </c>
      <c r="FD111" s="143">
        <f t="shared" si="263"/>
        <v>11.05089000537367</v>
      </c>
      <c r="FE111" s="143">
        <f t="shared" si="263"/>
        <v>11.05089000537367</v>
      </c>
      <c r="FF111" s="143">
        <f t="shared" si="263"/>
        <v>11.05089000537367</v>
      </c>
      <c r="FG111" s="143">
        <f t="shared" si="263"/>
        <v>11.05089000537367</v>
      </c>
      <c r="FH111" s="143">
        <f t="shared" si="263"/>
        <v>11.05089000537367</v>
      </c>
      <c r="FI111" s="143">
        <f t="shared" si="263"/>
        <v>11.05089000537367</v>
      </c>
      <c r="FJ111" s="143">
        <f t="shared" si="76"/>
        <v>11.418614785498987</v>
      </c>
      <c r="FK111" s="143">
        <f t="shared" ref="FK111:GC111" si="264">FJ111</f>
        <v>11.418614785498987</v>
      </c>
      <c r="FL111" s="143">
        <f t="shared" si="264"/>
        <v>11.418614785498987</v>
      </c>
      <c r="FM111" s="143">
        <f t="shared" si="264"/>
        <v>11.418614785498987</v>
      </c>
      <c r="FN111" s="143">
        <f t="shared" si="264"/>
        <v>11.418614785498987</v>
      </c>
      <c r="FO111" s="143">
        <f t="shared" si="264"/>
        <v>11.418614785498987</v>
      </c>
      <c r="FP111" s="143">
        <f t="shared" si="264"/>
        <v>11.418614785498987</v>
      </c>
      <c r="FQ111" s="143">
        <f t="shared" si="264"/>
        <v>11.418614785498987</v>
      </c>
      <c r="FR111" s="143">
        <f t="shared" si="264"/>
        <v>11.418614785498987</v>
      </c>
      <c r="FS111" s="143">
        <f t="shared" si="264"/>
        <v>11.418614785498987</v>
      </c>
      <c r="FT111" s="143">
        <f t="shared" si="264"/>
        <v>11.418614785498987</v>
      </c>
      <c r="FU111" s="143">
        <f t="shared" si="264"/>
        <v>11.418614785498987</v>
      </c>
      <c r="FV111" s="143">
        <f t="shared" si="264"/>
        <v>11.418614785498987</v>
      </c>
      <c r="FW111" s="143">
        <f t="shared" si="264"/>
        <v>11.418614785498987</v>
      </c>
      <c r="FX111" s="143">
        <f t="shared" si="264"/>
        <v>11.418614785498987</v>
      </c>
      <c r="FY111" s="143">
        <f t="shared" si="264"/>
        <v>11.418614785498987</v>
      </c>
      <c r="FZ111" s="143">
        <f t="shared" si="264"/>
        <v>11.418614785498987</v>
      </c>
      <c r="GA111" s="143">
        <f t="shared" si="264"/>
        <v>11.418614785498987</v>
      </c>
      <c r="GB111" s="143">
        <f t="shared" si="264"/>
        <v>11.418614785498987</v>
      </c>
      <c r="GC111" s="143">
        <f t="shared" si="264"/>
        <v>11.418614785498987</v>
      </c>
      <c r="GD111" s="143">
        <f t="shared" si="78"/>
        <v>11.735268696113669</v>
      </c>
      <c r="GE111" s="143">
        <f t="shared" ref="GE111:GM111" si="265">GD111</f>
        <v>11.735268696113669</v>
      </c>
      <c r="GF111" s="143">
        <f t="shared" si="265"/>
        <v>11.735268696113669</v>
      </c>
      <c r="GG111" s="143">
        <f t="shared" si="265"/>
        <v>11.735268696113669</v>
      </c>
      <c r="GH111" s="143">
        <f t="shared" si="265"/>
        <v>11.735268696113669</v>
      </c>
      <c r="GI111" s="143">
        <f t="shared" si="265"/>
        <v>11.735268696113669</v>
      </c>
      <c r="GJ111" s="143">
        <f t="shared" si="265"/>
        <v>11.735268696113669</v>
      </c>
      <c r="GK111" s="143">
        <f t="shared" si="265"/>
        <v>11.735268696113669</v>
      </c>
      <c r="GL111" s="143">
        <f t="shared" si="265"/>
        <v>11.735268696113669</v>
      </c>
      <c r="GM111" s="143">
        <f t="shared" si="265"/>
        <v>11.735268696113669</v>
      </c>
      <c r="GN111" s="143">
        <f t="shared" si="80"/>
        <v>12.019140476178535</v>
      </c>
      <c r="GO111" s="143">
        <f t="shared" si="81"/>
        <v>12.019140476178535</v>
      </c>
      <c r="GP111" s="143">
        <f t="shared" si="81"/>
        <v>12.019140476178535</v>
      </c>
      <c r="GQ111" s="143">
        <f t="shared" si="81"/>
        <v>12.019140476178535</v>
      </c>
      <c r="GR111" s="143">
        <f t="shared" si="81"/>
        <v>12.019140476178535</v>
      </c>
      <c r="GS111" s="143">
        <f t="shared" si="82"/>
        <v>12.485218386959668</v>
      </c>
      <c r="GT111" s="143">
        <f t="shared" si="83"/>
        <v>12.485218386959668</v>
      </c>
      <c r="GU111" s="143">
        <f t="shared" si="83"/>
        <v>12.485218386959668</v>
      </c>
      <c r="GV111" s="143">
        <f t="shared" si="83"/>
        <v>12.485218386959668</v>
      </c>
      <c r="GW111" s="143">
        <f t="shared" si="84"/>
        <v>14.033922934902582</v>
      </c>
    </row>
    <row r="112" spans="1:205" s="46" customFormat="1" ht="9.75" customHeight="1">
      <c r="A112" s="60">
        <v>1998</v>
      </c>
      <c r="B112" s="143">
        <f t="shared" si="85"/>
        <v>0.52895512606139139</v>
      </c>
      <c r="C112" s="143">
        <f t="shared" si="54"/>
        <v>0.98699612309417262</v>
      </c>
      <c r="D112" s="60"/>
      <c r="E112" s="143">
        <f t="shared" si="55"/>
        <v>7.167963374433163</v>
      </c>
      <c r="F112" s="143">
        <f t="shared" ref="F112:X112" si="266">E112</f>
        <v>7.167963374433163</v>
      </c>
      <c r="G112" s="143">
        <f t="shared" si="266"/>
        <v>7.167963374433163</v>
      </c>
      <c r="H112" s="143">
        <f t="shared" si="266"/>
        <v>7.167963374433163</v>
      </c>
      <c r="I112" s="143">
        <f t="shared" si="266"/>
        <v>7.167963374433163</v>
      </c>
      <c r="J112" s="143">
        <f t="shared" si="266"/>
        <v>7.167963374433163</v>
      </c>
      <c r="K112" s="143">
        <f t="shared" si="266"/>
        <v>7.167963374433163</v>
      </c>
      <c r="L112" s="143">
        <f t="shared" si="266"/>
        <v>7.167963374433163</v>
      </c>
      <c r="M112" s="143">
        <f t="shared" si="266"/>
        <v>7.167963374433163</v>
      </c>
      <c r="N112" s="143">
        <f t="shared" si="266"/>
        <v>7.167963374433163</v>
      </c>
      <c r="O112" s="143">
        <f t="shared" si="266"/>
        <v>7.167963374433163</v>
      </c>
      <c r="P112" s="143">
        <f t="shared" si="266"/>
        <v>7.167963374433163</v>
      </c>
      <c r="Q112" s="143">
        <f t="shared" si="266"/>
        <v>7.167963374433163</v>
      </c>
      <c r="R112" s="143">
        <f t="shared" si="266"/>
        <v>7.167963374433163</v>
      </c>
      <c r="S112" s="143">
        <f t="shared" si="266"/>
        <v>7.167963374433163</v>
      </c>
      <c r="T112" s="143">
        <f t="shared" si="266"/>
        <v>7.167963374433163</v>
      </c>
      <c r="U112" s="143">
        <f t="shared" si="266"/>
        <v>7.167963374433163</v>
      </c>
      <c r="V112" s="143">
        <f t="shared" si="266"/>
        <v>7.167963374433163</v>
      </c>
      <c r="W112" s="143">
        <f t="shared" si="266"/>
        <v>7.167963374433163</v>
      </c>
      <c r="X112" s="143">
        <f t="shared" si="266"/>
        <v>7.167963374433163</v>
      </c>
      <c r="Y112" s="143">
        <f t="shared" si="57"/>
        <v>8.6331256268790035</v>
      </c>
      <c r="Z112" s="143">
        <f t="shared" ref="Z112:AR112" si="267">Y112</f>
        <v>8.6331256268790035</v>
      </c>
      <c r="AA112" s="143">
        <f t="shared" si="267"/>
        <v>8.6331256268790035</v>
      </c>
      <c r="AB112" s="143">
        <f t="shared" si="267"/>
        <v>8.6331256268790035</v>
      </c>
      <c r="AC112" s="143">
        <f t="shared" si="267"/>
        <v>8.6331256268790035</v>
      </c>
      <c r="AD112" s="143">
        <f t="shared" si="267"/>
        <v>8.6331256268790035</v>
      </c>
      <c r="AE112" s="143">
        <f t="shared" si="267"/>
        <v>8.6331256268790035</v>
      </c>
      <c r="AF112" s="143">
        <f t="shared" si="267"/>
        <v>8.6331256268790035</v>
      </c>
      <c r="AG112" s="143">
        <f t="shared" si="267"/>
        <v>8.6331256268790035</v>
      </c>
      <c r="AH112" s="143">
        <f t="shared" si="267"/>
        <v>8.6331256268790035</v>
      </c>
      <c r="AI112" s="143">
        <f t="shared" si="267"/>
        <v>8.6331256268790035</v>
      </c>
      <c r="AJ112" s="143">
        <f t="shared" si="267"/>
        <v>8.6331256268790035</v>
      </c>
      <c r="AK112" s="143">
        <f t="shared" si="267"/>
        <v>8.6331256268790035</v>
      </c>
      <c r="AL112" s="143">
        <f t="shared" si="267"/>
        <v>8.6331256268790035</v>
      </c>
      <c r="AM112" s="143">
        <f t="shared" si="267"/>
        <v>8.6331256268790035</v>
      </c>
      <c r="AN112" s="143">
        <f t="shared" si="267"/>
        <v>8.6331256268790035</v>
      </c>
      <c r="AO112" s="143">
        <f t="shared" si="267"/>
        <v>8.6331256268790035</v>
      </c>
      <c r="AP112" s="143">
        <f t="shared" si="267"/>
        <v>8.6331256268790035</v>
      </c>
      <c r="AQ112" s="143">
        <f t="shared" si="267"/>
        <v>8.6331256268790035</v>
      </c>
      <c r="AR112" s="143">
        <f t="shared" si="267"/>
        <v>8.6331256268790035</v>
      </c>
      <c r="AS112" s="143">
        <f t="shared" si="59"/>
        <v>9.3365147681471363</v>
      </c>
      <c r="AT112" s="143">
        <f t="shared" ref="AT112:BL112" si="268">AS112</f>
        <v>9.3365147681471363</v>
      </c>
      <c r="AU112" s="143">
        <f t="shared" si="268"/>
        <v>9.3365147681471363</v>
      </c>
      <c r="AV112" s="143">
        <f t="shared" si="268"/>
        <v>9.3365147681471363</v>
      </c>
      <c r="AW112" s="143">
        <f t="shared" si="268"/>
        <v>9.3365147681471363</v>
      </c>
      <c r="AX112" s="143">
        <f t="shared" si="268"/>
        <v>9.3365147681471363</v>
      </c>
      <c r="AY112" s="143">
        <f t="shared" si="268"/>
        <v>9.3365147681471363</v>
      </c>
      <c r="AZ112" s="143">
        <f t="shared" si="268"/>
        <v>9.3365147681471363</v>
      </c>
      <c r="BA112" s="143">
        <f t="shared" si="268"/>
        <v>9.3365147681471363</v>
      </c>
      <c r="BB112" s="143">
        <f t="shared" si="268"/>
        <v>9.3365147681471363</v>
      </c>
      <c r="BC112" s="143">
        <f t="shared" si="268"/>
        <v>9.3365147681471363</v>
      </c>
      <c r="BD112" s="143">
        <f t="shared" si="268"/>
        <v>9.3365147681471363</v>
      </c>
      <c r="BE112" s="143">
        <f t="shared" si="268"/>
        <v>9.3365147681471363</v>
      </c>
      <c r="BF112" s="143">
        <f t="shared" si="268"/>
        <v>9.3365147681471363</v>
      </c>
      <c r="BG112" s="143">
        <f t="shared" si="268"/>
        <v>9.3365147681471363</v>
      </c>
      <c r="BH112" s="143">
        <f t="shared" si="268"/>
        <v>9.3365147681471363</v>
      </c>
      <c r="BI112" s="143">
        <f t="shared" si="268"/>
        <v>9.3365147681471363</v>
      </c>
      <c r="BJ112" s="143">
        <f t="shared" si="268"/>
        <v>9.3365147681471363</v>
      </c>
      <c r="BK112" s="143">
        <f t="shared" si="268"/>
        <v>9.3365147681471363</v>
      </c>
      <c r="BL112" s="143">
        <f t="shared" si="268"/>
        <v>9.3365147681471363</v>
      </c>
      <c r="BM112" s="143">
        <f t="shared" si="61"/>
        <v>9.8764760032892784</v>
      </c>
      <c r="BN112" s="143">
        <f t="shared" ref="BN112:CF112" si="269">BM112</f>
        <v>9.8764760032892784</v>
      </c>
      <c r="BO112" s="143">
        <f t="shared" si="269"/>
        <v>9.8764760032892784</v>
      </c>
      <c r="BP112" s="143">
        <f t="shared" si="269"/>
        <v>9.8764760032892784</v>
      </c>
      <c r="BQ112" s="143">
        <f t="shared" si="269"/>
        <v>9.8764760032892784</v>
      </c>
      <c r="BR112" s="143">
        <f t="shared" si="269"/>
        <v>9.8764760032892784</v>
      </c>
      <c r="BS112" s="143">
        <f t="shared" si="269"/>
        <v>9.8764760032892784</v>
      </c>
      <c r="BT112" s="143">
        <f t="shared" si="269"/>
        <v>9.8764760032892784</v>
      </c>
      <c r="BU112" s="143">
        <f t="shared" si="269"/>
        <v>9.8764760032892784</v>
      </c>
      <c r="BV112" s="143">
        <f t="shared" si="269"/>
        <v>9.8764760032892784</v>
      </c>
      <c r="BW112" s="143">
        <f t="shared" si="269"/>
        <v>9.8764760032892784</v>
      </c>
      <c r="BX112" s="143">
        <f t="shared" si="269"/>
        <v>9.8764760032892784</v>
      </c>
      <c r="BY112" s="143">
        <f t="shared" si="269"/>
        <v>9.8764760032892784</v>
      </c>
      <c r="BZ112" s="143">
        <f t="shared" si="269"/>
        <v>9.8764760032892784</v>
      </c>
      <c r="CA112" s="143">
        <f t="shared" si="269"/>
        <v>9.8764760032892784</v>
      </c>
      <c r="CB112" s="143">
        <f t="shared" si="269"/>
        <v>9.8764760032892784</v>
      </c>
      <c r="CC112" s="143">
        <f t="shared" si="269"/>
        <v>9.8764760032892784</v>
      </c>
      <c r="CD112" s="143">
        <f t="shared" si="269"/>
        <v>9.8764760032892784</v>
      </c>
      <c r="CE112" s="143">
        <f t="shared" si="269"/>
        <v>9.8764760032892784</v>
      </c>
      <c r="CF112" s="143">
        <f t="shared" si="269"/>
        <v>9.8764760032892784</v>
      </c>
      <c r="CG112" s="143">
        <f t="shared" si="63"/>
        <v>10.32439284513217</v>
      </c>
      <c r="CH112" s="143">
        <f t="shared" ref="CH112:CP112" si="270">CG112</f>
        <v>10.32439284513217</v>
      </c>
      <c r="CI112" s="143">
        <f t="shared" si="270"/>
        <v>10.32439284513217</v>
      </c>
      <c r="CJ112" s="143">
        <f t="shared" si="270"/>
        <v>10.32439284513217</v>
      </c>
      <c r="CK112" s="143">
        <f t="shared" si="270"/>
        <v>10.32439284513217</v>
      </c>
      <c r="CL112" s="143">
        <f t="shared" si="270"/>
        <v>10.32439284513217</v>
      </c>
      <c r="CM112" s="143">
        <f t="shared" si="270"/>
        <v>10.32439284513217</v>
      </c>
      <c r="CN112" s="143">
        <f t="shared" si="270"/>
        <v>10.32439284513217</v>
      </c>
      <c r="CO112" s="143">
        <f t="shared" si="270"/>
        <v>10.32439284513217</v>
      </c>
      <c r="CP112" s="143">
        <f t="shared" si="270"/>
        <v>10.32439284513217</v>
      </c>
      <c r="CQ112" s="143">
        <f t="shared" si="65"/>
        <v>10.680985072664056</v>
      </c>
      <c r="CR112" s="143">
        <f t="shared" si="66"/>
        <v>10.680985072664056</v>
      </c>
      <c r="CS112" s="143">
        <f t="shared" si="66"/>
        <v>10.680985072664056</v>
      </c>
      <c r="CT112" s="143">
        <f t="shared" si="66"/>
        <v>10.680985072664056</v>
      </c>
      <c r="CU112" s="143">
        <f t="shared" si="66"/>
        <v>10.680985072664056</v>
      </c>
      <c r="CV112" s="143">
        <f t="shared" si="67"/>
        <v>11.245056477276288</v>
      </c>
      <c r="CW112" s="143">
        <f t="shared" si="68"/>
        <v>11.245056477276288</v>
      </c>
      <c r="CX112" s="143">
        <f t="shared" si="68"/>
        <v>11.245056477276288</v>
      </c>
      <c r="CY112" s="143">
        <f t="shared" si="68"/>
        <v>11.245056477276288</v>
      </c>
      <c r="CZ112" s="143">
        <f t="shared" si="69"/>
        <v>13.034213898476857</v>
      </c>
      <c r="DA112" s="60"/>
      <c r="DB112" s="143">
        <f t="shared" si="70"/>
        <v>9.8416121488180401</v>
      </c>
      <c r="DC112" s="143">
        <f t="shared" ref="DC112:DU112" si="271">DB112</f>
        <v>9.8416121488180401</v>
      </c>
      <c r="DD112" s="143">
        <f t="shared" si="271"/>
        <v>9.8416121488180401</v>
      </c>
      <c r="DE112" s="143">
        <f t="shared" si="271"/>
        <v>9.8416121488180401</v>
      </c>
      <c r="DF112" s="143">
        <f t="shared" si="271"/>
        <v>9.8416121488180401</v>
      </c>
      <c r="DG112" s="143">
        <f t="shared" si="271"/>
        <v>9.8416121488180401</v>
      </c>
      <c r="DH112" s="143">
        <f t="shared" si="271"/>
        <v>9.8416121488180401</v>
      </c>
      <c r="DI112" s="143">
        <f t="shared" si="271"/>
        <v>9.8416121488180401</v>
      </c>
      <c r="DJ112" s="143">
        <f t="shared" si="271"/>
        <v>9.8416121488180401</v>
      </c>
      <c r="DK112" s="143">
        <f t="shared" si="271"/>
        <v>9.8416121488180401</v>
      </c>
      <c r="DL112" s="143">
        <f t="shared" si="271"/>
        <v>9.8416121488180401</v>
      </c>
      <c r="DM112" s="143">
        <f t="shared" si="271"/>
        <v>9.8416121488180401</v>
      </c>
      <c r="DN112" s="143">
        <f t="shared" si="271"/>
        <v>9.8416121488180401</v>
      </c>
      <c r="DO112" s="143">
        <f t="shared" si="271"/>
        <v>9.8416121488180401</v>
      </c>
      <c r="DP112" s="143">
        <f t="shared" si="271"/>
        <v>9.8416121488180401</v>
      </c>
      <c r="DQ112" s="143">
        <f t="shared" si="271"/>
        <v>9.8416121488180401</v>
      </c>
      <c r="DR112" s="143">
        <f t="shared" si="271"/>
        <v>9.8416121488180401</v>
      </c>
      <c r="DS112" s="143">
        <f t="shared" si="271"/>
        <v>9.8416121488180401</v>
      </c>
      <c r="DT112" s="143">
        <f t="shared" si="271"/>
        <v>9.8416121488180401</v>
      </c>
      <c r="DU112" s="143">
        <f t="shared" si="271"/>
        <v>9.8416121488180401</v>
      </c>
      <c r="DV112" s="143">
        <f t="shared" si="72"/>
        <v>10.643041105910228</v>
      </c>
      <c r="DW112" s="143">
        <f t="shared" ref="DW112:EO112" si="272">DV112</f>
        <v>10.643041105910228</v>
      </c>
      <c r="DX112" s="143">
        <f t="shared" si="272"/>
        <v>10.643041105910228</v>
      </c>
      <c r="DY112" s="143">
        <f t="shared" si="272"/>
        <v>10.643041105910228</v>
      </c>
      <c r="DZ112" s="143">
        <f t="shared" si="272"/>
        <v>10.643041105910228</v>
      </c>
      <c r="EA112" s="143">
        <f t="shared" si="272"/>
        <v>10.643041105910228</v>
      </c>
      <c r="EB112" s="143">
        <f t="shared" si="272"/>
        <v>10.643041105910228</v>
      </c>
      <c r="EC112" s="143">
        <f t="shared" si="272"/>
        <v>10.643041105910228</v>
      </c>
      <c r="ED112" s="143">
        <f t="shared" si="272"/>
        <v>10.643041105910228</v>
      </c>
      <c r="EE112" s="143">
        <f t="shared" si="272"/>
        <v>10.643041105910228</v>
      </c>
      <c r="EF112" s="143">
        <f t="shared" si="272"/>
        <v>10.643041105910228</v>
      </c>
      <c r="EG112" s="143">
        <f t="shared" si="272"/>
        <v>10.643041105910228</v>
      </c>
      <c r="EH112" s="143">
        <f t="shared" si="272"/>
        <v>10.643041105910228</v>
      </c>
      <c r="EI112" s="143">
        <f t="shared" si="272"/>
        <v>10.643041105910228</v>
      </c>
      <c r="EJ112" s="143">
        <f t="shared" si="272"/>
        <v>10.643041105910228</v>
      </c>
      <c r="EK112" s="143">
        <f t="shared" si="272"/>
        <v>10.643041105910228</v>
      </c>
      <c r="EL112" s="143">
        <f t="shared" si="272"/>
        <v>10.643041105910228</v>
      </c>
      <c r="EM112" s="143">
        <f t="shared" si="272"/>
        <v>10.643041105910228</v>
      </c>
      <c r="EN112" s="143">
        <f t="shared" si="272"/>
        <v>10.643041105910228</v>
      </c>
      <c r="EO112" s="143">
        <f t="shared" si="272"/>
        <v>10.643041105910228</v>
      </c>
      <c r="EP112" s="143">
        <f t="shared" si="74"/>
        <v>11.085214747914744</v>
      </c>
      <c r="EQ112" s="143">
        <f t="shared" ref="EQ112:FI112" si="273">EP112</f>
        <v>11.085214747914744</v>
      </c>
      <c r="ER112" s="143">
        <f t="shared" si="273"/>
        <v>11.085214747914744</v>
      </c>
      <c r="ES112" s="143">
        <f t="shared" si="273"/>
        <v>11.085214747914744</v>
      </c>
      <c r="ET112" s="143">
        <f t="shared" si="273"/>
        <v>11.085214747914744</v>
      </c>
      <c r="EU112" s="143">
        <f t="shared" si="273"/>
        <v>11.085214747914744</v>
      </c>
      <c r="EV112" s="143">
        <f t="shared" si="273"/>
        <v>11.085214747914744</v>
      </c>
      <c r="EW112" s="143">
        <f t="shared" si="273"/>
        <v>11.085214747914744</v>
      </c>
      <c r="EX112" s="143">
        <f t="shared" si="273"/>
        <v>11.085214747914744</v>
      </c>
      <c r="EY112" s="143">
        <f t="shared" si="273"/>
        <v>11.085214747914744</v>
      </c>
      <c r="EZ112" s="143">
        <f t="shared" si="273"/>
        <v>11.085214747914744</v>
      </c>
      <c r="FA112" s="143">
        <f t="shared" si="273"/>
        <v>11.085214747914744</v>
      </c>
      <c r="FB112" s="143">
        <f t="shared" si="273"/>
        <v>11.085214747914744</v>
      </c>
      <c r="FC112" s="143">
        <f t="shared" si="273"/>
        <v>11.085214747914744</v>
      </c>
      <c r="FD112" s="143">
        <f t="shared" si="273"/>
        <v>11.085214747914744</v>
      </c>
      <c r="FE112" s="143">
        <f t="shared" si="273"/>
        <v>11.085214747914744</v>
      </c>
      <c r="FF112" s="143">
        <f t="shared" si="273"/>
        <v>11.085214747914744</v>
      </c>
      <c r="FG112" s="143">
        <f t="shared" si="273"/>
        <v>11.085214747914744</v>
      </c>
      <c r="FH112" s="143">
        <f t="shared" si="273"/>
        <v>11.085214747914744</v>
      </c>
      <c r="FI112" s="143">
        <f t="shared" si="273"/>
        <v>11.085214747914744</v>
      </c>
      <c r="FJ112" s="143">
        <f t="shared" si="76"/>
        <v>11.456355113481834</v>
      </c>
      <c r="FK112" s="143">
        <f t="shared" ref="FK112:GC112" si="274">FJ112</f>
        <v>11.456355113481834</v>
      </c>
      <c r="FL112" s="143">
        <f t="shared" si="274"/>
        <v>11.456355113481834</v>
      </c>
      <c r="FM112" s="143">
        <f t="shared" si="274"/>
        <v>11.456355113481834</v>
      </c>
      <c r="FN112" s="143">
        <f t="shared" si="274"/>
        <v>11.456355113481834</v>
      </c>
      <c r="FO112" s="143">
        <f t="shared" si="274"/>
        <v>11.456355113481834</v>
      </c>
      <c r="FP112" s="143">
        <f t="shared" si="274"/>
        <v>11.456355113481834</v>
      </c>
      <c r="FQ112" s="143">
        <f t="shared" si="274"/>
        <v>11.456355113481834</v>
      </c>
      <c r="FR112" s="143">
        <f t="shared" si="274"/>
        <v>11.456355113481834</v>
      </c>
      <c r="FS112" s="143">
        <f t="shared" si="274"/>
        <v>11.456355113481834</v>
      </c>
      <c r="FT112" s="143">
        <f t="shared" si="274"/>
        <v>11.456355113481834</v>
      </c>
      <c r="FU112" s="143">
        <f t="shared" si="274"/>
        <v>11.456355113481834</v>
      </c>
      <c r="FV112" s="143">
        <f t="shared" si="274"/>
        <v>11.456355113481834</v>
      </c>
      <c r="FW112" s="143">
        <f t="shared" si="274"/>
        <v>11.456355113481834</v>
      </c>
      <c r="FX112" s="143">
        <f t="shared" si="274"/>
        <v>11.456355113481834</v>
      </c>
      <c r="FY112" s="143">
        <f t="shared" si="274"/>
        <v>11.456355113481834</v>
      </c>
      <c r="FZ112" s="143">
        <f t="shared" si="274"/>
        <v>11.456355113481834</v>
      </c>
      <c r="GA112" s="143">
        <f t="shared" si="274"/>
        <v>11.456355113481834</v>
      </c>
      <c r="GB112" s="143">
        <f t="shared" si="274"/>
        <v>11.456355113481834</v>
      </c>
      <c r="GC112" s="143">
        <f t="shared" si="274"/>
        <v>11.456355113481834</v>
      </c>
      <c r="GD112" s="143">
        <f t="shared" si="78"/>
        <v>11.776827008756605</v>
      </c>
      <c r="GE112" s="143">
        <f t="shared" ref="GE112:GM112" si="275">GD112</f>
        <v>11.776827008756605</v>
      </c>
      <c r="GF112" s="143">
        <f t="shared" si="275"/>
        <v>11.776827008756605</v>
      </c>
      <c r="GG112" s="143">
        <f t="shared" si="275"/>
        <v>11.776827008756605</v>
      </c>
      <c r="GH112" s="143">
        <f t="shared" si="275"/>
        <v>11.776827008756605</v>
      </c>
      <c r="GI112" s="143">
        <f t="shared" si="275"/>
        <v>11.776827008756605</v>
      </c>
      <c r="GJ112" s="143">
        <f t="shared" si="275"/>
        <v>11.776827008756605</v>
      </c>
      <c r="GK112" s="143">
        <f t="shared" si="275"/>
        <v>11.776827008756605</v>
      </c>
      <c r="GL112" s="143">
        <f t="shared" si="275"/>
        <v>11.776827008756605</v>
      </c>
      <c r="GM112" s="143">
        <f t="shared" si="275"/>
        <v>11.776827008756605</v>
      </c>
      <c r="GN112" s="143">
        <f t="shared" si="80"/>
        <v>12.05931126413477</v>
      </c>
      <c r="GO112" s="143">
        <f t="shared" si="81"/>
        <v>12.05931126413477</v>
      </c>
      <c r="GP112" s="143">
        <f t="shared" si="81"/>
        <v>12.05931126413477</v>
      </c>
      <c r="GQ112" s="143">
        <f t="shared" si="81"/>
        <v>12.05931126413477</v>
      </c>
      <c r="GR112" s="143">
        <f t="shared" si="81"/>
        <v>12.05931126413477</v>
      </c>
      <c r="GS112" s="143">
        <f t="shared" si="82"/>
        <v>12.539683649870355</v>
      </c>
      <c r="GT112" s="143">
        <f t="shared" si="83"/>
        <v>12.539683649870355</v>
      </c>
      <c r="GU112" s="143">
        <f t="shared" si="83"/>
        <v>12.539683649870355</v>
      </c>
      <c r="GV112" s="143">
        <f t="shared" si="83"/>
        <v>12.539683649870355</v>
      </c>
      <c r="GW112" s="143">
        <f t="shared" si="84"/>
        <v>14.161225661666665</v>
      </c>
    </row>
    <row r="113" spans="1:205" s="46" customFormat="1" ht="9.75" customHeight="1">
      <c r="A113" s="60">
        <v>1999</v>
      </c>
      <c r="B113" s="143">
        <f t="shared" si="85"/>
        <v>0.51348774268706343</v>
      </c>
      <c r="C113" s="143">
        <f t="shared" si="54"/>
        <v>0.98765205942651535</v>
      </c>
      <c r="D113" s="60"/>
      <c r="E113" s="143">
        <f t="shared" si="55"/>
        <v>7.2470805845857562</v>
      </c>
      <c r="F113" s="143">
        <f t="shared" ref="F113:X113" si="276">E113</f>
        <v>7.2470805845857562</v>
      </c>
      <c r="G113" s="143">
        <f t="shared" si="276"/>
        <v>7.2470805845857562</v>
      </c>
      <c r="H113" s="143">
        <f t="shared" si="276"/>
        <v>7.2470805845857562</v>
      </c>
      <c r="I113" s="143">
        <f t="shared" si="276"/>
        <v>7.2470805845857562</v>
      </c>
      <c r="J113" s="143">
        <f t="shared" si="276"/>
        <v>7.2470805845857562</v>
      </c>
      <c r="K113" s="143">
        <f t="shared" si="276"/>
        <v>7.2470805845857562</v>
      </c>
      <c r="L113" s="143">
        <f t="shared" si="276"/>
        <v>7.2470805845857562</v>
      </c>
      <c r="M113" s="143">
        <f t="shared" si="276"/>
        <v>7.2470805845857562</v>
      </c>
      <c r="N113" s="143">
        <f t="shared" si="276"/>
        <v>7.2470805845857562</v>
      </c>
      <c r="O113" s="143">
        <f t="shared" si="276"/>
        <v>7.2470805845857562</v>
      </c>
      <c r="P113" s="143">
        <f t="shared" si="276"/>
        <v>7.2470805845857562</v>
      </c>
      <c r="Q113" s="143">
        <f t="shared" si="276"/>
        <v>7.2470805845857562</v>
      </c>
      <c r="R113" s="143">
        <f t="shared" si="276"/>
        <v>7.2470805845857562</v>
      </c>
      <c r="S113" s="143">
        <f t="shared" si="276"/>
        <v>7.2470805845857562</v>
      </c>
      <c r="T113" s="143">
        <f t="shared" si="276"/>
        <v>7.2470805845857562</v>
      </c>
      <c r="U113" s="143">
        <f t="shared" si="276"/>
        <v>7.2470805845857562</v>
      </c>
      <c r="V113" s="143">
        <f t="shared" si="276"/>
        <v>7.2470805845857562</v>
      </c>
      <c r="W113" s="143">
        <f t="shared" si="276"/>
        <v>7.2470805845857562</v>
      </c>
      <c r="X113" s="143">
        <f t="shared" si="276"/>
        <v>7.2470805845857562</v>
      </c>
      <c r="Y113" s="143">
        <f t="shared" si="57"/>
        <v>8.6904403669344834</v>
      </c>
      <c r="Z113" s="143">
        <f t="shared" ref="Z113:AR113" si="277">Y113</f>
        <v>8.6904403669344834</v>
      </c>
      <c r="AA113" s="143">
        <f t="shared" si="277"/>
        <v>8.6904403669344834</v>
      </c>
      <c r="AB113" s="143">
        <f t="shared" si="277"/>
        <v>8.6904403669344834</v>
      </c>
      <c r="AC113" s="143">
        <f t="shared" si="277"/>
        <v>8.6904403669344834</v>
      </c>
      <c r="AD113" s="143">
        <f t="shared" si="277"/>
        <v>8.6904403669344834</v>
      </c>
      <c r="AE113" s="143">
        <f t="shared" si="277"/>
        <v>8.6904403669344834</v>
      </c>
      <c r="AF113" s="143">
        <f t="shared" si="277"/>
        <v>8.6904403669344834</v>
      </c>
      <c r="AG113" s="143">
        <f t="shared" si="277"/>
        <v>8.6904403669344834</v>
      </c>
      <c r="AH113" s="143">
        <f t="shared" si="277"/>
        <v>8.6904403669344834</v>
      </c>
      <c r="AI113" s="143">
        <f t="shared" si="277"/>
        <v>8.6904403669344834</v>
      </c>
      <c r="AJ113" s="143">
        <f t="shared" si="277"/>
        <v>8.6904403669344834</v>
      </c>
      <c r="AK113" s="143">
        <f t="shared" si="277"/>
        <v>8.6904403669344834</v>
      </c>
      <c r="AL113" s="143">
        <f t="shared" si="277"/>
        <v>8.6904403669344834</v>
      </c>
      <c r="AM113" s="143">
        <f t="shared" si="277"/>
        <v>8.6904403669344834</v>
      </c>
      <c r="AN113" s="143">
        <f t="shared" si="277"/>
        <v>8.6904403669344834</v>
      </c>
      <c r="AO113" s="143">
        <f t="shared" si="277"/>
        <v>8.6904403669344834</v>
      </c>
      <c r="AP113" s="143">
        <f t="shared" si="277"/>
        <v>8.6904403669344834</v>
      </c>
      <c r="AQ113" s="143">
        <f t="shared" si="277"/>
        <v>8.6904403669344834</v>
      </c>
      <c r="AR113" s="143">
        <f t="shared" si="277"/>
        <v>8.6904403669344834</v>
      </c>
      <c r="AS113" s="143">
        <f t="shared" si="59"/>
        <v>9.3709700179011506</v>
      </c>
      <c r="AT113" s="143">
        <f t="shared" ref="AT113:BL113" si="278">AS113</f>
        <v>9.3709700179011506</v>
      </c>
      <c r="AU113" s="143">
        <f t="shared" si="278"/>
        <v>9.3709700179011506</v>
      </c>
      <c r="AV113" s="143">
        <f t="shared" si="278"/>
        <v>9.3709700179011506</v>
      </c>
      <c r="AW113" s="143">
        <f t="shared" si="278"/>
        <v>9.3709700179011506</v>
      </c>
      <c r="AX113" s="143">
        <f t="shared" si="278"/>
        <v>9.3709700179011506</v>
      </c>
      <c r="AY113" s="143">
        <f t="shared" si="278"/>
        <v>9.3709700179011506</v>
      </c>
      <c r="AZ113" s="143">
        <f t="shared" si="278"/>
        <v>9.3709700179011506</v>
      </c>
      <c r="BA113" s="143">
        <f t="shared" si="278"/>
        <v>9.3709700179011506</v>
      </c>
      <c r="BB113" s="143">
        <f t="shared" si="278"/>
        <v>9.3709700179011506</v>
      </c>
      <c r="BC113" s="143">
        <f t="shared" si="278"/>
        <v>9.3709700179011506</v>
      </c>
      <c r="BD113" s="143">
        <f t="shared" si="278"/>
        <v>9.3709700179011506</v>
      </c>
      <c r="BE113" s="143">
        <f t="shared" si="278"/>
        <v>9.3709700179011506</v>
      </c>
      <c r="BF113" s="143">
        <f t="shared" si="278"/>
        <v>9.3709700179011506</v>
      </c>
      <c r="BG113" s="143">
        <f t="shared" si="278"/>
        <v>9.3709700179011506</v>
      </c>
      <c r="BH113" s="143">
        <f t="shared" si="278"/>
        <v>9.3709700179011506</v>
      </c>
      <c r="BI113" s="143">
        <f t="shared" si="278"/>
        <v>9.3709700179011506</v>
      </c>
      <c r="BJ113" s="143">
        <f t="shared" si="278"/>
        <v>9.3709700179011506</v>
      </c>
      <c r="BK113" s="143">
        <f t="shared" si="278"/>
        <v>9.3709700179011506</v>
      </c>
      <c r="BL113" s="143">
        <f t="shared" si="278"/>
        <v>9.3709700179011506</v>
      </c>
      <c r="BM113" s="143">
        <f t="shared" si="61"/>
        <v>9.9074297717687525</v>
      </c>
      <c r="BN113" s="143">
        <f t="shared" ref="BN113:CF113" si="279">BM113</f>
        <v>9.9074297717687525</v>
      </c>
      <c r="BO113" s="143">
        <f t="shared" si="279"/>
        <v>9.9074297717687525</v>
      </c>
      <c r="BP113" s="143">
        <f t="shared" si="279"/>
        <v>9.9074297717687525</v>
      </c>
      <c r="BQ113" s="143">
        <f t="shared" si="279"/>
        <v>9.9074297717687525</v>
      </c>
      <c r="BR113" s="143">
        <f t="shared" si="279"/>
        <v>9.9074297717687525</v>
      </c>
      <c r="BS113" s="143">
        <f t="shared" si="279"/>
        <v>9.9074297717687525</v>
      </c>
      <c r="BT113" s="143">
        <f t="shared" si="279"/>
        <v>9.9074297717687525</v>
      </c>
      <c r="BU113" s="143">
        <f t="shared" si="279"/>
        <v>9.9074297717687525</v>
      </c>
      <c r="BV113" s="143">
        <f t="shared" si="279"/>
        <v>9.9074297717687525</v>
      </c>
      <c r="BW113" s="143">
        <f t="shared" si="279"/>
        <v>9.9074297717687525</v>
      </c>
      <c r="BX113" s="143">
        <f t="shared" si="279"/>
        <v>9.9074297717687525</v>
      </c>
      <c r="BY113" s="143">
        <f t="shared" si="279"/>
        <v>9.9074297717687525</v>
      </c>
      <c r="BZ113" s="143">
        <f t="shared" si="279"/>
        <v>9.9074297717687525</v>
      </c>
      <c r="CA113" s="143">
        <f t="shared" si="279"/>
        <v>9.9074297717687525</v>
      </c>
      <c r="CB113" s="143">
        <f t="shared" si="279"/>
        <v>9.9074297717687525</v>
      </c>
      <c r="CC113" s="143">
        <f t="shared" si="279"/>
        <v>9.9074297717687525</v>
      </c>
      <c r="CD113" s="143">
        <f t="shared" si="279"/>
        <v>9.9074297717687525</v>
      </c>
      <c r="CE113" s="143">
        <f t="shared" si="279"/>
        <v>9.9074297717687525</v>
      </c>
      <c r="CF113" s="143">
        <f t="shared" si="279"/>
        <v>9.9074297717687525</v>
      </c>
      <c r="CG113" s="143">
        <f t="shared" si="63"/>
        <v>10.376293501613306</v>
      </c>
      <c r="CH113" s="143">
        <f t="shared" ref="CH113:CP113" si="280">CG113</f>
        <v>10.376293501613306</v>
      </c>
      <c r="CI113" s="143">
        <f t="shared" si="280"/>
        <v>10.376293501613306</v>
      </c>
      <c r="CJ113" s="143">
        <f t="shared" si="280"/>
        <v>10.376293501613306</v>
      </c>
      <c r="CK113" s="143">
        <f t="shared" si="280"/>
        <v>10.376293501613306</v>
      </c>
      <c r="CL113" s="143">
        <f t="shared" si="280"/>
        <v>10.376293501613306</v>
      </c>
      <c r="CM113" s="143">
        <f t="shared" si="280"/>
        <v>10.376293501613306</v>
      </c>
      <c r="CN113" s="143">
        <f t="shared" si="280"/>
        <v>10.376293501613306</v>
      </c>
      <c r="CO113" s="143">
        <f t="shared" si="280"/>
        <v>10.376293501613306</v>
      </c>
      <c r="CP113" s="143">
        <f t="shared" si="280"/>
        <v>10.376293501613306</v>
      </c>
      <c r="CQ113" s="143">
        <f t="shared" si="65"/>
        <v>10.733108667195946</v>
      </c>
      <c r="CR113" s="143">
        <f t="shared" ref="CR113:CU129" si="281">CQ113</f>
        <v>10.733108667195946</v>
      </c>
      <c r="CS113" s="143">
        <f t="shared" si="281"/>
        <v>10.733108667195946</v>
      </c>
      <c r="CT113" s="143">
        <f t="shared" si="281"/>
        <v>10.733108667195946</v>
      </c>
      <c r="CU113" s="143">
        <f t="shared" si="281"/>
        <v>10.733108667195946</v>
      </c>
      <c r="CV113" s="143">
        <f t="shared" si="67"/>
        <v>11.313596091755274</v>
      </c>
      <c r="CW113" s="143">
        <f t="shared" ref="CW113:CY129" si="282">CV113</f>
        <v>11.313596091755274</v>
      </c>
      <c r="CX113" s="143">
        <f t="shared" si="282"/>
        <v>11.313596091755274</v>
      </c>
      <c r="CY113" s="143">
        <f t="shared" si="282"/>
        <v>11.313596091755274</v>
      </c>
      <c r="CZ113" s="143">
        <f t="shared" si="69"/>
        <v>13.127862628765568</v>
      </c>
      <c r="DA113" s="60"/>
      <c r="DB113" s="143">
        <f t="shared" si="70"/>
        <v>9.8781697445518386</v>
      </c>
      <c r="DC113" s="143">
        <f t="shared" ref="DC113:DU113" si="283">DB113</f>
        <v>9.8781697445518386</v>
      </c>
      <c r="DD113" s="143">
        <f t="shared" si="283"/>
        <v>9.8781697445518386</v>
      </c>
      <c r="DE113" s="143">
        <f t="shared" si="283"/>
        <v>9.8781697445518386</v>
      </c>
      <c r="DF113" s="143">
        <f t="shared" si="283"/>
        <v>9.8781697445518386</v>
      </c>
      <c r="DG113" s="143">
        <f t="shared" si="283"/>
        <v>9.8781697445518386</v>
      </c>
      <c r="DH113" s="143">
        <f t="shared" si="283"/>
        <v>9.8781697445518386</v>
      </c>
      <c r="DI113" s="143">
        <f t="shared" si="283"/>
        <v>9.8781697445518386</v>
      </c>
      <c r="DJ113" s="143">
        <f t="shared" si="283"/>
        <v>9.8781697445518386</v>
      </c>
      <c r="DK113" s="143">
        <f t="shared" si="283"/>
        <v>9.8781697445518386</v>
      </c>
      <c r="DL113" s="143">
        <f t="shared" si="283"/>
        <v>9.8781697445518386</v>
      </c>
      <c r="DM113" s="143">
        <f t="shared" si="283"/>
        <v>9.8781697445518386</v>
      </c>
      <c r="DN113" s="143">
        <f t="shared" si="283"/>
        <v>9.8781697445518386</v>
      </c>
      <c r="DO113" s="143">
        <f t="shared" si="283"/>
        <v>9.8781697445518386</v>
      </c>
      <c r="DP113" s="143">
        <f t="shared" si="283"/>
        <v>9.8781697445518386</v>
      </c>
      <c r="DQ113" s="143">
        <f t="shared" si="283"/>
        <v>9.8781697445518386</v>
      </c>
      <c r="DR113" s="143">
        <f t="shared" si="283"/>
        <v>9.8781697445518386</v>
      </c>
      <c r="DS113" s="143">
        <f t="shared" si="283"/>
        <v>9.8781697445518386</v>
      </c>
      <c r="DT113" s="143">
        <f t="shared" si="283"/>
        <v>9.8781697445518386</v>
      </c>
      <c r="DU113" s="143">
        <f t="shared" si="283"/>
        <v>9.8781697445518386</v>
      </c>
      <c r="DV113" s="143">
        <f t="shared" si="72"/>
        <v>10.678214720088496</v>
      </c>
      <c r="DW113" s="143">
        <f t="shared" ref="DW113:EO113" si="284">DV113</f>
        <v>10.678214720088496</v>
      </c>
      <c r="DX113" s="143">
        <f t="shared" si="284"/>
        <v>10.678214720088496</v>
      </c>
      <c r="DY113" s="143">
        <f t="shared" si="284"/>
        <v>10.678214720088496</v>
      </c>
      <c r="DZ113" s="143">
        <f t="shared" si="284"/>
        <v>10.678214720088496</v>
      </c>
      <c r="EA113" s="143">
        <f t="shared" si="284"/>
        <v>10.678214720088496</v>
      </c>
      <c r="EB113" s="143">
        <f t="shared" si="284"/>
        <v>10.678214720088496</v>
      </c>
      <c r="EC113" s="143">
        <f t="shared" si="284"/>
        <v>10.678214720088496</v>
      </c>
      <c r="ED113" s="143">
        <f t="shared" si="284"/>
        <v>10.678214720088496</v>
      </c>
      <c r="EE113" s="143">
        <f t="shared" si="284"/>
        <v>10.678214720088496</v>
      </c>
      <c r="EF113" s="143">
        <f t="shared" si="284"/>
        <v>10.678214720088496</v>
      </c>
      <c r="EG113" s="143">
        <f t="shared" si="284"/>
        <v>10.678214720088496</v>
      </c>
      <c r="EH113" s="143">
        <f t="shared" si="284"/>
        <v>10.678214720088496</v>
      </c>
      <c r="EI113" s="143">
        <f t="shared" si="284"/>
        <v>10.678214720088496</v>
      </c>
      <c r="EJ113" s="143">
        <f t="shared" si="284"/>
        <v>10.678214720088496</v>
      </c>
      <c r="EK113" s="143">
        <f t="shared" si="284"/>
        <v>10.678214720088496</v>
      </c>
      <c r="EL113" s="143">
        <f t="shared" si="284"/>
        <v>10.678214720088496</v>
      </c>
      <c r="EM113" s="143">
        <f t="shared" si="284"/>
        <v>10.678214720088496</v>
      </c>
      <c r="EN113" s="143">
        <f t="shared" si="284"/>
        <v>10.678214720088496</v>
      </c>
      <c r="EO113" s="143">
        <f t="shared" si="284"/>
        <v>10.678214720088496</v>
      </c>
      <c r="EP113" s="143">
        <f t="shared" si="74"/>
        <v>11.113939322959773</v>
      </c>
      <c r="EQ113" s="143">
        <f t="shared" ref="EQ113:FI113" si="285">EP113</f>
        <v>11.113939322959773</v>
      </c>
      <c r="ER113" s="143">
        <f t="shared" si="285"/>
        <v>11.113939322959773</v>
      </c>
      <c r="ES113" s="143">
        <f t="shared" si="285"/>
        <v>11.113939322959773</v>
      </c>
      <c r="ET113" s="143">
        <f t="shared" si="285"/>
        <v>11.113939322959773</v>
      </c>
      <c r="EU113" s="143">
        <f t="shared" si="285"/>
        <v>11.113939322959773</v>
      </c>
      <c r="EV113" s="143">
        <f t="shared" si="285"/>
        <v>11.113939322959773</v>
      </c>
      <c r="EW113" s="143">
        <f t="shared" si="285"/>
        <v>11.113939322959773</v>
      </c>
      <c r="EX113" s="143">
        <f t="shared" si="285"/>
        <v>11.113939322959773</v>
      </c>
      <c r="EY113" s="143">
        <f t="shared" si="285"/>
        <v>11.113939322959773</v>
      </c>
      <c r="EZ113" s="143">
        <f t="shared" si="285"/>
        <v>11.113939322959773</v>
      </c>
      <c r="FA113" s="143">
        <f t="shared" si="285"/>
        <v>11.113939322959773</v>
      </c>
      <c r="FB113" s="143">
        <f t="shared" si="285"/>
        <v>11.113939322959773</v>
      </c>
      <c r="FC113" s="143">
        <f t="shared" si="285"/>
        <v>11.113939322959773</v>
      </c>
      <c r="FD113" s="143">
        <f t="shared" si="285"/>
        <v>11.113939322959773</v>
      </c>
      <c r="FE113" s="143">
        <f t="shared" si="285"/>
        <v>11.113939322959773</v>
      </c>
      <c r="FF113" s="143">
        <f t="shared" si="285"/>
        <v>11.113939322959773</v>
      </c>
      <c r="FG113" s="143">
        <f t="shared" si="285"/>
        <v>11.113939322959773</v>
      </c>
      <c r="FH113" s="143">
        <f t="shared" si="285"/>
        <v>11.113939322959773</v>
      </c>
      <c r="FI113" s="143">
        <f t="shared" si="285"/>
        <v>11.113939322959773</v>
      </c>
      <c r="FJ113" s="143">
        <f t="shared" si="76"/>
        <v>11.48246625748552</v>
      </c>
      <c r="FK113" s="143">
        <f t="shared" ref="FK113:GC113" si="286">FJ113</f>
        <v>11.48246625748552</v>
      </c>
      <c r="FL113" s="143">
        <f t="shared" si="286"/>
        <v>11.48246625748552</v>
      </c>
      <c r="FM113" s="143">
        <f t="shared" si="286"/>
        <v>11.48246625748552</v>
      </c>
      <c r="FN113" s="143">
        <f t="shared" si="286"/>
        <v>11.48246625748552</v>
      </c>
      <c r="FO113" s="143">
        <f t="shared" si="286"/>
        <v>11.48246625748552</v>
      </c>
      <c r="FP113" s="143">
        <f t="shared" si="286"/>
        <v>11.48246625748552</v>
      </c>
      <c r="FQ113" s="143">
        <f t="shared" si="286"/>
        <v>11.48246625748552</v>
      </c>
      <c r="FR113" s="143">
        <f t="shared" si="286"/>
        <v>11.48246625748552</v>
      </c>
      <c r="FS113" s="143">
        <f t="shared" si="286"/>
        <v>11.48246625748552</v>
      </c>
      <c r="FT113" s="143">
        <f t="shared" si="286"/>
        <v>11.48246625748552</v>
      </c>
      <c r="FU113" s="143">
        <f t="shared" si="286"/>
        <v>11.48246625748552</v>
      </c>
      <c r="FV113" s="143">
        <f t="shared" si="286"/>
        <v>11.48246625748552</v>
      </c>
      <c r="FW113" s="143">
        <f t="shared" si="286"/>
        <v>11.48246625748552</v>
      </c>
      <c r="FX113" s="143">
        <f t="shared" si="286"/>
        <v>11.48246625748552</v>
      </c>
      <c r="FY113" s="143">
        <f t="shared" si="286"/>
        <v>11.48246625748552</v>
      </c>
      <c r="FZ113" s="143">
        <f t="shared" si="286"/>
        <v>11.48246625748552</v>
      </c>
      <c r="GA113" s="143">
        <f t="shared" si="286"/>
        <v>11.48246625748552</v>
      </c>
      <c r="GB113" s="143">
        <f t="shared" si="286"/>
        <v>11.48246625748552</v>
      </c>
      <c r="GC113" s="143">
        <f t="shared" si="286"/>
        <v>11.48246625748552</v>
      </c>
      <c r="GD113" s="143">
        <f t="shared" si="78"/>
        <v>11.815988639460311</v>
      </c>
      <c r="GE113" s="143">
        <f t="shared" ref="GE113:GM113" si="287">GD113</f>
        <v>11.815988639460311</v>
      </c>
      <c r="GF113" s="143">
        <f t="shared" si="287"/>
        <v>11.815988639460311</v>
      </c>
      <c r="GG113" s="143">
        <f t="shared" si="287"/>
        <v>11.815988639460311</v>
      </c>
      <c r="GH113" s="143">
        <f t="shared" si="287"/>
        <v>11.815988639460311</v>
      </c>
      <c r="GI113" s="143">
        <f t="shared" si="287"/>
        <v>11.815988639460311</v>
      </c>
      <c r="GJ113" s="143">
        <f t="shared" si="287"/>
        <v>11.815988639460311</v>
      </c>
      <c r="GK113" s="143">
        <f t="shared" si="287"/>
        <v>11.815988639460311</v>
      </c>
      <c r="GL113" s="143">
        <f t="shared" si="287"/>
        <v>11.815988639460311</v>
      </c>
      <c r="GM113" s="143">
        <f t="shared" si="287"/>
        <v>11.815988639460311</v>
      </c>
      <c r="GN113" s="143">
        <f t="shared" si="80"/>
        <v>12.099600401019657</v>
      </c>
      <c r="GO113" s="143">
        <f t="shared" ref="GO113:GR129" si="288">GN113</f>
        <v>12.099600401019657</v>
      </c>
      <c r="GP113" s="143">
        <f t="shared" si="288"/>
        <v>12.099600401019657</v>
      </c>
      <c r="GQ113" s="143">
        <f t="shared" si="288"/>
        <v>12.099600401019657</v>
      </c>
      <c r="GR113" s="143">
        <f t="shared" si="288"/>
        <v>12.099600401019657</v>
      </c>
      <c r="GS113" s="143">
        <f t="shared" si="82"/>
        <v>12.586561767568162</v>
      </c>
      <c r="GT113" s="143">
        <f t="shared" ref="GT113:GV129" si="289">GS113</f>
        <v>12.586561767568162</v>
      </c>
      <c r="GU113" s="143">
        <f t="shared" si="289"/>
        <v>12.586561767568162</v>
      </c>
      <c r="GV113" s="143">
        <f t="shared" si="289"/>
        <v>12.586561767568162</v>
      </c>
      <c r="GW113" s="143">
        <f t="shared" si="84"/>
        <v>14.248720526380998</v>
      </c>
    </row>
    <row r="114" spans="1:205" s="46" customFormat="1" ht="9.75" customHeight="1">
      <c r="A114" s="60">
        <v>2000</v>
      </c>
      <c r="B114" s="143">
        <f t="shared" si="85"/>
        <v>0.53520363285059402</v>
      </c>
      <c r="C114" s="143">
        <f t="shared" si="54"/>
        <v>0.98475347670075331</v>
      </c>
      <c r="D114" s="60"/>
      <c r="E114" s="143">
        <f t="shared" si="55"/>
        <v>7.1497598379372658</v>
      </c>
      <c r="F114" s="143">
        <f t="shared" ref="F114:X114" si="290">E114</f>
        <v>7.1497598379372658</v>
      </c>
      <c r="G114" s="143">
        <f t="shared" si="290"/>
        <v>7.1497598379372658</v>
      </c>
      <c r="H114" s="143">
        <f t="shared" si="290"/>
        <v>7.1497598379372658</v>
      </c>
      <c r="I114" s="143">
        <f t="shared" si="290"/>
        <v>7.1497598379372658</v>
      </c>
      <c r="J114" s="143">
        <f t="shared" si="290"/>
        <v>7.1497598379372658</v>
      </c>
      <c r="K114" s="143">
        <f t="shared" si="290"/>
        <v>7.1497598379372658</v>
      </c>
      <c r="L114" s="143">
        <f t="shared" si="290"/>
        <v>7.1497598379372658</v>
      </c>
      <c r="M114" s="143">
        <f t="shared" si="290"/>
        <v>7.1497598379372658</v>
      </c>
      <c r="N114" s="143">
        <f t="shared" si="290"/>
        <v>7.1497598379372658</v>
      </c>
      <c r="O114" s="143">
        <f t="shared" si="290"/>
        <v>7.1497598379372658</v>
      </c>
      <c r="P114" s="143">
        <f t="shared" si="290"/>
        <v>7.1497598379372658</v>
      </c>
      <c r="Q114" s="143">
        <f t="shared" si="290"/>
        <v>7.1497598379372658</v>
      </c>
      <c r="R114" s="143">
        <f t="shared" si="290"/>
        <v>7.1497598379372658</v>
      </c>
      <c r="S114" s="143">
        <f t="shared" si="290"/>
        <v>7.1497598379372658</v>
      </c>
      <c r="T114" s="143">
        <f t="shared" si="290"/>
        <v>7.1497598379372658</v>
      </c>
      <c r="U114" s="143">
        <f t="shared" si="290"/>
        <v>7.1497598379372658</v>
      </c>
      <c r="V114" s="143">
        <f t="shared" si="290"/>
        <v>7.1497598379372658</v>
      </c>
      <c r="W114" s="143">
        <f t="shared" si="290"/>
        <v>7.1497598379372658</v>
      </c>
      <c r="X114" s="143">
        <f t="shared" si="290"/>
        <v>7.1497598379372658</v>
      </c>
      <c r="Y114" s="143">
        <f t="shared" si="57"/>
        <v>8.6854158238306898</v>
      </c>
      <c r="Z114" s="143">
        <f t="shared" ref="Z114:AR114" si="291">Y114</f>
        <v>8.6854158238306898</v>
      </c>
      <c r="AA114" s="143">
        <f t="shared" si="291"/>
        <v>8.6854158238306898</v>
      </c>
      <c r="AB114" s="143">
        <f t="shared" si="291"/>
        <v>8.6854158238306898</v>
      </c>
      <c r="AC114" s="143">
        <f t="shared" si="291"/>
        <v>8.6854158238306898</v>
      </c>
      <c r="AD114" s="143">
        <f t="shared" si="291"/>
        <v>8.6854158238306898</v>
      </c>
      <c r="AE114" s="143">
        <f t="shared" si="291"/>
        <v>8.6854158238306898</v>
      </c>
      <c r="AF114" s="143">
        <f t="shared" si="291"/>
        <v>8.6854158238306898</v>
      </c>
      <c r="AG114" s="143">
        <f t="shared" si="291"/>
        <v>8.6854158238306898</v>
      </c>
      <c r="AH114" s="143">
        <f t="shared" si="291"/>
        <v>8.6854158238306898</v>
      </c>
      <c r="AI114" s="143">
        <f t="shared" si="291"/>
        <v>8.6854158238306898</v>
      </c>
      <c r="AJ114" s="143">
        <f t="shared" si="291"/>
        <v>8.6854158238306898</v>
      </c>
      <c r="AK114" s="143">
        <f t="shared" si="291"/>
        <v>8.6854158238306898</v>
      </c>
      <c r="AL114" s="143">
        <f t="shared" si="291"/>
        <v>8.6854158238306898</v>
      </c>
      <c r="AM114" s="143">
        <f t="shared" si="291"/>
        <v>8.6854158238306898</v>
      </c>
      <c r="AN114" s="143">
        <f t="shared" si="291"/>
        <v>8.6854158238306898</v>
      </c>
      <c r="AO114" s="143">
        <f t="shared" si="291"/>
        <v>8.6854158238306898</v>
      </c>
      <c r="AP114" s="143">
        <f t="shared" si="291"/>
        <v>8.6854158238306898</v>
      </c>
      <c r="AQ114" s="143">
        <f t="shared" si="291"/>
        <v>8.6854158238306898</v>
      </c>
      <c r="AR114" s="143">
        <f t="shared" si="291"/>
        <v>8.6854158238306898</v>
      </c>
      <c r="AS114" s="143">
        <f t="shared" si="59"/>
        <v>9.3654191923762635</v>
      </c>
      <c r="AT114" s="143">
        <f t="shared" ref="AT114:BL114" si="292">AS114</f>
        <v>9.3654191923762635</v>
      </c>
      <c r="AU114" s="143">
        <f t="shared" si="292"/>
        <v>9.3654191923762635</v>
      </c>
      <c r="AV114" s="143">
        <f t="shared" si="292"/>
        <v>9.3654191923762635</v>
      </c>
      <c r="AW114" s="143">
        <f t="shared" si="292"/>
        <v>9.3654191923762635</v>
      </c>
      <c r="AX114" s="143">
        <f t="shared" si="292"/>
        <v>9.3654191923762635</v>
      </c>
      <c r="AY114" s="143">
        <f t="shared" si="292"/>
        <v>9.3654191923762635</v>
      </c>
      <c r="AZ114" s="143">
        <f t="shared" si="292"/>
        <v>9.3654191923762635</v>
      </c>
      <c r="BA114" s="143">
        <f t="shared" si="292"/>
        <v>9.3654191923762635</v>
      </c>
      <c r="BB114" s="143">
        <f t="shared" si="292"/>
        <v>9.3654191923762635</v>
      </c>
      <c r="BC114" s="143">
        <f t="shared" si="292"/>
        <v>9.3654191923762635</v>
      </c>
      <c r="BD114" s="143">
        <f t="shared" si="292"/>
        <v>9.3654191923762635</v>
      </c>
      <c r="BE114" s="143">
        <f t="shared" si="292"/>
        <v>9.3654191923762635</v>
      </c>
      <c r="BF114" s="143">
        <f t="shared" si="292"/>
        <v>9.3654191923762635</v>
      </c>
      <c r="BG114" s="143">
        <f t="shared" si="292"/>
        <v>9.3654191923762635</v>
      </c>
      <c r="BH114" s="143">
        <f t="shared" si="292"/>
        <v>9.3654191923762635</v>
      </c>
      <c r="BI114" s="143">
        <f t="shared" si="292"/>
        <v>9.3654191923762635</v>
      </c>
      <c r="BJ114" s="143">
        <f t="shared" si="292"/>
        <v>9.3654191923762635</v>
      </c>
      <c r="BK114" s="143">
        <f t="shared" si="292"/>
        <v>9.3654191923762635</v>
      </c>
      <c r="BL114" s="143">
        <f t="shared" si="292"/>
        <v>9.3654191923762635</v>
      </c>
      <c r="BM114" s="143">
        <f t="shared" si="61"/>
        <v>9.9248037397048048</v>
      </c>
      <c r="BN114" s="143">
        <f t="shared" ref="BN114:CF114" si="293">BM114</f>
        <v>9.9248037397048048</v>
      </c>
      <c r="BO114" s="143">
        <f t="shared" si="293"/>
        <v>9.9248037397048048</v>
      </c>
      <c r="BP114" s="143">
        <f t="shared" si="293"/>
        <v>9.9248037397048048</v>
      </c>
      <c r="BQ114" s="143">
        <f t="shared" si="293"/>
        <v>9.9248037397048048</v>
      </c>
      <c r="BR114" s="143">
        <f t="shared" si="293"/>
        <v>9.9248037397048048</v>
      </c>
      <c r="BS114" s="143">
        <f t="shared" si="293"/>
        <v>9.9248037397048048</v>
      </c>
      <c r="BT114" s="143">
        <f t="shared" si="293"/>
        <v>9.9248037397048048</v>
      </c>
      <c r="BU114" s="143">
        <f t="shared" si="293"/>
        <v>9.9248037397048048</v>
      </c>
      <c r="BV114" s="143">
        <f t="shared" si="293"/>
        <v>9.9248037397048048</v>
      </c>
      <c r="BW114" s="143">
        <f t="shared" si="293"/>
        <v>9.9248037397048048</v>
      </c>
      <c r="BX114" s="143">
        <f t="shared" si="293"/>
        <v>9.9248037397048048</v>
      </c>
      <c r="BY114" s="143">
        <f t="shared" si="293"/>
        <v>9.9248037397048048</v>
      </c>
      <c r="BZ114" s="143">
        <f t="shared" si="293"/>
        <v>9.9248037397048048</v>
      </c>
      <c r="CA114" s="143">
        <f t="shared" si="293"/>
        <v>9.9248037397048048</v>
      </c>
      <c r="CB114" s="143">
        <f t="shared" si="293"/>
        <v>9.9248037397048048</v>
      </c>
      <c r="CC114" s="143">
        <f t="shared" si="293"/>
        <v>9.9248037397048048</v>
      </c>
      <c r="CD114" s="143">
        <f t="shared" si="293"/>
        <v>9.9248037397048048</v>
      </c>
      <c r="CE114" s="143">
        <f t="shared" si="293"/>
        <v>9.9248037397048048</v>
      </c>
      <c r="CF114" s="143">
        <f t="shared" si="293"/>
        <v>9.9248037397048048</v>
      </c>
      <c r="CG114" s="143">
        <f t="shared" si="63"/>
        <v>10.396038201550377</v>
      </c>
      <c r="CH114" s="143">
        <f t="shared" ref="CH114:CP114" si="294">CG114</f>
        <v>10.396038201550377</v>
      </c>
      <c r="CI114" s="143">
        <f t="shared" si="294"/>
        <v>10.396038201550377</v>
      </c>
      <c r="CJ114" s="143">
        <f t="shared" si="294"/>
        <v>10.396038201550377</v>
      </c>
      <c r="CK114" s="143">
        <f t="shared" si="294"/>
        <v>10.396038201550377</v>
      </c>
      <c r="CL114" s="143">
        <f t="shared" si="294"/>
        <v>10.396038201550377</v>
      </c>
      <c r="CM114" s="143">
        <f t="shared" si="294"/>
        <v>10.396038201550377</v>
      </c>
      <c r="CN114" s="143">
        <f t="shared" si="294"/>
        <v>10.396038201550377</v>
      </c>
      <c r="CO114" s="143">
        <f t="shared" si="294"/>
        <v>10.396038201550377</v>
      </c>
      <c r="CP114" s="143">
        <f t="shared" si="294"/>
        <v>10.396038201550377</v>
      </c>
      <c r="CQ114" s="143">
        <f t="shared" si="65"/>
        <v>10.76377919829018</v>
      </c>
      <c r="CR114" s="143">
        <f t="shared" si="281"/>
        <v>10.76377919829018</v>
      </c>
      <c r="CS114" s="143">
        <f t="shared" si="281"/>
        <v>10.76377919829018</v>
      </c>
      <c r="CT114" s="143">
        <f t="shared" si="281"/>
        <v>10.76377919829018</v>
      </c>
      <c r="CU114" s="143">
        <f t="shared" si="281"/>
        <v>10.76377919829018</v>
      </c>
      <c r="CV114" s="143">
        <f t="shared" si="67"/>
        <v>11.34355961933649</v>
      </c>
      <c r="CW114" s="143">
        <f t="shared" si="282"/>
        <v>11.34355961933649</v>
      </c>
      <c r="CX114" s="143">
        <f t="shared" si="282"/>
        <v>11.34355961933649</v>
      </c>
      <c r="CY114" s="143">
        <f t="shared" si="282"/>
        <v>11.34355961933649</v>
      </c>
      <c r="CZ114" s="143">
        <f t="shared" si="69"/>
        <v>13.213208330176746</v>
      </c>
      <c r="DA114" s="60"/>
      <c r="DB114" s="143">
        <f t="shared" si="70"/>
        <v>9.8678603748929774</v>
      </c>
      <c r="DC114" s="143">
        <f t="shared" ref="DC114:DU114" si="295">DB114</f>
        <v>9.8678603748929774</v>
      </c>
      <c r="DD114" s="143">
        <f t="shared" si="295"/>
        <v>9.8678603748929774</v>
      </c>
      <c r="DE114" s="143">
        <f t="shared" si="295"/>
        <v>9.8678603748929774</v>
      </c>
      <c r="DF114" s="143">
        <f t="shared" si="295"/>
        <v>9.8678603748929774</v>
      </c>
      <c r="DG114" s="143">
        <f t="shared" si="295"/>
        <v>9.8678603748929774</v>
      </c>
      <c r="DH114" s="143">
        <f t="shared" si="295"/>
        <v>9.8678603748929774</v>
      </c>
      <c r="DI114" s="143">
        <f t="shared" si="295"/>
        <v>9.8678603748929774</v>
      </c>
      <c r="DJ114" s="143">
        <f t="shared" si="295"/>
        <v>9.8678603748929774</v>
      </c>
      <c r="DK114" s="143">
        <f t="shared" si="295"/>
        <v>9.8678603748929774</v>
      </c>
      <c r="DL114" s="143">
        <f t="shared" si="295"/>
        <v>9.8678603748929774</v>
      </c>
      <c r="DM114" s="143">
        <f t="shared" si="295"/>
        <v>9.8678603748929774</v>
      </c>
      <c r="DN114" s="143">
        <f t="shared" si="295"/>
        <v>9.8678603748929774</v>
      </c>
      <c r="DO114" s="143">
        <f t="shared" si="295"/>
        <v>9.8678603748929774</v>
      </c>
      <c r="DP114" s="143">
        <f t="shared" si="295"/>
        <v>9.8678603748929774</v>
      </c>
      <c r="DQ114" s="143">
        <f t="shared" si="295"/>
        <v>9.8678603748929774</v>
      </c>
      <c r="DR114" s="143">
        <f t="shared" si="295"/>
        <v>9.8678603748929774</v>
      </c>
      <c r="DS114" s="143">
        <f t="shared" si="295"/>
        <v>9.8678603748929774</v>
      </c>
      <c r="DT114" s="143">
        <f t="shared" si="295"/>
        <v>9.8678603748929774</v>
      </c>
      <c r="DU114" s="143">
        <f t="shared" si="295"/>
        <v>9.8678603748929774</v>
      </c>
      <c r="DV114" s="143">
        <f t="shared" si="72"/>
        <v>10.680516217076775</v>
      </c>
      <c r="DW114" s="143">
        <f t="shared" ref="DW114:EO114" si="296">DV114</f>
        <v>10.680516217076775</v>
      </c>
      <c r="DX114" s="143">
        <f t="shared" si="296"/>
        <v>10.680516217076775</v>
      </c>
      <c r="DY114" s="143">
        <f t="shared" si="296"/>
        <v>10.680516217076775</v>
      </c>
      <c r="DZ114" s="143">
        <f t="shared" si="296"/>
        <v>10.680516217076775</v>
      </c>
      <c r="EA114" s="143">
        <f t="shared" si="296"/>
        <v>10.680516217076775</v>
      </c>
      <c r="EB114" s="143">
        <f t="shared" si="296"/>
        <v>10.680516217076775</v>
      </c>
      <c r="EC114" s="143">
        <f t="shared" si="296"/>
        <v>10.680516217076775</v>
      </c>
      <c r="ED114" s="143">
        <f t="shared" si="296"/>
        <v>10.680516217076775</v>
      </c>
      <c r="EE114" s="143">
        <f t="shared" si="296"/>
        <v>10.680516217076775</v>
      </c>
      <c r="EF114" s="143">
        <f t="shared" si="296"/>
        <v>10.680516217076775</v>
      </c>
      <c r="EG114" s="143">
        <f t="shared" si="296"/>
        <v>10.680516217076775</v>
      </c>
      <c r="EH114" s="143">
        <f t="shared" si="296"/>
        <v>10.680516217076775</v>
      </c>
      <c r="EI114" s="143">
        <f t="shared" si="296"/>
        <v>10.680516217076775</v>
      </c>
      <c r="EJ114" s="143">
        <f t="shared" si="296"/>
        <v>10.680516217076775</v>
      </c>
      <c r="EK114" s="143">
        <f t="shared" si="296"/>
        <v>10.680516217076775</v>
      </c>
      <c r="EL114" s="143">
        <f t="shared" si="296"/>
        <v>10.680516217076775</v>
      </c>
      <c r="EM114" s="143">
        <f t="shared" si="296"/>
        <v>10.680516217076775</v>
      </c>
      <c r="EN114" s="143">
        <f t="shared" si="296"/>
        <v>10.680516217076775</v>
      </c>
      <c r="EO114" s="143">
        <f t="shared" si="296"/>
        <v>10.680516217076775</v>
      </c>
      <c r="EP114" s="143">
        <f t="shared" si="74"/>
        <v>11.119882876860622</v>
      </c>
      <c r="EQ114" s="143">
        <f t="shared" ref="EQ114:FI114" si="297">EP114</f>
        <v>11.119882876860622</v>
      </c>
      <c r="ER114" s="143">
        <f t="shared" si="297"/>
        <v>11.119882876860622</v>
      </c>
      <c r="ES114" s="143">
        <f t="shared" si="297"/>
        <v>11.119882876860622</v>
      </c>
      <c r="ET114" s="143">
        <f t="shared" si="297"/>
        <v>11.119882876860622</v>
      </c>
      <c r="EU114" s="143">
        <f t="shared" si="297"/>
        <v>11.119882876860622</v>
      </c>
      <c r="EV114" s="143">
        <f t="shared" si="297"/>
        <v>11.119882876860622</v>
      </c>
      <c r="EW114" s="143">
        <f t="shared" si="297"/>
        <v>11.119882876860622</v>
      </c>
      <c r="EX114" s="143">
        <f t="shared" si="297"/>
        <v>11.119882876860622</v>
      </c>
      <c r="EY114" s="143">
        <f t="shared" si="297"/>
        <v>11.119882876860622</v>
      </c>
      <c r="EZ114" s="143">
        <f t="shared" si="297"/>
        <v>11.119882876860622</v>
      </c>
      <c r="FA114" s="143">
        <f t="shared" si="297"/>
        <v>11.119882876860622</v>
      </c>
      <c r="FB114" s="143">
        <f t="shared" si="297"/>
        <v>11.119882876860622</v>
      </c>
      <c r="FC114" s="143">
        <f t="shared" si="297"/>
        <v>11.119882876860622</v>
      </c>
      <c r="FD114" s="143">
        <f t="shared" si="297"/>
        <v>11.119882876860622</v>
      </c>
      <c r="FE114" s="143">
        <f t="shared" si="297"/>
        <v>11.119882876860622</v>
      </c>
      <c r="FF114" s="143">
        <f t="shared" si="297"/>
        <v>11.119882876860622</v>
      </c>
      <c r="FG114" s="143">
        <f t="shared" si="297"/>
        <v>11.119882876860622</v>
      </c>
      <c r="FH114" s="143">
        <f t="shared" si="297"/>
        <v>11.119882876860622</v>
      </c>
      <c r="FI114" s="143">
        <f t="shared" si="297"/>
        <v>11.119882876860622</v>
      </c>
      <c r="FJ114" s="143">
        <f t="shared" si="76"/>
        <v>11.499840225421574</v>
      </c>
      <c r="FK114" s="143">
        <f t="shared" ref="FK114:GC114" si="298">FJ114</f>
        <v>11.499840225421574</v>
      </c>
      <c r="FL114" s="143">
        <f t="shared" si="298"/>
        <v>11.499840225421574</v>
      </c>
      <c r="FM114" s="143">
        <f t="shared" si="298"/>
        <v>11.499840225421574</v>
      </c>
      <c r="FN114" s="143">
        <f t="shared" si="298"/>
        <v>11.499840225421574</v>
      </c>
      <c r="FO114" s="143">
        <f t="shared" si="298"/>
        <v>11.499840225421574</v>
      </c>
      <c r="FP114" s="143">
        <f t="shared" si="298"/>
        <v>11.499840225421574</v>
      </c>
      <c r="FQ114" s="143">
        <f t="shared" si="298"/>
        <v>11.499840225421574</v>
      </c>
      <c r="FR114" s="143">
        <f t="shared" si="298"/>
        <v>11.499840225421574</v>
      </c>
      <c r="FS114" s="143">
        <f t="shared" si="298"/>
        <v>11.499840225421574</v>
      </c>
      <c r="FT114" s="143">
        <f t="shared" si="298"/>
        <v>11.499840225421574</v>
      </c>
      <c r="FU114" s="143">
        <f t="shared" si="298"/>
        <v>11.499840225421574</v>
      </c>
      <c r="FV114" s="143">
        <f t="shared" si="298"/>
        <v>11.499840225421574</v>
      </c>
      <c r="FW114" s="143">
        <f t="shared" si="298"/>
        <v>11.499840225421574</v>
      </c>
      <c r="FX114" s="143">
        <f t="shared" si="298"/>
        <v>11.499840225421574</v>
      </c>
      <c r="FY114" s="143">
        <f t="shared" si="298"/>
        <v>11.499840225421574</v>
      </c>
      <c r="FZ114" s="143">
        <f t="shared" si="298"/>
        <v>11.499840225421574</v>
      </c>
      <c r="GA114" s="143">
        <f t="shared" si="298"/>
        <v>11.499840225421574</v>
      </c>
      <c r="GB114" s="143">
        <f t="shared" si="298"/>
        <v>11.499840225421574</v>
      </c>
      <c r="GC114" s="143">
        <f t="shared" si="298"/>
        <v>11.499840225421574</v>
      </c>
      <c r="GD114" s="143">
        <f t="shared" si="78"/>
        <v>11.835733339397384</v>
      </c>
      <c r="GE114" s="143">
        <f t="shared" ref="GE114:GM114" si="299">GD114</f>
        <v>11.835733339397384</v>
      </c>
      <c r="GF114" s="143">
        <f t="shared" si="299"/>
        <v>11.835733339397384</v>
      </c>
      <c r="GG114" s="143">
        <f t="shared" si="299"/>
        <v>11.835733339397384</v>
      </c>
      <c r="GH114" s="143">
        <f t="shared" si="299"/>
        <v>11.835733339397384</v>
      </c>
      <c r="GI114" s="143">
        <f t="shared" si="299"/>
        <v>11.835733339397384</v>
      </c>
      <c r="GJ114" s="143">
        <f t="shared" si="299"/>
        <v>11.835733339397384</v>
      </c>
      <c r="GK114" s="143">
        <f t="shared" si="299"/>
        <v>11.835733339397384</v>
      </c>
      <c r="GL114" s="143">
        <f t="shared" si="299"/>
        <v>11.835733339397384</v>
      </c>
      <c r="GM114" s="143">
        <f t="shared" si="299"/>
        <v>11.835733339397384</v>
      </c>
      <c r="GN114" s="143">
        <f t="shared" si="80"/>
        <v>12.130270932113891</v>
      </c>
      <c r="GO114" s="143">
        <f t="shared" si="288"/>
        <v>12.130270932113891</v>
      </c>
      <c r="GP114" s="143">
        <f t="shared" si="288"/>
        <v>12.130270932113891</v>
      </c>
      <c r="GQ114" s="143">
        <f t="shared" si="288"/>
        <v>12.130270932113891</v>
      </c>
      <c r="GR114" s="143">
        <f t="shared" si="288"/>
        <v>12.130270932113891</v>
      </c>
      <c r="GS114" s="143">
        <f t="shared" si="82"/>
        <v>12.616525295149378</v>
      </c>
      <c r="GT114" s="143">
        <f t="shared" si="289"/>
        <v>12.616525295149378</v>
      </c>
      <c r="GU114" s="143">
        <f t="shared" si="289"/>
        <v>12.616525295149378</v>
      </c>
      <c r="GV114" s="143">
        <f t="shared" si="289"/>
        <v>12.616525295149378</v>
      </c>
      <c r="GW114" s="143">
        <f t="shared" si="84"/>
        <v>14.343311285936226</v>
      </c>
    </row>
    <row r="115" spans="1:205" s="46" customFormat="1" ht="9.75" customHeight="1">
      <c r="A115" s="60">
        <v>2001</v>
      </c>
      <c r="B115" s="143">
        <f t="shared" si="85"/>
        <v>0.56914564594090522</v>
      </c>
      <c r="C115" s="143">
        <f t="shared" si="54"/>
        <v>0.98940476143875111</v>
      </c>
      <c r="D115" s="60"/>
      <c r="E115" s="143">
        <f t="shared" si="55"/>
        <v>7.0553128433397516</v>
      </c>
      <c r="F115" s="143">
        <f t="shared" ref="F115:X115" si="300">E115</f>
        <v>7.0553128433397516</v>
      </c>
      <c r="G115" s="143">
        <f t="shared" si="300"/>
        <v>7.0553128433397516</v>
      </c>
      <c r="H115" s="143">
        <f t="shared" si="300"/>
        <v>7.0553128433397516</v>
      </c>
      <c r="I115" s="143">
        <f t="shared" si="300"/>
        <v>7.0553128433397516</v>
      </c>
      <c r="J115" s="143">
        <f t="shared" si="300"/>
        <v>7.0553128433397516</v>
      </c>
      <c r="K115" s="143">
        <f t="shared" si="300"/>
        <v>7.0553128433397516</v>
      </c>
      <c r="L115" s="143">
        <f t="shared" si="300"/>
        <v>7.0553128433397516</v>
      </c>
      <c r="M115" s="143">
        <f t="shared" si="300"/>
        <v>7.0553128433397516</v>
      </c>
      <c r="N115" s="143">
        <f t="shared" si="300"/>
        <v>7.0553128433397516</v>
      </c>
      <c r="O115" s="143">
        <f t="shared" si="300"/>
        <v>7.0553128433397516</v>
      </c>
      <c r="P115" s="143">
        <f t="shared" si="300"/>
        <v>7.0553128433397516</v>
      </c>
      <c r="Q115" s="143">
        <f t="shared" si="300"/>
        <v>7.0553128433397516</v>
      </c>
      <c r="R115" s="143">
        <f t="shared" si="300"/>
        <v>7.0553128433397516</v>
      </c>
      <c r="S115" s="143">
        <f t="shared" si="300"/>
        <v>7.0553128433397516</v>
      </c>
      <c r="T115" s="143">
        <f t="shared" si="300"/>
        <v>7.0553128433397516</v>
      </c>
      <c r="U115" s="143">
        <f t="shared" si="300"/>
        <v>7.0553128433397516</v>
      </c>
      <c r="V115" s="143">
        <f t="shared" si="300"/>
        <v>7.0553128433397516</v>
      </c>
      <c r="W115" s="143">
        <f t="shared" si="300"/>
        <v>7.0553128433397516</v>
      </c>
      <c r="X115" s="143">
        <f t="shared" si="300"/>
        <v>7.0553128433397516</v>
      </c>
      <c r="Y115" s="143">
        <f t="shared" si="57"/>
        <v>8.5210457607317274</v>
      </c>
      <c r="Z115" s="143">
        <f t="shared" ref="Z115:AR115" si="301">Y115</f>
        <v>8.5210457607317274</v>
      </c>
      <c r="AA115" s="143">
        <f t="shared" si="301"/>
        <v>8.5210457607317274</v>
      </c>
      <c r="AB115" s="143">
        <f t="shared" si="301"/>
        <v>8.5210457607317274</v>
      </c>
      <c r="AC115" s="143">
        <f t="shared" si="301"/>
        <v>8.5210457607317274</v>
      </c>
      <c r="AD115" s="143">
        <f t="shared" si="301"/>
        <v>8.5210457607317274</v>
      </c>
      <c r="AE115" s="143">
        <f t="shared" si="301"/>
        <v>8.5210457607317274</v>
      </c>
      <c r="AF115" s="143">
        <f t="shared" si="301"/>
        <v>8.5210457607317274</v>
      </c>
      <c r="AG115" s="143">
        <f t="shared" si="301"/>
        <v>8.5210457607317274</v>
      </c>
      <c r="AH115" s="143">
        <f t="shared" si="301"/>
        <v>8.5210457607317274</v>
      </c>
      <c r="AI115" s="143">
        <f t="shared" si="301"/>
        <v>8.5210457607317274</v>
      </c>
      <c r="AJ115" s="143">
        <f t="shared" si="301"/>
        <v>8.5210457607317274</v>
      </c>
      <c r="AK115" s="143">
        <f t="shared" si="301"/>
        <v>8.5210457607317274</v>
      </c>
      <c r="AL115" s="143">
        <f t="shared" si="301"/>
        <v>8.5210457607317274</v>
      </c>
      <c r="AM115" s="143">
        <f t="shared" si="301"/>
        <v>8.5210457607317274</v>
      </c>
      <c r="AN115" s="143">
        <f t="shared" si="301"/>
        <v>8.5210457607317274</v>
      </c>
      <c r="AO115" s="143">
        <f t="shared" si="301"/>
        <v>8.5210457607317274</v>
      </c>
      <c r="AP115" s="143">
        <f t="shared" si="301"/>
        <v>8.5210457607317274</v>
      </c>
      <c r="AQ115" s="143">
        <f t="shared" si="301"/>
        <v>8.5210457607317274</v>
      </c>
      <c r="AR115" s="143">
        <f t="shared" si="301"/>
        <v>8.5210457607317274</v>
      </c>
      <c r="AS115" s="143">
        <f t="shared" si="59"/>
        <v>9.2639190528774122</v>
      </c>
      <c r="AT115" s="143">
        <f t="shared" ref="AT115:BL115" si="302">AS115</f>
        <v>9.2639190528774122</v>
      </c>
      <c r="AU115" s="143">
        <f t="shared" si="302"/>
        <v>9.2639190528774122</v>
      </c>
      <c r="AV115" s="143">
        <f t="shared" si="302"/>
        <v>9.2639190528774122</v>
      </c>
      <c r="AW115" s="143">
        <f t="shared" si="302"/>
        <v>9.2639190528774122</v>
      </c>
      <c r="AX115" s="143">
        <f t="shared" si="302"/>
        <v>9.2639190528774122</v>
      </c>
      <c r="AY115" s="143">
        <f t="shared" si="302"/>
        <v>9.2639190528774122</v>
      </c>
      <c r="AZ115" s="143">
        <f t="shared" si="302"/>
        <v>9.2639190528774122</v>
      </c>
      <c r="BA115" s="143">
        <f t="shared" si="302"/>
        <v>9.2639190528774122</v>
      </c>
      <c r="BB115" s="143">
        <f t="shared" si="302"/>
        <v>9.2639190528774122</v>
      </c>
      <c r="BC115" s="143">
        <f t="shared" si="302"/>
        <v>9.2639190528774122</v>
      </c>
      <c r="BD115" s="143">
        <f t="shared" si="302"/>
        <v>9.2639190528774122</v>
      </c>
      <c r="BE115" s="143">
        <f t="shared" si="302"/>
        <v>9.2639190528774122</v>
      </c>
      <c r="BF115" s="143">
        <f t="shared" si="302"/>
        <v>9.2639190528774122</v>
      </c>
      <c r="BG115" s="143">
        <f t="shared" si="302"/>
        <v>9.2639190528774122</v>
      </c>
      <c r="BH115" s="143">
        <f t="shared" si="302"/>
        <v>9.2639190528774122</v>
      </c>
      <c r="BI115" s="143">
        <f t="shared" si="302"/>
        <v>9.2639190528774122</v>
      </c>
      <c r="BJ115" s="143">
        <f t="shared" si="302"/>
        <v>9.2639190528774122</v>
      </c>
      <c r="BK115" s="143">
        <f t="shared" si="302"/>
        <v>9.2639190528774122</v>
      </c>
      <c r="BL115" s="143">
        <f t="shared" si="302"/>
        <v>9.2639190528774122</v>
      </c>
      <c r="BM115" s="143">
        <f t="shared" si="61"/>
        <v>9.842542566908687</v>
      </c>
      <c r="BN115" s="143">
        <f t="shared" ref="BN115:CF115" si="303">BM115</f>
        <v>9.842542566908687</v>
      </c>
      <c r="BO115" s="143">
        <f t="shared" si="303"/>
        <v>9.842542566908687</v>
      </c>
      <c r="BP115" s="143">
        <f t="shared" si="303"/>
        <v>9.842542566908687</v>
      </c>
      <c r="BQ115" s="143">
        <f t="shared" si="303"/>
        <v>9.842542566908687</v>
      </c>
      <c r="BR115" s="143">
        <f t="shared" si="303"/>
        <v>9.842542566908687</v>
      </c>
      <c r="BS115" s="143">
        <f t="shared" si="303"/>
        <v>9.842542566908687</v>
      </c>
      <c r="BT115" s="143">
        <f t="shared" si="303"/>
        <v>9.842542566908687</v>
      </c>
      <c r="BU115" s="143">
        <f t="shared" si="303"/>
        <v>9.842542566908687</v>
      </c>
      <c r="BV115" s="143">
        <f t="shared" si="303"/>
        <v>9.842542566908687</v>
      </c>
      <c r="BW115" s="143">
        <f t="shared" si="303"/>
        <v>9.842542566908687</v>
      </c>
      <c r="BX115" s="143">
        <f t="shared" si="303"/>
        <v>9.842542566908687</v>
      </c>
      <c r="BY115" s="143">
        <f t="shared" si="303"/>
        <v>9.842542566908687</v>
      </c>
      <c r="BZ115" s="143">
        <f t="shared" si="303"/>
        <v>9.842542566908687</v>
      </c>
      <c r="CA115" s="143">
        <f t="shared" si="303"/>
        <v>9.842542566908687</v>
      </c>
      <c r="CB115" s="143">
        <f t="shared" si="303"/>
        <v>9.842542566908687</v>
      </c>
      <c r="CC115" s="143">
        <f t="shared" si="303"/>
        <v>9.842542566908687</v>
      </c>
      <c r="CD115" s="143">
        <f t="shared" si="303"/>
        <v>9.842542566908687</v>
      </c>
      <c r="CE115" s="143">
        <f t="shared" si="303"/>
        <v>9.842542566908687</v>
      </c>
      <c r="CF115" s="143">
        <f t="shared" si="303"/>
        <v>9.842542566908687</v>
      </c>
      <c r="CG115" s="143">
        <f t="shared" si="63"/>
        <v>10.333889145934323</v>
      </c>
      <c r="CH115" s="143">
        <f t="shared" ref="CH115:CP115" si="304">CG115</f>
        <v>10.333889145934323</v>
      </c>
      <c r="CI115" s="143">
        <f t="shared" si="304"/>
        <v>10.333889145934323</v>
      </c>
      <c r="CJ115" s="143">
        <f t="shared" si="304"/>
        <v>10.333889145934323</v>
      </c>
      <c r="CK115" s="143">
        <f t="shared" si="304"/>
        <v>10.333889145934323</v>
      </c>
      <c r="CL115" s="143">
        <f t="shared" si="304"/>
        <v>10.333889145934323</v>
      </c>
      <c r="CM115" s="143">
        <f t="shared" si="304"/>
        <v>10.333889145934323</v>
      </c>
      <c r="CN115" s="143">
        <f t="shared" si="304"/>
        <v>10.333889145934323</v>
      </c>
      <c r="CO115" s="143">
        <f t="shared" si="304"/>
        <v>10.333889145934323</v>
      </c>
      <c r="CP115" s="143">
        <f t="shared" si="304"/>
        <v>10.333889145934323</v>
      </c>
      <c r="CQ115" s="143">
        <f t="shared" si="65"/>
        <v>10.697732676888851</v>
      </c>
      <c r="CR115" s="143">
        <f t="shared" si="281"/>
        <v>10.697732676888851</v>
      </c>
      <c r="CS115" s="143">
        <f t="shared" si="281"/>
        <v>10.697732676888851</v>
      </c>
      <c r="CT115" s="143">
        <f t="shared" si="281"/>
        <v>10.697732676888851</v>
      </c>
      <c r="CU115" s="143">
        <f t="shared" si="281"/>
        <v>10.697732676888851</v>
      </c>
      <c r="CV115" s="143">
        <f t="shared" si="67"/>
        <v>11.241720234077242</v>
      </c>
      <c r="CW115" s="143">
        <f t="shared" si="282"/>
        <v>11.241720234077242</v>
      </c>
      <c r="CX115" s="143">
        <f t="shared" si="282"/>
        <v>11.241720234077242</v>
      </c>
      <c r="CY115" s="143">
        <f t="shared" si="282"/>
        <v>11.241720234077242</v>
      </c>
      <c r="CZ115" s="143">
        <f t="shared" si="69"/>
        <v>12.980025319691562</v>
      </c>
      <c r="DA115" s="60"/>
      <c r="DB115" s="143">
        <f t="shared" si="70"/>
        <v>9.8521942581485771</v>
      </c>
      <c r="DC115" s="143">
        <f t="shared" ref="DC115:DU115" si="305">DB115</f>
        <v>9.8521942581485771</v>
      </c>
      <c r="DD115" s="143">
        <f t="shared" si="305"/>
        <v>9.8521942581485771</v>
      </c>
      <c r="DE115" s="143">
        <f t="shared" si="305"/>
        <v>9.8521942581485771</v>
      </c>
      <c r="DF115" s="143">
        <f t="shared" si="305"/>
        <v>9.8521942581485771</v>
      </c>
      <c r="DG115" s="143">
        <f t="shared" si="305"/>
        <v>9.8521942581485771</v>
      </c>
      <c r="DH115" s="143">
        <f t="shared" si="305"/>
        <v>9.8521942581485771</v>
      </c>
      <c r="DI115" s="143">
        <f t="shared" si="305"/>
        <v>9.8521942581485771</v>
      </c>
      <c r="DJ115" s="143">
        <f t="shared" si="305"/>
        <v>9.8521942581485771</v>
      </c>
      <c r="DK115" s="143">
        <f t="shared" si="305"/>
        <v>9.8521942581485771</v>
      </c>
      <c r="DL115" s="143">
        <f t="shared" si="305"/>
        <v>9.8521942581485771</v>
      </c>
      <c r="DM115" s="143">
        <f t="shared" si="305"/>
        <v>9.8521942581485771</v>
      </c>
      <c r="DN115" s="143">
        <f t="shared" si="305"/>
        <v>9.8521942581485771</v>
      </c>
      <c r="DO115" s="143">
        <f t="shared" si="305"/>
        <v>9.8521942581485771</v>
      </c>
      <c r="DP115" s="143">
        <f t="shared" si="305"/>
        <v>9.8521942581485771</v>
      </c>
      <c r="DQ115" s="143">
        <f t="shared" si="305"/>
        <v>9.8521942581485771</v>
      </c>
      <c r="DR115" s="143">
        <f t="shared" si="305"/>
        <v>9.8521942581485771</v>
      </c>
      <c r="DS115" s="143">
        <f t="shared" si="305"/>
        <v>9.8521942581485771</v>
      </c>
      <c r="DT115" s="143">
        <f t="shared" si="305"/>
        <v>9.8521942581485771</v>
      </c>
      <c r="DU115" s="143">
        <f t="shared" si="305"/>
        <v>9.8521942581485771</v>
      </c>
      <c r="DV115" s="143">
        <f t="shared" si="72"/>
        <v>10.666627104916108</v>
      </c>
      <c r="DW115" s="143">
        <f t="shared" ref="DW115:EO115" si="306">DV115</f>
        <v>10.666627104916108</v>
      </c>
      <c r="DX115" s="143">
        <f t="shared" si="306"/>
        <v>10.666627104916108</v>
      </c>
      <c r="DY115" s="143">
        <f t="shared" si="306"/>
        <v>10.666627104916108</v>
      </c>
      <c r="DZ115" s="143">
        <f t="shared" si="306"/>
        <v>10.666627104916108</v>
      </c>
      <c r="EA115" s="143">
        <f t="shared" si="306"/>
        <v>10.666627104916108</v>
      </c>
      <c r="EB115" s="143">
        <f t="shared" si="306"/>
        <v>10.666627104916108</v>
      </c>
      <c r="EC115" s="143">
        <f t="shared" si="306"/>
        <v>10.666627104916108</v>
      </c>
      <c r="ED115" s="143">
        <f t="shared" si="306"/>
        <v>10.666627104916108</v>
      </c>
      <c r="EE115" s="143">
        <f t="shared" si="306"/>
        <v>10.666627104916108</v>
      </c>
      <c r="EF115" s="143">
        <f t="shared" si="306"/>
        <v>10.666627104916108</v>
      </c>
      <c r="EG115" s="143">
        <f t="shared" si="306"/>
        <v>10.666627104916108</v>
      </c>
      <c r="EH115" s="143">
        <f t="shared" si="306"/>
        <v>10.666627104916108</v>
      </c>
      <c r="EI115" s="143">
        <f t="shared" si="306"/>
        <v>10.666627104916108</v>
      </c>
      <c r="EJ115" s="143">
        <f t="shared" si="306"/>
        <v>10.666627104916108</v>
      </c>
      <c r="EK115" s="143">
        <f t="shared" si="306"/>
        <v>10.666627104916108</v>
      </c>
      <c r="EL115" s="143">
        <f t="shared" si="306"/>
        <v>10.666627104916108</v>
      </c>
      <c r="EM115" s="143">
        <f t="shared" si="306"/>
        <v>10.666627104916108</v>
      </c>
      <c r="EN115" s="143">
        <f t="shared" si="306"/>
        <v>10.666627104916108</v>
      </c>
      <c r="EO115" s="143">
        <f t="shared" si="306"/>
        <v>10.666627104916108</v>
      </c>
      <c r="EP115" s="143">
        <f t="shared" si="74"/>
        <v>11.115428526511241</v>
      </c>
      <c r="EQ115" s="143">
        <f t="shared" ref="EQ115:FI115" si="307">EP115</f>
        <v>11.115428526511241</v>
      </c>
      <c r="ER115" s="143">
        <f t="shared" si="307"/>
        <v>11.115428526511241</v>
      </c>
      <c r="ES115" s="143">
        <f t="shared" si="307"/>
        <v>11.115428526511241</v>
      </c>
      <c r="ET115" s="143">
        <f t="shared" si="307"/>
        <v>11.115428526511241</v>
      </c>
      <c r="EU115" s="143">
        <f t="shared" si="307"/>
        <v>11.115428526511241</v>
      </c>
      <c r="EV115" s="143">
        <f t="shared" si="307"/>
        <v>11.115428526511241</v>
      </c>
      <c r="EW115" s="143">
        <f t="shared" si="307"/>
        <v>11.115428526511241</v>
      </c>
      <c r="EX115" s="143">
        <f t="shared" si="307"/>
        <v>11.115428526511241</v>
      </c>
      <c r="EY115" s="143">
        <f t="shared" si="307"/>
        <v>11.115428526511241</v>
      </c>
      <c r="EZ115" s="143">
        <f t="shared" si="307"/>
        <v>11.115428526511241</v>
      </c>
      <c r="FA115" s="143">
        <f t="shared" si="307"/>
        <v>11.115428526511241</v>
      </c>
      <c r="FB115" s="143">
        <f t="shared" si="307"/>
        <v>11.115428526511241</v>
      </c>
      <c r="FC115" s="143">
        <f t="shared" si="307"/>
        <v>11.115428526511241</v>
      </c>
      <c r="FD115" s="143">
        <f t="shared" si="307"/>
        <v>11.115428526511241</v>
      </c>
      <c r="FE115" s="143">
        <f t="shared" si="307"/>
        <v>11.115428526511241</v>
      </c>
      <c r="FF115" s="143">
        <f t="shared" si="307"/>
        <v>11.115428526511241</v>
      </c>
      <c r="FG115" s="143">
        <f t="shared" si="307"/>
        <v>11.115428526511241</v>
      </c>
      <c r="FH115" s="143">
        <f t="shared" si="307"/>
        <v>11.115428526511241</v>
      </c>
      <c r="FI115" s="143">
        <f t="shared" si="307"/>
        <v>11.115428526511241</v>
      </c>
      <c r="FJ115" s="143">
        <f t="shared" si="76"/>
        <v>11.487607656985938</v>
      </c>
      <c r="FK115" s="143">
        <f t="shared" ref="FK115:GC115" si="308">FJ115</f>
        <v>11.487607656985938</v>
      </c>
      <c r="FL115" s="143">
        <f t="shared" si="308"/>
        <v>11.487607656985938</v>
      </c>
      <c r="FM115" s="143">
        <f t="shared" si="308"/>
        <v>11.487607656985938</v>
      </c>
      <c r="FN115" s="143">
        <f t="shared" si="308"/>
        <v>11.487607656985938</v>
      </c>
      <c r="FO115" s="143">
        <f t="shared" si="308"/>
        <v>11.487607656985938</v>
      </c>
      <c r="FP115" s="143">
        <f t="shared" si="308"/>
        <v>11.487607656985938</v>
      </c>
      <c r="FQ115" s="143">
        <f t="shared" si="308"/>
        <v>11.487607656985938</v>
      </c>
      <c r="FR115" s="143">
        <f t="shared" si="308"/>
        <v>11.487607656985938</v>
      </c>
      <c r="FS115" s="143">
        <f t="shared" si="308"/>
        <v>11.487607656985938</v>
      </c>
      <c r="FT115" s="143">
        <f t="shared" si="308"/>
        <v>11.487607656985938</v>
      </c>
      <c r="FU115" s="143">
        <f t="shared" si="308"/>
        <v>11.487607656985938</v>
      </c>
      <c r="FV115" s="143">
        <f t="shared" si="308"/>
        <v>11.487607656985938</v>
      </c>
      <c r="FW115" s="143">
        <f t="shared" si="308"/>
        <v>11.487607656985938</v>
      </c>
      <c r="FX115" s="143">
        <f t="shared" si="308"/>
        <v>11.487607656985938</v>
      </c>
      <c r="FY115" s="143">
        <f t="shared" si="308"/>
        <v>11.487607656985938</v>
      </c>
      <c r="FZ115" s="143">
        <f t="shared" si="308"/>
        <v>11.487607656985938</v>
      </c>
      <c r="GA115" s="143">
        <f t="shared" si="308"/>
        <v>11.487607656985938</v>
      </c>
      <c r="GB115" s="143">
        <f t="shared" si="308"/>
        <v>11.487607656985938</v>
      </c>
      <c r="GC115" s="143">
        <f t="shared" si="308"/>
        <v>11.487607656985938</v>
      </c>
      <c r="GD115" s="143">
        <f t="shared" si="78"/>
        <v>11.825544022712041</v>
      </c>
      <c r="GE115" s="143">
        <f t="shared" ref="GE115:GM115" si="309">GD115</f>
        <v>11.825544022712041</v>
      </c>
      <c r="GF115" s="143">
        <f t="shared" si="309"/>
        <v>11.825544022712041</v>
      </c>
      <c r="GG115" s="143">
        <f t="shared" si="309"/>
        <v>11.825544022712041</v>
      </c>
      <c r="GH115" s="143">
        <f t="shared" si="309"/>
        <v>11.825544022712041</v>
      </c>
      <c r="GI115" s="143">
        <f t="shared" si="309"/>
        <v>11.825544022712041</v>
      </c>
      <c r="GJ115" s="143">
        <f t="shared" si="309"/>
        <v>11.825544022712041</v>
      </c>
      <c r="GK115" s="143">
        <f t="shared" si="309"/>
        <v>11.825544022712041</v>
      </c>
      <c r="GL115" s="143">
        <f t="shared" si="309"/>
        <v>11.825544022712041</v>
      </c>
      <c r="GM115" s="143">
        <f t="shared" si="309"/>
        <v>11.825544022712041</v>
      </c>
      <c r="GN115" s="143">
        <f t="shared" si="80"/>
        <v>12.100156419938624</v>
      </c>
      <c r="GO115" s="143">
        <f t="shared" si="288"/>
        <v>12.100156419938624</v>
      </c>
      <c r="GP115" s="143">
        <f t="shared" si="288"/>
        <v>12.100156419938624</v>
      </c>
      <c r="GQ115" s="143">
        <f t="shared" si="288"/>
        <v>12.100156419938624</v>
      </c>
      <c r="GR115" s="143">
        <f t="shared" si="288"/>
        <v>12.100156419938624</v>
      </c>
      <c r="GS115" s="143">
        <f t="shared" si="82"/>
        <v>12.558488532548523</v>
      </c>
      <c r="GT115" s="143">
        <f t="shared" si="289"/>
        <v>12.558488532548523</v>
      </c>
      <c r="GU115" s="143">
        <f t="shared" si="289"/>
        <v>12.558488532548523</v>
      </c>
      <c r="GV115" s="143">
        <f t="shared" si="289"/>
        <v>12.558488532548523</v>
      </c>
      <c r="GW115" s="143">
        <f t="shared" si="84"/>
        <v>14.119459602879926</v>
      </c>
    </row>
    <row r="116" spans="1:205" s="46" customFormat="1" ht="9.75" customHeight="1">
      <c r="A116" s="60">
        <v>2002</v>
      </c>
      <c r="B116" s="143">
        <f t="shared" si="85"/>
        <v>0.59868921625498928</v>
      </c>
      <c r="C116" s="143">
        <f t="shared" si="54"/>
        <v>0.98938824338017228</v>
      </c>
      <c r="D116" s="60"/>
      <c r="E116" s="143">
        <f t="shared" si="55"/>
        <v>6.959208560571053</v>
      </c>
      <c r="F116" s="143">
        <f t="shared" ref="F116:X116" si="310">E116</f>
        <v>6.959208560571053</v>
      </c>
      <c r="G116" s="143">
        <f t="shared" si="310"/>
        <v>6.959208560571053</v>
      </c>
      <c r="H116" s="143">
        <f t="shared" si="310"/>
        <v>6.959208560571053</v>
      </c>
      <c r="I116" s="143">
        <f t="shared" si="310"/>
        <v>6.959208560571053</v>
      </c>
      <c r="J116" s="143">
        <f t="shared" si="310"/>
        <v>6.959208560571053</v>
      </c>
      <c r="K116" s="143">
        <f t="shared" si="310"/>
        <v>6.959208560571053</v>
      </c>
      <c r="L116" s="143">
        <f t="shared" si="310"/>
        <v>6.959208560571053</v>
      </c>
      <c r="M116" s="143">
        <f t="shared" si="310"/>
        <v>6.959208560571053</v>
      </c>
      <c r="N116" s="143">
        <f t="shared" si="310"/>
        <v>6.959208560571053</v>
      </c>
      <c r="O116" s="143">
        <f t="shared" si="310"/>
        <v>6.959208560571053</v>
      </c>
      <c r="P116" s="143">
        <f t="shared" si="310"/>
        <v>6.959208560571053</v>
      </c>
      <c r="Q116" s="143">
        <f t="shared" si="310"/>
        <v>6.959208560571053</v>
      </c>
      <c r="R116" s="143">
        <f t="shared" si="310"/>
        <v>6.959208560571053</v>
      </c>
      <c r="S116" s="143">
        <f t="shared" si="310"/>
        <v>6.959208560571053</v>
      </c>
      <c r="T116" s="143">
        <f t="shared" si="310"/>
        <v>6.959208560571053</v>
      </c>
      <c r="U116" s="143">
        <f t="shared" si="310"/>
        <v>6.959208560571053</v>
      </c>
      <c r="V116" s="143">
        <f t="shared" si="310"/>
        <v>6.959208560571053</v>
      </c>
      <c r="W116" s="143">
        <f t="shared" si="310"/>
        <v>6.959208560571053</v>
      </c>
      <c r="X116" s="143">
        <f t="shared" si="310"/>
        <v>6.959208560571053</v>
      </c>
      <c r="Y116" s="143">
        <f t="shared" si="57"/>
        <v>8.433376705323127</v>
      </c>
      <c r="Z116" s="143">
        <f t="shared" ref="Z116:AR116" si="311">Y116</f>
        <v>8.433376705323127</v>
      </c>
      <c r="AA116" s="143">
        <f t="shared" si="311"/>
        <v>8.433376705323127</v>
      </c>
      <c r="AB116" s="143">
        <f t="shared" si="311"/>
        <v>8.433376705323127</v>
      </c>
      <c r="AC116" s="143">
        <f t="shared" si="311"/>
        <v>8.433376705323127</v>
      </c>
      <c r="AD116" s="143">
        <f t="shared" si="311"/>
        <v>8.433376705323127</v>
      </c>
      <c r="AE116" s="143">
        <f t="shared" si="311"/>
        <v>8.433376705323127</v>
      </c>
      <c r="AF116" s="143">
        <f t="shared" si="311"/>
        <v>8.433376705323127</v>
      </c>
      <c r="AG116" s="143">
        <f t="shared" si="311"/>
        <v>8.433376705323127</v>
      </c>
      <c r="AH116" s="143">
        <f t="shared" si="311"/>
        <v>8.433376705323127</v>
      </c>
      <c r="AI116" s="143">
        <f t="shared" si="311"/>
        <v>8.433376705323127</v>
      </c>
      <c r="AJ116" s="143">
        <f t="shared" si="311"/>
        <v>8.433376705323127</v>
      </c>
      <c r="AK116" s="143">
        <f t="shared" si="311"/>
        <v>8.433376705323127</v>
      </c>
      <c r="AL116" s="143">
        <f t="shared" si="311"/>
        <v>8.433376705323127</v>
      </c>
      <c r="AM116" s="143">
        <f t="shared" si="311"/>
        <v>8.433376705323127</v>
      </c>
      <c r="AN116" s="143">
        <f t="shared" si="311"/>
        <v>8.433376705323127</v>
      </c>
      <c r="AO116" s="143">
        <f t="shared" si="311"/>
        <v>8.433376705323127</v>
      </c>
      <c r="AP116" s="143">
        <f t="shared" si="311"/>
        <v>8.433376705323127</v>
      </c>
      <c r="AQ116" s="143">
        <f t="shared" si="311"/>
        <v>8.433376705323127</v>
      </c>
      <c r="AR116" s="143">
        <f t="shared" si="311"/>
        <v>8.433376705323127</v>
      </c>
      <c r="AS116" s="143">
        <f t="shared" si="59"/>
        <v>9.2038996751461966</v>
      </c>
      <c r="AT116" s="143">
        <f t="shared" ref="AT116:BL116" si="312">AS116</f>
        <v>9.2038996751461966</v>
      </c>
      <c r="AU116" s="143">
        <f t="shared" si="312"/>
        <v>9.2038996751461966</v>
      </c>
      <c r="AV116" s="143">
        <f t="shared" si="312"/>
        <v>9.2038996751461966</v>
      </c>
      <c r="AW116" s="143">
        <f t="shared" si="312"/>
        <v>9.2038996751461966</v>
      </c>
      <c r="AX116" s="143">
        <f t="shared" si="312"/>
        <v>9.2038996751461966</v>
      </c>
      <c r="AY116" s="143">
        <f t="shared" si="312"/>
        <v>9.2038996751461966</v>
      </c>
      <c r="AZ116" s="143">
        <f t="shared" si="312"/>
        <v>9.2038996751461966</v>
      </c>
      <c r="BA116" s="143">
        <f t="shared" si="312"/>
        <v>9.2038996751461966</v>
      </c>
      <c r="BB116" s="143">
        <f t="shared" si="312"/>
        <v>9.2038996751461966</v>
      </c>
      <c r="BC116" s="143">
        <f t="shared" si="312"/>
        <v>9.2038996751461966</v>
      </c>
      <c r="BD116" s="143">
        <f t="shared" si="312"/>
        <v>9.2038996751461966</v>
      </c>
      <c r="BE116" s="143">
        <f t="shared" si="312"/>
        <v>9.2038996751461966</v>
      </c>
      <c r="BF116" s="143">
        <f t="shared" si="312"/>
        <v>9.2038996751461966</v>
      </c>
      <c r="BG116" s="143">
        <f t="shared" si="312"/>
        <v>9.2038996751461966</v>
      </c>
      <c r="BH116" s="143">
        <f t="shared" si="312"/>
        <v>9.2038996751461966</v>
      </c>
      <c r="BI116" s="143">
        <f t="shared" si="312"/>
        <v>9.2038996751461966</v>
      </c>
      <c r="BJ116" s="143">
        <f t="shared" si="312"/>
        <v>9.2038996751461966</v>
      </c>
      <c r="BK116" s="143">
        <f t="shared" si="312"/>
        <v>9.2038996751461966</v>
      </c>
      <c r="BL116" s="143">
        <f t="shared" si="312"/>
        <v>9.2038996751461966</v>
      </c>
      <c r="BM116" s="143">
        <f t="shared" si="61"/>
        <v>9.7826185100551388</v>
      </c>
      <c r="BN116" s="143">
        <f t="shared" ref="BN116:CF116" si="313">BM116</f>
        <v>9.7826185100551388</v>
      </c>
      <c r="BO116" s="143">
        <f t="shared" si="313"/>
        <v>9.7826185100551388</v>
      </c>
      <c r="BP116" s="143">
        <f t="shared" si="313"/>
        <v>9.7826185100551388</v>
      </c>
      <c r="BQ116" s="143">
        <f t="shared" si="313"/>
        <v>9.7826185100551388</v>
      </c>
      <c r="BR116" s="143">
        <f t="shared" si="313"/>
        <v>9.7826185100551388</v>
      </c>
      <c r="BS116" s="143">
        <f t="shared" si="313"/>
        <v>9.7826185100551388</v>
      </c>
      <c r="BT116" s="143">
        <f t="shared" si="313"/>
        <v>9.7826185100551388</v>
      </c>
      <c r="BU116" s="143">
        <f t="shared" si="313"/>
        <v>9.7826185100551388</v>
      </c>
      <c r="BV116" s="143">
        <f t="shared" si="313"/>
        <v>9.7826185100551388</v>
      </c>
      <c r="BW116" s="143">
        <f t="shared" si="313"/>
        <v>9.7826185100551388</v>
      </c>
      <c r="BX116" s="143">
        <f t="shared" si="313"/>
        <v>9.7826185100551388</v>
      </c>
      <c r="BY116" s="143">
        <f t="shared" si="313"/>
        <v>9.7826185100551388</v>
      </c>
      <c r="BZ116" s="143">
        <f t="shared" si="313"/>
        <v>9.7826185100551388</v>
      </c>
      <c r="CA116" s="143">
        <f t="shared" si="313"/>
        <v>9.7826185100551388</v>
      </c>
      <c r="CB116" s="143">
        <f t="shared" si="313"/>
        <v>9.7826185100551388</v>
      </c>
      <c r="CC116" s="143">
        <f t="shared" si="313"/>
        <v>9.7826185100551388</v>
      </c>
      <c r="CD116" s="143">
        <f t="shared" si="313"/>
        <v>9.7826185100551388</v>
      </c>
      <c r="CE116" s="143">
        <f t="shared" si="313"/>
        <v>9.7826185100551388</v>
      </c>
      <c r="CF116" s="143">
        <f t="shared" si="313"/>
        <v>9.7826185100551388</v>
      </c>
      <c r="CG116" s="143">
        <f t="shared" si="63"/>
        <v>10.285315490878139</v>
      </c>
      <c r="CH116" s="143">
        <f t="shared" ref="CH116:CP116" si="314">CG116</f>
        <v>10.285315490878139</v>
      </c>
      <c r="CI116" s="143">
        <f t="shared" si="314"/>
        <v>10.285315490878139</v>
      </c>
      <c r="CJ116" s="143">
        <f t="shared" si="314"/>
        <v>10.285315490878139</v>
      </c>
      <c r="CK116" s="143">
        <f t="shared" si="314"/>
        <v>10.285315490878139</v>
      </c>
      <c r="CL116" s="143">
        <f t="shared" si="314"/>
        <v>10.285315490878139</v>
      </c>
      <c r="CM116" s="143">
        <f t="shared" si="314"/>
        <v>10.285315490878139</v>
      </c>
      <c r="CN116" s="143">
        <f t="shared" si="314"/>
        <v>10.285315490878139</v>
      </c>
      <c r="CO116" s="143">
        <f t="shared" si="314"/>
        <v>10.285315490878139</v>
      </c>
      <c r="CP116" s="143">
        <f t="shared" si="314"/>
        <v>10.285315490878139</v>
      </c>
      <c r="CQ116" s="143">
        <f t="shared" si="65"/>
        <v>10.650677743546954</v>
      </c>
      <c r="CR116" s="143">
        <f t="shared" si="281"/>
        <v>10.650677743546954</v>
      </c>
      <c r="CS116" s="143">
        <f t="shared" si="281"/>
        <v>10.650677743546954</v>
      </c>
      <c r="CT116" s="143">
        <f t="shared" si="281"/>
        <v>10.650677743546954</v>
      </c>
      <c r="CU116" s="143">
        <f t="shared" si="281"/>
        <v>10.650677743546954</v>
      </c>
      <c r="CV116" s="143">
        <f t="shared" si="67"/>
        <v>11.174724535019328</v>
      </c>
      <c r="CW116" s="143">
        <f t="shared" si="282"/>
        <v>11.174724535019328</v>
      </c>
      <c r="CX116" s="143">
        <f t="shared" si="282"/>
        <v>11.174724535019328</v>
      </c>
      <c r="CY116" s="143">
        <f t="shared" si="282"/>
        <v>11.174724535019328</v>
      </c>
      <c r="CZ116" s="143">
        <f t="shared" si="69"/>
        <v>12.856017657451481</v>
      </c>
      <c r="DA116" s="60"/>
      <c r="DB116" s="143">
        <f t="shared" si="70"/>
        <v>9.8416121488180401</v>
      </c>
      <c r="DC116" s="143">
        <f t="shared" ref="DC116:DU116" si="315">DB116</f>
        <v>9.8416121488180401</v>
      </c>
      <c r="DD116" s="143">
        <f t="shared" si="315"/>
        <v>9.8416121488180401</v>
      </c>
      <c r="DE116" s="143">
        <f t="shared" si="315"/>
        <v>9.8416121488180401</v>
      </c>
      <c r="DF116" s="143">
        <f t="shared" si="315"/>
        <v>9.8416121488180401</v>
      </c>
      <c r="DG116" s="143">
        <f t="shared" si="315"/>
        <v>9.8416121488180401</v>
      </c>
      <c r="DH116" s="143">
        <f t="shared" si="315"/>
        <v>9.8416121488180401</v>
      </c>
      <c r="DI116" s="143">
        <f t="shared" si="315"/>
        <v>9.8416121488180401</v>
      </c>
      <c r="DJ116" s="143">
        <f t="shared" si="315"/>
        <v>9.8416121488180401</v>
      </c>
      <c r="DK116" s="143">
        <f t="shared" si="315"/>
        <v>9.8416121488180401</v>
      </c>
      <c r="DL116" s="143">
        <f t="shared" si="315"/>
        <v>9.8416121488180401</v>
      </c>
      <c r="DM116" s="143">
        <f t="shared" si="315"/>
        <v>9.8416121488180401</v>
      </c>
      <c r="DN116" s="143">
        <f t="shared" si="315"/>
        <v>9.8416121488180401</v>
      </c>
      <c r="DO116" s="143">
        <f t="shared" si="315"/>
        <v>9.8416121488180401</v>
      </c>
      <c r="DP116" s="143">
        <f t="shared" si="315"/>
        <v>9.8416121488180401</v>
      </c>
      <c r="DQ116" s="143">
        <f t="shared" si="315"/>
        <v>9.8416121488180401</v>
      </c>
      <c r="DR116" s="143">
        <f t="shared" si="315"/>
        <v>9.8416121488180401</v>
      </c>
      <c r="DS116" s="143">
        <f t="shared" si="315"/>
        <v>9.8416121488180401</v>
      </c>
      <c r="DT116" s="143">
        <f t="shared" si="315"/>
        <v>9.8416121488180401</v>
      </c>
      <c r="DU116" s="143">
        <f t="shared" si="315"/>
        <v>9.8416121488180401</v>
      </c>
      <c r="DV116" s="143">
        <f t="shared" si="72"/>
        <v>10.640651618512848</v>
      </c>
      <c r="DW116" s="143">
        <f t="shared" ref="DW116:EO116" si="316">DV116</f>
        <v>10.640651618512848</v>
      </c>
      <c r="DX116" s="143">
        <f t="shared" si="316"/>
        <v>10.640651618512848</v>
      </c>
      <c r="DY116" s="143">
        <f t="shared" si="316"/>
        <v>10.640651618512848</v>
      </c>
      <c r="DZ116" s="143">
        <f t="shared" si="316"/>
        <v>10.640651618512848</v>
      </c>
      <c r="EA116" s="143">
        <f t="shared" si="316"/>
        <v>10.640651618512848</v>
      </c>
      <c r="EB116" s="143">
        <f t="shared" si="316"/>
        <v>10.640651618512848</v>
      </c>
      <c r="EC116" s="143">
        <f t="shared" si="316"/>
        <v>10.640651618512848</v>
      </c>
      <c r="ED116" s="143">
        <f t="shared" si="316"/>
        <v>10.640651618512848</v>
      </c>
      <c r="EE116" s="143">
        <f t="shared" si="316"/>
        <v>10.640651618512848</v>
      </c>
      <c r="EF116" s="143">
        <f t="shared" si="316"/>
        <v>10.640651618512848</v>
      </c>
      <c r="EG116" s="143">
        <f t="shared" si="316"/>
        <v>10.640651618512848</v>
      </c>
      <c r="EH116" s="143">
        <f t="shared" si="316"/>
        <v>10.640651618512848</v>
      </c>
      <c r="EI116" s="143">
        <f t="shared" si="316"/>
        <v>10.640651618512848</v>
      </c>
      <c r="EJ116" s="143">
        <f t="shared" si="316"/>
        <v>10.640651618512848</v>
      </c>
      <c r="EK116" s="143">
        <f t="shared" si="316"/>
        <v>10.640651618512848</v>
      </c>
      <c r="EL116" s="143">
        <f t="shared" si="316"/>
        <v>10.640651618512848</v>
      </c>
      <c r="EM116" s="143">
        <f t="shared" si="316"/>
        <v>10.640651618512848</v>
      </c>
      <c r="EN116" s="143">
        <f t="shared" si="316"/>
        <v>10.640651618512848</v>
      </c>
      <c r="EO116" s="143">
        <f t="shared" si="316"/>
        <v>10.640651618512848</v>
      </c>
      <c r="EP116" s="143">
        <f t="shared" si="74"/>
        <v>11.094375117313408</v>
      </c>
      <c r="EQ116" s="143">
        <f t="shared" ref="EQ116:FI116" si="317">EP116</f>
        <v>11.094375117313408</v>
      </c>
      <c r="ER116" s="143">
        <f t="shared" si="317"/>
        <v>11.094375117313408</v>
      </c>
      <c r="ES116" s="143">
        <f t="shared" si="317"/>
        <v>11.094375117313408</v>
      </c>
      <c r="ET116" s="143">
        <f t="shared" si="317"/>
        <v>11.094375117313408</v>
      </c>
      <c r="EU116" s="143">
        <f t="shared" si="317"/>
        <v>11.094375117313408</v>
      </c>
      <c r="EV116" s="143">
        <f t="shared" si="317"/>
        <v>11.094375117313408</v>
      </c>
      <c r="EW116" s="143">
        <f t="shared" si="317"/>
        <v>11.094375117313408</v>
      </c>
      <c r="EX116" s="143">
        <f t="shared" si="317"/>
        <v>11.094375117313408</v>
      </c>
      <c r="EY116" s="143">
        <f t="shared" si="317"/>
        <v>11.094375117313408</v>
      </c>
      <c r="EZ116" s="143">
        <f t="shared" si="317"/>
        <v>11.094375117313408</v>
      </c>
      <c r="FA116" s="143">
        <f t="shared" si="317"/>
        <v>11.094375117313408</v>
      </c>
      <c r="FB116" s="143">
        <f t="shared" si="317"/>
        <v>11.094375117313408</v>
      </c>
      <c r="FC116" s="143">
        <f t="shared" si="317"/>
        <v>11.094375117313408</v>
      </c>
      <c r="FD116" s="143">
        <f t="shared" si="317"/>
        <v>11.094375117313408</v>
      </c>
      <c r="FE116" s="143">
        <f t="shared" si="317"/>
        <v>11.094375117313408</v>
      </c>
      <c r="FF116" s="143">
        <f t="shared" si="317"/>
        <v>11.094375117313408</v>
      </c>
      <c r="FG116" s="143">
        <f t="shared" si="317"/>
        <v>11.094375117313408</v>
      </c>
      <c r="FH116" s="143">
        <f t="shared" si="317"/>
        <v>11.094375117313408</v>
      </c>
      <c r="FI116" s="143">
        <f t="shared" si="317"/>
        <v>11.094375117313408</v>
      </c>
      <c r="FJ116" s="143">
        <f t="shared" si="76"/>
        <v>11.470017963958952</v>
      </c>
      <c r="FK116" s="143">
        <f t="shared" ref="FK116:GC116" si="318">FJ116</f>
        <v>11.470017963958952</v>
      </c>
      <c r="FL116" s="143">
        <f t="shared" si="318"/>
        <v>11.470017963958952</v>
      </c>
      <c r="FM116" s="143">
        <f t="shared" si="318"/>
        <v>11.470017963958952</v>
      </c>
      <c r="FN116" s="143">
        <f t="shared" si="318"/>
        <v>11.470017963958952</v>
      </c>
      <c r="FO116" s="143">
        <f t="shared" si="318"/>
        <v>11.470017963958952</v>
      </c>
      <c r="FP116" s="143">
        <f t="shared" si="318"/>
        <v>11.470017963958952</v>
      </c>
      <c r="FQ116" s="143">
        <f t="shared" si="318"/>
        <v>11.470017963958952</v>
      </c>
      <c r="FR116" s="143">
        <f t="shared" si="318"/>
        <v>11.470017963958952</v>
      </c>
      <c r="FS116" s="143">
        <f t="shared" si="318"/>
        <v>11.470017963958952</v>
      </c>
      <c r="FT116" s="143">
        <f t="shared" si="318"/>
        <v>11.470017963958952</v>
      </c>
      <c r="FU116" s="143">
        <f t="shared" si="318"/>
        <v>11.470017963958952</v>
      </c>
      <c r="FV116" s="143">
        <f t="shared" si="318"/>
        <v>11.470017963958952</v>
      </c>
      <c r="FW116" s="143">
        <f t="shared" si="318"/>
        <v>11.470017963958952</v>
      </c>
      <c r="FX116" s="143">
        <f t="shared" si="318"/>
        <v>11.470017963958952</v>
      </c>
      <c r="FY116" s="143">
        <f t="shared" si="318"/>
        <v>11.470017963958952</v>
      </c>
      <c r="FZ116" s="143">
        <f t="shared" si="318"/>
        <v>11.470017963958952</v>
      </c>
      <c r="GA116" s="143">
        <f t="shared" si="318"/>
        <v>11.470017963958952</v>
      </c>
      <c r="GB116" s="143">
        <f t="shared" si="318"/>
        <v>11.470017963958952</v>
      </c>
      <c r="GC116" s="143">
        <f t="shared" si="318"/>
        <v>11.470017963958952</v>
      </c>
      <c r="GD116" s="143">
        <f t="shared" si="78"/>
        <v>11.808575707071187</v>
      </c>
      <c r="GE116" s="143">
        <f t="shared" ref="GE116:GM116" si="319">GD116</f>
        <v>11.808575707071187</v>
      </c>
      <c r="GF116" s="143">
        <f t="shared" si="319"/>
        <v>11.808575707071187</v>
      </c>
      <c r="GG116" s="143">
        <f t="shared" si="319"/>
        <v>11.808575707071187</v>
      </c>
      <c r="GH116" s="143">
        <f t="shared" si="319"/>
        <v>11.808575707071187</v>
      </c>
      <c r="GI116" s="143">
        <f t="shared" si="319"/>
        <v>11.808575707071187</v>
      </c>
      <c r="GJ116" s="143">
        <f t="shared" si="319"/>
        <v>11.808575707071187</v>
      </c>
      <c r="GK116" s="143">
        <f t="shared" si="319"/>
        <v>11.808575707071187</v>
      </c>
      <c r="GL116" s="143">
        <f t="shared" si="319"/>
        <v>11.808575707071187</v>
      </c>
      <c r="GM116" s="143">
        <f t="shared" si="319"/>
        <v>11.808575707071187</v>
      </c>
      <c r="GN116" s="143">
        <f t="shared" si="80"/>
        <v>12.086162348857616</v>
      </c>
      <c r="GO116" s="143">
        <f t="shared" si="288"/>
        <v>12.086162348857616</v>
      </c>
      <c r="GP116" s="143">
        <f t="shared" si="288"/>
        <v>12.086162348857616</v>
      </c>
      <c r="GQ116" s="143">
        <f t="shared" si="288"/>
        <v>12.086162348857616</v>
      </c>
      <c r="GR116" s="143">
        <f t="shared" si="288"/>
        <v>12.086162348857616</v>
      </c>
      <c r="GS116" s="143">
        <f t="shared" si="82"/>
        <v>12.517959406678772</v>
      </c>
      <c r="GT116" s="143">
        <f t="shared" si="289"/>
        <v>12.517959406678772</v>
      </c>
      <c r="GU116" s="143">
        <f t="shared" si="289"/>
        <v>12.517959406678772</v>
      </c>
      <c r="GV116" s="143">
        <f t="shared" si="289"/>
        <v>12.517959406678772</v>
      </c>
      <c r="GW116" s="143">
        <f t="shared" si="84"/>
        <v>13.998581833648775</v>
      </c>
    </row>
    <row r="117" spans="1:205" s="46" customFormat="1" ht="9.75" customHeight="1">
      <c r="A117" s="60">
        <v>2003</v>
      </c>
      <c r="B117" s="143">
        <f t="shared" si="85"/>
        <v>0.57032237651560158</v>
      </c>
      <c r="C117" s="143">
        <f t="shared" si="54"/>
        <v>0.99146588793558221</v>
      </c>
      <c r="D117" s="60"/>
      <c r="E117" s="143">
        <f t="shared" si="55"/>
        <v>6.9608219999188297</v>
      </c>
      <c r="F117" s="143">
        <f t="shared" ref="F117:X117" si="320">E117</f>
        <v>6.9608219999188297</v>
      </c>
      <c r="G117" s="143">
        <f t="shared" si="320"/>
        <v>6.9608219999188297</v>
      </c>
      <c r="H117" s="143">
        <f t="shared" si="320"/>
        <v>6.9608219999188297</v>
      </c>
      <c r="I117" s="143">
        <f t="shared" si="320"/>
        <v>6.9608219999188297</v>
      </c>
      <c r="J117" s="143">
        <f t="shared" si="320"/>
        <v>6.9608219999188297</v>
      </c>
      <c r="K117" s="143">
        <f t="shared" si="320"/>
        <v>6.9608219999188297</v>
      </c>
      <c r="L117" s="143">
        <f t="shared" si="320"/>
        <v>6.9608219999188297</v>
      </c>
      <c r="M117" s="143">
        <f t="shared" si="320"/>
        <v>6.9608219999188297</v>
      </c>
      <c r="N117" s="143">
        <f t="shared" si="320"/>
        <v>6.9608219999188297</v>
      </c>
      <c r="O117" s="143">
        <f t="shared" si="320"/>
        <v>6.9608219999188297</v>
      </c>
      <c r="P117" s="143">
        <f t="shared" si="320"/>
        <v>6.9608219999188297</v>
      </c>
      <c r="Q117" s="143">
        <f t="shared" si="320"/>
        <v>6.9608219999188297</v>
      </c>
      <c r="R117" s="143">
        <f t="shared" si="320"/>
        <v>6.9608219999188297</v>
      </c>
      <c r="S117" s="143">
        <f t="shared" si="320"/>
        <v>6.9608219999188297</v>
      </c>
      <c r="T117" s="143">
        <f t="shared" si="320"/>
        <v>6.9608219999188297</v>
      </c>
      <c r="U117" s="143">
        <f t="shared" si="320"/>
        <v>6.9608219999188297</v>
      </c>
      <c r="V117" s="143">
        <f t="shared" si="320"/>
        <v>6.9608219999188297</v>
      </c>
      <c r="W117" s="143">
        <f t="shared" si="320"/>
        <v>6.9608219999188297</v>
      </c>
      <c r="X117" s="143">
        <f t="shared" si="320"/>
        <v>6.9608219999188297</v>
      </c>
      <c r="Y117" s="143">
        <f t="shared" si="57"/>
        <v>8.3384013976725289</v>
      </c>
      <c r="Z117" s="143">
        <f t="shared" ref="Z117:AR117" si="321">Y117</f>
        <v>8.3384013976725289</v>
      </c>
      <c r="AA117" s="143">
        <f t="shared" si="321"/>
        <v>8.3384013976725289</v>
      </c>
      <c r="AB117" s="143">
        <f t="shared" si="321"/>
        <v>8.3384013976725289</v>
      </c>
      <c r="AC117" s="143">
        <f t="shared" si="321"/>
        <v>8.3384013976725289</v>
      </c>
      <c r="AD117" s="143">
        <f t="shared" si="321"/>
        <v>8.3384013976725289</v>
      </c>
      <c r="AE117" s="143">
        <f t="shared" si="321"/>
        <v>8.3384013976725289</v>
      </c>
      <c r="AF117" s="143">
        <f t="shared" si="321"/>
        <v>8.3384013976725289</v>
      </c>
      <c r="AG117" s="143">
        <f t="shared" si="321"/>
        <v>8.3384013976725289</v>
      </c>
      <c r="AH117" s="143">
        <f t="shared" si="321"/>
        <v>8.3384013976725289</v>
      </c>
      <c r="AI117" s="143">
        <f t="shared" si="321"/>
        <v>8.3384013976725289</v>
      </c>
      <c r="AJ117" s="143">
        <f t="shared" si="321"/>
        <v>8.3384013976725289</v>
      </c>
      <c r="AK117" s="143">
        <f t="shared" si="321"/>
        <v>8.3384013976725289</v>
      </c>
      <c r="AL117" s="143">
        <f t="shared" si="321"/>
        <v>8.3384013976725289</v>
      </c>
      <c r="AM117" s="143">
        <f t="shared" si="321"/>
        <v>8.3384013976725289</v>
      </c>
      <c r="AN117" s="143">
        <f t="shared" si="321"/>
        <v>8.3384013976725289</v>
      </c>
      <c r="AO117" s="143">
        <f t="shared" si="321"/>
        <v>8.3384013976725289</v>
      </c>
      <c r="AP117" s="143">
        <f t="shared" si="321"/>
        <v>8.3384013976725289</v>
      </c>
      <c r="AQ117" s="143">
        <f t="shared" si="321"/>
        <v>8.3384013976725289</v>
      </c>
      <c r="AR117" s="143">
        <f t="shared" si="321"/>
        <v>8.3384013976725289</v>
      </c>
      <c r="AS117" s="143">
        <f t="shared" si="59"/>
        <v>9.1479435557504729</v>
      </c>
      <c r="AT117" s="143">
        <f t="shared" ref="AT117:BL117" si="322">AS117</f>
        <v>9.1479435557504729</v>
      </c>
      <c r="AU117" s="143">
        <f t="shared" si="322"/>
        <v>9.1479435557504729</v>
      </c>
      <c r="AV117" s="143">
        <f t="shared" si="322"/>
        <v>9.1479435557504729</v>
      </c>
      <c r="AW117" s="143">
        <f t="shared" si="322"/>
        <v>9.1479435557504729</v>
      </c>
      <c r="AX117" s="143">
        <f t="shared" si="322"/>
        <v>9.1479435557504729</v>
      </c>
      <c r="AY117" s="143">
        <f t="shared" si="322"/>
        <v>9.1479435557504729</v>
      </c>
      <c r="AZ117" s="143">
        <f t="shared" si="322"/>
        <v>9.1479435557504729</v>
      </c>
      <c r="BA117" s="143">
        <f t="shared" si="322"/>
        <v>9.1479435557504729</v>
      </c>
      <c r="BB117" s="143">
        <f t="shared" si="322"/>
        <v>9.1479435557504729</v>
      </c>
      <c r="BC117" s="143">
        <f t="shared" si="322"/>
        <v>9.1479435557504729</v>
      </c>
      <c r="BD117" s="143">
        <f t="shared" si="322"/>
        <v>9.1479435557504729</v>
      </c>
      <c r="BE117" s="143">
        <f t="shared" si="322"/>
        <v>9.1479435557504729</v>
      </c>
      <c r="BF117" s="143">
        <f t="shared" si="322"/>
        <v>9.1479435557504729</v>
      </c>
      <c r="BG117" s="143">
        <f t="shared" si="322"/>
        <v>9.1479435557504729</v>
      </c>
      <c r="BH117" s="143">
        <f t="shared" si="322"/>
        <v>9.1479435557504729</v>
      </c>
      <c r="BI117" s="143">
        <f t="shared" si="322"/>
        <v>9.1479435557504729</v>
      </c>
      <c r="BJ117" s="143">
        <f t="shared" si="322"/>
        <v>9.1479435557504729</v>
      </c>
      <c r="BK117" s="143">
        <f t="shared" si="322"/>
        <v>9.1479435557504729</v>
      </c>
      <c r="BL117" s="143">
        <f t="shared" si="322"/>
        <v>9.1479435557504729</v>
      </c>
      <c r="BM117" s="143">
        <f t="shared" si="61"/>
        <v>9.7575249255893635</v>
      </c>
      <c r="BN117" s="143">
        <f t="shared" ref="BN117:CF117" si="323">BM117</f>
        <v>9.7575249255893635</v>
      </c>
      <c r="BO117" s="143">
        <f t="shared" si="323"/>
        <v>9.7575249255893635</v>
      </c>
      <c r="BP117" s="143">
        <f t="shared" si="323"/>
        <v>9.7575249255893635</v>
      </c>
      <c r="BQ117" s="143">
        <f t="shared" si="323"/>
        <v>9.7575249255893635</v>
      </c>
      <c r="BR117" s="143">
        <f t="shared" si="323"/>
        <v>9.7575249255893635</v>
      </c>
      <c r="BS117" s="143">
        <f t="shared" si="323"/>
        <v>9.7575249255893635</v>
      </c>
      <c r="BT117" s="143">
        <f t="shared" si="323"/>
        <v>9.7575249255893635</v>
      </c>
      <c r="BU117" s="143">
        <f t="shared" si="323"/>
        <v>9.7575249255893635</v>
      </c>
      <c r="BV117" s="143">
        <f t="shared" si="323"/>
        <v>9.7575249255893635</v>
      </c>
      <c r="BW117" s="143">
        <f t="shared" si="323"/>
        <v>9.7575249255893635</v>
      </c>
      <c r="BX117" s="143">
        <f t="shared" si="323"/>
        <v>9.7575249255893635</v>
      </c>
      <c r="BY117" s="143">
        <f t="shared" si="323"/>
        <v>9.7575249255893635</v>
      </c>
      <c r="BZ117" s="143">
        <f t="shared" si="323"/>
        <v>9.7575249255893635</v>
      </c>
      <c r="CA117" s="143">
        <f t="shared" si="323"/>
        <v>9.7575249255893635</v>
      </c>
      <c r="CB117" s="143">
        <f t="shared" si="323"/>
        <v>9.7575249255893635</v>
      </c>
      <c r="CC117" s="143">
        <f t="shared" si="323"/>
        <v>9.7575249255893635</v>
      </c>
      <c r="CD117" s="143">
        <f t="shared" si="323"/>
        <v>9.7575249255893635</v>
      </c>
      <c r="CE117" s="143">
        <f t="shared" si="323"/>
        <v>9.7575249255893635</v>
      </c>
      <c r="CF117" s="143">
        <f t="shared" si="323"/>
        <v>9.7575249255893635</v>
      </c>
      <c r="CG117" s="143">
        <f t="shared" si="63"/>
        <v>10.252396418403805</v>
      </c>
      <c r="CH117" s="143">
        <f t="shared" ref="CH117:CP117" si="324">CG117</f>
        <v>10.252396418403805</v>
      </c>
      <c r="CI117" s="143">
        <f t="shared" si="324"/>
        <v>10.252396418403805</v>
      </c>
      <c r="CJ117" s="143">
        <f t="shared" si="324"/>
        <v>10.252396418403805</v>
      </c>
      <c r="CK117" s="143">
        <f t="shared" si="324"/>
        <v>10.252396418403805</v>
      </c>
      <c r="CL117" s="143">
        <f t="shared" si="324"/>
        <v>10.252396418403805</v>
      </c>
      <c r="CM117" s="143">
        <f t="shared" si="324"/>
        <v>10.252396418403805</v>
      </c>
      <c r="CN117" s="143">
        <f t="shared" si="324"/>
        <v>10.252396418403805</v>
      </c>
      <c r="CO117" s="143">
        <f t="shared" si="324"/>
        <v>10.252396418403805</v>
      </c>
      <c r="CP117" s="143">
        <f t="shared" si="324"/>
        <v>10.252396418403805</v>
      </c>
      <c r="CQ117" s="143">
        <f t="shared" si="65"/>
        <v>10.623447048747229</v>
      </c>
      <c r="CR117" s="143">
        <f t="shared" si="281"/>
        <v>10.623447048747229</v>
      </c>
      <c r="CS117" s="143">
        <f t="shared" si="281"/>
        <v>10.623447048747229</v>
      </c>
      <c r="CT117" s="143">
        <f t="shared" si="281"/>
        <v>10.623447048747229</v>
      </c>
      <c r="CU117" s="143">
        <f t="shared" si="281"/>
        <v>10.623447048747229</v>
      </c>
      <c r="CV117" s="143">
        <f t="shared" si="67"/>
        <v>11.168423274391227</v>
      </c>
      <c r="CW117" s="143">
        <f t="shared" si="282"/>
        <v>11.168423274391227</v>
      </c>
      <c r="CX117" s="143">
        <f t="shared" si="282"/>
        <v>11.168423274391227</v>
      </c>
      <c r="CY117" s="143">
        <f t="shared" si="282"/>
        <v>11.168423274391227</v>
      </c>
      <c r="CZ117" s="143">
        <f t="shared" si="69"/>
        <v>12.867097380521379</v>
      </c>
      <c r="DA117" s="60"/>
      <c r="DB117" s="143">
        <f t="shared" si="70"/>
        <v>9.8255260110664153</v>
      </c>
      <c r="DC117" s="143">
        <f t="shared" ref="DC117:DU117" si="325">DB117</f>
        <v>9.8255260110664153</v>
      </c>
      <c r="DD117" s="143">
        <f t="shared" si="325"/>
        <v>9.8255260110664153</v>
      </c>
      <c r="DE117" s="143">
        <f t="shared" si="325"/>
        <v>9.8255260110664153</v>
      </c>
      <c r="DF117" s="143">
        <f t="shared" si="325"/>
        <v>9.8255260110664153</v>
      </c>
      <c r="DG117" s="143">
        <f t="shared" si="325"/>
        <v>9.8255260110664153</v>
      </c>
      <c r="DH117" s="143">
        <f t="shared" si="325"/>
        <v>9.8255260110664153</v>
      </c>
      <c r="DI117" s="143">
        <f t="shared" si="325"/>
        <v>9.8255260110664153</v>
      </c>
      <c r="DJ117" s="143">
        <f t="shared" si="325"/>
        <v>9.8255260110664153</v>
      </c>
      <c r="DK117" s="143">
        <f t="shared" si="325"/>
        <v>9.8255260110664153</v>
      </c>
      <c r="DL117" s="143">
        <f t="shared" si="325"/>
        <v>9.8255260110664153</v>
      </c>
      <c r="DM117" s="143">
        <f t="shared" si="325"/>
        <v>9.8255260110664153</v>
      </c>
      <c r="DN117" s="143">
        <f t="shared" si="325"/>
        <v>9.8255260110664153</v>
      </c>
      <c r="DO117" s="143">
        <f t="shared" si="325"/>
        <v>9.8255260110664153</v>
      </c>
      <c r="DP117" s="143">
        <f t="shared" si="325"/>
        <v>9.8255260110664153</v>
      </c>
      <c r="DQ117" s="143">
        <f t="shared" si="325"/>
        <v>9.8255260110664153</v>
      </c>
      <c r="DR117" s="143">
        <f t="shared" si="325"/>
        <v>9.8255260110664153</v>
      </c>
      <c r="DS117" s="143">
        <f t="shared" si="325"/>
        <v>9.8255260110664153</v>
      </c>
      <c r="DT117" s="143">
        <f t="shared" si="325"/>
        <v>9.8255260110664153</v>
      </c>
      <c r="DU117" s="143">
        <f t="shared" si="325"/>
        <v>9.8255260110664153</v>
      </c>
      <c r="DV117" s="143">
        <f t="shared" si="72"/>
        <v>10.631036159813405</v>
      </c>
      <c r="DW117" s="143">
        <f t="shared" ref="DW117:EO117" si="326">DV117</f>
        <v>10.631036159813405</v>
      </c>
      <c r="DX117" s="143">
        <f t="shared" si="326"/>
        <v>10.631036159813405</v>
      </c>
      <c r="DY117" s="143">
        <f t="shared" si="326"/>
        <v>10.631036159813405</v>
      </c>
      <c r="DZ117" s="143">
        <f t="shared" si="326"/>
        <v>10.631036159813405</v>
      </c>
      <c r="EA117" s="143">
        <f t="shared" si="326"/>
        <v>10.631036159813405</v>
      </c>
      <c r="EB117" s="143">
        <f t="shared" si="326"/>
        <v>10.631036159813405</v>
      </c>
      <c r="EC117" s="143">
        <f t="shared" si="326"/>
        <v>10.631036159813405</v>
      </c>
      <c r="ED117" s="143">
        <f t="shared" si="326"/>
        <v>10.631036159813405</v>
      </c>
      <c r="EE117" s="143">
        <f t="shared" si="326"/>
        <v>10.631036159813405</v>
      </c>
      <c r="EF117" s="143">
        <f t="shared" si="326"/>
        <v>10.631036159813405</v>
      </c>
      <c r="EG117" s="143">
        <f t="shared" si="326"/>
        <v>10.631036159813405</v>
      </c>
      <c r="EH117" s="143">
        <f t="shared" si="326"/>
        <v>10.631036159813405</v>
      </c>
      <c r="EI117" s="143">
        <f t="shared" si="326"/>
        <v>10.631036159813405</v>
      </c>
      <c r="EJ117" s="143">
        <f t="shared" si="326"/>
        <v>10.631036159813405</v>
      </c>
      <c r="EK117" s="143">
        <f t="shared" si="326"/>
        <v>10.631036159813405</v>
      </c>
      <c r="EL117" s="143">
        <f t="shared" si="326"/>
        <v>10.631036159813405</v>
      </c>
      <c r="EM117" s="143">
        <f t="shared" si="326"/>
        <v>10.631036159813405</v>
      </c>
      <c r="EN117" s="143">
        <f t="shared" si="326"/>
        <v>10.631036159813405</v>
      </c>
      <c r="EO117" s="143">
        <f t="shared" si="326"/>
        <v>10.631036159813405</v>
      </c>
      <c r="EP117" s="143">
        <f t="shared" si="74"/>
        <v>11.092854204472703</v>
      </c>
      <c r="EQ117" s="143">
        <f t="shared" ref="EQ117:FI117" si="327">EP117</f>
        <v>11.092854204472703</v>
      </c>
      <c r="ER117" s="143">
        <f t="shared" si="327"/>
        <v>11.092854204472703</v>
      </c>
      <c r="ES117" s="143">
        <f t="shared" si="327"/>
        <v>11.092854204472703</v>
      </c>
      <c r="ET117" s="143">
        <f t="shared" si="327"/>
        <v>11.092854204472703</v>
      </c>
      <c r="EU117" s="143">
        <f t="shared" si="327"/>
        <v>11.092854204472703</v>
      </c>
      <c r="EV117" s="143">
        <f t="shared" si="327"/>
        <v>11.092854204472703</v>
      </c>
      <c r="EW117" s="143">
        <f t="shared" si="327"/>
        <v>11.092854204472703</v>
      </c>
      <c r="EX117" s="143">
        <f t="shared" si="327"/>
        <v>11.092854204472703</v>
      </c>
      <c r="EY117" s="143">
        <f t="shared" si="327"/>
        <v>11.092854204472703</v>
      </c>
      <c r="EZ117" s="143">
        <f t="shared" si="327"/>
        <v>11.092854204472703</v>
      </c>
      <c r="FA117" s="143">
        <f t="shared" si="327"/>
        <v>11.092854204472703</v>
      </c>
      <c r="FB117" s="143">
        <f t="shared" si="327"/>
        <v>11.092854204472703</v>
      </c>
      <c r="FC117" s="143">
        <f t="shared" si="327"/>
        <v>11.092854204472703</v>
      </c>
      <c r="FD117" s="143">
        <f t="shared" si="327"/>
        <v>11.092854204472703</v>
      </c>
      <c r="FE117" s="143">
        <f t="shared" si="327"/>
        <v>11.092854204472703</v>
      </c>
      <c r="FF117" s="143">
        <f t="shared" si="327"/>
        <v>11.092854204472703</v>
      </c>
      <c r="FG117" s="143">
        <f t="shared" si="327"/>
        <v>11.092854204472703</v>
      </c>
      <c r="FH117" s="143">
        <f t="shared" si="327"/>
        <v>11.092854204472703</v>
      </c>
      <c r="FI117" s="143">
        <f t="shared" si="327"/>
        <v>11.092854204472703</v>
      </c>
      <c r="FJ117" s="143">
        <f t="shared" si="76"/>
        <v>11.483496654279417</v>
      </c>
      <c r="FK117" s="143">
        <f t="shared" ref="FK117:GC117" si="328">FJ117</f>
        <v>11.483496654279417</v>
      </c>
      <c r="FL117" s="143">
        <f t="shared" si="328"/>
        <v>11.483496654279417</v>
      </c>
      <c r="FM117" s="143">
        <f t="shared" si="328"/>
        <v>11.483496654279417</v>
      </c>
      <c r="FN117" s="143">
        <f t="shared" si="328"/>
        <v>11.483496654279417</v>
      </c>
      <c r="FO117" s="143">
        <f t="shared" si="328"/>
        <v>11.483496654279417</v>
      </c>
      <c r="FP117" s="143">
        <f t="shared" si="328"/>
        <v>11.483496654279417</v>
      </c>
      <c r="FQ117" s="143">
        <f t="shared" si="328"/>
        <v>11.483496654279417</v>
      </c>
      <c r="FR117" s="143">
        <f t="shared" si="328"/>
        <v>11.483496654279417</v>
      </c>
      <c r="FS117" s="143">
        <f t="shared" si="328"/>
        <v>11.483496654279417</v>
      </c>
      <c r="FT117" s="143">
        <f t="shared" si="328"/>
        <v>11.483496654279417</v>
      </c>
      <c r="FU117" s="143">
        <f t="shared" si="328"/>
        <v>11.483496654279417</v>
      </c>
      <c r="FV117" s="143">
        <f t="shared" si="328"/>
        <v>11.483496654279417</v>
      </c>
      <c r="FW117" s="143">
        <f t="shared" si="328"/>
        <v>11.483496654279417</v>
      </c>
      <c r="FX117" s="143">
        <f t="shared" si="328"/>
        <v>11.483496654279417</v>
      </c>
      <c r="FY117" s="143">
        <f t="shared" si="328"/>
        <v>11.483496654279417</v>
      </c>
      <c r="FZ117" s="143">
        <f t="shared" si="328"/>
        <v>11.483496654279417</v>
      </c>
      <c r="GA117" s="143">
        <f t="shared" si="328"/>
        <v>11.483496654279417</v>
      </c>
      <c r="GB117" s="143">
        <f t="shared" si="328"/>
        <v>11.483496654279417</v>
      </c>
      <c r="GC117" s="143">
        <f t="shared" si="328"/>
        <v>11.483496654279417</v>
      </c>
      <c r="GD117" s="143">
        <f t="shared" si="78"/>
        <v>11.822613617684624</v>
      </c>
      <c r="GE117" s="143">
        <f t="shared" ref="GE117:GM117" si="329">GD117</f>
        <v>11.822613617684624</v>
      </c>
      <c r="GF117" s="143">
        <f t="shared" si="329"/>
        <v>11.822613617684624</v>
      </c>
      <c r="GG117" s="143">
        <f t="shared" si="329"/>
        <v>11.822613617684624</v>
      </c>
      <c r="GH117" s="143">
        <f t="shared" si="329"/>
        <v>11.822613617684624</v>
      </c>
      <c r="GI117" s="143">
        <f t="shared" si="329"/>
        <v>11.822613617684624</v>
      </c>
      <c r="GJ117" s="143">
        <f t="shared" si="329"/>
        <v>11.822613617684624</v>
      </c>
      <c r="GK117" s="143">
        <f t="shared" si="329"/>
        <v>11.822613617684624</v>
      </c>
      <c r="GL117" s="143">
        <f t="shared" si="329"/>
        <v>11.822613617684624</v>
      </c>
      <c r="GM117" s="143">
        <f t="shared" si="329"/>
        <v>11.822613617684624</v>
      </c>
      <c r="GN117" s="143">
        <f t="shared" si="80"/>
        <v>12.106252310247962</v>
      </c>
      <c r="GO117" s="143">
        <f t="shared" si="288"/>
        <v>12.106252310247962</v>
      </c>
      <c r="GP117" s="143">
        <f t="shared" si="288"/>
        <v>12.106252310247962</v>
      </c>
      <c r="GQ117" s="143">
        <f t="shared" si="288"/>
        <v>12.106252310247962</v>
      </c>
      <c r="GR117" s="143">
        <f t="shared" si="288"/>
        <v>12.106252310247962</v>
      </c>
      <c r="GS117" s="143">
        <f t="shared" si="82"/>
        <v>12.55072561424158</v>
      </c>
      <c r="GT117" s="143">
        <f t="shared" si="289"/>
        <v>12.55072561424158</v>
      </c>
      <c r="GU117" s="143">
        <f t="shared" si="289"/>
        <v>12.55072561424158</v>
      </c>
      <c r="GV117" s="143">
        <f t="shared" si="289"/>
        <v>12.55072561424158</v>
      </c>
      <c r="GW117" s="143">
        <f t="shared" si="84"/>
        <v>14.061119853994148</v>
      </c>
    </row>
    <row r="118" spans="1:205" s="46" customFormat="1" ht="9.75" customHeight="1">
      <c r="A118" s="60">
        <v>2004</v>
      </c>
      <c r="B118" s="143">
        <f t="shared" si="85"/>
        <v>0.58661247010257722</v>
      </c>
      <c r="C118" s="143">
        <f t="shared" si="54"/>
        <v>0.98822831859822424</v>
      </c>
      <c r="D118" s="60"/>
      <c r="E118" s="143">
        <f t="shared" si="55"/>
        <v>6.9041487833880257</v>
      </c>
      <c r="F118" s="143">
        <f t="shared" ref="F118:X118" si="330">E118</f>
        <v>6.9041487833880257</v>
      </c>
      <c r="G118" s="143">
        <f t="shared" si="330"/>
        <v>6.9041487833880257</v>
      </c>
      <c r="H118" s="143">
        <f t="shared" si="330"/>
        <v>6.9041487833880257</v>
      </c>
      <c r="I118" s="143">
        <f t="shared" si="330"/>
        <v>6.9041487833880257</v>
      </c>
      <c r="J118" s="143">
        <f t="shared" si="330"/>
        <v>6.9041487833880257</v>
      </c>
      <c r="K118" s="143">
        <f t="shared" si="330"/>
        <v>6.9041487833880257</v>
      </c>
      <c r="L118" s="143">
        <f t="shared" si="330"/>
        <v>6.9041487833880257</v>
      </c>
      <c r="M118" s="143">
        <f t="shared" si="330"/>
        <v>6.9041487833880257</v>
      </c>
      <c r="N118" s="143">
        <f t="shared" si="330"/>
        <v>6.9041487833880257</v>
      </c>
      <c r="O118" s="143">
        <f t="shared" si="330"/>
        <v>6.9041487833880257</v>
      </c>
      <c r="P118" s="143">
        <f t="shared" si="330"/>
        <v>6.9041487833880257</v>
      </c>
      <c r="Q118" s="143">
        <f t="shared" si="330"/>
        <v>6.9041487833880257</v>
      </c>
      <c r="R118" s="143">
        <f t="shared" si="330"/>
        <v>6.9041487833880257</v>
      </c>
      <c r="S118" s="143">
        <f t="shared" si="330"/>
        <v>6.9041487833880257</v>
      </c>
      <c r="T118" s="143">
        <f t="shared" si="330"/>
        <v>6.9041487833880257</v>
      </c>
      <c r="U118" s="143">
        <f t="shared" si="330"/>
        <v>6.9041487833880257</v>
      </c>
      <c r="V118" s="143">
        <f t="shared" si="330"/>
        <v>6.9041487833880257</v>
      </c>
      <c r="W118" s="143">
        <f t="shared" si="330"/>
        <v>6.9041487833880257</v>
      </c>
      <c r="X118" s="143">
        <f t="shared" si="330"/>
        <v>6.9041487833880257</v>
      </c>
      <c r="Y118" s="143">
        <f t="shared" si="57"/>
        <v>8.3818773504675477</v>
      </c>
      <c r="Z118" s="143">
        <f t="shared" ref="Z118:AR118" si="331">Y118</f>
        <v>8.3818773504675477</v>
      </c>
      <c r="AA118" s="143">
        <f t="shared" si="331"/>
        <v>8.3818773504675477</v>
      </c>
      <c r="AB118" s="143">
        <f t="shared" si="331"/>
        <v>8.3818773504675477</v>
      </c>
      <c r="AC118" s="143">
        <f t="shared" si="331"/>
        <v>8.3818773504675477</v>
      </c>
      <c r="AD118" s="143">
        <f t="shared" si="331"/>
        <v>8.3818773504675477</v>
      </c>
      <c r="AE118" s="143">
        <f t="shared" si="331"/>
        <v>8.3818773504675477</v>
      </c>
      <c r="AF118" s="143">
        <f t="shared" si="331"/>
        <v>8.3818773504675477</v>
      </c>
      <c r="AG118" s="143">
        <f t="shared" si="331"/>
        <v>8.3818773504675477</v>
      </c>
      <c r="AH118" s="143">
        <f t="shared" si="331"/>
        <v>8.3818773504675477</v>
      </c>
      <c r="AI118" s="143">
        <f t="shared" si="331"/>
        <v>8.3818773504675477</v>
      </c>
      <c r="AJ118" s="143">
        <f t="shared" si="331"/>
        <v>8.3818773504675477</v>
      </c>
      <c r="AK118" s="143">
        <f t="shared" si="331"/>
        <v>8.3818773504675477</v>
      </c>
      <c r="AL118" s="143">
        <f t="shared" si="331"/>
        <v>8.3818773504675477</v>
      </c>
      <c r="AM118" s="143">
        <f t="shared" si="331"/>
        <v>8.3818773504675477</v>
      </c>
      <c r="AN118" s="143">
        <f t="shared" si="331"/>
        <v>8.3818773504675477</v>
      </c>
      <c r="AO118" s="143">
        <f t="shared" si="331"/>
        <v>8.3818773504675477</v>
      </c>
      <c r="AP118" s="143">
        <f t="shared" si="331"/>
        <v>8.3818773504675477</v>
      </c>
      <c r="AQ118" s="143">
        <f t="shared" si="331"/>
        <v>8.3818773504675477</v>
      </c>
      <c r="AR118" s="143">
        <f t="shared" si="331"/>
        <v>8.3818773504675477</v>
      </c>
      <c r="AS118" s="143">
        <f t="shared" si="59"/>
        <v>9.2001688166546867</v>
      </c>
      <c r="AT118" s="143">
        <f t="shared" ref="AT118:BL118" si="332">AS118</f>
        <v>9.2001688166546867</v>
      </c>
      <c r="AU118" s="143">
        <f t="shared" si="332"/>
        <v>9.2001688166546867</v>
      </c>
      <c r="AV118" s="143">
        <f t="shared" si="332"/>
        <v>9.2001688166546867</v>
      </c>
      <c r="AW118" s="143">
        <f t="shared" si="332"/>
        <v>9.2001688166546867</v>
      </c>
      <c r="AX118" s="143">
        <f t="shared" si="332"/>
        <v>9.2001688166546867</v>
      </c>
      <c r="AY118" s="143">
        <f t="shared" si="332"/>
        <v>9.2001688166546867</v>
      </c>
      <c r="AZ118" s="143">
        <f t="shared" si="332"/>
        <v>9.2001688166546867</v>
      </c>
      <c r="BA118" s="143">
        <f t="shared" si="332"/>
        <v>9.2001688166546867</v>
      </c>
      <c r="BB118" s="143">
        <f t="shared" si="332"/>
        <v>9.2001688166546867</v>
      </c>
      <c r="BC118" s="143">
        <f t="shared" si="332"/>
        <v>9.2001688166546867</v>
      </c>
      <c r="BD118" s="143">
        <f t="shared" si="332"/>
        <v>9.2001688166546867</v>
      </c>
      <c r="BE118" s="143">
        <f t="shared" si="332"/>
        <v>9.2001688166546867</v>
      </c>
      <c r="BF118" s="143">
        <f t="shared" si="332"/>
        <v>9.2001688166546867</v>
      </c>
      <c r="BG118" s="143">
        <f t="shared" si="332"/>
        <v>9.2001688166546867</v>
      </c>
      <c r="BH118" s="143">
        <f t="shared" si="332"/>
        <v>9.2001688166546867</v>
      </c>
      <c r="BI118" s="143">
        <f t="shared" si="332"/>
        <v>9.2001688166546867</v>
      </c>
      <c r="BJ118" s="143">
        <f t="shared" si="332"/>
        <v>9.2001688166546867</v>
      </c>
      <c r="BK118" s="143">
        <f t="shared" si="332"/>
        <v>9.2001688166546867</v>
      </c>
      <c r="BL118" s="143">
        <f t="shared" si="332"/>
        <v>9.2001688166546867</v>
      </c>
      <c r="BM118" s="143">
        <f t="shared" si="61"/>
        <v>9.8001250395409745</v>
      </c>
      <c r="BN118" s="143">
        <f t="shared" ref="BN118:CF118" si="333">BM118</f>
        <v>9.8001250395409745</v>
      </c>
      <c r="BO118" s="143">
        <f t="shared" si="333"/>
        <v>9.8001250395409745</v>
      </c>
      <c r="BP118" s="143">
        <f t="shared" si="333"/>
        <v>9.8001250395409745</v>
      </c>
      <c r="BQ118" s="143">
        <f t="shared" si="333"/>
        <v>9.8001250395409745</v>
      </c>
      <c r="BR118" s="143">
        <f t="shared" si="333"/>
        <v>9.8001250395409745</v>
      </c>
      <c r="BS118" s="143">
        <f t="shared" si="333"/>
        <v>9.8001250395409745</v>
      </c>
      <c r="BT118" s="143">
        <f t="shared" si="333"/>
        <v>9.8001250395409745</v>
      </c>
      <c r="BU118" s="143">
        <f t="shared" si="333"/>
        <v>9.8001250395409745</v>
      </c>
      <c r="BV118" s="143">
        <f t="shared" si="333"/>
        <v>9.8001250395409745</v>
      </c>
      <c r="BW118" s="143">
        <f t="shared" si="333"/>
        <v>9.8001250395409745</v>
      </c>
      <c r="BX118" s="143">
        <f t="shared" si="333"/>
        <v>9.8001250395409745</v>
      </c>
      <c r="BY118" s="143">
        <f t="shared" si="333"/>
        <v>9.8001250395409745</v>
      </c>
      <c r="BZ118" s="143">
        <f t="shared" si="333"/>
        <v>9.8001250395409745</v>
      </c>
      <c r="CA118" s="143">
        <f t="shared" si="333"/>
        <v>9.8001250395409745</v>
      </c>
      <c r="CB118" s="143">
        <f t="shared" si="333"/>
        <v>9.8001250395409745</v>
      </c>
      <c r="CC118" s="143">
        <f t="shared" si="333"/>
        <v>9.8001250395409745</v>
      </c>
      <c r="CD118" s="143">
        <f t="shared" si="333"/>
        <v>9.8001250395409745</v>
      </c>
      <c r="CE118" s="143">
        <f t="shared" si="333"/>
        <v>9.8001250395409745</v>
      </c>
      <c r="CF118" s="143">
        <f t="shared" si="333"/>
        <v>9.8001250395409745</v>
      </c>
      <c r="CG118" s="143">
        <f t="shared" si="63"/>
        <v>10.293219541655294</v>
      </c>
      <c r="CH118" s="143">
        <f t="shared" ref="CH118:CP118" si="334">CG118</f>
        <v>10.293219541655294</v>
      </c>
      <c r="CI118" s="143">
        <f t="shared" si="334"/>
        <v>10.293219541655294</v>
      </c>
      <c r="CJ118" s="143">
        <f t="shared" si="334"/>
        <v>10.293219541655294</v>
      </c>
      <c r="CK118" s="143">
        <f t="shared" si="334"/>
        <v>10.293219541655294</v>
      </c>
      <c r="CL118" s="143">
        <f t="shared" si="334"/>
        <v>10.293219541655294</v>
      </c>
      <c r="CM118" s="143">
        <f t="shared" si="334"/>
        <v>10.293219541655294</v>
      </c>
      <c r="CN118" s="143">
        <f t="shared" si="334"/>
        <v>10.293219541655294</v>
      </c>
      <c r="CO118" s="143">
        <f t="shared" si="334"/>
        <v>10.293219541655294</v>
      </c>
      <c r="CP118" s="143">
        <f t="shared" si="334"/>
        <v>10.293219541655294</v>
      </c>
      <c r="CQ118" s="143">
        <f t="shared" si="65"/>
        <v>10.665365236834283</v>
      </c>
      <c r="CR118" s="143">
        <f t="shared" si="281"/>
        <v>10.665365236834283</v>
      </c>
      <c r="CS118" s="143">
        <f t="shared" si="281"/>
        <v>10.665365236834283</v>
      </c>
      <c r="CT118" s="143">
        <f t="shared" si="281"/>
        <v>10.665365236834283</v>
      </c>
      <c r="CU118" s="143">
        <f t="shared" si="281"/>
        <v>10.665365236834283</v>
      </c>
      <c r="CV118" s="143">
        <f t="shared" si="67"/>
        <v>11.240116241341154</v>
      </c>
      <c r="CW118" s="143">
        <f t="shared" si="282"/>
        <v>11.240116241341154</v>
      </c>
      <c r="CX118" s="143">
        <f t="shared" si="282"/>
        <v>11.240116241341154</v>
      </c>
      <c r="CY118" s="143">
        <f t="shared" si="282"/>
        <v>11.240116241341154</v>
      </c>
      <c r="CZ118" s="143">
        <f t="shared" si="69"/>
        <v>13.03320424108451</v>
      </c>
      <c r="DA118" s="60"/>
      <c r="DB118" s="143">
        <f t="shared" si="70"/>
        <v>9.8416121488180401</v>
      </c>
      <c r="DC118" s="143">
        <f t="shared" ref="DC118:DU118" si="335">DB118</f>
        <v>9.8416121488180401</v>
      </c>
      <c r="DD118" s="143">
        <f t="shared" si="335"/>
        <v>9.8416121488180401</v>
      </c>
      <c r="DE118" s="143">
        <f t="shared" si="335"/>
        <v>9.8416121488180401</v>
      </c>
      <c r="DF118" s="143">
        <f t="shared" si="335"/>
        <v>9.8416121488180401</v>
      </c>
      <c r="DG118" s="143">
        <f t="shared" si="335"/>
        <v>9.8416121488180401</v>
      </c>
      <c r="DH118" s="143">
        <f t="shared" si="335"/>
        <v>9.8416121488180401</v>
      </c>
      <c r="DI118" s="143">
        <f t="shared" si="335"/>
        <v>9.8416121488180401</v>
      </c>
      <c r="DJ118" s="143">
        <f t="shared" si="335"/>
        <v>9.8416121488180401</v>
      </c>
      <c r="DK118" s="143">
        <f t="shared" si="335"/>
        <v>9.8416121488180401</v>
      </c>
      <c r="DL118" s="143">
        <f t="shared" si="335"/>
        <v>9.8416121488180401</v>
      </c>
      <c r="DM118" s="143">
        <f t="shared" si="335"/>
        <v>9.8416121488180401</v>
      </c>
      <c r="DN118" s="143">
        <f t="shared" si="335"/>
        <v>9.8416121488180401</v>
      </c>
      <c r="DO118" s="143">
        <f t="shared" si="335"/>
        <v>9.8416121488180401</v>
      </c>
      <c r="DP118" s="143">
        <f t="shared" si="335"/>
        <v>9.8416121488180401</v>
      </c>
      <c r="DQ118" s="143">
        <f t="shared" si="335"/>
        <v>9.8416121488180401</v>
      </c>
      <c r="DR118" s="143">
        <f t="shared" si="335"/>
        <v>9.8416121488180401</v>
      </c>
      <c r="DS118" s="143">
        <f t="shared" si="335"/>
        <v>9.8416121488180401</v>
      </c>
      <c r="DT118" s="143">
        <f t="shared" si="335"/>
        <v>9.8416121488180401</v>
      </c>
      <c r="DU118" s="143">
        <f t="shared" si="335"/>
        <v>9.8416121488180401</v>
      </c>
      <c r="DV118" s="143">
        <f t="shared" si="72"/>
        <v>10.654903641220049</v>
      </c>
      <c r="DW118" s="143">
        <f t="shared" ref="DW118:EO118" si="336">DV118</f>
        <v>10.654903641220049</v>
      </c>
      <c r="DX118" s="143">
        <f t="shared" si="336"/>
        <v>10.654903641220049</v>
      </c>
      <c r="DY118" s="143">
        <f t="shared" si="336"/>
        <v>10.654903641220049</v>
      </c>
      <c r="DZ118" s="143">
        <f t="shared" si="336"/>
        <v>10.654903641220049</v>
      </c>
      <c r="EA118" s="143">
        <f t="shared" si="336"/>
        <v>10.654903641220049</v>
      </c>
      <c r="EB118" s="143">
        <f t="shared" si="336"/>
        <v>10.654903641220049</v>
      </c>
      <c r="EC118" s="143">
        <f t="shared" si="336"/>
        <v>10.654903641220049</v>
      </c>
      <c r="ED118" s="143">
        <f t="shared" si="336"/>
        <v>10.654903641220049</v>
      </c>
      <c r="EE118" s="143">
        <f t="shared" si="336"/>
        <v>10.654903641220049</v>
      </c>
      <c r="EF118" s="143">
        <f t="shared" si="336"/>
        <v>10.654903641220049</v>
      </c>
      <c r="EG118" s="143">
        <f t="shared" si="336"/>
        <v>10.654903641220049</v>
      </c>
      <c r="EH118" s="143">
        <f t="shared" si="336"/>
        <v>10.654903641220049</v>
      </c>
      <c r="EI118" s="143">
        <f t="shared" si="336"/>
        <v>10.654903641220049</v>
      </c>
      <c r="EJ118" s="143">
        <f t="shared" si="336"/>
        <v>10.654903641220049</v>
      </c>
      <c r="EK118" s="143">
        <f t="shared" si="336"/>
        <v>10.654903641220049</v>
      </c>
      <c r="EL118" s="143">
        <f t="shared" si="336"/>
        <v>10.654903641220049</v>
      </c>
      <c r="EM118" s="143">
        <f t="shared" si="336"/>
        <v>10.654903641220049</v>
      </c>
      <c r="EN118" s="143">
        <f t="shared" si="336"/>
        <v>10.654903641220049</v>
      </c>
      <c r="EO118" s="143">
        <f t="shared" si="336"/>
        <v>10.654903641220049</v>
      </c>
      <c r="EP118" s="143">
        <f t="shared" si="74"/>
        <v>11.124317473928487</v>
      </c>
      <c r="EQ118" s="143">
        <f t="shared" ref="EQ118:FI118" si="337">EP118</f>
        <v>11.124317473928487</v>
      </c>
      <c r="ER118" s="143">
        <f t="shared" si="337"/>
        <v>11.124317473928487</v>
      </c>
      <c r="ES118" s="143">
        <f t="shared" si="337"/>
        <v>11.124317473928487</v>
      </c>
      <c r="ET118" s="143">
        <f t="shared" si="337"/>
        <v>11.124317473928487</v>
      </c>
      <c r="EU118" s="143">
        <f t="shared" si="337"/>
        <v>11.124317473928487</v>
      </c>
      <c r="EV118" s="143">
        <f t="shared" si="337"/>
        <v>11.124317473928487</v>
      </c>
      <c r="EW118" s="143">
        <f t="shared" si="337"/>
        <v>11.124317473928487</v>
      </c>
      <c r="EX118" s="143">
        <f t="shared" si="337"/>
        <v>11.124317473928487</v>
      </c>
      <c r="EY118" s="143">
        <f t="shared" si="337"/>
        <v>11.124317473928487</v>
      </c>
      <c r="EZ118" s="143">
        <f t="shared" si="337"/>
        <v>11.124317473928487</v>
      </c>
      <c r="FA118" s="143">
        <f t="shared" si="337"/>
        <v>11.124317473928487</v>
      </c>
      <c r="FB118" s="143">
        <f t="shared" si="337"/>
        <v>11.124317473928487</v>
      </c>
      <c r="FC118" s="143">
        <f t="shared" si="337"/>
        <v>11.124317473928487</v>
      </c>
      <c r="FD118" s="143">
        <f t="shared" si="337"/>
        <v>11.124317473928487</v>
      </c>
      <c r="FE118" s="143">
        <f t="shared" si="337"/>
        <v>11.124317473928487</v>
      </c>
      <c r="FF118" s="143">
        <f t="shared" si="337"/>
        <v>11.124317473928487</v>
      </c>
      <c r="FG118" s="143">
        <f t="shared" si="337"/>
        <v>11.124317473928487</v>
      </c>
      <c r="FH118" s="143">
        <f t="shared" si="337"/>
        <v>11.124317473928487</v>
      </c>
      <c r="FI118" s="143">
        <f t="shared" si="337"/>
        <v>11.124317473928487</v>
      </c>
      <c r="FJ118" s="143">
        <f t="shared" si="76"/>
        <v>11.514923467632901</v>
      </c>
      <c r="FK118" s="143">
        <f t="shared" ref="FK118:GC118" si="338">FJ118</f>
        <v>11.514923467632901</v>
      </c>
      <c r="FL118" s="143">
        <f t="shared" si="338"/>
        <v>11.514923467632901</v>
      </c>
      <c r="FM118" s="143">
        <f t="shared" si="338"/>
        <v>11.514923467632901</v>
      </c>
      <c r="FN118" s="143">
        <f t="shared" si="338"/>
        <v>11.514923467632901</v>
      </c>
      <c r="FO118" s="143">
        <f t="shared" si="338"/>
        <v>11.514923467632901</v>
      </c>
      <c r="FP118" s="143">
        <f t="shared" si="338"/>
        <v>11.514923467632901</v>
      </c>
      <c r="FQ118" s="143">
        <f t="shared" si="338"/>
        <v>11.514923467632901</v>
      </c>
      <c r="FR118" s="143">
        <f t="shared" si="338"/>
        <v>11.514923467632901</v>
      </c>
      <c r="FS118" s="143">
        <f t="shared" si="338"/>
        <v>11.514923467632901</v>
      </c>
      <c r="FT118" s="143">
        <f t="shared" si="338"/>
        <v>11.514923467632901</v>
      </c>
      <c r="FU118" s="143">
        <f t="shared" si="338"/>
        <v>11.514923467632901</v>
      </c>
      <c r="FV118" s="143">
        <f t="shared" si="338"/>
        <v>11.514923467632901</v>
      </c>
      <c r="FW118" s="143">
        <f t="shared" si="338"/>
        <v>11.514923467632901</v>
      </c>
      <c r="FX118" s="143">
        <f t="shared" si="338"/>
        <v>11.514923467632901</v>
      </c>
      <c r="FY118" s="143">
        <f t="shared" si="338"/>
        <v>11.514923467632901</v>
      </c>
      <c r="FZ118" s="143">
        <f t="shared" si="338"/>
        <v>11.514923467632901</v>
      </c>
      <c r="GA118" s="143">
        <f t="shared" si="338"/>
        <v>11.514923467632901</v>
      </c>
      <c r="GB118" s="143">
        <f t="shared" si="338"/>
        <v>11.514923467632901</v>
      </c>
      <c r="GC118" s="143">
        <f t="shared" si="338"/>
        <v>11.514923467632901</v>
      </c>
      <c r="GD118" s="143">
        <f t="shared" si="78"/>
        <v>11.85864056867262</v>
      </c>
      <c r="GE118" s="143">
        <f t="shared" ref="GE118:GM118" si="339">GD118</f>
        <v>11.85864056867262</v>
      </c>
      <c r="GF118" s="143">
        <f t="shared" si="339"/>
        <v>11.85864056867262</v>
      </c>
      <c r="GG118" s="143">
        <f t="shared" si="339"/>
        <v>11.85864056867262</v>
      </c>
      <c r="GH118" s="143">
        <f t="shared" si="339"/>
        <v>11.85864056867262</v>
      </c>
      <c r="GI118" s="143">
        <f t="shared" si="339"/>
        <v>11.85864056867262</v>
      </c>
      <c r="GJ118" s="143">
        <f t="shared" si="339"/>
        <v>11.85864056867262</v>
      </c>
      <c r="GK118" s="143">
        <f t="shared" si="339"/>
        <v>11.85864056867262</v>
      </c>
      <c r="GL118" s="143">
        <f t="shared" si="339"/>
        <v>11.85864056867262</v>
      </c>
      <c r="GM118" s="143">
        <f t="shared" si="339"/>
        <v>11.85864056867262</v>
      </c>
      <c r="GN118" s="143">
        <f t="shared" si="80"/>
        <v>12.139398512262181</v>
      </c>
      <c r="GO118" s="143">
        <f t="shared" si="288"/>
        <v>12.139398512262181</v>
      </c>
      <c r="GP118" s="143">
        <f t="shared" si="288"/>
        <v>12.139398512262181</v>
      </c>
      <c r="GQ118" s="143">
        <f t="shared" si="288"/>
        <v>12.139398512262181</v>
      </c>
      <c r="GR118" s="143">
        <f t="shared" si="288"/>
        <v>12.139398512262181</v>
      </c>
      <c r="GS118" s="143">
        <f t="shared" si="82"/>
        <v>12.610537253304754</v>
      </c>
      <c r="GT118" s="143">
        <f t="shared" si="289"/>
        <v>12.610537253304754</v>
      </c>
      <c r="GU118" s="143">
        <f t="shared" si="289"/>
        <v>12.610537253304754</v>
      </c>
      <c r="GV118" s="143">
        <f t="shared" si="289"/>
        <v>12.610537253304754</v>
      </c>
      <c r="GW118" s="143">
        <f t="shared" si="84"/>
        <v>14.237177045410446</v>
      </c>
    </row>
    <row r="119" spans="1:205" s="46" customFormat="1" ht="9.75" customHeight="1">
      <c r="A119" s="60">
        <v>2005</v>
      </c>
      <c r="B119" s="143">
        <f t="shared" si="85"/>
        <v>0.56541282189009578</v>
      </c>
      <c r="C119" s="143">
        <f t="shared" si="54"/>
        <v>0.98724914195942459</v>
      </c>
      <c r="D119" s="60"/>
      <c r="E119" s="143">
        <f t="shared" si="55"/>
        <v>6.9674382811433109</v>
      </c>
      <c r="F119" s="143">
        <f t="shared" ref="F119:X119" si="340">E119</f>
        <v>6.9674382811433109</v>
      </c>
      <c r="G119" s="143">
        <f t="shared" si="340"/>
        <v>6.9674382811433109</v>
      </c>
      <c r="H119" s="143">
        <f t="shared" si="340"/>
        <v>6.9674382811433109</v>
      </c>
      <c r="I119" s="143">
        <f t="shared" si="340"/>
        <v>6.9674382811433109</v>
      </c>
      <c r="J119" s="143">
        <f t="shared" si="340"/>
        <v>6.9674382811433109</v>
      </c>
      <c r="K119" s="143">
        <f t="shared" si="340"/>
        <v>6.9674382811433109</v>
      </c>
      <c r="L119" s="143">
        <f t="shared" si="340"/>
        <v>6.9674382811433109</v>
      </c>
      <c r="M119" s="143">
        <f t="shared" si="340"/>
        <v>6.9674382811433109</v>
      </c>
      <c r="N119" s="143">
        <f t="shared" si="340"/>
        <v>6.9674382811433109</v>
      </c>
      <c r="O119" s="143">
        <f t="shared" si="340"/>
        <v>6.9674382811433109</v>
      </c>
      <c r="P119" s="143">
        <f t="shared" si="340"/>
        <v>6.9674382811433109</v>
      </c>
      <c r="Q119" s="143">
        <f t="shared" si="340"/>
        <v>6.9674382811433109</v>
      </c>
      <c r="R119" s="143">
        <f t="shared" si="340"/>
        <v>6.9674382811433109</v>
      </c>
      <c r="S119" s="143">
        <f t="shared" si="340"/>
        <v>6.9674382811433109</v>
      </c>
      <c r="T119" s="143">
        <f t="shared" si="340"/>
        <v>6.9674382811433109</v>
      </c>
      <c r="U119" s="143">
        <f t="shared" si="340"/>
        <v>6.9674382811433109</v>
      </c>
      <c r="V119" s="143">
        <f t="shared" si="340"/>
        <v>6.9674382811433109</v>
      </c>
      <c r="W119" s="143">
        <f t="shared" si="340"/>
        <v>6.9674382811433109</v>
      </c>
      <c r="X119" s="143">
        <f t="shared" si="340"/>
        <v>6.9674382811433109</v>
      </c>
      <c r="Y119" s="143">
        <f t="shared" si="57"/>
        <v>8.4104984527452746</v>
      </c>
      <c r="Z119" s="143">
        <f t="shared" ref="Z119:AR119" si="341">Y119</f>
        <v>8.4104984527452746</v>
      </c>
      <c r="AA119" s="143">
        <f t="shared" si="341"/>
        <v>8.4104984527452746</v>
      </c>
      <c r="AB119" s="143">
        <f t="shared" si="341"/>
        <v>8.4104984527452746</v>
      </c>
      <c r="AC119" s="143">
        <f t="shared" si="341"/>
        <v>8.4104984527452746</v>
      </c>
      <c r="AD119" s="143">
        <f t="shared" si="341"/>
        <v>8.4104984527452746</v>
      </c>
      <c r="AE119" s="143">
        <f t="shared" si="341"/>
        <v>8.4104984527452746</v>
      </c>
      <c r="AF119" s="143">
        <f t="shared" si="341"/>
        <v>8.4104984527452746</v>
      </c>
      <c r="AG119" s="143">
        <f t="shared" si="341"/>
        <v>8.4104984527452746</v>
      </c>
      <c r="AH119" s="143">
        <f t="shared" si="341"/>
        <v>8.4104984527452746</v>
      </c>
      <c r="AI119" s="143">
        <f t="shared" si="341"/>
        <v>8.4104984527452746</v>
      </c>
      <c r="AJ119" s="143">
        <f t="shared" si="341"/>
        <v>8.4104984527452746</v>
      </c>
      <c r="AK119" s="143">
        <f t="shared" si="341"/>
        <v>8.4104984527452746</v>
      </c>
      <c r="AL119" s="143">
        <f t="shared" si="341"/>
        <v>8.4104984527452746</v>
      </c>
      <c r="AM119" s="143">
        <f t="shared" si="341"/>
        <v>8.4104984527452746</v>
      </c>
      <c r="AN119" s="143">
        <f t="shared" si="341"/>
        <v>8.4104984527452746</v>
      </c>
      <c r="AO119" s="143">
        <f t="shared" si="341"/>
        <v>8.4104984527452746</v>
      </c>
      <c r="AP119" s="143">
        <f t="shared" si="341"/>
        <v>8.4104984527452746</v>
      </c>
      <c r="AQ119" s="143">
        <f t="shared" si="341"/>
        <v>8.4104984527452746</v>
      </c>
      <c r="AR119" s="143">
        <f t="shared" si="341"/>
        <v>8.4104984527452746</v>
      </c>
      <c r="AS119" s="143">
        <f t="shared" si="59"/>
        <v>9.2313187783613753</v>
      </c>
      <c r="AT119" s="143">
        <f t="shared" ref="AT119:BL119" si="342">AS119</f>
        <v>9.2313187783613753</v>
      </c>
      <c r="AU119" s="143">
        <f t="shared" si="342"/>
        <v>9.2313187783613753</v>
      </c>
      <c r="AV119" s="143">
        <f t="shared" si="342"/>
        <v>9.2313187783613753</v>
      </c>
      <c r="AW119" s="143">
        <f t="shared" si="342"/>
        <v>9.2313187783613753</v>
      </c>
      <c r="AX119" s="143">
        <f t="shared" si="342"/>
        <v>9.2313187783613753</v>
      </c>
      <c r="AY119" s="143">
        <f t="shared" si="342"/>
        <v>9.2313187783613753</v>
      </c>
      <c r="AZ119" s="143">
        <f t="shared" si="342"/>
        <v>9.2313187783613753</v>
      </c>
      <c r="BA119" s="143">
        <f t="shared" si="342"/>
        <v>9.2313187783613753</v>
      </c>
      <c r="BB119" s="143">
        <f t="shared" si="342"/>
        <v>9.2313187783613753</v>
      </c>
      <c r="BC119" s="143">
        <f t="shared" si="342"/>
        <v>9.2313187783613753</v>
      </c>
      <c r="BD119" s="143">
        <f t="shared" si="342"/>
        <v>9.2313187783613753</v>
      </c>
      <c r="BE119" s="143">
        <f t="shared" si="342"/>
        <v>9.2313187783613753</v>
      </c>
      <c r="BF119" s="143">
        <f t="shared" si="342"/>
        <v>9.2313187783613753</v>
      </c>
      <c r="BG119" s="143">
        <f t="shared" si="342"/>
        <v>9.2313187783613753</v>
      </c>
      <c r="BH119" s="143">
        <f t="shared" si="342"/>
        <v>9.2313187783613753</v>
      </c>
      <c r="BI119" s="143">
        <f t="shared" si="342"/>
        <v>9.2313187783613753</v>
      </c>
      <c r="BJ119" s="143">
        <f t="shared" si="342"/>
        <v>9.2313187783613753</v>
      </c>
      <c r="BK119" s="143">
        <f t="shared" si="342"/>
        <v>9.2313187783613753</v>
      </c>
      <c r="BL119" s="143">
        <f t="shared" si="342"/>
        <v>9.2313187783613753</v>
      </c>
      <c r="BM119" s="143">
        <f t="shared" si="61"/>
        <v>9.8334780930701005</v>
      </c>
      <c r="BN119" s="143">
        <f t="shared" ref="BN119:CF119" si="343">BM119</f>
        <v>9.8334780930701005</v>
      </c>
      <c r="BO119" s="143">
        <f t="shared" si="343"/>
        <v>9.8334780930701005</v>
      </c>
      <c r="BP119" s="143">
        <f t="shared" si="343"/>
        <v>9.8334780930701005</v>
      </c>
      <c r="BQ119" s="143">
        <f t="shared" si="343"/>
        <v>9.8334780930701005</v>
      </c>
      <c r="BR119" s="143">
        <f t="shared" si="343"/>
        <v>9.8334780930701005</v>
      </c>
      <c r="BS119" s="143">
        <f t="shared" si="343"/>
        <v>9.8334780930701005</v>
      </c>
      <c r="BT119" s="143">
        <f t="shared" si="343"/>
        <v>9.8334780930701005</v>
      </c>
      <c r="BU119" s="143">
        <f t="shared" si="343"/>
        <v>9.8334780930701005</v>
      </c>
      <c r="BV119" s="143">
        <f t="shared" si="343"/>
        <v>9.8334780930701005</v>
      </c>
      <c r="BW119" s="143">
        <f t="shared" si="343"/>
        <v>9.8334780930701005</v>
      </c>
      <c r="BX119" s="143">
        <f t="shared" si="343"/>
        <v>9.8334780930701005</v>
      </c>
      <c r="BY119" s="143">
        <f t="shared" si="343"/>
        <v>9.8334780930701005</v>
      </c>
      <c r="BZ119" s="143">
        <f t="shared" si="343"/>
        <v>9.8334780930701005</v>
      </c>
      <c r="CA119" s="143">
        <f t="shared" si="343"/>
        <v>9.8334780930701005</v>
      </c>
      <c r="CB119" s="143">
        <f t="shared" si="343"/>
        <v>9.8334780930701005</v>
      </c>
      <c r="CC119" s="143">
        <f t="shared" si="343"/>
        <v>9.8334780930701005</v>
      </c>
      <c r="CD119" s="143">
        <f t="shared" si="343"/>
        <v>9.8334780930701005</v>
      </c>
      <c r="CE119" s="143">
        <f t="shared" si="343"/>
        <v>9.8334780930701005</v>
      </c>
      <c r="CF119" s="143">
        <f t="shared" si="343"/>
        <v>9.8334780930701005</v>
      </c>
      <c r="CG119" s="143">
        <f t="shared" si="63"/>
        <v>10.318308755568317</v>
      </c>
      <c r="CH119" s="143">
        <f t="shared" ref="CH119:CP119" si="344">CG119</f>
        <v>10.318308755568317</v>
      </c>
      <c r="CI119" s="143">
        <f t="shared" si="344"/>
        <v>10.318308755568317</v>
      </c>
      <c r="CJ119" s="143">
        <f t="shared" si="344"/>
        <v>10.318308755568317</v>
      </c>
      <c r="CK119" s="143">
        <f t="shared" si="344"/>
        <v>10.318308755568317</v>
      </c>
      <c r="CL119" s="143">
        <f t="shared" si="344"/>
        <v>10.318308755568317</v>
      </c>
      <c r="CM119" s="143">
        <f t="shared" si="344"/>
        <v>10.318308755568317</v>
      </c>
      <c r="CN119" s="143">
        <f t="shared" si="344"/>
        <v>10.318308755568317</v>
      </c>
      <c r="CO119" s="143">
        <f t="shared" si="344"/>
        <v>10.318308755568317</v>
      </c>
      <c r="CP119" s="143">
        <f t="shared" si="344"/>
        <v>10.318308755568317</v>
      </c>
      <c r="CQ119" s="143">
        <f t="shared" si="65"/>
        <v>10.708511471981696</v>
      </c>
      <c r="CR119" s="143">
        <f t="shared" si="281"/>
        <v>10.708511471981696</v>
      </c>
      <c r="CS119" s="143">
        <f t="shared" si="281"/>
        <v>10.708511471981696</v>
      </c>
      <c r="CT119" s="143">
        <f t="shared" si="281"/>
        <v>10.708511471981696</v>
      </c>
      <c r="CU119" s="143">
        <f t="shared" si="281"/>
        <v>10.708511471981696</v>
      </c>
      <c r="CV119" s="143">
        <f t="shared" si="67"/>
        <v>11.335408746430925</v>
      </c>
      <c r="CW119" s="143">
        <f t="shared" si="282"/>
        <v>11.335408746430925</v>
      </c>
      <c r="CX119" s="143">
        <f t="shared" si="282"/>
        <v>11.335408746430925</v>
      </c>
      <c r="CY119" s="143">
        <f t="shared" si="282"/>
        <v>11.335408746430925</v>
      </c>
      <c r="CZ119" s="143">
        <f t="shared" si="69"/>
        <v>13.229034234190122</v>
      </c>
      <c r="DA119" s="60"/>
      <c r="DB119" s="143">
        <f t="shared" si="70"/>
        <v>9.8678603748929774</v>
      </c>
      <c r="DC119" s="143">
        <f t="shared" ref="DC119:DU119" si="345">DB119</f>
        <v>9.8678603748929774</v>
      </c>
      <c r="DD119" s="143">
        <f t="shared" si="345"/>
        <v>9.8678603748929774</v>
      </c>
      <c r="DE119" s="143">
        <f t="shared" si="345"/>
        <v>9.8678603748929774</v>
      </c>
      <c r="DF119" s="143">
        <f t="shared" si="345"/>
        <v>9.8678603748929774</v>
      </c>
      <c r="DG119" s="143">
        <f t="shared" si="345"/>
        <v>9.8678603748929774</v>
      </c>
      <c r="DH119" s="143">
        <f t="shared" si="345"/>
        <v>9.8678603748929774</v>
      </c>
      <c r="DI119" s="143">
        <f t="shared" si="345"/>
        <v>9.8678603748929774</v>
      </c>
      <c r="DJ119" s="143">
        <f t="shared" si="345"/>
        <v>9.8678603748929774</v>
      </c>
      <c r="DK119" s="143">
        <f t="shared" si="345"/>
        <v>9.8678603748929774</v>
      </c>
      <c r="DL119" s="143">
        <f t="shared" si="345"/>
        <v>9.8678603748929774</v>
      </c>
      <c r="DM119" s="143">
        <f t="shared" si="345"/>
        <v>9.8678603748929774</v>
      </c>
      <c r="DN119" s="143">
        <f t="shared" si="345"/>
        <v>9.8678603748929774</v>
      </c>
      <c r="DO119" s="143">
        <f t="shared" si="345"/>
        <v>9.8678603748929774</v>
      </c>
      <c r="DP119" s="143">
        <f t="shared" si="345"/>
        <v>9.8678603748929774</v>
      </c>
      <c r="DQ119" s="143">
        <f t="shared" si="345"/>
        <v>9.8678603748929774</v>
      </c>
      <c r="DR119" s="143">
        <f t="shared" si="345"/>
        <v>9.8678603748929774</v>
      </c>
      <c r="DS119" s="143">
        <f t="shared" si="345"/>
        <v>9.8678603748929774</v>
      </c>
      <c r="DT119" s="143">
        <f t="shared" si="345"/>
        <v>9.8678603748929774</v>
      </c>
      <c r="DU119" s="143">
        <f t="shared" si="345"/>
        <v>9.8678603748929774</v>
      </c>
      <c r="DV119" s="143">
        <f t="shared" si="72"/>
        <v>10.664293381569887</v>
      </c>
      <c r="DW119" s="143">
        <f t="shared" ref="DW119:EO119" si="346">DV119</f>
        <v>10.664293381569887</v>
      </c>
      <c r="DX119" s="143">
        <f t="shared" si="346"/>
        <v>10.664293381569887</v>
      </c>
      <c r="DY119" s="143">
        <f t="shared" si="346"/>
        <v>10.664293381569887</v>
      </c>
      <c r="DZ119" s="143">
        <f t="shared" si="346"/>
        <v>10.664293381569887</v>
      </c>
      <c r="EA119" s="143">
        <f t="shared" si="346"/>
        <v>10.664293381569887</v>
      </c>
      <c r="EB119" s="143">
        <f t="shared" si="346"/>
        <v>10.664293381569887</v>
      </c>
      <c r="EC119" s="143">
        <f t="shared" si="346"/>
        <v>10.664293381569887</v>
      </c>
      <c r="ED119" s="143">
        <f t="shared" si="346"/>
        <v>10.664293381569887</v>
      </c>
      <c r="EE119" s="143">
        <f t="shared" si="346"/>
        <v>10.664293381569887</v>
      </c>
      <c r="EF119" s="143">
        <f t="shared" si="346"/>
        <v>10.664293381569887</v>
      </c>
      <c r="EG119" s="143">
        <f t="shared" si="346"/>
        <v>10.664293381569887</v>
      </c>
      <c r="EH119" s="143">
        <f t="shared" si="346"/>
        <v>10.664293381569887</v>
      </c>
      <c r="EI119" s="143">
        <f t="shared" si="346"/>
        <v>10.664293381569887</v>
      </c>
      <c r="EJ119" s="143">
        <f t="shared" si="346"/>
        <v>10.664293381569887</v>
      </c>
      <c r="EK119" s="143">
        <f t="shared" si="346"/>
        <v>10.664293381569887</v>
      </c>
      <c r="EL119" s="143">
        <f t="shared" si="346"/>
        <v>10.664293381569887</v>
      </c>
      <c r="EM119" s="143">
        <f t="shared" si="346"/>
        <v>10.664293381569887</v>
      </c>
      <c r="EN119" s="143">
        <f t="shared" si="346"/>
        <v>10.664293381569887</v>
      </c>
      <c r="EO119" s="143">
        <f t="shared" si="346"/>
        <v>10.664293381569887</v>
      </c>
      <c r="EP119" s="143">
        <f t="shared" si="74"/>
        <v>11.141861783579396</v>
      </c>
      <c r="EQ119" s="143">
        <f t="shared" ref="EQ119:FI119" si="347">EP119</f>
        <v>11.141861783579396</v>
      </c>
      <c r="ER119" s="143">
        <f t="shared" si="347"/>
        <v>11.141861783579396</v>
      </c>
      <c r="ES119" s="143">
        <f t="shared" si="347"/>
        <v>11.141861783579396</v>
      </c>
      <c r="ET119" s="143">
        <f t="shared" si="347"/>
        <v>11.141861783579396</v>
      </c>
      <c r="EU119" s="143">
        <f t="shared" si="347"/>
        <v>11.141861783579396</v>
      </c>
      <c r="EV119" s="143">
        <f t="shared" si="347"/>
        <v>11.141861783579396</v>
      </c>
      <c r="EW119" s="143">
        <f t="shared" si="347"/>
        <v>11.141861783579396</v>
      </c>
      <c r="EX119" s="143">
        <f t="shared" si="347"/>
        <v>11.141861783579396</v>
      </c>
      <c r="EY119" s="143">
        <f t="shared" si="347"/>
        <v>11.141861783579396</v>
      </c>
      <c r="EZ119" s="143">
        <f t="shared" si="347"/>
        <v>11.141861783579396</v>
      </c>
      <c r="FA119" s="143">
        <f t="shared" si="347"/>
        <v>11.141861783579396</v>
      </c>
      <c r="FB119" s="143">
        <f t="shared" si="347"/>
        <v>11.141861783579396</v>
      </c>
      <c r="FC119" s="143">
        <f t="shared" si="347"/>
        <v>11.141861783579396</v>
      </c>
      <c r="FD119" s="143">
        <f t="shared" si="347"/>
        <v>11.141861783579396</v>
      </c>
      <c r="FE119" s="143">
        <f t="shared" si="347"/>
        <v>11.141861783579396</v>
      </c>
      <c r="FF119" s="143">
        <f t="shared" si="347"/>
        <v>11.141861783579396</v>
      </c>
      <c r="FG119" s="143">
        <f t="shared" si="347"/>
        <v>11.141861783579396</v>
      </c>
      <c r="FH119" s="143">
        <f t="shared" si="347"/>
        <v>11.141861783579396</v>
      </c>
      <c r="FI119" s="143">
        <f t="shared" si="347"/>
        <v>11.141861783579396</v>
      </c>
      <c r="FJ119" s="143">
        <f t="shared" si="76"/>
        <v>11.531747219210816</v>
      </c>
      <c r="FK119" s="143">
        <f t="shared" ref="FK119:GC119" si="348">FJ119</f>
        <v>11.531747219210816</v>
      </c>
      <c r="FL119" s="143">
        <f t="shared" si="348"/>
        <v>11.531747219210816</v>
      </c>
      <c r="FM119" s="143">
        <f t="shared" si="348"/>
        <v>11.531747219210816</v>
      </c>
      <c r="FN119" s="143">
        <f t="shared" si="348"/>
        <v>11.531747219210816</v>
      </c>
      <c r="FO119" s="143">
        <f t="shared" si="348"/>
        <v>11.531747219210816</v>
      </c>
      <c r="FP119" s="143">
        <f t="shared" si="348"/>
        <v>11.531747219210816</v>
      </c>
      <c r="FQ119" s="143">
        <f t="shared" si="348"/>
        <v>11.531747219210816</v>
      </c>
      <c r="FR119" s="143">
        <f t="shared" si="348"/>
        <v>11.531747219210816</v>
      </c>
      <c r="FS119" s="143">
        <f t="shared" si="348"/>
        <v>11.531747219210816</v>
      </c>
      <c r="FT119" s="143">
        <f t="shared" si="348"/>
        <v>11.531747219210816</v>
      </c>
      <c r="FU119" s="143">
        <f t="shared" si="348"/>
        <v>11.531747219210816</v>
      </c>
      <c r="FV119" s="143">
        <f t="shared" si="348"/>
        <v>11.531747219210816</v>
      </c>
      <c r="FW119" s="143">
        <f t="shared" si="348"/>
        <v>11.531747219210816</v>
      </c>
      <c r="FX119" s="143">
        <f t="shared" si="348"/>
        <v>11.531747219210816</v>
      </c>
      <c r="FY119" s="143">
        <f t="shared" si="348"/>
        <v>11.531747219210816</v>
      </c>
      <c r="FZ119" s="143">
        <f t="shared" si="348"/>
        <v>11.531747219210816</v>
      </c>
      <c r="GA119" s="143">
        <f t="shared" si="348"/>
        <v>11.531747219210816</v>
      </c>
      <c r="GB119" s="143">
        <f t="shared" si="348"/>
        <v>11.531747219210816</v>
      </c>
      <c r="GC119" s="143">
        <f t="shared" si="348"/>
        <v>11.531747219210816</v>
      </c>
      <c r="GD119" s="143">
        <f t="shared" si="78"/>
        <v>11.878956503832987</v>
      </c>
      <c r="GE119" s="143">
        <f t="shared" ref="GE119:GM119" si="349">GD119</f>
        <v>11.878956503832987</v>
      </c>
      <c r="GF119" s="143">
        <f t="shared" si="349"/>
        <v>11.878956503832987</v>
      </c>
      <c r="GG119" s="143">
        <f t="shared" si="349"/>
        <v>11.878956503832987</v>
      </c>
      <c r="GH119" s="143">
        <f t="shared" si="349"/>
        <v>11.878956503832987</v>
      </c>
      <c r="GI119" s="143">
        <f t="shared" si="349"/>
        <v>11.878956503832987</v>
      </c>
      <c r="GJ119" s="143">
        <f t="shared" si="349"/>
        <v>11.878956503832987</v>
      </c>
      <c r="GK119" s="143">
        <f t="shared" si="349"/>
        <v>11.878956503832987</v>
      </c>
      <c r="GL119" s="143">
        <f t="shared" si="349"/>
        <v>11.878956503832987</v>
      </c>
      <c r="GM119" s="143">
        <f t="shared" si="349"/>
        <v>11.878956503832987</v>
      </c>
      <c r="GN119" s="143">
        <f t="shared" si="80"/>
        <v>12.178187442040638</v>
      </c>
      <c r="GO119" s="143">
        <f t="shared" si="288"/>
        <v>12.178187442040638</v>
      </c>
      <c r="GP119" s="143">
        <f t="shared" si="288"/>
        <v>12.178187442040638</v>
      </c>
      <c r="GQ119" s="143">
        <f t="shared" si="288"/>
        <v>12.178187442040638</v>
      </c>
      <c r="GR119" s="143">
        <f t="shared" si="288"/>
        <v>12.178187442040638</v>
      </c>
      <c r="GS119" s="143">
        <f t="shared" si="82"/>
        <v>12.686335963713525</v>
      </c>
      <c r="GT119" s="143">
        <f t="shared" si="289"/>
        <v>12.686335963713525</v>
      </c>
      <c r="GU119" s="143">
        <f t="shared" si="289"/>
        <v>12.686335963713525</v>
      </c>
      <c r="GV119" s="143">
        <f t="shared" si="289"/>
        <v>12.686335963713525</v>
      </c>
      <c r="GW119" s="143">
        <f t="shared" si="84"/>
        <v>14.42636249579739</v>
      </c>
    </row>
    <row r="120" spans="1:205" s="46" customFormat="1" ht="9.75" customHeight="1">
      <c r="A120" s="60">
        <v>2006</v>
      </c>
      <c r="B120" s="143">
        <f t="shared" si="85"/>
        <v>0.54180902931732144</v>
      </c>
      <c r="C120" s="143">
        <f t="shared" si="54"/>
        <v>0.98764065046112315</v>
      </c>
      <c r="D120" s="60"/>
      <c r="E120" s="143">
        <f t="shared" si="55"/>
        <v>7.088158329953461</v>
      </c>
      <c r="F120" s="143">
        <f t="shared" ref="F120:X120" si="350">E120</f>
        <v>7.088158329953461</v>
      </c>
      <c r="G120" s="143">
        <f t="shared" si="350"/>
        <v>7.088158329953461</v>
      </c>
      <c r="H120" s="143">
        <f t="shared" si="350"/>
        <v>7.088158329953461</v>
      </c>
      <c r="I120" s="143">
        <f t="shared" si="350"/>
        <v>7.088158329953461</v>
      </c>
      <c r="J120" s="143">
        <f t="shared" si="350"/>
        <v>7.088158329953461</v>
      </c>
      <c r="K120" s="143">
        <f t="shared" si="350"/>
        <v>7.088158329953461</v>
      </c>
      <c r="L120" s="143">
        <f t="shared" si="350"/>
        <v>7.088158329953461</v>
      </c>
      <c r="M120" s="143">
        <f t="shared" si="350"/>
        <v>7.088158329953461</v>
      </c>
      <c r="N120" s="143">
        <f t="shared" si="350"/>
        <v>7.088158329953461</v>
      </c>
      <c r="O120" s="143">
        <f t="shared" si="350"/>
        <v>7.088158329953461</v>
      </c>
      <c r="P120" s="143">
        <f t="shared" si="350"/>
        <v>7.088158329953461</v>
      </c>
      <c r="Q120" s="143">
        <f t="shared" si="350"/>
        <v>7.088158329953461</v>
      </c>
      <c r="R120" s="143">
        <f t="shared" si="350"/>
        <v>7.088158329953461</v>
      </c>
      <c r="S120" s="143">
        <f t="shared" si="350"/>
        <v>7.088158329953461</v>
      </c>
      <c r="T120" s="143">
        <f t="shared" si="350"/>
        <v>7.088158329953461</v>
      </c>
      <c r="U120" s="143">
        <f t="shared" si="350"/>
        <v>7.088158329953461</v>
      </c>
      <c r="V120" s="143">
        <f t="shared" si="350"/>
        <v>7.088158329953461</v>
      </c>
      <c r="W120" s="143">
        <f t="shared" si="350"/>
        <v>7.088158329953461</v>
      </c>
      <c r="X120" s="143">
        <f t="shared" si="350"/>
        <v>7.088158329953461</v>
      </c>
      <c r="Y120" s="143">
        <f t="shared" si="57"/>
        <v>8.4430729114944683</v>
      </c>
      <c r="Z120" s="143">
        <f t="shared" ref="Z120:AR120" si="351">Y120</f>
        <v>8.4430729114944683</v>
      </c>
      <c r="AA120" s="143">
        <f t="shared" si="351"/>
        <v>8.4430729114944683</v>
      </c>
      <c r="AB120" s="143">
        <f t="shared" si="351"/>
        <v>8.4430729114944683</v>
      </c>
      <c r="AC120" s="143">
        <f t="shared" si="351"/>
        <v>8.4430729114944683</v>
      </c>
      <c r="AD120" s="143">
        <f t="shared" si="351"/>
        <v>8.4430729114944683</v>
      </c>
      <c r="AE120" s="143">
        <f t="shared" si="351"/>
        <v>8.4430729114944683</v>
      </c>
      <c r="AF120" s="143">
        <f t="shared" si="351"/>
        <v>8.4430729114944683</v>
      </c>
      <c r="AG120" s="143">
        <f t="shared" si="351"/>
        <v>8.4430729114944683</v>
      </c>
      <c r="AH120" s="143">
        <f t="shared" si="351"/>
        <v>8.4430729114944683</v>
      </c>
      <c r="AI120" s="143">
        <f t="shared" si="351"/>
        <v>8.4430729114944683</v>
      </c>
      <c r="AJ120" s="143">
        <f t="shared" si="351"/>
        <v>8.4430729114944683</v>
      </c>
      <c r="AK120" s="143">
        <f t="shared" si="351"/>
        <v>8.4430729114944683</v>
      </c>
      <c r="AL120" s="143">
        <f t="shared" si="351"/>
        <v>8.4430729114944683</v>
      </c>
      <c r="AM120" s="143">
        <f t="shared" si="351"/>
        <v>8.4430729114944683</v>
      </c>
      <c r="AN120" s="143">
        <f t="shared" si="351"/>
        <v>8.4430729114944683</v>
      </c>
      <c r="AO120" s="143">
        <f t="shared" si="351"/>
        <v>8.4430729114944683</v>
      </c>
      <c r="AP120" s="143">
        <f t="shared" si="351"/>
        <v>8.4430729114944683</v>
      </c>
      <c r="AQ120" s="143">
        <f t="shared" si="351"/>
        <v>8.4430729114944683</v>
      </c>
      <c r="AR120" s="143">
        <f t="shared" si="351"/>
        <v>8.4430729114944683</v>
      </c>
      <c r="AS120" s="143">
        <f t="shared" si="59"/>
        <v>9.2481466237119374</v>
      </c>
      <c r="AT120" s="143">
        <f t="shared" ref="AT120:BL120" si="352">AS120</f>
        <v>9.2481466237119374</v>
      </c>
      <c r="AU120" s="143">
        <f t="shared" si="352"/>
        <v>9.2481466237119374</v>
      </c>
      <c r="AV120" s="143">
        <f t="shared" si="352"/>
        <v>9.2481466237119374</v>
      </c>
      <c r="AW120" s="143">
        <f t="shared" si="352"/>
        <v>9.2481466237119374</v>
      </c>
      <c r="AX120" s="143">
        <f t="shared" si="352"/>
        <v>9.2481466237119374</v>
      </c>
      <c r="AY120" s="143">
        <f t="shared" si="352"/>
        <v>9.2481466237119374</v>
      </c>
      <c r="AZ120" s="143">
        <f t="shared" si="352"/>
        <v>9.2481466237119374</v>
      </c>
      <c r="BA120" s="143">
        <f t="shared" si="352"/>
        <v>9.2481466237119374</v>
      </c>
      <c r="BB120" s="143">
        <f t="shared" si="352"/>
        <v>9.2481466237119374</v>
      </c>
      <c r="BC120" s="143">
        <f t="shared" si="352"/>
        <v>9.2481466237119374</v>
      </c>
      <c r="BD120" s="143">
        <f t="shared" si="352"/>
        <v>9.2481466237119374</v>
      </c>
      <c r="BE120" s="143">
        <f t="shared" si="352"/>
        <v>9.2481466237119374</v>
      </c>
      <c r="BF120" s="143">
        <f t="shared" si="352"/>
        <v>9.2481466237119374</v>
      </c>
      <c r="BG120" s="143">
        <f t="shared" si="352"/>
        <v>9.2481466237119374</v>
      </c>
      <c r="BH120" s="143">
        <f t="shared" si="352"/>
        <v>9.2481466237119374</v>
      </c>
      <c r="BI120" s="143">
        <f t="shared" si="352"/>
        <v>9.2481466237119374</v>
      </c>
      <c r="BJ120" s="143">
        <f t="shared" si="352"/>
        <v>9.2481466237119374</v>
      </c>
      <c r="BK120" s="143">
        <f t="shared" si="352"/>
        <v>9.2481466237119374</v>
      </c>
      <c r="BL120" s="143">
        <f t="shared" si="352"/>
        <v>9.2481466237119374</v>
      </c>
      <c r="BM120" s="143">
        <f t="shared" si="61"/>
        <v>9.8529150509466028</v>
      </c>
      <c r="BN120" s="143">
        <f t="shared" ref="BN120:CF120" si="353">BM120</f>
        <v>9.8529150509466028</v>
      </c>
      <c r="BO120" s="143">
        <f t="shared" si="353"/>
        <v>9.8529150509466028</v>
      </c>
      <c r="BP120" s="143">
        <f t="shared" si="353"/>
        <v>9.8529150509466028</v>
      </c>
      <c r="BQ120" s="143">
        <f t="shared" si="353"/>
        <v>9.8529150509466028</v>
      </c>
      <c r="BR120" s="143">
        <f t="shared" si="353"/>
        <v>9.8529150509466028</v>
      </c>
      <c r="BS120" s="143">
        <f t="shared" si="353"/>
        <v>9.8529150509466028</v>
      </c>
      <c r="BT120" s="143">
        <f t="shared" si="353"/>
        <v>9.8529150509466028</v>
      </c>
      <c r="BU120" s="143">
        <f t="shared" si="353"/>
        <v>9.8529150509466028</v>
      </c>
      <c r="BV120" s="143">
        <f t="shared" si="353"/>
        <v>9.8529150509466028</v>
      </c>
      <c r="BW120" s="143">
        <f t="shared" si="353"/>
        <v>9.8529150509466028</v>
      </c>
      <c r="BX120" s="143">
        <f t="shared" si="353"/>
        <v>9.8529150509466028</v>
      </c>
      <c r="BY120" s="143">
        <f t="shared" si="353"/>
        <v>9.8529150509466028</v>
      </c>
      <c r="BZ120" s="143">
        <f t="shared" si="353"/>
        <v>9.8529150509466028</v>
      </c>
      <c r="CA120" s="143">
        <f t="shared" si="353"/>
        <v>9.8529150509466028</v>
      </c>
      <c r="CB120" s="143">
        <f t="shared" si="353"/>
        <v>9.8529150509466028</v>
      </c>
      <c r="CC120" s="143">
        <f t="shared" si="353"/>
        <v>9.8529150509466028</v>
      </c>
      <c r="CD120" s="143">
        <f t="shared" si="353"/>
        <v>9.8529150509466028</v>
      </c>
      <c r="CE120" s="143">
        <f t="shared" si="353"/>
        <v>9.8529150509466028</v>
      </c>
      <c r="CF120" s="143">
        <f t="shared" si="353"/>
        <v>9.8529150509466028</v>
      </c>
      <c r="CG120" s="143">
        <f t="shared" si="63"/>
        <v>10.351769464209347</v>
      </c>
      <c r="CH120" s="143">
        <f t="shared" ref="CH120:CP120" si="354">CG120</f>
        <v>10.351769464209347</v>
      </c>
      <c r="CI120" s="143">
        <f t="shared" si="354"/>
        <v>10.351769464209347</v>
      </c>
      <c r="CJ120" s="143">
        <f t="shared" si="354"/>
        <v>10.351769464209347</v>
      </c>
      <c r="CK120" s="143">
        <f t="shared" si="354"/>
        <v>10.351769464209347</v>
      </c>
      <c r="CL120" s="143">
        <f t="shared" si="354"/>
        <v>10.351769464209347</v>
      </c>
      <c r="CM120" s="143">
        <f t="shared" si="354"/>
        <v>10.351769464209347</v>
      </c>
      <c r="CN120" s="143">
        <f t="shared" si="354"/>
        <v>10.351769464209347</v>
      </c>
      <c r="CO120" s="143">
        <f t="shared" si="354"/>
        <v>10.351769464209347</v>
      </c>
      <c r="CP120" s="143">
        <f t="shared" si="354"/>
        <v>10.351769464209347</v>
      </c>
      <c r="CQ120" s="143">
        <f t="shared" si="65"/>
        <v>10.740234952028148</v>
      </c>
      <c r="CR120" s="143">
        <f t="shared" si="281"/>
        <v>10.740234952028148</v>
      </c>
      <c r="CS120" s="143">
        <f t="shared" si="281"/>
        <v>10.740234952028148</v>
      </c>
      <c r="CT120" s="143">
        <f t="shared" si="281"/>
        <v>10.740234952028148</v>
      </c>
      <c r="CU120" s="143">
        <f t="shared" si="281"/>
        <v>10.740234952028148</v>
      </c>
      <c r="CV120" s="143">
        <f t="shared" si="67"/>
        <v>11.366770732184129</v>
      </c>
      <c r="CW120" s="143">
        <f t="shared" si="282"/>
        <v>11.366770732184129</v>
      </c>
      <c r="CX120" s="143">
        <f t="shared" si="282"/>
        <v>11.366770732184129</v>
      </c>
      <c r="CY120" s="143">
        <f t="shared" si="282"/>
        <v>11.366770732184129</v>
      </c>
      <c r="CZ120" s="143">
        <f t="shared" si="69"/>
        <v>13.294590152912654</v>
      </c>
      <c r="DA120" s="60"/>
      <c r="DB120" s="143">
        <f t="shared" si="70"/>
        <v>9.9183761650298781</v>
      </c>
      <c r="DC120" s="143">
        <f t="shared" ref="DC120:DU120" si="355">DB120</f>
        <v>9.9183761650298781</v>
      </c>
      <c r="DD120" s="143">
        <f t="shared" si="355"/>
        <v>9.9183761650298781</v>
      </c>
      <c r="DE120" s="143">
        <f t="shared" si="355"/>
        <v>9.9183761650298781</v>
      </c>
      <c r="DF120" s="143">
        <f t="shared" si="355"/>
        <v>9.9183761650298781</v>
      </c>
      <c r="DG120" s="143">
        <f t="shared" si="355"/>
        <v>9.9183761650298781</v>
      </c>
      <c r="DH120" s="143">
        <f t="shared" si="355"/>
        <v>9.9183761650298781</v>
      </c>
      <c r="DI120" s="143">
        <f t="shared" si="355"/>
        <v>9.9183761650298781</v>
      </c>
      <c r="DJ120" s="143">
        <f t="shared" si="355"/>
        <v>9.9183761650298781</v>
      </c>
      <c r="DK120" s="143">
        <f t="shared" si="355"/>
        <v>9.9183761650298781</v>
      </c>
      <c r="DL120" s="143">
        <f t="shared" si="355"/>
        <v>9.9183761650298781</v>
      </c>
      <c r="DM120" s="143">
        <f t="shared" si="355"/>
        <v>9.9183761650298781</v>
      </c>
      <c r="DN120" s="143">
        <f t="shared" si="355"/>
        <v>9.9183761650298781</v>
      </c>
      <c r="DO120" s="143">
        <f t="shared" si="355"/>
        <v>9.9183761650298781</v>
      </c>
      <c r="DP120" s="143">
        <f t="shared" si="355"/>
        <v>9.9183761650298781</v>
      </c>
      <c r="DQ120" s="143">
        <f t="shared" si="355"/>
        <v>9.9183761650298781</v>
      </c>
      <c r="DR120" s="143">
        <f t="shared" si="355"/>
        <v>9.9183761650298781</v>
      </c>
      <c r="DS120" s="143">
        <f t="shared" si="355"/>
        <v>9.9183761650298781</v>
      </c>
      <c r="DT120" s="143">
        <f t="shared" si="355"/>
        <v>9.9183761650298781</v>
      </c>
      <c r="DU120" s="143">
        <f t="shared" si="355"/>
        <v>9.9183761650298781</v>
      </c>
      <c r="DV120" s="143">
        <f t="shared" si="72"/>
        <v>10.687389096364537</v>
      </c>
      <c r="DW120" s="143">
        <f t="shared" ref="DW120:EO120" si="356">DV120</f>
        <v>10.687389096364537</v>
      </c>
      <c r="DX120" s="143">
        <f t="shared" si="356"/>
        <v>10.687389096364537</v>
      </c>
      <c r="DY120" s="143">
        <f t="shared" si="356"/>
        <v>10.687389096364537</v>
      </c>
      <c r="DZ120" s="143">
        <f t="shared" si="356"/>
        <v>10.687389096364537</v>
      </c>
      <c r="EA120" s="143">
        <f t="shared" si="356"/>
        <v>10.687389096364537</v>
      </c>
      <c r="EB120" s="143">
        <f t="shared" si="356"/>
        <v>10.687389096364537</v>
      </c>
      <c r="EC120" s="143">
        <f t="shared" si="356"/>
        <v>10.687389096364537</v>
      </c>
      <c r="ED120" s="143">
        <f t="shared" si="356"/>
        <v>10.687389096364537</v>
      </c>
      <c r="EE120" s="143">
        <f t="shared" si="356"/>
        <v>10.687389096364537</v>
      </c>
      <c r="EF120" s="143">
        <f t="shared" si="356"/>
        <v>10.687389096364537</v>
      </c>
      <c r="EG120" s="143">
        <f t="shared" si="356"/>
        <v>10.687389096364537</v>
      </c>
      <c r="EH120" s="143">
        <f t="shared" si="356"/>
        <v>10.687389096364537</v>
      </c>
      <c r="EI120" s="143">
        <f t="shared" si="356"/>
        <v>10.687389096364537</v>
      </c>
      <c r="EJ120" s="143">
        <f t="shared" si="356"/>
        <v>10.687389096364537</v>
      </c>
      <c r="EK120" s="143">
        <f t="shared" si="356"/>
        <v>10.687389096364537</v>
      </c>
      <c r="EL120" s="143">
        <f t="shared" si="356"/>
        <v>10.687389096364537</v>
      </c>
      <c r="EM120" s="143">
        <f t="shared" si="356"/>
        <v>10.687389096364537</v>
      </c>
      <c r="EN120" s="143">
        <f t="shared" si="356"/>
        <v>10.687389096364537</v>
      </c>
      <c r="EO120" s="143">
        <f t="shared" si="356"/>
        <v>10.687389096364537</v>
      </c>
      <c r="EP120" s="143">
        <f t="shared" si="74"/>
        <v>11.151955596748616</v>
      </c>
      <c r="EQ120" s="143">
        <f t="shared" ref="EQ120:FI120" si="357">EP120</f>
        <v>11.151955596748616</v>
      </c>
      <c r="ER120" s="143">
        <f t="shared" si="357"/>
        <v>11.151955596748616</v>
      </c>
      <c r="ES120" s="143">
        <f t="shared" si="357"/>
        <v>11.151955596748616</v>
      </c>
      <c r="ET120" s="143">
        <f t="shared" si="357"/>
        <v>11.151955596748616</v>
      </c>
      <c r="EU120" s="143">
        <f t="shared" si="357"/>
        <v>11.151955596748616</v>
      </c>
      <c r="EV120" s="143">
        <f t="shared" si="357"/>
        <v>11.151955596748616</v>
      </c>
      <c r="EW120" s="143">
        <f t="shared" si="357"/>
        <v>11.151955596748616</v>
      </c>
      <c r="EX120" s="143">
        <f t="shared" si="357"/>
        <v>11.151955596748616</v>
      </c>
      <c r="EY120" s="143">
        <f t="shared" si="357"/>
        <v>11.151955596748616</v>
      </c>
      <c r="EZ120" s="143">
        <f t="shared" si="357"/>
        <v>11.151955596748616</v>
      </c>
      <c r="FA120" s="143">
        <f t="shared" si="357"/>
        <v>11.151955596748616</v>
      </c>
      <c r="FB120" s="143">
        <f t="shared" si="357"/>
        <v>11.151955596748616</v>
      </c>
      <c r="FC120" s="143">
        <f t="shared" si="357"/>
        <v>11.151955596748616</v>
      </c>
      <c r="FD120" s="143">
        <f t="shared" si="357"/>
        <v>11.151955596748616</v>
      </c>
      <c r="FE120" s="143">
        <f t="shared" si="357"/>
        <v>11.151955596748616</v>
      </c>
      <c r="FF120" s="143">
        <f t="shared" si="357"/>
        <v>11.151955596748616</v>
      </c>
      <c r="FG120" s="143">
        <f t="shared" si="357"/>
        <v>11.151955596748616</v>
      </c>
      <c r="FH120" s="143">
        <f t="shared" si="357"/>
        <v>11.151955596748616</v>
      </c>
      <c r="FI120" s="143">
        <f t="shared" si="357"/>
        <v>11.151955596748616</v>
      </c>
      <c r="FJ120" s="143">
        <f t="shared" si="76"/>
        <v>11.551184177087318</v>
      </c>
      <c r="FK120" s="143">
        <f t="shared" ref="FK120:GC120" si="358">FJ120</f>
        <v>11.551184177087318</v>
      </c>
      <c r="FL120" s="143">
        <f t="shared" si="358"/>
        <v>11.551184177087318</v>
      </c>
      <c r="FM120" s="143">
        <f t="shared" si="358"/>
        <v>11.551184177087318</v>
      </c>
      <c r="FN120" s="143">
        <f t="shared" si="358"/>
        <v>11.551184177087318</v>
      </c>
      <c r="FO120" s="143">
        <f t="shared" si="358"/>
        <v>11.551184177087318</v>
      </c>
      <c r="FP120" s="143">
        <f t="shared" si="358"/>
        <v>11.551184177087318</v>
      </c>
      <c r="FQ120" s="143">
        <f t="shared" si="358"/>
        <v>11.551184177087318</v>
      </c>
      <c r="FR120" s="143">
        <f t="shared" si="358"/>
        <v>11.551184177087318</v>
      </c>
      <c r="FS120" s="143">
        <f t="shared" si="358"/>
        <v>11.551184177087318</v>
      </c>
      <c r="FT120" s="143">
        <f t="shared" si="358"/>
        <v>11.551184177087318</v>
      </c>
      <c r="FU120" s="143">
        <f t="shared" si="358"/>
        <v>11.551184177087318</v>
      </c>
      <c r="FV120" s="143">
        <f t="shared" si="358"/>
        <v>11.551184177087318</v>
      </c>
      <c r="FW120" s="143">
        <f t="shared" si="358"/>
        <v>11.551184177087318</v>
      </c>
      <c r="FX120" s="143">
        <f t="shared" si="358"/>
        <v>11.551184177087318</v>
      </c>
      <c r="FY120" s="143">
        <f t="shared" si="358"/>
        <v>11.551184177087318</v>
      </c>
      <c r="FZ120" s="143">
        <f t="shared" si="358"/>
        <v>11.551184177087318</v>
      </c>
      <c r="GA120" s="143">
        <f t="shared" si="358"/>
        <v>11.551184177087318</v>
      </c>
      <c r="GB120" s="143">
        <f t="shared" si="358"/>
        <v>11.551184177087318</v>
      </c>
      <c r="GC120" s="143">
        <f t="shared" si="358"/>
        <v>11.551184177087318</v>
      </c>
      <c r="GD120" s="143">
        <f t="shared" si="78"/>
        <v>11.902938468519471</v>
      </c>
      <c r="GE120" s="143">
        <f t="shared" ref="GE120:GM120" si="359">GD120</f>
        <v>11.902938468519471</v>
      </c>
      <c r="GF120" s="143">
        <f t="shared" si="359"/>
        <v>11.902938468519471</v>
      </c>
      <c r="GG120" s="143">
        <f t="shared" si="359"/>
        <v>11.902938468519471</v>
      </c>
      <c r="GH120" s="143">
        <f t="shared" si="359"/>
        <v>11.902938468519471</v>
      </c>
      <c r="GI120" s="143">
        <f t="shared" si="359"/>
        <v>11.902938468519471</v>
      </c>
      <c r="GJ120" s="143">
        <f t="shared" si="359"/>
        <v>11.902938468519471</v>
      </c>
      <c r="GK120" s="143">
        <f t="shared" si="359"/>
        <v>11.902938468519471</v>
      </c>
      <c r="GL120" s="143">
        <f t="shared" si="359"/>
        <v>11.902938468519471</v>
      </c>
      <c r="GM120" s="143">
        <f t="shared" si="359"/>
        <v>11.902938468519471</v>
      </c>
      <c r="GN120" s="143">
        <f t="shared" si="80"/>
        <v>12.205572520488492</v>
      </c>
      <c r="GO120" s="143">
        <f t="shared" si="288"/>
        <v>12.205572520488492</v>
      </c>
      <c r="GP120" s="143">
        <f t="shared" si="288"/>
        <v>12.205572520488492</v>
      </c>
      <c r="GQ120" s="143">
        <f t="shared" si="288"/>
        <v>12.205572520488492</v>
      </c>
      <c r="GR120" s="143">
        <f t="shared" si="288"/>
        <v>12.205572520488492</v>
      </c>
      <c r="GS120" s="143">
        <f t="shared" si="82"/>
        <v>12.717697949466729</v>
      </c>
      <c r="GT120" s="143">
        <f t="shared" si="289"/>
        <v>12.717697949466729</v>
      </c>
      <c r="GU120" s="143">
        <f t="shared" si="289"/>
        <v>12.717697949466729</v>
      </c>
      <c r="GV120" s="143">
        <f t="shared" si="289"/>
        <v>12.717697949466729</v>
      </c>
      <c r="GW120" s="143">
        <f t="shared" si="84"/>
        <v>14.505251945389386</v>
      </c>
    </row>
    <row r="121" spans="1:205" s="46" customFormat="1" ht="9.75" customHeight="1">
      <c r="A121" s="60">
        <v>2007</v>
      </c>
      <c r="B121" s="143">
        <f t="shared" si="85"/>
        <v>0.57092277691975291</v>
      </c>
      <c r="C121" s="143">
        <f t="shared" si="54"/>
        <v>0.98158235007204964</v>
      </c>
      <c r="D121" s="60"/>
      <c r="E121" s="143">
        <f t="shared" si="55"/>
        <v>7.0429852282422409</v>
      </c>
      <c r="F121" s="143">
        <f t="shared" ref="F121:X121" si="360">E121</f>
        <v>7.0429852282422409</v>
      </c>
      <c r="G121" s="143">
        <f t="shared" si="360"/>
        <v>7.0429852282422409</v>
      </c>
      <c r="H121" s="143">
        <f t="shared" si="360"/>
        <v>7.0429852282422409</v>
      </c>
      <c r="I121" s="143">
        <f t="shared" si="360"/>
        <v>7.0429852282422409</v>
      </c>
      <c r="J121" s="143">
        <f t="shared" si="360"/>
        <v>7.0429852282422409</v>
      </c>
      <c r="K121" s="143">
        <f t="shared" si="360"/>
        <v>7.0429852282422409</v>
      </c>
      <c r="L121" s="143">
        <f t="shared" si="360"/>
        <v>7.0429852282422409</v>
      </c>
      <c r="M121" s="143">
        <f t="shared" si="360"/>
        <v>7.0429852282422409</v>
      </c>
      <c r="N121" s="143">
        <f t="shared" si="360"/>
        <v>7.0429852282422409</v>
      </c>
      <c r="O121" s="143">
        <f t="shared" si="360"/>
        <v>7.0429852282422409</v>
      </c>
      <c r="P121" s="143">
        <f t="shared" si="360"/>
        <v>7.0429852282422409</v>
      </c>
      <c r="Q121" s="143">
        <f t="shared" si="360"/>
        <v>7.0429852282422409</v>
      </c>
      <c r="R121" s="143">
        <f t="shared" si="360"/>
        <v>7.0429852282422409</v>
      </c>
      <c r="S121" s="143">
        <f t="shared" si="360"/>
        <v>7.0429852282422409</v>
      </c>
      <c r="T121" s="143">
        <f t="shared" si="360"/>
        <v>7.0429852282422409</v>
      </c>
      <c r="U121" s="143">
        <f t="shared" si="360"/>
        <v>7.0429852282422409</v>
      </c>
      <c r="V121" s="143">
        <f t="shared" si="360"/>
        <v>7.0429852282422409</v>
      </c>
      <c r="W121" s="143">
        <f t="shared" si="360"/>
        <v>7.0429852282422409</v>
      </c>
      <c r="X121" s="143">
        <f t="shared" si="360"/>
        <v>7.0429852282422409</v>
      </c>
      <c r="Y121" s="143">
        <f t="shared" si="57"/>
        <v>8.5269454828589151</v>
      </c>
      <c r="Z121" s="143">
        <f t="shared" ref="Z121:AR121" si="361">Y121</f>
        <v>8.5269454828589151</v>
      </c>
      <c r="AA121" s="143">
        <f t="shared" si="361"/>
        <v>8.5269454828589151</v>
      </c>
      <c r="AB121" s="143">
        <f t="shared" si="361"/>
        <v>8.5269454828589151</v>
      </c>
      <c r="AC121" s="143">
        <f t="shared" si="361"/>
        <v>8.5269454828589151</v>
      </c>
      <c r="AD121" s="143">
        <f t="shared" si="361"/>
        <v>8.5269454828589151</v>
      </c>
      <c r="AE121" s="143">
        <f t="shared" si="361"/>
        <v>8.5269454828589151</v>
      </c>
      <c r="AF121" s="143">
        <f t="shared" si="361"/>
        <v>8.5269454828589151</v>
      </c>
      <c r="AG121" s="143">
        <f t="shared" si="361"/>
        <v>8.5269454828589151</v>
      </c>
      <c r="AH121" s="143">
        <f t="shared" si="361"/>
        <v>8.5269454828589151</v>
      </c>
      <c r="AI121" s="143">
        <f t="shared" si="361"/>
        <v>8.5269454828589151</v>
      </c>
      <c r="AJ121" s="143">
        <f t="shared" si="361"/>
        <v>8.5269454828589151</v>
      </c>
      <c r="AK121" s="143">
        <f t="shared" si="361"/>
        <v>8.5269454828589151</v>
      </c>
      <c r="AL121" s="143">
        <f t="shared" si="361"/>
        <v>8.5269454828589151</v>
      </c>
      <c r="AM121" s="143">
        <f t="shared" si="361"/>
        <v>8.5269454828589151</v>
      </c>
      <c r="AN121" s="143">
        <f t="shared" si="361"/>
        <v>8.5269454828589151</v>
      </c>
      <c r="AO121" s="143">
        <f t="shared" si="361"/>
        <v>8.5269454828589151</v>
      </c>
      <c r="AP121" s="143">
        <f t="shared" si="361"/>
        <v>8.5269454828589151</v>
      </c>
      <c r="AQ121" s="143">
        <f t="shared" si="361"/>
        <v>8.5269454828589151</v>
      </c>
      <c r="AR121" s="143">
        <f t="shared" si="361"/>
        <v>8.5269454828589151</v>
      </c>
      <c r="AS121" s="143">
        <f t="shared" si="59"/>
        <v>9.2766523196628956</v>
      </c>
      <c r="AT121" s="143">
        <f t="shared" ref="AT121:BL121" si="362">AS121</f>
        <v>9.2766523196628956</v>
      </c>
      <c r="AU121" s="143">
        <f t="shared" si="362"/>
        <v>9.2766523196628956</v>
      </c>
      <c r="AV121" s="143">
        <f t="shared" si="362"/>
        <v>9.2766523196628956</v>
      </c>
      <c r="AW121" s="143">
        <f t="shared" si="362"/>
        <v>9.2766523196628956</v>
      </c>
      <c r="AX121" s="143">
        <f t="shared" si="362"/>
        <v>9.2766523196628956</v>
      </c>
      <c r="AY121" s="143">
        <f t="shared" si="362"/>
        <v>9.2766523196628956</v>
      </c>
      <c r="AZ121" s="143">
        <f t="shared" si="362"/>
        <v>9.2766523196628956</v>
      </c>
      <c r="BA121" s="143">
        <f t="shared" si="362"/>
        <v>9.2766523196628956</v>
      </c>
      <c r="BB121" s="143">
        <f t="shared" si="362"/>
        <v>9.2766523196628956</v>
      </c>
      <c r="BC121" s="143">
        <f t="shared" si="362"/>
        <v>9.2766523196628956</v>
      </c>
      <c r="BD121" s="143">
        <f t="shared" si="362"/>
        <v>9.2766523196628956</v>
      </c>
      <c r="BE121" s="143">
        <f t="shared" si="362"/>
        <v>9.2766523196628956</v>
      </c>
      <c r="BF121" s="143">
        <f t="shared" si="362"/>
        <v>9.2766523196628956</v>
      </c>
      <c r="BG121" s="143">
        <f t="shared" si="362"/>
        <v>9.2766523196628956</v>
      </c>
      <c r="BH121" s="143">
        <f t="shared" si="362"/>
        <v>9.2766523196628956</v>
      </c>
      <c r="BI121" s="143">
        <f t="shared" si="362"/>
        <v>9.2766523196628956</v>
      </c>
      <c r="BJ121" s="143">
        <f t="shared" si="362"/>
        <v>9.2766523196628956</v>
      </c>
      <c r="BK121" s="143">
        <f t="shared" si="362"/>
        <v>9.2766523196628956</v>
      </c>
      <c r="BL121" s="143">
        <f t="shared" si="362"/>
        <v>9.2766523196628956</v>
      </c>
      <c r="BM121" s="143">
        <f t="shared" si="61"/>
        <v>9.8685181895735337</v>
      </c>
      <c r="BN121" s="143">
        <f t="shared" ref="BN121:CF121" si="363">BM121</f>
        <v>9.8685181895735337</v>
      </c>
      <c r="BO121" s="143">
        <f t="shared" si="363"/>
        <v>9.8685181895735337</v>
      </c>
      <c r="BP121" s="143">
        <f t="shared" si="363"/>
        <v>9.8685181895735337</v>
      </c>
      <c r="BQ121" s="143">
        <f t="shared" si="363"/>
        <v>9.8685181895735337</v>
      </c>
      <c r="BR121" s="143">
        <f t="shared" si="363"/>
        <v>9.8685181895735337</v>
      </c>
      <c r="BS121" s="143">
        <f t="shared" si="363"/>
        <v>9.8685181895735337</v>
      </c>
      <c r="BT121" s="143">
        <f t="shared" si="363"/>
        <v>9.8685181895735337</v>
      </c>
      <c r="BU121" s="143">
        <f t="shared" si="363"/>
        <v>9.8685181895735337</v>
      </c>
      <c r="BV121" s="143">
        <f t="shared" si="363"/>
        <v>9.8685181895735337</v>
      </c>
      <c r="BW121" s="143">
        <f t="shared" si="363"/>
        <v>9.8685181895735337</v>
      </c>
      <c r="BX121" s="143">
        <f t="shared" si="363"/>
        <v>9.8685181895735337</v>
      </c>
      <c r="BY121" s="143">
        <f t="shared" si="363"/>
        <v>9.8685181895735337</v>
      </c>
      <c r="BZ121" s="143">
        <f t="shared" si="363"/>
        <v>9.8685181895735337</v>
      </c>
      <c r="CA121" s="143">
        <f t="shared" si="363"/>
        <v>9.8685181895735337</v>
      </c>
      <c r="CB121" s="143">
        <f t="shared" si="363"/>
        <v>9.8685181895735337</v>
      </c>
      <c r="CC121" s="143">
        <f t="shared" si="363"/>
        <v>9.8685181895735337</v>
      </c>
      <c r="CD121" s="143">
        <f t="shared" si="363"/>
        <v>9.8685181895735337</v>
      </c>
      <c r="CE121" s="143">
        <f t="shared" si="363"/>
        <v>9.8685181895735337</v>
      </c>
      <c r="CF121" s="143">
        <f t="shared" si="363"/>
        <v>9.8685181895735337</v>
      </c>
      <c r="CG121" s="143">
        <f t="shared" si="63"/>
        <v>10.357625357597261</v>
      </c>
      <c r="CH121" s="143">
        <f t="shared" ref="CH121:CP121" si="364">CG121</f>
        <v>10.357625357597261</v>
      </c>
      <c r="CI121" s="143">
        <f t="shared" si="364"/>
        <v>10.357625357597261</v>
      </c>
      <c r="CJ121" s="143">
        <f t="shared" si="364"/>
        <v>10.357625357597261</v>
      </c>
      <c r="CK121" s="143">
        <f t="shared" si="364"/>
        <v>10.357625357597261</v>
      </c>
      <c r="CL121" s="143">
        <f t="shared" si="364"/>
        <v>10.357625357597261</v>
      </c>
      <c r="CM121" s="143">
        <f t="shared" si="364"/>
        <v>10.357625357597261</v>
      </c>
      <c r="CN121" s="143">
        <f t="shared" si="364"/>
        <v>10.357625357597261</v>
      </c>
      <c r="CO121" s="143">
        <f t="shared" si="364"/>
        <v>10.357625357597261</v>
      </c>
      <c r="CP121" s="143">
        <f t="shared" si="364"/>
        <v>10.357625357597261</v>
      </c>
      <c r="CQ121" s="143">
        <f t="shared" si="65"/>
        <v>10.748447682559737</v>
      </c>
      <c r="CR121" s="143">
        <f t="shared" si="281"/>
        <v>10.748447682559737</v>
      </c>
      <c r="CS121" s="143">
        <f t="shared" si="281"/>
        <v>10.748447682559737</v>
      </c>
      <c r="CT121" s="143">
        <f t="shared" si="281"/>
        <v>10.748447682559737</v>
      </c>
      <c r="CU121" s="143">
        <f t="shared" si="281"/>
        <v>10.748447682559737</v>
      </c>
      <c r="CV121" s="143">
        <f t="shared" si="67"/>
        <v>11.37942835747225</v>
      </c>
      <c r="CW121" s="143">
        <f t="shared" si="282"/>
        <v>11.37942835747225</v>
      </c>
      <c r="CX121" s="143">
        <f t="shared" si="282"/>
        <v>11.37942835747225</v>
      </c>
      <c r="CY121" s="143">
        <f t="shared" si="282"/>
        <v>11.37942835747225</v>
      </c>
      <c r="CZ121" s="143">
        <f t="shared" si="69"/>
        <v>13.291552074468186</v>
      </c>
      <c r="DA121" s="60"/>
      <c r="DB121" s="143">
        <f t="shared" si="70"/>
        <v>9.9804485936722571</v>
      </c>
      <c r="DC121" s="143">
        <f t="shared" ref="DC121:DU121" si="365">DB121</f>
        <v>9.9804485936722571</v>
      </c>
      <c r="DD121" s="143">
        <f t="shared" si="365"/>
        <v>9.9804485936722571</v>
      </c>
      <c r="DE121" s="143">
        <f t="shared" si="365"/>
        <v>9.9804485936722571</v>
      </c>
      <c r="DF121" s="143">
        <f t="shared" si="365"/>
        <v>9.9804485936722571</v>
      </c>
      <c r="DG121" s="143">
        <f t="shared" si="365"/>
        <v>9.9804485936722571</v>
      </c>
      <c r="DH121" s="143">
        <f t="shared" si="365"/>
        <v>9.9804485936722571</v>
      </c>
      <c r="DI121" s="143">
        <f t="shared" si="365"/>
        <v>9.9804485936722571</v>
      </c>
      <c r="DJ121" s="143">
        <f t="shared" si="365"/>
        <v>9.9804485936722571</v>
      </c>
      <c r="DK121" s="143">
        <f t="shared" si="365"/>
        <v>9.9804485936722571</v>
      </c>
      <c r="DL121" s="143">
        <f t="shared" si="365"/>
        <v>9.9804485936722571</v>
      </c>
      <c r="DM121" s="143">
        <f t="shared" si="365"/>
        <v>9.9804485936722571</v>
      </c>
      <c r="DN121" s="143">
        <f t="shared" si="365"/>
        <v>9.9804485936722571</v>
      </c>
      <c r="DO121" s="143">
        <f t="shared" si="365"/>
        <v>9.9804485936722571</v>
      </c>
      <c r="DP121" s="143">
        <f t="shared" si="365"/>
        <v>9.9804485936722571</v>
      </c>
      <c r="DQ121" s="143">
        <f t="shared" si="365"/>
        <v>9.9804485936722571</v>
      </c>
      <c r="DR121" s="143">
        <f t="shared" si="365"/>
        <v>9.9804485936722571</v>
      </c>
      <c r="DS121" s="143">
        <f t="shared" si="365"/>
        <v>9.9804485936722571</v>
      </c>
      <c r="DT121" s="143">
        <f t="shared" si="365"/>
        <v>9.9804485936722571</v>
      </c>
      <c r="DU121" s="143">
        <f t="shared" si="365"/>
        <v>9.9804485936722571</v>
      </c>
      <c r="DV121" s="143">
        <f t="shared" si="72"/>
        <v>10.734220396048636</v>
      </c>
      <c r="DW121" s="143">
        <f t="shared" ref="DW121:EO121" si="366">DV121</f>
        <v>10.734220396048636</v>
      </c>
      <c r="DX121" s="143">
        <f t="shared" si="366"/>
        <v>10.734220396048636</v>
      </c>
      <c r="DY121" s="143">
        <f t="shared" si="366"/>
        <v>10.734220396048636</v>
      </c>
      <c r="DZ121" s="143">
        <f t="shared" si="366"/>
        <v>10.734220396048636</v>
      </c>
      <c r="EA121" s="143">
        <f t="shared" si="366"/>
        <v>10.734220396048636</v>
      </c>
      <c r="EB121" s="143">
        <f t="shared" si="366"/>
        <v>10.734220396048636</v>
      </c>
      <c r="EC121" s="143">
        <f t="shared" si="366"/>
        <v>10.734220396048636</v>
      </c>
      <c r="ED121" s="143">
        <f t="shared" si="366"/>
        <v>10.734220396048636</v>
      </c>
      <c r="EE121" s="143">
        <f t="shared" si="366"/>
        <v>10.734220396048636</v>
      </c>
      <c r="EF121" s="143">
        <f t="shared" si="366"/>
        <v>10.734220396048636</v>
      </c>
      <c r="EG121" s="143">
        <f t="shared" si="366"/>
        <v>10.734220396048636</v>
      </c>
      <c r="EH121" s="143">
        <f t="shared" si="366"/>
        <v>10.734220396048636</v>
      </c>
      <c r="EI121" s="143">
        <f t="shared" si="366"/>
        <v>10.734220396048636</v>
      </c>
      <c r="EJ121" s="143">
        <f t="shared" si="366"/>
        <v>10.734220396048636</v>
      </c>
      <c r="EK121" s="143">
        <f t="shared" si="366"/>
        <v>10.734220396048636</v>
      </c>
      <c r="EL121" s="143">
        <f t="shared" si="366"/>
        <v>10.734220396048636</v>
      </c>
      <c r="EM121" s="143">
        <f t="shared" si="366"/>
        <v>10.734220396048636</v>
      </c>
      <c r="EN121" s="143">
        <f t="shared" si="366"/>
        <v>10.734220396048636</v>
      </c>
      <c r="EO121" s="143">
        <f t="shared" si="366"/>
        <v>10.734220396048636</v>
      </c>
      <c r="EP121" s="143">
        <f t="shared" si="74"/>
        <v>11.187195324880918</v>
      </c>
      <c r="EQ121" s="143">
        <f t="shared" ref="EQ121:FI121" si="367">EP121</f>
        <v>11.187195324880918</v>
      </c>
      <c r="ER121" s="143">
        <f t="shared" si="367"/>
        <v>11.187195324880918</v>
      </c>
      <c r="ES121" s="143">
        <f t="shared" si="367"/>
        <v>11.187195324880918</v>
      </c>
      <c r="ET121" s="143">
        <f t="shared" si="367"/>
        <v>11.187195324880918</v>
      </c>
      <c r="EU121" s="143">
        <f t="shared" si="367"/>
        <v>11.187195324880918</v>
      </c>
      <c r="EV121" s="143">
        <f t="shared" si="367"/>
        <v>11.187195324880918</v>
      </c>
      <c r="EW121" s="143">
        <f t="shared" si="367"/>
        <v>11.187195324880918</v>
      </c>
      <c r="EX121" s="143">
        <f t="shared" si="367"/>
        <v>11.187195324880918</v>
      </c>
      <c r="EY121" s="143">
        <f t="shared" si="367"/>
        <v>11.187195324880918</v>
      </c>
      <c r="EZ121" s="143">
        <f t="shared" si="367"/>
        <v>11.187195324880918</v>
      </c>
      <c r="FA121" s="143">
        <f t="shared" si="367"/>
        <v>11.187195324880918</v>
      </c>
      <c r="FB121" s="143">
        <f t="shared" si="367"/>
        <v>11.187195324880918</v>
      </c>
      <c r="FC121" s="143">
        <f t="shared" si="367"/>
        <v>11.187195324880918</v>
      </c>
      <c r="FD121" s="143">
        <f t="shared" si="367"/>
        <v>11.187195324880918</v>
      </c>
      <c r="FE121" s="143">
        <f t="shared" si="367"/>
        <v>11.187195324880918</v>
      </c>
      <c r="FF121" s="143">
        <f t="shared" si="367"/>
        <v>11.187195324880918</v>
      </c>
      <c r="FG121" s="143">
        <f t="shared" si="367"/>
        <v>11.187195324880918</v>
      </c>
      <c r="FH121" s="143">
        <f t="shared" si="367"/>
        <v>11.187195324880918</v>
      </c>
      <c r="FI121" s="143">
        <f t="shared" si="367"/>
        <v>11.187195324880918</v>
      </c>
      <c r="FJ121" s="143">
        <f t="shared" si="76"/>
        <v>11.577776437289845</v>
      </c>
      <c r="FK121" s="143">
        <f t="shared" ref="FK121:GC121" si="368">FJ121</f>
        <v>11.577776437289845</v>
      </c>
      <c r="FL121" s="143">
        <f t="shared" si="368"/>
        <v>11.577776437289845</v>
      </c>
      <c r="FM121" s="143">
        <f t="shared" si="368"/>
        <v>11.577776437289845</v>
      </c>
      <c r="FN121" s="143">
        <f t="shared" si="368"/>
        <v>11.577776437289845</v>
      </c>
      <c r="FO121" s="143">
        <f t="shared" si="368"/>
        <v>11.577776437289845</v>
      </c>
      <c r="FP121" s="143">
        <f t="shared" si="368"/>
        <v>11.577776437289845</v>
      </c>
      <c r="FQ121" s="143">
        <f t="shared" si="368"/>
        <v>11.577776437289845</v>
      </c>
      <c r="FR121" s="143">
        <f t="shared" si="368"/>
        <v>11.577776437289845</v>
      </c>
      <c r="FS121" s="143">
        <f t="shared" si="368"/>
        <v>11.577776437289845</v>
      </c>
      <c r="FT121" s="143">
        <f t="shared" si="368"/>
        <v>11.577776437289845</v>
      </c>
      <c r="FU121" s="143">
        <f t="shared" si="368"/>
        <v>11.577776437289845</v>
      </c>
      <c r="FV121" s="143">
        <f t="shared" si="368"/>
        <v>11.577776437289845</v>
      </c>
      <c r="FW121" s="143">
        <f t="shared" si="368"/>
        <v>11.577776437289845</v>
      </c>
      <c r="FX121" s="143">
        <f t="shared" si="368"/>
        <v>11.577776437289845</v>
      </c>
      <c r="FY121" s="143">
        <f t="shared" si="368"/>
        <v>11.577776437289845</v>
      </c>
      <c r="FZ121" s="143">
        <f t="shared" si="368"/>
        <v>11.577776437289845</v>
      </c>
      <c r="GA121" s="143">
        <f t="shared" si="368"/>
        <v>11.577776437289845</v>
      </c>
      <c r="GB121" s="143">
        <f t="shared" si="368"/>
        <v>11.577776437289845</v>
      </c>
      <c r="GC121" s="143">
        <f t="shared" si="368"/>
        <v>11.577776437289845</v>
      </c>
      <c r="GD121" s="143">
        <f t="shared" si="78"/>
        <v>11.923046384614587</v>
      </c>
      <c r="GE121" s="143">
        <f t="shared" ref="GE121:GM121" si="369">GD121</f>
        <v>11.923046384614587</v>
      </c>
      <c r="GF121" s="143">
        <f t="shared" si="369"/>
        <v>11.923046384614587</v>
      </c>
      <c r="GG121" s="143">
        <f t="shared" si="369"/>
        <v>11.923046384614587</v>
      </c>
      <c r="GH121" s="143">
        <f t="shared" si="369"/>
        <v>11.923046384614587</v>
      </c>
      <c r="GI121" s="143">
        <f t="shared" si="369"/>
        <v>11.923046384614587</v>
      </c>
      <c r="GJ121" s="143">
        <f t="shared" si="369"/>
        <v>11.923046384614587</v>
      </c>
      <c r="GK121" s="143">
        <f t="shared" si="369"/>
        <v>11.923046384614587</v>
      </c>
      <c r="GL121" s="143">
        <f t="shared" si="369"/>
        <v>11.923046384614587</v>
      </c>
      <c r="GM121" s="143">
        <f t="shared" si="369"/>
        <v>11.923046384614587</v>
      </c>
      <c r="GN121" s="143">
        <f t="shared" si="80"/>
        <v>12.231252944060472</v>
      </c>
      <c r="GO121" s="143">
        <f t="shared" si="288"/>
        <v>12.231252944060472</v>
      </c>
      <c r="GP121" s="143">
        <f t="shared" si="288"/>
        <v>12.231252944060472</v>
      </c>
      <c r="GQ121" s="143">
        <f t="shared" si="288"/>
        <v>12.231252944060472</v>
      </c>
      <c r="GR121" s="143">
        <f t="shared" si="288"/>
        <v>12.231252944060472</v>
      </c>
      <c r="GS121" s="143">
        <f t="shared" si="82"/>
        <v>12.74984936943585</v>
      </c>
      <c r="GT121" s="143">
        <f t="shared" si="289"/>
        <v>12.74984936943585</v>
      </c>
      <c r="GU121" s="143">
        <f t="shared" si="289"/>
        <v>12.74984936943585</v>
      </c>
      <c r="GV121" s="143">
        <f t="shared" si="289"/>
        <v>12.74984936943585</v>
      </c>
      <c r="GW121" s="143">
        <f t="shared" si="84"/>
        <v>14.55740028251221</v>
      </c>
    </row>
    <row r="122" spans="1:205" s="46" customFormat="1" ht="9.75" customHeight="1">
      <c r="A122" s="60">
        <v>2008</v>
      </c>
      <c r="B122" s="143">
        <f t="shared" si="85"/>
        <v>1.2150966796418934</v>
      </c>
      <c r="C122" s="143">
        <f t="shared" si="54"/>
        <v>0.91494438174475434</v>
      </c>
      <c r="D122" s="60"/>
      <c r="E122" s="143">
        <f t="shared" si="55"/>
        <v>5.2512257590141864</v>
      </c>
      <c r="F122" s="143">
        <f t="shared" ref="F122:X122" si="370">E122</f>
        <v>5.2512257590141864</v>
      </c>
      <c r="G122" s="143">
        <f t="shared" si="370"/>
        <v>5.2512257590141864</v>
      </c>
      <c r="H122" s="143">
        <f t="shared" si="370"/>
        <v>5.2512257590141864</v>
      </c>
      <c r="I122" s="143">
        <f t="shared" si="370"/>
        <v>5.2512257590141864</v>
      </c>
      <c r="J122" s="143">
        <f t="shared" si="370"/>
        <v>5.2512257590141864</v>
      </c>
      <c r="K122" s="143">
        <f t="shared" si="370"/>
        <v>5.2512257590141864</v>
      </c>
      <c r="L122" s="143">
        <f t="shared" si="370"/>
        <v>5.2512257590141864</v>
      </c>
      <c r="M122" s="143">
        <f t="shared" si="370"/>
        <v>5.2512257590141864</v>
      </c>
      <c r="N122" s="143">
        <f t="shared" si="370"/>
        <v>5.2512257590141864</v>
      </c>
      <c r="O122" s="143">
        <f t="shared" si="370"/>
        <v>5.2512257590141864</v>
      </c>
      <c r="P122" s="143">
        <f t="shared" si="370"/>
        <v>5.2512257590141864</v>
      </c>
      <c r="Q122" s="143">
        <f t="shared" si="370"/>
        <v>5.2512257590141864</v>
      </c>
      <c r="R122" s="143">
        <f t="shared" si="370"/>
        <v>5.2512257590141864</v>
      </c>
      <c r="S122" s="143">
        <f t="shared" si="370"/>
        <v>5.2512257590141864</v>
      </c>
      <c r="T122" s="143">
        <f t="shared" si="370"/>
        <v>5.2512257590141864</v>
      </c>
      <c r="U122" s="143">
        <f t="shared" si="370"/>
        <v>5.2512257590141864</v>
      </c>
      <c r="V122" s="143">
        <f t="shared" si="370"/>
        <v>5.2512257590141864</v>
      </c>
      <c r="W122" s="143">
        <f t="shared" si="370"/>
        <v>5.2512257590141864</v>
      </c>
      <c r="X122" s="143">
        <f t="shared" si="370"/>
        <v>5.2512257590141864</v>
      </c>
      <c r="Y122" s="143">
        <f t="shared" si="57"/>
        <v>8.1454336157732445</v>
      </c>
      <c r="Z122" s="143">
        <f t="shared" ref="Z122:AR122" si="371">Y122</f>
        <v>8.1454336157732445</v>
      </c>
      <c r="AA122" s="143">
        <f t="shared" si="371"/>
        <v>8.1454336157732445</v>
      </c>
      <c r="AB122" s="143">
        <f t="shared" si="371"/>
        <v>8.1454336157732445</v>
      </c>
      <c r="AC122" s="143">
        <f t="shared" si="371"/>
        <v>8.1454336157732445</v>
      </c>
      <c r="AD122" s="143">
        <f t="shared" si="371"/>
        <v>8.1454336157732445</v>
      </c>
      <c r="AE122" s="143">
        <f t="shared" si="371"/>
        <v>8.1454336157732445</v>
      </c>
      <c r="AF122" s="143">
        <f t="shared" si="371"/>
        <v>8.1454336157732445</v>
      </c>
      <c r="AG122" s="143">
        <f t="shared" si="371"/>
        <v>8.1454336157732445</v>
      </c>
      <c r="AH122" s="143">
        <f t="shared" si="371"/>
        <v>8.1454336157732445</v>
      </c>
      <c r="AI122" s="143">
        <f t="shared" si="371"/>
        <v>8.1454336157732445</v>
      </c>
      <c r="AJ122" s="143">
        <f t="shared" si="371"/>
        <v>8.1454336157732445</v>
      </c>
      <c r="AK122" s="143">
        <f t="shared" si="371"/>
        <v>8.1454336157732445</v>
      </c>
      <c r="AL122" s="143">
        <f t="shared" si="371"/>
        <v>8.1454336157732445</v>
      </c>
      <c r="AM122" s="143">
        <f t="shared" si="371"/>
        <v>8.1454336157732445</v>
      </c>
      <c r="AN122" s="143">
        <f t="shared" si="371"/>
        <v>8.1454336157732445</v>
      </c>
      <c r="AO122" s="143">
        <f t="shared" si="371"/>
        <v>8.1454336157732445</v>
      </c>
      <c r="AP122" s="143">
        <f t="shared" si="371"/>
        <v>8.1454336157732445</v>
      </c>
      <c r="AQ122" s="143">
        <f t="shared" si="371"/>
        <v>8.1454336157732445</v>
      </c>
      <c r="AR122" s="143">
        <f t="shared" si="371"/>
        <v>8.1454336157732445</v>
      </c>
      <c r="AS122" s="143">
        <f t="shared" si="59"/>
        <v>9.0525162867826161</v>
      </c>
      <c r="AT122" s="143">
        <f t="shared" ref="AT122:BL122" si="372">AS122</f>
        <v>9.0525162867826161</v>
      </c>
      <c r="AU122" s="143">
        <f t="shared" si="372"/>
        <v>9.0525162867826161</v>
      </c>
      <c r="AV122" s="143">
        <f t="shared" si="372"/>
        <v>9.0525162867826161</v>
      </c>
      <c r="AW122" s="143">
        <f t="shared" si="372"/>
        <v>9.0525162867826161</v>
      </c>
      <c r="AX122" s="143">
        <f t="shared" si="372"/>
        <v>9.0525162867826161</v>
      </c>
      <c r="AY122" s="143">
        <f t="shared" si="372"/>
        <v>9.0525162867826161</v>
      </c>
      <c r="AZ122" s="143">
        <f t="shared" si="372"/>
        <v>9.0525162867826161</v>
      </c>
      <c r="BA122" s="143">
        <f t="shared" si="372"/>
        <v>9.0525162867826161</v>
      </c>
      <c r="BB122" s="143">
        <f t="shared" si="372"/>
        <v>9.0525162867826161</v>
      </c>
      <c r="BC122" s="143">
        <f t="shared" si="372"/>
        <v>9.0525162867826161</v>
      </c>
      <c r="BD122" s="143">
        <f t="shared" si="372"/>
        <v>9.0525162867826161</v>
      </c>
      <c r="BE122" s="143">
        <f t="shared" si="372"/>
        <v>9.0525162867826161</v>
      </c>
      <c r="BF122" s="143">
        <f t="shared" si="372"/>
        <v>9.0525162867826161</v>
      </c>
      <c r="BG122" s="143">
        <f t="shared" si="372"/>
        <v>9.0525162867826161</v>
      </c>
      <c r="BH122" s="143">
        <f t="shared" si="372"/>
        <v>9.0525162867826161</v>
      </c>
      <c r="BI122" s="143">
        <f t="shared" si="372"/>
        <v>9.0525162867826161</v>
      </c>
      <c r="BJ122" s="143">
        <f t="shared" si="372"/>
        <v>9.0525162867826161</v>
      </c>
      <c r="BK122" s="143">
        <f t="shared" si="372"/>
        <v>9.0525162867826161</v>
      </c>
      <c r="BL122" s="143">
        <f t="shared" si="372"/>
        <v>9.0525162867826161</v>
      </c>
      <c r="BM122" s="143">
        <f t="shared" si="61"/>
        <v>9.7205257908547509</v>
      </c>
      <c r="BN122" s="143">
        <f t="shared" ref="BN122:CF122" si="373">BM122</f>
        <v>9.7205257908547509</v>
      </c>
      <c r="BO122" s="143">
        <f t="shared" si="373"/>
        <v>9.7205257908547509</v>
      </c>
      <c r="BP122" s="143">
        <f t="shared" si="373"/>
        <v>9.7205257908547509</v>
      </c>
      <c r="BQ122" s="143">
        <f t="shared" si="373"/>
        <v>9.7205257908547509</v>
      </c>
      <c r="BR122" s="143">
        <f t="shared" si="373"/>
        <v>9.7205257908547509</v>
      </c>
      <c r="BS122" s="143">
        <f t="shared" si="373"/>
        <v>9.7205257908547509</v>
      </c>
      <c r="BT122" s="143">
        <f t="shared" si="373"/>
        <v>9.7205257908547509</v>
      </c>
      <c r="BU122" s="143">
        <f t="shared" si="373"/>
        <v>9.7205257908547509</v>
      </c>
      <c r="BV122" s="143">
        <f t="shared" si="373"/>
        <v>9.7205257908547509</v>
      </c>
      <c r="BW122" s="143">
        <f t="shared" si="373"/>
        <v>9.7205257908547509</v>
      </c>
      <c r="BX122" s="143">
        <f t="shared" si="373"/>
        <v>9.7205257908547509</v>
      </c>
      <c r="BY122" s="143">
        <f t="shared" si="373"/>
        <v>9.7205257908547509</v>
      </c>
      <c r="BZ122" s="143">
        <f t="shared" si="373"/>
        <v>9.7205257908547509</v>
      </c>
      <c r="CA122" s="143">
        <f t="shared" si="373"/>
        <v>9.7205257908547509</v>
      </c>
      <c r="CB122" s="143">
        <f t="shared" si="373"/>
        <v>9.7205257908547509</v>
      </c>
      <c r="CC122" s="143">
        <f t="shared" si="373"/>
        <v>9.7205257908547509</v>
      </c>
      <c r="CD122" s="143">
        <f t="shared" si="373"/>
        <v>9.7205257908547509</v>
      </c>
      <c r="CE122" s="143">
        <f t="shared" si="373"/>
        <v>9.7205257908547509</v>
      </c>
      <c r="CF122" s="143">
        <f t="shared" si="373"/>
        <v>9.7205257908547509</v>
      </c>
      <c r="CG122" s="143">
        <f t="shared" si="63"/>
        <v>10.25787337844222</v>
      </c>
      <c r="CH122" s="143">
        <f t="shared" ref="CH122:CP122" si="374">CG122</f>
        <v>10.25787337844222</v>
      </c>
      <c r="CI122" s="143">
        <f t="shared" si="374"/>
        <v>10.25787337844222</v>
      </c>
      <c r="CJ122" s="143">
        <f t="shared" si="374"/>
        <v>10.25787337844222</v>
      </c>
      <c r="CK122" s="143">
        <f t="shared" si="374"/>
        <v>10.25787337844222</v>
      </c>
      <c r="CL122" s="143">
        <f t="shared" si="374"/>
        <v>10.25787337844222</v>
      </c>
      <c r="CM122" s="143">
        <f t="shared" si="374"/>
        <v>10.25787337844222</v>
      </c>
      <c r="CN122" s="143">
        <f t="shared" si="374"/>
        <v>10.25787337844222</v>
      </c>
      <c r="CO122" s="143">
        <f t="shared" si="374"/>
        <v>10.25787337844222</v>
      </c>
      <c r="CP122" s="143">
        <f t="shared" si="374"/>
        <v>10.25787337844222</v>
      </c>
      <c r="CQ122" s="143">
        <f t="shared" si="65"/>
        <v>10.67427609831484</v>
      </c>
      <c r="CR122" s="143">
        <f t="shared" si="281"/>
        <v>10.67427609831484</v>
      </c>
      <c r="CS122" s="143">
        <f t="shared" si="281"/>
        <v>10.67427609831484</v>
      </c>
      <c r="CT122" s="143">
        <f t="shared" si="281"/>
        <v>10.67427609831484</v>
      </c>
      <c r="CU122" s="143">
        <f t="shared" si="281"/>
        <v>10.67427609831484</v>
      </c>
      <c r="CV122" s="143">
        <f t="shared" si="67"/>
        <v>11.269895482848423</v>
      </c>
      <c r="CW122" s="143">
        <f t="shared" si="282"/>
        <v>11.269895482848423</v>
      </c>
      <c r="CX122" s="143">
        <f t="shared" si="282"/>
        <v>11.269895482848423</v>
      </c>
      <c r="CY122" s="143">
        <f t="shared" si="282"/>
        <v>11.269895482848423</v>
      </c>
      <c r="CZ122" s="143">
        <f t="shared" si="69"/>
        <v>13.085581336271781</v>
      </c>
      <c r="DA122" s="60"/>
      <c r="DB122" s="143">
        <f t="shared" si="70"/>
        <v>9.9617564606601032</v>
      </c>
      <c r="DC122" s="143">
        <f t="shared" ref="DC122:DU122" si="375">DB122</f>
        <v>9.9617564606601032</v>
      </c>
      <c r="DD122" s="143">
        <f t="shared" si="375"/>
        <v>9.9617564606601032</v>
      </c>
      <c r="DE122" s="143">
        <f t="shared" si="375"/>
        <v>9.9617564606601032</v>
      </c>
      <c r="DF122" s="143">
        <f t="shared" si="375"/>
        <v>9.9617564606601032</v>
      </c>
      <c r="DG122" s="143">
        <f t="shared" si="375"/>
        <v>9.9617564606601032</v>
      </c>
      <c r="DH122" s="143">
        <f t="shared" si="375"/>
        <v>9.9617564606601032</v>
      </c>
      <c r="DI122" s="143">
        <f t="shared" si="375"/>
        <v>9.9617564606601032</v>
      </c>
      <c r="DJ122" s="143">
        <f t="shared" si="375"/>
        <v>9.9617564606601032</v>
      </c>
      <c r="DK122" s="143">
        <f t="shared" si="375"/>
        <v>9.9617564606601032</v>
      </c>
      <c r="DL122" s="143">
        <f t="shared" si="375"/>
        <v>9.9617564606601032</v>
      </c>
      <c r="DM122" s="143">
        <f t="shared" si="375"/>
        <v>9.9617564606601032</v>
      </c>
      <c r="DN122" s="143">
        <f t="shared" si="375"/>
        <v>9.9617564606601032</v>
      </c>
      <c r="DO122" s="143">
        <f t="shared" si="375"/>
        <v>9.9617564606601032</v>
      </c>
      <c r="DP122" s="143">
        <f t="shared" si="375"/>
        <v>9.9617564606601032</v>
      </c>
      <c r="DQ122" s="143">
        <f t="shared" si="375"/>
        <v>9.9617564606601032</v>
      </c>
      <c r="DR122" s="143">
        <f t="shared" si="375"/>
        <v>9.9617564606601032</v>
      </c>
      <c r="DS122" s="143">
        <f t="shared" si="375"/>
        <v>9.9617564606601032</v>
      </c>
      <c r="DT122" s="143">
        <f t="shared" si="375"/>
        <v>9.9617564606601032</v>
      </c>
      <c r="DU122" s="143">
        <f t="shared" si="375"/>
        <v>9.9617564606601032</v>
      </c>
      <c r="DV122" s="143">
        <f t="shared" si="72"/>
        <v>10.696480068065789</v>
      </c>
      <c r="DW122" s="143">
        <f t="shared" ref="DW122:EO122" si="376">DV122</f>
        <v>10.696480068065789</v>
      </c>
      <c r="DX122" s="143">
        <f t="shared" si="376"/>
        <v>10.696480068065789</v>
      </c>
      <c r="DY122" s="143">
        <f t="shared" si="376"/>
        <v>10.696480068065789</v>
      </c>
      <c r="DZ122" s="143">
        <f t="shared" si="376"/>
        <v>10.696480068065789</v>
      </c>
      <c r="EA122" s="143">
        <f t="shared" si="376"/>
        <v>10.696480068065789</v>
      </c>
      <c r="EB122" s="143">
        <f t="shared" si="376"/>
        <v>10.696480068065789</v>
      </c>
      <c r="EC122" s="143">
        <f t="shared" si="376"/>
        <v>10.696480068065789</v>
      </c>
      <c r="ED122" s="143">
        <f t="shared" si="376"/>
        <v>10.696480068065789</v>
      </c>
      <c r="EE122" s="143">
        <f t="shared" si="376"/>
        <v>10.696480068065789</v>
      </c>
      <c r="EF122" s="143">
        <f t="shared" si="376"/>
        <v>10.696480068065789</v>
      </c>
      <c r="EG122" s="143">
        <f t="shared" si="376"/>
        <v>10.696480068065789</v>
      </c>
      <c r="EH122" s="143">
        <f t="shared" si="376"/>
        <v>10.696480068065789</v>
      </c>
      <c r="EI122" s="143">
        <f t="shared" si="376"/>
        <v>10.696480068065789</v>
      </c>
      <c r="EJ122" s="143">
        <f t="shared" si="376"/>
        <v>10.696480068065789</v>
      </c>
      <c r="EK122" s="143">
        <f t="shared" si="376"/>
        <v>10.696480068065789</v>
      </c>
      <c r="EL122" s="143">
        <f t="shared" si="376"/>
        <v>10.696480068065789</v>
      </c>
      <c r="EM122" s="143">
        <f t="shared" si="376"/>
        <v>10.696480068065789</v>
      </c>
      <c r="EN122" s="143">
        <f t="shared" si="376"/>
        <v>10.696480068065789</v>
      </c>
      <c r="EO122" s="143">
        <f t="shared" si="376"/>
        <v>10.696480068065789</v>
      </c>
      <c r="EP122" s="143">
        <f t="shared" si="74"/>
        <v>11.156250521031495</v>
      </c>
      <c r="EQ122" s="143">
        <f t="shared" ref="EQ122:FI122" si="377">EP122</f>
        <v>11.156250521031495</v>
      </c>
      <c r="ER122" s="143">
        <f t="shared" si="377"/>
        <v>11.156250521031495</v>
      </c>
      <c r="ES122" s="143">
        <f t="shared" si="377"/>
        <v>11.156250521031495</v>
      </c>
      <c r="ET122" s="143">
        <f t="shared" si="377"/>
        <v>11.156250521031495</v>
      </c>
      <c r="EU122" s="143">
        <f t="shared" si="377"/>
        <v>11.156250521031495</v>
      </c>
      <c r="EV122" s="143">
        <f t="shared" si="377"/>
        <v>11.156250521031495</v>
      </c>
      <c r="EW122" s="143">
        <f t="shared" si="377"/>
        <v>11.156250521031495</v>
      </c>
      <c r="EX122" s="143">
        <f t="shared" si="377"/>
        <v>11.156250521031495</v>
      </c>
      <c r="EY122" s="143">
        <f t="shared" si="377"/>
        <v>11.156250521031495</v>
      </c>
      <c r="EZ122" s="143">
        <f t="shared" si="377"/>
        <v>11.156250521031495</v>
      </c>
      <c r="FA122" s="143">
        <f t="shared" si="377"/>
        <v>11.156250521031495</v>
      </c>
      <c r="FB122" s="143">
        <f t="shared" si="377"/>
        <v>11.156250521031495</v>
      </c>
      <c r="FC122" s="143">
        <f t="shared" si="377"/>
        <v>11.156250521031495</v>
      </c>
      <c r="FD122" s="143">
        <f t="shared" si="377"/>
        <v>11.156250521031495</v>
      </c>
      <c r="FE122" s="143">
        <f t="shared" si="377"/>
        <v>11.156250521031495</v>
      </c>
      <c r="FF122" s="143">
        <f t="shared" si="377"/>
        <v>11.156250521031495</v>
      </c>
      <c r="FG122" s="143">
        <f t="shared" si="377"/>
        <v>11.156250521031495</v>
      </c>
      <c r="FH122" s="143">
        <f t="shared" si="377"/>
        <v>11.156250521031495</v>
      </c>
      <c r="FI122" s="143">
        <f t="shared" si="377"/>
        <v>11.156250521031495</v>
      </c>
      <c r="FJ122" s="143">
        <f t="shared" si="76"/>
        <v>11.553107254603061</v>
      </c>
      <c r="FK122" s="143">
        <f t="shared" ref="FK122:GC122" si="378">FJ122</f>
        <v>11.553107254603061</v>
      </c>
      <c r="FL122" s="143">
        <f t="shared" si="378"/>
        <v>11.553107254603061</v>
      </c>
      <c r="FM122" s="143">
        <f t="shared" si="378"/>
        <v>11.553107254603061</v>
      </c>
      <c r="FN122" s="143">
        <f t="shared" si="378"/>
        <v>11.553107254603061</v>
      </c>
      <c r="FO122" s="143">
        <f t="shared" si="378"/>
        <v>11.553107254603061</v>
      </c>
      <c r="FP122" s="143">
        <f t="shared" si="378"/>
        <v>11.553107254603061</v>
      </c>
      <c r="FQ122" s="143">
        <f t="shared" si="378"/>
        <v>11.553107254603061</v>
      </c>
      <c r="FR122" s="143">
        <f t="shared" si="378"/>
        <v>11.553107254603061</v>
      </c>
      <c r="FS122" s="143">
        <f t="shared" si="378"/>
        <v>11.553107254603061</v>
      </c>
      <c r="FT122" s="143">
        <f t="shared" si="378"/>
        <v>11.553107254603061</v>
      </c>
      <c r="FU122" s="143">
        <f t="shared" si="378"/>
        <v>11.553107254603061</v>
      </c>
      <c r="FV122" s="143">
        <f t="shared" si="378"/>
        <v>11.553107254603061</v>
      </c>
      <c r="FW122" s="143">
        <f t="shared" si="378"/>
        <v>11.553107254603061</v>
      </c>
      <c r="FX122" s="143">
        <f t="shared" si="378"/>
        <v>11.553107254603061</v>
      </c>
      <c r="FY122" s="143">
        <f t="shared" si="378"/>
        <v>11.553107254603061</v>
      </c>
      <c r="FZ122" s="143">
        <f t="shared" si="378"/>
        <v>11.553107254603061</v>
      </c>
      <c r="GA122" s="143">
        <f t="shared" si="378"/>
        <v>11.553107254603061</v>
      </c>
      <c r="GB122" s="143">
        <f t="shared" si="378"/>
        <v>11.553107254603061</v>
      </c>
      <c r="GC122" s="143">
        <f t="shared" si="378"/>
        <v>11.553107254603061</v>
      </c>
      <c r="GD122" s="143">
        <f t="shared" si="78"/>
        <v>11.902938468519471</v>
      </c>
      <c r="GE122" s="143">
        <f t="shared" ref="GE122:GM122" si="379">GD122</f>
        <v>11.902938468519471</v>
      </c>
      <c r="GF122" s="143">
        <f t="shared" si="379"/>
        <v>11.902938468519471</v>
      </c>
      <c r="GG122" s="143">
        <f t="shared" si="379"/>
        <v>11.902938468519471</v>
      </c>
      <c r="GH122" s="143">
        <f t="shared" si="379"/>
        <v>11.902938468519471</v>
      </c>
      <c r="GI122" s="143">
        <f t="shared" si="379"/>
        <v>11.902938468519471</v>
      </c>
      <c r="GJ122" s="143">
        <f t="shared" si="379"/>
        <v>11.902938468519471</v>
      </c>
      <c r="GK122" s="143">
        <f t="shared" si="379"/>
        <v>11.902938468519471</v>
      </c>
      <c r="GL122" s="143">
        <f t="shared" si="379"/>
        <v>11.902938468519471</v>
      </c>
      <c r="GM122" s="143">
        <f t="shared" si="379"/>
        <v>11.902938468519471</v>
      </c>
      <c r="GN122" s="143">
        <f t="shared" si="80"/>
        <v>12.197536314507888</v>
      </c>
      <c r="GO122" s="143">
        <f t="shared" si="288"/>
        <v>12.197536314507888</v>
      </c>
      <c r="GP122" s="143">
        <f t="shared" si="288"/>
        <v>12.197536314507888</v>
      </c>
      <c r="GQ122" s="143">
        <f t="shared" si="288"/>
        <v>12.197536314507888</v>
      </c>
      <c r="GR122" s="143">
        <f t="shared" si="288"/>
        <v>12.197536314507888</v>
      </c>
      <c r="GS122" s="143">
        <f t="shared" si="82"/>
        <v>12.672319225898198</v>
      </c>
      <c r="GT122" s="143">
        <f t="shared" si="289"/>
        <v>12.672319225898198</v>
      </c>
      <c r="GU122" s="143">
        <f t="shared" si="289"/>
        <v>12.672319225898198</v>
      </c>
      <c r="GV122" s="143">
        <f t="shared" si="289"/>
        <v>12.672319225898198</v>
      </c>
      <c r="GW122" s="143">
        <f t="shared" si="84"/>
        <v>14.354981945920173</v>
      </c>
    </row>
    <row r="123" spans="1:205" s="46" customFormat="1" ht="9.75" customHeight="1">
      <c r="A123" s="60">
        <v>2009</v>
      </c>
      <c r="B123" s="143">
        <f t="shared" si="85"/>
        <v>1.4543424176371653</v>
      </c>
      <c r="C123" s="143">
        <f t="shared" si="54"/>
        <v>0.89786523380227146</v>
      </c>
      <c r="D123" s="60"/>
      <c r="E123" s="143">
        <f t="shared" si="55"/>
        <v>4.6051701859880918</v>
      </c>
      <c r="F123" s="143">
        <f t="shared" ref="F123:X123" si="380">E123</f>
        <v>4.6051701859880918</v>
      </c>
      <c r="G123" s="143">
        <f t="shared" si="380"/>
        <v>4.6051701859880918</v>
      </c>
      <c r="H123" s="143">
        <f t="shared" si="380"/>
        <v>4.6051701859880918</v>
      </c>
      <c r="I123" s="143">
        <f t="shared" si="380"/>
        <v>4.6051701859880918</v>
      </c>
      <c r="J123" s="143">
        <f t="shared" si="380"/>
        <v>4.6051701859880918</v>
      </c>
      <c r="K123" s="143">
        <f t="shared" si="380"/>
        <v>4.6051701859880918</v>
      </c>
      <c r="L123" s="143">
        <f t="shared" si="380"/>
        <v>4.6051701859880918</v>
      </c>
      <c r="M123" s="143">
        <f t="shared" si="380"/>
        <v>4.6051701859880918</v>
      </c>
      <c r="N123" s="143">
        <f t="shared" si="380"/>
        <v>4.6051701859880918</v>
      </c>
      <c r="O123" s="143">
        <f t="shared" si="380"/>
        <v>4.6051701859880918</v>
      </c>
      <c r="P123" s="143">
        <f t="shared" si="380"/>
        <v>4.6051701859880918</v>
      </c>
      <c r="Q123" s="143">
        <f t="shared" si="380"/>
        <v>4.6051701859880918</v>
      </c>
      <c r="R123" s="143">
        <f t="shared" si="380"/>
        <v>4.6051701859880918</v>
      </c>
      <c r="S123" s="143">
        <f t="shared" si="380"/>
        <v>4.6051701859880918</v>
      </c>
      <c r="T123" s="143">
        <f t="shared" si="380"/>
        <v>4.6051701859880918</v>
      </c>
      <c r="U123" s="143">
        <f t="shared" si="380"/>
        <v>4.6051701859880918</v>
      </c>
      <c r="V123" s="143">
        <f t="shared" si="380"/>
        <v>4.6051701859880918</v>
      </c>
      <c r="W123" s="143">
        <f t="shared" si="380"/>
        <v>4.6051701859880918</v>
      </c>
      <c r="X123" s="143">
        <f t="shared" si="380"/>
        <v>4.6051701859880918</v>
      </c>
      <c r="Y123" s="143">
        <f t="shared" si="57"/>
        <v>8.0355379449500273</v>
      </c>
      <c r="Z123" s="143">
        <f t="shared" ref="Z123:AR123" si="381">Y123</f>
        <v>8.0355379449500273</v>
      </c>
      <c r="AA123" s="143">
        <f t="shared" si="381"/>
        <v>8.0355379449500273</v>
      </c>
      <c r="AB123" s="143">
        <f t="shared" si="381"/>
        <v>8.0355379449500273</v>
      </c>
      <c r="AC123" s="143">
        <f t="shared" si="381"/>
        <v>8.0355379449500273</v>
      </c>
      <c r="AD123" s="143">
        <f t="shared" si="381"/>
        <v>8.0355379449500273</v>
      </c>
      <c r="AE123" s="143">
        <f t="shared" si="381"/>
        <v>8.0355379449500273</v>
      </c>
      <c r="AF123" s="143">
        <f t="shared" si="381"/>
        <v>8.0355379449500273</v>
      </c>
      <c r="AG123" s="143">
        <f t="shared" si="381"/>
        <v>8.0355379449500273</v>
      </c>
      <c r="AH123" s="143">
        <f t="shared" si="381"/>
        <v>8.0355379449500273</v>
      </c>
      <c r="AI123" s="143">
        <f t="shared" si="381"/>
        <v>8.0355379449500273</v>
      </c>
      <c r="AJ123" s="143">
        <f t="shared" si="381"/>
        <v>8.0355379449500273</v>
      </c>
      <c r="AK123" s="143">
        <f t="shared" si="381"/>
        <v>8.0355379449500273</v>
      </c>
      <c r="AL123" s="143">
        <f t="shared" si="381"/>
        <v>8.0355379449500273</v>
      </c>
      <c r="AM123" s="143">
        <f t="shared" si="381"/>
        <v>8.0355379449500273</v>
      </c>
      <c r="AN123" s="143">
        <f t="shared" si="381"/>
        <v>8.0355379449500273</v>
      </c>
      <c r="AO123" s="143">
        <f t="shared" si="381"/>
        <v>8.0355379449500273</v>
      </c>
      <c r="AP123" s="143">
        <f t="shared" si="381"/>
        <v>8.0355379449500273</v>
      </c>
      <c r="AQ123" s="143">
        <f t="shared" si="381"/>
        <v>8.0355379449500273</v>
      </c>
      <c r="AR123" s="143">
        <f t="shared" si="381"/>
        <v>8.0355379449500273</v>
      </c>
      <c r="AS123" s="143">
        <f t="shared" si="59"/>
        <v>8.9960574490941703</v>
      </c>
      <c r="AT123" s="143">
        <f t="shared" ref="AT123:BL123" si="382">AS123</f>
        <v>8.9960574490941703</v>
      </c>
      <c r="AU123" s="143">
        <f t="shared" si="382"/>
        <v>8.9960574490941703</v>
      </c>
      <c r="AV123" s="143">
        <f t="shared" si="382"/>
        <v>8.9960574490941703</v>
      </c>
      <c r="AW123" s="143">
        <f t="shared" si="382"/>
        <v>8.9960574490941703</v>
      </c>
      <c r="AX123" s="143">
        <f t="shared" si="382"/>
        <v>8.9960574490941703</v>
      </c>
      <c r="AY123" s="143">
        <f t="shared" si="382"/>
        <v>8.9960574490941703</v>
      </c>
      <c r="AZ123" s="143">
        <f t="shared" si="382"/>
        <v>8.9960574490941703</v>
      </c>
      <c r="BA123" s="143">
        <f t="shared" si="382"/>
        <v>8.9960574490941703</v>
      </c>
      <c r="BB123" s="143">
        <f t="shared" si="382"/>
        <v>8.9960574490941703</v>
      </c>
      <c r="BC123" s="143">
        <f t="shared" si="382"/>
        <v>8.9960574490941703</v>
      </c>
      <c r="BD123" s="143">
        <f t="shared" si="382"/>
        <v>8.9960574490941703</v>
      </c>
      <c r="BE123" s="143">
        <f t="shared" si="382"/>
        <v>8.9960574490941703</v>
      </c>
      <c r="BF123" s="143">
        <f t="shared" si="382"/>
        <v>8.9960574490941703</v>
      </c>
      <c r="BG123" s="143">
        <f t="shared" si="382"/>
        <v>8.9960574490941703</v>
      </c>
      <c r="BH123" s="143">
        <f t="shared" si="382"/>
        <v>8.9960574490941703</v>
      </c>
      <c r="BI123" s="143">
        <f t="shared" si="382"/>
        <v>8.9960574490941703</v>
      </c>
      <c r="BJ123" s="143">
        <f t="shared" si="382"/>
        <v>8.9960574490941703</v>
      </c>
      <c r="BK123" s="143">
        <f t="shared" si="382"/>
        <v>8.9960574490941703</v>
      </c>
      <c r="BL123" s="143">
        <f t="shared" si="382"/>
        <v>8.9960574490941703</v>
      </c>
      <c r="BM123" s="143">
        <f t="shared" si="61"/>
        <v>9.6654524199737608</v>
      </c>
      <c r="BN123" s="143">
        <f t="shared" ref="BN123:CF123" si="383">BM123</f>
        <v>9.6654524199737608</v>
      </c>
      <c r="BO123" s="143">
        <f t="shared" si="383"/>
        <v>9.6654524199737608</v>
      </c>
      <c r="BP123" s="143">
        <f t="shared" si="383"/>
        <v>9.6654524199737608</v>
      </c>
      <c r="BQ123" s="143">
        <f t="shared" si="383"/>
        <v>9.6654524199737608</v>
      </c>
      <c r="BR123" s="143">
        <f t="shared" si="383"/>
        <v>9.6654524199737608</v>
      </c>
      <c r="BS123" s="143">
        <f t="shared" si="383"/>
        <v>9.6654524199737608</v>
      </c>
      <c r="BT123" s="143">
        <f t="shared" si="383"/>
        <v>9.6654524199737608</v>
      </c>
      <c r="BU123" s="143">
        <f t="shared" si="383"/>
        <v>9.6654524199737608</v>
      </c>
      <c r="BV123" s="143">
        <f t="shared" si="383"/>
        <v>9.6654524199737608</v>
      </c>
      <c r="BW123" s="143">
        <f t="shared" si="383"/>
        <v>9.6654524199737608</v>
      </c>
      <c r="BX123" s="143">
        <f t="shared" si="383"/>
        <v>9.6654524199737608</v>
      </c>
      <c r="BY123" s="143">
        <f t="shared" si="383"/>
        <v>9.6654524199737608</v>
      </c>
      <c r="BZ123" s="143">
        <f t="shared" si="383"/>
        <v>9.6654524199737608</v>
      </c>
      <c r="CA123" s="143">
        <f t="shared" si="383"/>
        <v>9.6654524199737608</v>
      </c>
      <c r="CB123" s="143">
        <f t="shared" si="383"/>
        <v>9.6654524199737608</v>
      </c>
      <c r="CC123" s="143">
        <f t="shared" si="383"/>
        <v>9.6654524199737608</v>
      </c>
      <c r="CD123" s="143">
        <f t="shared" si="383"/>
        <v>9.6654524199737608</v>
      </c>
      <c r="CE123" s="143">
        <f t="shared" si="383"/>
        <v>9.6654524199737608</v>
      </c>
      <c r="CF123" s="143">
        <f t="shared" si="383"/>
        <v>9.6654524199737608</v>
      </c>
      <c r="CG123" s="143">
        <f t="shared" si="63"/>
        <v>10.21294823991049</v>
      </c>
      <c r="CH123" s="143">
        <f t="shared" ref="CH123:CP123" si="384">CG123</f>
        <v>10.21294823991049</v>
      </c>
      <c r="CI123" s="143">
        <f t="shared" si="384"/>
        <v>10.21294823991049</v>
      </c>
      <c r="CJ123" s="143">
        <f t="shared" si="384"/>
        <v>10.21294823991049</v>
      </c>
      <c r="CK123" s="143">
        <f t="shared" si="384"/>
        <v>10.21294823991049</v>
      </c>
      <c r="CL123" s="143">
        <f t="shared" si="384"/>
        <v>10.21294823991049</v>
      </c>
      <c r="CM123" s="143">
        <f t="shared" si="384"/>
        <v>10.21294823991049</v>
      </c>
      <c r="CN123" s="143">
        <f t="shared" si="384"/>
        <v>10.21294823991049</v>
      </c>
      <c r="CO123" s="143">
        <f t="shared" si="384"/>
        <v>10.21294823991049</v>
      </c>
      <c r="CP123" s="143">
        <f t="shared" si="384"/>
        <v>10.21294823991049</v>
      </c>
      <c r="CQ123" s="143">
        <f t="shared" si="65"/>
        <v>10.617720850092333</v>
      </c>
      <c r="CR123" s="143">
        <f t="shared" si="281"/>
        <v>10.617720850092333</v>
      </c>
      <c r="CS123" s="143">
        <f t="shared" si="281"/>
        <v>10.617720850092333</v>
      </c>
      <c r="CT123" s="143">
        <f t="shared" si="281"/>
        <v>10.617720850092333</v>
      </c>
      <c r="CU123" s="143">
        <f t="shared" si="281"/>
        <v>10.617720850092333</v>
      </c>
      <c r="CV123" s="143">
        <f t="shared" si="67"/>
        <v>11.190718198142214</v>
      </c>
      <c r="CW123" s="143">
        <f t="shared" si="282"/>
        <v>11.190718198142214</v>
      </c>
      <c r="CX123" s="143">
        <f t="shared" si="282"/>
        <v>11.190718198142214</v>
      </c>
      <c r="CY123" s="143">
        <f t="shared" si="282"/>
        <v>11.190718198142214</v>
      </c>
      <c r="CZ123" s="143">
        <f t="shared" si="69"/>
        <v>12.858861786426163</v>
      </c>
      <c r="DA123" s="60"/>
      <c r="DB123" s="143">
        <f t="shared" si="70"/>
        <v>9.9183761650298781</v>
      </c>
      <c r="DC123" s="143">
        <f t="shared" ref="DC123:DU123" si="385">DB123</f>
        <v>9.9183761650298781</v>
      </c>
      <c r="DD123" s="143">
        <f t="shared" si="385"/>
        <v>9.9183761650298781</v>
      </c>
      <c r="DE123" s="143">
        <f t="shared" si="385"/>
        <v>9.9183761650298781</v>
      </c>
      <c r="DF123" s="143">
        <f t="shared" si="385"/>
        <v>9.9183761650298781</v>
      </c>
      <c r="DG123" s="143">
        <f t="shared" si="385"/>
        <v>9.9183761650298781</v>
      </c>
      <c r="DH123" s="143">
        <f t="shared" si="385"/>
        <v>9.9183761650298781</v>
      </c>
      <c r="DI123" s="143">
        <f t="shared" si="385"/>
        <v>9.9183761650298781</v>
      </c>
      <c r="DJ123" s="143">
        <f t="shared" si="385"/>
        <v>9.9183761650298781</v>
      </c>
      <c r="DK123" s="143">
        <f t="shared" si="385"/>
        <v>9.9183761650298781</v>
      </c>
      <c r="DL123" s="143">
        <f t="shared" si="385"/>
        <v>9.9183761650298781</v>
      </c>
      <c r="DM123" s="143">
        <f t="shared" si="385"/>
        <v>9.9183761650298781</v>
      </c>
      <c r="DN123" s="143">
        <f t="shared" si="385"/>
        <v>9.9183761650298781</v>
      </c>
      <c r="DO123" s="143">
        <f t="shared" si="385"/>
        <v>9.9183761650298781</v>
      </c>
      <c r="DP123" s="143">
        <f t="shared" si="385"/>
        <v>9.9183761650298781</v>
      </c>
      <c r="DQ123" s="143">
        <f t="shared" si="385"/>
        <v>9.9183761650298781</v>
      </c>
      <c r="DR123" s="143">
        <f t="shared" si="385"/>
        <v>9.9183761650298781</v>
      </c>
      <c r="DS123" s="143">
        <f t="shared" si="385"/>
        <v>9.9183761650298781</v>
      </c>
      <c r="DT123" s="143">
        <f t="shared" si="385"/>
        <v>9.9183761650298781</v>
      </c>
      <c r="DU123" s="143">
        <f t="shared" si="385"/>
        <v>9.9183761650298781</v>
      </c>
      <c r="DV123" s="143">
        <f t="shared" si="72"/>
        <v>10.666627104916108</v>
      </c>
      <c r="DW123" s="143">
        <f t="shared" ref="DW123:EO123" si="386">DV123</f>
        <v>10.666627104916108</v>
      </c>
      <c r="DX123" s="143">
        <f t="shared" si="386"/>
        <v>10.666627104916108</v>
      </c>
      <c r="DY123" s="143">
        <f t="shared" si="386"/>
        <v>10.666627104916108</v>
      </c>
      <c r="DZ123" s="143">
        <f t="shared" si="386"/>
        <v>10.666627104916108</v>
      </c>
      <c r="EA123" s="143">
        <f t="shared" si="386"/>
        <v>10.666627104916108</v>
      </c>
      <c r="EB123" s="143">
        <f t="shared" si="386"/>
        <v>10.666627104916108</v>
      </c>
      <c r="EC123" s="143">
        <f t="shared" si="386"/>
        <v>10.666627104916108</v>
      </c>
      <c r="ED123" s="143">
        <f t="shared" si="386"/>
        <v>10.666627104916108</v>
      </c>
      <c r="EE123" s="143">
        <f t="shared" si="386"/>
        <v>10.666627104916108</v>
      </c>
      <c r="EF123" s="143">
        <f t="shared" si="386"/>
        <v>10.666627104916108</v>
      </c>
      <c r="EG123" s="143">
        <f t="shared" si="386"/>
        <v>10.666627104916108</v>
      </c>
      <c r="EH123" s="143">
        <f t="shared" si="386"/>
        <v>10.666627104916108</v>
      </c>
      <c r="EI123" s="143">
        <f t="shared" si="386"/>
        <v>10.666627104916108</v>
      </c>
      <c r="EJ123" s="143">
        <f t="shared" si="386"/>
        <v>10.666627104916108</v>
      </c>
      <c r="EK123" s="143">
        <f t="shared" si="386"/>
        <v>10.666627104916108</v>
      </c>
      <c r="EL123" s="143">
        <f t="shared" si="386"/>
        <v>10.666627104916108</v>
      </c>
      <c r="EM123" s="143">
        <f t="shared" si="386"/>
        <v>10.666627104916108</v>
      </c>
      <c r="EN123" s="143">
        <f t="shared" si="386"/>
        <v>10.666627104916108</v>
      </c>
      <c r="EO123" s="143">
        <f t="shared" si="386"/>
        <v>10.666627104916108</v>
      </c>
      <c r="EP123" s="143">
        <f t="shared" si="74"/>
        <v>11.133128103610641</v>
      </c>
      <c r="EQ123" s="143">
        <f t="shared" ref="EQ123:FI123" si="387">EP123</f>
        <v>11.133128103610641</v>
      </c>
      <c r="ER123" s="143">
        <f t="shared" si="387"/>
        <v>11.133128103610641</v>
      </c>
      <c r="ES123" s="143">
        <f t="shared" si="387"/>
        <v>11.133128103610641</v>
      </c>
      <c r="ET123" s="143">
        <f t="shared" si="387"/>
        <v>11.133128103610641</v>
      </c>
      <c r="EU123" s="143">
        <f t="shared" si="387"/>
        <v>11.133128103610641</v>
      </c>
      <c r="EV123" s="143">
        <f t="shared" si="387"/>
        <v>11.133128103610641</v>
      </c>
      <c r="EW123" s="143">
        <f t="shared" si="387"/>
        <v>11.133128103610641</v>
      </c>
      <c r="EX123" s="143">
        <f t="shared" si="387"/>
        <v>11.133128103610641</v>
      </c>
      <c r="EY123" s="143">
        <f t="shared" si="387"/>
        <v>11.133128103610641</v>
      </c>
      <c r="EZ123" s="143">
        <f t="shared" si="387"/>
        <v>11.133128103610641</v>
      </c>
      <c r="FA123" s="143">
        <f t="shared" si="387"/>
        <v>11.133128103610641</v>
      </c>
      <c r="FB123" s="143">
        <f t="shared" si="387"/>
        <v>11.133128103610641</v>
      </c>
      <c r="FC123" s="143">
        <f t="shared" si="387"/>
        <v>11.133128103610641</v>
      </c>
      <c r="FD123" s="143">
        <f t="shared" si="387"/>
        <v>11.133128103610641</v>
      </c>
      <c r="FE123" s="143">
        <f t="shared" si="387"/>
        <v>11.133128103610641</v>
      </c>
      <c r="FF123" s="143">
        <f t="shared" si="387"/>
        <v>11.133128103610641</v>
      </c>
      <c r="FG123" s="143">
        <f t="shared" si="387"/>
        <v>11.133128103610641</v>
      </c>
      <c r="FH123" s="143">
        <f t="shared" si="387"/>
        <v>11.133128103610641</v>
      </c>
      <c r="FI123" s="143">
        <f t="shared" si="387"/>
        <v>11.133128103610641</v>
      </c>
      <c r="FJ123" s="143">
        <f t="shared" si="76"/>
        <v>11.529782582036651</v>
      </c>
      <c r="FK123" s="143">
        <f t="shared" ref="FK123:GC123" si="388">FJ123</f>
        <v>11.529782582036651</v>
      </c>
      <c r="FL123" s="143">
        <f t="shared" si="388"/>
        <v>11.529782582036651</v>
      </c>
      <c r="FM123" s="143">
        <f t="shared" si="388"/>
        <v>11.529782582036651</v>
      </c>
      <c r="FN123" s="143">
        <f t="shared" si="388"/>
        <v>11.529782582036651</v>
      </c>
      <c r="FO123" s="143">
        <f t="shared" si="388"/>
        <v>11.529782582036651</v>
      </c>
      <c r="FP123" s="143">
        <f t="shared" si="388"/>
        <v>11.529782582036651</v>
      </c>
      <c r="FQ123" s="143">
        <f t="shared" si="388"/>
        <v>11.529782582036651</v>
      </c>
      <c r="FR123" s="143">
        <f t="shared" si="388"/>
        <v>11.529782582036651</v>
      </c>
      <c r="FS123" s="143">
        <f t="shared" si="388"/>
        <v>11.529782582036651</v>
      </c>
      <c r="FT123" s="143">
        <f t="shared" si="388"/>
        <v>11.529782582036651</v>
      </c>
      <c r="FU123" s="143">
        <f t="shared" si="388"/>
        <v>11.529782582036651</v>
      </c>
      <c r="FV123" s="143">
        <f t="shared" si="388"/>
        <v>11.529782582036651</v>
      </c>
      <c r="FW123" s="143">
        <f t="shared" si="388"/>
        <v>11.529782582036651</v>
      </c>
      <c r="FX123" s="143">
        <f t="shared" si="388"/>
        <v>11.529782582036651</v>
      </c>
      <c r="FY123" s="143">
        <f t="shared" si="388"/>
        <v>11.529782582036651</v>
      </c>
      <c r="FZ123" s="143">
        <f t="shared" si="388"/>
        <v>11.529782582036651</v>
      </c>
      <c r="GA123" s="143">
        <f t="shared" si="388"/>
        <v>11.529782582036651</v>
      </c>
      <c r="GB123" s="143">
        <f t="shared" si="388"/>
        <v>11.529782582036651</v>
      </c>
      <c r="GC123" s="143">
        <f t="shared" si="388"/>
        <v>11.529782582036651</v>
      </c>
      <c r="GD123" s="143">
        <f t="shared" si="78"/>
        <v>11.878956503832987</v>
      </c>
      <c r="GE123" s="143">
        <f t="shared" ref="GE123:GM123" si="389">GD123</f>
        <v>11.878956503832987</v>
      </c>
      <c r="GF123" s="143">
        <f t="shared" si="389"/>
        <v>11.878956503832987</v>
      </c>
      <c r="GG123" s="143">
        <f t="shared" si="389"/>
        <v>11.878956503832987</v>
      </c>
      <c r="GH123" s="143">
        <f t="shared" si="389"/>
        <v>11.878956503832987</v>
      </c>
      <c r="GI123" s="143">
        <f t="shared" si="389"/>
        <v>11.878956503832987</v>
      </c>
      <c r="GJ123" s="143">
        <f t="shared" si="389"/>
        <v>11.878956503832987</v>
      </c>
      <c r="GK123" s="143">
        <f t="shared" si="389"/>
        <v>11.878956503832987</v>
      </c>
      <c r="GL123" s="143">
        <f t="shared" si="389"/>
        <v>11.878956503832987</v>
      </c>
      <c r="GM123" s="143">
        <f t="shared" si="389"/>
        <v>11.878956503832987</v>
      </c>
      <c r="GN123" s="143">
        <f t="shared" si="80"/>
        <v>12.168889854402458</v>
      </c>
      <c r="GO123" s="143">
        <f t="shared" si="288"/>
        <v>12.168889854402458</v>
      </c>
      <c r="GP123" s="143">
        <f t="shared" si="288"/>
        <v>12.168889854402458</v>
      </c>
      <c r="GQ123" s="143">
        <f t="shared" si="288"/>
        <v>12.168889854402458</v>
      </c>
      <c r="GR123" s="143">
        <f t="shared" si="288"/>
        <v>12.168889854402458</v>
      </c>
      <c r="GS123" s="143">
        <f t="shared" si="82"/>
        <v>12.609535750967664</v>
      </c>
      <c r="GT123" s="143">
        <f t="shared" si="289"/>
        <v>12.609535750967664</v>
      </c>
      <c r="GU123" s="143">
        <f t="shared" si="289"/>
        <v>12.609535750967664</v>
      </c>
      <c r="GV123" s="143">
        <f t="shared" si="289"/>
        <v>12.609535750967664</v>
      </c>
      <c r="GW123" s="143">
        <f t="shared" si="84"/>
        <v>14.107134849648679</v>
      </c>
    </row>
    <row r="124" spans="1:205" s="46" customFormat="1" ht="9.75" customHeight="1">
      <c r="A124" s="60">
        <v>2010</v>
      </c>
      <c r="B124" s="143">
        <f t="shared" si="85"/>
        <v>1.4159857252738428</v>
      </c>
      <c r="C124" s="143">
        <f t="shared" si="54"/>
        <v>0.89450058757633755</v>
      </c>
      <c r="D124" s="60"/>
      <c r="E124" s="143">
        <f t="shared" si="55"/>
        <v>4.6051701859880918</v>
      </c>
      <c r="F124" s="143">
        <f t="shared" ref="F124:X124" si="390">E124</f>
        <v>4.6051701859880918</v>
      </c>
      <c r="G124" s="143">
        <f t="shared" si="390"/>
        <v>4.6051701859880918</v>
      </c>
      <c r="H124" s="143">
        <f t="shared" si="390"/>
        <v>4.6051701859880918</v>
      </c>
      <c r="I124" s="143">
        <f t="shared" si="390"/>
        <v>4.6051701859880918</v>
      </c>
      <c r="J124" s="143">
        <f t="shared" si="390"/>
        <v>4.6051701859880918</v>
      </c>
      <c r="K124" s="143">
        <f t="shared" si="390"/>
        <v>4.6051701859880918</v>
      </c>
      <c r="L124" s="143">
        <f t="shared" si="390"/>
        <v>4.6051701859880918</v>
      </c>
      <c r="M124" s="143">
        <f t="shared" si="390"/>
        <v>4.6051701859880918</v>
      </c>
      <c r="N124" s="143">
        <f t="shared" si="390"/>
        <v>4.6051701859880918</v>
      </c>
      <c r="O124" s="143">
        <f t="shared" si="390"/>
        <v>4.6051701859880918</v>
      </c>
      <c r="P124" s="143">
        <f t="shared" si="390"/>
        <v>4.6051701859880918</v>
      </c>
      <c r="Q124" s="143">
        <f t="shared" si="390"/>
        <v>4.6051701859880918</v>
      </c>
      <c r="R124" s="143">
        <f t="shared" si="390"/>
        <v>4.6051701859880918</v>
      </c>
      <c r="S124" s="143">
        <f t="shared" si="390"/>
        <v>4.6051701859880918</v>
      </c>
      <c r="T124" s="143">
        <f t="shared" si="390"/>
        <v>4.6051701859880918</v>
      </c>
      <c r="U124" s="143">
        <f t="shared" si="390"/>
        <v>4.6051701859880918</v>
      </c>
      <c r="V124" s="143">
        <f t="shared" si="390"/>
        <v>4.6051701859880918</v>
      </c>
      <c r="W124" s="143">
        <f t="shared" si="390"/>
        <v>4.6051701859880918</v>
      </c>
      <c r="X124" s="143">
        <f t="shared" si="390"/>
        <v>4.6051701859880918</v>
      </c>
      <c r="Y124" s="143">
        <f t="shared" si="57"/>
        <v>8.0755204263385636</v>
      </c>
      <c r="Z124" s="143">
        <f t="shared" ref="Z124:AR124" si="391">Y124</f>
        <v>8.0755204263385636</v>
      </c>
      <c r="AA124" s="143">
        <f t="shared" si="391"/>
        <v>8.0755204263385636</v>
      </c>
      <c r="AB124" s="143">
        <f t="shared" si="391"/>
        <v>8.0755204263385636</v>
      </c>
      <c r="AC124" s="143">
        <f t="shared" si="391"/>
        <v>8.0755204263385636</v>
      </c>
      <c r="AD124" s="143">
        <f t="shared" si="391"/>
        <v>8.0755204263385636</v>
      </c>
      <c r="AE124" s="143">
        <f t="shared" si="391"/>
        <v>8.0755204263385636</v>
      </c>
      <c r="AF124" s="143">
        <f t="shared" si="391"/>
        <v>8.0755204263385636</v>
      </c>
      <c r="AG124" s="143">
        <f t="shared" si="391"/>
        <v>8.0755204263385636</v>
      </c>
      <c r="AH124" s="143">
        <f t="shared" si="391"/>
        <v>8.0755204263385636</v>
      </c>
      <c r="AI124" s="143">
        <f t="shared" si="391"/>
        <v>8.0755204263385636</v>
      </c>
      <c r="AJ124" s="143">
        <f t="shared" si="391"/>
        <v>8.0755204263385636</v>
      </c>
      <c r="AK124" s="143">
        <f t="shared" si="391"/>
        <v>8.0755204263385636</v>
      </c>
      <c r="AL124" s="143">
        <f t="shared" si="391"/>
        <v>8.0755204263385636</v>
      </c>
      <c r="AM124" s="143">
        <f t="shared" si="391"/>
        <v>8.0755204263385636</v>
      </c>
      <c r="AN124" s="143">
        <f t="shared" si="391"/>
        <v>8.0755204263385636</v>
      </c>
      <c r="AO124" s="143">
        <f t="shared" si="391"/>
        <v>8.0755204263385636</v>
      </c>
      <c r="AP124" s="143">
        <f t="shared" si="391"/>
        <v>8.0755204263385636</v>
      </c>
      <c r="AQ124" s="143">
        <f t="shared" si="391"/>
        <v>8.0755204263385636</v>
      </c>
      <c r="AR124" s="143">
        <f t="shared" si="391"/>
        <v>8.0755204263385636</v>
      </c>
      <c r="AS124" s="143">
        <f t="shared" si="59"/>
        <v>9.0108767255149704</v>
      </c>
      <c r="AT124" s="143">
        <f t="shared" ref="AT124:BL124" si="392">AS124</f>
        <v>9.0108767255149704</v>
      </c>
      <c r="AU124" s="143">
        <f t="shared" si="392"/>
        <v>9.0108767255149704</v>
      </c>
      <c r="AV124" s="143">
        <f t="shared" si="392"/>
        <v>9.0108767255149704</v>
      </c>
      <c r="AW124" s="143">
        <f t="shared" si="392"/>
        <v>9.0108767255149704</v>
      </c>
      <c r="AX124" s="143">
        <f t="shared" si="392"/>
        <v>9.0108767255149704</v>
      </c>
      <c r="AY124" s="143">
        <f t="shared" si="392"/>
        <v>9.0108767255149704</v>
      </c>
      <c r="AZ124" s="143">
        <f t="shared" si="392"/>
        <v>9.0108767255149704</v>
      </c>
      <c r="BA124" s="143">
        <f t="shared" si="392"/>
        <v>9.0108767255149704</v>
      </c>
      <c r="BB124" s="143">
        <f t="shared" si="392"/>
        <v>9.0108767255149704</v>
      </c>
      <c r="BC124" s="143">
        <f t="shared" si="392"/>
        <v>9.0108767255149704</v>
      </c>
      <c r="BD124" s="143">
        <f t="shared" si="392"/>
        <v>9.0108767255149704</v>
      </c>
      <c r="BE124" s="143">
        <f t="shared" si="392"/>
        <v>9.0108767255149704</v>
      </c>
      <c r="BF124" s="143">
        <f t="shared" si="392"/>
        <v>9.0108767255149704</v>
      </c>
      <c r="BG124" s="143">
        <f t="shared" si="392"/>
        <v>9.0108767255149704</v>
      </c>
      <c r="BH124" s="143">
        <f t="shared" si="392"/>
        <v>9.0108767255149704</v>
      </c>
      <c r="BI124" s="143">
        <f t="shared" si="392"/>
        <v>9.0108767255149704</v>
      </c>
      <c r="BJ124" s="143">
        <f t="shared" si="392"/>
        <v>9.0108767255149704</v>
      </c>
      <c r="BK124" s="143">
        <f t="shared" si="392"/>
        <v>9.0108767255149704</v>
      </c>
      <c r="BL124" s="143">
        <f t="shared" si="392"/>
        <v>9.0108767255149704</v>
      </c>
      <c r="BM124" s="143">
        <f t="shared" si="61"/>
        <v>9.6860029590735959</v>
      </c>
      <c r="BN124" s="143">
        <f t="shared" ref="BN124:CF124" si="393">BM124</f>
        <v>9.6860029590735959</v>
      </c>
      <c r="BO124" s="143">
        <f t="shared" si="393"/>
        <v>9.6860029590735959</v>
      </c>
      <c r="BP124" s="143">
        <f t="shared" si="393"/>
        <v>9.6860029590735959</v>
      </c>
      <c r="BQ124" s="143">
        <f t="shared" si="393"/>
        <v>9.6860029590735959</v>
      </c>
      <c r="BR124" s="143">
        <f t="shared" si="393"/>
        <v>9.6860029590735959</v>
      </c>
      <c r="BS124" s="143">
        <f t="shared" si="393"/>
        <v>9.6860029590735959</v>
      </c>
      <c r="BT124" s="143">
        <f t="shared" si="393"/>
        <v>9.6860029590735959</v>
      </c>
      <c r="BU124" s="143">
        <f t="shared" si="393"/>
        <v>9.6860029590735959</v>
      </c>
      <c r="BV124" s="143">
        <f t="shared" si="393"/>
        <v>9.6860029590735959</v>
      </c>
      <c r="BW124" s="143">
        <f t="shared" si="393"/>
        <v>9.6860029590735959</v>
      </c>
      <c r="BX124" s="143">
        <f t="shared" si="393"/>
        <v>9.6860029590735959</v>
      </c>
      <c r="BY124" s="143">
        <f t="shared" si="393"/>
        <v>9.6860029590735959</v>
      </c>
      <c r="BZ124" s="143">
        <f t="shared" si="393"/>
        <v>9.6860029590735959</v>
      </c>
      <c r="CA124" s="143">
        <f t="shared" si="393"/>
        <v>9.6860029590735959</v>
      </c>
      <c r="CB124" s="143">
        <f t="shared" si="393"/>
        <v>9.6860029590735959</v>
      </c>
      <c r="CC124" s="143">
        <f t="shared" si="393"/>
        <v>9.6860029590735959</v>
      </c>
      <c r="CD124" s="143">
        <f t="shared" si="393"/>
        <v>9.6860029590735959</v>
      </c>
      <c r="CE124" s="143">
        <f t="shared" si="393"/>
        <v>9.6860029590735959</v>
      </c>
      <c r="CF124" s="143">
        <f t="shared" si="393"/>
        <v>9.6860029590735959</v>
      </c>
      <c r="CG124" s="143">
        <f t="shared" si="63"/>
        <v>10.239752624843153</v>
      </c>
      <c r="CH124" s="143">
        <f t="shared" ref="CH124:CP124" si="394">CG124</f>
        <v>10.239752624843153</v>
      </c>
      <c r="CI124" s="143">
        <f t="shared" si="394"/>
        <v>10.239752624843153</v>
      </c>
      <c r="CJ124" s="143">
        <f t="shared" si="394"/>
        <v>10.239752624843153</v>
      </c>
      <c r="CK124" s="143">
        <f t="shared" si="394"/>
        <v>10.239752624843153</v>
      </c>
      <c r="CL124" s="143">
        <f t="shared" si="394"/>
        <v>10.239752624843153</v>
      </c>
      <c r="CM124" s="143">
        <f t="shared" si="394"/>
        <v>10.239752624843153</v>
      </c>
      <c r="CN124" s="143">
        <f t="shared" si="394"/>
        <v>10.239752624843153</v>
      </c>
      <c r="CO124" s="143">
        <f t="shared" si="394"/>
        <v>10.239752624843153</v>
      </c>
      <c r="CP124" s="143">
        <f t="shared" si="394"/>
        <v>10.239752624843153</v>
      </c>
      <c r="CQ124" s="143">
        <f t="shared" si="65"/>
        <v>10.644166963541389</v>
      </c>
      <c r="CR124" s="143">
        <f t="shared" si="281"/>
        <v>10.644166963541389</v>
      </c>
      <c r="CS124" s="143">
        <f t="shared" si="281"/>
        <v>10.644166963541389</v>
      </c>
      <c r="CT124" s="143">
        <f t="shared" si="281"/>
        <v>10.644166963541389</v>
      </c>
      <c r="CU124" s="143">
        <f t="shared" si="281"/>
        <v>10.644166963541389</v>
      </c>
      <c r="CV124" s="143">
        <f t="shared" si="67"/>
        <v>11.243528529138556</v>
      </c>
      <c r="CW124" s="143">
        <f t="shared" si="282"/>
        <v>11.243528529138556</v>
      </c>
      <c r="CX124" s="143">
        <f t="shared" si="282"/>
        <v>11.243528529138556</v>
      </c>
      <c r="CY124" s="143">
        <f t="shared" si="282"/>
        <v>11.243528529138556</v>
      </c>
      <c r="CZ124" s="143">
        <f t="shared" si="69"/>
        <v>13.017695288630334</v>
      </c>
      <c r="DA124" s="60"/>
      <c r="DB124" s="143">
        <f t="shared" si="70"/>
        <v>9.8934372166826261</v>
      </c>
      <c r="DC124" s="143">
        <f t="shared" ref="DC124:DU124" si="395">DB124</f>
        <v>9.8934372166826261</v>
      </c>
      <c r="DD124" s="143">
        <f t="shared" si="395"/>
        <v>9.8934372166826261</v>
      </c>
      <c r="DE124" s="143">
        <f t="shared" si="395"/>
        <v>9.8934372166826261</v>
      </c>
      <c r="DF124" s="143">
        <f t="shared" si="395"/>
        <v>9.8934372166826261</v>
      </c>
      <c r="DG124" s="143">
        <f t="shared" si="395"/>
        <v>9.8934372166826261</v>
      </c>
      <c r="DH124" s="143">
        <f t="shared" si="395"/>
        <v>9.8934372166826261</v>
      </c>
      <c r="DI124" s="143">
        <f t="shared" si="395"/>
        <v>9.8934372166826261</v>
      </c>
      <c r="DJ124" s="143">
        <f t="shared" si="395"/>
        <v>9.8934372166826261</v>
      </c>
      <c r="DK124" s="143">
        <f t="shared" si="395"/>
        <v>9.8934372166826261</v>
      </c>
      <c r="DL124" s="143">
        <f t="shared" si="395"/>
        <v>9.8934372166826261</v>
      </c>
      <c r="DM124" s="143">
        <f t="shared" si="395"/>
        <v>9.8934372166826261</v>
      </c>
      <c r="DN124" s="143">
        <f t="shared" si="395"/>
        <v>9.8934372166826261</v>
      </c>
      <c r="DO124" s="143">
        <f t="shared" si="395"/>
        <v>9.8934372166826261</v>
      </c>
      <c r="DP124" s="143">
        <f t="shared" si="395"/>
        <v>9.8934372166826261</v>
      </c>
      <c r="DQ124" s="143">
        <f t="shared" si="395"/>
        <v>9.8934372166826261</v>
      </c>
      <c r="DR124" s="143">
        <f t="shared" si="395"/>
        <v>9.8934372166826261</v>
      </c>
      <c r="DS124" s="143">
        <f t="shared" si="395"/>
        <v>9.8934372166826261</v>
      </c>
      <c r="DT124" s="143">
        <f t="shared" si="395"/>
        <v>9.8934372166826261</v>
      </c>
      <c r="DU124" s="143">
        <f t="shared" si="395"/>
        <v>9.8934372166826261</v>
      </c>
      <c r="DV124" s="143">
        <f t="shared" si="72"/>
        <v>10.652542365034369</v>
      </c>
      <c r="DW124" s="143">
        <f t="shared" ref="DW124:EO124" si="396">DV124</f>
        <v>10.652542365034369</v>
      </c>
      <c r="DX124" s="143">
        <f t="shared" si="396"/>
        <v>10.652542365034369</v>
      </c>
      <c r="DY124" s="143">
        <f t="shared" si="396"/>
        <v>10.652542365034369</v>
      </c>
      <c r="DZ124" s="143">
        <f t="shared" si="396"/>
        <v>10.652542365034369</v>
      </c>
      <c r="EA124" s="143">
        <f t="shared" si="396"/>
        <v>10.652542365034369</v>
      </c>
      <c r="EB124" s="143">
        <f t="shared" si="396"/>
        <v>10.652542365034369</v>
      </c>
      <c r="EC124" s="143">
        <f t="shared" si="396"/>
        <v>10.652542365034369</v>
      </c>
      <c r="ED124" s="143">
        <f t="shared" si="396"/>
        <v>10.652542365034369</v>
      </c>
      <c r="EE124" s="143">
        <f t="shared" si="396"/>
        <v>10.652542365034369</v>
      </c>
      <c r="EF124" s="143">
        <f t="shared" si="396"/>
        <v>10.652542365034369</v>
      </c>
      <c r="EG124" s="143">
        <f t="shared" si="396"/>
        <v>10.652542365034369</v>
      </c>
      <c r="EH124" s="143">
        <f t="shared" si="396"/>
        <v>10.652542365034369</v>
      </c>
      <c r="EI124" s="143">
        <f t="shared" si="396"/>
        <v>10.652542365034369</v>
      </c>
      <c r="EJ124" s="143">
        <f t="shared" si="396"/>
        <v>10.652542365034369</v>
      </c>
      <c r="EK124" s="143">
        <f t="shared" si="396"/>
        <v>10.652542365034369</v>
      </c>
      <c r="EL124" s="143">
        <f t="shared" si="396"/>
        <v>10.652542365034369</v>
      </c>
      <c r="EM124" s="143">
        <f t="shared" si="396"/>
        <v>10.652542365034369</v>
      </c>
      <c r="EN124" s="143">
        <f t="shared" si="396"/>
        <v>10.652542365034369</v>
      </c>
      <c r="EO124" s="143">
        <f t="shared" si="396"/>
        <v>10.652542365034369</v>
      </c>
      <c r="EP124" s="143">
        <f t="shared" si="74"/>
        <v>11.122841458900366</v>
      </c>
      <c r="EQ124" s="143">
        <f t="shared" ref="EQ124:FI124" si="397">EP124</f>
        <v>11.122841458900366</v>
      </c>
      <c r="ER124" s="143">
        <f t="shared" si="397"/>
        <v>11.122841458900366</v>
      </c>
      <c r="ES124" s="143">
        <f t="shared" si="397"/>
        <v>11.122841458900366</v>
      </c>
      <c r="ET124" s="143">
        <f t="shared" si="397"/>
        <v>11.122841458900366</v>
      </c>
      <c r="EU124" s="143">
        <f t="shared" si="397"/>
        <v>11.122841458900366</v>
      </c>
      <c r="EV124" s="143">
        <f t="shared" si="397"/>
        <v>11.122841458900366</v>
      </c>
      <c r="EW124" s="143">
        <f t="shared" si="397"/>
        <v>11.122841458900366</v>
      </c>
      <c r="EX124" s="143">
        <f t="shared" si="397"/>
        <v>11.122841458900366</v>
      </c>
      <c r="EY124" s="143">
        <f t="shared" si="397"/>
        <v>11.122841458900366</v>
      </c>
      <c r="EZ124" s="143">
        <f t="shared" si="397"/>
        <v>11.122841458900366</v>
      </c>
      <c r="FA124" s="143">
        <f t="shared" si="397"/>
        <v>11.122841458900366</v>
      </c>
      <c r="FB124" s="143">
        <f t="shared" si="397"/>
        <v>11.122841458900366</v>
      </c>
      <c r="FC124" s="143">
        <f t="shared" si="397"/>
        <v>11.122841458900366</v>
      </c>
      <c r="FD124" s="143">
        <f t="shared" si="397"/>
        <v>11.122841458900366</v>
      </c>
      <c r="FE124" s="143">
        <f t="shared" si="397"/>
        <v>11.122841458900366</v>
      </c>
      <c r="FF124" s="143">
        <f t="shared" si="397"/>
        <v>11.122841458900366</v>
      </c>
      <c r="FG124" s="143">
        <f t="shared" si="397"/>
        <v>11.122841458900366</v>
      </c>
      <c r="FH124" s="143">
        <f t="shared" si="397"/>
        <v>11.122841458900366</v>
      </c>
      <c r="FI124" s="143">
        <f t="shared" si="397"/>
        <v>11.122841458900366</v>
      </c>
      <c r="FJ124" s="143">
        <f t="shared" si="76"/>
        <v>11.524854035835503</v>
      </c>
      <c r="FK124" s="143">
        <f t="shared" ref="FK124:GC124" si="398">FJ124</f>
        <v>11.524854035835503</v>
      </c>
      <c r="FL124" s="143">
        <f t="shared" si="398"/>
        <v>11.524854035835503</v>
      </c>
      <c r="FM124" s="143">
        <f t="shared" si="398"/>
        <v>11.524854035835503</v>
      </c>
      <c r="FN124" s="143">
        <f t="shared" si="398"/>
        <v>11.524854035835503</v>
      </c>
      <c r="FO124" s="143">
        <f t="shared" si="398"/>
        <v>11.524854035835503</v>
      </c>
      <c r="FP124" s="143">
        <f t="shared" si="398"/>
        <v>11.524854035835503</v>
      </c>
      <c r="FQ124" s="143">
        <f t="shared" si="398"/>
        <v>11.524854035835503</v>
      </c>
      <c r="FR124" s="143">
        <f t="shared" si="398"/>
        <v>11.524854035835503</v>
      </c>
      <c r="FS124" s="143">
        <f t="shared" si="398"/>
        <v>11.524854035835503</v>
      </c>
      <c r="FT124" s="143">
        <f t="shared" si="398"/>
        <v>11.524854035835503</v>
      </c>
      <c r="FU124" s="143">
        <f t="shared" si="398"/>
        <v>11.524854035835503</v>
      </c>
      <c r="FV124" s="143">
        <f t="shared" si="398"/>
        <v>11.524854035835503</v>
      </c>
      <c r="FW124" s="143">
        <f t="shared" si="398"/>
        <v>11.524854035835503</v>
      </c>
      <c r="FX124" s="143">
        <f t="shared" si="398"/>
        <v>11.524854035835503</v>
      </c>
      <c r="FY124" s="143">
        <f t="shared" si="398"/>
        <v>11.524854035835503</v>
      </c>
      <c r="FZ124" s="143">
        <f t="shared" si="398"/>
        <v>11.524854035835503</v>
      </c>
      <c r="GA124" s="143">
        <f t="shared" si="398"/>
        <v>11.524854035835503</v>
      </c>
      <c r="GB124" s="143">
        <f t="shared" si="398"/>
        <v>11.524854035835503</v>
      </c>
      <c r="GC124" s="143">
        <f t="shared" si="398"/>
        <v>11.524854035835503</v>
      </c>
      <c r="GD124" s="143">
        <f t="shared" si="78"/>
        <v>11.879649744761963</v>
      </c>
      <c r="GE124" s="143">
        <f t="shared" ref="GE124:GM124" si="399">GD124</f>
        <v>11.879649744761963</v>
      </c>
      <c r="GF124" s="143">
        <f t="shared" si="399"/>
        <v>11.879649744761963</v>
      </c>
      <c r="GG124" s="143">
        <f t="shared" si="399"/>
        <v>11.879649744761963</v>
      </c>
      <c r="GH124" s="143">
        <f t="shared" si="399"/>
        <v>11.879649744761963</v>
      </c>
      <c r="GI124" s="143">
        <f t="shared" si="399"/>
        <v>11.879649744761963</v>
      </c>
      <c r="GJ124" s="143">
        <f t="shared" si="399"/>
        <v>11.879649744761963</v>
      </c>
      <c r="GK124" s="143">
        <f t="shared" si="399"/>
        <v>11.879649744761963</v>
      </c>
      <c r="GL124" s="143">
        <f t="shared" si="399"/>
        <v>11.879649744761963</v>
      </c>
      <c r="GM124" s="143">
        <f t="shared" si="399"/>
        <v>11.879649744761963</v>
      </c>
      <c r="GN124" s="143">
        <f t="shared" si="80"/>
        <v>12.176643834839362</v>
      </c>
      <c r="GO124" s="143">
        <f t="shared" si="288"/>
        <v>12.176643834839362</v>
      </c>
      <c r="GP124" s="143">
        <f t="shared" si="288"/>
        <v>12.176643834839362</v>
      </c>
      <c r="GQ124" s="143">
        <f t="shared" si="288"/>
        <v>12.176643834839362</v>
      </c>
      <c r="GR124" s="143">
        <f t="shared" si="288"/>
        <v>12.176643834839362</v>
      </c>
      <c r="GS124" s="143">
        <f t="shared" si="82"/>
        <v>12.637855061955712</v>
      </c>
      <c r="GT124" s="143">
        <f t="shared" si="289"/>
        <v>12.637855061955712</v>
      </c>
      <c r="GU124" s="143">
        <f t="shared" si="289"/>
        <v>12.637855061955712</v>
      </c>
      <c r="GV124" s="143">
        <f t="shared" si="289"/>
        <v>12.637855061955712</v>
      </c>
      <c r="GW124" s="143">
        <f t="shared" si="84"/>
        <v>14.245277958595404</v>
      </c>
    </row>
    <row r="125" spans="1:205" s="46" customFormat="1" ht="9.75" customHeight="1">
      <c r="A125" s="60">
        <v>2011</v>
      </c>
      <c r="B125" s="143">
        <f t="shared" si="85"/>
        <v>1.3381033361326713</v>
      </c>
      <c r="C125" s="143">
        <f t="shared" si="54"/>
        <v>0.89742495495157093</v>
      </c>
      <c r="D125" s="60"/>
      <c r="E125" s="143">
        <f t="shared" si="55"/>
        <v>4.7924792842930852</v>
      </c>
      <c r="F125" s="143">
        <f t="shared" ref="F125:X125" si="400">E125</f>
        <v>4.7924792842930852</v>
      </c>
      <c r="G125" s="143">
        <f t="shared" si="400"/>
        <v>4.7924792842930852</v>
      </c>
      <c r="H125" s="143">
        <f t="shared" si="400"/>
        <v>4.7924792842930852</v>
      </c>
      <c r="I125" s="143">
        <f t="shared" si="400"/>
        <v>4.7924792842930852</v>
      </c>
      <c r="J125" s="143">
        <f t="shared" si="400"/>
        <v>4.7924792842930852</v>
      </c>
      <c r="K125" s="143">
        <f t="shared" si="400"/>
        <v>4.7924792842930852</v>
      </c>
      <c r="L125" s="143">
        <f t="shared" si="400"/>
        <v>4.7924792842930852</v>
      </c>
      <c r="M125" s="143">
        <f t="shared" si="400"/>
        <v>4.7924792842930852</v>
      </c>
      <c r="N125" s="143">
        <f t="shared" si="400"/>
        <v>4.7924792842930852</v>
      </c>
      <c r="O125" s="143">
        <f t="shared" si="400"/>
        <v>4.7924792842930852</v>
      </c>
      <c r="P125" s="143">
        <f t="shared" si="400"/>
        <v>4.7924792842930852</v>
      </c>
      <c r="Q125" s="143">
        <f t="shared" si="400"/>
        <v>4.7924792842930852</v>
      </c>
      <c r="R125" s="143">
        <f t="shared" si="400"/>
        <v>4.7924792842930852</v>
      </c>
      <c r="S125" s="143">
        <f t="shared" si="400"/>
        <v>4.7924792842930852</v>
      </c>
      <c r="T125" s="143">
        <f t="shared" si="400"/>
        <v>4.7924792842930852</v>
      </c>
      <c r="U125" s="143">
        <f t="shared" si="400"/>
        <v>4.7924792842930852</v>
      </c>
      <c r="V125" s="143">
        <f t="shared" si="400"/>
        <v>4.7924792842930852</v>
      </c>
      <c r="W125" s="143">
        <f t="shared" si="400"/>
        <v>4.7924792842930852</v>
      </c>
      <c r="X125" s="143">
        <f t="shared" si="400"/>
        <v>4.7924792842930852</v>
      </c>
      <c r="Y125" s="143">
        <f t="shared" si="57"/>
        <v>8.0838531625420202</v>
      </c>
      <c r="Z125" s="143">
        <f t="shared" ref="Z125:AR125" si="401">Y125</f>
        <v>8.0838531625420202</v>
      </c>
      <c r="AA125" s="143">
        <f t="shared" si="401"/>
        <v>8.0838531625420202</v>
      </c>
      <c r="AB125" s="143">
        <f t="shared" si="401"/>
        <v>8.0838531625420202</v>
      </c>
      <c r="AC125" s="143">
        <f t="shared" si="401"/>
        <v>8.0838531625420202</v>
      </c>
      <c r="AD125" s="143">
        <f t="shared" si="401"/>
        <v>8.0838531625420202</v>
      </c>
      <c r="AE125" s="143">
        <f t="shared" si="401"/>
        <v>8.0838531625420202</v>
      </c>
      <c r="AF125" s="143">
        <f t="shared" si="401"/>
        <v>8.0838531625420202</v>
      </c>
      <c r="AG125" s="143">
        <f t="shared" si="401"/>
        <v>8.0838531625420202</v>
      </c>
      <c r="AH125" s="143">
        <f t="shared" si="401"/>
        <v>8.0838531625420202</v>
      </c>
      <c r="AI125" s="143">
        <f t="shared" si="401"/>
        <v>8.0838531625420202</v>
      </c>
      <c r="AJ125" s="143">
        <f t="shared" si="401"/>
        <v>8.0838531625420202</v>
      </c>
      <c r="AK125" s="143">
        <f t="shared" si="401"/>
        <v>8.0838531625420202</v>
      </c>
      <c r="AL125" s="143">
        <f t="shared" si="401"/>
        <v>8.0838531625420202</v>
      </c>
      <c r="AM125" s="143">
        <f t="shared" si="401"/>
        <v>8.0838531625420202</v>
      </c>
      <c r="AN125" s="143">
        <f t="shared" si="401"/>
        <v>8.0838531625420202</v>
      </c>
      <c r="AO125" s="143">
        <f t="shared" si="401"/>
        <v>8.0838531625420202</v>
      </c>
      <c r="AP125" s="143">
        <f t="shared" si="401"/>
        <v>8.0838531625420202</v>
      </c>
      <c r="AQ125" s="143">
        <f t="shared" si="401"/>
        <v>8.0838531625420202</v>
      </c>
      <c r="AR125" s="143">
        <f t="shared" si="401"/>
        <v>8.0838531625420202</v>
      </c>
      <c r="AS125" s="143">
        <f t="shared" si="59"/>
        <v>8.9936757867596828</v>
      </c>
      <c r="AT125" s="143">
        <f t="shared" ref="AT125:BL125" si="402">AS125</f>
        <v>8.9936757867596828</v>
      </c>
      <c r="AU125" s="143">
        <f t="shared" si="402"/>
        <v>8.9936757867596828</v>
      </c>
      <c r="AV125" s="143">
        <f t="shared" si="402"/>
        <v>8.9936757867596828</v>
      </c>
      <c r="AW125" s="143">
        <f t="shared" si="402"/>
        <v>8.9936757867596828</v>
      </c>
      <c r="AX125" s="143">
        <f t="shared" si="402"/>
        <v>8.9936757867596828</v>
      </c>
      <c r="AY125" s="143">
        <f t="shared" si="402"/>
        <v>8.9936757867596828</v>
      </c>
      <c r="AZ125" s="143">
        <f t="shared" si="402"/>
        <v>8.9936757867596828</v>
      </c>
      <c r="BA125" s="143">
        <f t="shared" si="402"/>
        <v>8.9936757867596828</v>
      </c>
      <c r="BB125" s="143">
        <f t="shared" si="402"/>
        <v>8.9936757867596828</v>
      </c>
      <c r="BC125" s="143">
        <f t="shared" si="402"/>
        <v>8.9936757867596828</v>
      </c>
      <c r="BD125" s="143">
        <f t="shared" si="402"/>
        <v>8.9936757867596828</v>
      </c>
      <c r="BE125" s="143">
        <f t="shared" si="402"/>
        <v>8.9936757867596828</v>
      </c>
      <c r="BF125" s="143">
        <f t="shared" si="402"/>
        <v>8.9936757867596828</v>
      </c>
      <c r="BG125" s="143">
        <f t="shared" si="402"/>
        <v>8.9936757867596828</v>
      </c>
      <c r="BH125" s="143">
        <f t="shared" si="402"/>
        <v>8.9936757867596828</v>
      </c>
      <c r="BI125" s="143">
        <f t="shared" si="402"/>
        <v>8.9936757867596828</v>
      </c>
      <c r="BJ125" s="143">
        <f t="shared" si="402"/>
        <v>8.9936757867596828</v>
      </c>
      <c r="BK125" s="143">
        <f t="shared" si="402"/>
        <v>8.9936757867596828</v>
      </c>
      <c r="BL125" s="143">
        <f t="shared" si="402"/>
        <v>8.9936757867596828</v>
      </c>
      <c r="BM125" s="143">
        <f t="shared" si="61"/>
        <v>9.6723559313747334</v>
      </c>
      <c r="BN125" s="143">
        <f t="shared" ref="BN125:CF125" si="403">BM125</f>
        <v>9.6723559313747334</v>
      </c>
      <c r="BO125" s="143">
        <f t="shared" si="403"/>
        <v>9.6723559313747334</v>
      </c>
      <c r="BP125" s="143">
        <f t="shared" si="403"/>
        <v>9.6723559313747334</v>
      </c>
      <c r="BQ125" s="143">
        <f t="shared" si="403"/>
        <v>9.6723559313747334</v>
      </c>
      <c r="BR125" s="143">
        <f t="shared" si="403"/>
        <v>9.6723559313747334</v>
      </c>
      <c r="BS125" s="143">
        <f t="shared" si="403"/>
        <v>9.6723559313747334</v>
      </c>
      <c r="BT125" s="143">
        <f t="shared" si="403"/>
        <v>9.6723559313747334</v>
      </c>
      <c r="BU125" s="143">
        <f t="shared" si="403"/>
        <v>9.6723559313747334</v>
      </c>
      <c r="BV125" s="143">
        <f t="shared" si="403"/>
        <v>9.6723559313747334</v>
      </c>
      <c r="BW125" s="143">
        <f t="shared" si="403"/>
        <v>9.6723559313747334</v>
      </c>
      <c r="BX125" s="143">
        <f t="shared" si="403"/>
        <v>9.6723559313747334</v>
      </c>
      <c r="BY125" s="143">
        <f t="shared" si="403"/>
        <v>9.6723559313747334</v>
      </c>
      <c r="BZ125" s="143">
        <f t="shared" si="403"/>
        <v>9.6723559313747334</v>
      </c>
      <c r="CA125" s="143">
        <f t="shared" si="403"/>
        <v>9.6723559313747334</v>
      </c>
      <c r="CB125" s="143">
        <f t="shared" si="403"/>
        <v>9.6723559313747334</v>
      </c>
      <c r="CC125" s="143">
        <f t="shared" si="403"/>
        <v>9.6723559313747334</v>
      </c>
      <c r="CD125" s="143">
        <f t="shared" si="403"/>
        <v>9.6723559313747334</v>
      </c>
      <c r="CE125" s="143">
        <f t="shared" si="403"/>
        <v>9.6723559313747334</v>
      </c>
      <c r="CF125" s="143">
        <f t="shared" si="403"/>
        <v>9.6723559313747334</v>
      </c>
      <c r="CG125" s="143">
        <f t="shared" si="63"/>
        <v>10.223296728260802</v>
      </c>
      <c r="CH125" s="143">
        <f t="shared" ref="CH125:CP125" si="404">CG125</f>
        <v>10.223296728260802</v>
      </c>
      <c r="CI125" s="143">
        <f t="shared" si="404"/>
        <v>10.223296728260802</v>
      </c>
      <c r="CJ125" s="143">
        <f t="shared" si="404"/>
        <v>10.223296728260802</v>
      </c>
      <c r="CK125" s="143">
        <f t="shared" si="404"/>
        <v>10.223296728260802</v>
      </c>
      <c r="CL125" s="143">
        <f t="shared" si="404"/>
        <v>10.223296728260802</v>
      </c>
      <c r="CM125" s="143">
        <f t="shared" si="404"/>
        <v>10.223296728260802</v>
      </c>
      <c r="CN125" s="143">
        <f t="shared" si="404"/>
        <v>10.223296728260802</v>
      </c>
      <c r="CO125" s="143">
        <f t="shared" si="404"/>
        <v>10.223296728260802</v>
      </c>
      <c r="CP125" s="143">
        <f t="shared" si="404"/>
        <v>10.223296728260802</v>
      </c>
      <c r="CQ125" s="143">
        <f t="shared" si="65"/>
        <v>10.639790003410001</v>
      </c>
      <c r="CR125" s="143">
        <f t="shared" si="281"/>
        <v>10.639790003410001</v>
      </c>
      <c r="CS125" s="143">
        <f t="shared" si="281"/>
        <v>10.639790003410001</v>
      </c>
      <c r="CT125" s="143">
        <f t="shared" si="281"/>
        <v>10.639790003410001</v>
      </c>
      <c r="CU125" s="143">
        <f t="shared" si="281"/>
        <v>10.639790003410001</v>
      </c>
      <c r="CV125" s="143">
        <f t="shared" si="67"/>
        <v>11.245951492103778</v>
      </c>
      <c r="CW125" s="143">
        <f t="shared" si="282"/>
        <v>11.245951492103778</v>
      </c>
      <c r="CX125" s="143">
        <f t="shared" si="282"/>
        <v>11.245951492103778</v>
      </c>
      <c r="CY125" s="143">
        <f t="shared" si="282"/>
        <v>11.245951492103778</v>
      </c>
      <c r="CZ125" s="143">
        <f t="shared" si="69"/>
        <v>13.007208385414055</v>
      </c>
      <c r="DA125" s="60"/>
      <c r="DB125" s="143">
        <f t="shared" si="70"/>
        <v>9.9084750940471675</v>
      </c>
      <c r="DC125" s="143">
        <f t="shared" ref="DC125:DU125" si="405">DB125</f>
        <v>9.9084750940471675</v>
      </c>
      <c r="DD125" s="143">
        <f t="shared" si="405"/>
        <v>9.9084750940471675</v>
      </c>
      <c r="DE125" s="143">
        <f t="shared" si="405"/>
        <v>9.9084750940471675</v>
      </c>
      <c r="DF125" s="143">
        <f t="shared" si="405"/>
        <v>9.9084750940471675</v>
      </c>
      <c r="DG125" s="143">
        <f t="shared" si="405"/>
        <v>9.9084750940471675</v>
      </c>
      <c r="DH125" s="143">
        <f t="shared" si="405"/>
        <v>9.9084750940471675</v>
      </c>
      <c r="DI125" s="143">
        <f t="shared" si="405"/>
        <v>9.9084750940471675</v>
      </c>
      <c r="DJ125" s="143">
        <f t="shared" si="405"/>
        <v>9.9084750940471675</v>
      </c>
      <c r="DK125" s="143">
        <f t="shared" si="405"/>
        <v>9.9084750940471675</v>
      </c>
      <c r="DL125" s="143">
        <f t="shared" si="405"/>
        <v>9.9084750940471675</v>
      </c>
      <c r="DM125" s="143">
        <f t="shared" si="405"/>
        <v>9.9084750940471675</v>
      </c>
      <c r="DN125" s="143">
        <f t="shared" si="405"/>
        <v>9.9084750940471675</v>
      </c>
      <c r="DO125" s="143">
        <f t="shared" si="405"/>
        <v>9.9084750940471675</v>
      </c>
      <c r="DP125" s="143">
        <f t="shared" si="405"/>
        <v>9.9084750940471675</v>
      </c>
      <c r="DQ125" s="143">
        <f t="shared" si="405"/>
        <v>9.9084750940471675</v>
      </c>
      <c r="DR125" s="143">
        <f t="shared" si="405"/>
        <v>9.9084750940471675</v>
      </c>
      <c r="DS125" s="143">
        <f t="shared" si="405"/>
        <v>9.9084750940471675</v>
      </c>
      <c r="DT125" s="143">
        <f t="shared" si="405"/>
        <v>9.9084750940471675</v>
      </c>
      <c r="DU125" s="143">
        <f t="shared" si="405"/>
        <v>9.9084750940471675</v>
      </c>
      <c r="DV125" s="143">
        <f t="shared" si="72"/>
        <v>10.647803019670473</v>
      </c>
      <c r="DW125" s="143">
        <f t="shared" ref="DW125:EO125" si="406">DV125</f>
        <v>10.647803019670473</v>
      </c>
      <c r="DX125" s="143">
        <f t="shared" si="406"/>
        <v>10.647803019670473</v>
      </c>
      <c r="DY125" s="143">
        <f t="shared" si="406"/>
        <v>10.647803019670473</v>
      </c>
      <c r="DZ125" s="143">
        <f t="shared" si="406"/>
        <v>10.647803019670473</v>
      </c>
      <c r="EA125" s="143">
        <f t="shared" si="406"/>
        <v>10.647803019670473</v>
      </c>
      <c r="EB125" s="143">
        <f t="shared" si="406"/>
        <v>10.647803019670473</v>
      </c>
      <c r="EC125" s="143">
        <f t="shared" si="406"/>
        <v>10.647803019670473</v>
      </c>
      <c r="ED125" s="143">
        <f t="shared" si="406"/>
        <v>10.647803019670473</v>
      </c>
      <c r="EE125" s="143">
        <f t="shared" si="406"/>
        <v>10.647803019670473</v>
      </c>
      <c r="EF125" s="143">
        <f t="shared" si="406"/>
        <v>10.647803019670473</v>
      </c>
      <c r="EG125" s="143">
        <f t="shared" si="406"/>
        <v>10.647803019670473</v>
      </c>
      <c r="EH125" s="143">
        <f t="shared" si="406"/>
        <v>10.647803019670473</v>
      </c>
      <c r="EI125" s="143">
        <f t="shared" si="406"/>
        <v>10.647803019670473</v>
      </c>
      <c r="EJ125" s="143">
        <f t="shared" si="406"/>
        <v>10.647803019670473</v>
      </c>
      <c r="EK125" s="143">
        <f t="shared" si="406"/>
        <v>10.647803019670473</v>
      </c>
      <c r="EL125" s="143">
        <f t="shared" si="406"/>
        <v>10.647803019670473</v>
      </c>
      <c r="EM125" s="143">
        <f t="shared" si="406"/>
        <v>10.647803019670473</v>
      </c>
      <c r="EN125" s="143">
        <f t="shared" si="406"/>
        <v>10.647803019670473</v>
      </c>
      <c r="EO125" s="143">
        <f t="shared" si="406"/>
        <v>10.647803019670473</v>
      </c>
      <c r="EP125" s="143">
        <f t="shared" si="74"/>
        <v>11.113939322959773</v>
      </c>
      <c r="EQ125" s="143">
        <f t="shared" ref="EQ125:FI125" si="407">EP125</f>
        <v>11.113939322959773</v>
      </c>
      <c r="ER125" s="143">
        <f t="shared" si="407"/>
        <v>11.113939322959773</v>
      </c>
      <c r="ES125" s="143">
        <f t="shared" si="407"/>
        <v>11.113939322959773</v>
      </c>
      <c r="ET125" s="143">
        <f t="shared" si="407"/>
        <v>11.113939322959773</v>
      </c>
      <c r="EU125" s="143">
        <f t="shared" si="407"/>
        <v>11.113939322959773</v>
      </c>
      <c r="EV125" s="143">
        <f t="shared" si="407"/>
        <v>11.113939322959773</v>
      </c>
      <c r="EW125" s="143">
        <f t="shared" si="407"/>
        <v>11.113939322959773</v>
      </c>
      <c r="EX125" s="143">
        <f t="shared" si="407"/>
        <v>11.113939322959773</v>
      </c>
      <c r="EY125" s="143">
        <f t="shared" si="407"/>
        <v>11.113939322959773</v>
      </c>
      <c r="EZ125" s="143">
        <f t="shared" si="407"/>
        <v>11.113939322959773</v>
      </c>
      <c r="FA125" s="143">
        <f t="shared" si="407"/>
        <v>11.113939322959773</v>
      </c>
      <c r="FB125" s="143">
        <f t="shared" si="407"/>
        <v>11.113939322959773</v>
      </c>
      <c r="FC125" s="143">
        <f t="shared" si="407"/>
        <v>11.113939322959773</v>
      </c>
      <c r="FD125" s="143">
        <f t="shared" si="407"/>
        <v>11.113939322959773</v>
      </c>
      <c r="FE125" s="143">
        <f t="shared" si="407"/>
        <v>11.113939322959773</v>
      </c>
      <c r="FF125" s="143">
        <f t="shared" si="407"/>
        <v>11.113939322959773</v>
      </c>
      <c r="FG125" s="143">
        <f t="shared" si="407"/>
        <v>11.113939322959773</v>
      </c>
      <c r="FH125" s="143">
        <f t="shared" si="407"/>
        <v>11.113939322959773</v>
      </c>
      <c r="FI125" s="143">
        <f t="shared" si="407"/>
        <v>11.113939322959773</v>
      </c>
      <c r="FJ125" s="143">
        <f t="shared" si="76"/>
        <v>11.523865405008562</v>
      </c>
      <c r="FK125" s="143">
        <f t="shared" ref="FK125:GC125" si="408">FJ125</f>
        <v>11.523865405008562</v>
      </c>
      <c r="FL125" s="143">
        <f t="shared" si="408"/>
        <v>11.523865405008562</v>
      </c>
      <c r="FM125" s="143">
        <f t="shared" si="408"/>
        <v>11.523865405008562</v>
      </c>
      <c r="FN125" s="143">
        <f t="shared" si="408"/>
        <v>11.523865405008562</v>
      </c>
      <c r="FO125" s="143">
        <f t="shared" si="408"/>
        <v>11.523865405008562</v>
      </c>
      <c r="FP125" s="143">
        <f t="shared" si="408"/>
        <v>11.523865405008562</v>
      </c>
      <c r="FQ125" s="143">
        <f t="shared" si="408"/>
        <v>11.523865405008562</v>
      </c>
      <c r="FR125" s="143">
        <f t="shared" si="408"/>
        <v>11.523865405008562</v>
      </c>
      <c r="FS125" s="143">
        <f t="shared" si="408"/>
        <v>11.523865405008562</v>
      </c>
      <c r="FT125" s="143">
        <f t="shared" si="408"/>
        <v>11.523865405008562</v>
      </c>
      <c r="FU125" s="143">
        <f t="shared" si="408"/>
        <v>11.523865405008562</v>
      </c>
      <c r="FV125" s="143">
        <f t="shared" si="408"/>
        <v>11.523865405008562</v>
      </c>
      <c r="FW125" s="143">
        <f t="shared" si="408"/>
        <v>11.523865405008562</v>
      </c>
      <c r="FX125" s="143">
        <f t="shared" si="408"/>
        <v>11.523865405008562</v>
      </c>
      <c r="FY125" s="143">
        <f t="shared" si="408"/>
        <v>11.523865405008562</v>
      </c>
      <c r="FZ125" s="143">
        <f t="shared" si="408"/>
        <v>11.523865405008562</v>
      </c>
      <c r="GA125" s="143">
        <f t="shared" si="408"/>
        <v>11.523865405008562</v>
      </c>
      <c r="GB125" s="143">
        <f t="shared" si="408"/>
        <v>11.523865405008562</v>
      </c>
      <c r="GC125" s="143">
        <f t="shared" si="408"/>
        <v>11.523865405008562</v>
      </c>
      <c r="GD125" s="143">
        <f t="shared" si="78"/>
        <v>11.889304992183297</v>
      </c>
      <c r="GE125" s="143">
        <f t="shared" ref="GE125:GM125" si="409">GD125</f>
        <v>11.889304992183297</v>
      </c>
      <c r="GF125" s="143">
        <f t="shared" si="409"/>
        <v>11.889304992183297</v>
      </c>
      <c r="GG125" s="143">
        <f t="shared" si="409"/>
        <v>11.889304992183297</v>
      </c>
      <c r="GH125" s="143">
        <f t="shared" si="409"/>
        <v>11.889304992183297</v>
      </c>
      <c r="GI125" s="143">
        <f t="shared" si="409"/>
        <v>11.889304992183297</v>
      </c>
      <c r="GJ125" s="143">
        <f t="shared" si="409"/>
        <v>11.889304992183297</v>
      </c>
      <c r="GK125" s="143">
        <f t="shared" si="409"/>
        <v>11.889304992183297</v>
      </c>
      <c r="GL125" s="143">
        <f t="shared" si="409"/>
        <v>11.889304992183297</v>
      </c>
      <c r="GM125" s="143">
        <f t="shared" si="409"/>
        <v>11.889304992183297</v>
      </c>
      <c r="GN125" s="143">
        <f t="shared" si="80"/>
        <v>12.190959007720126</v>
      </c>
      <c r="GO125" s="143">
        <f t="shared" si="288"/>
        <v>12.190959007720126</v>
      </c>
      <c r="GP125" s="143">
        <f t="shared" si="288"/>
        <v>12.190959007720126</v>
      </c>
      <c r="GQ125" s="143">
        <f t="shared" si="288"/>
        <v>12.190959007720126</v>
      </c>
      <c r="GR125" s="143">
        <f t="shared" si="288"/>
        <v>12.190959007720126</v>
      </c>
      <c r="GS125" s="143">
        <f t="shared" si="82"/>
        <v>12.660645327745366</v>
      </c>
      <c r="GT125" s="143">
        <f t="shared" si="289"/>
        <v>12.660645327745366</v>
      </c>
      <c r="GU125" s="143">
        <f t="shared" si="289"/>
        <v>12.660645327745366</v>
      </c>
      <c r="GV125" s="143">
        <f t="shared" si="289"/>
        <v>12.660645327745366</v>
      </c>
      <c r="GW125" s="143">
        <f t="shared" si="84"/>
        <v>14.245082741415672</v>
      </c>
    </row>
    <row r="126" spans="1:205" s="46" customFormat="1" ht="9.75" customHeight="1">
      <c r="A126" s="60">
        <v>2012</v>
      </c>
      <c r="B126" s="143">
        <f t="shared" si="85"/>
        <v>1.1631519476657046</v>
      </c>
      <c r="C126" s="143">
        <f t="shared" si="54"/>
        <v>0.91991587220129667</v>
      </c>
      <c r="D126" s="60"/>
      <c r="E126" s="143">
        <f t="shared" si="55"/>
        <v>5.1521348563699556</v>
      </c>
      <c r="F126" s="143">
        <f t="shared" ref="F126:X126" si="410">E126</f>
        <v>5.1521348563699556</v>
      </c>
      <c r="G126" s="143">
        <f t="shared" si="410"/>
        <v>5.1521348563699556</v>
      </c>
      <c r="H126" s="143">
        <f t="shared" si="410"/>
        <v>5.1521348563699556</v>
      </c>
      <c r="I126" s="143">
        <f t="shared" si="410"/>
        <v>5.1521348563699556</v>
      </c>
      <c r="J126" s="143">
        <f t="shared" si="410"/>
        <v>5.1521348563699556</v>
      </c>
      <c r="K126" s="143">
        <f t="shared" si="410"/>
        <v>5.1521348563699556</v>
      </c>
      <c r="L126" s="143">
        <f t="shared" si="410"/>
        <v>5.1521348563699556</v>
      </c>
      <c r="M126" s="143">
        <f t="shared" si="410"/>
        <v>5.1521348563699556</v>
      </c>
      <c r="N126" s="143">
        <f t="shared" si="410"/>
        <v>5.1521348563699556</v>
      </c>
      <c r="O126" s="143">
        <f t="shared" si="410"/>
        <v>5.1521348563699556</v>
      </c>
      <c r="P126" s="143">
        <f t="shared" si="410"/>
        <v>5.1521348563699556</v>
      </c>
      <c r="Q126" s="143">
        <f t="shared" si="410"/>
        <v>5.1521348563699556</v>
      </c>
      <c r="R126" s="143">
        <f t="shared" si="410"/>
        <v>5.1521348563699556</v>
      </c>
      <c r="S126" s="143">
        <f t="shared" si="410"/>
        <v>5.1521348563699556</v>
      </c>
      <c r="T126" s="143">
        <f t="shared" si="410"/>
        <v>5.1521348563699556</v>
      </c>
      <c r="U126" s="143">
        <f t="shared" si="410"/>
        <v>5.1521348563699556</v>
      </c>
      <c r="V126" s="143">
        <f t="shared" si="410"/>
        <v>5.1521348563699556</v>
      </c>
      <c r="W126" s="143">
        <f t="shared" si="410"/>
        <v>5.1521348563699556</v>
      </c>
      <c r="X126" s="143">
        <f t="shared" si="410"/>
        <v>5.1521348563699556</v>
      </c>
      <c r="Y126" s="143">
        <f t="shared" si="57"/>
        <v>8.0767017613843937</v>
      </c>
      <c r="Z126" s="143">
        <f t="shared" ref="Z126:AR126" si="411">Y126</f>
        <v>8.0767017613843937</v>
      </c>
      <c r="AA126" s="143">
        <f t="shared" si="411"/>
        <v>8.0767017613843937</v>
      </c>
      <c r="AB126" s="143">
        <f t="shared" si="411"/>
        <v>8.0767017613843937</v>
      </c>
      <c r="AC126" s="143">
        <f t="shared" si="411"/>
        <v>8.0767017613843937</v>
      </c>
      <c r="AD126" s="143">
        <f t="shared" si="411"/>
        <v>8.0767017613843937</v>
      </c>
      <c r="AE126" s="143">
        <f t="shared" si="411"/>
        <v>8.0767017613843937</v>
      </c>
      <c r="AF126" s="143">
        <f t="shared" si="411"/>
        <v>8.0767017613843937</v>
      </c>
      <c r="AG126" s="143">
        <f t="shared" si="411"/>
        <v>8.0767017613843937</v>
      </c>
      <c r="AH126" s="143">
        <f t="shared" si="411"/>
        <v>8.0767017613843937</v>
      </c>
      <c r="AI126" s="143">
        <f t="shared" si="411"/>
        <v>8.0767017613843937</v>
      </c>
      <c r="AJ126" s="143">
        <f t="shared" si="411"/>
        <v>8.0767017613843937</v>
      </c>
      <c r="AK126" s="143">
        <f t="shared" si="411"/>
        <v>8.0767017613843937</v>
      </c>
      <c r="AL126" s="143">
        <f t="shared" si="411"/>
        <v>8.0767017613843937</v>
      </c>
      <c r="AM126" s="143">
        <f t="shared" si="411"/>
        <v>8.0767017613843937</v>
      </c>
      <c r="AN126" s="143">
        <f t="shared" si="411"/>
        <v>8.0767017613843937</v>
      </c>
      <c r="AO126" s="143">
        <f t="shared" si="411"/>
        <v>8.0767017613843937</v>
      </c>
      <c r="AP126" s="143">
        <f t="shared" si="411"/>
        <v>8.0767017613843937</v>
      </c>
      <c r="AQ126" s="143">
        <f t="shared" si="411"/>
        <v>8.0767017613843937</v>
      </c>
      <c r="AR126" s="143">
        <f t="shared" si="411"/>
        <v>8.0767017613843937</v>
      </c>
      <c r="AS126" s="143">
        <f t="shared" si="59"/>
        <v>9.010205088710892</v>
      </c>
      <c r="AT126" s="143">
        <f t="shared" ref="AT126:BL126" si="412">AS126</f>
        <v>9.010205088710892</v>
      </c>
      <c r="AU126" s="143">
        <f t="shared" si="412"/>
        <v>9.010205088710892</v>
      </c>
      <c r="AV126" s="143">
        <f t="shared" si="412"/>
        <v>9.010205088710892</v>
      </c>
      <c r="AW126" s="143">
        <f t="shared" si="412"/>
        <v>9.010205088710892</v>
      </c>
      <c r="AX126" s="143">
        <f t="shared" si="412"/>
        <v>9.010205088710892</v>
      </c>
      <c r="AY126" s="143">
        <f t="shared" si="412"/>
        <v>9.010205088710892</v>
      </c>
      <c r="AZ126" s="143">
        <f t="shared" si="412"/>
        <v>9.010205088710892</v>
      </c>
      <c r="BA126" s="143">
        <f t="shared" si="412"/>
        <v>9.010205088710892</v>
      </c>
      <c r="BB126" s="143">
        <f t="shared" si="412"/>
        <v>9.010205088710892</v>
      </c>
      <c r="BC126" s="143">
        <f t="shared" si="412"/>
        <v>9.010205088710892</v>
      </c>
      <c r="BD126" s="143">
        <f t="shared" si="412"/>
        <v>9.010205088710892</v>
      </c>
      <c r="BE126" s="143">
        <f t="shared" si="412"/>
        <v>9.010205088710892</v>
      </c>
      <c r="BF126" s="143">
        <f t="shared" si="412"/>
        <v>9.010205088710892</v>
      </c>
      <c r="BG126" s="143">
        <f t="shared" si="412"/>
        <v>9.010205088710892</v>
      </c>
      <c r="BH126" s="143">
        <f t="shared" si="412"/>
        <v>9.010205088710892</v>
      </c>
      <c r="BI126" s="143">
        <f t="shared" si="412"/>
        <v>9.010205088710892</v>
      </c>
      <c r="BJ126" s="143">
        <f t="shared" si="412"/>
        <v>9.010205088710892</v>
      </c>
      <c r="BK126" s="143">
        <f t="shared" si="412"/>
        <v>9.010205088710892</v>
      </c>
      <c r="BL126" s="143">
        <f t="shared" si="412"/>
        <v>9.010205088710892</v>
      </c>
      <c r="BM126" s="143">
        <f t="shared" si="61"/>
        <v>9.6919143063366544</v>
      </c>
      <c r="BN126" s="143">
        <f t="shared" ref="BN126:CF126" si="413">BM126</f>
        <v>9.6919143063366544</v>
      </c>
      <c r="BO126" s="143">
        <f t="shared" si="413"/>
        <v>9.6919143063366544</v>
      </c>
      <c r="BP126" s="143">
        <f t="shared" si="413"/>
        <v>9.6919143063366544</v>
      </c>
      <c r="BQ126" s="143">
        <f t="shared" si="413"/>
        <v>9.6919143063366544</v>
      </c>
      <c r="BR126" s="143">
        <f t="shared" si="413"/>
        <v>9.6919143063366544</v>
      </c>
      <c r="BS126" s="143">
        <f t="shared" si="413"/>
        <v>9.6919143063366544</v>
      </c>
      <c r="BT126" s="143">
        <f t="shared" si="413"/>
        <v>9.6919143063366544</v>
      </c>
      <c r="BU126" s="143">
        <f t="shared" si="413"/>
        <v>9.6919143063366544</v>
      </c>
      <c r="BV126" s="143">
        <f t="shared" si="413"/>
        <v>9.6919143063366544</v>
      </c>
      <c r="BW126" s="143">
        <f t="shared" si="413"/>
        <v>9.6919143063366544</v>
      </c>
      <c r="BX126" s="143">
        <f t="shared" si="413"/>
        <v>9.6919143063366544</v>
      </c>
      <c r="BY126" s="143">
        <f t="shared" si="413"/>
        <v>9.6919143063366544</v>
      </c>
      <c r="BZ126" s="143">
        <f t="shared" si="413"/>
        <v>9.6919143063366544</v>
      </c>
      <c r="CA126" s="143">
        <f t="shared" si="413"/>
        <v>9.6919143063366544</v>
      </c>
      <c r="CB126" s="143">
        <f t="shared" si="413"/>
        <v>9.6919143063366544</v>
      </c>
      <c r="CC126" s="143">
        <f t="shared" si="413"/>
        <v>9.6919143063366544</v>
      </c>
      <c r="CD126" s="143">
        <f t="shared" si="413"/>
        <v>9.6919143063366544</v>
      </c>
      <c r="CE126" s="143">
        <f t="shared" si="413"/>
        <v>9.6919143063366544</v>
      </c>
      <c r="CF126" s="143">
        <f t="shared" si="413"/>
        <v>9.6919143063366544</v>
      </c>
      <c r="CG126" s="143">
        <f t="shared" si="63"/>
        <v>10.246566488208197</v>
      </c>
      <c r="CH126" s="143">
        <f t="shared" ref="CH126:CP126" si="414">CG126</f>
        <v>10.246566488208197</v>
      </c>
      <c r="CI126" s="143">
        <f t="shared" si="414"/>
        <v>10.246566488208197</v>
      </c>
      <c r="CJ126" s="143">
        <f t="shared" si="414"/>
        <v>10.246566488208197</v>
      </c>
      <c r="CK126" s="143">
        <f t="shared" si="414"/>
        <v>10.246566488208197</v>
      </c>
      <c r="CL126" s="143">
        <f t="shared" si="414"/>
        <v>10.246566488208197</v>
      </c>
      <c r="CM126" s="143">
        <f t="shared" si="414"/>
        <v>10.246566488208197</v>
      </c>
      <c r="CN126" s="143">
        <f t="shared" si="414"/>
        <v>10.246566488208197</v>
      </c>
      <c r="CO126" s="143">
        <f t="shared" si="414"/>
        <v>10.246566488208197</v>
      </c>
      <c r="CP126" s="143">
        <f t="shared" si="414"/>
        <v>10.246566488208197</v>
      </c>
      <c r="CQ126" s="143">
        <f t="shared" si="65"/>
        <v>10.673595774232203</v>
      </c>
      <c r="CR126" s="143">
        <f t="shared" si="281"/>
        <v>10.673595774232203</v>
      </c>
      <c r="CS126" s="143">
        <f t="shared" si="281"/>
        <v>10.673595774232203</v>
      </c>
      <c r="CT126" s="143">
        <f t="shared" si="281"/>
        <v>10.673595774232203</v>
      </c>
      <c r="CU126" s="143">
        <f t="shared" si="281"/>
        <v>10.673595774232203</v>
      </c>
      <c r="CV126" s="143">
        <f t="shared" si="67"/>
        <v>11.312218324399518</v>
      </c>
      <c r="CW126" s="143">
        <f t="shared" si="282"/>
        <v>11.312218324399518</v>
      </c>
      <c r="CX126" s="143">
        <f t="shared" si="282"/>
        <v>11.312218324399518</v>
      </c>
      <c r="CY126" s="143">
        <f t="shared" si="282"/>
        <v>11.312218324399518</v>
      </c>
      <c r="CZ126" s="143">
        <f t="shared" si="69"/>
        <v>13.20444241035951</v>
      </c>
      <c r="DA126" s="60"/>
      <c r="DB126" s="143">
        <f t="shared" si="70"/>
        <v>9.8626655580158733</v>
      </c>
      <c r="DC126" s="143">
        <f t="shared" ref="DC126:DU126" si="415">DB126</f>
        <v>9.8626655580158733</v>
      </c>
      <c r="DD126" s="143">
        <f t="shared" si="415"/>
        <v>9.8626655580158733</v>
      </c>
      <c r="DE126" s="143">
        <f t="shared" si="415"/>
        <v>9.8626655580158733</v>
      </c>
      <c r="DF126" s="143">
        <f t="shared" si="415"/>
        <v>9.8626655580158733</v>
      </c>
      <c r="DG126" s="143">
        <f t="shared" si="415"/>
        <v>9.8626655580158733</v>
      </c>
      <c r="DH126" s="143">
        <f t="shared" si="415"/>
        <v>9.8626655580158733</v>
      </c>
      <c r="DI126" s="143">
        <f t="shared" si="415"/>
        <v>9.8626655580158733</v>
      </c>
      <c r="DJ126" s="143">
        <f t="shared" si="415"/>
        <v>9.8626655580158733</v>
      </c>
      <c r="DK126" s="143">
        <f t="shared" si="415"/>
        <v>9.8626655580158733</v>
      </c>
      <c r="DL126" s="143">
        <f t="shared" si="415"/>
        <v>9.8626655580158733</v>
      </c>
      <c r="DM126" s="143">
        <f t="shared" si="415"/>
        <v>9.8626655580158733</v>
      </c>
      <c r="DN126" s="143">
        <f t="shared" si="415"/>
        <v>9.8626655580158733</v>
      </c>
      <c r="DO126" s="143">
        <f t="shared" si="415"/>
        <v>9.8626655580158733</v>
      </c>
      <c r="DP126" s="143">
        <f t="shared" si="415"/>
        <v>9.8626655580158733</v>
      </c>
      <c r="DQ126" s="143">
        <f t="shared" si="415"/>
        <v>9.8626655580158733</v>
      </c>
      <c r="DR126" s="143">
        <f t="shared" si="415"/>
        <v>9.8626655580158733</v>
      </c>
      <c r="DS126" s="143">
        <f t="shared" si="415"/>
        <v>9.8626655580158733</v>
      </c>
      <c r="DT126" s="143">
        <f t="shared" si="415"/>
        <v>9.8626655580158733</v>
      </c>
      <c r="DU126" s="143">
        <f t="shared" si="415"/>
        <v>9.8626655580158733</v>
      </c>
      <c r="DV126" s="143">
        <f t="shared" si="72"/>
        <v>10.640651618512848</v>
      </c>
      <c r="DW126" s="143">
        <f t="shared" ref="DW126:EO126" si="416">DV126</f>
        <v>10.640651618512848</v>
      </c>
      <c r="DX126" s="143">
        <f t="shared" si="416"/>
        <v>10.640651618512848</v>
      </c>
      <c r="DY126" s="143">
        <f t="shared" si="416"/>
        <v>10.640651618512848</v>
      </c>
      <c r="DZ126" s="143">
        <f t="shared" si="416"/>
        <v>10.640651618512848</v>
      </c>
      <c r="EA126" s="143">
        <f t="shared" si="416"/>
        <v>10.640651618512848</v>
      </c>
      <c r="EB126" s="143">
        <f t="shared" si="416"/>
        <v>10.640651618512848</v>
      </c>
      <c r="EC126" s="143">
        <f t="shared" si="416"/>
        <v>10.640651618512848</v>
      </c>
      <c r="ED126" s="143">
        <f t="shared" si="416"/>
        <v>10.640651618512848</v>
      </c>
      <c r="EE126" s="143">
        <f t="shared" si="416"/>
        <v>10.640651618512848</v>
      </c>
      <c r="EF126" s="143">
        <f t="shared" si="416"/>
        <v>10.640651618512848</v>
      </c>
      <c r="EG126" s="143">
        <f t="shared" si="416"/>
        <v>10.640651618512848</v>
      </c>
      <c r="EH126" s="143">
        <f t="shared" si="416"/>
        <v>10.640651618512848</v>
      </c>
      <c r="EI126" s="143">
        <f t="shared" si="416"/>
        <v>10.640651618512848</v>
      </c>
      <c r="EJ126" s="143">
        <f t="shared" si="416"/>
        <v>10.640651618512848</v>
      </c>
      <c r="EK126" s="143">
        <f t="shared" si="416"/>
        <v>10.640651618512848</v>
      </c>
      <c r="EL126" s="143">
        <f t="shared" si="416"/>
        <v>10.640651618512848</v>
      </c>
      <c r="EM126" s="143">
        <f t="shared" si="416"/>
        <v>10.640651618512848</v>
      </c>
      <c r="EN126" s="143">
        <f t="shared" si="416"/>
        <v>10.640651618512848</v>
      </c>
      <c r="EO126" s="143">
        <f t="shared" si="416"/>
        <v>10.640651618512848</v>
      </c>
      <c r="EP126" s="143">
        <f t="shared" si="74"/>
        <v>11.113939322959773</v>
      </c>
      <c r="EQ126" s="143">
        <f t="shared" ref="EQ126:FI126" si="417">EP126</f>
        <v>11.113939322959773</v>
      </c>
      <c r="ER126" s="143">
        <f t="shared" si="417"/>
        <v>11.113939322959773</v>
      </c>
      <c r="ES126" s="143">
        <f t="shared" si="417"/>
        <v>11.113939322959773</v>
      </c>
      <c r="ET126" s="143">
        <f t="shared" si="417"/>
        <v>11.113939322959773</v>
      </c>
      <c r="EU126" s="143">
        <f t="shared" si="417"/>
        <v>11.113939322959773</v>
      </c>
      <c r="EV126" s="143">
        <f t="shared" si="417"/>
        <v>11.113939322959773</v>
      </c>
      <c r="EW126" s="143">
        <f t="shared" si="417"/>
        <v>11.113939322959773</v>
      </c>
      <c r="EX126" s="143">
        <f t="shared" si="417"/>
        <v>11.113939322959773</v>
      </c>
      <c r="EY126" s="143">
        <f t="shared" si="417"/>
        <v>11.113939322959773</v>
      </c>
      <c r="EZ126" s="143">
        <f t="shared" si="417"/>
        <v>11.113939322959773</v>
      </c>
      <c r="FA126" s="143">
        <f t="shared" si="417"/>
        <v>11.113939322959773</v>
      </c>
      <c r="FB126" s="143">
        <f t="shared" si="417"/>
        <v>11.113939322959773</v>
      </c>
      <c r="FC126" s="143">
        <f t="shared" si="417"/>
        <v>11.113939322959773</v>
      </c>
      <c r="FD126" s="143">
        <f t="shared" si="417"/>
        <v>11.113939322959773</v>
      </c>
      <c r="FE126" s="143">
        <f t="shared" si="417"/>
        <v>11.113939322959773</v>
      </c>
      <c r="FF126" s="143">
        <f t="shared" si="417"/>
        <v>11.113939322959773</v>
      </c>
      <c r="FG126" s="143">
        <f t="shared" si="417"/>
        <v>11.113939322959773</v>
      </c>
      <c r="FH126" s="143">
        <f t="shared" si="417"/>
        <v>11.113939322959773</v>
      </c>
      <c r="FI126" s="143">
        <f t="shared" si="417"/>
        <v>11.113939322959773</v>
      </c>
      <c r="FJ126" s="143">
        <f t="shared" si="76"/>
        <v>11.53076538309856</v>
      </c>
      <c r="FK126" s="143">
        <f t="shared" ref="FK126:GC126" si="418">FJ126</f>
        <v>11.53076538309856</v>
      </c>
      <c r="FL126" s="143">
        <f t="shared" si="418"/>
        <v>11.53076538309856</v>
      </c>
      <c r="FM126" s="143">
        <f t="shared" si="418"/>
        <v>11.53076538309856</v>
      </c>
      <c r="FN126" s="143">
        <f t="shared" si="418"/>
        <v>11.53076538309856</v>
      </c>
      <c r="FO126" s="143">
        <f t="shared" si="418"/>
        <v>11.53076538309856</v>
      </c>
      <c r="FP126" s="143">
        <f t="shared" si="418"/>
        <v>11.53076538309856</v>
      </c>
      <c r="FQ126" s="143">
        <f t="shared" si="418"/>
        <v>11.53076538309856</v>
      </c>
      <c r="FR126" s="143">
        <f t="shared" si="418"/>
        <v>11.53076538309856</v>
      </c>
      <c r="FS126" s="143">
        <f t="shared" si="418"/>
        <v>11.53076538309856</v>
      </c>
      <c r="FT126" s="143">
        <f t="shared" si="418"/>
        <v>11.53076538309856</v>
      </c>
      <c r="FU126" s="143">
        <f t="shared" si="418"/>
        <v>11.53076538309856</v>
      </c>
      <c r="FV126" s="143">
        <f t="shared" si="418"/>
        <v>11.53076538309856</v>
      </c>
      <c r="FW126" s="143">
        <f t="shared" si="418"/>
        <v>11.53076538309856</v>
      </c>
      <c r="FX126" s="143">
        <f t="shared" si="418"/>
        <v>11.53076538309856</v>
      </c>
      <c r="FY126" s="143">
        <f t="shared" si="418"/>
        <v>11.53076538309856</v>
      </c>
      <c r="FZ126" s="143">
        <f t="shared" si="418"/>
        <v>11.53076538309856</v>
      </c>
      <c r="GA126" s="143">
        <f t="shared" si="418"/>
        <v>11.53076538309856</v>
      </c>
      <c r="GB126" s="143">
        <f t="shared" si="418"/>
        <v>11.53076538309856</v>
      </c>
      <c r="GC126" s="143">
        <f t="shared" si="418"/>
        <v>11.53076538309856</v>
      </c>
      <c r="GD126" s="143">
        <f t="shared" si="78"/>
        <v>11.896826395162552</v>
      </c>
      <c r="GE126" s="143">
        <f t="shared" ref="GE126:GM126" si="419">GD126</f>
        <v>11.896826395162552</v>
      </c>
      <c r="GF126" s="143">
        <f t="shared" si="419"/>
        <v>11.896826395162552</v>
      </c>
      <c r="GG126" s="143">
        <f t="shared" si="419"/>
        <v>11.896826395162552</v>
      </c>
      <c r="GH126" s="143">
        <f t="shared" si="419"/>
        <v>11.896826395162552</v>
      </c>
      <c r="GI126" s="143">
        <f t="shared" si="419"/>
        <v>11.896826395162552</v>
      </c>
      <c r="GJ126" s="143">
        <f t="shared" si="419"/>
        <v>11.896826395162552</v>
      </c>
      <c r="GK126" s="143">
        <f t="shared" si="419"/>
        <v>11.896826395162552</v>
      </c>
      <c r="GL126" s="143">
        <f t="shared" si="419"/>
        <v>11.896826395162552</v>
      </c>
      <c r="GM126" s="143">
        <f t="shared" si="419"/>
        <v>11.896826395162552</v>
      </c>
      <c r="GN126" s="143">
        <f t="shared" si="80"/>
        <v>12.206072645530174</v>
      </c>
      <c r="GO126" s="143">
        <f t="shared" si="288"/>
        <v>12.206072645530174</v>
      </c>
      <c r="GP126" s="143">
        <f t="shared" si="288"/>
        <v>12.206072645530174</v>
      </c>
      <c r="GQ126" s="143">
        <f t="shared" si="288"/>
        <v>12.206072645530174</v>
      </c>
      <c r="GR126" s="143">
        <f t="shared" si="288"/>
        <v>12.206072645530174</v>
      </c>
      <c r="GS126" s="143">
        <f t="shared" si="82"/>
        <v>12.706544857216672</v>
      </c>
      <c r="GT126" s="143">
        <f t="shared" si="289"/>
        <v>12.706544857216672</v>
      </c>
      <c r="GU126" s="143">
        <f t="shared" si="289"/>
        <v>12.706544857216672</v>
      </c>
      <c r="GV126" s="143">
        <f t="shared" si="289"/>
        <v>12.706544857216672</v>
      </c>
      <c r="GW126" s="143">
        <f t="shared" si="84"/>
        <v>14.456205878521795</v>
      </c>
    </row>
    <row r="127" spans="1:205" s="46" customFormat="1" ht="9.75" customHeight="1">
      <c r="A127" s="60">
        <v>2013</v>
      </c>
      <c r="B127" s="143">
        <f t="shared" si="85"/>
        <v>0.88237684677883266</v>
      </c>
      <c r="C127" s="143">
        <f t="shared" si="54"/>
        <v>0.95904713496874994</v>
      </c>
      <c r="D127" s="60"/>
      <c r="E127" s="143">
        <f t="shared" si="55"/>
        <v>6.126213947659596</v>
      </c>
      <c r="F127" s="143">
        <f t="shared" ref="F127:X127" si="420">E127</f>
        <v>6.126213947659596</v>
      </c>
      <c r="G127" s="143">
        <f t="shared" si="420"/>
        <v>6.126213947659596</v>
      </c>
      <c r="H127" s="143">
        <f t="shared" si="420"/>
        <v>6.126213947659596</v>
      </c>
      <c r="I127" s="143">
        <f t="shared" si="420"/>
        <v>6.126213947659596</v>
      </c>
      <c r="J127" s="143">
        <f t="shared" si="420"/>
        <v>6.126213947659596</v>
      </c>
      <c r="K127" s="143">
        <f t="shared" si="420"/>
        <v>6.126213947659596</v>
      </c>
      <c r="L127" s="143">
        <f t="shared" si="420"/>
        <v>6.126213947659596</v>
      </c>
      <c r="M127" s="143">
        <f t="shared" si="420"/>
        <v>6.126213947659596</v>
      </c>
      <c r="N127" s="143">
        <f t="shared" si="420"/>
        <v>6.126213947659596</v>
      </c>
      <c r="O127" s="143">
        <f t="shared" si="420"/>
        <v>6.126213947659596</v>
      </c>
      <c r="P127" s="143">
        <f t="shared" si="420"/>
        <v>6.126213947659596</v>
      </c>
      <c r="Q127" s="143">
        <f t="shared" si="420"/>
        <v>6.126213947659596</v>
      </c>
      <c r="R127" s="143">
        <f t="shared" si="420"/>
        <v>6.126213947659596</v>
      </c>
      <c r="S127" s="143">
        <f t="shared" si="420"/>
        <v>6.126213947659596</v>
      </c>
      <c r="T127" s="143">
        <f t="shared" si="420"/>
        <v>6.126213947659596</v>
      </c>
      <c r="U127" s="143">
        <f t="shared" si="420"/>
        <v>6.126213947659596</v>
      </c>
      <c r="V127" s="143">
        <f t="shared" si="420"/>
        <v>6.126213947659596</v>
      </c>
      <c r="W127" s="143">
        <f t="shared" si="420"/>
        <v>6.126213947659596</v>
      </c>
      <c r="X127" s="143">
        <f t="shared" si="420"/>
        <v>6.126213947659596</v>
      </c>
      <c r="Y127" s="143">
        <f t="shared" si="57"/>
        <v>8.2627137597921756</v>
      </c>
      <c r="Z127" s="143">
        <f t="shared" ref="Z127:AR127" si="421">Y127</f>
        <v>8.2627137597921756</v>
      </c>
      <c r="AA127" s="143">
        <f t="shared" si="421"/>
        <v>8.2627137597921756</v>
      </c>
      <c r="AB127" s="143">
        <f t="shared" si="421"/>
        <v>8.2627137597921756</v>
      </c>
      <c r="AC127" s="143">
        <f t="shared" si="421"/>
        <v>8.2627137597921756</v>
      </c>
      <c r="AD127" s="143">
        <f t="shared" si="421"/>
        <v>8.2627137597921756</v>
      </c>
      <c r="AE127" s="143">
        <f t="shared" si="421"/>
        <v>8.2627137597921756</v>
      </c>
      <c r="AF127" s="143">
        <f t="shared" si="421"/>
        <v>8.2627137597921756</v>
      </c>
      <c r="AG127" s="143">
        <f t="shared" si="421"/>
        <v>8.2627137597921756</v>
      </c>
      <c r="AH127" s="143">
        <f t="shared" si="421"/>
        <v>8.2627137597921756</v>
      </c>
      <c r="AI127" s="143">
        <f t="shared" si="421"/>
        <v>8.2627137597921756</v>
      </c>
      <c r="AJ127" s="143">
        <f t="shared" si="421"/>
        <v>8.2627137597921756</v>
      </c>
      <c r="AK127" s="143">
        <f t="shared" si="421"/>
        <v>8.2627137597921756</v>
      </c>
      <c r="AL127" s="143">
        <f t="shared" si="421"/>
        <v>8.2627137597921756</v>
      </c>
      <c r="AM127" s="143">
        <f t="shared" si="421"/>
        <v>8.2627137597921756</v>
      </c>
      <c r="AN127" s="143">
        <f t="shared" si="421"/>
        <v>8.2627137597921756</v>
      </c>
      <c r="AO127" s="143">
        <f t="shared" si="421"/>
        <v>8.2627137597921756</v>
      </c>
      <c r="AP127" s="143">
        <f t="shared" si="421"/>
        <v>8.2627137597921756</v>
      </c>
      <c r="AQ127" s="143">
        <f t="shared" si="421"/>
        <v>8.2627137597921756</v>
      </c>
      <c r="AR127" s="143">
        <f t="shared" si="421"/>
        <v>8.2627137597921756</v>
      </c>
      <c r="AS127" s="143">
        <f t="shared" si="59"/>
        <v>9.1438906924048702</v>
      </c>
      <c r="AT127" s="143">
        <f t="shared" ref="AT127:BL127" si="422">AS127</f>
        <v>9.1438906924048702</v>
      </c>
      <c r="AU127" s="143">
        <f t="shared" si="422"/>
        <v>9.1438906924048702</v>
      </c>
      <c r="AV127" s="143">
        <f t="shared" si="422"/>
        <v>9.1438906924048702</v>
      </c>
      <c r="AW127" s="143">
        <f t="shared" si="422"/>
        <v>9.1438906924048702</v>
      </c>
      <c r="AX127" s="143">
        <f t="shared" si="422"/>
        <v>9.1438906924048702</v>
      </c>
      <c r="AY127" s="143">
        <f t="shared" si="422"/>
        <v>9.1438906924048702</v>
      </c>
      <c r="AZ127" s="143">
        <f t="shared" si="422"/>
        <v>9.1438906924048702</v>
      </c>
      <c r="BA127" s="143">
        <f t="shared" si="422"/>
        <v>9.1438906924048702</v>
      </c>
      <c r="BB127" s="143">
        <f t="shared" si="422"/>
        <v>9.1438906924048702</v>
      </c>
      <c r="BC127" s="143">
        <f t="shared" si="422"/>
        <v>9.1438906924048702</v>
      </c>
      <c r="BD127" s="143">
        <f t="shared" si="422"/>
        <v>9.1438906924048702</v>
      </c>
      <c r="BE127" s="143">
        <f t="shared" si="422"/>
        <v>9.1438906924048702</v>
      </c>
      <c r="BF127" s="143">
        <f t="shared" si="422"/>
        <v>9.1438906924048702</v>
      </c>
      <c r="BG127" s="143">
        <f t="shared" si="422"/>
        <v>9.1438906924048702</v>
      </c>
      <c r="BH127" s="143">
        <f t="shared" si="422"/>
        <v>9.1438906924048702</v>
      </c>
      <c r="BI127" s="143">
        <f t="shared" si="422"/>
        <v>9.1438906924048702</v>
      </c>
      <c r="BJ127" s="143">
        <f t="shared" si="422"/>
        <v>9.1438906924048702</v>
      </c>
      <c r="BK127" s="143">
        <f t="shared" si="422"/>
        <v>9.1438906924048702</v>
      </c>
      <c r="BL127" s="143">
        <f t="shared" si="422"/>
        <v>9.1438906924048702</v>
      </c>
      <c r="BM127" s="143">
        <f t="shared" si="61"/>
        <v>9.8044072748354516</v>
      </c>
      <c r="BN127" s="143">
        <f t="shared" ref="BN127:CF127" si="423">BM127</f>
        <v>9.8044072748354516</v>
      </c>
      <c r="BO127" s="143">
        <f t="shared" si="423"/>
        <v>9.8044072748354516</v>
      </c>
      <c r="BP127" s="143">
        <f t="shared" si="423"/>
        <v>9.8044072748354516</v>
      </c>
      <c r="BQ127" s="143">
        <f t="shared" si="423"/>
        <v>9.8044072748354516</v>
      </c>
      <c r="BR127" s="143">
        <f t="shared" si="423"/>
        <v>9.8044072748354516</v>
      </c>
      <c r="BS127" s="143">
        <f t="shared" si="423"/>
        <v>9.8044072748354516</v>
      </c>
      <c r="BT127" s="143">
        <f t="shared" si="423"/>
        <v>9.8044072748354516</v>
      </c>
      <c r="BU127" s="143">
        <f t="shared" si="423"/>
        <v>9.8044072748354516</v>
      </c>
      <c r="BV127" s="143">
        <f t="shared" si="423"/>
        <v>9.8044072748354516</v>
      </c>
      <c r="BW127" s="143">
        <f t="shared" si="423"/>
        <v>9.8044072748354516</v>
      </c>
      <c r="BX127" s="143">
        <f t="shared" si="423"/>
        <v>9.8044072748354516</v>
      </c>
      <c r="BY127" s="143">
        <f t="shared" si="423"/>
        <v>9.8044072748354516</v>
      </c>
      <c r="BZ127" s="143">
        <f t="shared" si="423"/>
        <v>9.8044072748354516</v>
      </c>
      <c r="CA127" s="143">
        <f t="shared" si="423"/>
        <v>9.8044072748354516</v>
      </c>
      <c r="CB127" s="143">
        <f t="shared" si="423"/>
        <v>9.8044072748354516</v>
      </c>
      <c r="CC127" s="143">
        <f t="shared" si="423"/>
        <v>9.8044072748354516</v>
      </c>
      <c r="CD127" s="143">
        <f t="shared" si="423"/>
        <v>9.8044072748354516</v>
      </c>
      <c r="CE127" s="143">
        <f t="shared" si="423"/>
        <v>9.8044072748354516</v>
      </c>
      <c r="CF127" s="143">
        <f t="shared" si="423"/>
        <v>9.8044072748354516</v>
      </c>
      <c r="CG127" s="143">
        <f t="shared" si="63"/>
        <v>10.349630644795552</v>
      </c>
      <c r="CH127" s="143">
        <f t="shared" ref="CH127:CP127" si="424">CG127</f>
        <v>10.349630644795552</v>
      </c>
      <c r="CI127" s="143">
        <f t="shared" si="424"/>
        <v>10.349630644795552</v>
      </c>
      <c r="CJ127" s="143">
        <f t="shared" si="424"/>
        <v>10.349630644795552</v>
      </c>
      <c r="CK127" s="143">
        <f t="shared" si="424"/>
        <v>10.349630644795552</v>
      </c>
      <c r="CL127" s="143">
        <f t="shared" si="424"/>
        <v>10.349630644795552</v>
      </c>
      <c r="CM127" s="143">
        <f t="shared" si="424"/>
        <v>10.349630644795552</v>
      </c>
      <c r="CN127" s="143">
        <f t="shared" si="424"/>
        <v>10.349630644795552</v>
      </c>
      <c r="CO127" s="143">
        <f t="shared" si="424"/>
        <v>10.349630644795552</v>
      </c>
      <c r="CP127" s="143">
        <f t="shared" si="424"/>
        <v>10.349630644795552</v>
      </c>
      <c r="CQ127" s="143">
        <f t="shared" si="65"/>
        <v>10.772183405602599</v>
      </c>
      <c r="CR127" s="143">
        <f t="shared" si="281"/>
        <v>10.772183405602599</v>
      </c>
      <c r="CS127" s="143">
        <f t="shared" si="281"/>
        <v>10.772183405602599</v>
      </c>
      <c r="CT127" s="143">
        <f t="shared" si="281"/>
        <v>10.772183405602599</v>
      </c>
      <c r="CU127" s="143">
        <f t="shared" si="281"/>
        <v>10.772183405602599</v>
      </c>
      <c r="CV127" s="143">
        <f t="shared" si="67"/>
        <v>11.382396417935093</v>
      </c>
      <c r="CW127" s="143">
        <f t="shared" si="282"/>
        <v>11.382396417935093</v>
      </c>
      <c r="CX127" s="143">
        <f t="shared" si="282"/>
        <v>11.382396417935093</v>
      </c>
      <c r="CY127" s="143">
        <f t="shared" si="282"/>
        <v>11.382396417935093</v>
      </c>
      <c r="CZ127" s="143">
        <f t="shared" si="69"/>
        <v>13.193118535152271</v>
      </c>
      <c r="DA127" s="60"/>
      <c r="DB127" s="143">
        <f t="shared" si="70"/>
        <v>9.8984750107125841</v>
      </c>
      <c r="DC127" s="143">
        <f t="shared" ref="DC127:DU127" si="425">DB127</f>
        <v>9.8984750107125841</v>
      </c>
      <c r="DD127" s="143">
        <f t="shared" si="425"/>
        <v>9.8984750107125841</v>
      </c>
      <c r="DE127" s="143">
        <f t="shared" si="425"/>
        <v>9.8984750107125841</v>
      </c>
      <c r="DF127" s="143">
        <f t="shared" si="425"/>
        <v>9.8984750107125841</v>
      </c>
      <c r="DG127" s="143">
        <f t="shared" si="425"/>
        <v>9.8984750107125841</v>
      </c>
      <c r="DH127" s="143">
        <f t="shared" si="425"/>
        <v>9.8984750107125841</v>
      </c>
      <c r="DI127" s="143">
        <f t="shared" si="425"/>
        <v>9.8984750107125841</v>
      </c>
      <c r="DJ127" s="143">
        <f t="shared" si="425"/>
        <v>9.8984750107125841</v>
      </c>
      <c r="DK127" s="143">
        <f t="shared" si="425"/>
        <v>9.8984750107125841</v>
      </c>
      <c r="DL127" s="143">
        <f t="shared" si="425"/>
        <v>9.8984750107125841</v>
      </c>
      <c r="DM127" s="143">
        <f t="shared" si="425"/>
        <v>9.8984750107125841</v>
      </c>
      <c r="DN127" s="143">
        <f t="shared" si="425"/>
        <v>9.8984750107125841</v>
      </c>
      <c r="DO127" s="143">
        <f t="shared" si="425"/>
        <v>9.8984750107125841</v>
      </c>
      <c r="DP127" s="143">
        <f t="shared" si="425"/>
        <v>9.8984750107125841</v>
      </c>
      <c r="DQ127" s="143">
        <f t="shared" si="425"/>
        <v>9.8984750107125841</v>
      </c>
      <c r="DR127" s="143">
        <f t="shared" si="425"/>
        <v>9.8984750107125841</v>
      </c>
      <c r="DS127" s="143">
        <f t="shared" si="425"/>
        <v>9.8984750107125841</v>
      </c>
      <c r="DT127" s="143">
        <f t="shared" si="425"/>
        <v>9.8984750107125841</v>
      </c>
      <c r="DU127" s="143">
        <f t="shared" si="425"/>
        <v>9.8984750107125841</v>
      </c>
      <c r="DV127" s="143">
        <f t="shared" si="72"/>
        <v>10.659609532257463</v>
      </c>
      <c r="DW127" s="143">
        <f t="shared" ref="DW127:EO127" si="426">DV127</f>
        <v>10.659609532257463</v>
      </c>
      <c r="DX127" s="143">
        <f t="shared" si="426"/>
        <v>10.659609532257463</v>
      </c>
      <c r="DY127" s="143">
        <f t="shared" si="426"/>
        <v>10.659609532257463</v>
      </c>
      <c r="DZ127" s="143">
        <f t="shared" si="426"/>
        <v>10.659609532257463</v>
      </c>
      <c r="EA127" s="143">
        <f t="shared" si="426"/>
        <v>10.659609532257463</v>
      </c>
      <c r="EB127" s="143">
        <f t="shared" si="426"/>
        <v>10.659609532257463</v>
      </c>
      <c r="EC127" s="143">
        <f t="shared" si="426"/>
        <v>10.659609532257463</v>
      </c>
      <c r="ED127" s="143">
        <f t="shared" si="426"/>
        <v>10.659609532257463</v>
      </c>
      <c r="EE127" s="143">
        <f t="shared" si="426"/>
        <v>10.659609532257463</v>
      </c>
      <c r="EF127" s="143">
        <f t="shared" si="426"/>
        <v>10.659609532257463</v>
      </c>
      <c r="EG127" s="143">
        <f t="shared" si="426"/>
        <v>10.659609532257463</v>
      </c>
      <c r="EH127" s="143">
        <f t="shared" si="426"/>
        <v>10.659609532257463</v>
      </c>
      <c r="EI127" s="143">
        <f t="shared" si="426"/>
        <v>10.659609532257463</v>
      </c>
      <c r="EJ127" s="143">
        <f t="shared" si="426"/>
        <v>10.659609532257463</v>
      </c>
      <c r="EK127" s="143">
        <f t="shared" si="426"/>
        <v>10.659609532257463</v>
      </c>
      <c r="EL127" s="143">
        <f t="shared" si="426"/>
        <v>10.659609532257463</v>
      </c>
      <c r="EM127" s="143">
        <f t="shared" si="426"/>
        <v>10.659609532257463</v>
      </c>
      <c r="EN127" s="143">
        <f t="shared" si="426"/>
        <v>10.659609532257463</v>
      </c>
      <c r="EO127" s="143">
        <f t="shared" si="426"/>
        <v>10.659609532257463</v>
      </c>
      <c r="EP127" s="143">
        <f t="shared" si="74"/>
        <v>11.131665045558881</v>
      </c>
      <c r="EQ127" s="143">
        <f t="shared" ref="EQ127:FI127" si="427">EP127</f>
        <v>11.131665045558881</v>
      </c>
      <c r="ER127" s="143">
        <f t="shared" si="427"/>
        <v>11.131665045558881</v>
      </c>
      <c r="ES127" s="143">
        <f t="shared" si="427"/>
        <v>11.131665045558881</v>
      </c>
      <c r="ET127" s="143">
        <f t="shared" si="427"/>
        <v>11.131665045558881</v>
      </c>
      <c r="EU127" s="143">
        <f t="shared" si="427"/>
        <v>11.131665045558881</v>
      </c>
      <c r="EV127" s="143">
        <f t="shared" si="427"/>
        <v>11.131665045558881</v>
      </c>
      <c r="EW127" s="143">
        <f t="shared" si="427"/>
        <v>11.131665045558881</v>
      </c>
      <c r="EX127" s="143">
        <f t="shared" si="427"/>
        <v>11.131665045558881</v>
      </c>
      <c r="EY127" s="143">
        <f t="shared" si="427"/>
        <v>11.131665045558881</v>
      </c>
      <c r="EZ127" s="143">
        <f t="shared" si="427"/>
        <v>11.131665045558881</v>
      </c>
      <c r="FA127" s="143">
        <f t="shared" si="427"/>
        <v>11.131665045558881</v>
      </c>
      <c r="FB127" s="143">
        <f t="shared" si="427"/>
        <v>11.131665045558881</v>
      </c>
      <c r="FC127" s="143">
        <f t="shared" si="427"/>
        <v>11.131665045558881</v>
      </c>
      <c r="FD127" s="143">
        <f t="shared" si="427"/>
        <v>11.131665045558881</v>
      </c>
      <c r="FE127" s="143">
        <f t="shared" si="427"/>
        <v>11.131665045558881</v>
      </c>
      <c r="FF127" s="143">
        <f t="shared" si="427"/>
        <v>11.131665045558881</v>
      </c>
      <c r="FG127" s="143">
        <f t="shared" si="427"/>
        <v>11.131665045558881</v>
      </c>
      <c r="FH127" s="143">
        <f t="shared" si="427"/>
        <v>11.131665045558881</v>
      </c>
      <c r="FI127" s="143">
        <f t="shared" si="427"/>
        <v>11.131665045558881</v>
      </c>
      <c r="FJ127" s="143">
        <f t="shared" si="76"/>
        <v>11.553107254603061</v>
      </c>
      <c r="FK127" s="143">
        <f t="shared" ref="FK127:GC127" si="428">FJ127</f>
        <v>11.553107254603061</v>
      </c>
      <c r="FL127" s="143">
        <f t="shared" si="428"/>
        <v>11.553107254603061</v>
      </c>
      <c r="FM127" s="143">
        <f t="shared" si="428"/>
        <v>11.553107254603061</v>
      </c>
      <c r="FN127" s="143">
        <f t="shared" si="428"/>
        <v>11.553107254603061</v>
      </c>
      <c r="FO127" s="143">
        <f t="shared" si="428"/>
        <v>11.553107254603061</v>
      </c>
      <c r="FP127" s="143">
        <f t="shared" si="428"/>
        <v>11.553107254603061</v>
      </c>
      <c r="FQ127" s="143">
        <f t="shared" si="428"/>
        <v>11.553107254603061</v>
      </c>
      <c r="FR127" s="143">
        <f t="shared" si="428"/>
        <v>11.553107254603061</v>
      </c>
      <c r="FS127" s="143">
        <f t="shared" si="428"/>
        <v>11.553107254603061</v>
      </c>
      <c r="FT127" s="143">
        <f t="shared" si="428"/>
        <v>11.553107254603061</v>
      </c>
      <c r="FU127" s="143">
        <f t="shared" si="428"/>
        <v>11.553107254603061</v>
      </c>
      <c r="FV127" s="143">
        <f t="shared" si="428"/>
        <v>11.553107254603061</v>
      </c>
      <c r="FW127" s="143">
        <f t="shared" si="428"/>
        <v>11.553107254603061</v>
      </c>
      <c r="FX127" s="143">
        <f t="shared" si="428"/>
        <v>11.553107254603061</v>
      </c>
      <c r="FY127" s="143">
        <f t="shared" si="428"/>
        <v>11.553107254603061</v>
      </c>
      <c r="FZ127" s="143">
        <f t="shared" si="428"/>
        <v>11.553107254603061</v>
      </c>
      <c r="GA127" s="143">
        <f t="shared" si="428"/>
        <v>11.553107254603061</v>
      </c>
      <c r="GB127" s="143">
        <f t="shared" si="428"/>
        <v>11.553107254603061</v>
      </c>
      <c r="GC127" s="143">
        <f t="shared" si="428"/>
        <v>11.553107254603061</v>
      </c>
      <c r="GD127" s="143">
        <f t="shared" si="78"/>
        <v>11.915051671812877</v>
      </c>
      <c r="GE127" s="143">
        <f t="shared" ref="GE127:GM127" si="429">GD127</f>
        <v>11.915051671812877</v>
      </c>
      <c r="GF127" s="143">
        <f t="shared" si="429"/>
        <v>11.915051671812877</v>
      </c>
      <c r="GG127" s="143">
        <f t="shared" si="429"/>
        <v>11.915051671812877</v>
      </c>
      <c r="GH127" s="143">
        <f t="shared" si="429"/>
        <v>11.915051671812877</v>
      </c>
      <c r="GI127" s="143">
        <f t="shared" si="429"/>
        <v>11.915051671812877</v>
      </c>
      <c r="GJ127" s="143">
        <f t="shared" si="429"/>
        <v>11.915051671812877</v>
      </c>
      <c r="GK127" s="143">
        <f t="shared" si="429"/>
        <v>11.915051671812877</v>
      </c>
      <c r="GL127" s="143">
        <f t="shared" si="429"/>
        <v>11.915051671812877</v>
      </c>
      <c r="GM127" s="143">
        <f t="shared" si="429"/>
        <v>11.915051671812877</v>
      </c>
      <c r="GN127" s="143">
        <f t="shared" si="80"/>
        <v>12.233201312918426</v>
      </c>
      <c r="GO127" s="143">
        <f t="shared" si="288"/>
        <v>12.233201312918426</v>
      </c>
      <c r="GP127" s="143">
        <f t="shared" si="288"/>
        <v>12.233201312918426</v>
      </c>
      <c r="GQ127" s="143">
        <f t="shared" si="288"/>
        <v>12.233201312918426</v>
      </c>
      <c r="GR127" s="143">
        <f t="shared" si="288"/>
        <v>12.233201312918426</v>
      </c>
      <c r="GS127" s="143">
        <f t="shared" si="82"/>
        <v>12.717997664739466</v>
      </c>
      <c r="GT127" s="143">
        <f t="shared" si="289"/>
        <v>12.717997664739466</v>
      </c>
      <c r="GU127" s="143">
        <f t="shared" si="289"/>
        <v>12.717997664739466</v>
      </c>
      <c r="GV127" s="143">
        <f t="shared" si="289"/>
        <v>12.717997664739466</v>
      </c>
      <c r="GW127" s="143">
        <f t="shared" si="84"/>
        <v>14.283762654171204</v>
      </c>
    </row>
    <row r="128" spans="1:205" s="46" customFormat="1" ht="9.75" customHeight="1">
      <c r="A128" s="60">
        <v>2014</v>
      </c>
      <c r="B128" s="143">
        <f t="shared" si="85"/>
        <v>0.93515832898767015</v>
      </c>
      <c r="C128" s="143">
        <f t="shared" si="54"/>
        <v>0.95112162378487497</v>
      </c>
      <c r="D128" s="60"/>
      <c r="E128" s="143">
        <f t="shared" si="55"/>
        <v>5.9097120452357226</v>
      </c>
      <c r="F128" s="143">
        <f t="shared" ref="F128:X128" si="430">E128</f>
        <v>5.9097120452357226</v>
      </c>
      <c r="G128" s="143">
        <f t="shared" si="430"/>
        <v>5.9097120452357226</v>
      </c>
      <c r="H128" s="143">
        <f t="shared" si="430"/>
        <v>5.9097120452357226</v>
      </c>
      <c r="I128" s="143">
        <f t="shared" si="430"/>
        <v>5.9097120452357226</v>
      </c>
      <c r="J128" s="143">
        <f t="shared" si="430"/>
        <v>5.9097120452357226</v>
      </c>
      <c r="K128" s="143">
        <f t="shared" si="430"/>
        <v>5.9097120452357226</v>
      </c>
      <c r="L128" s="143">
        <f t="shared" si="430"/>
        <v>5.9097120452357226</v>
      </c>
      <c r="M128" s="143">
        <f t="shared" si="430"/>
        <v>5.9097120452357226</v>
      </c>
      <c r="N128" s="143">
        <f t="shared" si="430"/>
        <v>5.9097120452357226</v>
      </c>
      <c r="O128" s="143">
        <f t="shared" si="430"/>
        <v>5.9097120452357226</v>
      </c>
      <c r="P128" s="143">
        <f t="shared" si="430"/>
        <v>5.9097120452357226</v>
      </c>
      <c r="Q128" s="143">
        <f t="shared" si="430"/>
        <v>5.9097120452357226</v>
      </c>
      <c r="R128" s="143">
        <f t="shared" si="430"/>
        <v>5.9097120452357226</v>
      </c>
      <c r="S128" s="143">
        <f t="shared" si="430"/>
        <v>5.9097120452357226</v>
      </c>
      <c r="T128" s="143">
        <f t="shared" si="430"/>
        <v>5.9097120452357226</v>
      </c>
      <c r="U128" s="143">
        <f t="shared" si="430"/>
        <v>5.9097120452357226</v>
      </c>
      <c r="V128" s="143">
        <f t="shared" si="430"/>
        <v>5.9097120452357226</v>
      </c>
      <c r="W128" s="143">
        <f t="shared" si="430"/>
        <v>5.9097120452357226</v>
      </c>
      <c r="X128" s="143">
        <f t="shared" si="430"/>
        <v>5.9097120452357226</v>
      </c>
      <c r="Y128" s="143">
        <f t="shared" si="57"/>
        <v>8.2540085905648439</v>
      </c>
      <c r="Z128" s="143">
        <f t="shared" ref="Z128:AR128" si="431">Y128</f>
        <v>8.2540085905648439</v>
      </c>
      <c r="AA128" s="143">
        <f t="shared" si="431"/>
        <v>8.2540085905648439</v>
      </c>
      <c r="AB128" s="143">
        <f t="shared" si="431"/>
        <v>8.2540085905648439</v>
      </c>
      <c r="AC128" s="143">
        <f t="shared" si="431"/>
        <v>8.2540085905648439</v>
      </c>
      <c r="AD128" s="143">
        <f t="shared" si="431"/>
        <v>8.2540085905648439</v>
      </c>
      <c r="AE128" s="143">
        <f t="shared" si="431"/>
        <v>8.2540085905648439</v>
      </c>
      <c r="AF128" s="143">
        <f t="shared" si="431"/>
        <v>8.2540085905648439</v>
      </c>
      <c r="AG128" s="143">
        <f t="shared" si="431"/>
        <v>8.2540085905648439</v>
      </c>
      <c r="AH128" s="143">
        <f t="shared" si="431"/>
        <v>8.2540085905648439</v>
      </c>
      <c r="AI128" s="143">
        <f t="shared" si="431"/>
        <v>8.2540085905648439</v>
      </c>
      <c r="AJ128" s="143">
        <f t="shared" si="431"/>
        <v>8.2540085905648439</v>
      </c>
      <c r="AK128" s="143">
        <f t="shared" si="431"/>
        <v>8.2540085905648439</v>
      </c>
      <c r="AL128" s="143">
        <f t="shared" si="431"/>
        <v>8.2540085905648439</v>
      </c>
      <c r="AM128" s="143">
        <f t="shared" si="431"/>
        <v>8.2540085905648439</v>
      </c>
      <c r="AN128" s="143">
        <f t="shared" si="431"/>
        <v>8.2540085905648439</v>
      </c>
      <c r="AO128" s="143">
        <f t="shared" si="431"/>
        <v>8.2540085905648439</v>
      </c>
      <c r="AP128" s="143">
        <f t="shared" si="431"/>
        <v>8.2540085905648439</v>
      </c>
      <c r="AQ128" s="143">
        <f t="shared" si="431"/>
        <v>8.2540085905648439</v>
      </c>
      <c r="AR128" s="143">
        <f t="shared" si="431"/>
        <v>8.2540085905648439</v>
      </c>
      <c r="AS128" s="143">
        <f t="shared" si="59"/>
        <v>9.1844069899496787</v>
      </c>
      <c r="AT128" s="143">
        <f t="shared" ref="AT128:BL128" si="432">AS128</f>
        <v>9.1844069899496787</v>
      </c>
      <c r="AU128" s="143">
        <f t="shared" si="432"/>
        <v>9.1844069899496787</v>
      </c>
      <c r="AV128" s="143">
        <f t="shared" si="432"/>
        <v>9.1844069899496787</v>
      </c>
      <c r="AW128" s="143">
        <f t="shared" si="432"/>
        <v>9.1844069899496787</v>
      </c>
      <c r="AX128" s="143">
        <f t="shared" si="432"/>
        <v>9.1844069899496787</v>
      </c>
      <c r="AY128" s="143">
        <f t="shared" si="432"/>
        <v>9.1844069899496787</v>
      </c>
      <c r="AZ128" s="143">
        <f t="shared" si="432"/>
        <v>9.1844069899496787</v>
      </c>
      <c r="BA128" s="143">
        <f t="shared" si="432"/>
        <v>9.1844069899496787</v>
      </c>
      <c r="BB128" s="143">
        <f t="shared" si="432"/>
        <v>9.1844069899496787</v>
      </c>
      <c r="BC128" s="143">
        <f t="shared" si="432"/>
        <v>9.1844069899496787</v>
      </c>
      <c r="BD128" s="143">
        <f t="shared" si="432"/>
        <v>9.1844069899496787</v>
      </c>
      <c r="BE128" s="143">
        <f t="shared" si="432"/>
        <v>9.1844069899496787</v>
      </c>
      <c r="BF128" s="143">
        <f t="shared" si="432"/>
        <v>9.1844069899496787</v>
      </c>
      <c r="BG128" s="143">
        <f t="shared" si="432"/>
        <v>9.1844069899496787</v>
      </c>
      <c r="BH128" s="143">
        <f t="shared" si="432"/>
        <v>9.1844069899496787</v>
      </c>
      <c r="BI128" s="143">
        <f t="shared" si="432"/>
        <v>9.1844069899496787</v>
      </c>
      <c r="BJ128" s="143">
        <f t="shared" si="432"/>
        <v>9.1844069899496787</v>
      </c>
      <c r="BK128" s="143">
        <f t="shared" si="432"/>
        <v>9.1844069899496787</v>
      </c>
      <c r="BL128" s="143">
        <f t="shared" si="432"/>
        <v>9.1844069899496787</v>
      </c>
      <c r="BM128" s="143">
        <f t="shared" si="61"/>
        <v>9.8433340697162848</v>
      </c>
      <c r="BN128" s="143">
        <f t="shared" ref="BN128:CF128" si="433">BM128</f>
        <v>9.8433340697162848</v>
      </c>
      <c r="BO128" s="143">
        <f t="shared" si="433"/>
        <v>9.8433340697162848</v>
      </c>
      <c r="BP128" s="143">
        <f t="shared" si="433"/>
        <v>9.8433340697162848</v>
      </c>
      <c r="BQ128" s="143">
        <f t="shared" si="433"/>
        <v>9.8433340697162848</v>
      </c>
      <c r="BR128" s="143">
        <f t="shared" si="433"/>
        <v>9.8433340697162848</v>
      </c>
      <c r="BS128" s="143">
        <f t="shared" si="433"/>
        <v>9.8433340697162848</v>
      </c>
      <c r="BT128" s="143">
        <f t="shared" si="433"/>
        <v>9.8433340697162848</v>
      </c>
      <c r="BU128" s="143">
        <f t="shared" si="433"/>
        <v>9.8433340697162848</v>
      </c>
      <c r="BV128" s="143">
        <f t="shared" si="433"/>
        <v>9.8433340697162848</v>
      </c>
      <c r="BW128" s="143">
        <f t="shared" si="433"/>
        <v>9.8433340697162848</v>
      </c>
      <c r="BX128" s="143">
        <f t="shared" si="433"/>
        <v>9.8433340697162848</v>
      </c>
      <c r="BY128" s="143">
        <f t="shared" si="433"/>
        <v>9.8433340697162848</v>
      </c>
      <c r="BZ128" s="143">
        <f t="shared" si="433"/>
        <v>9.8433340697162848</v>
      </c>
      <c r="CA128" s="143">
        <f t="shared" si="433"/>
        <v>9.8433340697162848</v>
      </c>
      <c r="CB128" s="143">
        <f t="shared" si="433"/>
        <v>9.8433340697162848</v>
      </c>
      <c r="CC128" s="143">
        <f t="shared" si="433"/>
        <v>9.8433340697162848</v>
      </c>
      <c r="CD128" s="143">
        <f t="shared" si="433"/>
        <v>9.8433340697162848</v>
      </c>
      <c r="CE128" s="143">
        <f t="shared" si="433"/>
        <v>9.8433340697162848</v>
      </c>
      <c r="CF128" s="143">
        <f t="shared" si="433"/>
        <v>9.8433340697162848</v>
      </c>
      <c r="CG128" s="143">
        <f t="shared" si="63"/>
        <v>10.388330531978504</v>
      </c>
      <c r="CH128" s="143">
        <f t="shared" ref="CH128:CP128" si="434">CG128</f>
        <v>10.388330531978504</v>
      </c>
      <c r="CI128" s="143">
        <f t="shared" si="434"/>
        <v>10.388330531978504</v>
      </c>
      <c r="CJ128" s="143">
        <f t="shared" si="434"/>
        <v>10.388330531978504</v>
      </c>
      <c r="CK128" s="143">
        <f t="shared" si="434"/>
        <v>10.388330531978504</v>
      </c>
      <c r="CL128" s="143">
        <f t="shared" si="434"/>
        <v>10.388330531978504</v>
      </c>
      <c r="CM128" s="143">
        <f t="shared" si="434"/>
        <v>10.388330531978504</v>
      </c>
      <c r="CN128" s="143">
        <f t="shared" si="434"/>
        <v>10.388330531978504</v>
      </c>
      <c r="CO128" s="143">
        <f t="shared" si="434"/>
        <v>10.388330531978504</v>
      </c>
      <c r="CP128" s="143">
        <f t="shared" si="434"/>
        <v>10.388330531978504</v>
      </c>
      <c r="CQ128" s="143">
        <f t="shared" si="65"/>
        <v>10.79861184754847</v>
      </c>
      <c r="CR128" s="143">
        <f t="shared" si="281"/>
        <v>10.79861184754847</v>
      </c>
      <c r="CS128" s="143">
        <f t="shared" si="281"/>
        <v>10.79861184754847</v>
      </c>
      <c r="CT128" s="143">
        <f t="shared" si="281"/>
        <v>10.79861184754847</v>
      </c>
      <c r="CU128" s="143">
        <f t="shared" si="281"/>
        <v>10.79861184754847</v>
      </c>
      <c r="CV128" s="143">
        <f t="shared" si="67"/>
        <v>11.435420035681755</v>
      </c>
      <c r="CW128" s="143">
        <f t="shared" si="282"/>
        <v>11.435420035681755</v>
      </c>
      <c r="CX128" s="143">
        <f t="shared" si="282"/>
        <v>11.435420035681755</v>
      </c>
      <c r="CY128" s="143">
        <f t="shared" si="282"/>
        <v>11.435420035681755</v>
      </c>
      <c r="CZ128" s="143">
        <f t="shared" si="69"/>
        <v>13.311207615187477</v>
      </c>
      <c r="DA128" s="60"/>
      <c r="DB128" s="143">
        <f t="shared" si="70"/>
        <v>9.87302834505142</v>
      </c>
      <c r="DC128" s="143">
        <f t="shared" ref="DC128:DU128" si="435">DB128</f>
        <v>9.87302834505142</v>
      </c>
      <c r="DD128" s="143">
        <f t="shared" si="435"/>
        <v>9.87302834505142</v>
      </c>
      <c r="DE128" s="143">
        <f t="shared" si="435"/>
        <v>9.87302834505142</v>
      </c>
      <c r="DF128" s="143">
        <f t="shared" si="435"/>
        <v>9.87302834505142</v>
      </c>
      <c r="DG128" s="143">
        <f t="shared" si="435"/>
        <v>9.87302834505142</v>
      </c>
      <c r="DH128" s="143">
        <f t="shared" si="435"/>
        <v>9.87302834505142</v>
      </c>
      <c r="DI128" s="143">
        <f t="shared" si="435"/>
        <v>9.87302834505142</v>
      </c>
      <c r="DJ128" s="143">
        <f t="shared" si="435"/>
        <v>9.87302834505142</v>
      </c>
      <c r="DK128" s="143">
        <f t="shared" si="435"/>
        <v>9.87302834505142</v>
      </c>
      <c r="DL128" s="143">
        <f t="shared" si="435"/>
        <v>9.87302834505142</v>
      </c>
      <c r="DM128" s="143">
        <f t="shared" si="435"/>
        <v>9.87302834505142</v>
      </c>
      <c r="DN128" s="143">
        <f t="shared" si="435"/>
        <v>9.87302834505142</v>
      </c>
      <c r="DO128" s="143">
        <f t="shared" si="435"/>
        <v>9.87302834505142</v>
      </c>
      <c r="DP128" s="143">
        <f t="shared" si="435"/>
        <v>9.87302834505142</v>
      </c>
      <c r="DQ128" s="143">
        <f t="shared" si="435"/>
        <v>9.87302834505142</v>
      </c>
      <c r="DR128" s="143">
        <f t="shared" si="435"/>
        <v>9.87302834505142</v>
      </c>
      <c r="DS128" s="143">
        <f t="shared" si="435"/>
        <v>9.87302834505142</v>
      </c>
      <c r="DT128" s="143">
        <f t="shared" si="435"/>
        <v>9.87302834505142</v>
      </c>
      <c r="DU128" s="143">
        <f t="shared" si="435"/>
        <v>9.87302834505142</v>
      </c>
      <c r="DV128" s="143">
        <f t="shared" si="72"/>
        <v>10.661954199216716</v>
      </c>
      <c r="DW128" s="143">
        <f t="shared" ref="DW128:EO128" si="436">DV128</f>
        <v>10.661954199216716</v>
      </c>
      <c r="DX128" s="143">
        <f t="shared" si="436"/>
        <v>10.661954199216716</v>
      </c>
      <c r="DY128" s="143">
        <f t="shared" si="436"/>
        <v>10.661954199216716</v>
      </c>
      <c r="DZ128" s="143">
        <f t="shared" si="436"/>
        <v>10.661954199216716</v>
      </c>
      <c r="EA128" s="143">
        <f t="shared" si="436"/>
        <v>10.661954199216716</v>
      </c>
      <c r="EB128" s="143">
        <f t="shared" si="436"/>
        <v>10.661954199216716</v>
      </c>
      <c r="EC128" s="143">
        <f t="shared" si="436"/>
        <v>10.661954199216716</v>
      </c>
      <c r="ED128" s="143">
        <f t="shared" si="436"/>
        <v>10.661954199216716</v>
      </c>
      <c r="EE128" s="143">
        <f t="shared" si="436"/>
        <v>10.661954199216716</v>
      </c>
      <c r="EF128" s="143">
        <f t="shared" si="436"/>
        <v>10.661954199216716</v>
      </c>
      <c r="EG128" s="143">
        <f t="shared" si="436"/>
        <v>10.661954199216716</v>
      </c>
      <c r="EH128" s="143">
        <f t="shared" si="436"/>
        <v>10.661954199216716</v>
      </c>
      <c r="EI128" s="143">
        <f t="shared" si="436"/>
        <v>10.661954199216716</v>
      </c>
      <c r="EJ128" s="143">
        <f t="shared" si="436"/>
        <v>10.661954199216716</v>
      </c>
      <c r="EK128" s="143">
        <f t="shared" si="436"/>
        <v>10.661954199216716</v>
      </c>
      <c r="EL128" s="143">
        <f t="shared" si="436"/>
        <v>10.661954199216716</v>
      </c>
      <c r="EM128" s="143">
        <f t="shared" si="436"/>
        <v>10.661954199216716</v>
      </c>
      <c r="EN128" s="143">
        <f t="shared" si="436"/>
        <v>10.661954199216716</v>
      </c>
      <c r="EO128" s="143">
        <f t="shared" si="436"/>
        <v>10.661954199216716</v>
      </c>
      <c r="EP128" s="143">
        <f t="shared" si="74"/>
        <v>11.150519846322512</v>
      </c>
      <c r="EQ128" s="143">
        <f t="shared" ref="EQ128:FI128" si="437">EP128</f>
        <v>11.150519846322512</v>
      </c>
      <c r="ER128" s="143">
        <f t="shared" si="437"/>
        <v>11.150519846322512</v>
      </c>
      <c r="ES128" s="143">
        <f t="shared" si="437"/>
        <v>11.150519846322512</v>
      </c>
      <c r="ET128" s="143">
        <f t="shared" si="437"/>
        <v>11.150519846322512</v>
      </c>
      <c r="EU128" s="143">
        <f t="shared" si="437"/>
        <v>11.150519846322512</v>
      </c>
      <c r="EV128" s="143">
        <f t="shared" si="437"/>
        <v>11.150519846322512</v>
      </c>
      <c r="EW128" s="143">
        <f t="shared" si="437"/>
        <v>11.150519846322512</v>
      </c>
      <c r="EX128" s="143">
        <f t="shared" si="437"/>
        <v>11.150519846322512</v>
      </c>
      <c r="EY128" s="143">
        <f t="shared" si="437"/>
        <v>11.150519846322512</v>
      </c>
      <c r="EZ128" s="143">
        <f t="shared" si="437"/>
        <v>11.150519846322512</v>
      </c>
      <c r="FA128" s="143">
        <f t="shared" si="437"/>
        <v>11.150519846322512</v>
      </c>
      <c r="FB128" s="143">
        <f t="shared" si="437"/>
        <v>11.150519846322512</v>
      </c>
      <c r="FC128" s="143">
        <f t="shared" si="437"/>
        <v>11.150519846322512</v>
      </c>
      <c r="FD128" s="143">
        <f t="shared" si="437"/>
        <v>11.150519846322512</v>
      </c>
      <c r="FE128" s="143">
        <f t="shared" si="437"/>
        <v>11.150519846322512</v>
      </c>
      <c r="FF128" s="143">
        <f t="shared" si="437"/>
        <v>11.150519846322512</v>
      </c>
      <c r="FG128" s="143">
        <f t="shared" si="437"/>
        <v>11.150519846322512</v>
      </c>
      <c r="FH128" s="143">
        <f t="shared" si="437"/>
        <v>11.150519846322512</v>
      </c>
      <c r="FI128" s="143">
        <f t="shared" si="437"/>
        <v>11.150519846322512</v>
      </c>
      <c r="FJ128" s="143">
        <f t="shared" si="76"/>
        <v>11.569305798406337</v>
      </c>
      <c r="FK128" s="143">
        <f t="shared" ref="FK128:GC128" si="438">FJ128</f>
        <v>11.569305798406337</v>
      </c>
      <c r="FL128" s="143">
        <f t="shared" si="438"/>
        <v>11.569305798406337</v>
      </c>
      <c r="FM128" s="143">
        <f t="shared" si="438"/>
        <v>11.569305798406337</v>
      </c>
      <c r="FN128" s="143">
        <f t="shared" si="438"/>
        <v>11.569305798406337</v>
      </c>
      <c r="FO128" s="143">
        <f t="shared" si="438"/>
        <v>11.569305798406337</v>
      </c>
      <c r="FP128" s="143">
        <f t="shared" si="438"/>
        <v>11.569305798406337</v>
      </c>
      <c r="FQ128" s="143">
        <f t="shared" si="438"/>
        <v>11.569305798406337</v>
      </c>
      <c r="FR128" s="143">
        <f t="shared" si="438"/>
        <v>11.569305798406337</v>
      </c>
      <c r="FS128" s="143">
        <f t="shared" si="438"/>
        <v>11.569305798406337</v>
      </c>
      <c r="FT128" s="143">
        <f t="shared" si="438"/>
        <v>11.569305798406337</v>
      </c>
      <c r="FU128" s="143">
        <f t="shared" si="438"/>
        <v>11.569305798406337</v>
      </c>
      <c r="FV128" s="143">
        <f t="shared" si="438"/>
        <v>11.569305798406337</v>
      </c>
      <c r="FW128" s="143">
        <f t="shared" si="438"/>
        <v>11.569305798406337</v>
      </c>
      <c r="FX128" s="143">
        <f t="shared" si="438"/>
        <v>11.569305798406337</v>
      </c>
      <c r="FY128" s="143">
        <f t="shared" si="438"/>
        <v>11.569305798406337</v>
      </c>
      <c r="FZ128" s="143">
        <f t="shared" si="438"/>
        <v>11.569305798406337</v>
      </c>
      <c r="GA128" s="143">
        <f t="shared" si="438"/>
        <v>11.569305798406337</v>
      </c>
      <c r="GB128" s="143">
        <f t="shared" si="438"/>
        <v>11.569305798406337</v>
      </c>
      <c r="GC128" s="143">
        <f t="shared" si="438"/>
        <v>11.569305798406337</v>
      </c>
      <c r="GD128" s="143">
        <f t="shared" si="78"/>
        <v>11.939499536288627</v>
      </c>
      <c r="GE128" s="143">
        <f t="shared" ref="GE128:GM128" si="439">GD128</f>
        <v>11.939499536288627</v>
      </c>
      <c r="GF128" s="143">
        <f t="shared" si="439"/>
        <v>11.939499536288627</v>
      </c>
      <c r="GG128" s="143">
        <f t="shared" si="439"/>
        <v>11.939499536288627</v>
      </c>
      <c r="GH128" s="143">
        <f t="shared" si="439"/>
        <v>11.939499536288627</v>
      </c>
      <c r="GI128" s="143">
        <f t="shared" si="439"/>
        <v>11.939499536288627</v>
      </c>
      <c r="GJ128" s="143">
        <f t="shared" si="439"/>
        <v>11.939499536288627</v>
      </c>
      <c r="GK128" s="143">
        <f t="shared" si="439"/>
        <v>11.939499536288627</v>
      </c>
      <c r="GL128" s="143">
        <f t="shared" si="439"/>
        <v>11.939499536288627</v>
      </c>
      <c r="GM128" s="143">
        <f t="shared" si="439"/>
        <v>11.939499536288627</v>
      </c>
      <c r="GN128" s="143">
        <f t="shared" si="80"/>
        <v>12.251046011172905</v>
      </c>
      <c r="GO128" s="143">
        <f t="shared" si="288"/>
        <v>12.251046011172905</v>
      </c>
      <c r="GP128" s="143">
        <f t="shared" si="288"/>
        <v>12.251046011172905</v>
      </c>
      <c r="GQ128" s="143">
        <f t="shared" si="288"/>
        <v>12.251046011172905</v>
      </c>
      <c r="GR128" s="143">
        <f t="shared" si="288"/>
        <v>12.251046011172905</v>
      </c>
      <c r="GS128" s="143">
        <f t="shared" si="82"/>
        <v>12.755926656263643</v>
      </c>
      <c r="GT128" s="143">
        <f t="shared" si="289"/>
        <v>12.755926656263643</v>
      </c>
      <c r="GU128" s="143">
        <f t="shared" si="289"/>
        <v>12.755926656263643</v>
      </c>
      <c r="GV128" s="143">
        <f t="shared" si="289"/>
        <v>12.755926656263643</v>
      </c>
      <c r="GW128" s="143">
        <f t="shared" si="84"/>
        <v>14.40185173420641</v>
      </c>
    </row>
    <row r="129" spans="1:205" s="46" customFormat="1" ht="9.75" customHeight="1">
      <c r="A129" s="60">
        <v>2015</v>
      </c>
      <c r="B129" s="143">
        <f t="shared" si="85"/>
        <v>1.0179341097002794</v>
      </c>
      <c r="C129" s="143">
        <f t="shared" si="54"/>
        <v>0.93614494479050969</v>
      </c>
      <c r="D129" s="60"/>
      <c r="E129" s="143">
        <f t="shared" si="55"/>
        <v>5.7284750872465722</v>
      </c>
      <c r="F129" s="143">
        <f t="shared" ref="F129:X129" si="440">E129</f>
        <v>5.7284750872465722</v>
      </c>
      <c r="G129" s="143">
        <f t="shared" si="440"/>
        <v>5.7284750872465722</v>
      </c>
      <c r="H129" s="143">
        <f t="shared" si="440"/>
        <v>5.7284750872465722</v>
      </c>
      <c r="I129" s="143">
        <f t="shared" si="440"/>
        <v>5.7284750872465722</v>
      </c>
      <c r="J129" s="143">
        <f t="shared" si="440"/>
        <v>5.7284750872465722</v>
      </c>
      <c r="K129" s="143">
        <f t="shared" si="440"/>
        <v>5.7284750872465722</v>
      </c>
      <c r="L129" s="143">
        <f t="shared" si="440"/>
        <v>5.7284750872465722</v>
      </c>
      <c r="M129" s="143">
        <f t="shared" si="440"/>
        <v>5.7284750872465722</v>
      </c>
      <c r="N129" s="143">
        <f t="shared" si="440"/>
        <v>5.7284750872465722</v>
      </c>
      <c r="O129" s="143">
        <f t="shared" si="440"/>
        <v>5.7284750872465722</v>
      </c>
      <c r="P129" s="143">
        <f t="shared" si="440"/>
        <v>5.7284750872465722</v>
      </c>
      <c r="Q129" s="143">
        <f t="shared" si="440"/>
        <v>5.7284750872465722</v>
      </c>
      <c r="R129" s="143">
        <f t="shared" si="440"/>
        <v>5.7284750872465722</v>
      </c>
      <c r="S129" s="143">
        <f t="shared" si="440"/>
        <v>5.7284750872465722</v>
      </c>
      <c r="T129" s="143">
        <f t="shared" si="440"/>
        <v>5.7284750872465722</v>
      </c>
      <c r="U129" s="143">
        <f t="shared" si="440"/>
        <v>5.7284750872465722</v>
      </c>
      <c r="V129" s="143">
        <f t="shared" si="440"/>
        <v>5.7284750872465722</v>
      </c>
      <c r="W129" s="143">
        <f t="shared" si="440"/>
        <v>5.7284750872465722</v>
      </c>
      <c r="X129" s="143">
        <f t="shared" si="440"/>
        <v>5.7284750872465722</v>
      </c>
      <c r="Y129" s="143">
        <f t="shared" si="57"/>
        <v>8.3195224360750579</v>
      </c>
      <c r="Z129" s="143">
        <f t="shared" ref="Z129:AR129" si="441">Y129</f>
        <v>8.3195224360750579</v>
      </c>
      <c r="AA129" s="143">
        <f t="shared" si="441"/>
        <v>8.3195224360750579</v>
      </c>
      <c r="AB129" s="143">
        <f t="shared" si="441"/>
        <v>8.3195224360750579</v>
      </c>
      <c r="AC129" s="143">
        <f t="shared" si="441"/>
        <v>8.3195224360750579</v>
      </c>
      <c r="AD129" s="143">
        <f t="shared" si="441"/>
        <v>8.3195224360750579</v>
      </c>
      <c r="AE129" s="143">
        <f t="shared" si="441"/>
        <v>8.3195224360750579</v>
      </c>
      <c r="AF129" s="143">
        <f t="shared" si="441"/>
        <v>8.3195224360750579</v>
      </c>
      <c r="AG129" s="143">
        <f t="shared" si="441"/>
        <v>8.3195224360750579</v>
      </c>
      <c r="AH129" s="143">
        <f t="shared" si="441"/>
        <v>8.3195224360750579</v>
      </c>
      <c r="AI129" s="143">
        <f t="shared" si="441"/>
        <v>8.3195224360750579</v>
      </c>
      <c r="AJ129" s="143">
        <f t="shared" si="441"/>
        <v>8.3195224360750579</v>
      </c>
      <c r="AK129" s="143">
        <f t="shared" si="441"/>
        <v>8.3195224360750579</v>
      </c>
      <c r="AL129" s="143">
        <f t="shared" si="441"/>
        <v>8.3195224360750579</v>
      </c>
      <c r="AM129" s="143">
        <f t="shared" si="441"/>
        <v>8.3195224360750579</v>
      </c>
      <c r="AN129" s="143">
        <f t="shared" si="441"/>
        <v>8.3195224360750579</v>
      </c>
      <c r="AO129" s="143">
        <f t="shared" si="441"/>
        <v>8.3195224360750579</v>
      </c>
      <c r="AP129" s="143">
        <f t="shared" si="441"/>
        <v>8.3195224360750579</v>
      </c>
      <c r="AQ129" s="143">
        <f t="shared" si="441"/>
        <v>8.3195224360750579</v>
      </c>
      <c r="AR129" s="143">
        <f t="shared" si="441"/>
        <v>8.3195224360750579</v>
      </c>
      <c r="AS129" s="143">
        <f t="shared" si="59"/>
        <v>9.2183085416253601</v>
      </c>
      <c r="AT129" s="143">
        <f t="shared" ref="AT129:BL129" si="442">AS129</f>
        <v>9.2183085416253601</v>
      </c>
      <c r="AU129" s="143">
        <f t="shared" si="442"/>
        <v>9.2183085416253601</v>
      </c>
      <c r="AV129" s="143">
        <f t="shared" si="442"/>
        <v>9.2183085416253601</v>
      </c>
      <c r="AW129" s="143">
        <f t="shared" si="442"/>
        <v>9.2183085416253601</v>
      </c>
      <c r="AX129" s="143">
        <f t="shared" si="442"/>
        <v>9.2183085416253601</v>
      </c>
      <c r="AY129" s="143">
        <f t="shared" si="442"/>
        <v>9.2183085416253601</v>
      </c>
      <c r="AZ129" s="143">
        <f t="shared" si="442"/>
        <v>9.2183085416253601</v>
      </c>
      <c r="BA129" s="143">
        <f t="shared" si="442"/>
        <v>9.2183085416253601</v>
      </c>
      <c r="BB129" s="143">
        <f t="shared" si="442"/>
        <v>9.2183085416253601</v>
      </c>
      <c r="BC129" s="143">
        <f t="shared" si="442"/>
        <v>9.2183085416253601</v>
      </c>
      <c r="BD129" s="143">
        <f t="shared" si="442"/>
        <v>9.2183085416253601</v>
      </c>
      <c r="BE129" s="143">
        <f t="shared" si="442"/>
        <v>9.2183085416253601</v>
      </c>
      <c r="BF129" s="143">
        <f t="shared" si="442"/>
        <v>9.2183085416253601</v>
      </c>
      <c r="BG129" s="143">
        <f t="shared" si="442"/>
        <v>9.2183085416253601</v>
      </c>
      <c r="BH129" s="143">
        <f t="shared" si="442"/>
        <v>9.2183085416253601</v>
      </c>
      <c r="BI129" s="143">
        <f t="shared" si="442"/>
        <v>9.2183085416253601</v>
      </c>
      <c r="BJ129" s="143">
        <f t="shared" si="442"/>
        <v>9.2183085416253601</v>
      </c>
      <c r="BK129" s="143">
        <f t="shared" si="442"/>
        <v>9.2183085416253601</v>
      </c>
      <c r="BL129" s="143">
        <f t="shared" si="442"/>
        <v>9.2183085416253601</v>
      </c>
      <c r="BM129" s="143">
        <f t="shared" si="61"/>
        <v>9.8814822010232479</v>
      </c>
      <c r="BN129" s="143">
        <f t="shared" ref="BN129:CF129" si="443">BM129</f>
        <v>9.8814822010232479</v>
      </c>
      <c r="BO129" s="143">
        <f t="shared" si="443"/>
        <v>9.8814822010232479</v>
      </c>
      <c r="BP129" s="143">
        <f t="shared" si="443"/>
        <v>9.8814822010232479</v>
      </c>
      <c r="BQ129" s="143">
        <f t="shared" si="443"/>
        <v>9.8814822010232479</v>
      </c>
      <c r="BR129" s="143">
        <f t="shared" si="443"/>
        <v>9.8814822010232479</v>
      </c>
      <c r="BS129" s="143">
        <f t="shared" si="443"/>
        <v>9.8814822010232479</v>
      </c>
      <c r="BT129" s="143">
        <f t="shared" si="443"/>
        <v>9.8814822010232479</v>
      </c>
      <c r="BU129" s="143">
        <f t="shared" si="443"/>
        <v>9.8814822010232479</v>
      </c>
      <c r="BV129" s="143">
        <f t="shared" si="443"/>
        <v>9.8814822010232479</v>
      </c>
      <c r="BW129" s="143">
        <f t="shared" si="443"/>
        <v>9.8814822010232479</v>
      </c>
      <c r="BX129" s="143">
        <f t="shared" si="443"/>
        <v>9.8814822010232479</v>
      </c>
      <c r="BY129" s="143">
        <f t="shared" si="443"/>
        <v>9.8814822010232479</v>
      </c>
      <c r="BZ129" s="143">
        <f t="shared" si="443"/>
        <v>9.8814822010232479</v>
      </c>
      <c r="CA129" s="143">
        <f t="shared" si="443"/>
        <v>9.8814822010232479</v>
      </c>
      <c r="CB129" s="143">
        <f t="shared" si="443"/>
        <v>9.8814822010232479</v>
      </c>
      <c r="CC129" s="143">
        <f t="shared" si="443"/>
        <v>9.8814822010232479</v>
      </c>
      <c r="CD129" s="143">
        <f t="shared" si="443"/>
        <v>9.8814822010232479</v>
      </c>
      <c r="CE129" s="143">
        <f t="shared" si="443"/>
        <v>9.8814822010232479</v>
      </c>
      <c r="CF129" s="143">
        <f t="shared" si="443"/>
        <v>9.8814822010232479</v>
      </c>
      <c r="CG129" s="143">
        <f t="shared" si="63"/>
        <v>10.428307793241789</v>
      </c>
      <c r="CH129" s="143">
        <f t="shared" ref="CH129:CP129" si="444">CG129</f>
        <v>10.428307793241789</v>
      </c>
      <c r="CI129" s="143">
        <f t="shared" si="444"/>
        <v>10.428307793241789</v>
      </c>
      <c r="CJ129" s="143">
        <f t="shared" si="444"/>
        <v>10.428307793241789</v>
      </c>
      <c r="CK129" s="143">
        <f t="shared" si="444"/>
        <v>10.428307793241789</v>
      </c>
      <c r="CL129" s="143">
        <f t="shared" si="444"/>
        <v>10.428307793241789</v>
      </c>
      <c r="CM129" s="143">
        <f t="shared" si="444"/>
        <v>10.428307793241789</v>
      </c>
      <c r="CN129" s="143">
        <f t="shared" si="444"/>
        <v>10.428307793241789</v>
      </c>
      <c r="CO129" s="143">
        <f t="shared" si="444"/>
        <v>10.428307793241789</v>
      </c>
      <c r="CP129" s="143">
        <f t="shared" si="444"/>
        <v>10.428307793241789</v>
      </c>
      <c r="CQ129" s="143">
        <f t="shared" si="65"/>
        <v>10.842345713567923</v>
      </c>
      <c r="CR129" s="143">
        <f t="shared" si="281"/>
        <v>10.842345713567923</v>
      </c>
      <c r="CS129" s="143">
        <f t="shared" si="281"/>
        <v>10.842345713567923</v>
      </c>
      <c r="CT129" s="143">
        <f t="shared" si="281"/>
        <v>10.842345713567923</v>
      </c>
      <c r="CU129" s="143">
        <f t="shared" si="281"/>
        <v>10.842345713567923</v>
      </c>
      <c r="CV129" s="143">
        <f t="shared" si="67"/>
        <v>11.472519009101827</v>
      </c>
      <c r="CW129" s="143">
        <f t="shared" si="282"/>
        <v>11.472519009101827</v>
      </c>
      <c r="CX129" s="143">
        <f t="shared" si="282"/>
        <v>11.472519009101827</v>
      </c>
      <c r="CY129" s="143">
        <f t="shared" si="282"/>
        <v>11.472519009101827</v>
      </c>
      <c r="CZ129" s="143">
        <f t="shared" si="69"/>
        <v>13.345306108555519</v>
      </c>
      <c r="DA129" s="60"/>
      <c r="DB129" s="143">
        <f t="shared" si="70"/>
        <v>9.9281801651265003</v>
      </c>
      <c r="DC129" s="143">
        <f t="shared" ref="DC129:DU129" si="445">DB129</f>
        <v>9.9281801651265003</v>
      </c>
      <c r="DD129" s="143">
        <f t="shared" si="445"/>
        <v>9.9281801651265003</v>
      </c>
      <c r="DE129" s="143">
        <f t="shared" si="445"/>
        <v>9.9281801651265003</v>
      </c>
      <c r="DF129" s="143">
        <f t="shared" si="445"/>
        <v>9.9281801651265003</v>
      </c>
      <c r="DG129" s="143">
        <f t="shared" si="445"/>
        <v>9.9281801651265003</v>
      </c>
      <c r="DH129" s="143">
        <f t="shared" si="445"/>
        <v>9.9281801651265003</v>
      </c>
      <c r="DI129" s="143">
        <f t="shared" si="445"/>
        <v>9.9281801651265003</v>
      </c>
      <c r="DJ129" s="143">
        <f t="shared" si="445"/>
        <v>9.9281801651265003</v>
      </c>
      <c r="DK129" s="143">
        <f t="shared" si="445"/>
        <v>9.9281801651265003</v>
      </c>
      <c r="DL129" s="143">
        <f t="shared" si="445"/>
        <v>9.9281801651265003</v>
      </c>
      <c r="DM129" s="143">
        <f t="shared" si="445"/>
        <v>9.9281801651265003</v>
      </c>
      <c r="DN129" s="143">
        <f t="shared" si="445"/>
        <v>9.9281801651265003</v>
      </c>
      <c r="DO129" s="143">
        <f t="shared" si="445"/>
        <v>9.9281801651265003</v>
      </c>
      <c r="DP129" s="143">
        <f t="shared" si="445"/>
        <v>9.9281801651265003</v>
      </c>
      <c r="DQ129" s="143">
        <f t="shared" si="445"/>
        <v>9.9281801651265003</v>
      </c>
      <c r="DR129" s="143">
        <f t="shared" si="445"/>
        <v>9.9281801651265003</v>
      </c>
      <c r="DS129" s="143">
        <f t="shared" si="445"/>
        <v>9.9281801651265003</v>
      </c>
      <c r="DT129" s="143">
        <f t="shared" si="445"/>
        <v>9.9281801651265003</v>
      </c>
      <c r="DU129" s="143">
        <f t="shared" si="445"/>
        <v>9.9281801651265003</v>
      </c>
      <c r="DV129" s="143">
        <f t="shared" si="72"/>
        <v>10.705489138008156</v>
      </c>
      <c r="DW129" s="143">
        <f t="shared" ref="DW129:EO129" si="446">DV129</f>
        <v>10.705489138008156</v>
      </c>
      <c r="DX129" s="143">
        <f t="shared" si="446"/>
        <v>10.705489138008156</v>
      </c>
      <c r="DY129" s="143">
        <f t="shared" si="446"/>
        <v>10.705489138008156</v>
      </c>
      <c r="DZ129" s="143">
        <f t="shared" si="446"/>
        <v>10.705489138008156</v>
      </c>
      <c r="EA129" s="143">
        <f t="shared" si="446"/>
        <v>10.705489138008156</v>
      </c>
      <c r="EB129" s="143">
        <f t="shared" si="446"/>
        <v>10.705489138008156</v>
      </c>
      <c r="EC129" s="143">
        <f t="shared" si="446"/>
        <v>10.705489138008156</v>
      </c>
      <c r="ED129" s="143">
        <f t="shared" si="446"/>
        <v>10.705489138008156</v>
      </c>
      <c r="EE129" s="143">
        <f t="shared" si="446"/>
        <v>10.705489138008156</v>
      </c>
      <c r="EF129" s="143">
        <f t="shared" si="446"/>
        <v>10.705489138008156</v>
      </c>
      <c r="EG129" s="143">
        <f t="shared" si="446"/>
        <v>10.705489138008156</v>
      </c>
      <c r="EH129" s="143">
        <f t="shared" si="446"/>
        <v>10.705489138008156</v>
      </c>
      <c r="EI129" s="143">
        <f t="shared" si="446"/>
        <v>10.705489138008156</v>
      </c>
      <c r="EJ129" s="143">
        <f t="shared" si="446"/>
        <v>10.705489138008156</v>
      </c>
      <c r="EK129" s="143">
        <f t="shared" si="446"/>
        <v>10.705489138008156</v>
      </c>
      <c r="EL129" s="143">
        <f t="shared" si="446"/>
        <v>10.705489138008156</v>
      </c>
      <c r="EM129" s="143">
        <f t="shared" si="446"/>
        <v>10.705489138008156</v>
      </c>
      <c r="EN129" s="143">
        <f t="shared" si="446"/>
        <v>10.705489138008156</v>
      </c>
      <c r="EO129" s="143">
        <f t="shared" si="446"/>
        <v>10.705489138008156</v>
      </c>
      <c r="EP129" s="143">
        <f t="shared" si="74"/>
        <v>11.184421397998193</v>
      </c>
      <c r="EQ129" s="143">
        <f t="shared" ref="EQ129:FI129" si="447">EP129</f>
        <v>11.184421397998193</v>
      </c>
      <c r="ER129" s="143">
        <f t="shared" si="447"/>
        <v>11.184421397998193</v>
      </c>
      <c r="ES129" s="143">
        <f t="shared" si="447"/>
        <v>11.184421397998193</v>
      </c>
      <c r="ET129" s="143">
        <f t="shared" si="447"/>
        <v>11.184421397998193</v>
      </c>
      <c r="EU129" s="143">
        <f t="shared" si="447"/>
        <v>11.184421397998193</v>
      </c>
      <c r="EV129" s="143">
        <f t="shared" si="447"/>
        <v>11.184421397998193</v>
      </c>
      <c r="EW129" s="143">
        <f t="shared" si="447"/>
        <v>11.184421397998193</v>
      </c>
      <c r="EX129" s="143">
        <f t="shared" si="447"/>
        <v>11.184421397998193</v>
      </c>
      <c r="EY129" s="143">
        <f t="shared" si="447"/>
        <v>11.184421397998193</v>
      </c>
      <c r="EZ129" s="143">
        <f t="shared" si="447"/>
        <v>11.184421397998193</v>
      </c>
      <c r="FA129" s="143">
        <f t="shared" si="447"/>
        <v>11.184421397998193</v>
      </c>
      <c r="FB129" s="143">
        <f t="shared" si="447"/>
        <v>11.184421397998193</v>
      </c>
      <c r="FC129" s="143">
        <f t="shared" si="447"/>
        <v>11.184421397998193</v>
      </c>
      <c r="FD129" s="143">
        <f t="shared" si="447"/>
        <v>11.184421397998193</v>
      </c>
      <c r="FE129" s="143">
        <f t="shared" si="447"/>
        <v>11.184421397998193</v>
      </c>
      <c r="FF129" s="143">
        <f t="shared" si="447"/>
        <v>11.184421397998193</v>
      </c>
      <c r="FG129" s="143">
        <f t="shared" si="447"/>
        <v>11.184421397998193</v>
      </c>
      <c r="FH129" s="143">
        <f t="shared" si="447"/>
        <v>11.184421397998193</v>
      </c>
      <c r="FI129" s="143">
        <f t="shared" si="447"/>
        <v>11.184421397998193</v>
      </c>
      <c r="FJ129" s="143">
        <f t="shared" si="76"/>
        <v>11.60185167416463</v>
      </c>
      <c r="FK129" s="143">
        <f t="shared" ref="FK129:GC129" si="448">FJ129</f>
        <v>11.60185167416463</v>
      </c>
      <c r="FL129" s="143">
        <f t="shared" si="448"/>
        <v>11.60185167416463</v>
      </c>
      <c r="FM129" s="143">
        <f t="shared" si="448"/>
        <v>11.60185167416463</v>
      </c>
      <c r="FN129" s="143">
        <f t="shared" si="448"/>
        <v>11.60185167416463</v>
      </c>
      <c r="FO129" s="143">
        <f t="shared" si="448"/>
        <v>11.60185167416463</v>
      </c>
      <c r="FP129" s="143">
        <f t="shared" si="448"/>
        <v>11.60185167416463</v>
      </c>
      <c r="FQ129" s="143">
        <f t="shared" si="448"/>
        <v>11.60185167416463</v>
      </c>
      <c r="FR129" s="143">
        <f t="shared" si="448"/>
        <v>11.60185167416463</v>
      </c>
      <c r="FS129" s="143">
        <f t="shared" si="448"/>
        <v>11.60185167416463</v>
      </c>
      <c r="FT129" s="143">
        <f t="shared" si="448"/>
        <v>11.60185167416463</v>
      </c>
      <c r="FU129" s="143">
        <f t="shared" si="448"/>
        <v>11.60185167416463</v>
      </c>
      <c r="FV129" s="143">
        <f t="shared" si="448"/>
        <v>11.60185167416463</v>
      </c>
      <c r="FW129" s="143">
        <f t="shared" si="448"/>
        <v>11.60185167416463</v>
      </c>
      <c r="FX129" s="143">
        <f t="shared" si="448"/>
        <v>11.60185167416463</v>
      </c>
      <c r="FY129" s="143">
        <f t="shared" si="448"/>
        <v>11.60185167416463</v>
      </c>
      <c r="FZ129" s="143">
        <f t="shared" si="448"/>
        <v>11.60185167416463</v>
      </c>
      <c r="GA129" s="143">
        <f t="shared" si="448"/>
        <v>11.60185167416463</v>
      </c>
      <c r="GB129" s="143">
        <f t="shared" si="448"/>
        <v>11.60185167416463</v>
      </c>
      <c r="GC129" s="143">
        <f t="shared" si="448"/>
        <v>11.60185167416463</v>
      </c>
      <c r="GD129" s="143">
        <f t="shared" si="78"/>
        <v>11.9747709065145</v>
      </c>
      <c r="GE129" s="143">
        <f t="shared" ref="GE129:GM129" si="449">GD129</f>
        <v>11.9747709065145</v>
      </c>
      <c r="GF129" s="143">
        <f t="shared" si="449"/>
        <v>11.9747709065145</v>
      </c>
      <c r="GG129" s="143">
        <f t="shared" si="449"/>
        <v>11.9747709065145</v>
      </c>
      <c r="GH129" s="143">
        <f t="shared" si="449"/>
        <v>11.9747709065145</v>
      </c>
      <c r="GI129" s="143">
        <f t="shared" si="449"/>
        <v>11.9747709065145</v>
      </c>
      <c r="GJ129" s="143">
        <f t="shared" si="449"/>
        <v>11.9747709065145</v>
      </c>
      <c r="GK129" s="143">
        <f t="shared" si="449"/>
        <v>11.9747709065145</v>
      </c>
      <c r="GL129" s="143">
        <f t="shared" si="449"/>
        <v>11.9747709065145</v>
      </c>
      <c r="GM129" s="143">
        <f t="shared" si="449"/>
        <v>11.9747709065145</v>
      </c>
      <c r="GN129" s="143">
        <f t="shared" si="80"/>
        <v>12.28626918752445</v>
      </c>
      <c r="GO129" s="143">
        <f t="shared" si="288"/>
        <v>12.28626918752445</v>
      </c>
      <c r="GP129" s="143">
        <f t="shared" si="288"/>
        <v>12.28626918752445</v>
      </c>
      <c r="GQ129" s="143">
        <f t="shared" si="288"/>
        <v>12.28626918752445</v>
      </c>
      <c r="GR129" s="143">
        <f t="shared" si="288"/>
        <v>12.28626918752445</v>
      </c>
      <c r="GS129" s="143">
        <f t="shared" si="82"/>
        <v>12.793025629683715</v>
      </c>
      <c r="GT129" s="143">
        <f t="shared" si="289"/>
        <v>12.793025629683715</v>
      </c>
      <c r="GU129" s="143">
        <f t="shared" si="289"/>
        <v>12.793025629683715</v>
      </c>
      <c r="GV129" s="143">
        <f t="shared" si="289"/>
        <v>12.793025629683715</v>
      </c>
      <c r="GW129" s="143">
        <f t="shared" si="84"/>
        <v>14.444918897557212</v>
      </c>
    </row>
    <row r="130" spans="1:205" s="60" customFormat="1" ht="9.75" customHeight="1">
      <c r="A130" s="60">
        <v>2016</v>
      </c>
      <c r="B130" s="143">
        <f>LINEST(E130:CZ130, DB130:GW130, TRUE, FALSE)-1</f>
        <v>0.97979200975771663</v>
      </c>
      <c r="C130" s="143">
        <f>RSQ(E130:CZ130, DB130:GW130)</f>
        <v>0.94295449229745976</v>
      </c>
      <c r="E130" s="143">
        <f t="shared" si="55"/>
        <v>5.8585044198517515</v>
      </c>
      <c r="F130" s="143">
        <f>E130</f>
        <v>5.8585044198517515</v>
      </c>
      <c r="G130" s="143">
        <f t="shared" ref="G130:X130" si="450">F130</f>
        <v>5.8585044198517515</v>
      </c>
      <c r="H130" s="143">
        <f t="shared" si="450"/>
        <v>5.8585044198517515</v>
      </c>
      <c r="I130" s="143">
        <f t="shared" si="450"/>
        <v>5.8585044198517515</v>
      </c>
      <c r="J130" s="143">
        <f t="shared" si="450"/>
        <v>5.8585044198517515</v>
      </c>
      <c r="K130" s="143">
        <f t="shared" si="450"/>
        <v>5.8585044198517515</v>
      </c>
      <c r="L130" s="143">
        <f t="shared" si="450"/>
        <v>5.8585044198517515</v>
      </c>
      <c r="M130" s="143">
        <f t="shared" si="450"/>
        <v>5.8585044198517515</v>
      </c>
      <c r="N130" s="143">
        <f t="shared" si="450"/>
        <v>5.8585044198517515</v>
      </c>
      <c r="O130" s="143">
        <f t="shared" si="450"/>
        <v>5.8585044198517515</v>
      </c>
      <c r="P130" s="143">
        <f t="shared" si="450"/>
        <v>5.8585044198517515</v>
      </c>
      <c r="Q130" s="143">
        <f t="shared" si="450"/>
        <v>5.8585044198517515</v>
      </c>
      <c r="R130" s="143">
        <f t="shared" si="450"/>
        <v>5.8585044198517515</v>
      </c>
      <c r="S130" s="143">
        <f t="shared" si="450"/>
        <v>5.8585044198517515</v>
      </c>
      <c r="T130" s="143">
        <f t="shared" si="450"/>
        <v>5.8585044198517515</v>
      </c>
      <c r="U130" s="143">
        <f t="shared" si="450"/>
        <v>5.8585044198517515</v>
      </c>
      <c r="V130" s="143">
        <f t="shared" si="450"/>
        <v>5.8585044198517515</v>
      </c>
      <c r="W130" s="143">
        <f t="shared" si="450"/>
        <v>5.8585044198517515</v>
      </c>
      <c r="X130" s="143">
        <f t="shared" si="450"/>
        <v>5.8585044198517515</v>
      </c>
      <c r="Y130" s="143">
        <f t="shared" si="57"/>
        <v>8.3566018147589922</v>
      </c>
      <c r="Z130" s="143">
        <f t="shared" ref="Z130:CJ130" si="451">Y130</f>
        <v>8.3566018147589922</v>
      </c>
      <c r="AA130" s="143">
        <f t="shared" si="451"/>
        <v>8.3566018147589922</v>
      </c>
      <c r="AB130" s="143">
        <f t="shared" si="451"/>
        <v>8.3566018147589922</v>
      </c>
      <c r="AC130" s="143">
        <f t="shared" si="451"/>
        <v>8.3566018147589922</v>
      </c>
      <c r="AD130" s="143">
        <f t="shared" si="451"/>
        <v>8.3566018147589922</v>
      </c>
      <c r="AE130" s="143">
        <f t="shared" si="451"/>
        <v>8.3566018147589922</v>
      </c>
      <c r="AF130" s="143">
        <f t="shared" si="451"/>
        <v>8.3566018147589922</v>
      </c>
      <c r="AG130" s="143">
        <f t="shared" si="451"/>
        <v>8.3566018147589922</v>
      </c>
      <c r="AH130" s="143">
        <f t="shared" si="451"/>
        <v>8.3566018147589922</v>
      </c>
      <c r="AI130" s="143">
        <f t="shared" si="451"/>
        <v>8.3566018147589922</v>
      </c>
      <c r="AJ130" s="143">
        <f t="shared" si="451"/>
        <v>8.3566018147589922</v>
      </c>
      <c r="AK130" s="143">
        <f t="shared" si="451"/>
        <v>8.3566018147589922</v>
      </c>
      <c r="AL130" s="143">
        <f t="shared" si="451"/>
        <v>8.3566018147589922</v>
      </c>
      <c r="AM130" s="143">
        <f t="shared" si="451"/>
        <v>8.3566018147589922</v>
      </c>
      <c r="AN130" s="143">
        <f t="shared" si="451"/>
        <v>8.3566018147589922</v>
      </c>
      <c r="AO130" s="143">
        <f t="shared" si="451"/>
        <v>8.3566018147589922</v>
      </c>
      <c r="AP130" s="143">
        <f t="shared" si="451"/>
        <v>8.3566018147589922</v>
      </c>
      <c r="AQ130" s="143">
        <f t="shared" si="451"/>
        <v>8.3566018147589922</v>
      </c>
      <c r="AR130" s="143">
        <f t="shared" si="451"/>
        <v>8.3566018147589922</v>
      </c>
      <c r="AS130" s="143">
        <f t="shared" si="59"/>
        <v>9.2180604949913203</v>
      </c>
      <c r="AT130" s="143">
        <f t="shared" si="451"/>
        <v>9.2180604949913203</v>
      </c>
      <c r="AU130" s="143">
        <f t="shared" si="451"/>
        <v>9.2180604949913203</v>
      </c>
      <c r="AV130" s="143">
        <f t="shared" si="451"/>
        <v>9.2180604949913203</v>
      </c>
      <c r="AW130" s="143">
        <f t="shared" si="451"/>
        <v>9.2180604949913203</v>
      </c>
      <c r="AX130" s="143">
        <f t="shared" si="451"/>
        <v>9.2180604949913203</v>
      </c>
      <c r="AY130" s="143">
        <f t="shared" si="451"/>
        <v>9.2180604949913203</v>
      </c>
      <c r="AZ130" s="143">
        <f t="shared" si="451"/>
        <v>9.2180604949913203</v>
      </c>
      <c r="BA130" s="143">
        <f t="shared" si="451"/>
        <v>9.2180604949913203</v>
      </c>
      <c r="BB130" s="143">
        <f t="shared" si="451"/>
        <v>9.2180604949913203</v>
      </c>
      <c r="BC130" s="143">
        <f t="shared" si="451"/>
        <v>9.2180604949913203</v>
      </c>
      <c r="BD130" s="143">
        <f t="shared" si="451"/>
        <v>9.2180604949913203</v>
      </c>
      <c r="BE130" s="143">
        <f t="shared" si="451"/>
        <v>9.2180604949913203</v>
      </c>
      <c r="BF130" s="143">
        <f t="shared" si="451"/>
        <v>9.2180604949913203</v>
      </c>
      <c r="BG130" s="143">
        <f t="shared" si="451"/>
        <v>9.2180604949913203</v>
      </c>
      <c r="BH130" s="143">
        <f t="shared" si="451"/>
        <v>9.2180604949913203</v>
      </c>
      <c r="BI130" s="143">
        <f t="shared" si="451"/>
        <v>9.2180604949913203</v>
      </c>
      <c r="BJ130" s="143">
        <f t="shared" si="451"/>
        <v>9.2180604949913203</v>
      </c>
      <c r="BK130" s="143">
        <f t="shared" si="451"/>
        <v>9.2180604949913203</v>
      </c>
      <c r="BL130" s="143">
        <f t="shared" si="451"/>
        <v>9.2180604949913203</v>
      </c>
      <c r="BM130" s="143">
        <f t="shared" si="61"/>
        <v>9.8842231803546703</v>
      </c>
      <c r="BN130" s="143">
        <f t="shared" si="451"/>
        <v>9.8842231803546703</v>
      </c>
      <c r="BO130" s="143">
        <f t="shared" si="451"/>
        <v>9.8842231803546703</v>
      </c>
      <c r="BP130" s="143">
        <f t="shared" si="451"/>
        <v>9.8842231803546703</v>
      </c>
      <c r="BQ130" s="143">
        <f t="shared" si="451"/>
        <v>9.8842231803546703</v>
      </c>
      <c r="BR130" s="143">
        <f t="shared" si="451"/>
        <v>9.8842231803546703</v>
      </c>
      <c r="BS130" s="143">
        <f t="shared" si="451"/>
        <v>9.8842231803546703</v>
      </c>
      <c r="BT130" s="143">
        <f t="shared" si="451"/>
        <v>9.8842231803546703</v>
      </c>
      <c r="BU130" s="143">
        <f t="shared" si="451"/>
        <v>9.8842231803546703</v>
      </c>
      <c r="BV130" s="143">
        <f t="shared" si="451"/>
        <v>9.8842231803546703</v>
      </c>
      <c r="BW130" s="143">
        <f t="shared" si="451"/>
        <v>9.8842231803546703</v>
      </c>
      <c r="BX130" s="143">
        <f t="shared" si="451"/>
        <v>9.8842231803546703</v>
      </c>
      <c r="BY130" s="143">
        <f t="shared" si="451"/>
        <v>9.8842231803546703</v>
      </c>
      <c r="BZ130" s="143">
        <f t="shared" si="451"/>
        <v>9.8842231803546703</v>
      </c>
      <c r="CA130" s="143">
        <f t="shared" si="451"/>
        <v>9.8842231803546703</v>
      </c>
      <c r="CB130" s="143">
        <f t="shared" si="451"/>
        <v>9.8842231803546703</v>
      </c>
      <c r="CC130" s="143">
        <f t="shared" si="451"/>
        <v>9.8842231803546703</v>
      </c>
      <c r="CD130" s="143">
        <f t="shared" si="451"/>
        <v>9.8842231803546703</v>
      </c>
      <c r="CE130" s="143">
        <f t="shared" si="451"/>
        <v>9.8842231803546703</v>
      </c>
      <c r="CF130" s="143">
        <f t="shared" si="451"/>
        <v>9.8842231803546703</v>
      </c>
      <c r="CG130" s="143">
        <f t="shared" si="63"/>
        <v>10.42925695968772</v>
      </c>
      <c r="CH130" s="143">
        <f t="shared" si="451"/>
        <v>10.42925695968772</v>
      </c>
      <c r="CI130" s="143">
        <f t="shared" si="451"/>
        <v>10.42925695968772</v>
      </c>
      <c r="CJ130" s="143">
        <f t="shared" si="451"/>
        <v>10.42925695968772</v>
      </c>
      <c r="CK130" s="143">
        <f t="shared" ref="CK130:CP130" si="452">CJ130</f>
        <v>10.42925695968772</v>
      </c>
      <c r="CL130" s="143">
        <f t="shared" si="452"/>
        <v>10.42925695968772</v>
      </c>
      <c r="CM130" s="143">
        <f t="shared" si="452"/>
        <v>10.42925695968772</v>
      </c>
      <c r="CN130" s="143">
        <f t="shared" si="452"/>
        <v>10.42925695968772</v>
      </c>
      <c r="CO130" s="143">
        <f t="shared" si="452"/>
        <v>10.42925695968772</v>
      </c>
      <c r="CP130" s="143">
        <f t="shared" si="452"/>
        <v>10.42925695968772</v>
      </c>
      <c r="CQ130" s="143">
        <f t="shared" si="65"/>
        <v>10.849702068581509</v>
      </c>
      <c r="CR130" s="143">
        <f t="shared" ref="CR130:CY130" si="453">CQ130</f>
        <v>10.849702068581509</v>
      </c>
      <c r="CS130" s="143">
        <f t="shared" si="453"/>
        <v>10.849702068581509</v>
      </c>
      <c r="CT130" s="143">
        <f t="shared" si="453"/>
        <v>10.849702068581509</v>
      </c>
      <c r="CU130" s="143">
        <f t="shared" si="453"/>
        <v>10.849702068581509</v>
      </c>
      <c r="CV130" s="143">
        <f t="shared" si="67"/>
        <v>11.475701157671958</v>
      </c>
      <c r="CW130" s="143">
        <f t="shared" si="453"/>
        <v>11.475701157671958</v>
      </c>
      <c r="CX130" s="143">
        <f t="shared" si="453"/>
        <v>11.475701157671958</v>
      </c>
      <c r="CY130" s="143">
        <f t="shared" si="453"/>
        <v>11.475701157671958</v>
      </c>
      <c r="CZ130" s="143">
        <f t="shared" si="69"/>
        <v>13.297442772941224</v>
      </c>
      <c r="DB130" s="143">
        <f t="shared" si="70"/>
        <v>9.9330463547776731</v>
      </c>
      <c r="DC130" s="143">
        <f>DB130</f>
        <v>9.9330463547776731</v>
      </c>
      <c r="DD130" s="143">
        <f t="shared" ref="DD130:FO130" si="454">DC130</f>
        <v>9.9330463547776731</v>
      </c>
      <c r="DE130" s="143">
        <f t="shared" si="454"/>
        <v>9.9330463547776731</v>
      </c>
      <c r="DF130" s="143">
        <f t="shared" si="454"/>
        <v>9.9330463547776731</v>
      </c>
      <c r="DG130" s="143">
        <f t="shared" si="454"/>
        <v>9.9330463547776731</v>
      </c>
      <c r="DH130" s="143">
        <f t="shared" si="454"/>
        <v>9.9330463547776731</v>
      </c>
      <c r="DI130" s="143">
        <f t="shared" si="454"/>
        <v>9.9330463547776731</v>
      </c>
      <c r="DJ130" s="143">
        <f t="shared" si="454"/>
        <v>9.9330463547776731</v>
      </c>
      <c r="DK130" s="143">
        <f t="shared" si="454"/>
        <v>9.9330463547776731</v>
      </c>
      <c r="DL130" s="143">
        <f t="shared" si="454"/>
        <v>9.9330463547776731</v>
      </c>
      <c r="DM130" s="143">
        <f t="shared" si="454"/>
        <v>9.9330463547776731</v>
      </c>
      <c r="DN130" s="143">
        <f t="shared" si="454"/>
        <v>9.9330463547776731</v>
      </c>
      <c r="DO130" s="143">
        <f t="shared" si="454"/>
        <v>9.9330463547776731</v>
      </c>
      <c r="DP130" s="143">
        <f t="shared" si="454"/>
        <v>9.9330463547776731</v>
      </c>
      <c r="DQ130" s="143">
        <f t="shared" si="454"/>
        <v>9.9330463547776731</v>
      </c>
      <c r="DR130" s="143">
        <f t="shared" si="454"/>
        <v>9.9330463547776731</v>
      </c>
      <c r="DS130" s="143">
        <f t="shared" si="454"/>
        <v>9.9330463547776731</v>
      </c>
      <c r="DT130" s="143">
        <f t="shared" si="454"/>
        <v>9.9330463547776731</v>
      </c>
      <c r="DU130" s="143">
        <f t="shared" si="454"/>
        <v>9.9330463547776731</v>
      </c>
      <c r="DV130" s="143">
        <f t="shared" si="72"/>
        <v>10.721062311471126</v>
      </c>
      <c r="DW130" s="143">
        <f t="shared" si="454"/>
        <v>10.721062311471126</v>
      </c>
      <c r="DX130" s="143">
        <f t="shared" si="454"/>
        <v>10.721062311471126</v>
      </c>
      <c r="DY130" s="143">
        <f t="shared" si="454"/>
        <v>10.721062311471126</v>
      </c>
      <c r="DZ130" s="143">
        <f t="shared" si="454"/>
        <v>10.721062311471126</v>
      </c>
      <c r="EA130" s="143">
        <f t="shared" si="454"/>
        <v>10.721062311471126</v>
      </c>
      <c r="EB130" s="143">
        <f t="shared" si="454"/>
        <v>10.721062311471126</v>
      </c>
      <c r="EC130" s="143">
        <f t="shared" si="454"/>
        <v>10.721062311471126</v>
      </c>
      <c r="ED130" s="143">
        <f t="shared" si="454"/>
        <v>10.721062311471126</v>
      </c>
      <c r="EE130" s="143">
        <f t="shared" si="454"/>
        <v>10.721062311471126</v>
      </c>
      <c r="EF130" s="143">
        <f t="shared" si="454"/>
        <v>10.721062311471126</v>
      </c>
      <c r="EG130" s="143">
        <f t="shared" si="454"/>
        <v>10.721062311471126</v>
      </c>
      <c r="EH130" s="143">
        <f t="shared" si="454"/>
        <v>10.721062311471126</v>
      </c>
      <c r="EI130" s="143">
        <f t="shared" si="454"/>
        <v>10.721062311471126</v>
      </c>
      <c r="EJ130" s="143">
        <f t="shared" si="454"/>
        <v>10.721062311471126</v>
      </c>
      <c r="EK130" s="143">
        <f t="shared" si="454"/>
        <v>10.721062311471126</v>
      </c>
      <c r="EL130" s="143">
        <f t="shared" si="454"/>
        <v>10.721062311471126</v>
      </c>
      <c r="EM130" s="143">
        <f t="shared" si="454"/>
        <v>10.721062311471126</v>
      </c>
      <c r="EN130" s="143">
        <f t="shared" si="454"/>
        <v>10.721062311471126</v>
      </c>
      <c r="EO130" s="143">
        <f t="shared" si="454"/>
        <v>10.721062311471126</v>
      </c>
      <c r="EP130" s="143">
        <f t="shared" si="74"/>
        <v>11.191341840842766</v>
      </c>
      <c r="EQ130" s="143">
        <f t="shared" si="454"/>
        <v>11.191341840842766</v>
      </c>
      <c r="ER130" s="143">
        <f t="shared" si="454"/>
        <v>11.191341840842766</v>
      </c>
      <c r="ES130" s="143">
        <f t="shared" si="454"/>
        <v>11.191341840842766</v>
      </c>
      <c r="ET130" s="143">
        <f t="shared" si="454"/>
        <v>11.191341840842766</v>
      </c>
      <c r="EU130" s="143">
        <f t="shared" si="454"/>
        <v>11.191341840842766</v>
      </c>
      <c r="EV130" s="143">
        <f t="shared" si="454"/>
        <v>11.191341840842766</v>
      </c>
      <c r="EW130" s="143">
        <f t="shared" si="454"/>
        <v>11.191341840842766</v>
      </c>
      <c r="EX130" s="143">
        <f t="shared" si="454"/>
        <v>11.191341840842766</v>
      </c>
      <c r="EY130" s="143">
        <f t="shared" si="454"/>
        <v>11.191341840842766</v>
      </c>
      <c r="EZ130" s="143">
        <f t="shared" si="454"/>
        <v>11.191341840842766</v>
      </c>
      <c r="FA130" s="143">
        <f t="shared" si="454"/>
        <v>11.191341840842766</v>
      </c>
      <c r="FB130" s="143">
        <f t="shared" si="454"/>
        <v>11.191341840842766</v>
      </c>
      <c r="FC130" s="143">
        <f t="shared" si="454"/>
        <v>11.191341840842766</v>
      </c>
      <c r="FD130" s="143">
        <f t="shared" si="454"/>
        <v>11.191341840842766</v>
      </c>
      <c r="FE130" s="143">
        <f t="shared" si="454"/>
        <v>11.191341840842766</v>
      </c>
      <c r="FF130" s="143">
        <f t="shared" si="454"/>
        <v>11.191341840842766</v>
      </c>
      <c r="FG130" s="143">
        <f t="shared" si="454"/>
        <v>11.191341840842766</v>
      </c>
      <c r="FH130" s="143">
        <f t="shared" si="454"/>
        <v>11.191341840842766</v>
      </c>
      <c r="FI130" s="143">
        <f t="shared" si="454"/>
        <v>11.191341840842766</v>
      </c>
      <c r="FJ130" s="143">
        <f t="shared" si="76"/>
        <v>11.604592653496052</v>
      </c>
      <c r="FK130" s="143">
        <f t="shared" si="454"/>
        <v>11.604592653496052</v>
      </c>
      <c r="FL130" s="143">
        <f t="shared" si="454"/>
        <v>11.604592653496052</v>
      </c>
      <c r="FM130" s="143">
        <f t="shared" si="454"/>
        <v>11.604592653496052</v>
      </c>
      <c r="FN130" s="143">
        <f t="shared" si="454"/>
        <v>11.604592653496052</v>
      </c>
      <c r="FO130" s="143">
        <f t="shared" si="454"/>
        <v>11.604592653496052</v>
      </c>
      <c r="FP130" s="143">
        <f t="shared" ref="FP130:GV130" si="455">FO130</f>
        <v>11.604592653496052</v>
      </c>
      <c r="FQ130" s="143">
        <f t="shared" si="455"/>
        <v>11.604592653496052</v>
      </c>
      <c r="FR130" s="143">
        <f t="shared" si="455"/>
        <v>11.604592653496052</v>
      </c>
      <c r="FS130" s="143">
        <f t="shared" si="455"/>
        <v>11.604592653496052</v>
      </c>
      <c r="FT130" s="143">
        <f t="shared" si="455"/>
        <v>11.604592653496052</v>
      </c>
      <c r="FU130" s="143">
        <f t="shared" si="455"/>
        <v>11.604592653496052</v>
      </c>
      <c r="FV130" s="143">
        <f t="shared" si="455"/>
        <v>11.604592653496052</v>
      </c>
      <c r="FW130" s="143">
        <f t="shared" si="455"/>
        <v>11.604592653496052</v>
      </c>
      <c r="FX130" s="143">
        <f t="shared" si="455"/>
        <v>11.604592653496052</v>
      </c>
      <c r="FY130" s="143">
        <f t="shared" si="455"/>
        <v>11.604592653496052</v>
      </c>
      <c r="FZ130" s="143">
        <f t="shared" si="455"/>
        <v>11.604592653496052</v>
      </c>
      <c r="GA130" s="143">
        <f t="shared" si="455"/>
        <v>11.604592653496052</v>
      </c>
      <c r="GB130" s="143">
        <f t="shared" si="455"/>
        <v>11.604592653496052</v>
      </c>
      <c r="GC130" s="143">
        <f t="shared" si="455"/>
        <v>11.604592653496052</v>
      </c>
      <c r="GD130" s="143">
        <f t="shared" si="78"/>
        <v>11.980425963997845</v>
      </c>
      <c r="GE130" s="143">
        <f t="shared" si="455"/>
        <v>11.980425963997845</v>
      </c>
      <c r="GF130" s="143">
        <f t="shared" si="455"/>
        <v>11.980425963997845</v>
      </c>
      <c r="GG130" s="143">
        <f t="shared" si="455"/>
        <v>11.980425963997845</v>
      </c>
      <c r="GH130" s="143">
        <f t="shared" si="455"/>
        <v>11.980425963997845</v>
      </c>
      <c r="GI130" s="143">
        <f t="shared" si="455"/>
        <v>11.980425963997845</v>
      </c>
      <c r="GJ130" s="143">
        <f t="shared" si="455"/>
        <v>11.980425963997845</v>
      </c>
      <c r="GK130" s="143">
        <f t="shared" si="455"/>
        <v>11.980425963997845</v>
      </c>
      <c r="GL130" s="143">
        <f t="shared" si="455"/>
        <v>11.980425963997845</v>
      </c>
      <c r="GM130" s="143">
        <f t="shared" si="455"/>
        <v>11.980425963997845</v>
      </c>
      <c r="GN130" s="143">
        <f t="shared" si="80"/>
        <v>12.293625542538035</v>
      </c>
      <c r="GO130" s="143">
        <f t="shared" si="455"/>
        <v>12.293625542538035</v>
      </c>
      <c r="GP130" s="143">
        <f t="shared" si="455"/>
        <v>12.293625542538035</v>
      </c>
      <c r="GQ130" s="143">
        <f t="shared" si="455"/>
        <v>12.293625542538035</v>
      </c>
      <c r="GR130" s="143">
        <f t="shared" si="455"/>
        <v>12.293625542538035</v>
      </c>
      <c r="GS130" s="143">
        <f t="shared" si="82"/>
        <v>12.792469456143239</v>
      </c>
      <c r="GT130" s="143">
        <f t="shared" si="455"/>
        <v>12.792469456143239</v>
      </c>
      <c r="GU130" s="143">
        <f t="shared" si="455"/>
        <v>12.792469456143239</v>
      </c>
      <c r="GV130" s="143">
        <f t="shared" si="455"/>
        <v>12.792469456143239</v>
      </c>
      <c r="GW130" s="143">
        <f t="shared" si="84"/>
        <v>14.397055561942917</v>
      </c>
    </row>
    <row r="131" spans="1:205" s="149" customFormat="1" ht="9" customHeight="1">
      <c r="A131" s="60"/>
      <c r="E131" s="143"/>
      <c r="F131" s="143"/>
      <c r="G131" s="143"/>
      <c r="H131" s="143"/>
      <c r="I131" s="143"/>
      <c r="L131" s="143"/>
      <c r="M131" s="143"/>
      <c r="N131" s="143"/>
      <c r="O131" s="143"/>
      <c r="P131" s="143"/>
      <c r="Q131" s="143"/>
      <c r="R131" s="143"/>
      <c r="U131" s="143"/>
    </row>
    <row r="132" spans="1:205" s="149" customFormat="1" ht="9" customHeight="1">
      <c r="A132" s="60"/>
      <c r="B132" s="254" t="s">
        <v>262</v>
      </c>
      <c r="C132" s="149" t="s">
        <v>273</v>
      </c>
      <c r="E132" s="143" t="s">
        <v>263</v>
      </c>
      <c r="F132" s="143" t="s">
        <v>264</v>
      </c>
      <c r="G132" s="143"/>
      <c r="H132" s="143"/>
      <c r="I132" s="143"/>
      <c r="L132" s="143"/>
      <c r="M132" s="143"/>
      <c r="N132" s="143"/>
      <c r="O132" s="143"/>
      <c r="P132" s="143"/>
      <c r="Q132" s="143"/>
      <c r="R132" s="143"/>
      <c r="U132" s="143"/>
    </row>
    <row r="133" spans="1:205" s="149" customFormat="1" ht="9" customHeight="1">
      <c r="A133" s="60">
        <v>1979</v>
      </c>
      <c r="B133" s="143">
        <f>INTERCEPT(E93:CZ93, DB93:GW93)</f>
        <v>-6.8143004890865679</v>
      </c>
      <c r="C133" s="143">
        <f>(B93+1)*F133+B133</f>
        <v>15.176525343721925</v>
      </c>
      <c r="D133" s="143"/>
      <c r="E133" s="143">
        <v>0</v>
      </c>
      <c r="F133" s="143">
        <v>15</v>
      </c>
      <c r="G133" s="143"/>
      <c r="H133" s="143"/>
      <c r="I133" s="143"/>
      <c r="L133" s="143"/>
      <c r="M133" s="143"/>
      <c r="N133" s="143"/>
      <c r="O133" s="143"/>
      <c r="P133" s="143"/>
      <c r="Q133" s="143"/>
      <c r="R133" s="143"/>
      <c r="U133" s="143"/>
    </row>
    <row r="134" spans="1:205" s="149" customFormat="1" ht="9" customHeight="1">
      <c r="A134" s="60"/>
      <c r="B134" s="143"/>
      <c r="C134" s="143"/>
      <c r="D134" s="143"/>
      <c r="E134" s="143"/>
      <c r="F134" s="143"/>
      <c r="G134" s="143"/>
      <c r="H134" s="143"/>
      <c r="I134" s="143"/>
      <c r="L134" s="143"/>
      <c r="M134" s="143"/>
      <c r="N134" s="143"/>
      <c r="O134" s="143"/>
      <c r="P134" s="143"/>
      <c r="Q134" s="143"/>
      <c r="R134" s="143"/>
      <c r="U134" s="143"/>
    </row>
    <row r="136" spans="1:205" s="149" customFormat="1" ht="13.5" customHeight="1">
      <c r="A136" s="244" t="s">
        <v>278</v>
      </c>
      <c r="B136" s="109"/>
      <c r="C136" s="109"/>
      <c r="D136" s="109"/>
      <c r="E136" s="109"/>
      <c r="F136" s="109"/>
      <c r="G136" s="109"/>
      <c r="H136" s="109"/>
      <c r="I136" s="109"/>
      <c r="J136" s="109"/>
      <c r="K136" s="109"/>
      <c r="L136" s="109"/>
      <c r="M136" s="143"/>
      <c r="N136" s="143"/>
      <c r="O136" s="143"/>
      <c r="P136" s="143"/>
      <c r="Q136" s="143"/>
      <c r="R136" s="143"/>
      <c r="T136" s="143"/>
      <c r="U136" s="143"/>
    </row>
    <row r="137" spans="1:205" s="131" customFormat="1">
      <c r="A137" s="144"/>
      <c r="B137" s="729" t="s">
        <v>188</v>
      </c>
      <c r="C137" s="729" t="s">
        <v>255</v>
      </c>
      <c r="D137" s="120"/>
      <c r="E137" s="731" t="s">
        <v>204</v>
      </c>
      <c r="F137" s="731"/>
      <c r="G137" s="731"/>
      <c r="H137" s="731"/>
      <c r="I137" s="731"/>
      <c r="J137" s="731"/>
      <c r="K137" s="731"/>
      <c r="L137" s="731"/>
      <c r="M137" s="134"/>
      <c r="N137" s="736" t="s">
        <v>205</v>
      </c>
      <c r="O137" s="736"/>
      <c r="P137" s="736"/>
      <c r="Q137" s="736"/>
      <c r="R137" s="736"/>
      <c r="S137" s="736"/>
      <c r="T137" s="736"/>
      <c r="U137" s="736"/>
      <c r="V137" s="134"/>
      <c r="W137" s="736" t="s">
        <v>466</v>
      </c>
      <c r="X137" s="736"/>
      <c r="Y137" s="736"/>
      <c r="Z137" s="736"/>
      <c r="AA137" s="736"/>
      <c r="AB137" s="736"/>
      <c r="AC137" s="736"/>
      <c r="AD137" s="736"/>
      <c r="AE137" s="120"/>
      <c r="AF137" s="732" t="s">
        <v>624</v>
      </c>
      <c r="AG137" s="732"/>
      <c r="AH137" s="732"/>
      <c r="AI137" s="732"/>
      <c r="AJ137" s="732"/>
      <c r="AK137" s="732"/>
      <c r="AL137" s="732"/>
      <c r="AM137" s="732"/>
      <c r="AN137" s="120"/>
      <c r="AO137" s="731" t="s">
        <v>207</v>
      </c>
      <c r="AP137" s="731"/>
      <c r="AQ137" s="731"/>
      <c r="AR137" s="731"/>
      <c r="AS137" s="731"/>
      <c r="AT137" s="731"/>
      <c r="AU137" s="731"/>
      <c r="AV137" s="731"/>
    </row>
    <row r="138" spans="1:205" s="131" customFormat="1">
      <c r="A138" s="53"/>
      <c r="B138" s="730"/>
      <c r="C138" s="730"/>
      <c r="D138" s="6"/>
      <c r="E138" s="6" t="s">
        <v>158</v>
      </c>
      <c r="F138" s="6" t="s">
        <v>159</v>
      </c>
      <c r="G138" s="6" t="s">
        <v>160</v>
      </c>
      <c r="H138" s="6" t="s">
        <v>161</v>
      </c>
      <c r="I138" s="51" t="s">
        <v>33</v>
      </c>
      <c r="J138" s="51" t="s">
        <v>51</v>
      </c>
      <c r="K138" s="51" t="s">
        <v>52</v>
      </c>
      <c r="L138" s="51" t="s">
        <v>28</v>
      </c>
      <c r="M138" s="5"/>
      <c r="N138" s="6" t="s">
        <v>158</v>
      </c>
      <c r="O138" s="6" t="s">
        <v>159</v>
      </c>
      <c r="P138" s="6" t="s">
        <v>160</v>
      </c>
      <c r="Q138" s="6" t="s">
        <v>161</v>
      </c>
      <c r="R138" s="51" t="s">
        <v>33</v>
      </c>
      <c r="S138" s="51" t="s">
        <v>51</v>
      </c>
      <c r="T138" s="51" t="s">
        <v>52</v>
      </c>
      <c r="U138" s="51" t="s">
        <v>28</v>
      </c>
      <c r="V138" s="5"/>
      <c r="W138" s="6" t="s">
        <v>158</v>
      </c>
      <c r="X138" s="6" t="s">
        <v>159</v>
      </c>
      <c r="Y138" s="6" t="s">
        <v>160</v>
      </c>
      <c r="Z138" s="6" t="s">
        <v>161</v>
      </c>
      <c r="AA138" s="51" t="s">
        <v>33</v>
      </c>
      <c r="AB138" s="51" t="s">
        <v>51</v>
      </c>
      <c r="AC138" s="51" t="s">
        <v>52</v>
      </c>
      <c r="AD138" s="51" t="s">
        <v>28</v>
      </c>
      <c r="AF138" s="6" t="s">
        <v>158</v>
      </c>
      <c r="AG138" s="6" t="s">
        <v>159</v>
      </c>
      <c r="AH138" s="6" t="s">
        <v>160</v>
      </c>
      <c r="AI138" s="6" t="s">
        <v>161</v>
      </c>
      <c r="AJ138" s="51" t="s">
        <v>33</v>
      </c>
      <c r="AK138" s="51" t="s">
        <v>51</v>
      </c>
      <c r="AL138" s="51" t="s">
        <v>52</v>
      </c>
      <c r="AM138" s="51" t="s">
        <v>28</v>
      </c>
      <c r="AN138" s="6"/>
      <c r="AO138" s="6" t="s">
        <v>158</v>
      </c>
      <c r="AP138" s="6" t="s">
        <v>159</v>
      </c>
      <c r="AQ138" s="6" t="s">
        <v>160</v>
      </c>
      <c r="AR138" s="6" t="s">
        <v>161</v>
      </c>
      <c r="AS138" s="51" t="s">
        <v>33</v>
      </c>
      <c r="AT138" s="51" t="s">
        <v>51</v>
      </c>
      <c r="AU138" s="51" t="s">
        <v>52</v>
      </c>
      <c r="AV138" s="51" t="s">
        <v>28</v>
      </c>
      <c r="AX138" s="103"/>
    </row>
    <row r="139" spans="1:205" s="149" customFormat="1" ht="10.5" customHeight="1">
      <c r="A139" s="259" t="s">
        <v>48</v>
      </c>
      <c r="B139" s="158">
        <f>B143</f>
        <v>0.93515832898767015</v>
      </c>
      <c r="C139" s="158">
        <f>C143</f>
        <v>0.95112162378487453</v>
      </c>
      <c r="D139" s="131"/>
      <c r="E139" s="143">
        <f t="shared" ref="E139:L139" si="456">LN(AO139)</f>
        <v>6.0050222250400473</v>
      </c>
      <c r="F139" s="143">
        <f t="shared" si="456"/>
        <v>8.3493187703691696</v>
      </c>
      <c r="G139" s="143">
        <f t="shared" si="456"/>
        <v>9.2797171697540026</v>
      </c>
      <c r="H139" s="143">
        <f t="shared" si="456"/>
        <v>9.9386442495206087</v>
      </c>
      <c r="I139" s="143">
        <f t="shared" si="456"/>
        <v>10.483640711782828</v>
      </c>
      <c r="J139" s="143">
        <f t="shared" si="456"/>
        <v>10.893922027352794</v>
      </c>
      <c r="K139" s="143">
        <f t="shared" si="456"/>
        <v>11.530730215486081</v>
      </c>
      <c r="L139" s="143">
        <f t="shared" si="456"/>
        <v>13.406517794991803</v>
      </c>
      <c r="M139" s="46"/>
      <c r="N139" s="143">
        <f t="shared" ref="N139:U139" si="457">LN(AF139)</f>
        <v>9.87302834505142</v>
      </c>
      <c r="O139" s="143">
        <f t="shared" si="457"/>
        <v>10.661954199216716</v>
      </c>
      <c r="P139" s="143">
        <f t="shared" si="457"/>
        <v>11.150519846322512</v>
      </c>
      <c r="Q139" s="143">
        <f t="shared" si="457"/>
        <v>11.569305798406337</v>
      </c>
      <c r="R139" s="143">
        <f t="shared" si="457"/>
        <v>11.939499536288627</v>
      </c>
      <c r="S139" s="143">
        <f t="shared" si="457"/>
        <v>12.251046011172905</v>
      </c>
      <c r="T139" s="143">
        <f t="shared" si="457"/>
        <v>12.755926656263643</v>
      </c>
      <c r="U139" s="143">
        <f t="shared" si="457"/>
        <v>14.40185173420641</v>
      </c>
      <c r="V139" s="131"/>
      <c r="W139" s="246">
        <f t="shared" ref="W139:AD139" si="458">W$69*1.1</f>
        <v>2.09</v>
      </c>
      <c r="X139" s="246">
        <f t="shared" si="458"/>
        <v>9.9</v>
      </c>
      <c r="Y139" s="246">
        <f t="shared" si="458"/>
        <v>15.400000000000002</v>
      </c>
      <c r="Z139" s="246">
        <f t="shared" si="458"/>
        <v>19.580000000000002</v>
      </c>
      <c r="AA139" s="246">
        <f t="shared" si="458"/>
        <v>23.32</v>
      </c>
      <c r="AB139" s="246">
        <f t="shared" si="458"/>
        <v>25.740000000000002</v>
      </c>
      <c r="AC139" s="246">
        <f t="shared" si="458"/>
        <v>29.37</v>
      </c>
      <c r="AD139" s="246">
        <f t="shared" si="458"/>
        <v>36.960000000000008</v>
      </c>
      <c r="AE139" s="131"/>
      <c r="AF139" s="60">
        <f>AF$69</f>
        <v>19400</v>
      </c>
      <c r="AG139" s="60">
        <f t="shared" ref="AG139:AM139" si="459">AG$69</f>
        <v>42700</v>
      </c>
      <c r="AH139" s="60">
        <f t="shared" si="459"/>
        <v>69600</v>
      </c>
      <c r="AI139" s="60">
        <f t="shared" si="459"/>
        <v>105800</v>
      </c>
      <c r="AJ139" s="60">
        <f t="shared" si="459"/>
        <v>153200</v>
      </c>
      <c r="AK139" s="60">
        <f t="shared" si="459"/>
        <v>209200</v>
      </c>
      <c r="AL139" s="60">
        <f t="shared" si="459"/>
        <v>346600</v>
      </c>
      <c r="AM139" s="60">
        <f t="shared" si="459"/>
        <v>1797400</v>
      </c>
      <c r="AN139" s="131"/>
      <c r="AO139" s="60">
        <f t="shared" ref="AO139:AV139" si="460">W139*AF139/100</f>
        <v>405.46</v>
      </c>
      <c r="AP139" s="60">
        <f t="shared" si="460"/>
        <v>4227.3</v>
      </c>
      <c r="AQ139" s="60">
        <f t="shared" si="460"/>
        <v>10718.400000000001</v>
      </c>
      <c r="AR139" s="60">
        <f t="shared" si="460"/>
        <v>20715.640000000003</v>
      </c>
      <c r="AS139" s="60">
        <f t="shared" si="460"/>
        <v>35726.239999999998</v>
      </c>
      <c r="AT139" s="60">
        <f t="shared" si="460"/>
        <v>53848.08</v>
      </c>
      <c r="AU139" s="60">
        <f t="shared" si="460"/>
        <v>101796.42</v>
      </c>
      <c r="AV139" s="60">
        <f t="shared" si="460"/>
        <v>664319.04000000015</v>
      </c>
    </row>
    <row r="140" spans="1:205" s="149" customFormat="1" ht="9" customHeight="1">
      <c r="A140" s="259"/>
      <c r="E140" s="143"/>
      <c r="F140" s="143"/>
      <c r="G140" s="143"/>
      <c r="H140" s="143"/>
      <c r="I140" s="143"/>
      <c r="J140" s="143"/>
      <c r="K140" s="143"/>
      <c r="L140" s="143"/>
      <c r="M140" s="143"/>
      <c r="N140" s="143"/>
      <c r="O140" s="143"/>
      <c r="P140" s="143"/>
      <c r="Q140" s="143"/>
      <c r="R140" s="143"/>
      <c r="S140" s="143"/>
      <c r="T140" s="143"/>
      <c r="U140" s="143"/>
    </row>
    <row r="141" spans="1:205" s="131" customFormat="1">
      <c r="A141" s="256"/>
      <c r="E141" s="745" t="s">
        <v>158</v>
      </c>
      <c r="F141" s="745"/>
      <c r="G141" s="745"/>
      <c r="H141" s="745"/>
      <c r="I141" s="745"/>
      <c r="J141" s="745"/>
      <c r="K141" s="745"/>
      <c r="L141" s="745"/>
      <c r="M141" s="745"/>
      <c r="N141" s="745"/>
      <c r="O141" s="745"/>
      <c r="P141" s="745"/>
      <c r="Q141" s="745"/>
      <c r="R141" s="745"/>
      <c r="S141" s="745"/>
      <c r="T141" s="745"/>
      <c r="U141" s="745"/>
      <c r="V141" s="745"/>
      <c r="W141" s="745"/>
      <c r="X141" s="745"/>
      <c r="Y141" s="745" t="s">
        <v>159</v>
      </c>
      <c r="Z141" s="745"/>
      <c r="AA141" s="745"/>
      <c r="AB141" s="745"/>
      <c r="AC141" s="745"/>
      <c r="AD141" s="745"/>
      <c r="AE141" s="745"/>
      <c r="AF141" s="745"/>
      <c r="AG141" s="745"/>
      <c r="AH141" s="745"/>
      <c r="AI141" s="745"/>
      <c r="AJ141" s="745"/>
      <c r="AK141" s="745"/>
      <c r="AL141" s="745"/>
      <c r="AM141" s="745"/>
      <c r="AN141" s="745"/>
      <c r="AO141" s="745"/>
      <c r="AP141" s="745"/>
      <c r="AQ141" s="745"/>
      <c r="AR141" s="745"/>
      <c r="AS141" s="745" t="s">
        <v>160</v>
      </c>
      <c r="AT141" s="745"/>
      <c r="AU141" s="745"/>
      <c r="AV141" s="745"/>
      <c r="AW141" s="745"/>
      <c r="AX141" s="745"/>
      <c r="AY141" s="745"/>
      <c r="AZ141" s="745"/>
      <c r="BA141" s="745"/>
      <c r="BB141" s="745"/>
      <c r="BC141" s="745"/>
      <c r="BD141" s="745"/>
      <c r="BE141" s="745"/>
      <c r="BF141" s="745"/>
      <c r="BG141" s="745"/>
      <c r="BH141" s="745"/>
      <c r="BI141" s="745"/>
      <c r="BJ141" s="745"/>
      <c r="BK141" s="745"/>
      <c r="BL141" s="745"/>
      <c r="BM141" s="745" t="s">
        <v>161</v>
      </c>
      <c r="BN141" s="745"/>
      <c r="BO141" s="745"/>
      <c r="BP141" s="745"/>
      <c r="BQ141" s="745"/>
      <c r="BR141" s="745"/>
      <c r="BS141" s="745"/>
      <c r="BT141" s="745"/>
      <c r="BU141" s="745"/>
      <c r="BV141" s="745"/>
      <c r="BW141" s="745"/>
      <c r="BX141" s="745"/>
      <c r="BY141" s="745"/>
      <c r="BZ141" s="745"/>
      <c r="CA141" s="745"/>
      <c r="CB141" s="745"/>
      <c r="CC141" s="745"/>
      <c r="CD141" s="745"/>
      <c r="CE141" s="745"/>
      <c r="CF141" s="745"/>
      <c r="CG141" s="746" t="s">
        <v>33</v>
      </c>
      <c r="CH141" s="746"/>
      <c r="CI141" s="746"/>
      <c r="CJ141" s="746"/>
      <c r="CK141" s="746"/>
      <c r="CL141" s="746"/>
      <c r="CM141" s="746"/>
      <c r="CN141" s="746"/>
      <c r="CO141" s="746"/>
      <c r="CP141" s="746"/>
      <c r="CQ141" s="746" t="s">
        <v>51</v>
      </c>
      <c r="CR141" s="746"/>
      <c r="CS141" s="746"/>
      <c r="CT141" s="746"/>
      <c r="CU141" s="746"/>
      <c r="CV141" s="746" t="s">
        <v>52</v>
      </c>
      <c r="CW141" s="746"/>
      <c r="CX141" s="746"/>
      <c r="CY141" s="746"/>
      <c r="CZ141" s="251" t="s">
        <v>28</v>
      </c>
      <c r="DB141" s="745" t="s">
        <v>158</v>
      </c>
      <c r="DC141" s="745"/>
      <c r="DD141" s="745"/>
      <c r="DE141" s="745"/>
      <c r="DF141" s="745"/>
      <c r="DG141" s="745"/>
      <c r="DH141" s="745"/>
      <c r="DI141" s="745"/>
      <c r="DJ141" s="745"/>
      <c r="DK141" s="745"/>
      <c r="DL141" s="745"/>
      <c r="DM141" s="745"/>
      <c r="DN141" s="745"/>
      <c r="DO141" s="745"/>
      <c r="DP141" s="745"/>
      <c r="DQ141" s="745"/>
      <c r="DR141" s="745"/>
      <c r="DS141" s="745"/>
      <c r="DT141" s="745"/>
      <c r="DU141" s="745"/>
      <c r="DV141" s="745" t="s">
        <v>159</v>
      </c>
      <c r="DW141" s="745"/>
      <c r="DX141" s="745"/>
      <c r="DY141" s="745"/>
      <c r="DZ141" s="745"/>
      <c r="EA141" s="745"/>
      <c r="EB141" s="745"/>
      <c r="EC141" s="745"/>
      <c r="ED141" s="745"/>
      <c r="EE141" s="745"/>
      <c r="EF141" s="745"/>
      <c r="EG141" s="745"/>
      <c r="EH141" s="745"/>
      <c r="EI141" s="745"/>
      <c r="EJ141" s="745"/>
      <c r="EK141" s="745"/>
      <c r="EL141" s="745"/>
      <c r="EM141" s="745"/>
      <c r="EN141" s="745"/>
      <c r="EO141" s="745"/>
      <c r="EP141" s="745" t="s">
        <v>160</v>
      </c>
      <c r="EQ141" s="745"/>
      <c r="ER141" s="745"/>
      <c r="ES141" s="745"/>
      <c r="ET141" s="745"/>
      <c r="EU141" s="745"/>
      <c r="EV141" s="745"/>
      <c r="EW141" s="745"/>
      <c r="EX141" s="745"/>
      <c r="EY141" s="745"/>
      <c r="EZ141" s="745"/>
      <c r="FA141" s="745"/>
      <c r="FB141" s="745"/>
      <c r="FC141" s="745"/>
      <c r="FD141" s="745"/>
      <c r="FE141" s="745"/>
      <c r="FF141" s="745"/>
      <c r="FG141" s="745"/>
      <c r="FH141" s="745"/>
      <c r="FI141" s="745"/>
      <c r="FJ141" s="745" t="s">
        <v>161</v>
      </c>
      <c r="FK141" s="745"/>
      <c r="FL141" s="745"/>
      <c r="FM141" s="745"/>
      <c r="FN141" s="745"/>
      <c r="FO141" s="745"/>
      <c r="FP141" s="745"/>
      <c r="FQ141" s="745"/>
      <c r="FR141" s="745"/>
      <c r="FS141" s="745"/>
      <c r="FT141" s="745"/>
      <c r="FU141" s="745"/>
      <c r="FV141" s="745"/>
      <c r="FW141" s="745"/>
      <c r="FX141" s="745"/>
      <c r="FY141" s="745"/>
      <c r="FZ141" s="745"/>
      <c r="GA141" s="745"/>
      <c r="GB141" s="745"/>
      <c r="GC141" s="745"/>
      <c r="GD141" s="746" t="s">
        <v>33</v>
      </c>
      <c r="GE141" s="746"/>
      <c r="GF141" s="746"/>
      <c r="GG141" s="746"/>
      <c r="GH141" s="746"/>
      <c r="GI141" s="746"/>
      <c r="GJ141" s="746"/>
      <c r="GK141" s="746"/>
      <c r="GL141" s="746"/>
      <c r="GM141" s="746"/>
      <c r="GN141" s="746" t="s">
        <v>51</v>
      </c>
      <c r="GO141" s="746"/>
      <c r="GP141" s="746"/>
      <c r="GQ141" s="746"/>
      <c r="GR141" s="746"/>
      <c r="GS141" s="746" t="s">
        <v>52</v>
      </c>
      <c r="GT141" s="746"/>
      <c r="GU141" s="746"/>
      <c r="GV141" s="746"/>
      <c r="GW141" s="251" t="s">
        <v>28</v>
      </c>
    </row>
    <row r="142" spans="1:205" s="46" customFormat="1">
      <c r="A142" s="15"/>
      <c r="E142" s="255">
        <v>1</v>
      </c>
      <c r="F142" s="255">
        <f>E142+1</f>
        <v>2</v>
      </c>
      <c r="G142" s="255">
        <f t="shared" ref="G142:BR142" si="461">F142+1</f>
        <v>3</v>
      </c>
      <c r="H142" s="255">
        <f t="shared" si="461"/>
        <v>4</v>
      </c>
      <c r="I142" s="255">
        <f t="shared" si="461"/>
        <v>5</v>
      </c>
      <c r="J142" s="255">
        <f t="shared" si="461"/>
        <v>6</v>
      </c>
      <c r="K142" s="255">
        <f t="shared" si="461"/>
        <v>7</v>
      </c>
      <c r="L142" s="255">
        <f t="shared" si="461"/>
        <v>8</v>
      </c>
      <c r="M142" s="255">
        <f t="shared" si="461"/>
        <v>9</v>
      </c>
      <c r="N142" s="255">
        <f t="shared" si="461"/>
        <v>10</v>
      </c>
      <c r="O142" s="255">
        <f t="shared" si="461"/>
        <v>11</v>
      </c>
      <c r="P142" s="255">
        <f t="shared" si="461"/>
        <v>12</v>
      </c>
      <c r="Q142" s="255">
        <f t="shared" si="461"/>
        <v>13</v>
      </c>
      <c r="R142" s="255">
        <f t="shared" si="461"/>
        <v>14</v>
      </c>
      <c r="S142" s="255">
        <f t="shared" si="461"/>
        <v>15</v>
      </c>
      <c r="T142" s="255">
        <f t="shared" si="461"/>
        <v>16</v>
      </c>
      <c r="U142" s="255">
        <f t="shared" si="461"/>
        <v>17</v>
      </c>
      <c r="V142" s="255">
        <f t="shared" si="461"/>
        <v>18</v>
      </c>
      <c r="W142" s="255">
        <f t="shared" si="461"/>
        <v>19</v>
      </c>
      <c r="X142" s="255">
        <f t="shared" si="461"/>
        <v>20</v>
      </c>
      <c r="Y142" s="255">
        <f t="shared" si="461"/>
        <v>21</v>
      </c>
      <c r="Z142" s="255">
        <f t="shared" si="461"/>
        <v>22</v>
      </c>
      <c r="AA142" s="255">
        <f t="shared" si="461"/>
        <v>23</v>
      </c>
      <c r="AB142" s="255">
        <f t="shared" si="461"/>
        <v>24</v>
      </c>
      <c r="AC142" s="255">
        <f t="shared" si="461"/>
        <v>25</v>
      </c>
      <c r="AD142" s="255">
        <f t="shared" si="461"/>
        <v>26</v>
      </c>
      <c r="AE142" s="255">
        <f t="shared" si="461"/>
        <v>27</v>
      </c>
      <c r="AF142" s="255">
        <f t="shared" si="461"/>
        <v>28</v>
      </c>
      <c r="AG142" s="255">
        <f t="shared" si="461"/>
        <v>29</v>
      </c>
      <c r="AH142" s="255">
        <f t="shared" si="461"/>
        <v>30</v>
      </c>
      <c r="AI142" s="255">
        <f t="shared" si="461"/>
        <v>31</v>
      </c>
      <c r="AJ142" s="255">
        <f t="shared" si="461"/>
        <v>32</v>
      </c>
      <c r="AK142" s="255">
        <f t="shared" si="461"/>
        <v>33</v>
      </c>
      <c r="AL142" s="255">
        <f t="shared" si="461"/>
        <v>34</v>
      </c>
      <c r="AM142" s="255">
        <f t="shared" si="461"/>
        <v>35</v>
      </c>
      <c r="AN142" s="255">
        <f t="shared" si="461"/>
        <v>36</v>
      </c>
      <c r="AO142" s="255">
        <f t="shared" si="461"/>
        <v>37</v>
      </c>
      <c r="AP142" s="255">
        <f t="shared" si="461"/>
        <v>38</v>
      </c>
      <c r="AQ142" s="255">
        <f t="shared" si="461"/>
        <v>39</v>
      </c>
      <c r="AR142" s="255">
        <f t="shared" si="461"/>
        <v>40</v>
      </c>
      <c r="AS142" s="255">
        <f t="shared" si="461"/>
        <v>41</v>
      </c>
      <c r="AT142" s="255">
        <f t="shared" si="461"/>
        <v>42</v>
      </c>
      <c r="AU142" s="255">
        <f t="shared" si="461"/>
        <v>43</v>
      </c>
      <c r="AV142" s="255">
        <f t="shared" si="461"/>
        <v>44</v>
      </c>
      <c r="AW142" s="255">
        <f t="shared" si="461"/>
        <v>45</v>
      </c>
      <c r="AX142" s="255">
        <f t="shared" si="461"/>
        <v>46</v>
      </c>
      <c r="AY142" s="255">
        <f t="shared" si="461"/>
        <v>47</v>
      </c>
      <c r="AZ142" s="255">
        <f t="shared" si="461"/>
        <v>48</v>
      </c>
      <c r="BA142" s="255">
        <f t="shared" si="461"/>
        <v>49</v>
      </c>
      <c r="BB142" s="255">
        <f t="shared" si="461"/>
        <v>50</v>
      </c>
      <c r="BC142" s="255">
        <f t="shared" si="461"/>
        <v>51</v>
      </c>
      <c r="BD142" s="255">
        <f t="shared" si="461"/>
        <v>52</v>
      </c>
      <c r="BE142" s="255">
        <f t="shared" si="461"/>
        <v>53</v>
      </c>
      <c r="BF142" s="255">
        <f t="shared" si="461"/>
        <v>54</v>
      </c>
      <c r="BG142" s="255">
        <f t="shared" si="461"/>
        <v>55</v>
      </c>
      <c r="BH142" s="255">
        <f t="shared" si="461"/>
        <v>56</v>
      </c>
      <c r="BI142" s="255">
        <f t="shared" si="461"/>
        <v>57</v>
      </c>
      <c r="BJ142" s="255">
        <f t="shared" si="461"/>
        <v>58</v>
      </c>
      <c r="BK142" s="255">
        <f t="shared" si="461"/>
        <v>59</v>
      </c>
      <c r="BL142" s="255">
        <f t="shared" si="461"/>
        <v>60</v>
      </c>
      <c r="BM142" s="255">
        <f t="shared" si="461"/>
        <v>61</v>
      </c>
      <c r="BN142" s="255">
        <f t="shared" si="461"/>
        <v>62</v>
      </c>
      <c r="BO142" s="255">
        <f t="shared" si="461"/>
        <v>63</v>
      </c>
      <c r="BP142" s="255">
        <f t="shared" si="461"/>
        <v>64</v>
      </c>
      <c r="BQ142" s="255">
        <f t="shared" si="461"/>
        <v>65</v>
      </c>
      <c r="BR142" s="255">
        <f t="shared" si="461"/>
        <v>66</v>
      </c>
      <c r="BS142" s="255">
        <f t="shared" ref="BS142:CZ142" si="462">BR142+1</f>
        <v>67</v>
      </c>
      <c r="BT142" s="255">
        <f t="shared" si="462"/>
        <v>68</v>
      </c>
      <c r="BU142" s="255">
        <f t="shared" si="462"/>
        <v>69</v>
      </c>
      <c r="BV142" s="255">
        <f t="shared" si="462"/>
        <v>70</v>
      </c>
      <c r="BW142" s="255">
        <f t="shared" si="462"/>
        <v>71</v>
      </c>
      <c r="BX142" s="255">
        <f t="shared" si="462"/>
        <v>72</v>
      </c>
      <c r="BY142" s="255">
        <f t="shared" si="462"/>
        <v>73</v>
      </c>
      <c r="BZ142" s="255">
        <f t="shared" si="462"/>
        <v>74</v>
      </c>
      <c r="CA142" s="255">
        <f t="shared" si="462"/>
        <v>75</v>
      </c>
      <c r="CB142" s="255">
        <f t="shared" si="462"/>
        <v>76</v>
      </c>
      <c r="CC142" s="255">
        <f t="shared" si="462"/>
        <v>77</v>
      </c>
      <c r="CD142" s="255">
        <f t="shared" si="462"/>
        <v>78</v>
      </c>
      <c r="CE142" s="255">
        <f t="shared" si="462"/>
        <v>79</v>
      </c>
      <c r="CF142" s="255">
        <f t="shared" si="462"/>
        <v>80</v>
      </c>
      <c r="CG142" s="255">
        <f t="shared" si="462"/>
        <v>81</v>
      </c>
      <c r="CH142" s="255">
        <f t="shared" si="462"/>
        <v>82</v>
      </c>
      <c r="CI142" s="255">
        <f t="shared" si="462"/>
        <v>83</v>
      </c>
      <c r="CJ142" s="255">
        <f t="shared" si="462"/>
        <v>84</v>
      </c>
      <c r="CK142" s="255">
        <f t="shared" si="462"/>
        <v>85</v>
      </c>
      <c r="CL142" s="255">
        <f t="shared" si="462"/>
        <v>86</v>
      </c>
      <c r="CM142" s="255">
        <f t="shared" si="462"/>
        <v>87</v>
      </c>
      <c r="CN142" s="255">
        <f t="shared" si="462"/>
        <v>88</v>
      </c>
      <c r="CO142" s="255">
        <f t="shared" si="462"/>
        <v>89</v>
      </c>
      <c r="CP142" s="255">
        <f t="shared" si="462"/>
        <v>90</v>
      </c>
      <c r="CQ142" s="255">
        <f t="shared" si="462"/>
        <v>91</v>
      </c>
      <c r="CR142" s="255">
        <f t="shared" si="462"/>
        <v>92</v>
      </c>
      <c r="CS142" s="255">
        <f t="shared" si="462"/>
        <v>93</v>
      </c>
      <c r="CT142" s="255">
        <f t="shared" si="462"/>
        <v>94</v>
      </c>
      <c r="CU142" s="255">
        <f t="shared" si="462"/>
        <v>95</v>
      </c>
      <c r="CV142" s="255">
        <f t="shared" si="462"/>
        <v>96</v>
      </c>
      <c r="CW142" s="255">
        <f t="shared" si="462"/>
        <v>97</v>
      </c>
      <c r="CX142" s="255">
        <f t="shared" si="462"/>
        <v>98</v>
      </c>
      <c r="CY142" s="255">
        <f t="shared" si="462"/>
        <v>99</v>
      </c>
      <c r="CZ142" s="255">
        <f t="shared" si="462"/>
        <v>100</v>
      </c>
      <c r="DB142" s="255">
        <v>1</v>
      </c>
      <c r="DC142" s="255">
        <f>DB142+1</f>
        <v>2</v>
      </c>
      <c r="DD142" s="255">
        <f t="shared" ref="DD142:FO142" si="463">DC142+1</f>
        <v>3</v>
      </c>
      <c r="DE142" s="255">
        <f t="shared" si="463"/>
        <v>4</v>
      </c>
      <c r="DF142" s="255">
        <f t="shared" si="463"/>
        <v>5</v>
      </c>
      <c r="DG142" s="255">
        <f t="shared" si="463"/>
        <v>6</v>
      </c>
      <c r="DH142" s="255">
        <f t="shared" si="463"/>
        <v>7</v>
      </c>
      <c r="DI142" s="255">
        <f t="shared" si="463"/>
        <v>8</v>
      </c>
      <c r="DJ142" s="255">
        <f t="shared" si="463"/>
        <v>9</v>
      </c>
      <c r="DK142" s="255">
        <f t="shared" si="463"/>
        <v>10</v>
      </c>
      <c r="DL142" s="255">
        <f t="shared" si="463"/>
        <v>11</v>
      </c>
      <c r="DM142" s="255">
        <f t="shared" si="463"/>
        <v>12</v>
      </c>
      <c r="DN142" s="255">
        <f t="shared" si="463"/>
        <v>13</v>
      </c>
      <c r="DO142" s="255">
        <f t="shared" si="463"/>
        <v>14</v>
      </c>
      <c r="DP142" s="255">
        <f t="shared" si="463"/>
        <v>15</v>
      </c>
      <c r="DQ142" s="255">
        <f t="shared" si="463"/>
        <v>16</v>
      </c>
      <c r="DR142" s="255">
        <f t="shared" si="463"/>
        <v>17</v>
      </c>
      <c r="DS142" s="255">
        <f t="shared" si="463"/>
        <v>18</v>
      </c>
      <c r="DT142" s="255">
        <f t="shared" si="463"/>
        <v>19</v>
      </c>
      <c r="DU142" s="255">
        <f t="shared" si="463"/>
        <v>20</v>
      </c>
      <c r="DV142" s="255">
        <f t="shared" si="463"/>
        <v>21</v>
      </c>
      <c r="DW142" s="255">
        <f t="shared" si="463"/>
        <v>22</v>
      </c>
      <c r="DX142" s="255">
        <f t="shared" si="463"/>
        <v>23</v>
      </c>
      <c r="DY142" s="255">
        <f t="shared" si="463"/>
        <v>24</v>
      </c>
      <c r="DZ142" s="255">
        <f t="shared" si="463"/>
        <v>25</v>
      </c>
      <c r="EA142" s="255">
        <f t="shared" si="463"/>
        <v>26</v>
      </c>
      <c r="EB142" s="255">
        <f t="shared" si="463"/>
        <v>27</v>
      </c>
      <c r="EC142" s="255">
        <f t="shared" si="463"/>
        <v>28</v>
      </c>
      <c r="ED142" s="255">
        <f t="shared" si="463"/>
        <v>29</v>
      </c>
      <c r="EE142" s="255">
        <f t="shared" si="463"/>
        <v>30</v>
      </c>
      <c r="EF142" s="255">
        <f t="shared" si="463"/>
        <v>31</v>
      </c>
      <c r="EG142" s="255">
        <f t="shared" si="463"/>
        <v>32</v>
      </c>
      <c r="EH142" s="255">
        <f t="shared" si="463"/>
        <v>33</v>
      </c>
      <c r="EI142" s="255">
        <f t="shared" si="463"/>
        <v>34</v>
      </c>
      <c r="EJ142" s="255">
        <f t="shared" si="463"/>
        <v>35</v>
      </c>
      <c r="EK142" s="255">
        <f t="shared" si="463"/>
        <v>36</v>
      </c>
      <c r="EL142" s="255">
        <f t="shared" si="463"/>
        <v>37</v>
      </c>
      <c r="EM142" s="255">
        <f t="shared" si="463"/>
        <v>38</v>
      </c>
      <c r="EN142" s="255">
        <f t="shared" si="463"/>
        <v>39</v>
      </c>
      <c r="EO142" s="255">
        <f t="shared" si="463"/>
        <v>40</v>
      </c>
      <c r="EP142" s="255">
        <f t="shared" si="463"/>
        <v>41</v>
      </c>
      <c r="EQ142" s="255">
        <f t="shared" si="463"/>
        <v>42</v>
      </c>
      <c r="ER142" s="255">
        <f t="shared" si="463"/>
        <v>43</v>
      </c>
      <c r="ES142" s="255">
        <f t="shared" si="463"/>
        <v>44</v>
      </c>
      <c r="ET142" s="255">
        <f t="shared" si="463"/>
        <v>45</v>
      </c>
      <c r="EU142" s="255">
        <f t="shared" si="463"/>
        <v>46</v>
      </c>
      <c r="EV142" s="255">
        <f t="shared" si="463"/>
        <v>47</v>
      </c>
      <c r="EW142" s="255">
        <f t="shared" si="463"/>
        <v>48</v>
      </c>
      <c r="EX142" s="255">
        <f t="shared" si="463"/>
        <v>49</v>
      </c>
      <c r="EY142" s="255">
        <f t="shared" si="463"/>
        <v>50</v>
      </c>
      <c r="EZ142" s="255">
        <f t="shared" si="463"/>
        <v>51</v>
      </c>
      <c r="FA142" s="255">
        <f t="shared" si="463"/>
        <v>52</v>
      </c>
      <c r="FB142" s="255">
        <f t="shared" si="463"/>
        <v>53</v>
      </c>
      <c r="FC142" s="255">
        <f t="shared" si="463"/>
        <v>54</v>
      </c>
      <c r="FD142" s="255">
        <f t="shared" si="463"/>
        <v>55</v>
      </c>
      <c r="FE142" s="255">
        <f t="shared" si="463"/>
        <v>56</v>
      </c>
      <c r="FF142" s="255">
        <f t="shared" si="463"/>
        <v>57</v>
      </c>
      <c r="FG142" s="255">
        <f t="shared" si="463"/>
        <v>58</v>
      </c>
      <c r="FH142" s="255">
        <f t="shared" si="463"/>
        <v>59</v>
      </c>
      <c r="FI142" s="255">
        <f t="shared" si="463"/>
        <v>60</v>
      </c>
      <c r="FJ142" s="255">
        <f t="shared" si="463"/>
        <v>61</v>
      </c>
      <c r="FK142" s="255">
        <f t="shared" si="463"/>
        <v>62</v>
      </c>
      <c r="FL142" s="255">
        <f t="shared" si="463"/>
        <v>63</v>
      </c>
      <c r="FM142" s="255">
        <f t="shared" si="463"/>
        <v>64</v>
      </c>
      <c r="FN142" s="255">
        <f t="shared" si="463"/>
        <v>65</v>
      </c>
      <c r="FO142" s="255">
        <f t="shared" si="463"/>
        <v>66</v>
      </c>
      <c r="FP142" s="255">
        <f t="shared" ref="FP142:GW142" si="464">FO142+1</f>
        <v>67</v>
      </c>
      <c r="FQ142" s="255">
        <f t="shared" si="464"/>
        <v>68</v>
      </c>
      <c r="FR142" s="255">
        <f t="shared" si="464"/>
        <v>69</v>
      </c>
      <c r="FS142" s="255">
        <f t="shared" si="464"/>
        <v>70</v>
      </c>
      <c r="FT142" s="255">
        <f t="shared" si="464"/>
        <v>71</v>
      </c>
      <c r="FU142" s="255">
        <f t="shared" si="464"/>
        <v>72</v>
      </c>
      <c r="FV142" s="255">
        <f t="shared" si="464"/>
        <v>73</v>
      </c>
      <c r="FW142" s="255">
        <f t="shared" si="464"/>
        <v>74</v>
      </c>
      <c r="FX142" s="255">
        <f t="shared" si="464"/>
        <v>75</v>
      </c>
      <c r="FY142" s="255">
        <f t="shared" si="464"/>
        <v>76</v>
      </c>
      <c r="FZ142" s="255">
        <f t="shared" si="464"/>
        <v>77</v>
      </c>
      <c r="GA142" s="255">
        <f t="shared" si="464"/>
        <v>78</v>
      </c>
      <c r="GB142" s="255">
        <f t="shared" si="464"/>
        <v>79</v>
      </c>
      <c r="GC142" s="255">
        <f t="shared" si="464"/>
        <v>80</v>
      </c>
      <c r="GD142" s="255">
        <f t="shared" si="464"/>
        <v>81</v>
      </c>
      <c r="GE142" s="255">
        <f t="shared" si="464"/>
        <v>82</v>
      </c>
      <c r="GF142" s="255">
        <f t="shared" si="464"/>
        <v>83</v>
      </c>
      <c r="GG142" s="255">
        <f t="shared" si="464"/>
        <v>84</v>
      </c>
      <c r="GH142" s="255">
        <f t="shared" si="464"/>
        <v>85</v>
      </c>
      <c r="GI142" s="255">
        <f t="shared" si="464"/>
        <v>86</v>
      </c>
      <c r="GJ142" s="255">
        <f t="shared" si="464"/>
        <v>87</v>
      </c>
      <c r="GK142" s="255">
        <f t="shared" si="464"/>
        <v>88</v>
      </c>
      <c r="GL142" s="255">
        <f t="shared" si="464"/>
        <v>89</v>
      </c>
      <c r="GM142" s="255">
        <f t="shared" si="464"/>
        <v>90</v>
      </c>
      <c r="GN142" s="255">
        <f t="shared" si="464"/>
        <v>91</v>
      </c>
      <c r="GO142" s="255">
        <f t="shared" si="464"/>
        <v>92</v>
      </c>
      <c r="GP142" s="255">
        <f t="shared" si="464"/>
        <v>93</v>
      </c>
      <c r="GQ142" s="255">
        <f t="shared" si="464"/>
        <v>94</v>
      </c>
      <c r="GR142" s="255">
        <f t="shared" si="464"/>
        <v>95</v>
      </c>
      <c r="GS142" s="255">
        <f t="shared" si="464"/>
        <v>96</v>
      </c>
      <c r="GT142" s="255">
        <f t="shared" si="464"/>
        <v>97</v>
      </c>
      <c r="GU142" s="255">
        <f t="shared" si="464"/>
        <v>98</v>
      </c>
      <c r="GV142" s="255">
        <f t="shared" si="464"/>
        <v>99</v>
      </c>
      <c r="GW142" s="255">
        <f t="shared" si="464"/>
        <v>100</v>
      </c>
    </row>
    <row r="143" spans="1:205" s="131" customFormat="1" ht="9" customHeight="1">
      <c r="A143" s="259" t="s">
        <v>48</v>
      </c>
      <c r="B143" s="143">
        <f>LINEST(E143:CZ143, DB143:GW143, TRUE, FALSE)-1</f>
        <v>0.93515832898767015</v>
      </c>
      <c r="C143" s="143">
        <f>RSQ(E143:CZ143, DB143:GW143)</f>
        <v>0.95112162378487453</v>
      </c>
      <c r="D143" s="60"/>
      <c r="E143" s="143">
        <f>E139</f>
        <v>6.0050222250400473</v>
      </c>
      <c r="F143" s="143">
        <f t="shared" ref="F143:X143" si="465">E143</f>
        <v>6.0050222250400473</v>
      </c>
      <c r="G143" s="143">
        <f t="shared" si="465"/>
        <v>6.0050222250400473</v>
      </c>
      <c r="H143" s="143">
        <f t="shared" si="465"/>
        <v>6.0050222250400473</v>
      </c>
      <c r="I143" s="143">
        <f t="shared" si="465"/>
        <v>6.0050222250400473</v>
      </c>
      <c r="J143" s="143">
        <f t="shared" si="465"/>
        <v>6.0050222250400473</v>
      </c>
      <c r="K143" s="143">
        <f t="shared" si="465"/>
        <v>6.0050222250400473</v>
      </c>
      <c r="L143" s="143">
        <f t="shared" si="465"/>
        <v>6.0050222250400473</v>
      </c>
      <c r="M143" s="143">
        <f t="shared" si="465"/>
        <v>6.0050222250400473</v>
      </c>
      <c r="N143" s="143">
        <f t="shared" si="465"/>
        <v>6.0050222250400473</v>
      </c>
      <c r="O143" s="143">
        <f t="shared" si="465"/>
        <v>6.0050222250400473</v>
      </c>
      <c r="P143" s="143">
        <f t="shared" si="465"/>
        <v>6.0050222250400473</v>
      </c>
      <c r="Q143" s="143">
        <f t="shared" si="465"/>
        <v>6.0050222250400473</v>
      </c>
      <c r="R143" s="143">
        <f t="shared" si="465"/>
        <v>6.0050222250400473</v>
      </c>
      <c r="S143" s="143">
        <f t="shared" si="465"/>
        <v>6.0050222250400473</v>
      </c>
      <c r="T143" s="143">
        <f t="shared" si="465"/>
        <v>6.0050222250400473</v>
      </c>
      <c r="U143" s="143">
        <f t="shared" si="465"/>
        <v>6.0050222250400473</v>
      </c>
      <c r="V143" s="143">
        <f t="shared" si="465"/>
        <v>6.0050222250400473</v>
      </c>
      <c r="W143" s="143">
        <f t="shared" si="465"/>
        <v>6.0050222250400473</v>
      </c>
      <c r="X143" s="143">
        <f t="shared" si="465"/>
        <v>6.0050222250400473</v>
      </c>
      <c r="Y143" s="143">
        <f>F139</f>
        <v>8.3493187703691696</v>
      </c>
      <c r="Z143" s="143">
        <f t="shared" ref="Z143:AR143" si="466">Y143</f>
        <v>8.3493187703691696</v>
      </c>
      <c r="AA143" s="143">
        <f t="shared" si="466"/>
        <v>8.3493187703691696</v>
      </c>
      <c r="AB143" s="143">
        <f t="shared" si="466"/>
        <v>8.3493187703691696</v>
      </c>
      <c r="AC143" s="143">
        <f t="shared" si="466"/>
        <v>8.3493187703691696</v>
      </c>
      <c r="AD143" s="143">
        <f t="shared" si="466"/>
        <v>8.3493187703691696</v>
      </c>
      <c r="AE143" s="143">
        <f t="shared" si="466"/>
        <v>8.3493187703691696</v>
      </c>
      <c r="AF143" s="143">
        <f t="shared" si="466"/>
        <v>8.3493187703691696</v>
      </c>
      <c r="AG143" s="143">
        <f t="shared" si="466"/>
        <v>8.3493187703691696</v>
      </c>
      <c r="AH143" s="143">
        <f t="shared" si="466"/>
        <v>8.3493187703691696</v>
      </c>
      <c r="AI143" s="143">
        <f t="shared" si="466"/>
        <v>8.3493187703691696</v>
      </c>
      <c r="AJ143" s="143">
        <f t="shared" si="466"/>
        <v>8.3493187703691696</v>
      </c>
      <c r="AK143" s="143">
        <f t="shared" si="466"/>
        <v>8.3493187703691696</v>
      </c>
      <c r="AL143" s="143">
        <f t="shared" si="466"/>
        <v>8.3493187703691696</v>
      </c>
      <c r="AM143" s="143">
        <f t="shared" si="466"/>
        <v>8.3493187703691696</v>
      </c>
      <c r="AN143" s="143">
        <f t="shared" si="466"/>
        <v>8.3493187703691696</v>
      </c>
      <c r="AO143" s="143">
        <f t="shared" si="466"/>
        <v>8.3493187703691696</v>
      </c>
      <c r="AP143" s="143">
        <f t="shared" si="466"/>
        <v>8.3493187703691696</v>
      </c>
      <c r="AQ143" s="143">
        <f t="shared" si="466"/>
        <v>8.3493187703691696</v>
      </c>
      <c r="AR143" s="143">
        <f t="shared" si="466"/>
        <v>8.3493187703691696</v>
      </c>
      <c r="AS143" s="143">
        <f>G139</f>
        <v>9.2797171697540026</v>
      </c>
      <c r="AT143" s="143">
        <f t="shared" ref="AT143:BL143" si="467">AS143</f>
        <v>9.2797171697540026</v>
      </c>
      <c r="AU143" s="143">
        <f t="shared" si="467"/>
        <v>9.2797171697540026</v>
      </c>
      <c r="AV143" s="143">
        <f t="shared" si="467"/>
        <v>9.2797171697540026</v>
      </c>
      <c r="AW143" s="143">
        <f t="shared" si="467"/>
        <v>9.2797171697540026</v>
      </c>
      <c r="AX143" s="143">
        <f t="shared" si="467"/>
        <v>9.2797171697540026</v>
      </c>
      <c r="AY143" s="143">
        <f t="shared" si="467"/>
        <v>9.2797171697540026</v>
      </c>
      <c r="AZ143" s="143">
        <f t="shared" si="467"/>
        <v>9.2797171697540026</v>
      </c>
      <c r="BA143" s="143">
        <f t="shared" si="467"/>
        <v>9.2797171697540026</v>
      </c>
      <c r="BB143" s="143">
        <f t="shared" si="467"/>
        <v>9.2797171697540026</v>
      </c>
      <c r="BC143" s="143">
        <f t="shared" si="467"/>
        <v>9.2797171697540026</v>
      </c>
      <c r="BD143" s="143">
        <f t="shared" si="467"/>
        <v>9.2797171697540026</v>
      </c>
      <c r="BE143" s="143">
        <f t="shared" si="467"/>
        <v>9.2797171697540026</v>
      </c>
      <c r="BF143" s="143">
        <f t="shared" si="467"/>
        <v>9.2797171697540026</v>
      </c>
      <c r="BG143" s="143">
        <f t="shared" si="467"/>
        <v>9.2797171697540026</v>
      </c>
      <c r="BH143" s="143">
        <f t="shared" si="467"/>
        <v>9.2797171697540026</v>
      </c>
      <c r="BI143" s="143">
        <f t="shared" si="467"/>
        <v>9.2797171697540026</v>
      </c>
      <c r="BJ143" s="143">
        <f t="shared" si="467"/>
        <v>9.2797171697540026</v>
      </c>
      <c r="BK143" s="143">
        <f t="shared" si="467"/>
        <v>9.2797171697540026</v>
      </c>
      <c r="BL143" s="143">
        <f t="shared" si="467"/>
        <v>9.2797171697540026</v>
      </c>
      <c r="BM143" s="143">
        <f>H139</f>
        <v>9.9386442495206087</v>
      </c>
      <c r="BN143" s="143">
        <f t="shared" ref="BN143:CF143" si="468">BM143</f>
        <v>9.9386442495206087</v>
      </c>
      <c r="BO143" s="143">
        <f t="shared" si="468"/>
        <v>9.9386442495206087</v>
      </c>
      <c r="BP143" s="143">
        <f t="shared" si="468"/>
        <v>9.9386442495206087</v>
      </c>
      <c r="BQ143" s="143">
        <f t="shared" si="468"/>
        <v>9.9386442495206087</v>
      </c>
      <c r="BR143" s="143">
        <f t="shared" si="468"/>
        <v>9.9386442495206087</v>
      </c>
      <c r="BS143" s="143">
        <f t="shared" si="468"/>
        <v>9.9386442495206087</v>
      </c>
      <c r="BT143" s="143">
        <f t="shared" si="468"/>
        <v>9.9386442495206087</v>
      </c>
      <c r="BU143" s="143">
        <f t="shared" si="468"/>
        <v>9.9386442495206087</v>
      </c>
      <c r="BV143" s="143">
        <f t="shared" si="468"/>
        <v>9.9386442495206087</v>
      </c>
      <c r="BW143" s="143">
        <f t="shared" si="468"/>
        <v>9.9386442495206087</v>
      </c>
      <c r="BX143" s="143">
        <f t="shared" si="468"/>
        <v>9.9386442495206087</v>
      </c>
      <c r="BY143" s="143">
        <f t="shared" si="468"/>
        <v>9.9386442495206087</v>
      </c>
      <c r="BZ143" s="143">
        <f t="shared" si="468"/>
        <v>9.9386442495206087</v>
      </c>
      <c r="CA143" s="143">
        <f t="shared" si="468"/>
        <v>9.9386442495206087</v>
      </c>
      <c r="CB143" s="143">
        <f t="shared" si="468"/>
        <v>9.9386442495206087</v>
      </c>
      <c r="CC143" s="143">
        <f t="shared" si="468"/>
        <v>9.9386442495206087</v>
      </c>
      <c r="CD143" s="143">
        <f t="shared" si="468"/>
        <v>9.9386442495206087</v>
      </c>
      <c r="CE143" s="143">
        <f t="shared" si="468"/>
        <v>9.9386442495206087</v>
      </c>
      <c r="CF143" s="143">
        <f t="shared" si="468"/>
        <v>9.9386442495206087</v>
      </c>
      <c r="CG143" s="143">
        <f>I139</f>
        <v>10.483640711782828</v>
      </c>
      <c r="CH143" s="143">
        <f t="shared" ref="CH143:CP143" si="469">CG143</f>
        <v>10.483640711782828</v>
      </c>
      <c r="CI143" s="143">
        <f t="shared" si="469"/>
        <v>10.483640711782828</v>
      </c>
      <c r="CJ143" s="143">
        <f t="shared" si="469"/>
        <v>10.483640711782828</v>
      </c>
      <c r="CK143" s="143">
        <f t="shared" si="469"/>
        <v>10.483640711782828</v>
      </c>
      <c r="CL143" s="143">
        <f t="shared" si="469"/>
        <v>10.483640711782828</v>
      </c>
      <c r="CM143" s="143">
        <f t="shared" si="469"/>
        <v>10.483640711782828</v>
      </c>
      <c r="CN143" s="143">
        <f t="shared" si="469"/>
        <v>10.483640711782828</v>
      </c>
      <c r="CO143" s="143">
        <f t="shared" si="469"/>
        <v>10.483640711782828</v>
      </c>
      <c r="CP143" s="143">
        <f t="shared" si="469"/>
        <v>10.483640711782828</v>
      </c>
      <c r="CQ143" s="143">
        <f>J139</f>
        <v>10.893922027352794</v>
      </c>
      <c r="CR143" s="143">
        <f>CQ143</f>
        <v>10.893922027352794</v>
      </c>
      <c r="CS143" s="143">
        <f>CR143</f>
        <v>10.893922027352794</v>
      </c>
      <c r="CT143" s="143">
        <f>CS143</f>
        <v>10.893922027352794</v>
      </c>
      <c r="CU143" s="143">
        <f>CT143</f>
        <v>10.893922027352794</v>
      </c>
      <c r="CV143" s="143">
        <f>K139</f>
        <v>11.530730215486081</v>
      </c>
      <c r="CW143" s="143">
        <f>CV143</f>
        <v>11.530730215486081</v>
      </c>
      <c r="CX143" s="143">
        <f>CW143</f>
        <v>11.530730215486081</v>
      </c>
      <c r="CY143" s="143">
        <f>CX143</f>
        <v>11.530730215486081</v>
      </c>
      <c r="CZ143" s="143">
        <f>L139</f>
        <v>13.406517794991803</v>
      </c>
      <c r="DA143" s="60"/>
      <c r="DB143" s="143">
        <f>N139</f>
        <v>9.87302834505142</v>
      </c>
      <c r="DC143" s="143">
        <f t="shared" ref="DC143:DU143" si="470">DB143</f>
        <v>9.87302834505142</v>
      </c>
      <c r="DD143" s="143">
        <f t="shared" si="470"/>
        <v>9.87302834505142</v>
      </c>
      <c r="DE143" s="143">
        <f t="shared" si="470"/>
        <v>9.87302834505142</v>
      </c>
      <c r="DF143" s="143">
        <f t="shared" si="470"/>
        <v>9.87302834505142</v>
      </c>
      <c r="DG143" s="143">
        <f t="shared" si="470"/>
        <v>9.87302834505142</v>
      </c>
      <c r="DH143" s="143">
        <f t="shared" si="470"/>
        <v>9.87302834505142</v>
      </c>
      <c r="DI143" s="143">
        <f t="shared" si="470"/>
        <v>9.87302834505142</v>
      </c>
      <c r="DJ143" s="143">
        <f t="shared" si="470"/>
        <v>9.87302834505142</v>
      </c>
      <c r="DK143" s="143">
        <f t="shared" si="470"/>
        <v>9.87302834505142</v>
      </c>
      <c r="DL143" s="143">
        <f t="shared" si="470"/>
        <v>9.87302834505142</v>
      </c>
      <c r="DM143" s="143">
        <f t="shared" si="470"/>
        <v>9.87302834505142</v>
      </c>
      <c r="DN143" s="143">
        <f t="shared" si="470"/>
        <v>9.87302834505142</v>
      </c>
      <c r="DO143" s="143">
        <f t="shared" si="470"/>
        <v>9.87302834505142</v>
      </c>
      <c r="DP143" s="143">
        <f t="shared" si="470"/>
        <v>9.87302834505142</v>
      </c>
      <c r="DQ143" s="143">
        <f t="shared" si="470"/>
        <v>9.87302834505142</v>
      </c>
      <c r="DR143" s="143">
        <f t="shared" si="470"/>
        <v>9.87302834505142</v>
      </c>
      <c r="DS143" s="143">
        <f t="shared" si="470"/>
        <v>9.87302834505142</v>
      </c>
      <c r="DT143" s="143">
        <f t="shared" si="470"/>
        <v>9.87302834505142</v>
      </c>
      <c r="DU143" s="143">
        <f t="shared" si="470"/>
        <v>9.87302834505142</v>
      </c>
      <c r="DV143" s="143">
        <f>O139</f>
        <v>10.661954199216716</v>
      </c>
      <c r="DW143" s="143">
        <f t="shared" ref="DW143:EO143" si="471">DV143</f>
        <v>10.661954199216716</v>
      </c>
      <c r="DX143" s="143">
        <f t="shared" si="471"/>
        <v>10.661954199216716</v>
      </c>
      <c r="DY143" s="143">
        <f t="shared" si="471"/>
        <v>10.661954199216716</v>
      </c>
      <c r="DZ143" s="143">
        <f t="shared" si="471"/>
        <v>10.661954199216716</v>
      </c>
      <c r="EA143" s="143">
        <f t="shared" si="471"/>
        <v>10.661954199216716</v>
      </c>
      <c r="EB143" s="143">
        <f t="shared" si="471"/>
        <v>10.661954199216716</v>
      </c>
      <c r="EC143" s="143">
        <f t="shared" si="471"/>
        <v>10.661954199216716</v>
      </c>
      <c r="ED143" s="143">
        <f t="shared" si="471"/>
        <v>10.661954199216716</v>
      </c>
      <c r="EE143" s="143">
        <f t="shared" si="471"/>
        <v>10.661954199216716</v>
      </c>
      <c r="EF143" s="143">
        <f t="shared" si="471"/>
        <v>10.661954199216716</v>
      </c>
      <c r="EG143" s="143">
        <f t="shared" si="471"/>
        <v>10.661954199216716</v>
      </c>
      <c r="EH143" s="143">
        <f t="shared" si="471"/>
        <v>10.661954199216716</v>
      </c>
      <c r="EI143" s="143">
        <f t="shared" si="471"/>
        <v>10.661954199216716</v>
      </c>
      <c r="EJ143" s="143">
        <f t="shared" si="471"/>
        <v>10.661954199216716</v>
      </c>
      <c r="EK143" s="143">
        <f t="shared" si="471"/>
        <v>10.661954199216716</v>
      </c>
      <c r="EL143" s="143">
        <f t="shared" si="471"/>
        <v>10.661954199216716</v>
      </c>
      <c r="EM143" s="143">
        <f t="shared" si="471"/>
        <v>10.661954199216716</v>
      </c>
      <c r="EN143" s="143">
        <f t="shared" si="471"/>
        <v>10.661954199216716</v>
      </c>
      <c r="EO143" s="143">
        <f t="shared" si="471"/>
        <v>10.661954199216716</v>
      </c>
      <c r="EP143" s="143">
        <f>P139</f>
        <v>11.150519846322512</v>
      </c>
      <c r="EQ143" s="143">
        <f t="shared" ref="EQ143:FI143" si="472">EP143</f>
        <v>11.150519846322512</v>
      </c>
      <c r="ER143" s="143">
        <f t="shared" si="472"/>
        <v>11.150519846322512</v>
      </c>
      <c r="ES143" s="143">
        <f t="shared" si="472"/>
        <v>11.150519846322512</v>
      </c>
      <c r="ET143" s="143">
        <f t="shared" si="472"/>
        <v>11.150519846322512</v>
      </c>
      <c r="EU143" s="143">
        <f t="shared" si="472"/>
        <v>11.150519846322512</v>
      </c>
      <c r="EV143" s="143">
        <f t="shared" si="472"/>
        <v>11.150519846322512</v>
      </c>
      <c r="EW143" s="143">
        <f t="shared" si="472"/>
        <v>11.150519846322512</v>
      </c>
      <c r="EX143" s="143">
        <f t="shared" si="472"/>
        <v>11.150519846322512</v>
      </c>
      <c r="EY143" s="143">
        <f t="shared" si="472"/>
        <v>11.150519846322512</v>
      </c>
      <c r="EZ143" s="143">
        <f t="shared" si="472"/>
        <v>11.150519846322512</v>
      </c>
      <c r="FA143" s="143">
        <f t="shared" si="472"/>
        <v>11.150519846322512</v>
      </c>
      <c r="FB143" s="143">
        <f t="shared" si="472"/>
        <v>11.150519846322512</v>
      </c>
      <c r="FC143" s="143">
        <f t="shared" si="472"/>
        <v>11.150519846322512</v>
      </c>
      <c r="FD143" s="143">
        <f t="shared" si="472"/>
        <v>11.150519846322512</v>
      </c>
      <c r="FE143" s="143">
        <f t="shared" si="472"/>
        <v>11.150519846322512</v>
      </c>
      <c r="FF143" s="143">
        <f t="shared" si="472"/>
        <v>11.150519846322512</v>
      </c>
      <c r="FG143" s="143">
        <f t="shared" si="472"/>
        <v>11.150519846322512</v>
      </c>
      <c r="FH143" s="143">
        <f t="shared" si="472"/>
        <v>11.150519846322512</v>
      </c>
      <c r="FI143" s="143">
        <f t="shared" si="472"/>
        <v>11.150519846322512</v>
      </c>
      <c r="FJ143" s="143">
        <f>Q139</f>
        <v>11.569305798406337</v>
      </c>
      <c r="FK143" s="143">
        <f t="shared" ref="FK143:GC143" si="473">FJ143</f>
        <v>11.569305798406337</v>
      </c>
      <c r="FL143" s="143">
        <f t="shared" si="473"/>
        <v>11.569305798406337</v>
      </c>
      <c r="FM143" s="143">
        <f t="shared" si="473"/>
        <v>11.569305798406337</v>
      </c>
      <c r="FN143" s="143">
        <f t="shared" si="473"/>
        <v>11.569305798406337</v>
      </c>
      <c r="FO143" s="143">
        <f t="shared" si="473"/>
        <v>11.569305798406337</v>
      </c>
      <c r="FP143" s="143">
        <f t="shared" si="473"/>
        <v>11.569305798406337</v>
      </c>
      <c r="FQ143" s="143">
        <f t="shared" si="473"/>
        <v>11.569305798406337</v>
      </c>
      <c r="FR143" s="143">
        <f t="shared" si="473"/>
        <v>11.569305798406337</v>
      </c>
      <c r="FS143" s="143">
        <f t="shared" si="473"/>
        <v>11.569305798406337</v>
      </c>
      <c r="FT143" s="143">
        <f t="shared" si="473"/>
        <v>11.569305798406337</v>
      </c>
      <c r="FU143" s="143">
        <f t="shared" si="473"/>
        <v>11.569305798406337</v>
      </c>
      <c r="FV143" s="143">
        <f t="shared" si="473"/>
        <v>11.569305798406337</v>
      </c>
      <c r="FW143" s="143">
        <f t="shared" si="473"/>
        <v>11.569305798406337</v>
      </c>
      <c r="FX143" s="143">
        <f t="shared" si="473"/>
        <v>11.569305798406337</v>
      </c>
      <c r="FY143" s="143">
        <f t="shared" si="473"/>
        <v>11.569305798406337</v>
      </c>
      <c r="FZ143" s="143">
        <f t="shared" si="473"/>
        <v>11.569305798406337</v>
      </c>
      <c r="GA143" s="143">
        <f t="shared" si="473"/>
        <v>11.569305798406337</v>
      </c>
      <c r="GB143" s="143">
        <f t="shared" si="473"/>
        <v>11.569305798406337</v>
      </c>
      <c r="GC143" s="143">
        <f t="shared" si="473"/>
        <v>11.569305798406337</v>
      </c>
      <c r="GD143" s="143">
        <f>R139</f>
        <v>11.939499536288627</v>
      </c>
      <c r="GE143" s="143">
        <f t="shared" ref="GE143:GM143" si="474">GD143</f>
        <v>11.939499536288627</v>
      </c>
      <c r="GF143" s="143">
        <f t="shared" si="474"/>
        <v>11.939499536288627</v>
      </c>
      <c r="GG143" s="143">
        <f t="shared" si="474"/>
        <v>11.939499536288627</v>
      </c>
      <c r="GH143" s="143">
        <f t="shared" si="474"/>
        <v>11.939499536288627</v>
      </c>
      <c r="GI143" s="143">
        <f t="shared" si="474"/>
        <v>11.939499536288627</v>
      </c>
      <c r="GJ143" s="143">
        <f t="shared" si="474"/>
        <v>11.939499536288627</v>
      </c>
      <c r="GK143" s="143">
        <f t="shared" si="474"/>
        <v>11.939499536288627</v>
      </c>
      <c r="GL143" s="143">
        <f t="shared" si="474"/>
        <v>11.939499536288627</v>
      </c>
      <c r="GM143" s="143">
        <f t="shared" si="474"/>
        <v>11.939499536288627</v>
      </c>
      <c r="GN143" s="143">
        <f>S139</f>
        <v>12.251046011172905</v>
      </c>
      <c r="GO143" s="143">
        <f>GN143</f>
        <v>12.251046011172905</v>
      </c>
      <c r="GP143" s="143">
        <f>GO143</f>
        <v>12.251046011172905</v>
      </c>
      <c r="GQ143" s="143">
        <f>GP143</f>
        <v>12.251046011172905</v>
      </c>
      <c r="GR143" s="143">
        <f>GQ143</f>
        <v>12.251046011172905</v>
      </c>
      <c r="GS143" s="143">
        <f>T139</f>
        <v>12.755926656263643</v>
      </c>
      <c r="GT143" s="143">
        <f>GS143</f>
        <v>12.755926656263643</v>
      </c>
      <c r="GU143" s="143">
        <f>GT143</f>
        <v>12.755926656263643</v>
      </c>
      <c r="GV143" s="143">
        <f>GU143</f>
        <v>12.755926656263643</v>
      </c>
      <c r="GW143" s="143">
        <f>U139</f>
        <v>14.40185173420641</v>
      </c>
    </row>
    <row r="145" spans="1:205" s="149" customFormat="1" ht="13.5" customHeight="1">
      <c r="A145" s="270" t="s">
        <v>279</v>
      </c>
      <c r="B145" s="107"/>
      <c r="C145" s="107"/>
      <c r="D145" s="107"/>
      <c r="E145" s="107"/>
      <c r="F145" s="107"/>
      <c r="G145" s="107"/>
      <c r="H145" s="107"/>
      <c r="I145" s="107"/>
      <c r="J145" s="107"/>
      <c r="K145" s="107"/>
      <c r="L145" s="107"/>
      <c r="M145" s="143"/>
      <c r="N145" s="143"/>
      <c r="O145" s="143"/>
      <c r="P145" s="143"/>
      <c r="Q145" s="143"/>
      <c r="R145" s="143"/>
      <c r="T145" s="143"/>
      <c r="U145" s="143"/>
    </row>
    <row r="146" spans="1:205" s="131" customFormat="1">
      <c r="A146" s="144"/>
      <c r="B146" s="729" t="s">
        <v>188</v>
      </c>
      <c r="C146" s="729" t="s">
        <v>255</v>
      </c>
      <c r="D146" s="120"/>
      <c r="E146" s="731" t="s">
        <v>204</v>
      </c>
      <c r="F146" s="731"/>
      <c r="G146" s="731"/>
      <c r="H146" s="731"/>
      <c r="I146" s="731"/>
      <c r="J146" s="731"/>
      <c r="K146" s="731"/>
      <c r="L146" s="731"/>
      <c r="M146" s="134"/>
      <c r="N146" s="736" t="s">
        <v>205</v>
      </c>
      <c r="O146" s="736"/>
      <c r="P146" s="736"/>
      <c r="Q146" s="736"/>
      <c r="R146" s="736"/>
      <c r="S146" s="736"/>
      <c r="T146" s="736"/>
      <c r="U146" s="736"/>
      <c r="V146" s="134"/>
      <c r="W146" s="736" t="s">
        <v>466</v>
      </c>
      <c r="X146" s="736"/>
      <c r="Y146" s="736"/>
      <c r="Z146" s="736"/>
      <c r="AA146" s="736"/>
      <c r="AB146" s="736"/>
      <c r="AC146" s="736"/>
      <c r="AD146" s="736"/>
      <c r="AE146" s="120"/>
      <c r="AF146" s="732" t="s">
        <v>624</v>
      </c>
      <c r="AG146" s="732"/>
      <c r="AH146" s="732"/>
      <c r="AI146" s="732"/>
      <c r="AJ146" s="732"/>
      <c r="AK146" s="732"/>
      <c r="AL146" s="732"/>
      <c r="AM146" s="732"/>
      <c r="AN146" s="120"/>
      <c r="AO146" s="731" t="s">
        <v>207</v>
      </c>
      <c r="AP146" s="731"/>
      <c r="AQ146" s="731"/>
      <c r="AR146" s="731"/>
      <c r="AS146" s="731"/>
      <c r="AT146" s="731"/>
      <c r="AU146" s="731"/>
      <c r="AV146" s="731"/>
    </row>
    <row r="147" spans="1:205" s="131" customFormat="1">
      <c r="A147" s="53"/>
      <c r="B147" s="730"/>
      <c r="C147" s="730"/>
      <c r="D147" s="6"/>
      <c r="E147" s="6" t="s">
        <v>158</v>
      </c>
      <c r="F147" s="6" t="s">
        <v>159</v>
      </c>
      <c r="G147" s="6" t="s">
        <v>160</v>
      </c>
      <c r="H147" s="6" t="s">
        <v>161</v>
      </c>
      <c r="I147" s="51" t="s">
        <v>33</v>
      </c>
      <c r="J147" s="51" t="s">
        <v>51</v>
      </c>
      <c r="K147" s="51" t="s">
        <v>52</v>
      </c>
      <c r="L147" s="51" t="s">
        <v>28</v>
      </c>
      <c r="M147" s="5"/>
      <c r="N147" s="6" t="s">
        <v>158</v>
      </c>
      <c r="O147" s="6" t="s">
        <v>159</v>
      </c>
      <c r="P147" s="6" t="s">
        <v>160</v>
      </c>
      <c r="Q147" s="6" t="s">
        <v>161</v>
      </c>
      <c r="R147" s="51" t="s">
        <v>33</v>
      </c>
      <c r="S147" s="51" t="s">
        <v>51</v>
      </c>
      <c r="T147" s="51" t="s">
        <v>52</v>
      </c>
      <c r="U147" s="51" t="s">
        <v>28</v>
      </c>
      <c r="V147" s="5"/>
      <c r="W147" s="6" t="s">
        <v>158</v>
      </c>
      <c r="X147" s="6" t="s">
        <v>159</v>
      </c>
      <c r="Y147" s="6" t="s">
        <v>160</v>
      </c>
      <c r="Z147" s="6" t="s">
        <v>161</v>
      </c>
      <c r="AA147" s="51" t="s">
        <v>33</v>
      </c>
      <c r="AB147" s="51" t="s">
        <v>51</v>
      </c>
      <c r="AC147" s="51" t="s">
        <v>52</v>
      </c>
      <c r="AD147" s="51" t="s">
        <v>28</v>
      </c>
      <c r="AF147" s="6" t="s">
        <v>158</v>
      </c>
      <c r="AG147" s="6" t="s">
        <v>159</v>
      </c>
      <c r="AH147" s="6" t="s">
        <v>160</v>
      </c>
      <c r="AI147" s="6" t="s">
        <v>161</v>
      </c>
      <c r="AJ147" s="51" t="s">
        <v>33</v>
      </c>
      <c r="AK147" s="51" t="s">
        <v>51</v>
      </c>
      <c r="AL147" s="51" t="s">
        <v>52</v>
      </c>
      <c r="AM147" s="51" t="s">
        <v>28</v>
      </c>
      <c r="AN147" s="6"/>
      <c r="AO147" s="6" t="s">
        <v>158</v>
      </c>
      <c r="AP147" s="6" t="s">
        <v>159</v>
      </c>
      <c r="AQ147" s="6" t="s">
        <v>160</v>
      </c>
      <c r="AR147" s="6" t="s">
        <v>161</v>
      </c>
      <c r="AS147" s="51" t="s">
        <v>33</v>
      </c>
      <c r="AT147" s="51" t="s">
        <v>51</v>
      </c>
      <c r="AU147" s="51" t="s">
        <v>52</v>
      </c>
      <c r="AV147" s="51" t="s">
        <v>28</v>
      </c>
      <c r="AX147" s="103"/>
    </row>
    <row r="148" spans="1:205" s="149" customFormat="1" ht="10.5" customHeight="1">
      <c r="A148" s="259" t="s">
        <v>48</v>
      </c>
      <c r="B148" s="158">
        <f>B152</f>
        <v>0.93515832898766926</v>
      </c>
      <c r="C148" s="158">
        <f>C152</f>
        <v>0.95112162378486809</v>
      </c>
      <c r="D148" s="131"/>
      <c r="E148" s="143">
        <f t="shared" ref="E148:L148" si="475">LN(AO148)</f>
        <v>5.8043515295778967</v>
      </c>
      <c r="F148" s="143">
        <f t="shared" si="475"/>
        <v>8.1486480749070171</v>
      </c>
      <c r="G148" s="143">
        <f t="shared" si="475"/>
        <v>9.079046474291852</v>
      </c>
      <c r="H148" s="143">
        <f t="shared" si="475"/>
        <v>9.737973554058458</v>
      </c>
      <c r="I148" s="143">
        <f t="shared" si="475"/>
        <v>10.282970016320677</v>
      </c>
      <c r="J148" s="143">
        <f t="shared" si="475"/>
        <v>10.693251331890643</v>
      </c>
      <c r="K148" s="143">
        <f t="shared" si="475"/>
        <v>11.330059520023928</v>
      </c>
      <c r="L148" s="143">
        <f t="shared" si="475"/>
        <v>13.205847099529651</v>
      </c>
      <c r="M148" s="46"/>
      <c r="N148" s="143">
        <f t="shared" ref="N148:U148" si="476">LN(AF148)</f>
        <v>9.87302834505142</v>
      </c>
      <c r="O148" s="143">
        <f t="shared" si="476"/>
        <v>10.661954199216716</v>
      </c>
      <c r="P148" s="143">
        <f t="shared" si="476"/>
        <v>11.150519846322512</v>
      </c>
      <c r="Q148" s="143">
        <f t="shared" si="476"/>
        <v>11.569305798406337</v>
      </c>
      <c r="R148" s="143">
        <f t="shared" si="476"/>
        <v>11.939499536288627</v>
      </c>
      <c r="S148" s="143">
        <f t="shared" si="476"/>
        <v>12.251046011172905</v>
      </c>
      <c r="T148" s="143">
        <f t="shared" si="476"/>
        <v>12.755926656263643</v>
      </c>
      <c r="U148" s="143">
        <f t="shared" si="476"/>
        <v>14.40185173420641</v>
      </c>
      <c r="V148" s="131"/>
      <c r="W148" s="246">
        <f t="shared" ref="W148:AD148" si="477">W$69*0.9</f>
        <v>1.71</v>
      </c>
      <c r="X148" s="246">
        <f t="shared" si="477"/>
        <v>8.1</v>
      </c>
      <c r="Y148" s="246">
        <f t="shared" si="477"/>
        <v>12.6</v>
      </c>
      <c r="Z148" s="246">
        <f t="shared" si="477"/>
        <v>16.02</v>
      </c>
      <c r="AA148" s="246">
        <f t="shared" si="477"/>
        <v>19.079999999999998</v>
      </c>
      <c r="AB148" s="246">
        <f t="shared" si="477"/>
        <v>21.06</v>
      </c>
      <c r="AC148" s="246">
        <f t="shared" si="477"/>
        <v>24.03</v>
      </c>
      <c r="AD148" s="246">
        <f t="shared" si="477"/>
        <v>30.240000000000002</v>
      </c>
      <c r="AE148" s="131"/>
      <c r="AF148" s="60">
        <f>AF$69</f>
        <v>19400</v>
      </c>
      <c r="AG148" s="60">
        <f t="shared" ref="AG148:AM148" si="478">AG$69</f>
        <v>42700</v>
      </c>
      <c r="AH148" s="60">
        <f t="shared" si="478"/>
        <v>69600</v>
      </c>
      <c r="AI148" s="60">
        <f t="shared" si="478"/>
        <v>105800</v>
      </c>
      <c r="AJ148" s="60">
        <f t="shared" si="478"/>
        <v>153200</v>
      </c>
      <c r="AK148" s="60">
        <f t="shared" si="478"/>
        <v>209200</v>
      </c>
      <c r="AL148" s="60">
        <f t="shared" si="478"/>
        <v>346600</v>
      </c>
      <c r="AM148" s="60">
        <f t="shared" si="478"/>
        <v>1797400</v>
      </c>
      <c r="AN148" s="131"/>
      <c r="AO148" s="60">
        <f t="shared" ref="AO148:AV148" si="479">W148*AF148/100</f>
        <v>331.74</v>
      </c>
      <c r="AP148" s="60">
        <f t="shared" si="479"/>
        <v>3458.7</v>
      </c>
      <c r="AQ148" s="60">
        <f t="shared" si="479"/>
        <v>8769.6</v>
      </c>
      <c r="AR148" s="60">
        <f t="shared" si="479"/>
        <v>16949.16</v>
      </c>
      <c r="AS148" s="60">
        <f t="shared" si="479"/>
        <v>29230.559999999994</v>
      </c>
      <c r="AT148" s="60">
        <f t="shared" si="479"/>
        <v>44057.52</v>
      </c>
      <c r="AU148" s="60">
        <f t="shared" si="479"/>
        <v>83287.98</v>
      </c>
      <c r="AV148" s="60">
        <f t="shared" si="479"/>
        <v>543533.76</v>
      </c>
    </row>
    <row r="149" spans="1:205" s="149" customFormat="1" ht="9" customHeight="1">
      <c r="A149" s="259"/>
      <c r="E149" s="143"/>
      <c r="F149" s="143"/>
      <c r="G149" s="143"/>
      <c r="H149" s="143"/>
      <c r="I149" s="143"/>
      <c r="J149" s="143"/>
      <c r="K149" s="143"/>
      <c r="L149" s="143"/>
      <c r="M149" s="143"/>
      <c r="N149" s="143"/>
      <c r="O149" s="143"/>
      <c r="P149" s="143"/>
      <c r="Q149" s="143"/>
      <c r="R149" s="143"/>
      <c r="S149" s="143"/>
      <c r="T149" s="143"/>
      <c r="U149" s="143"/>
    </row>
    <row r="150" spans="1:205" s="131" customFormat="1">
      <c r="A150" s="256"/>
      <c r="E150" s="745" t="s">
        <v>158</v>
      </c>
      <c r="F150" s="745"/>
      <c r="G150" s="745"/>
      <c r="H150" s="745"/>
      <c r="I150" s="745"/>
      <c r="J150" s="745"/>
      <c r="K150" s="745"/>
      <c r="L150" s="745"/>
      <c r="M150" s="745"/>
      <c r="N150" s="745"/>
      <c r="O150" s="745"/>
      <c r="P150" s="745"/>
      <c r="Q150" s="745"/>
      <c r="R150" s="745"/>
      <c r="S150" s="745"/>
      <c r="T150" s="745"/>
      <c r="U150" s="745"/>
      <c r="V150" s="745"/>
      <c r="W150" s="745"/>
      <c r="X150" s="745"/>
      <c r="Y150" s="745" t="s">
        <v>159</v>
      </c>
      <c r="Z150" s="745"/>
      <c r="AA150" s="745"/>
      <c r="AB150" s="745"/>
      <c r="AC150" s="745"/>
      <c r="AD150" s="745"/>
      <c r="AE150" s="745"/>
      <c r="AF150" s="745"/>
      <c r="AG150" s="745"/>
      <c r="AH150" s="745"/>
      <c r="AI150" s="745"/>
      <c r="AJ150" s="745"/>
      <c r="AK150" s="745"/>
      <c r="AL150" s="745"/>
      <c r="AM150" s="745"/>
      <c r="AN150" s="745"/>
      <c r="AO150" s="745"/>
      <c r="AP150" s="745"/>
      <c r="AQ150" s="745"/>
      <c r="AR150" s="745"/>
      <c r="AS150" s="745" t="s">
        <v>160</v>
      </c>
      <c r="AT150" s="745"/>
      <c r="AU150" s="745"/>
      <c r="AV150" s="745"/>
      <c r="AW150" s="745"/>
      <c r="AX150" s="745"/>
      <c r="AY150" s="745"/>
      <c r="AZ150" s="745"/>
      <c r="BA150" s="745"/>
      <c r="BB150" s="745"/>
      <c r="BC150" s="745"/>
      <c r="BD150" s="745"/>
      <c r="BE150" s="745"/>
      <c r="BF150" s="745"/>
      <c r="BG150" s="745"/>
      <c r="BH150" s="745"/>
      <c r="BI150" s="745"/>
      <c r="BJ150" s="745"/>
      <c r="BK150" s="745"/>
      <c r="BL150" s="745"/>
      <c r="BM150" s="745" t="s">
        <v>161</v>
      </c>
      <c r="BN150" s="745"/>
      <c r="BO150" s="745"/>
      <c r="BP150" s="745"/>
      <c r="BQ150" s="745"/>
      <c r="BR150" s="745"/>
      <c r="BS150" s="745"/>
      <c r="BT150" s="745"/>
      <c r="BU150" s="745"/>
      <c r="BV150" s="745"/>
      <c r="BW150" s="745"/>
      <c r="BX150" s="745"/>
      <c r="BY150" s="745"/>
      <c r="BZ150" s="745"/>
      <c r="CA150" s="745"/>
      <c r="CB150" s="745"/>
      <c r="CC150" s="745"/>
      <c r="CD150" s="745"/>
      <c r="CE150" s="745"/>
      <c r="CF150" s="745"/>
      <c r="CG150" s="746" t="s">
        <v>33</v>
      </c>
      <c r="CH150" s="746"/>
      <c r="CI150" s="746"/>
      <c r="CJ150" s="746"/>
      <c r="CK150" s="746"/>
      <c r="CL150" s="746"/>
      <c r="CM150" s="746"/>
      <c r="CN150" s="746"/>
      <c r="CO150" s="746"/>
      <c r="CP150" s="746"/>
      <c r="CQ150" s="746" t="s">
        <v>51</v>
      </c>
      <c r="CR150" s="746"/>
      <c r="CS150" s="746"/>
      <c r="CT150" s="746"/>
      <c r="CU150" s="746"/>
      <c r="CV150" s="746" t="s">
        <v>52</v>
      </c>
      <c r="CW150" s="746"/>
      <c r="CX150" s="746"/>
      <c r="CY150" s="746"/>
      <c r="CZ150" s="251" t="s">
        <v>28</v>
      </c>
      <c r="DB150" s="745" t="s">
        <v>158</v>
      </c>
      <c r="DC150" s="745"/>
      <c r="DD150" s="745"/>
      <c r="DE150" s="745"/>
      <c r="DF150" s="745"/>
      <c r="DG150" s="745"/>
      <c r="DH150" s="745"/>
      <c r="DI150" s="745"/>
      <c r="DJ150" s="745"/>
      <c r="DK150" s="745"/>
      <c r="DL150" s="745"/>
      <c r="DM150" s="745"/>
      <c r="DN150" s="745"/>
      <c r="DO150" s="745"/>
      <c r="DP150" s="745"/>
      <c r="DQ150" s="745"/>
      <c r="DR150" s="745"/>
      <c r="DS150" s="745"/>
      <c r="DT150" s="745"/>
      <c r="DU150" s="745"/>
      <c r="DV150" s="745" t="s">
        <v>159</v>
      </c>
      <c r="DW150" s="745"/>
      <c r="DX150" s="745"/>
      <c r="DY150" s="745"/>
      <c r="DZ150" s="745"/>
      <c r="EA150" s="745"/>
      <c r="EB150" s="745"/>
      <c r="EC150" s="745"/>
      <c r="ED150" s="745"/>
      <c r="EE150" s="745"/>
      <c r="EF150" s="745"/>
      <c r="EG150" s="745"/>
      <c r="EH150" s="745"/>
      <c r="EI150" s="745"/>
      <c r="EJ150" s="745"/>
      <c r="EK150" s="745"/>
      <c r="EL150" s="745"/>
      <c r="EM150" s="745"/>
      <c r="EN150" s="745"/>
      <c r="EO150" s="745"/>
      <c r="EP150" s="745" t="s">
        <v>160</v>
      </c>
      <c r="EQ150" s="745"/>
      <c r="ER150" s="745"/>
      <c r="ES150" s="745"/>
      <c r="ET150" s="745"/>
      <c r="EU150" s="745"/>
      <c r="EV150" s="745"/>
      <c r="EW150" s="745"/>
      <c r="EX150" s="745"/>
      <c r="EY150" s="745"/>
      <c r="EZ150" s="745"/>
      <c r="FA150" s="745"/>
      <c r="FB150" s="745"/>
      <c r="FC150" s="745"/>
      <c r="FD150" s="745"/>
      <c r="FE150" s="745"/>
      <c r="FF150" s="745"/>
      <c r="FG150" s="745"/>
      <c r="FH150" s="745"/>
      <c r="FI150" s="745"/>
      <c r="FJ150" s="745" t="s">
        <v>161</v>
      </c>
      <c r="FK150" s="745"/>
      <c r="FL150" s="745"/>
      <c r="FM150" s="745"/>
      <c r="FN150" s="745"/>
      <c r="FO150" s="745"/>
      <c r="FP150" s="745"/>
      <c r="FQ150" s="745"/>
      <c r="FR150" s="745"/>
      <c r="FS150" s="745"/>
      <c r="FT150" s="745"/>
      <c r="FU150" s="745"/>
      <c r="FV150" s="745"/>
      <c r="FW150" s="745"/>
      <c r="FX150" s="745"/>
      <c r="FY150" s="745"/>
      <c r="FZ150" s="745"/>
      <c r="GA150" s="745"/>
      <c r="GB150" s="745"/>
      <c r="GC150" s="745"/>
      <c r="GD150" s="746" t="s">
        <v>33</v>
      </c>
      <c r="GE150" s="746"/>
      <c r="GF150" s="746"/>
      <c r="GG150" s="746"/>
      <c r="GH150" s="746"/>
      <c r="GI150" s="746"/>
      <c r="GJ150" s="746"/>
      <c r="GK150" s="746"/>
      <c r="GL150" s="746"/>
      <c r="GM150" s="746"/>
      <c r="GN150" s="746" t="s">
        <v>51</v>
      </c>
      <c r="GO150" s="746"/>
      <c r="GP150" s="746"/>
      <c r="GQ150" s="746"/>
      <c r="GR150" s="746"/>
      <c r="GS150" s="746" t="s">
        <v>52</v>
      </c>
      <c r="GT150" s="746"/>
      <c r="GU150" s="746"/>
      <c r="GV150" s="746"/>
      <c r="GW150" s="251" t="s">
        <v>28</v>
      </c>
    </row>
    <row r="151" spans="1:205" s="46" customFormat="1">
      <c r="A151" s="15"/>
      <c r="E151" s="255">
        <v>1</v>
      </c>
      <c r="F151" s="255">
        <f>E151+1</f>
        <v>2</v>
      </c>
      <c r="G151" s="255">
        <f t="shared" ref="G151:BR151" si="480">F151+1</f>
        <v>3</v>
      </c>
      <c r="H151" s="255">
        <f t="shared" si="480"/>
        <v>4</v>
      </c>
      <c r="I151" s="255">
        <f t="shared" si="480"/>
        <v>5</v>
      </c>
      <c r="J151" s="255">
        <f t="shared" si="480"/>
        <v>6</v>
      </c>
      <c r="K151" s="255">
        <f t="shared" si="480"/>
        <v>7</v>
      </c>
      <c r="L151" s="255">
        <f t="shared" si="480"/>
        <v>8</v>
      </c>
      <c r="M151" s="255">
        <f t="shared" si="480"/>
        <v>9</v>
      </c>
      <c r="N151" s="255">
        <f t="shared" si="480"/>
        <v>10</v>
      </c>
      <c r="O151" s="255">
        <f t="shared" si="480"/>
        <v>11</v>
      </c>
      <c r="P151" s="255">
        <f t="shared" si="480"/>
        <v>12</v>
      </c>
      <c r="Q151" s="255">
        <f t="shared" si="480"/>
        <v>13</v>
      </c>
      <c r="R151" s="255">
        <f t="shared" si="480"/>
        <v>14</v>
      </c>
      <c r="S151" s="255">
        <f t="shared" si="480"/>
        <v>15</v>
      </c>
      <c r="T151" s="255">
        <f t="shared" si="480"/>
        <v>16</v>
      </c>
      <c r="U151" s="255">
        <f t="shared" si="480"/>
        <v>17</v>
      </c>
      <c r="V151" s="255">
        <f t="shared" si="480"/>
        <v>18</v>
      </c>
      <c r="W151" s="255">
        <f t="shared" si="480"/>
        <v>19</v>
      </c>
      <c r="X151" s="255">
        <f t="shared" si="480"/>
        <v>20</v>
      </c>
      <c r="Y151" s="255">
        <f t="shared" si="480"/>
        <v>21</v>
      </c>
      <c r="Z151" s="255">
        <f t="shared" si="480"/>
        <v>22</v>
      </c>
      <c r="AA151" s="255">
        <f t="shared" si="480"/>
        <v>23</v>
      </c>
      <c r="AB151" s="255">
        <f t="shared" si="480"/>
        <v>24</v>
      </c>
      <c r="AC151" s="255">
        <f t="shared" si="480"/>
        <v>25</v>
      </c>
      <c r="AD151" s="255">
        <f t="shared" si="480"/>
        <v>26</v>
      </c>
      <c r="AE151" s="255">
        <f t="shared" si="480"/>
        <v>27</v>
      </c>
      <c r="AF151" s="255">
        <f t="shared" si="480"/>
        <v>28</v>
      </c>
      <c r="AG151" s="255">
        <f t="shared" si="480"/>
        <v>29</v>
      </c>
      <c r="AH151" s="255">
        <f t="shared" si="480"/>
        <v>30</v>
      </c>
      <c r="AI151" s="255">
        <f t="shared" si="480"/>
        <v>31</v>
      </c>
      <c r="AJ151" s="255">
        <f t="shared" si="480"/>
        <v>32</v>
      </c>
      <c r="AK151" s="255">
        <f t="shared" si="480"/>
        <v>33</v>
      </c>
      <c r="AL151" s="255">
        <f t="shared" si="480"/>
        <v>34</v>
      </c>
      <c r="AM151" s="255">
        <f t="shared" si="480"/>
        <v>35</v>
      </c>
      <c r="AN151" s="255">
        <f t="shared" si="480"/>
        <v>36</v>
      </c>
      <c r="AO151" s="255">
        <f t="shared" si="480"/>
        <v>37</v>
      </c>
      <c r="AP151" s="255">
        <f t="shared" si="480"/>
        <v>38</v>
      </c>
      <c r="AQ151" s="255">
        <f t="shared" si="480"/>
        <v>39</v>
      </c>
      <c r="AR151" s="255">
        <f t="shared" si="480"/>
        <v>40</v>
      </c>
      <c r="AS151" s="255">
        <f t="shared" si="480"/>
        <v>41</v>
      </c>
      <c r="AT151" s="255">
        <f t="shared" si="480"/>
        <v>42</v>
      </c>
      <c r="AU151" s="255">
        <f t="shared" si="480"/>
        <v>43</v>
      </c>
      <c r="AV151" s="255">
        <f t="shared" si="480"/>
        <v>44</v>
      </c>
      <c r="AW151" s="255">
        <f t="shared" si="480"/>
        <v>45</v>
      </c>
      <c r="AX151" s="255">
        <f t="shared" si="480"/>
        <v>46</v>
      </c>
      <c r="AY151" s="255">
        <f t="shared" si="480"/>
        <v>47</v>
      </c>
      <c r="AZ151" s="255">
        <f t="shared" si="480"/>
        <v>48</v>
      </c>
      <c r="BA151" s="255">
        <f t="shared" si="480"/>
        <v>49</v>
      </c>
      <c r="BB151" s="255">
        <f t="shared" si="480"/>
        <v>50</v>
      </c>
      <c r="BC151" s="255">
        <f t="shared" si="480"/>
        <v>51</v>
      </c>
      <c r="BD151" s="255">
        <f t="shared" si="480"/>
        <v>52</v>
      </c>
      <c r="BE151" s="255">
        <f t="shared" si="480"/>
        <v>53</v>
      </c>
      <c r="BF151" s="255">
        <f t="shared" si="480"/>
        <v>54</v>
      </c>
      <c r="BG151" s="255">
        <f t="shared" si="480"/>
        <v>55</v>
      </c>
      <c r="BH151" s="255">
        <f t="shared" si="480"/>
        <v>56</v>
      </c>
      <c r="BI151" s="255">
        <f t="shared" si="480"/>
        <v>57</v>
      </c>
      <c r="BJ151" s="255">
        <f t="shared" si="480"/>
        <v>58</v>
      </c>
      <c r="BK151" s="255">
        <f t="shared" si="480"/>
        <v>59</v>
      </c>
      <c r="BL151" s="255">
        <f t="shared" si="480"/>
        <v>60</v>
      </c>
      <c r="BM151" s="255">
        <f t="shared" si="480"/>
        <v>61</v>
      </c>
      <c r="BN151" s="255">
        <f t="shared" si="480"/>
        <v>62</v>
      </c>
      <c r="BO151" s="255">
        <f t="shared" si="480"/>
        <v>63</v>
      </c>
      <c r="BP151" s="255">
        <f t="shared" si="480"/>
        <v>64</v>
      </c>
      <c r="BQ151" s="255">
        <f t="shared" si="480"/>
        <v>65</v>
      </c>
      <c r="BR151" s="255">
        <f t="shared" si="480"/>
        <v>66</v>
      </c>
      <c r="BS151" s="255">
        <f t="shared" ref="BS151:CZ151" si="481">BR151+1</f>
        <v>67</v>
      </c>
      <c r="BT151" s="255">
        <f t="shared" si="481"/>
        <v>68</v>
      </c>
      <c r="BU151" s="255">
        <f t="shared" si="481"/>
        <v>69</v>
      </c>
      <c r="BV151" s="255">
        <f t="shared" si="481"/>
        <v>70</v>
      </c>
      <c r="BW151" s="255">
        <f t="shared" si="481"/>
        <v>71</v>
      </c>
      <c r="BX151" s="255">
        <f t="shared" si="481"/>
        <v>72</v>
      </c>
      <c r="BY151" s="255">
        <f t="shared" si="481"/>
        <v>73</v>
      </c>
      <c r="BZ151" s="255">
        <f t="shared" si="481"/>
        <v>74</v>
      </c>
      <c r="CA151" s="255">
        <f t="shared" si="481"/>
        <v>75</v>
      </c>
      <c r="CB151" s="255">
        <f t="shared" si="481"/>
        <v>76</v>
      </c>
      <c r="CC151" s="255">
        <f t="shared" si="481"/>
        <v>77</v>
      </c>
      <c r="CD151" s="255">
        <f t="shared" si="481"/>
        <v>78</v>
      </c>
      <c r="CE151" s="255">
        <f t="shared" si="481"/>
        <v>79</v>
      </c>
      <c r="CF151" s="255">
        <f t="shared" si="481"/>
        <v>80</v>
      </c>
      <c r="CG151" s="255">
        <f t="shared" si="481"/>
        <v>81</v>
      </c>
      <c r="CH151" s="255">
        <f t="shared" si="481"/>
        <v>82</v>
      </c>
      <c r="CI151" s="255">
        <f t="shared" si="481"/>
        <v>83</v>
      </c>
      <c r="CJ151" s="255">
        <f t="shared" si="481"/>
        <v>84</v>
      </c>
      <c r="CK151" s="255">
        <f t="shared" si="481"/>
        <v>85</v>
      </c>
      <c r="CL151" s="255">
        <f t="shared" si="481"/>
        <v>86</v>
      </c>
      <c r="CM151" s="255">
        <f t="shared" si="481"/>
        <v>87</v>
      </c>
      <c r="CN151" s="255">
        <f t="shared" si="481"/>
        <v>88</v>
      </c>
      <c r="CO151" s="255">
        <f t="shared" si="481"/>
        <v>89</v>
      </c>
      <c r="CP151" s="255">
        <f t="shared" si="481"/>
        <v>90</v>
      </c>
      <c r="CQ151" s="255">
        <f t="shared" si="481"/>
        <v>91</v>
      </c>
      <c r="CR151" s="255">
        <f t="shared" si="481"/>
        <v>92</v>
      </c>
      <c r="CS151" s="255">
        <f t="shared" si="481"/>
        <v>93</v>
      </c>
      <c r="CT151" s="255">
        <f t="shared" si="481"/>
        <v>94</v>
      </c>
      <c r="CU151" s="255">
        <f t="shared" si="481"/>
        <v>95</v>
      </c>
      <c r="CV151" s="255">
        <f t="shared" si="481"/>
        <v>96</v>
      </c>
      <c r="CW151" s="255">
        <f t="shared" si="481"/>
        <v>97</v>
      </c>
      <c r="CX151" s="255">
        <f t="shared" si="481"/>
        <v>98</v>
      </c>
      <c r="CY151" s="255">
        <f t="shared" si="481"/>
        <v>99</v>
      </c>
      <c r="CZ151" s="255">
        <f t="shared" si="481"/>
        <v>100</v>
      </c>
      <c r="DB151" s="255">
        <v>1</v>
      </c>
      <c r="DC151" s="255">
        <f>DB151+1</f>
        <v>2</v>
      </c>
      <c r="DD151" s="255">
        <f t="shared" ref="DD151:FO151" si="482">DC151+1</f>
        <v>3</v>
      </c>
      <c r="DE151" s="255">
        <f t="shared" si="482"/>
        <v>4</v>
      </c>
      <c r="DF151" s="255">
        <f t="shared" si="482"/>
        <v>5</v>
      </c>
      <c r="DG151" s="255">
        <f t="shared" si="482"/>
        <v>6</v>
      </c>
      <c r="DH151" s="255">
        <f t="shared" si="482"/>
        <v>7</v>
      </c>
      <c r="DI151" s="255">
        <f t="shared" si="482"/>
        <v>8</v>
      </c>
      <c r="DJ151" s="255">
        <f t="shared" si="482"/>
        <v>9</v>
      </c>
      <c r="DK151" s="255">
        <f t="shared" si="482"/>
        <v>10</v>
      </c>
      <c r="DL151" s="255">
        <f t="shared" si="482"/>
        <v>11</v>
      </c>
      <c r="DM151" s="255">
        <f t="shared" si="482"/>
        <v>12</v>
      </c>
      <c r="DN151" s="255">
        <f t="shared" si="482"/>
        <v>13</v>
      </c>
      <c r="DO151" s="255">
        <f t="shared" si="482"/>
        <v>14</v>
      </c>
      <c r="DP151" s="255">
        <f t="shared" si="482"/>
        <v>15</v>
      </c>
      <c r="DQ151" s="255">
        <f t="shared" si="482"/>
        <v>16</v>
      </c>
      <c r="DR151" s="255">
        <f t="shared" si="482"/>
        <v>17</v>
      </c>
      <c r="DS151" s="255">
        <f t="shared" si="482"/>
        <v>18</v>
      </c>
      <c r="DT151" s="255">
        <f t="shared" si="482"/>
        <v>19</v>
      </c>
      <c r="DU151" s="255">
        <f t="shared" si="482"/>
        <v>20</v>
      </c>
      <c r="DV151" s="255">
        <f t="shared" si="482"/>
        <v>21</v>
      </c>
      <c r="DW151" s="255">
        <f t="shared" si="482"/>
        <v>22</v>
      </c>
      <c r="DX151" s="255">
        <f t="shared" si="482"/>
        <v>23</v>
      </c>
      <c r="DY151" s="255">
        <f t="shared" si="482"/>
        <v>24</v>
      </c>
      <c r="DZ151" s="255">
        <f t="shared" si="482"/>
        <v>25</v>
      </c>
      <c r="EA151" s="255">
        <f t="shared" si="482"/>
        <v>26</v>
      </c>
      <c r="EB151" s="255">
        <f t="shared" si="482"/>
        <v>27</v>
      </c>
      <c r="EC151" s="255">
        <f t="shared" si="482"/>
        <v>28</v>
      </c>
      <c r="ED151" s="255">
        <f t="shared" si="482"/>
        <v>29</v>
      </c>
      <c r="EE151" s="255">
        <f t="shared" si="482"/>
        <v>30</v>
      </c>
      <c r="EF151" s="255">
        <f t="shared" si="482"/>
        <v>31</v>
      </c>
      <c r="EG151" s="255">
        <f t="shared" si="482"/>
        <v>32</v>
      </c>
      <c r="EH151" s="255">
        <f t="shared" si="482"/>
        <v>33</v>
      </c>
      <c r="EI151" s="255">
        <f t="shared" si="482"/>
        <v>34</v>
      </c>
      <c r="EJ151" s="255">
        <f t="shared" si="482"/>
        <v>35</v>
      </c>
      <c r="EK151" s="255">
        <f t="shared" si="482"/>
        <v>36</v>
      </c>
      <c r="EL151" s="255">
        <f t="shared" si="482"/>
        <v>37</v>
      </c>
      <c r="EM151" s="255">
        <f t="shared" si="482"/>
        <v>38</v>
      </c>
      <c r="EN151" s="255">
        <f t="shared" si="482"/>
        <v>39</v>
      </c>
      <c r="EO151" s="255">
        <f t="shared" si="482"/>
        <v>40</v>
      </c>
      <c r="EP151" s="255">
        <f t="shared" si="482"/>
        <v>41</v>
      </c>
      <c r="EQ151" s="255">
        <f t="shared" si="482"/>
        <v>42</v>
      </c>
      <c r="ER151" s="255">
        <f t="shared" si="482"/>
        <v>43</v>
      </c>
      <c r="ES151" s="255">
        <f t="shared" si="482"/>
        <v>44</v>
      </c>
      <c r="ET151" s="255">
        <f t="shared" si="482"/>
        <v>45</v>
      </c>
      <c r="EU151" s="255">
        <f t="shared" si="482"/>
        <v>46</v>
      </c>
      <c r="EV151" s="255">
        <f t="shared" si="482"/>
        <v>47</v>
      </c>
      <c r="EW151" s="255">
        <f t="shared" si="482"/>
        <v>48</v>
      </c>
      <c r="EX151" s="255">
        <f t="shared" si="482"/>
        <v>49</v>
      </c>
      <c r="EY151" s="255">
        <f t="shared" si="482"/>
        <v>50</v>
      </c>
      <c r="EZ151" s="255">
        <f t="shared" si="482"/>
        <v>51</v>
      </c>
      <c r="FA151" s="255">
        <f t="shared" si="482"/>
        <v>52</v>
      </c>
      <c r="FB151" s="255">
        <f t="shared" si="482"/>
        <v>53</v>
      </c>
      <c r="FC151" s="255">
        <f t="shared" si="482"/>
        <v>54</v>
      </c>
      <c r="FD151" s="255">
        <f t="shared" si="482"/>
        <v>55</v>
      </c>
      <c r="FE151" s="255">
        <f t="shared" si="482"/>
        <v>56</v>
      </c>
      <c r="FF151" s="255">
        <f t="shared" si="482"/>
        <v>57</v>
      </c>
      <c r="FG151" s="255">
        <f t="shared" si="482"/>
        <v>58</v>
      </c>
      <c r="FH151" s="255">
        <f t="shared" si="482"/>
        <v>59</v>
      </c>
      <c r="FI151" s="255">
        <f t="shared" si="482"/>
        <v>60</v>
      </c>
      <c r="FJ151" s="255">
        <f t="shared" si="482"/>
        <v>61</v>
      </c>
      <c r="FK151" s="255">
        <f t="shared" si="482"/>
        <v>62</v>
      </c>
      <c r="FL151" s="255">
        <f t="shared" si="482"/>
        <v>63</v>
      </c>
      <c r="FM151" s="255">
        <f t="shared" si="482"/>
        <v>64</v>
      </c>
      <c r="FN151" s="255">
        <f t="shared" si="482"/>
        <v>65</v>
      </c>
      <c r="FO151" s="255">
        <f t="shared" si="482"/>
        <v>66</v>
      </c>
      <c r="FP151" s="255">
        <f t="shared" ref="FP151:GW151" si="483">FO151+1</f>
        <v>67</v>
      </c>
      <c r="FQ151" s="255">
        <f t="shared" si="483"/>
        <v>68</v>
      </c>
      <c r="FR151" s="255">
        <f t="shared" si="483"/>
        <v>69</v>
      </c>
      <c r="FS151" s="255">
        <f t="shared" si="483"/>
        <v>70</v>
      </c>
      <c r="FT151" s="255">
        <f t="shared" si="483"/>
        <v>71</v>
      </c>
      <c r="FU151" s="255">
        <f t="shared" si="483"/>
        <v>72</v>
      </c>
      <c r="FV151" s="255">
        <f t="shared" si="483"/>
        <v>73</v>
      </c>
      <c r="FW151" s="255">
        <f t="shared" si="483"/>
        <v>74</v>
      </c>
      <c r="FX151" s="255">
        <f t="shared" si="483"/>
        <v>75</v>
      </c>
      <c r="FY151" s="255">
        <f t="shared" si="483"/>
        <v>76</v>
      </c>
      <c r="FZ151" s="255">
        <f t="shared" si="483"/>
        <v>77</v>
      </c>
      <c r="GA151" s="255">
        <f t="shared" si="483"/>
        <v>78</v>
      </c>
      <c r="GB151" s="255">
        <f t="shared" si="483"/>
        <v>79</v>
      </c>
      <c r="GC151" s="255">
        <f t="shared" si="483"/>
        <v>80</v>
      </c>
      <c r="GD151" s="255">
        <f t="shared" si="483"/>
        <v>81</v>
      </c>
      <c r="GE151" s="255">
        <f t="shared" si="483"/>
        <v>82</v>
      </c>
      <c r="GF151" s="255">
        <f t="shared" si="483"/>
        <v>83</v>
      </c>
      <c r="GG151" s="255">
        <f t="shared" si="483"/>
        <v>84</v>
      </c>
      <c r="GH151" s="255">
        <f t="shared" si="483"/>
        <v>85</v>
      </c>
      <c r="GI151" s="255">
        <f t="shared" si="483"/>
        <v>86</v>
      </c>
      <c r="GJ151" s="255">
        <f t="shared" si="483"/>
        <v>87</v>
      </c>
      <c r="GK151" s="255">
        <f t="shared" si="483"/>
        <v>88</v>
      </c>
      <c r="GL151" s="255">
        <f t="shared" si="483"/>
        <v>89</v>
      </c>
      <c r="GM151" s="255">
        <f t="shared" si="483"/>
        <v>90</v>
      </c>
      <c r="GN151" s="255">
        <f t="shared" si="483"/>
        <v>91</v>
      </c>
      <c r="GO151" s="255">
        <f t="shared" si="483"/>
        <v>92</v>
      </c>
      <c r="GP151" s="255">
        <f t="shared" si="483"/>
        <v>93</v>
      </c>
      <c r="GQ151" s="255">
        <f t="shared" si="483"/>
        <v>94</v>
      </c>
      <c r="GR151" s="255">
        <f t="shared" si="483"/>
        <v>95</v>
      </c>
      <c r="GS151" s="255">
        <f t="shared" si="483"/>
        <v>96</v>
      </c>
      <c r="GT151" s="255">
        <f t="shared" si="483"/>
        <v>97</v>
      </c>
      <c r="GU151" s="255">
        <f t="shared" si="483"/>
        <v>98</v>
      </c>
      <c r="GV151" s="255">
        <f t="shared" si="483"/>
        <v>99</v>
      </c>
      <c r="GW151" s="255">
        <f t="shared" si="483"/>
        <v>100</v>
      </c>
    </row>
    <row r="152" spans="1:205" s="131" customFormat="1" ht="9" customHeight="1">
      <c r="A152" s="259" t="s">
        <v>48</v>
      </c>
      <c r="B152" s="143">
        <f>LINEST(E152:CZ152, DB152:GW152, TRUE, FALSE)-1</f>
        <v>0.93515832898766926</v>
      </c>
      <c r="C152" s="143">
        <f>RSQ(E152:CZ152, DB152:GW152)</f>
        <v>0.95112162378486809</v>
      </c>
      <c r="D152" s="60"/>
      <c r="E152" s="143">
        <f>E148</f>
        <v>5.8043515295778967</v>
      </c>
      <c r="F152" s="143">
        <f t="shared" ref="F152:X152" si="484">E152</f>
        <v>5.8043515295778967</v>
      </c>
      <c r="G152" s="143">
        <f t="shared" si="484"/>
        <v>5.8043515295778967</v>
      </c>
      <c r="H152" s="143">
        <f t="shared" si="484"/>
        <v>5.8043515295778967</v>
      </c>
      <c r="I152" s="143">
        <f t="shared" si="484"/>
        <v>5.8043515295778967</v>
      </c>
      <c r="J152" s="143">
        <f t="shared" si="484"/>
        <v>5.8043515295778967</v>
      </c>
      <c r="K152" s="143">
        <f t="shared" si="484"/>
        <v>5.8043515295778967</v>
      </c>
      <c r="L152" s="143">
        <f t="shared" si="484"/>
        <v>5.8043515295778967</v>
      </c>
      <c r="M152" s="143">
        <f t="shared" si="484"/>
        <v>5.8043515295778967</v>
      </c>
      <c r="N152" s="143">
        <f t="shared" si="484"/>
        <v>5.8043515295778967</v>
      </c>
      <c r="O152" s="143">
        <f t="shared" si="484"/>
        <v>5.8043515295778967</v>
      </c>
      <c r="P152" s="143">
        <f t="shared" si="484"/>
        <v>5.8043515295778967</v>
      </c>
      <c r="Q152" s="143">
        <f t="shared" si="484"/>
        <v>5.8043515295778967</v>
      </c>
      <c r="R152" s="143">
        <f t="shared" si="484"/>
        <v>5.8043515295778967</v>
      </c>
      <c r="S152" s="143">
        <f t="shared" si="484"/>
        <v>5.8043515295778967</v>
      </c>
      <c r="T152" s="143">
        <f t="shared" si="484"/>
        <v>5.8043515295778967</v>
      </c>
      <c r="U152" s="143">
        <f t="shared" si="484"/>
        <v>5.8043515295778967</v>
      </c>
      <c r="V152" s="143">
        <f t="shared" si="484"/>
        <v>5.8043515295778967</v>
      </c>
      <c r="W152" s="143">
        <f t="shared" si="484"/>
        <v>5.8043515295778967</v>
      </c>
      <c r="X152" s="143">
        <f t="shared" si="484"/>
        <v>5.8043515295778967</v>
      </c>
      <c r="Y152" s="143">
        <f>F148</f>
        <v>8.1486480749070171</v>
      </c>
      <c r="Z152" s="143">
        <f t="shared" ref="Z152:AR152" si="485">Y152</f>
        <v>8.1486480749070171</v>
      </c>
      <c r="AA152" s="143">
        <f t="shared" si="485"/>
        <v>8.1486480749070171</v>
      </c>
      <c r="AB152" s="143">
        <f t="shared" si="485"/>
        <v>8.1486480749070171</v>
      </c>
      <c r="AC152" s="143">
        <f t="shared" si="485"/>
        <v>8.1486480749070171</v>
      </c>
      <c r="AD152" s="143">
        <f t="shared" si="485"/>
        <v>8.1486480749070171</v>
      </c>
      <c r="AE152" s="143">
        <f t="shared" si="485"/>
        <v>8.1486480749070171</v>
      </c>
      <c r="AF152" s="143">
        <f t="shared" si="485"/>
        <v>8.1486480749070171</v>
      </c>
      <c r="AG152" s="143">
        <f t="shared" si="485"/>
        <v>8.1486480749070171</v>
      </c>
      <c r="AH152" s="143">
        <f t="shared" si="485"/>
        <v>8.1486480749070171</v>
      </c>
      <c r="AI152" s="143">
        <f t="shared" si="485"/>
        <v>8.1486480749070171</v>
      </c>
      <c r="AJ152" s="143">
        <f t="shared" si="485"/>
        <v>8.1486480749070171</v>
      </c>
      <c r="AK152" s="143">
        <f t="shared" si="485"/>
        <v>8.1486480749070171</v>
      </c>
      <c r="AL152" s="143">
        <f t="shared" si="485"/>
        <v>8.1486480749070171</v>
      </c>
      <c r="AM152" s="143">
        <f t="shared" si="485"/>
        <v>8.1486480749070171</v>
      </c>
      <c r="AN152" s="143">
        <f t="shared" si="485"/>
        <v>8.1486480749070171</v>
      </c>
      <c r="AO152" s="143">
        <f t="shared" si="485"/>
        <v>8.1486480749070171</v>
      </c>
      <c r="AP152" s="143">
        <f t="shared" si="485"/>
        <v>8.1486480749070171</v>
      </c>
      <c r="AQ152" s="143">
        <f t="shared" si="485"/>
        <v>8.1486480749070171</v>
      </c>
      <c r="AR152" s="143">
        <f t="shared" si="485"/>
        <v>8.1486480749070171</v>
      </c>
      <c r="AS152" s="143">
        <f>G148</f>
        <v>9.079046474291852</v>
      </c>
      <c r="AT152" s="143">
        <f t="shared" ref="AT152:BL152" si="486">AS152</f>
        <v>9.079046474291852</v>
      </c>
      <c r="AU152" s="143">
        <f t="shared" si="486"/>
        <v>9.079046474291852</v>
      </c>
      <c r="AV152" s="143">
        <f t="shared" si="486"/>
        <v>9.079046474291852</v>
      </c>
      <c r="AW152" s="143">
        <f t="shared" si="486"/>
        <v>9.079046474291852</v>
      </c>
      <c r="AX152" s="143">
        <f t="shared" si="486"/>
        <v>9.079046474291852</v>
      </c>
      <c r="AY152" s="143">
        <f t="shared" si="486"/>
        <v>9.079046474291852</v>
      </c>
      <c r="AZ152" s="143">
        <f t="shared" si="486"/>
        <v>9.079046474291852</v>
      </c>
      <c r="BA152" s="143">
        <f t="shared" si="486"/>
        <v>9.079046474291852</v>
      </c>
      <c r="BB152" s="143">
        <f t="shared" si="486"/>
        <v>9.079046474291852</v>
      </c>
      <c r="BC152" s="143">
        <f t="shared" si="486"/>
        <v>9.079046474291852</v>
      </c>
      <c r="BD152" s="143">
        <f t="shared" si="486"/>
        <v>9.079046474291852</v>
      </c>
      <c r="BE152" s="143">
        <f t="shared" si="486"/>
        <v>9.079046474291852</v>
      </c>
      <c r="BF152" s="143">
        <f t="shared" si="486"/>
        <v>9.079046474291852</v>
      </c>
      <c r="BG152" s="143">
        <f t="shared" si="486"/>
        <v>9.079046474291852</v>
      </c>
      <c r="BH152" s="143">
        <f t="shared" si="486"/>
        <v>9.079046474291852</v>
      </c>
      <c r="BI152" s="143">
        <f t="shared" si="486"/>
        <v>9.079046474291852</v>
      </c>
      <c r="BJ152" s="143">
        <f t="shared" si="486"/>
        <v>9.079046474291852</v>
      </c>
      <c r="BK152" s="143">
        <f t="shared" si="486"/>
        <v>9.079046474291852</v>
      </c>
      <c r="BL152" s="143">
        <f t="shared" si="486"/>
        <v>9.079046474291852</v>
      </c>
      <c r="BM152" s="143">
        <f>H148</f>
        <v>9.737973554058458</v>
      </c>
      <c r="BN152" s="143">
        <f t="shared" ref="BN152:CF152" si="487">BM152</f>
        <v>9.737973554058458</v>
      </c>
      <c r="BO152" s="143">
        <f t="shared" si="487"/>
        <v>9.737973554058458</v>
      </c>
      <c r="BP152" s="143">
        <f t="shared" si="487"/>
        <v>9.737973554058458</v>
      </c>
      <c r="BQ152" s="143">
        <f t="shared" si="487"/>
        <v>9.737973554058458</v>
      </c>
      <c r="BR152" s="143">
        <f t="shared" si="487"/>
        <v>9.737973554058458</v>
      </c>
      <c r="BS152" s="143">
        <f t="shared" si="487"/>
        <v>9.737973554058458</v>
      </c>
      <c r="BT152" s="143">
        <f t="shared" si="487"/>
        <v>9.737973554058458</v>
      </c>
      <c r="BU152" s="143">
        <f t="shared" si="487"/>
        <v>9.737973554058458</v>
      </c>
      <c r="BV152" s="143">
        <f t="shared" si="487"/>
        <v>9.737973554058458</v>
      </c>
      <c r="BW152" s="143">
        <f t="shared" si="487"/>
        <v>9.737973554058458</v>
      </c>
      <c r="BX152" s="143">
        <f t="shared" si="487"/>
        <v>9.737973554058458</v>
      </c>
      <c r="BY152" s="143">
        <f t="shared" si="487"/>
        <v>9.737973554058458</v>
      </c>
      <c r="BZ152" s="143">
        <f t="shared" si="487"/>
        <v>9.737973554058458</v>
      </c>
      <c r="CA152" s="143">
        <f t="shared" si="487"/>
        <v>9.737973554058458</v>
      </c>
      <c r="CB152" s="143">
        <f t="shared" si="487"/>
        <v>9.737973554058458</v>
      </c>
      <c r="CC152" s="143">
        <f t="shared" si="487"/>
        <v>9.737973554058458</v>
      </c>
      <c r="CD152" s="143">
        <f t="shared" si="487"/>
        <v>9.737973554058458</v>
      </c>
      <c r="CE152" s="143">
        <f t="shared" si="487"/>
        <v>9.737973554058458</v>
      </c>
      <c r="CF152" s="143">
        <f t="shared" si="487"/>
        <v>9.737973554058458</v>
      </c>
      <c r="CG152" s="143">
        <f>I148</f>
        <v>10.282970016320677</v>
      </c>
      <c r="CH152" s="143">
        <f t="shared" ref="CH152:CP152" si="488">CG152</f>
        <v>10.282970016320677</v>
      </c>
      <c r="CI152" s="143">
        <f t="shared" si="488"/>
        <v>10.282970016320677</v>
      </c>
      <c r="CJ152" s="143">
        <f t="shared" si="488"/>
        <v>10.282970016320677</v>
      </c>
      <c r="CK152" s="143">
        <f t="shared" si="488"/>
        <v>10.282970016320677</v>
      </c>
      <c r="CL152" s="143">
        <f t="shared" si="488"/>
        <v>10.282970016320677</v>
      </c>
      <c r="CM152" s="143">
        <f t="shared" si="488"/>
        <v>10.282970016320677</v>
      </c>
      <c r="CN152" s="143">
        <f t="shared" si="488"/>
        <v>10.282970016320677</v>
      </c>
      <c r="CO152" s="143">
        <f t="shared" si="488"/>
        <v>10.282970016320677</v>
      </c>
      <c r="CP152" s="143">
        <f t="shared" si="488"/>
        <v>10.282970016320677</v>
      </c>
      <c r="CQ152" s="143">
        <f>J148</f>
        <v>10.693251331890643</v>
      </c>
      <c r="CR152" s="143">
        <f>CQ152</f>
        <v>10.693251331890643</v>
      </c>
      <c r="CS152" s="143">
        <f>CR152</f>
        <v>10.693251331890643</v>
      </c>
      <c r="CT152" s="143">
        <f>CS152</f>
        <v>10.693251331890643</v>
      </c>
      <c r="CU152" s="143">
        <f>CT152</f>
        <v>10.693251331890643</v>
      </c>
      <c r="CV152" s="143">
        <f>K148</f>
        <v>11.330059520023928</v>
      </c>
      <c r="CW152" s="143">
        <f>CV152</f>
        <v>11.330059520023928</v>
      </c>
      <c r="CX152" s="143">
        <f>CW152</f>
        <v>11.330059520023928</v>
      </c>
      <c r="CY152" s="143">
        <f>CX152</f>
        <v>11.330059520023928</v>
      </c>
      <c r="CZ152" s="143">
        <f>L148</f>
        <v>13.205847099529651</v>
      </c>
      <c r="DA152" s="60"/>
      <c r="DB152" s="143">
        <f>N148</f>
        <v>9.87302834505142</v>
      </c>
      <c r="DC152" s="143">
        <f t="shared" ref="DC152:DU152" si="489">DB152</f>
        <v>9.87302834505142</v>
      </c>
      <c r="DD152" s="143">
        <f t="shared" si="489"/>
        <v>9.87302834505142</v>
      </c>
      <c r="DE152" s="143">
        <f t="shared" si="489"/>
        <v>9.87302834505142</v>
      </c>
      <c r="DF152" s="143">
        <f t="shared" si="489"/>
        <v>9.87302834505142</v>
      </c>
      <c r="DG152" s="143">
        <f t="shared" si="489"/>
        <v>9.87302834505142</v>
      </c>
      <c r="DH152" s="143">
        <f t="shared" si="489"/>
        <v>9.87302834505142</v>
      </c>
      <c r="DI152" s="143">
        <f t="shared" si="489"/>
        <v>9.87302834505142</v>
      </c>
      <c r="DJ152" s="143">
        <f t="shared" si="489"/>
        <v>9.87302834505142</v>
      </c>
      <c r="DK152" s="143">
        <f t="shared" si="489"/>
        <v>9.87302834505142</v>
      </c>
      <c r="DL152" s="143">
        <f t="shared" si="489"/>
        <v>9.87302834505142</v>
      </c>
      <c r="DM152" s="143">
        <f t="shared" si="489"/>
        <v>9.87302834505142</v>
      </c>
      <c r="DN152" s="143">
        <f t="shared" si="489"/>
        <v>9.87302834505142</v>
      </c>
      <c r="DO152" s="143">
        <f t="shared" si="489"/>
        <v>9.87302834505142</v>
      </c>
      <c r="DP152" s="143">
        <f t="shared" si="489"/>
        <v>9.87302834505142</v>
      </c>
      <c r="DQ152" s="143">
        <f t="shared" si="489"/>
        <v>9.87302834505142</v>
      </c>
      <c r="DR152" s="143">
        <f t="shared" si="489"/>
        <v>9.87302834505142</v>
      </c>
      <c r="DS152" s="143">
        <f t="shared" si="489"/>
        <v>9.87302834505142</v>
      </c>
      <c r="DT152" s="143">
        <f t="shared" si="489"/>
        <v>9.87302834505142</v>
      </c>
      <c r="DU152" s="143">
        <f t="shared" si="489"/>
        <v>9.87302834505142</v>
      </c>
      <c r="DV152" s="143">
        <f>O148</f>
        <v>10.661954199216716</v>
      </c>
      <c r="DW152" s="143">
        <f t="shared" ref="DW152:EO152" si="490">DV152</f>
        <v>10.661954199216716</v>
      </c>
      <c r="DX152" s="143">
        <f t="shared" si="490"/>
        <v>10.661954199216716</v>
      </c>
      <c r="DY152" s="143">
        <f t="shared" si="490"/>
        <v>10.661954199216716</v>
      </c>
      <c r="DZ152" s="143">
        <f t="shared" si="490"/>
        <v>10.661954199216716</v>
      </c>
      <c r="EA152" s="143">
        <f t="shared" si="490"/>
        <v>10.661954199216716</v>
      </c>
      <c r="EB152" s="143">
        <f t="shared" si="490"/>
        <v>10.661954199216716</v>
      </c>
      <c r="EC152" s="143">
        <f t="shared" si="490"/>
        <v>10.661954199216716</v>
      </c>
      <c r="ED152" s="143">
        <f t="shared" si="490"/>
        <v>10.661954199216716</v>
      </c>
      <c r="EE152" s="143">
        <f t="shared" si="490"/>
        <v>10.661954199216716</v>
      </c>
      <c r="EF152" s="143">
        <f t="shared" si="490"/>
        <v>10.661954199216716</v>
      </c>
      <c r="EG152" s="143">
        <f t="shared" si="490"/>
        <v>10.661954199216716</v>
      </c>
      <c r="EH152" s="143">
        <f t="shared" si="490"/>
        <v>10.661954199216716</v>
      </c>
      <c r="EI152" s="143">
        <f t="shared" si="490"/>
        <v>10.661954199216716</v>
      </c>
      <c r="EJ152" s="143">
        <f t="shared" si="490"/>
        <v>10.661954199216716</v>
      </c>
      <c r="EK152" s="143">
        <f t="shared" si="490"/>
        <v>10.661954199216716</v>
      </c>
      <c r="EL152" s="143">
        <f t="shared" si="490"/>
        <v>10.661954199216716</v>
      </c>
      <c r="EM152" s="143">
        <f t="shared" si="490"/>
        <v>10.661954199216716</v>
      </c>
      <c r="EN152" s="143">
        <f t="shared" si="490"/>
        <v>10.661954199216716</v>
      </c>
      <c r="EO152" s="143">
        <f t="shared" si="490"/>
        <v>10.661954199216716</v>
      </c>
      <c r="EP152" s="143">
        <f>P148</f>
        <v>11.150519846322512</v>
      </c>
      <c r="EQ152" s="143">
        <f t="shared" ref="EQ152:FI152" si="491">EP152</f>
        <v>11.150519846322512</v>
      </c>
      <c r="ER152" s="143">
        <f t="shared" si="491"/>
        <v>11.150519846322512</v>
      </c>
      <c r="ES152" s="143">
        <f t="shared" si="491"/>
        <v>11.150519846322512</v>
      </c>
      <c r="ET152" s="143">
        <f t="shared" si="491"/>
        <v>11.150519846322512</v>
      </c>
      <c r="EU152" s="143">
        <f t="shared" si="491"/>
        <v>11.150519846322512</v>
      </c>
      <c r="EV152" s="143">
        <f t="shared" si="491"/>
        <v>11.150519846322512</v>
      </c>
      <c r="EW152" s="143">
        <f t="shared" si="491"/>
        <v>11.150519846322512</v>
      </c>
      <c r="EX152" s="143">
        <f t="shared" si="491"/>
        <v>11.150519846322512</v>
      </c>
      <c r="EY152" s="143">
        <f t="shared" si="491"/>
        <v>11.150519846322512</v>
      </c>
      <c r="EZ152" s="143">
        <f t="shared" si="491"/>
        <v>11.150519846322512</v>
      </c>
      <c r="FA152" s="143">
        <f t="shared" si="491"/>
        <v>11.150519846322512</v>
      </c>
      <c r="FB152" s="143">
        <f t="shared" si="491"/>
        <v>11.150519846322512</v>
      </c>
      <c r="FC152" s="143">
        <f t="shared" si="491"/>
        <v>11.150519846322512</v>
      </c>
      <c r="FD152" s="143">
        <f t="shared" si="491"/>
        <v>11.150519846322512</v>
      </c>
      <c r="FE152" s="143">
        <f t="shared" si="491"/>
        <v>11.150519846322512</v>
      </c>
      <c r="FF152" s="143">
        <f t="shared" si="491"/>
        <v>11.150519846322512</v>
      </c>
      <c r="FG152" s="143">
        <f t="shared" si="491"/>
        <v>11.150519846322512</v>
      </c>
      <c r="FH152" s="143">
        <f t="shared" si="491"/>
        <v>11.150519846322512</v>
      </c>
      <c r="FI152" s="143">
        <f t="shared" si="491"/>
        <v>11.150519846322512</v>
      </c>
      <c r="FJ152" s="143">
        <f>Q148</f>
        <v>11.569305798406337</v>
      </c>
      <c r="FK152" s="143">
        <f t="shared" ref="FK152:GC152" si="492">FJ152</f>
        <v>11.569305798406337</v>
      </c>
      <c r="FL152" s="143">
        <f t="shared" si="492"/>
        <v>11.569305798406337</v>
      </c>
      <c r="FM152" s="143">
        <f t="shared" si="492"/>
        <v>11.569305798406337</v>
      </c>
      <c r="FN152" s="143">
        <f t="shared" si="492"/>
        <v>11.569305798406337</v>
      </c>
      <c r="FO152" s="143">
        <f t="shared" si="492"/>
        <v>11.569305798406337</v>
      </c>
      <c r="FP152" s="143">
        <f t="shared" si="492"/>
        <v>11.569305798406337</v>
      </c>
      <c r="FQ152" s="143">
        <f t="shared" si="492"/>
        <v>11.569305798406337</v>
      </c>
      <c r="FR152" s="143">
        <f t="shared" si="492"/>
        <v>11.569305798406337</v>
      </c>
      <c r="FS152" s="143">
        <f t="shared" si="492"/>
        <v>11.569305798406337</v>
      </c>
      <c r="FT152" s="143">
        <f t="shared" si="492"/>
        <v>11.569305798406337</v>
      </c>
      <c r="FU152" s="143">
        <f t="shared" si="492"/>
        <v>11.569305798406337</v>
      </c>
      <c r="FV152" s="143">
        <f t="shared" si="492"/>
        <v>11.569305798406337</v>
      </c>
      <c r="FW152" s="143">
        <f t="shared" si="492"/>
        <v>11.569305798406337</v>
      </c>
      <c r="FX152" s="143">
        <f t="shared" si="492"/>
        <v>11.569305798406337</v>
      </c>
      <c r="FY152" s="143">
        <f t="shared" si="492"/>
        <v>11.569305798406337</v>
      </c>
      <c r="FZ152" s="143">
        <f t="shared" si="492"/>
        <v>11.569305798406337</v>
      </c>
      <c r="GA152" s="143">
        <f t="shared" si="492"/>
        <v>11.569305798406337</v>
      </c>
      <c r="GB152" s="143">
        <f t="shared" si="492"/>
        <v>11.569305798406337</v>
      </c>
      <c r="GC152" s="143">
        <f t="shared" si="492"/>
        <v>11.569305798406337</v>
      </c>
      <c r="GD152" s="143">
        <f>R148</f>
        <v>11.939499536288627</v>
      </c>
      <c r="GE152" s="143">
        <f t="shared" ref="GE152:GM152" si="493">GD152</f>
        <v>11.939499536288627</v>
      </c>
      <c r="GF152" s="143">
        <f t="shared" si="493"/>
        <v>11.939499536288627</v>
      </c>
      <c r="GG152" s="143">
        <f t="shared" si="493"/>
        <v>11.939499536288627</v>
      </c>
      <c r="GH152" s="143">
        <f t="shared" si="493"/>
        <v>11.939499536288627</v>
      </c>
      <c r="GI152" s="143">
        <f t="shared" si="493"/>
        <v>11.939499536288627</v>
      </c>
      <c r="GJ152" s="143">
        <f t="shared" si="493"/>
        <v>11.939499536288627</v>
      </c>
      <c r="GK152" s="143">
        <f t="shared" si="493"/>
        <v>11.939499536288627</v>
      </c>
      <c r="GL152" s="143">
        <f t="shared" si="493"/>
        <v>11.939499536288627</v>
      </c>
      <c r="GM152" s="143">
        <f t="shared" si="493"/>
        <v>11.939499536288627</v>
      </c>
      <c r="GN152" s="143">
        <f>S148</f>
        <v>12.251046011172905</v>
      </c>
      <c r="GO152" s="143">
        <f>GN152</f>
        <v>12.251046011172905</v>
      </c>
      <c r="GP152" s="143">
        <f>GO152</f>
        <v>12.251046011172905</v>
      </c>
      <c r="GQ152" s="143">
        <f>GP152</f>
        <v>12.251046011172905</v>
      </c>
      <c r="GR152" s="143">
        <f>GQ152</f>
        <v>12.251046011172905</v>
      </c>
      <c r="GS152" s="143">
        <f>T148</f>
        <v>12.755926656263643</v>
      </c>
      <c r="GT152" s="143">
        <f>GS152</f>
        <v>12.755926656263643</v>
      </c>
      <c r="GU152" s="143">
        <f>GT152</f>
        <v>12.755926656263643</v>
      </c>
      <c r="GV152" s="143">
        <f>GU152</f>
        <v>12.755926656263643</v>
      </c>
      <c r="GW152" s="143">
        <f>U148</f>
        <v>14.40185173420641</v>
      </c>
    </row>
    <row r="154" spans="1:205" s="149" customFormat="1" ht="13.5" customHeight="1">
      <c r="A154" s="572" t="s">
        <v>644</v>
      </c>
      <c r="B154" s="419"/>
      <c r="C154" s="419"/>
      <c r="D154" s="419"/>
      <c r="E154" s="419"/>
      <c r="F154" s="419"/>
      <c r="G154" s="419"/>
      <c r="H154" s="419"/>
      <c r="I154" s="419"/>
      <c r="J154" s="419"/>
      <c r="K154" s="419"/>
      <c r="L154" s="419"/>
      <c r="M154" s="143"/>
      <c r="N154" s="143"/>
      <c r="O154" s="143"/>
      <c r="P154" s="143"/>
      <c r="Q154" s="143"/>
      <c r="R154" s="143"/>
      <c r="T154" s="143"/>
      <c r="U154" s="143"/>
    </row>
    <row r="155" spans="1:205" s="556" customFormat="1">
      <c r="A155" s="144"/>
      <c r="B155" s="729" t="s">
        <v>188</v>
      </c>
      <c r="C155" s="729" t="s">
        <v>255</v>
      </c>
      <c r="D155" s="486"/>
      <c r="E155" s="731" t="s">
        <v>204</v>
      </c>
      <c r="F155" s="731"/>
      <c r="G155" s="731"/>
      <c r="H155" s="731"/>
      <c r="I155" s="731"/>
      <c r="J155" s="731"/>
      <c r="K155" s="731"/>
      <c r="L155" s="731"/>
      <c r="M155" s="134"/>
      <c r="N155" s="736" t="s">
        <v>205</v>
      </c>
      <c r="O155" s="736"/>
      <c r="P155" s="736"/>
      <c r="Q155" s="736"/>
      <c r="R155" s="736"/>
      <c r="S155" s="736"/>
      <c r="T155" s="736"/>
      <c r="U155" s="736"/>
      <c r="V155" s="134"/>
      <c r="W155" s="736" t="s">
        <v>466</v>
      </c>
      <c r="X155" s="736"/>
      <c r="Y155" s="736"/>
      <c r="Z155" s="736"/>
      <c r="AA155" s="736"/>
      <c r="AB155" s="736"/>
      <c r="AC155" s="736"/>
      <c r="AD155" s="736"/>
      <c r="AE155" s="486"/>
      <c r="AF155" s="732" t="s">
        <v>624</v>
      </c>
      <c r="AG155" s="732"/>
      <c r="AH155" s="732"/>
      <c r="AI155" s="732"/>
      <c r="AJ155" s="732"/>
      <c r="AK155" s="732"/>
      <c r="AL155" s="732"/>
      <c r="AM155" s="732"/>
      <c r="AN155" s="486"/>
      <c r="AO155" s="731" t="s">
        <v>207</v>
      </c>
      <c r="AP155" s="731"/>
      <c r="AQ155" s="731"/>
      <c r="AR155" s="731"/>
      <c r="AS155" s="731"/>
      <c r="AT155" s="731"/>
      <c r="AU155" s="731"/>
      <c r="AV155" s="731"/>
    </row>
    <row r="156" spans="1:205" s="556" customFormat="1">
      <c r="A156" s="53"/>
      <c r="B156" s="730"/>
      <c r="C156" s="730"/>
      <c r="D156" s="6"/>
      <c r="E156" s="6" t="s">
        <v>158</v>
      </c>
      <c r="F156" s="6" t="s">
        <v>159</v>
      </c>
      <c r="G156" s="6" t="s">
        <v>160</v>
      </c>
      <c r="H156" s="6" t="s">
        <v>161</v>
      </c>
      <c r="I156" s="51" t="s">
        <v>33</v>
      </c>
      <c r="J156" s="51" t="s">
        <v>51</v>
      </c>
      <c r="K156" s="51" t="s">
        <v>52</v>
      </c>
      <c r="L156" s="51" t="s">
        <v>28</v>
      </c>
      <c r="M156" s="5"/>
      <c r="N156" s="6" t="s">
        <v>158</v>
      </c>
      <c r="O156" s="6" t="s">
        <v>159</v>
      </c>
      <c r="P156" s="6" t="s">
        <v>160</v>
      </c>
      <c r="Q156" s="6" t="s">
        <v>161</v>
      </c>
      <c r="R156" s="51" t="s">
        <v>33</v>
      </c>
      <c r="S156" s="51" t="s">
        <v>51</v>
      </c>
      <c r="T156" s="51" t="s">
        <v>52</v>
      </c>
      <c r="U156" s="51" t="s">
        <v>28</v>
      </c>
      <c r="V156" s="5"/>
      <c r="W156" s="6" t="s">
        <v>158</v>
      </c>
      <c r="X156" s="6" t="s">
        <v>159</v>
      </c>
      <c r="Y156" s="6" t="s">
        <v>160</v>
      </c>
      <c r="Z156" s="6" t="s">
        <v>161</v>
      </c>
      <c r="AA156" s="51" t="s">
        <v>33</v>
      </c>
      <c r="AB156" s="51" t="s">
        <v>51</v>
      </c>
      <c r="AC156" s="51" t="s">
        <v>52</v>
      </c>
      <c r="AD156" s="51" t="s">
        <v>28</v>
      </c>
      <c r="AF156" s="6" t="s">
        <v>158</v>
      </c>
      <c r="AG156" s="6" t="s">
        <v>159</v>
      </c>
      <c r="AH156" s="6" t="s">
        <v>160</v>
      </c>
      <c r="AI156" s="6" t="s">
        <v>161</v>
      </c>
      <c r="AJ156" s="51" t="s">
        <v>33</v>
      </c>
      <c r="AK156" s="51" t="s">
        <v>51</v>
      </c>
      <c r="AL156" s="51" t="s">
        <v>52</v>
      </c>
      <c r="AM156" s="51" t="s">
        <v>28</v>
      </c>
      <c r="AN156" s="6"/>
      <c r="AO156" s="6" t="s">
        <v>158</v>
      </c>
      <c r="AP156" s="6" t="s">
        <v>159</v>
      </c>
      <c r="AQ156" s="6" t="s">
        <v>160</v>
      </c>
      <c r="AR156" s="6" t="s">
        <v>161</v>
      </c>
      <c r="AS156" s="51" t="s">
        <v>33</v>
      </c>
      <c r="AT156" s="51" t="s">
        <v>51</v>
      </c>
      <c r="AU156" s="51" t="s">
        <v>52</v>
      </c>
      <c r="AV156" s="51" t="s">
        <v>28</v>
      </c>
      <c r="AX156" s="103"/>
    </row>
    <row r="157" spans="1:205" s="149" customFormat="1" ht="10.5" customHeight="1">
      <c r="A157" s="259" t="s">
        <v>48</v>
      </c>
      <c r="B157" s="158">
        <f>B161</f>
        <v>0.93515832898766926</v>
      </c>
      <c r="C157" s="158">
        <f>C161</f>
        <v>0.95112162378487453</v>
      </c>
      <c r="D157" s="556"/>
      <c r="E157" s="143">
        <f t="shared" ref="E157:L157" si="494">LN(AO157)</f>
        <v>5.8043515295778967</v>
      </c>
      <c r="F157" s="143">
        <f t="shared" si="494"/>
        <v>8.1486480749070171</v>
      </c>
      <c r="G157" s="143">
        <f t="shared" si="494"/>
        <v>9.079046474291852</v>
      </c>
      <c r="H157" s="143">
        <f t="shared" si="494"/>
        <v>9.737973554058458</v>
      </c>
      <c r="I157" s="143">
        <f t="shared" si="494"/>
        <v>10.282970016320677</v>
      </c>
      <c r="J157" s="143">
        <f t="shared" si="494"/>
        <v>10.693251331890643</v>
      </c>
      <c r="K157" s="143">
        <f t="shared" si="494"/>
        <v>11.330059520023928</v>
      </c>
      <c r="L157" s="143">
        <f t="shared" si="494"/>
        <v>13.205847099529651</v>
      </c>
      <c r="M157" s="46"/>
      <c r="N157" s="143">
        <f t="shared" ref="N157:U157" si="495">LN(AF157)</f>
        <v>9.7676678293935932</v>
      </c>
      <c r="O157" s="143">
        <f t="shared" si="495"/>
        <v>10.556593683558889</v>
      </c>
      <c r="P157" s="143">
        <f t="shared" si="495"/>
        <v>11.045159330664685</v>
      </c>
      <c r="Q157" s="143">
        <f t="shared" si="495"/>
        <v>11.46394528274851</v>
      </c>
      <c r="R157" s="143">
        <f t="shared" si="495"/>
        <v>11.834139020630802</v>
      </c>
      <c r="S157" s="143">
        <f t="shared" si="495"/>
        <v>12.145685495515078</v>
      </c>
      <c r="T157" s="143">
        <f t="shared" si="495"/>
        <v>12.650566140605816</v>
      </c>
      <c r="U157" s="143">
        <f t="shared" si="495"/>
        <v>14.296491218548583</v>
      </c>
      <c r="V157" s="556"/>
      <c r="W157" s="573">
        <f>W69</f>
        <v>1.9</v>
      </c>
      <c r="X157" s="573">
        <f t="shared" ref="X157:AD157" si="496">X69</f>
        <v>9</v>
      </c>
      <c r="Y157" s="573">
        <f t="shared" si="496"/>
        <v>14</v>
      </c>
      <c r="Z157" s="573">
        <f t="shared" si="496"/>
        <v>17.8</v>
      </c>
      <c r="AA157" s="573">
        <f t="shared" si="496"/>
        <v>21.2</v>
      </c>
      <c r="AB157" s="573">
        <f t="shared" si="496"/>
        <v>23.4</v>
      </c>
      <c r="AC157" s="573">
        <f t="shared" si="496"/>
        <v>26.7</v>
      </c>
      <c r="AD157" s="573">
        <f t="shared" si="496"/>
        <v>33.6</v>
      </c>
      <c r="AE157" s="556"/>
      <c r="AF157" s="579">
        <f>AF$69*0.9</f>
        <v>17460</v>
      </c>
      <c r="AG157" s="579">
        <f t="shared" ref="AG157:AM157" si="497">AG$69*0.9</f>
        <v>38430</v>
      </c>
      <c r="AH157" s="579">
        <f t="shared" si="497"/>
        <v>62640</v>
      </c>
      <c r="AI157" s="579">
        <f t="shared" si="497"/>
        <v>95220</v>
      </c>
      <c r="AJ157" s="579">
        <f t="shared" si="497"/>
        <v>137880</v>
      </c>
      <c r="AK157" s="579">
        <f t="shared" si="497"/>
        <v>188280</v>
      </c>
      <c r="AL157" s="579">
        <f t="shared" si="497"/>
        <v>311940</v>
      </c>
      <c r="AM157" s="579">
        <f t="shared" si="497"/>
        <v>1617660</v>
      </c>
      <c r="AN157" s="556"/>
      <c r="AO157" s="60">
        <f t="shared" ref="AO157:AV157" si="498">W157*AF157/100</f>
        <v>331.74</v>
      </c>
      <c r="AP157" s="60">
        <f t="shared" si="498"/>
        <v>3458.7</v>
      </c>
      <c r="AQ157" s="60">
        <f t="shared" si="498"/>
        <v>8769.6</v>
      </c>
      <c r="AR157" s="60">
        <f t="shared" si="498"/>
        <v>16949.16</v>
      </c>
      <c r="AS157" s="60">
        <f t="shared" si="498"/>
        <v>29230.560000000001</v>
      </c>
      <c r="AT157" s="60">
        <f t="shared" si="498"/>
        <v>44057.52</v>
      </c>
      <c r="AU157" s="60">
        <f t="shared" si="498"/>
        <v>83287.98</v>
      </c>
      <c r="AV157" s="60">
        <f t="shared" si="498"/>
        <v>543533.76</v>
      </c>
    </row>
    <row r="158" spans="1:205" s="149" customFormat="1" ht="9" customHeight="1">
      <c r="A158" s="259"/>
      <c r="E158" s="143"/>
      <c r="F158" s="143"/>
      <c r="G158" s="143"/>
      <c r="H158" s="143"/>
      <c r="I158" s="143"/>
      <c r="J158" s="143"/>
      <c r="K158" s="143"/>
      <c r="L158" s="143"/>
      <c r="M158" s="143"/>
      <c r="N158" s="143"/>
      <c r="O158" s="143"/>
      <c r="P158" s="143"/>
      <c r="Q158" s="143"/>
      <c r="R158" s="143"/>
      <c r="S158" s="143"/>
      <c r="T158" s="143"/>
      <c r="U158" s="143"/>
    </row>
    <row r="159" spans="1:205" s="556" customFormat="1">
      <c r="A159" s="256"/>
      <c r="E159" s="745" t="s">
        <v>158</v>
      </c>
      <c r="F159" s="745"/>
      <c r="G159" s="745"/>
      <c r="H159" s="745"/>
      <c r="I159" s="745"/>
      <c r="J159" s="745"/>
      <c r="K159" s="745"/>
      <c r="L159" s="745"/>
      <c r="M159" s="745"/>
      <c r="N159" s="745"/>
      <c r="O159" s="745"/>
      <c r="P159" s="745"/>
      <c r="Q159" s="745"/>
      <c r="R159" s="745"/>
      <c r="S159" s="745"/>
      <c r="T159" s="745"/>
      <c r="U159" s="745"/>
      <c r="V159" s="745"/>
      <c r="W159" s="745"/>
      <c r="X159" s="745"/>
      <c r="Y159" s="745" t="s">
        <v>159</v>
      </c>
      <c r="Z159" s="745"/>
      <c r="AA159" s="745"/>
      <c r="AB159" s="745"/>
      <c r="AC159" s="745"/>
      <c r="AD159" s="745"/>
      <c r="AE159" s="745"/>
      <c r="AF159" s="745"/>
      <c r="AG159" s="745"/>
      <c r="AH159" s="745"/>
      <c r="AI159" s="745"/>
      <c r="AJ159" s="745"/>
      <c r="AK159" s="745"/>
      <c r="AL159" s="745"/>
      <c r="AM159" s="745"/>
      <c r="AN159" s="745"/>
      <c r="AO159" s="745"/>
      <c r="AP159" s="745"/>
      <c r="AQ159" s="745"/>
      <c r="AR159" s="745"/>
      <c r="AS159" s="745" t="s">
        <v>160</v>
      </c>
      <c r="AT159" s="745"/>
      <c r="AU159" s="745"/>
      <c r="AV159" s="745"/>
      <c r="AW159" s="745"/>
      <c r="AX159" s="745"/>
      <c r="AY159" s="745"/>
      <c r="AZ159" s="745"/>
      <c r="BA159" s="745"/>
      <c r="BB159" s="745"/>
      <c r="BC159" s="745"/>
      <c r="BD159" s="745"/>
      <c r="BE159" s="745"/>
      <c r="BF159" s="745"/>
      <c r="BG159" s="745"/>
      <c r="BH159" s="745"/>
      <c r="BI159" s="745"/>
      <c r="BJ159" s="745"/>
      <c r="BK159" s="745"/>
      <c r="BL159" s="745"/>
      <c r="BM159" s="745" t="s">
        <v>161</v>
      </c>
      <c r="BN159" s="745"/>
      <c r="BO159" s="745"/>
      <c r="BP159" s="745"/>
      <c r="BQ159" s="745"/>
      <c r="BR159" s="745"/>
      <c r="BS159" s="745"/>
      <c r="BT159" s="745"/>
      <c r="BU159" s="745"/>
      <c r="BV159" s="745"/>
      <c r="BW159" s="745"/>
      <c r="BX159" s="745"/>
      <c r="BY159" s="745"/>
      <c r="BZ159" s="745"/>
      <c r="CA159" s="745"/>
      <c r="CB159" s="745"/>
      <c r="CC159" s="745"/>
      <c r="CD159" s="745"/>
      <c r="CE159" s="745"/>
      <c r="CF159" s="745"/>
      <c r="CG159" s="746" t="s">
        <v>33</v>
      </c>
      <c r="CH159" s="746"/>
      <c r="CI159" s="746"/>
      <c r="CJ159" s="746"/>
      <c r="CK159" s="746"/>
      <c r="CL159" s="746"/>
      <c r="CM159" s="746"/>
      <c r="CN159" s="746"/>
      <c r="CO159" s="746"/>
      <c r="CP159" s="746"/>
      <c r="CQ159" s="746" t="s">
        <v>51</v>
      </c>
      <c r="CR159" s="746"/>
      <c r="CS159" s="746"/>
      <c r="CT159" s="746"/>
      <c r="CU159" s="746"/>
      <c r="CV159" s="746" t="s">
        <v>52</v>
      </c>
      <c r="CW159" s="746"/>
      <c r="CX159" s="746"/>
      <c r="CY159" s="746"/>
      <c r="CZ159" s="493" t="s">
        <v>28</v>
      </c>
      <c r="DB159" s="745" t="s">
        <v>158</v>
      </c>
      <c r="DC159" s="745"/>
      <c r="DD159" s="745"/>
      <c r="DE159" s="745"/>
      <c r="DF159" s="745"/>
      <c r="DG159" s="745"/>
      <c r="DH159" s="745"/>
      <c r="DI159" s="745"/>
      <c r="DJ159" s="745"/>
      <c r="DK159" s="745"/>
      <c r="DL159" s="745"/>
      <c r="DM159" s="745"/>
      <c r="DN159" s="745"/>
      <c r="DO159" s="745"/>
      <c r="DP159" s="745"/>
      <c r="DQ159" s="745"/>
      <c r="DR159" s="745"/>
      <c r="DS159" s="745"/>
      <c r="DT159" s="745"/>
      <c r="DU159" s="745"/>
      <c r="DV159" s="745" t="s">
        <v>159</v>
      </c>
      <c r="DW159" s="745"/>
      <c r="DX159" s="745"/>
      <c r="DY159" s="745"/>
      <c r="DZ159" s="745"/>
      <c r="EA159" s="745"/>
      <c r="EB159" s="745"/>
      <c r="EC159" s="745"/>
      <c r="ED159" s="745"/>
      <c r="EE159" s="745"/>
      <c r="EF159" s="745"/>
      <c r="EG159" s="745"/>
      <c r="EH159" s="745"/>
      <c r="EI159" s="745"/>
      <c r="EJ159" s="745"/>
      <c r="EK159" s="745"/>
      <c r="EL159" s="745"/>
      <c r="EM159" s="745"/>
      <c r="EN159" s="745"/>
      <c r="EO159" s="745"/>
      <c r="EP159" s="745" t="s">
        <v>160</v>
      </c>
      <c r="EQ159" s="745"/>
      <c r="ER159" s="745"/>
      <c r="ES159" s="745"/>
      <c r="ET159" s="745"/>
      <c r="EU159" s="745"/>
      <c r="EV159" s="745"/>
      <c r="EW159" s="745"/>
      <c r="EX159" s="745"/>
      <c r="EY159" s="745"/>
      <c r="EZ159" s="745"/>
      <c r="FA159" s="745"/>
      <c r="FB159" s="745"/>
      <c r="FC159" s="745"/>
      <c r="FD159" s="745"/>
      <c r="FE159" s="745"/>
      <c r="FF159" s="745"/>
      <c r="FG159" s="745"/>
      <c r="FH159" s="745"/>
      <c r="FI159" s="745"/>
      <c r="FJ159" s="745" t="s">
        <v>161</v>
      </c>
      <c r="FK159" s="745"/>
      <c r="FL159" s="745"/>
      <c r="FM159" s="745"/>
      <c r="FN159" s="745"/>
      <c r="FO159" s="745"/>
      <c r="FP159" s="745"/>
      <c r="FQ159" s="745"/>
      <c r="FR159" s="745"/>
      <c r="FS159" s="745"/>
      <c r="FT159" s="745"/>
      <c r="FU159" s="745"/>
      <c r="FV159" s="745"/>
      <c r="FW159" s="745"/>
      <c r="FX159" s="745"/>
      <c r="FY159" s="745"/>
      <c r="FZ159" s="745"/>
      <c r="GA159" s="745"/>
      <c r="GB159" s="745"/>
      <c r="GC159" s="745"/>
      <c r="GD159" s="746" t="s">
        <v>33</v>
      </c>
      <c r="GE159" s="746"/>
      <c r="GF159" s="746"/>
      <c r="GG159" s="746"/>
      <c r="GH159" s="746"/>
      <c r="GI159" s="746"/>
      <c r="GJ159" s="746"/>
      <c r="GK159" s="746"/>
      <c r="GL159" s="746"/>
      <c r="GM159" s="746"/>
      <c r="GN159" s="746" t="s">
        <v>51</v>
      </c>
      <c r="GO159" s="746"/>
      <c r="GP159" s="746"/>
      <c r="GQ159" s="746"/>
      <c r="GR159" s="746"/>
      <c r="GS159" s="746" t="s">
        <v>52</v>
      </c>
      <c r="GT159" s="746"/>
      <c r="GU159" s="746"/>
      <c r="GV159" s="746"/>
      <c r="GW159" s="493" t="s">
        <v>28</v>
      </c>
    </row>
    <row r="160" spans="1:205" s="46" customFormat="1">
      <c r="A160" s="15"/>
      <c r="E160" s="255">
        <v>1</v>
      </c>
      <c r="F160" s="255">
        <f t="shared" ref="F160:AK160" si="499">E160+1</f>
        <v>2</v>
      </c>
      <c r="G160" s="255">
        <f t="shared" si="499"/>
        <v>3</v>
      </c>
      <c r="H160" s="255">
        <f t="shared" si="499"/>
        <v>4</v>
      </c>
      <c r="I160" s="255">
        <f t="shared" si="499"/>
        <v>5</v>
      </c>
      <c r="J160" s="255">
        <f t="shared" si="499"/>
        <v>6</v>
      </c>
      <c r="K160" s="255">
        <f t="shared" si="499"/>
        <v>7</v>
      </c>
      <c r="L160" s="255">
        <f t="shared" si="499"/>
        <v>8</v>
      </c>
      <c r="M160" s="255">
        <f t="shared" si="499"/>
        <v>9</v>
      </c>
      <c r="N160" s="255">
        <f t="shared" si="499"/>
        <v>10</v>
      </c>
      <c r="O160" s="255">
        <f t="shared" si="499"/>
        <v>11</v>
      </c>
      <c r="P160" s="255">
        <f t="shared" si="499"/>
        <v>12</v>
      </c>
      <c r="Q160" s="255">
        <f t="shared" si="499"/>
        <v>13</v>
      </c>
      <c r="R160" s="255">
        <f t="shared" si="499"/>
        <v>14</v>
      </c>
      <c r="S160" s="255">
        <f t="shared" si="499"/>
        <v>15</v>
      </c>
      <c r="T160" s="255">
        <f t="shared" si="499"/>
        <v>16</v>
      </c>
      <c r="U160" s="255">
        <f t="shared" si="499"/>
        <v>17</v>
      </c>
      <c r="V160" s="255">
        <f t="shared" si="499"/>
        <v>18</v>
      </c>
      <c r="W160" s="255">
        <f t="shared" si="499"/>
        <v>19</v>
      </c>
      <c r="X160" s="255">
        <f t="shared" si="499"/>
        <v>20</v>
      </c>
      <c r="Y160" s="255">
        <f t="shared" si="499"/>
        <v>21</v>
      </c>
      <c r="Z160" s="255">
        <f t="shared" si="499"/>
        <v>22</v>
      </c>
      <c r="AA160" s="255">
        <f t="shared" si="499"/>
        <v>23</v>
      </c>
      <c r="AB160" s="255">
        <f t="shared" si="499"/>
        <v>24</v>
      </c>
      <c r="AC160" s="255">
        <f t="shared" si="499"/>
        <v>25</v>
      </c>
      <c r="AD160" s="255">
        <f t="shared" si="499"/>
        <v>26</v>
      </c>
      <c r="AE160" s="255">
        <f t="shared" si="499"/>
        <v>27</v>
      </c>
      <c r="AF160" s="255">
        <f t="shared" si="499"/>
        <v>28</v>
      </c>
      <c r="AG160" s="255">
        <f t="shared" si="499"/>
        <v>29</v>
      </c>
      <c r="AH160" s="255">
        <f t="shared" si="499"/>
        <v>30</v>
      </c>
      <c r="AI160" s="255">
        <f t="shared" si="499"/>
        <v>31</v>
      </c>
      <c r="AJ160" s="255">
        <f t="shared" si="499"/>
        <v>32</v>
      </c>
      <c r="AK160" s="255">
        <f t="shared" si="499"/>
        <v>33</v>
      </c>
      <c r="AL160" s="255">
        <f t="shared" ref="AL160:BQ160" si="500">AK160+1</f>
        <v>34</v>
      </c>
      <c r="AM160" s="255">
        <f t="shared" si="500"/>
        <v>35</v>
      </c>
      <c r="AN160" s="255">
        <f t="shared" si="500"/>
        <v>36</v>
      </c>
      <c r="AO160" s="255">
        <f t="shared" si="500"/>
        <v>37</v>
      </c>
      <c r="AP160" s="255">
        <f t="shared" si="500"/>
        <v>38</v>
      </c>
      <c r="AQ160" s="255">
        <f t="shared" si="500"/>
        <v>39</v>
      </c>
      <c r="AR160" s="255">
        <f t="shared" si="500"/>
        <v>40</v>
      </c>
      <c r="AS160" s="255">
        <f t="shared" si="500"/>
        <v>41</v>
      </c>
      <c r="AT160" s="255">
        <f t="shared" si="500"/>
        <v>42</v>
      </c>
      <c r="AU160" s="255">
        <f t="shared" si="500"/>
        <v>43</v>
      </c>
      <c r="AV160" s="255">
        <f t="shared" si="500"/>
        <v>44</v>
      </c>
      <c r="AW160" s="255">
        <f t="shared" si="500"/>
        <v>45</v>
      </c>
      <c r="AX160" s="255">
        <f t="shared" si="500"/>
        <v>46</v>
      </c>
      <c r="AY160" s="255">
        <f t="shared" si="500"/>
        <v>47</v>
      </c>
      <c r="AZ160" s="255">
        <f t="shared" si="500"/>
        <v>48</v>
      </c>
      <c r="BA160" s="255">
        <f t="shared" si="500"/>
        <v>49</v>
      </c>
      <c r="BB160" s="255">
        <f t="shared" si="500"/>
        <v>50</v>
      </c>
      <c r="BC160" s="255">
        <f t="shared" si="500"/>
        <v>51</v>
      </c>
      <c r="BD160" s="255">
        <f t="shared" si="500"/>
        <v>52</v>
      </c>
      <c r="BE160" s="255">
        <f t="shared" si="500"/>
        <v>53</v>
      </c>
      <c r="BF160" s="255">
        <f t="shared" si="500"/>
        <v>54</v>
      </c>
      <c r="BG160" s="255">
        <f t="shared" si="500"/>
        <v>55</v>
      </c>
      <c r="BH160" s="255">
        <f t="shared" si="500"/>
        <v>56</v>
      </c>
      <c r="BI160" s="255">
        <f t="shared" si="500"/>
        <v>57</v>
      </c>
      <c r="BJ160" s="255">
        <f t="shared" si="500"/>
        <v>58</v>
      </c>
      <c r="BK160" s="255">
        <f t="shared" si="500"/>
        <v>59</v>
      </c>
      <c r="BL160" s="255">
        <f t="shared" si="500"/>
        <v>60</v>
      </c>
      <c r="BM160" s="255">
        <f t="shared" si="500"/>
        <v>61</v>
      </c>
      <c r="BN160" s="255">
        <f t="shared" si="500"/>
        <v>62</v>
      </c>
      <c r="BO160" s="255">
        <f t="shared" si="500"/>
        <v>63</v>
      </c>
      <c r="BP160" s="255">
        <f t="shared" si="500"/>
        <v>64</v>
      </c>
      <c r="BQ160" s="255">
        <f t="shared" si="500"/>
        <v>65</v>
      </c>
      <c r="BR160" s="255">
        <f t="shared" ref="BR160:CZ160" si="501">BQ160+1</f>
        <v>66</v>
      </c>
      <c r="BS160" s="255">
        <f t="shared" si="501"/>
        <v>67</v>
      </c>
      <c r="BT160" s="255">
        <f t="shared" si="501"/>
        <v>68</v>
      </c>
      <c r="BU160" s="255">
        <f t="shared" si="501"/>
        <v>69</v>
      </c>
      <c r="BV160" s="255">
        <f t="shared" si="501"/>
        <v>70</v>
      </c>
      <c r="BW160" s="255">
        <f t="shared" si="501"/>
        <v>71</v>
      </c>
      <c r="BX160" s="255">
        <f t="shared" si="501"/>
        <v>72</v>
      </c>
      <c r="BY160" s="255">
        <f t="shared" si="501"/>
        <v>73</v>
      </c>
      <c r="BZ160" s="255">
        <f t="shared" si="501"/>
        <v>74</v>
      </c>
      <c r="CA160" s="255">
        <f t="shared" si="501"/>
        <v>75</v>
      </c>
      <c r="CB160" s="255">
        <f t="shared" si="501"/>
        <v>76</v>
      </c>
      <c r="CC160" s="255">
        <f t="shared" si="501"/>
        <v>77</v>
      </c>
      <c r="CD160" s="255">
        <f t="shared" si="501"/>
        <v>78</v>
      </c>
      <c r="CE160" s="255">
        <f t="shared" si="501"/>
        <v>79</v>
      </c>
      <c r="CF160" s="255">
        <f t="shared" si="501"/>
        <v>80</v>
      </c>
      <c r="CG160" s="255">
        <f t="shared" si="501"/>
        <v>81</v>
      </c>
      <c r="CH160" s="255">
        <f t="shared" si="501"/>
        <v>82</v>
      </c>
      <c r="CI160" s="255">
        <f t="shared" si="501"/>
        <v>83</v>
      </c>
      <c r="CJ160" s="255">
        <f t="shared" si="501"/>
        <v>84</v>
      </c>
      <c r="CK160" s="255">
        <f t="shared" si="501"/>
        <v>85</v>
      </c>
      <c r="CL160" s="255">
        <f t="shared" si="501"/>
        <v>86</v>
      </c>
      <c r="CM160" s="255">
        <f t="shared" si="501"/>
        <v>87</v>
      </c>
      <c r="CN160" s="255">
        <f t="shared" si="501"/>
        <v>88</v>
      </c>
      <c r="CO160" s="255">
        <f t="shared" si="501"/>
        <v>89</v>
      </c>
      <c r="CP160" s="255">
        <f t="shared" si="501"/>
        <v>90</v>
      </c>
      <c r="CQ160" s="255">
        <f t="shared" si="501"/>
        <v>91</v>
      </c>
      <c r="CR160" s="255">
        <f t="shared" si="501"/>
        <v>92</v>
      </c>
      <c r="CS160" s="255">
        <f t="shared" si="501"/>
        <v>93</v>
      </c>
      <c r="CT160" s="255">
        <f t="shared" si="501"/>
        <v>94</v>
      </c>
      <c r="CU160" s="255">
        <f t="shared" si="501"/>
        <v>95</v>
      </c>
      <c r="CV160" s="255">
        <f t="shared" si="501"/>
        <v>96</v>
      </c>
      <c r="CW160" s="255">
        <f t="shared" si="501"/>
        <v>97</v>
      </c>
      <c r="CX160" s="255">
        <f t="shared" si="501"/>
        <v>98</v>
      </c>
      <c r="CY160" s="255">
        <f t="shared" si="501"/>
        <v>99</v>
      </c>
      <c r="CZ160" s="255">
        <f t="shared" si="501"/>
        <v>100</v>
      </c>
      <c r="DB160" s="255">
        <v>1</v>
      </c>
      <c r="DC160" s="255">
        <f t="shared" ref="DC160:EH160" si="502">DB160+1</f>
        <v>2</v>
      </c>
      <c r="DD160" s="255">
        <f t="shared" si="502"/>
        <v>3</v>
      </c>
      <c r="DE160" s="255">
        <f t="shared" si="502"/>
        <v>4</v>
      </c>
      <c r="DF160" s="255">
        <f t="shared" si="502"/>
        <v>5</v>
      </c>
      <c r="DG160" s="255">
        <f t="shared" si="502"/>
        <v>6</v>
      </c>
      <c r="DH160" s="255">
        <f t="shared" si="502"/>
        <v>7</v>
      </c>
      <c r="DI160" s="255">
        <f t="shared" si="502"/>
        <v>8</v>
      </c>
      <c r="DJ160" s="255">
        <f t="shared" si="502"/>
        <v>9</v>
      </c>
      <c r="DK160" s="255">
        <f t="shared" si="502"/>
        <v>10</v>
      </c>
      <c r="DL160" s="255">
        <f t="shared" si="502"/>
        <v>11</v>
      </c>
      <c r="DM160" s="255">
        <f t="shared" si="502"/>
        <v>12</v>
      </c>
      <c r="DN160" s="255">
        <f t="shared" si="502"/>
        <v>13</v>
      </c>
      <c r="DO160" s="255">
        <f t="shared" si="502"/>
        <v>14</v>
      </c>
      <c r="DP160" s="255">
        <f t="shared" si="502"/>
        <v>15</v>
      </c>
      <c r="DQ160" s="255">
        <f t="shared" si="502"/>
        <v>16</v>
      </c>
      <c r="DR160" s="255">
        <f t="shared" si="502"/>
        <v>17</v>
      </c>
      <c r="DS160" s="255">
        <f t="shared" si="502"/>
        <v>18</v>
      </c>
      <c r="DT160" s="255">
        <f t="shared" si="502"/>
        <v>19</v>
      </c>
      <c r="DU160" s="255">
        <f t="shared" si="502"/>
        <v>20</v>
      </c>
      <c r="DV160" s="255">
        <f t="shared" si="502"/>
        <v>21</v>
      </c>
      <c r="DW160" s="255">
        <f t="shared" si="502"/>
        <v>22</v>
      </c>
      <c r="DX160" s="255">
        <f t="shared" si="502"/>
        <v>23</v>
      </c>
      <c r="DY160" s="255">
        <f t="shared" si="502"/>
        <v>24</v>
      </c>
      <c r="DZ160" s="255">
        <f t="shared" si="502"/>
        <v>25</v>
      </c>
      <c r="EA160" s="255">
        <f t="shared" si="502"/>
        <v>26</v>
      </c>
      <c r="EB160" s="255">
        <f t="shared" si="502"/>
        <v>27</v>
      </c>
      <c r="EC160" s="255">
        <f t="shared" si="502"/>
        <v>28</v>
      </c>
      <c r="ED160" s="255">
        <f t="shared" si="502"/>
        <v>29</v>
      </c>
      <c r="EE160" s="255">
        <f t="shared" si="502"/>
        <v>30</v>
      </c>
      <c r="EF160" s="255">
        <f t="shared" si="502"/>
        <v>31</v>
      </c>
      <c r="EG160" s="255">
        <f t="shared" si="502"/>
        <v>32</v>
      </c>
      <c r="EH160" s="255">
        <f t="shared" si="502"/>
        <v>33</v>
      </c>
      <c r="EI160" s="255">
        <f t="shared" ref="EI160:FN160" si="503">EH160+1</f>
        <v>34</v>
      </c>
      <c r="EJ160" s="255">
        <f t="shared" si="503"/>
        <v>35</v>
      </c>
      <c r="EK160" s="255">
        <f t="shared" si="503"/>
        <v>36</v>
      </c>
      <c r="EL160" s="255">
        <f t="shared" si="503"/>
        <v>37</v>
      </c>
      <c r="EM160" s="255">
        <f t="shared" si="503"/>
        <v>38</v>
      </c>
      <c r="EN160" s="255">
        <f t="shared" si="503"/>
        <v>39</v>
      </c>
      <c r="EO160" s="255">
        <f t="shared" si="503"/>
        <v>40</v>
      </c>
      <c r="EP160" s="255">
        <f t="shared" si="503"/>
        <v>41</v>
      </c>
      <c r="EQ160" s="255">
        <f t="shared" si="503"/>
        <v>42</v>
      </c>
      <c r="ER160" s="255">
        <f t="shared" si="503"/>
        <v>43</v>
      </c>
      <c r="ES160" s="255">
        <f t="shared" si="503"/>
        <v>44</v>
      </c>
      <c r="ET160" s="255">
        <f t="shared" si="503"/>
        <v>45</v>
      </c>
      <c r="EU160" s="255">
        <f t="shared" si="503"/>
        <v>46</v>
      </c>
      <c r="EV160" s="255">
        <f t="shared" si="503"/>
        <v>47</v>
      </c>
      <c r="EW160" s="255">
        <f t="shared" si="503"/>
        <v>48</v>
      </c>
      <c r="EX160" s="255">
        <f t="shared" si="503"/>
        <v>49</v>
      </c>
      <c r="EY160" s="255">
        <f t="shared" si="503"/>
        <v>50</v>
      </c>
      <c r="EZ160" s="255">
        <f t="shared" si="503"/>
        <v>51</v>
      </c>
      <c r="FA160" s="255">
        <f t="shared" si="503"/>
        <v>52</v>
      </c>
      <c r="FB160" s="255">
        <f t="shared" si="503"/>
        <v>53</v>
      </c>
      <c r="FC160" s="255">
        <f t="shared" si="503"/>
        <v>54</v>
      </c>
      <c r="FD160" s="255">
        <f t="shared" si="503"/>
        <v>55</v>
      </c>
      <c r="FE160" s="255">
        <f t="shared" si="503"/>
        <v>56</v>
      </c>
      <c r="FF160" s="255">
        <f t="shared" si="503"/>
        <v>57</v>
      </c>
      <c r="FG160" s="255">
        <f t="shared" si="503"/>
        <v>58</v>
      </c>
      <c r="FH160" s="255">
        <f t="shared" si="503"/>
        <v>59</v>
      </c>
      <c r="FI160" s="255">
        <f t="shared" si="503"/>
        <v>60</v>
      </c>
      <c r="FJ160" s="255">
        <f t="shared" si="503"/>
        <v>61</v>
      </c>
      <c r="FK160" s="255">
        <f t="shared" si="503"/>
        <v>62</v>
      </c>
      <c r="FL160" s="255">
        <f t="shared" si="503"/>
        <v>63</v>
      </c>
      <c r="FM160" s="255">
        <f t="shared" si="503"/>
        <v>64</v>
      </c>
      <c r="FN160" s="255">
        <f t="shared" si="503"/>
        <v>65</v>
      </c>
      <c r="FO160" s="255">
        <f t="shared" ref="FO160:GW160" si="504">FN160+1</f>
        <v>66</v>
      </c>
      <c r="FP160" s="255">
        <f t="shared" si="504"/>
        <v>67</v>
      </c>
      <c r="FQ160" s="255">
        <f t="shared" si="504"/>
        <v>68</v>
      </c>
      <c r="FR160" s="255">
        <f t="shared" si="504"/>
        <v>69</v>
      </c>
      <c r="FS160" s="255">
        <f t="shared" si="504"/>
        <v>70</v>
      </c>
      <c r="FT160" s="255">
        <f t="shared" si="504"/>
        <v>71</v>
      </c>
      <c r="FU160" s="255">
        <f t="shared" si="504"/>
        <v>72</v>
      </c>
      <c r="FV160" s="255">
        <f t="shared" si="504"/>
        <v>73</v>
      </c>
      <c r="FW160" s="255">
        <f t="shared" si="504"/>
        <v>74</v>
      </c>
      <c r="FX160" s="255">
        <f t="shared" si="504"/>
        <v>75</v>
      </c>
      <c r="FY160" s="255">
        <f t="shared" si="504"/>
        <v>76</v>
      </c>
      <c r="FZ160" s="255">
        <f t="shared" si="504"/>
        <v>77</v>
      </c>
      <c r="GA160" s="255">
        <f t="shared" si="504"/>
        <v>78</v>
      </c>
      <c r="GB160" s="255">
        <f t="shared" si="504"/>
        <v>79</v>
      </c>
      <c r="GC160" s="255">
        <f t="shared" si="504"/>
        <v>80</v>
      </c>
      <c r="GD160" s="255">
        <f t="shared" si="504"/>
        <v>81</v>
      </c>
      <c r="GE160" s="255">
        <f t="shared" si="504"/>
        <v>82</v>
      </c>
      <c r="GF160" s="255">
        <f t="shared" si="504"/>
        <v>83</v>
      </c>
      <c r="GG160" s="255">
        <f t="shared" si="504"/>
        <v>84</v>
      </c>
      <c r="GH160" s="255">
        <f t="shared" si="504"/>
        <v>85</v>
      </c>
      <c r="GI160" s="255">
        <f t="shared" si="504"/>
        <v>86</v>
      </c>
      <c r="GJ160" s="255">
        <f t="shared" si="504"/>
        <v>87</v>
      </c>
      <c r="GK160" s="255">
        <f t="shared" si="504"/>
        <v>88</v>
      </c>
      <c r="GL160" s="255">
        <f t="shared" si="504"/>
        <v>89</v>
      </c>
      <c r="GM160" s="255">
        <f t="shared" si="504"/>
        <v>90</v>
      </c>
      <c r="GN160" s="255">
        <f t="shared" si="504"/>
        <v>91</v>
      </c>
      <c r="GO160" s="255">
        <f t="shared" si="504"/>
        <v>92</v>
      </c>
      <c r="GP160" s="255">
        <f t="shared" si="504"/>
        <v>93</v>
      </c>
      <c r="GQ160" s="255">
        <f t="shared" si="504"/>
        <v>94</v>
      </c>
      <c r="GR160" s="255">
        <f t="shared" si="504"/>
        <v>95</v>
      </c>
      <c r="GS160" s="255">
        <f t="shared" si="504"/>
        <v>96</v>
      </c>
      <c r="GT160" s="255">
        <f t="shared" si="504"/>
        <v>97</v>
      </c>
      <c r="GU160" s="255">
        <f t="shared" si="504"/>
        <v>98</v>
      </c>
      <c r="GV160" s="255">
        <f t="shared" si="504"/>
        <v>99</v>
      </c>
      <c r="GW160" s="255">
        <f t="shared" si="504"/>
        <v>100</v>
      </c>
    </row>
    <row r="161" spans="1:205" s="556" customFormat="1" ht="9" customHeight="1">
      <c r="A161" s="259" t="s">
        <v>48</v>
      </c>
      <c r="B161" s="143">
        <f>LINEST(E161:CZ161, DB161:GW161, TRUE, FALSE)-1</f>
        <v>0.93515832898766926</v>
      </c>
      <c r="C161" s="143">
        <f>RSQ(E161:CZ161, DB161:GW161)</f>
        <v>0.95112162378487453</v>
      </c>
      <c r="D161" s="60"/>
      <c r="E161" s="143">
        <f>E157</f>
        <v>5.8043515295778967</v>
      </c>
      <c r="F161" s="143">
        <f t="shared" ref="F161:X161" si="505">E161</f>
        <v>5.8043515295778967</v>
      </c>
      <c r="G161" s="143">
        <f t="shared" si="505"/>
        <v>5.8043515295778967</v>
      </c>
      <c r="H161" s="143">
        <f t="shared" si="505"/>
        <v>5.8043515295778967</v>
      </c>
      <c r="I161" s="143">
        <f t="shared" si="505"/>
        <v>5.8043515295778967</v>
      </c>
      <c r="J161" s="143">
        <f t="shared" si="505"/>
        <v>5.8043515295778967</v>
      </c>
      <c r="K161" s="143">
        <f t="shared" si="505"/>
        <v>5.8043515295778967</v>
      </c>
      <c r="L161" s="143">
        <f t="shared" si="505"/>
        <v>5.8043515295778967</v>
      </c>
      <c r="M161" s="143">
        <f t="shared" si="505"/>
        <v>5.8043515295778967</v>
      </c>
      <c r="N161" s="143">
        <f t="shared" si="505"/>
        <v>5.8043515295778967</v>
      </c>
      <c r="O161" s="143">
        <f t="shared" si="505"/>
        <v>5.8043515295778967</v>
      </c>
      <c r="P161" s="143">
        <f t="shared" si="505"/>
        <v>5.8043515295778967</v>
      </c>
      <c r="Q161" s="143">
        <f t="shared" si="505"/>
        <v>5.8043515295778967</v>
      </c>
      <c r="R161" s="143">
        <f t="shared" si="505"/>
        <v>5.8043515295778967</v>
      </c>
      <c r="S161" s="143">
        <f t="shared" si="505"/>
        <v>5.8043515295778967</v>
      </c>
      <c r="T161" s="143">
        <f t="shared" si="505"/>
        <v>5.8043515295778967</v>
      </c>
      <c r="U161" s="143">
        <f t="shared" si="505"/>
        <v>5.8043515295778967</v>
      </c>
      <c r="V161" s="143">
        <f t="shared" si="505"/>
        <v>5.8043515295778967</v>
      </c>
      <c r="W161" s="143">
        <f t="shared" si="505"/>
        <v>5.8043515295778967</v>
      </c>
      <c r="X161" s="143">
        <f t="shared" si="505"/>
        <v>5.8043515295778967</v>
      </c>
      <c r="Y161" s="143">
        <f>F157</f>
        <v>8.1486480749070171</v>
      </c>
      <c r="Z161" s="143">
        <f t="shared" ref="Z161:AR161" si="506">Y161</f>
        <v>8.1486480749070171</v>
      </c>
      <c r="AA161" s="143">
        <f t="shared" si="506"/>
        <v>8.1486480749070171</v>
      </c>
      <c r="AB161" s="143">
        <f t="shared" si="506"/>
        <v>8.1486480749070171</v>
      </c>
      <c r="AC161" s="143">
        <f t="shared" si="506"/>
        <v>8.1486480749070171</v>
      </c>
      <c r="AD161" s="143">
        <f t="shared" si="506"/>
        <v>8.1486480749070171</v>
      </c>
      <c r="AE161" s="143">
        <f t="shared" si="506"/>
        <v>8.1486480749070171</v>
      </c>
      <c r="AF161" s="143">
        <f t="shared" si="506"/>
        <v>8.1486480749070171</v>
      </c>
      <c r="AG161" s="143">
        <f t="shared" si="506"/>
        <v>8.1486480749070171</v>
      </c>
      <c r="AH161" s="143">
        <f t="shared" si="506"/>
        <v>8.1486480749070171</v>
      </c>
      <c r="AI161" s="143">
        <f t="shared" si="506"/>
        <v>8.1486480749070171</v>
      </c>
      <c r="AJ161" s="143">
        <f t="shared" si="506"/>
        <v>8.1486480749070171</v>
      </c>
      <c r="AK161" s="143">
        <f t="shared" si="506"/>
        <v>8.1486480749070171</v>
      </c>
      <c r="AL161" s="143">
        <f t="shared" si="506"/>
        <v>8.1486480749070171</v>
      </c>
      <c r="AM161" s="143">
        <f t="shared" si="506"/>
        <v>8.1486480749070171</v>
      </c>
      <c r="AN161" s="143">
        <f t="shared" si="506"/>
        <v>8.1486480749070171</v>
      </c>
      <c r="AO161" s="143">
        <f t="shared" si="506"/>
        <v>8.1486480749070171</v>
      </c>
      <c r="AP161" s="143">
        <f t="shared" si="506"/>
        <v>8.1486480749070171</v>
      </c>
      <c r="AQ161" s="143">
        <f t="shared" si="506"/>
        <v>8.1486480749070171</v>
      </c>
      <c r="AR161" s="143">
        <f t="shared" si="506"/>
        <v>8.1486480749070171</v>
      </c>
      <c r="AS161" s="143">
        <f>G157</f>
        <v>9.079046474291852</v>
      </c>
      <c r="AT161" s="143">
        <f t="shared" ref="AT161:BL161" si="507">AS161</f>
        <v>9.079046474291852</v>
      </c>
      <c r="AU161" s="143">
        <f t="shared" si="507"/>
        <v>9.079046474291852</v>
      </c>
      <c r="AV161" s="143">
        <f t="shared" si="507"/>
        <v>9.079046474291852</v>
      </c>
      <c r="AW161" s="143">
        <f t="shared" si="507"/>
        <v>9.079046474291852</v>
      </c>
      <c r="AX161" s="143">
        <f t="shared" si="507"/>
        <v>9.079046474291852</v>
      </c>
      <c r="AY161" s="143">
        <f t="shared" si="507"/>
        <v>9.079046474291852</v>
      </c>
      <c r="AZ161" s="143">
        <f t="shared" si="507"/>
        <v>9.079046474291852</v>
      </c>
      <c r="BA161" s="143">
        <f t="shared" si="507"/>
        <v>9.079046474291852</v>
      </c>
      <c r="BB161" s="143">
        <f t="shared" si="507"/>
        <v>9.079046474291852</v>
      </c>
      <c r="BC161" s="143">
        <f t="shared" si="507"/>
        <v>9.079046474291852</v>
      </c>
      <c r="BD161" s="143">
        <f t="shared" si="507"/>
        <v>9.079046474291852</v>
      </c>
      <c r="BE161" s="143">
        <f t="shared" si="507"/>
        <v>9.079046474291852</v>
      </c>
      <c r="BF161" s="143">
        <f t="shared" si="507"/>
        <v>9.079046474291852</v>
      </c>
      <c r="BG161" s="143">
        <f t="shared" si="507"/>
        <v>9.079046474291852</v>
      </c>
      <c r="BH161" s="143">
        <f t="shared" si="507"/>
        <v>9.079046474291852</v>
      </c>
      <c r="BI161" s="143">
        <f t="shared" si="507"/>
        <v>9.079046474291852</v>
      </c>
      <c r="BJ161" s="143">
        <f t="shared" si="507"/>
        <v>9.079046474291852</v>
      </c>
      <c r="BK161" s="143">
        <f t="shared" si="507"/>
        <v>9.079046474291852</v>
      </c>
      <c r="BL161" s="143">
        <f t="shared" si="507"/>
        <v>9.079046474291852</v>
      </c>
      <c r="BM161" s="143">
        <f>H157</f>
        <v>9.737973554058458</v>
      </c>
      <c r="BN161" s="143">
        <f t="shared" ref="BN161:CF161" si="508">BM161</f>
        <v>9.737973554058458</v>
      </c>
      <c r="BO161" s="143">
        <f t="shared" si="508"/>
        <v>9.737973554058458</v>
      </c>
      <c r="BP161" s="143">
        <f t="shared" si="508"/>
        <v>9.737973554058458</v>
      </c>
      <c r="BQ161" s="143">
        <f t="shared" si="508"/>
        <v>9.737973554058458</v>
      </c>
      <c r="BR161" s="143">
        <f t="shared" si="508"/>
        <v>9.737973554058458</v>
      </c>
      <c r="BS161" s="143">
        <f t="shared" si="508"/>
        <v>9.737973554058458</v>
      </c>
      <c r="BT161" s="143">
        <f t="shared" si="508"/>
        <v>9.737973554058458</v>
      </c>
      <c r="BU161" s="143">
        <f t="shared" si="508"/>
        <v>9.737973554058458</v>
      </c>
      <c r="BV161" s="143">
        <f t="shared" si="508"/>
        <v>9.737973554058458</v>
      </c>
      <c r="BW161" s="143">
        <f t="shared" si="508"/>
        <v>9.737973554058458</v>
      </c>
      <c r="BX161" s="143">
        <f t="shared" si="508"/>
        <v>9.737973554058458</v>
      </c>
      <c r="BY161" s="143">
        <f t="shared" si="508"/>
        <v>9.737973554058458</v>
      </c>
      <c r="BZ161" s="143">
        <f t="shared" si="508"/>
        <v>9.737973554058458</v>
      </c>
      <c r="CA161" s="143">
        <f t="shared" si="508"/>
        <v>9.737973554058458</v>
      </c>
      <c r="CB161" s="143">
        <f t="shared" si="508"/>
        <v>9.737973554058458</v>
      </c>
      <c r="CC161" s="143">
        <f t="shared" si="508"/>
        <v>9.737973554058458</v>
      </c>
      <c r="CD161" s="143">
        <f t="shared" si="508"/>
        <v>9.737973554058458</v>
      </c>
      <c r="CE161" s="143">
        <f t="shared" si="508"/>
        <v>9.737973554058458</v>
      </c>
      <c r="CF161" s="143">
        <f t="shared" si="508"/>
        <v>9.737973554058458</v>
      </c>
      <c r="CG161" s="143">
        <f>I157</f>
        <v>10.282970016320677</v>
      </c>
      <c r="CH161" s="143">
        <f t="shared" ref="CH161:CP161" si="509">CG161</f>
        <v>10.282970016320677</v>
      </c>
      <c r="CI161" s="143">
        <f t="shared" si="509"/>
        <v>10.282970016320677</v>
      </c>
      <c r="CJ161" s="143">
        <f t="shared" si="509"/>
        <v>10.282970016320677</v>
      </c>
      <c r="CK161" s="143">
        <f t="shared" si="509"/>
        <v>10.282970016320677</v>
      </c>
      <c r="CL161" s="143">
        <f t="shared" si="509"/>
        <v>10.282970016320677</v>
      </c>
      <c r="CM161" s="143">
        <f t="shared" si="509"/>
        <v>10.282970016320677</v>
      </c>
      <c r="CN161" s="143">
        <f t="shared" si="509"/>
        <v>10.282970016320677</v>
      </c>
      <c r="CO161" s="143">
        <f t="shared" si="509"/>
        <v>10.282970016320677</v>
      </c>
      <c r="CP161" s="143">
        <f t="shared" si="509"/>
        <v>10.282970016320677</v>
      </c>
      <c r="CQ161" s="143">
        <f>J157</f>
        <v>10.693251331890643</v>
      </c>
      <c r="CR161" s="143">
        <f>CQ161</f>
        <v>10.693251331890643</v>
      </c>
      <c r="CS161" s="143">
        <f>CR161</f>
        <v>10.693251331890643</v>
      </c>
      <c r="CT161" s="143">
        <f>CS161</f>
        <v>10.693251331890643</v>
      </c>
      <c r="CU161" s="143">
        <f>CT161</f>
        <v>10.693251331890643</v>
      </c>
      <c r="CV161" s="143">
        <f>K157</f>
        <v>11.330059520023928</v>
      </c>
      <c r="CW161" s="143">
        <f>CV161</f>
        <v>11.330059520023928</v>
      </c>
      <c r="CX161" s="143">
        <f>CW161</f>
        <v>11.330059520023928</v>
      </c>
      <c r="CY161" s="143">
        <f>CX161</f>
        <v>11.330059520023928</v>
      </c>
      <c r="CZ161" s="143">
        <f>L157</f>
        <v>13.205847099529651</v>
      </c>
      <c r="DA161" s="60"/>
      <c r="DB161" s="143">
        <f>N157</f>
        <v>9.7676678293935932</v>
      </c>
      <c r="DC161" s="143">
        <f t="shared" ref="DC161:DU161" si="510">DB161</f>
        <v>9.7676678293935932</v>
      </c>
      <c r="DD161" s="143">
        <f t="shared" si="510"/>
        <v>9.7676678293935932</v>
      </c>
      <c r="DE161" s="143">
        <f t="shared" si="510"/>
        <v>9.7676678293935932</v>
      </c>
      <c r="DF161" s="143">
        <f t="shared" si="510"/>
        <v>9.7676678293935932</v>
      </c>
      <c r="DG161" s="143">
        <f t="shared" si="510"/>
        <v>9.7676678293935932</v>
      </c>
      <c r="DH161" s="143">
        <f t="shared" si="510"/>
        <v>9.7676678293935932</v>
      </c>
      <c r="DI161" s="143">
        <f t="shared" si="510"/>
        <v>9.7676678293935932</v>
      </c>
      <c r="DJ161" s="143">
        <f t="shared" si="510"/>
        <v>9.7676678293935932</v>
      </c>
      <c r="DK161" s="143">
        <f t="shared" si="510"/>
        <v>9.7676678293935932</v>
      </c>
      <c r="DL161" s="143">
        <f t="shared" si="510"/>
        <v>9.7676678293935932</v>
      </c>
      <c r="DM161" s="143">
        <f t="shared" si="510"/>
        <v>9.7676678293935932</v>
      </c>
      <c r="DN161" s="143">
        <f t="shared" si="510"/>
        <v>9.7676678293935932</v>
      </c>
      <c r="DO161" s="143">
        <f t="shared" si="510"/>
        <v>9.7676678293935932</v>
      </c>
      <c r="DP161" s="143">
        <f t="shared" si="510"/>
        <v>9.7676678293935932</v>
      </c>
      <c r="DQ161" s="143">
        <f t="shared" si="510"/>
        <v>9.7676678293935932</v>
      </c>
      <c r="DR161" s="143">
        <f t="shared" si="510"/>
        <v>9.7676678293935932</v>
      </c>
      <c r="DS161" s="143">
        <f t="shared" si="510"/>
        <v>9.7676678293935932</v>
      </c>
      <c r="DT161" s="143">
        <f t="shared" si="510"/>
        <v>9.7676678293935932</v>
      </c>
      <c r="DU161" s="143">
        <f t="shared" si="510"/>
        <v>9.7676678293935932</v>
      </c>
      <c r="DV161" s="143">
        <f>O157</f>
        <v>10.556593683558889</v>
      </c>
      <c r="DW161" s="143">
        <f t="shared" ref="DW161:EO161" si="511">DV161</f>
        <v>10.556593683558889</v>
      </c>
      <c r="DX161" s="143">
        <f t="shared" si="511"/>
        <v>10.556593683558889</v>
      </c>
      <c r="DY161" s="143">
        <f t="shared" si="511"/>
        <v>10.556593683558889</v>
      </c>
      <c r="DZ161" s="143">
        <f t="shared" si="511"/>
        <v>10.556593683558889</v>
      </c>
      <c r="EA161" s="143">
        <f t="shared" si="511"/>
        <v>10.556593683558889</v>
      </c>
      <c r="EB161" s="143">
        <f t="shared" si="511"/>
        <v>10.556593683558889</v>
      </c>
      <c r="EC161" s="143">
        <f t="shared" si="511"/>
        <v>10.556593683558889</v>
      </c>
      <c r="ED161" s="143">
        <f t="shared" si="511"/>
        <v>10.556593683558889</v>
      </c>
      <c r="EE161" s="143">
        <f t="shared" si="511"/>
        <v>10.556593683558889</v>
      </c>
      <c r="EF161" s="143">
        <f t="shared" si="511"/>
        <v>10.556593683558889</v>
      </c>
      <c r="EG161" s="143">
        <f t="shared" si="511"/>
        <v>10.556593683558889</v>
      </c>
      <c r="EH161" s="143">
        <f t="shared" si="511"/>
        <v>10.556593683558889</v>
      </c>
      <c r="EI161" s="143">
        <f t="shared" si="511"/>
        <v>10.556593683558889</v>
      </c>
      <c r="EJ161" s="143">
        <f t="shared" si="511"/>
        <v>10.556593683558889</v>
      </c>
      <c r="EK161" s="143">
        <f t="shared" si="511"/>
        <v>10.556593683558889</v>
      </c>
      <c r="EL161" s="143">
        <f t="shared" si="511"/>
        <v>10.556593683558889</v>
      </c>
      <c r="EM161" s="143">
        <f t="shared" si="511"/>
        <v>10.556593683558889</v>
      </c>
      <c r="EN161" s="143">
        <f t="shared" si="511"/>
        <v>10.556593683558889</v>
      </c>
      <c r="EO161" s="143">
        <f t="shared" si="511"/>
        <v>10.556593683558889</v>
      </c>
      <c r="EP161" s="143">
        <f>P157</f>
        <v>11.045159330664685</v>
      </c>
      <c r="EQ161" s="143">
        <f t="shared" ref="EQ161:FI161" si="512">EP161</f>
        <v>11.045159330664685</v>
      </c>
      <c r="ER161" s="143">
        <f t="shared" si="512"/>
        <v>11.045159330664685</v>
      </c>
      <c r="ES161" s="143">
        <f t="shared" si="512"/>
        <v>11.045159330664685</v>
      </c>
      <c r="ET161" s="143">
        <f t="shared" si="512"/>
        <v>11.045159330664685</v>
      </c>
      <c r="EU161" s="143">
        <f t="shared" si="512"/>
        <v>11.045159330664685</v>
      </c>
      <c r="EV161" s="143">
        <f t="shared" si="512"/>
        <v>11.045159330664685</v>
      </c>
      <c r="EW161" s="143">
        <f t="shared" si="512"/>
        <v>11.045159330664685</v>
      </c>
      <c r="EX161" s="143">
        <f t="shared" si="512"/>
        <v>11.045159330664685</v>
      </c>
      <c r="EY161" s="143">
        <f t="shared" si="512"/>
        <v>11.045159330664685</v>
      </c>
      <c r="EZ161" s="143">
        <f t="shared" si="512"/>
        <v>11.045159330664685</v>
      </c>
      <c r="FA161" s="143">
        <f t="shared" si="512"/>
        <v>11.045159330664685</v>
      </c>
      <c r="FB161" s="143">
        <f t="shared" si="512"/>
        <v>11.045159330664685</v>
      </c>
      <c r="FC161" s="143">
        <f t="shared" si="512"/>
        <v>11.045159330664685</v>
      </c>
      <c r="FD161" s="143">
        <f t="shared" si="512"/>
        <v>11.045159330664685</v>
      </c>
      <c r="FE161" s="143">
        <f t="shared" si="512"/>
        <v>11.045159330664685</v>
      </c>
      <c r="FF161" s="143">
        <f t="shared" si="512"/>
        <v>11.045159330664685</v>
      </c>
      <c r="FG161" s="143">
        <f t="shared" si="512"/>
        <v>11.045159330664685</v>
      </c>
      <c r="FH161" s="143">
        <f t="shared" si="512"/>
        <v>11.045159330664685</v>
      </c>
      <c r="FI161" s="143">
        <f t="shared" si="512"/>
        <v>11.045159330664685</v>
      </c>
      <c r="FJ161" s="143">
        <f>Q157</f>
        <v>11.46394528274851</v>
      </c>
      <c r="FK161" s="143">
        <f t="shared" ref="FK161:GC161" si="513">FJ161</f>
        <v>11.46394528274851</v>
      </c>
      <c r="FL161" s="143">
        <f t="shared" si="513"/>
        <v>11.46394528274851</v>
      </c>
      <c r="FM161" s="143">
        <f t="shared" si="513"/>
        <v>11.46394528274851</v>
      </c>
      <c r="FN161" s="143">
        <f t="shared" si="513"/>
        <v>11.46394528274851</v>
      </c>
      <c r="FO161" s="143">
        <f t="shared" si="513"/>
        <v>11.46394528274851</v>
      </c>
      <c r="FP161" s="143">
        <f t="shared" si="513"/>
        <v>11.46394528274851</v>
      </c>
      <c r="FQ161" s="143">
        <f t="shared" si="513"/>
        <v>11.46394528274851</v>
      </c>
      <c r="FR161" s="143">
        <f t="shared" si="513"/>
        <v>11.46394528274851</v>
      </c>
      <c r="FS161" s="143">
        <f t="shared" si="513"/>
        <v>11.46394528274851</v>
      </c>
      <c r="FT161" s="143">
        <f t="shared" si="513"/>
        <v>11.46394528274851</v>
      </c>
      <c r="FU161" s="143">
        <f t="shared" si="513"/>
        <v>11.46394528274851</v>
      </c>
      <c r="FV161" s="143">
        <f t="shared" si="513"/>
        <v>11.46394528274851</v>
      </c>
      <c r="FW161" s="143">
        <f t="shared" si="513"/>
        <v>11.46394528274851</v>
      </c>
      <c r="FX161" s="143">
        <f t="shared" si="513"/>
        <v>11.46394528274851</v>
      </c>
      <c r="FY161" s="143">
        <f t="shared" si="513"/>
        <v>11.46394528274851</v>
      </c>
      <c r="FZ161" s="143">
        <f t="shared" si="513"/>
        <v>11.46394528274851</v>
      </c>
      <c r="GA161" s="143">
        <f t="shared" si="513"/>
        <v>11.46394528274851</v>
      </c>
      <c r="GB161" s="143">
        <f t="shared" si="513"/>
        <v>11.46394528274851</v>
      </c>
      <c r="GC161" s="143">
        <f t="shared" si="513"/>
        <v>11.46394528274851</v>
      </c>
      <c r="GD161" s="143">
        <f>R157</f>
        <v>11.834139020630802</v>
      </c>
      <c r="GE161" s="143">
        <f t="shared" ref="GE161:GM161" si="514">GD161</f>
        <v>11.834139020630802</v>
      </c>
      <c r="GF161" s="143">
        <f t="shared" si="514"/>
        <v>11.834139020630802</v>
      </c>
      <c r="GG161" s="143">
        <f t="shared" si="514"/>
        <v>11.834139020630802</v>
      </c>
      <c r="GH161" s="143">
        <f t="shared" si="514"/>
        <v>11.834139020630802</v>
      </c>
      <c r="GI161" s="143">
        <f t="shared" si="514"/>
        <v>11.834139020630802</v>
      </c>
      <c r="GJ161" s="143">
        <f t="shared" si="514"/>
        <v>11.834139020630802</v>
      </c>
      <c r="GK161" s="143">
        <f t="shared" si="514"/>
        <v>11.834139020630802</v>
      </c>
      <c r="GL161" s="143">
        <f t="shared" si="514"/>
        <v>11.834139020630802</v>
      </c>
      <c r="GM161" s="143">
        <f t="shared" si="514"/>
        <v>11.834139020630802</v>
      </c>
      <c r="GN161" s="143">
        <f>S157</f>
        <v>12.145685495515078</v>
      </c>
      <c r="GO161" s="143">
        <f>GN161</f>
        <v>12.145685495515078</v>
      </c>
      <c r="GP161" s="143">
        <f>GO161</f>
        <v>12.145685495515078</v>
      </c>
      <c r="GQ161" s="143">
        <f>GP161</f>
        <v>12.145685495515078</v>
      </c>
      <c r="GR161" s="143">
        <f>GQ161</f>
        <v>12.145685495515078</v>
      </c>
      <c r="GS161" s="143">
        <f>T157</f>
        <v>12.650566140605816</v>
      </c>
      <c r="GT161" s="143">
        <f>GS161</f>
        <v>12.650566140605816</v>
      </c>
      <c r="GU161" s="143">
        <f>GT161</f>
        <v>12.650566140605816</v>
      </c>
      <c r="GV161" s="143">
        <f>GU161</f>
        <v>12.650566140605816</v>
      </c>
      <c r="GW161" s="143">
        <f>U157</f>
        <v>14.296491218548583</v>
      </c>
    </row>
    <row r="162" spans="1:205" s="556" customFormat="1">
      <c r="A162" s="46"/>
    </row>
    <row r="163" spans="1:205" s="149" customFormat="1" ht="13.5" customHeight="1">
      <c r="A163" s="575" t="s">
        <v>649</v>
      </c>
      <c r="B163" s="271"/>
      <c r="C163" s="271"/>
      <c r="D163" s="271"/>
      <c r="E163" s="271"/>
      <c r="F163" s="271"/>
      <c r="G163" s="271"/>
      <c r="H163" s="271"/>
      <c r="I163" s="271"/>
      <c r="J163" s="271"/>
      <c r="K163" s="271"/>
      <c r="L163" s="271"/>
      <c r="M163" s="143"/>
      <c r="N163" s="143"/>
      <c r="O163" s="143"/>
      <c r="P163" s="143"/>
      <c r="Q163" s="143"/>
      <c r="R163" s="143"/>
      <c r="T163" s="143"/>
      <c r="U163" s="143"/>
    </row>
    <row r="164" spans="1:205" s="556" customFormat="1">
      <c r="A164" s="144"/>
      <c r="B164" s="729" t="s">
        <v>188</v>
      </c>
      <c r="C164" s="729" t="s">
        <v>255</v>
      </c>
      <c r="D164" s="486"/>
      <c r="E164" s="731" t="s">
        <v>204</v>
      </c>
      <c r="F164" s="731"/>
      <c r="G164" s="731"/>
      <c r="H164" s="731"/>
      <c r="I164" s="731"/>
      <c r="J164" s="731"/>
      <c r="K164" s="731"/>
      <c r="L164" s="731"/>
      <c r="M164" s="134"/>
      <c r="N164" s="736" t="s">
        <v>205</v>
      </c>
      <c r="O164" s="736"/>
      <c r="P164" s="736"/>
      <c r="Q164" s="736"/>
      <c r="R164" s="736"/>
      <c r="S164" s="736"/>
      <c r="T164" s="736"/>
      <c r="U164" s="736"/>
      <c r="V164" s="134"/>
      <c r="W164" s="736" t="s">
        <v>466</v>
      </c>
      <c r="X164" s="736"/>
      <c r="Y164" s="736"/>
      <c r="Z164" s="736"/>
      <c r="AA164" s="736"/>
      <c r="AB164" s="736"/>
      <c r="AC164" s="736"/>
      <c r="AD164" s="736"/>
      <c r="AE164" s="486"/>
      <c r="AF164" s="732" t="s">
        <v>624</v>
      </c>
      <c r="AG164" s="732"/>
      <c r="AH164" s="732"/>
      <c r="AI164" s="732"/>
      <c r="AJ164" s="732"/>
      <c r="AK164" s="732"/>
      <c r="AL164" s="732"/>
      <c r="AM164" s="732"/>
      <c r="AN164" s="486"/>
      <c r="AO164" s="731" t="s">
        <v>207</v>
      </c>
      <c r="AP164" s="731"/>
      <c r="AQ164" s="731"/>
      <c r="AR164" s="731"/>
      <c r="AS164" s="731"/>
      <c r="AT164" s="731"/>
      <c r="AU164" s="731"/>
      <c r="AV164" s="731"/>
    </row>
    <row r="165" spans="1:205" s="556" customFormat="1">
      <c r="A165" s="53"/>
      <c r="B165" s="730"/>
      <c r="C165" s="730"/>
      <c r="D165" s="6"/>
      <c r="E165" s="6" t="s">
        <v>158</v>
      </c>
      <c r="F165" s="6" t="s">
        <v>159</v>
      </c>
      <c r="G165" s="6" t="s">
        <v>160</v>
      </c>
      <c r="H165" s="6" t="s">
        <v>161</v>
      </c>
      <c r="I165" s="51" t="s">
        <v>33</v>
      </c>
      <c r="J165" s="51" t="s">
        <v>51</v>
      </c>
      <c r="K165" s="51" t="s">
        <v>52</v>
      </c>
      <c r="L165" s="51" t="s">
        <v>28</v>
      </c>
      <c r="M165" s="5"/>
      <c r="N165" s="6" t="s">
        <v>158</v>
      </c>
      <c r="O165" s="6" t="s">
        <v>159</v>
      </c>
      <c r="P165" s="6" t="s">
        <v>160</v>
      </c>
      <c r="Q165" s="6" t="s">
        <v>161</v>
      </c>
      <c r="R165" s="51" t="s">
        <v>33</v>
      </c>
      <c r="S165" s="51" t="s">
        <v>51</v>
      </c>
      <c r="T165" s="51" t="s">
        <v>52</v>
      </c>
      <c r="U165" s="51" t="s">
        <v>28</v>
      </c>
      <c r="V165" s="5"/>
      <c r="W165" s="6" t="s">
        <v>158</v>
      </c>
      <c r="X165" s="6" t="s">
        <v>159</v>
      </c>
      <c r="Y165" s="6" t="s">
        <v>160</v>
      </c>
      <c r="Z165" s="6" t="s">
        <v>161</v>
      </c>
      <c r="AA165" s="51" t="s">
        <v>33</v>
      </c>
      <c r="AB165" s="51" t="s">
        <v>51</v>
      </c>
      <c r="AC165" s="51" t="s">
        <v>52</v>
      </c>
      <c r="AD165" s="51" t="s">
        <v>28</v>
      </c>
      <c r="AF165" s="6" t="s">
        <v>158</v>
      </c>
      <c r="AG165" s="6" t="s">
        <v>159</v>
      </c>
      <c r="AH165" s="6" t="s">
        <v>160</v>
      </c>
      <c r="AI165" s="6" t="s">
        <v>161</v>
      </c>
      <c r="AJ165" s="51" t="s">
        <v>33</v>
      </c>
      <c r="AK165" s="51" t="s">
        <v>51</v>
      </c>
      <c r="AL165" s="51" t="s">
        <v>52</v>
      </c>
      <c r="AM165" s="51" t="s">
        <v>28</v>
      </c>
      <c r="AN165" s="6"/>
      <c r="AO165" s="6" t="s">
        <v>158</v>
      </c>
      <c r="AP165" s="6" t="s">
        <v>159</v>
      </c>
      <c r="AQ165" s="6" t="s">
        <v>160</v>
      </c>
      <c r="AR165" s="6" t="s">
        <v>161</v>
      </c>
      <c r="AS165" s="51" t="s">
        <v>33</v>
      </c>
      <c r="AT165" s="51" t="s">
        <v>51</v>
      </c>
      <c r="AU165" s="51" t="s">
        <v>52</v>
      </c>
      <c r="AV165" s="51" t="s">
        <v>28</v>
      </c>
      <c r="AX165" s="103"/>
    </row>
    <row r="166" spans="1:205" s="149" customFormat="1" ht="10.5" customHeight="1">
      <c r="A166" s="259" t="s">
        <v>48</v>
      </c>
      <c r="B166" s="158">
        <f>B170</f>
        <v>0.93515832898767082</v>
      </c>
      <c r="C166" s="158">
        <f>C170</f>
        <v>0.95112162378487541</v>
      </c>
      <c r="D166" s="556"/>
      <c r="E166" s="143">
        <f t="shared" ref="E166:L166" si="515">LN(AO166)</f>
        <v>6.0050222250400473</v>
      </c>
      <c r="F166" s="143">
        <f t="shared" si="515"/>
        <v>8.3493187703691696</v>
      </c>
      <c r="G166" s="143">
        <f t="shared" si="515"/>
        <v>9.2797171697540026</v>
      </c>
      <c r="H166" s="143">
        <f t="shared" si="515"/>
        <v>9.9386442495206087</v>
      </c>
      <c r="I166" s="143">
        <f t="shared" si="515"/>
        <v>10.483640711782828</v>
      </c>
      <c r="J166" s="143">
        <f t="shared" si="515"/>
        <v>10.893922027352794</v>
      </c>
      <c r="K166" s="143">
        <f t="shared" si="515"/>
        <v>11.530730215486081</v>
      </c>
      <c r="L166" s="143">
        <f t="shared" si="515"/>
        <v>13.406517794991803</v>
      </c>
      <c r="M166" s="46"/>
      <c r="N166" s="143">
        <f t="shared" ref="N166:U166" si="516">LN(AF166)</f>
        <v>9.9683385248557439</v>
      </c>
      <c r="O166" s="143">
        <f t="shared" si="516"/>
        <v>10.757264379021041</v>
      </c>
      <c r="P166" s="143">
        <f t="shared" si="516"/>
        <v>11.245830026126836</v>
      </c>
      <c r="Q166" s="143">
        <f t="shared" si="516"/>
        <v>11.66461597821066</v>
      </c>
      <c r="R166" s="143">
        <f t="shared" si="516"/>
        <v>12.034809716092953</v>
      </c>
      <c r="S166" s="143">
        <f t="shared" si="516"/>
        <v>12.346356190977231</v>
      </c>
      <c r="T166" s="143">
        <f t="shared" si="516"/>
        <v>12.851236836067967</v>
      </c>
      <c r="U166" s="143">
        <f t="shared" si="516"/>
        <v>14.497161914010736</v>
      </c>
      <c r="V166" s="556"/>
      <c r="W166" s="573">
        <f>W69</f>
        <v>1.9</v>
      </c>
      <c r="X166" s="573">
        <f t="shared" ref="X166:AD166" si="517">X69</f>
        <v>9</v>
      </c>
      <c r="Y166" s="573">
        <f t="shared" si="517"/>
        <v>14</v>
      </c>
      <c r="Z166" s="573">
        <f t="shared" si="517"/>
        <v>17.8</v>
      </c>
      <c r="AA166" s="573">
        <f t="shared" si="517"/>
        <v>21.2</v>
      </c>
      <c r="AB166" s="573">
        <f t="shared" si="517"/>
        <v>23.4</v>
      </c>
      <c r="AC166" s="573">
        <f t="shared" si="517"/>
        <v>26.7</v>
      </c>
      <c r="AD166" s="573">
        <f t="shared" si="517"/>
        <v>33.6</v>
      </c>
      <c r="AE166" s="556"/>
      <c r="AF166" s="579">
        <f>AF$69*1.1</f>
        <v>21340</v>
      </c>
      <c r="AG166" s="579">
        <f t="shared" ref="AG166:AM166" si="518">AG$69*1.1</f>
        <v>46970.000000000007</v>
      </c>
      <c r="AH166" s="579">
        <f t="shared" si="518"/>
        <v>76560</v>
      </c>
      <c r="AI166" s="579">
        <f t="shared" si="518"/>
        <v>116380.00000000001</v>
      </c>
      <c r="AJ166" s="579">
        <f t="shared" si="518"/>
        <v>168520</v>
      </c>
      <c r="AK166" s="579">
        <f t="shared" si="518"/>
        <v>230120.00000000003</v>
      </c>
      <c r="AL166" s="579">
        <f t="shared" si="518"/>
        <v>381260.00000000006</v>
      </c>
      <c r="AM166" s="579">
        <f t="shared" si="518"/>
        <v>1977140.0000000002</v>
      </c>
      <c r="AN166" s="556"/>
      <c r="AO166" s="60">
        <f t="shared" ref="AO166:AV166" si="519">W166*AF166/100</f>
        <v>405.46</v>
      </c>
      <c r="AP166" s="60">
        <f t="shared" si="519"/>
        <v>4227.3</v>
      </c>
      <c r="AQ166" s="60">
        <f t="shared" si="519"/>
        <v>10718.4</v>
      </c>
      <c r="AR166" s="60">
        <f t="shared" si="519"/>
        <v>20715.640000000003</v>
      </c>
      <c r="AS166" s="60">
        <f t="shared" si="519"/>
        <v>35726.239999999998</v>
      </c>
      <c r="AT166" s="60">
        <f t="shared" si="519"/>
        <v>53848.08</v>
      </c>
      <c r="AU166" s="60">
        <f t="shared" si="519"/>
        <v>101796.42000000001</v>
      </c>
      <c r="AV166" s="60">
        <f t="shared" si="519"/>
        <v>664319.04</v>
      </c>
    </row>
    <row r="167" spans="1:205" s="149" customFormat="1" ht="9" customHeight="1">
      <c r="A167" s="259"/>
      <c r="E167" s="143"/>
      <c r="F167" s="143"/>
      <c r="G167" s="143"/>
      <c r="H167" s="143"/>
      <c r="I167" s="143"/>
      <c r="J167" s="143"/>
      <c r="K167" s="143"/>
      <c r="L167" s="143"/>
      <c r="M167" s="143"/>
      <c r="N167" s="143"/>
      <c r="O167" s="143"/>
      <c r="P167" s="143"/>
      <c r="Q167" s="143"/>
      <c r="R167" s="143"/>
      <c r="S167" s="143"/>
      <c r="T167" s="143"/>
      <c r="U167" s="143"/>
    </row>
    <row r="168" spans="1:205" s="556" customFormat="1">
      <c r="A168" s="256"/>
      <c r="E168" s="745" t="s">
        <v>158</v>
      </c>
      <c r="F168" s="745"/>
      <c r="G168" s="745"/>
      <c r="H168" s="745"/>
      <c r="I168" s="745"/>
      <c r="J168" s="745"/>
      <c r="K168" s="745"/>
      <c r="L168" s="745"/>
      <c r="M168" s="745"/>
      <c r="N168" s="745"/>
      <c r="O168" s="745"/>
      <c r="P168" s="745"/>
      <c r="Q168" s="745"/>
      <c r="R168" s="745"/>
      <c r="S168" s="745"/>
      <c r="T168" s="745"/>
      <c r="U168" s="745"/>
      <c r="V168" s="745"/>
      <c r="W168" s="745"/>
      <c r="X168" s="745"/>
      <c r="Y168" s="745" t="s">
        <v>159</v>
      </c>
      <c r="Z168" s="745"/>
      <c r="AA168" s="745"/>
      <c r="AB168" s="745"/>
      <c r="AC168" s="745"/>
      <c r="AD168" s="745"/>
      <c r="AE168" s="745"/>
      <c r="AF168" s="745"/>
      <c r="AG168" s="745"/>
      <c r="AH168" s="745"/>
      <c r="AI168" s="745"/>
      <c r="AJ168" s="745"/>
      <c r="AK168" s="745"/>
      <c r="AL168" s="745"/>
      <c r="AM168" s="745"/>
      <c r="AN168" s="745"/>
      <c r="AO168" s="745"/>
      <c r="AP168" s="745"/>
      <c r="AQ168" s="745"/>
      <c r="AR168" s="745"/>
      <c r="AS168" s="745" t="s">
        <v>160</v>
      </c>
      <c r="AT168" s="745"/>
      <c r="AU168" s="745"/>
      <c r="AV168" s="745"/>
      <c r="AW168" s="745"/>
      <c r="AX168" s="745"/>
      <c r="AY168" s="745"/>
      <c r="AZ168" s="745"/>
      <c r="BA168" s="745"/>
      <c r="BB168" s="745"/>
      <c r="BC168" s="745"/>
      <c r="BD168" s="745"/>
      <c r="BE168" s="745"/>
      <c r="BF168" s="745"/>
      <c r="BG168" s="745"/>
      <c r="BH168" s="745"/>
      <c r="BI168" s="745"/>
      <c r="BJ168" s="745"/>
      <c r="BK168" s="745"/>
      <c r="BL168" s="745"/>
      <c r="BM168" s="745" t="s">
        <v>161</v>
      </c>
      <c r="BN168" s="745"/>
      <c r="BO168" s="745"/>
      <c r="BP168" s="745"/>
      <c r="BQ168" s="745"/>
      <c r="BR168" s="745"/>
      <c r="BS168" s="745"/>
      <c r="BT168" s="745"/>
      <c r="BU168" s="745"/>
      <c r="BV168" s="745"/>
      <c r="BW168" s="745"/>
      <c r="BX168" s="745"/>
      <c r="BY168" s="745"/>
      <c r="BZ168" s="745"/>
      <c r="CA168" s="745"/>
      <c r="CB168" s="745"/>
      <c r="CC168" s="745"/>
      <c r="CD168" s="745"/>
      <c r="CE168" s="745"/>
      <c r="CF168" s="745"/>
      <c r="CG168" s="746" t="s">
        <v>33</v>
      </c>
      <c r="CH168" s="746"/>
      <c r="CI168" s="746"/>
      <c r="CJ168" s="746"/>
      <c r="CK168" s="746"/>
      <c r="CL168" s="746"/>
      <c r="CM168" s="746"/>
      <c r="CN168" s="746"/>
      <c r="CO168" s="746"/>
      <c r="CP168" s="746"/>
      <c r="CQ168" s="746" t="s">
        <v>51</v>
      </c>
      <c r="CR168" s="746"/>
      <c r="CS168" s="746"/>
      <c r="CT168" s="746"/>
      <c r="CU168" s="746"/>
      <c r="CV168" s="746" t="s">
        <v>52</v>
      </c>
      <c r="CW168" s="746"/>
      <c r="CX168" s="746"/>
      <c r="CY168" s="746"/>
      <c r="CZ168" s="493" t="s">
        <v>28</v>
      </c>
      <c r="DB168" s="745" t="s">
        <v>158</v>
      </c>
      <c r="DC168" s="745"/>
      <c r="DD168" s="745"/>
      <c r="DE168" s="745"/>
      <c r="DF168" s="745"/>
      <c r="DG168" s="745"/>
      <c r="DH168" s="745"/>
      <c r="DI168" s="745"/>
      <c r="DJ168" s="745"/>
      <c r="DK168" s="745"/>
      <c r="DL168" s="745"/>
      <c r="DM168" s="745"/>
      <c r="DN168" s="745"/>
      <c r="DO168" s="745"/>
      <c r="DP168" s="745"/>
      <c r="DQ168" s="745"/>
      <c r="DR168" s="745"/>
      <c r="DS168" s="745"/>
      <c r="DT168" s="745"/>
      <c r="DU168" s="745"/>
      <c r="DV168" s="745" t="s">
        <v>159</v>
      </c>
      <c r="DW168" s="745"/>
      <c r="DX168" s="745"/>
      <c r="DY168" s="745"/>
      <c r="DZ168" s="745"/>
      <c r="EA168" s="745"/>
      <c r="EB168" s="745"/>
      <c r="EC168" s="745"/>
      <c r="ED168" s="745"/>
      <c r="EE168" s="745"/>
      <c r="EF168" s="745"/>
      <c r="EG168" s="745"/>
      <c r="EH168" s="745"/>
      <c r="EI168" s="745"/>
      <c r="EJ168" s="745"/>
      <c r="EK168" s="745"/>
      <c r="EL168" s="745"/>
      <c r="EM168" s="745"/>
      <c r="EN168" s="745"/>
      <c r="EO168" s="745"/>
      <c r="EP168" s="745" t="s">
        <v>160</v>
      </c>
      <c r="EQ168" s="745"/>
      <c r="ER168" s="745"/>
      <c r="ES168" s="745"/>
      <c r="ET168" s="745"/>
      <c r="EU168" s="745"/>
      <c r="EV168" s="745"/>
      <c r="EW168" s="745"/>
      <c r="EX168" s="745"/>
      <c r="EY168" s="745"/>
      <c r="EZ168" s="745"/>
      <c r="FA168" s="745"/>
      <c r="FB168" s="745"/>
      <c r="FC168" s="745"/>
      <c r="FD168" s="745"/>
      <c r="FE168" s="745"/>
      <c r="FF168" s="745"/>
      <c r="FG168" s="745"/>
      <c r="FH168" s="745"/>
      <c r="FI168" s="745"/>
      <c r="FJ168" s="745" t="s">
        <v>161</v>
      </c>
      <c r="FK168" s="745"/>
      <c r="FL168" s="745"/>
      <c r="FM168" s="745"/>
      <c r="FN168" s="745"/>
      <c r="FO168" s="745"/>
      <c r="FP168" s="745"/>
      <c r="FQ168" s="745"/>
      <c r="FR168" s="745"/>
      <c r="FS168" s="745"/>
      <c r="FT168" s="745"/>
      <c r="FU168" s="745"/>
      <c r="FV168" s="745"/>
      <c r="FW168" s="745"/>
      <c r="FX168" s="745"/>
      <c r="FY168" s="745"/>
      <c r="FZ168" s="745"/>
      <c r="GA168" s="745"/>
      <c r="GB168" s="745"/>
      <c r="GC168" s="745"/>
      <c r="GD168" s="746" t="s">
        <v>33</v>
      </c>
      <c r="GE168" s="746"/>
      <c r="GF168" s="746"/>
      <c r="GG168" s="746"/>
      <c r="GH168" s="746"/>
      <c r="GI168" s="746"/>
      <c r="GJ168" s="746"/>
      <c r="GK168" s="746"/>
      <c r="GL168" s="746"/>
      <c r="GM168" s="746"/>
      <c r="GN168" s="746" t="s">
        <v>51</v>
      </c>
      <c r="GO168" s="746"/>
      <c r="GP168" s="746"/>
      <c r="GQ168" s="746"/>
      <c r="GR168" s="746"/>
      <c r="GS168" s="746" t="s">
        <v>52</v>
      </c>
      <c r="GT168" s="746"/>
      <c r="GU168" s="746"/>
      <c r="GV168" s="746"/>
      <c r="GW168" s="493" t="s">
        <v>28</v>
      </c>
    </row>
    <row r="169" spans="1:205" s="46" customFormat="1">
      <c r="A169" s="15"/>
      <c r="E169" s="255">
        <v>1</v>
      </c>
      <c r="F169" s="255">
        <f t="shared" ref="F169:AK169" si="520">E169+1</f>
        <v>2</v>
      </c>
      <c r="G169" s="255">
        <f t="shared" si="520"/>
        <v>3</v>
      </c>
      <c r="H169" s="255">
        <f t="shared" si="520"/>
        <v>4</v>
      </c>
      <c r="I169" s="255">
        <f t="shared" si="520"/>
        <v>5</v>
      </c>
      <c r="J169" s="255">
        <f t="shared" si="520"/>
        <v>6</v>
      </c>
      <c r="K169" s="255">
        <f t="shared" si="520"/>
        <v>7</v>
      </c>
      <c r="L169" s="255">
        <f t="shared" si="520"/>
        <v>8</v>
      </c>
      <c r="M169" s="255">
        <f t="shared" si="520"/>
        <v>9</v>
      </c>
      <c r="N169" s="255">
        <f t="shared" si="520"/>
        <v>10</v>
      </c>
      <c r="O169" s="255">
        <f t="shared" si="520"/>
        <v>11</v>
      </c>
      <c r="P169" s="255">
        <f t="shared" si="520"/>
        <v>12</v>
      </c>
      <c r="Q169" s="255">
        <f t="shared" si="520"/>
        <v>13</v>
      </c>
      <c r="R169" s="255">
        <f t="shared" si="520"/>
        <v>14</v>
      </c>
      <c r="S169" s="255">
        <f t="shared" si="520"/>
        <v>15</v>
      </c>
      <c r="T169" s="255">
        <f t="shared" si="520"/>
        <v>16</v>
      </c>
      <c r="U169" s="255">
        <f t="shared" si="520"/>
        <v>17</v>
      </c>
      <c r="V169" s="255">
        <f t="shared" si="520"/>
        <v>18</v>
      </c>
      <c r="W169" s="255">
        <f t="shared" si="520"/>
        <v>19</v>
      </c>
      <c r="X169" s="255">
        <f t="shared" si="520"/>
        <v>20</v>
      </c>
      <c r="Y169" s="255">
        <f t="shared" si="520"/>
        <v>21</v>
      </c>
      <c r="Z169" s="255">
        <f t="shared" si="520"/>
        <v>22</v>
      </c>
      <c r="AA169" s="255">
        <f t="shared" si="520"/>
        <v>23</v>
      </c>
      <c r="AB169" s="255">
        <f t="shared" si="520"/>
        <v>24</v>
      </c>
      <c r="AC169" s="255">
        <f t="shared" si="520"/>
        <v>25</v>
      </c>
      <c r="AD169" s="255">
        <f t="shared" si="520"/>
        <v>26</v>
      </c>
      <c r="AE169" s="255">
        <f t="shared" si="520"/>
        <v>27</v>
      </c>
      <c r="AF169" s="255">
        <f t="shared" si="520"/>
        <v>28</v>
      </c>
      <c r="AG169" s="255">
        <f t="shared" si="520"/>
        <v>29</v>
      </c>
      <c r="AH169" s="255">
        <f t="shared" si="520"/>
        <v>30</v>
      </c>
      <c r="AI169" s="255">
        <f t="shared" si="520"/>
        <v>31</v>
      </c>
      <c r="AJ169" s="255">
        <f t="shared" si="520"/>
        <v>32</v>
      </c>
      <c r="AK169" s="255">
        <f t="shared" si="520"/>
        <v>33</v>
      </c>
      <c r="AL169" s="255">
        <f t="shared" ref="AL169:BQ169" si="521">AK169+1</f>
        <v>34</v>
      </c>
      <c r="AM169" s="255">
        <f t="shared" si="521"/>
        <v>35</v>
      </c>
      <c r="AN169" s="255">
        <f t="shared" si="521"/>
        <v>36</v>
      </c>
      <c r="AO169" s="255">
        <f t="shared" si="521"/>
        <v>37</v>
      </c>
      <c r="AP169" s="255">
        <f t="shared" si="521"/>
        <v>38</v>
      </c>
      <c r="AQ169" s="255">
        <f t="shared" si="521"/>
        <v>39</v>
      </c>
      <c r="AR169" s="255">
        <f t="shared" si="521"/>
        <v>40</v>
      </c>
      <c r="AS169" s="255">
        <f t="shared" si="521"/>
        <v>41</v>
      </c>
      <c r="AT169" s="255">
        <f t="shared" si="521"/>
        <v>42</v>
      </c>
      <c r="AU169" s="255">
        <f t="shared" si="521"/>
        <v>43</v>
      </c>
      <c r="AV169" s="255">
        <f t="shared" si="521"/>
        <v>44</v>
      </c>
      <c r="AW169" s="255">
        <f t="shared" si="521"/>
        <v>45</v>
      </c>
      <c r="AX169" s="255">
        <f t="shared" si="521"/>
        <v>46</v>
      </c>
      <c r="AY169" s="255">
        <f t="shared" si="521"/>
        <v>47</v>
      </c>
      <c r="AZ169" s="255">
        <f t="shared" si="521"/>
        <v>48</v>
      </c>
      <c r="BA169" s="255">
        <f t="shared" si="521"/>
        <v>49</v>
      </c>
      <c r="BB169" s="255">
        <f t="shared" si="521"/>
        <v>50</v>
      </c>
      <c r="BC169" s="255">
        <f t="shared" si="521"/>
        <v>51</v>
      </c>
      <c r="BD169" s="255">
        <f t="shared" si="521"/>
        <v>52</v>
      </c>
      <c r="BE169" s="255">
        <f t="shared" si="521"/>
        <v>53</v>
      </c>
      <c r="BF169" s="255">
        <f t="shared" si="521"/>
        <v>54</v>
      </c>
      <c r="BG169" s="255">
        <f t="shared" si="521"/>
        <v>55</v>
      </c>
      <c r="BH169" s="255">
        <f t="shared" si="521"/>
        <v>56</v>
      </c>
      <c r="BI169" s="255">
        <f t="shared" si="521"/>
        <v>57</v>
      </c>
      <c r="BJ169" s="255">
        <f t="shared" si="521"/>
        <v>58</v>
      </c>
      <c r="BK169" s="255">
        <f t="shared" si="521"/>
        <v>59</v>
      </c>
      <c r="BL169" s="255">
        <f t="shared" si="521"/>
        <v>60</v>
      </c>
      <c r="BM169" s="255">
        <f t="shared" si="521"/>
        <v>61</v>
      </c>
      <c r="BN169" s="255">
        <f t="shared" si="521"/>
        <v>62</v>
      </c>
      <c r="BO169" s="255">
        <f t="shared" si="521"/>
        <v>63</v>
      </c>
      <c r="BP169" s="255">
        <f t="shared" si="521"/>
        <v>64</v>
      </c>
      <c r="BQ169" s="255">
        <f t="shared" si="521"/>
        <v>65</v>
      </c>
      <c r="BR169" s="255">
        <f t="shared" ref="BR169:CZ169" si="522">BQ169+1</f>
        <v>66</v>
      </c>
      <c r="BS169" s="255">
        <f t="shared" si="522"/>
        <v>67</v>
      </c>
      <c r="BT169" s="255">
        <f t="shared" si="522"/>
        <v>68</v>
      </c>
      <c r="BU169" s="255">
        <f t="shared" si="522"/>
        <v>69</v>
      </c>
      <c r="BV169" s="255">
        <f t="shared" si="522"/>
        <v>70</v>
      </c>
      <c r="BW169" s="255">
        <f t="shared" si="522"/>
        <v>71</v>
      </c>
      <c r="BX169" s="255">
        <f t="shared" si="522"/>
        <v>72</v>
      </c>
      <c r="BY169" s="255">
        <f t="shared" si="522"/>
        <v>73</v>
      </c>
      <c r="BZ169" s="255">
        <f t="shared" si="522"/>
        <v>74</v>
      </c>
      <c r="CA169" s="255">
        <f t="shared" si="522"/>
        <v>75</v>
      </c>
      <c r="CB169" s="255">
        <f t="shared" si="522"/>
        <v>76</v>
      </c>
      <c r="CC169" s="255">
        <f t="shared" si="522"/>
        <v>77</v>
      </c>
      <c r="CD169" s="255">
        <f t="shared" si="522"/>
        <v>78</v>
      </c>
      <c r="CE169" s="255">
        <f t="shared" si="522"/>
        <v>79</v>
      </c>
      <c r="CF169" s="255">
        <f t="shared" si="522"/>
        <v>80</v>
      </c>
      <c r="CG169" s="255">
        <f t="shared" si="522"/>
        <v>81</v>
      </c>
      <c r="CH169" s="255">
        <f t="shared" si="522"/>
        <v>82</v>
      </c>
      <c r="CI169" s="255">
        <f t="shared" si="522"/>
        <v>83</v>
      </c>
      <c r="CJ169" s="255">
        <f t="shared" si="522"/>
        <v>84</v>
      </c>
      <c r="CK169" s="255">
        <f t="shared" si="522"/>
        <v>85</v>
      </c>
      <c r="CL169" s="255">
        <f t="shared" si="522"/>
        <v>86</v>
      </c>
      <c r="CM169" s="255">
        <f t="shared" si="522"/>
        <v>87</v>
      </c>
      <c r="CN169" s="255">
        <f t="shared" si="522"/>
        <v>88</v>
      </c>
      <c r="CO169" s="255">
        <f t="shared" si="522"/>
        <v>89</v>
      </c>
      <c r="CP169" s="255">
        <f t="shared" si="522"/>
        <v>90</v>
      </c>
      <c r="CQ169" s="255">
        <f t="shared" si="522"/>
        <v>91</v>
      </c>
      <c r="CR169" s="255">
        <f t="shared" si="522"/>
        <v>92</v>
      </c>
      <c r="CS169" s="255">
        <f t="shared" si="522"/>
        <v>93</v>
      </c>
      <c r="CT169" s="255">
        <f t="shared" si="522"/>
        <v>94</v>
      </c>
      <c r="CU169" s="255">
        <f t="shared" si="522"/>
        <v>95</v>
      </c>
      <c r="CV169" s="255">
        <f t="shared" si="522"/>
        <v>96</v>
      </c>
      <c r="CW169" s="255">
        <f t="shared" si="522"/>
        <v>97</v>
      </c>
      <c r="CX169" s="255">
        <f t="shared" si="522"/>
        <v>98</v>
      </c>
      <c r="CY169" s="255">
        <f t="shared" si="522"/>
        <v>99</v>
      </c>
      <c r="CZ169" s="255">
        <f t="shared" si="522"/>
        <v>100</v>
      </c>
      <c r="DB169" s="255">
        <v>1</v>
      </c>
      <c r="DC169" s="255">
        <f t="shared" ref="DC169:EH169" si="523">DB169+1</f>
        <v>2</v>
      </c>
      <c r="DD169" s="255">
        <f t="shared" si="523"/>
        <v>3</v>
      </c>
      <c r="DE169" s="255">
        <f t="shared" si="523"/>
        <v>4</v>
      </c>
      <c r="DF169" s="255">
        <f t="shared" si="523"/>
        <v>5</v>
      </c>
      <c r="DG169" s="255">
        <f t="shared" si="523"/>
        <v>6</v>
      </c>
      <c r="DH169" s="255">
        <f t="shared" si="523"/>
        <v>7</v>
      </c>
      <c r="DI169" s="255">
        <f t="shared" si="523"/>
        <v>8</v>
      </c>
      <c r="DJ169" s="255">
        <f t="shared" si="523"/>
        <v>9</v>
      </c>
      <c r="DK169" s="255">
        <f t="shared" si="523"/>
        <v>10</v>
      </c>
      <c r="DL169" s="255">
        <f t="shared" si="523"/>
        <v>11</v>
      </c>
      <c r="DM169" s="255">
        <f t="shared" si="523"/>
        <v>12</v>
      </c>
      <c r="DN169" s="255">
        <f t="shared" si="523"/>
        <v>13</v>
      </c>
      <c r="DO169" s="255">
        <f t="shared" si="523"/>
        <v>14</v>
      </c>
      <c r="DP169" s="255">
        <f t="shared" si="523"/>
        <v>15</v>
      </c>
      <c r="DQ169" s="255">
        <f t="shared" si="523"/>
        <v>16</v>
      </c>
      <c r="DR169" s="255">
        <f t="shared" si="523"/>
        <v>17</v>
      </c>
      <c r="DS169" s="255">
        <f t="shared" si="523"/>
        <v>18</v>
      </c>
      <c r="DT169" s="255">
        <f t="shared" si="523"/>
        <v>19</v>
      </c>
      <c r="DU169" s="255">
        <f t="shared" si="523"/>
        <v>20</v>
      </c>
      <c r="DV169" s="255">
        <f t="shared" si="523"/>
        <v>21</v>
      </c>
      <c r="DW169" s="255">
        <f t="shared" si="523"/>
        <v>22</v>
      </c>
      <c r="DX169" s="255">
        <f t="shared" si="523"/>
        <v>23</v>
      </c>
      <c r="DY169" s="255">
        <f t="shared" si="523"/>
        <v>24</v>
      </c>
      <c r="DZ169" s="255">
        <f t="shared" si="523"/>
        <v>25</v>
      </c>
      <c r="EA169" s="255">
        <f t="shared" si="523"/>
        <v>26</v>
      </c>
      <c r="EB169" s="255">
        <f t="shared" si="523"/>
        <v>27</v>
      </c>
      <c r="EC169" s="255">
        <f t="shared" si="523"/>
        <v>28</v>
      </c>
      <c r="ED169" s="255">
        <f t="shared" si="523"/>
        <v>29</v>
      </c>
      <c r="EE169" s="255">
        <f t="shared" si="523"/>
        <v>30</v>
      </c>
      <c r="EF169" s="255">
        <f t="shared" si="523"/>
        <v>31</v>
      </c>
      <c r="EG169" s="255">
        <f t="shared" si="523"/>
        <v>32</v>
      </c>
      <c r="EH169" s="255">
        <f t="shared" si="523"/>
        <v>33</v>
      </c>
      <c r="EI169" s="255">
        <f t="shared" ref="EI169:FN169" si="524">EH169+1</f>
        <v>34</v>
      </c>
      <c r="EJ169" s="255">
        <f t="shared" si="524"/>
        <v>35</v>
      </c>
      <c r="EK169" s="255">
        <f t="shared" si="524"/>
        <v>36</v>
      </c>
      <c r="EL169" s="255">
        <f t="shared" si="524"/>
        <v>37</v>
      </c>
      <c r="EM169" s="255">
        <f t="shared" si="524"/>
        <v>38</v>
      </c>
      <c r="EN169" s="255">
        <f t="shared" si="524"/>
        <v>39</v>
      </c>
      <c r="EO169" s="255">
        <f t="shared" si="524"/>
        <v>40</v>
      </c>
      <c r="EP169" s="255">
        <f t="shared" si="524"/>
        <v>41</v>
      </c>
      <c r="EQ169" s="255">
        <f t="shared" si="524"/>
        <v>42</v>
      </c>
      <c r="ER169" s="255">
        <f t="shared" si="524"/>
        <v>43</v>
      </c>
      <c r="ES169" s="255">
        <f t="shared" si="524"/>
        <v>44</v>
      </c>
      <c r="ET169" s="255">
        <f t="shared" si="524"/>
        <v>45</v>
      </c>
      <c r="EU169" s="255">
        <f t="shared" si="524"/>
        <v>46</v>
      </c>
      <c r="EV169" s="255">
        <f t="shared" si="524"/>
        <v>47</v>
      </c>
      <c r="EW169" s="255">
        <f t="shared" si="524"/>
        <v>48</v>
      </c>
      <c r="EX169" s="255">
        <f t="shared" si="524"/>
        <v>49</v>
      </c>
      <c r="EY169" s="255">
        <f t="shared" si="524"/>
        <v>50</v>
      </c>
      <c r="EZ169" s="255">
        <f t="shared" si="524"/>
        <v>51</v>
      </c>
      <c r="FA169" s="255">
        <f t="shared" si="524"/>
        <v>52</v>
      </c>
      <c r="FB169" s="255">
        <f t="shared" si="524"/>
        <v>53</v>
      </c>
      <c r="FC169" s="255">
        <f t="shared" si="524"/>
        <v>54</v>
      </c>
      <c r="FD169" s="255">
        <f t="shared" si="524"/>
        <v>55</v>
      </c>
      <c r="FE169" s="255">
        <f t="shared" si="524"/>
        <v>56</v>
      </c>
      <c r="FF169" s="255">
        <f t="shared" si="524"/>
        <v>57</v>
      </c>
      <c r="FG169" s="255">
        <f t="shared" si="524"/>
        <v>58</v>
      </c>
      <c r="FH169" s="255">
        <f t="shared" si="524"/>
        <v>59</v>
      </c>
      <c r="FI169" s="255">
        <f t="shared" si="524"/>
        <v>60</v>
      </c>
      <c r="FJ169" s="255">
        <f t="shared" si="524"/>
        <v>61</v>
      </c>
      <c r="FK169" s="255">
        <f t="shared" si="524"/>
        <v>62</v>
      </c>
      <c r="FL169" s="255">
        <f t="shared" si="524"/>
        <v>63</v>
      </c>
      <c r="FM169" s="255">
        <f t="shared" si="524"/>
        <v>64</v>
      </c>
      <c r="FN169" s="255">
        <f t="shared" si="524"/>
        <v>65</v>
      </c>
      <c r="FO169" s="255">
        <f t="shared" ref="FO169:GW169" si="525">FN169+1</f>
        <v>66</v>
      </c>
      <c r="FP169" s="255">
        <f t="shared" si="525"/>
        <v>67</v>
      </c>
      <c r="FQ169" s="255">
        <f t="shared" si="525"/>
        <v>68</v>
      </c>
      <c r="FR169" s="255">
        <f t="shared" si="525"/>
        <v>69</v>
      </c>
      <c r="FS169" s="255">
        <f t="shared" si="525"/>
        <v>70</v>
      </c>
      <c r="FT169" s="255">
        <f t="shared" si="525"/>
        <v>71</v>
      </c>
      <c r="FU169" s="255">
        <f t="shared" si="525"/>
        <v>72</v>
      </c>
      <c r="FV169" s="255">
        <f t="shared" si="525"/>
        <v>73</v>
      </c>
      <c r="FW169" s="255">
        <f t="shared" si="525"/>
        <v>74</v>
      </c>
      <c r="FX169" s="255">
        <f t="shared" si="525"/>
        <v>75</v>
      </c>
      <c r="FY169" s="255">
        <f t="shared" si="525"/>
        <v>76</v>
      </c>
      <c r="FZ169" s="255">
        <f t="shared" si="525"/>
        <v>77</v>
      </c>
      <c r="GA169" s="255">
        <f t="shared" si="525"/>
        <v>78</v>
      </c>
      <c r="GB169" s="255">
        <f t="shared" si="525"/>
        <v>79</v>
      </c>
      <c r="GC169" s="255">
        <f t="shared" si="525"/>
        <v>80</v>
      </c>
      <c r="GD169" s="255">
        <f t="shared" si="525"/>
        <v>81</v>
      </c>
      <c r="GE169" s="255">
        <f t="shared" si="525"/>
        <v>82</v>
      </c>
      <c r="GF169" s="255">
        <f t="shared" si="525"/>
        <v>83</v>
      </c>
      <c r="GG169" s="255">
        <f t="shared" si="525"/>
        <v>84</v>
      </c>
      <c r="GH169" s="255">
        <f t="shared" si="525"/>
        <v>85</v>
      </c>
      <c r="GI169" s="255">
        <f t="shared" si="525"/>
        <v>86</v>
      </c>
      <c r="GJ169" s="255">
        <f t="shared" si="525"/>
        <v>87</v>
      </c>
      <c r="GK169" s="255">
        <f t="shared" si="525"/>
        <v>88</v>
      </c>
      <c r="GL169" s="255">
        <f t="shared" si="525"/>
        <v>89</v>
      </c>
      <c r="GM169" s="255">
        <f t="shared" si="525"/>
        <v>90</v>
      </c>
      <c r="GN169" s="255">
        <f t="shared" si="525"/>
        <v>91</v>
      </c>
      <c r="GO169" s="255">
        <f t="shared" si="525"/>
        <v>92</v>
      </c>
      <c r="GP169" s="255">
        <f t="shared" si="525"/>
        <v>93</v>
      </c>
      <c r="GQ169" s="255">
        <f t="shared" si="525"/>
        <v>94</v>
      </c>
      <c r="GR169" s="255">
        <f t="shared" si="525"/>
        <v>95</v>
      </c>
      <c r="GS169" s="255">
        <f t="shared" si="525"/>
        <v>96</v>
      </c>
      <c r="GT169" s="255">
        <f t="shared" si="525"/>
        <v>97</v>
      </c>
      <c r="GU169" s="255">
        <f t="shared" si="525"/>
        <v>98</v>
      </c>
      <c r="GV169" s="255">
        <f t="shared" si="525"/>
        <v>99</v>
      </c>
      <c r="GW169" s="255">
        <f t="shared" si="525"/>
        <v>100</v>
      </c>
    </row>
    <row r="170" spans="1:205" s="556" customFormat="1" ht="9" customHeight="1">
      <c r="A170" s="259" t="s">
        <v>48</v>
      </c>
      <c r="B170" s="143">
        <f>LINEST(E170:CZ170, DB170:GW170, TRUE, FALSE)-1</f>
        <v>0.93515832898767082</v>
      </c>
      <c r="C170" s="143">
        <f>RSQ(E170:CZ170, DB170:GW170)</f>
        <v>0.95112162378487541</v>
      </c>
      <c r="D170" s="60"/>
      <c r="E170" s="143">
        <f>E166</f>
        <v>6.0050222250400473</v>
      </c>
      <c r="F170" s="143">
        <f t="shared" ref="F170:X170" si="526">E170</f>
        <v>6.0050222250400473</v>
      </c>
      <c r="G170" s="143">
        <f t="shared" si="526"/>
        <v>6.0050222250400473</v>
      </c>
      <c r="H170" s="143">
        <f t="shared" si="526"/>
        <v>6.0050222250400473</v>
      </c>
      <c r="I170" s="143">
        <f t="shared" si="526"/>
        <v>6.0050222250400473</v>
      </c>
      <c r="J170" s="143">
        <f t="shared" si="526"/>
        <v>6.0050222250400473</v>
      </c>
      <c r="K170" s="143">
        <f t="shared" si="526"/>
        <v>6.0050222250400473</v>
      </c>
      <c r="L170" s="143">
        <f t="shared" si="526"/>
        <v>6.0050222250400473</v>
      </c>
      <c r="M170" s="143">
        <f t="shared" si="526"/>
        <v>6.0050222250400473</v>
      </c>
      <c r="N170" s="143">
        <f t="shared" si="526"/>
        <v>6.0050222250400473</v>
      </c>
      <c r="O170" s="143">
        <f t="shared" si="526"/>
        <v>6.0050222250400473</v>
      </c>
      <c r="P170" s="143">
        <f t="shared" si="526"/>
        <v>6.0050222250400473</v>
      </c>
      <c r="Q170" s="143">
        <f t="shared" si="526"/>
        <v>6.0050222250400473</v>
      </c>
      <c r="R170" s="143">
        <f t="shared" si="526"/>
        <v>6.0050222250400473</v>
      </c>
      <c r="S170" s="143">
        <f t="shared" si="526"/>
        <v>6.0050222250400473</v>
      </c>
      <c r="T170" s="143">
        <f t="shared" si="526"/>
        <v>6.0050222250400473</v>
      </c>
      <c r="U170" s="143">
        <f t="shared" si="526"/>
        <v>6.0050222250400473</v>
      </c>
      <c r="V170" s="143">
        <f t="shared" si="526"/>
        <v>6.0050222250400473</v>
      </c>
      <c r="W170" s="143">
        <f t="shared" si="526"/>
        <v>6.0050222250400473</v>
      </c>
      <c r="X170" s="143">
        <f t="shared" si="526"/>
        <v>6.0050222250400473</v>
      </c>
      <c r="Y170" s="143">
        <f>F166</f>
        <v>8.3493187703691696</v>
      </c>
      <c r="Z170" s="143">
        <f t="shared" ref="Z170:AR170" si="527">Y170</f>
        <v>8.3493187703691696</v>
      </c>
      <c r="AA170" s="143">
        <f t="shared" si="527"/>
        <v>8.3493187703691696</v>
      </c>
      <c r="AB170" s="143">
        <f t="shared" si="527"/>
        <v>8.3493187703691696</v>
      </c>
      <c r="AC170" s="143">
        <f t="shared" si="527"/>
        <v>8.3493187703691696</v>
      </c>
      <c r="AD170" s="143">
        <f t="shared" si="527"/>
        <v>8.3493187703691696</v>
      </c>
      <c r="AE170" s="143">
        <f t="shared" si="527"/>
        <v>8.3493187703691696</v>
      </c>
      <c r="AF170" s="143">
        <f t="shared" si="527"/>
        <v>8.3493187703691696</v>
      </c>
      <c r="AG170" s="143">
        <f t="shared" si="527"/>
        <v>8.3493187703691696</v>
      </c>
      <c r="AH170" s="143">
        <f t="shared" si="527"/>
        <v>8.3493187703691696</v>
      </c>
      <c r="AI170" s="143">
        <f t="shared" si="527"/>
        <v>8.3493187703691696</v>
      </c>
      <c r="AJ170" s="143">
        <f t="shared" si="527"/>
        <v>8.3493187703691696</v>
      </c>
      <c r="AK170" s="143">
        <f t="shared" si="527"/>
        <v>8.3493187703691696</v>
      </c>
      <c r="AL170" s="143">
        <f t="shared" si="527"/>
        <v>8.3493187703691696</v>
      </c>
      <c r="AM170" s="143">
        <f t="shared" si="527"/>
        <v>8.3493187703691696</v>
      </c>
      <c r="AN170" s="143">
        <f t="shared" si="527"/>
        <v>8.3493187703691696</v>
      </c>
      <c r="AO170" s="143">
        <f t="shared" si="527"/>
        <v>8.3493187703691696</v>
      </c>
      <c r="AP170" s="143">
        <f t="shared" si="527"/>
        <v>8.3493187703691696</v>
      </c>
      <c r="AQ170" s="143">
        <f t="shared" si="527"/>
        <v>8.3493187703691696</v>
      </c>
      <c r="AR170" s="143">
        <f t="shared" si="527"/>
        <v>8.3493187703691696</v>
      </c>
      <c r="AS170" s="143">
        <f>G166</f>
        <v>9.2797171697540026</v>
      </c>
      <c r="AT170" s="143">
        <f t="shared" ref="AT170:BL170" si="528">AS170</f>
        <v>9.2797171697540026</v>
      </c>
      <c r="AU170" s="143">
        <f t="shared" si="528"/>
        <v>9.2797171697540026</v>
      </c>
      <c r="AV170" s="143">
        <f t="shared" si="528"/>
        <v>9.2797171697540026</v>
      </c>
      <c r="AW170" s="143">
        <f t="shared" si="528"/>
        <v>9.2797171697540026</v>
      </c>
      <c r="AX170" s="143">
        <f t="shared" si="528"/>
        <v>9.2797171697540026</v>
      </c>
      <c r="AY170" s="143">
        <f t="shared" si="528"/>
        <v>9.2797171697540026</v>
      </c>
      <c r="AZ170" s="143">
        <f t="shared" si="528"/>
        <v>9.2797171697540026</v>
      </c>
      <c r="BA170" s="143">
        <f t="shared" si="528"/>
        <v>9.2797171697540026</v>
      </c>
      <c r="BB170" s="143">
        <f t="shared" si="528"/>
        <v>9.2797171697540026</v>
      </c>
      <c r="BC170" s="143">
        <f t="shared" si="528"/>
        <v>9.2797171697540026</v>
      </c>
      <c r="BD170" s="143">
        <f t="shared" si="528"/>
        <v>9.2797171697540026</v>
      </c>
      <c r="BE170" s="143">
        <f t="shared" si="528"/>
        <v>9.2797171697540026</v>
      </c>
      <c r="BF170" s="143">
        <f t="shared" si="528"/>
        <v>9.2797171697540026</v>
      </c>
      <c r="BG170" s="143">
        <f t="shared" si="528"/>
        <v>9.2797171697540026</v>
      </c>
      <c r="BH170" s="143">
        <f t="shared" si="528"/>
        <v>9.2797171697540026</v>
      </c>
      <c r="BI170" s="143">
        <f t="shared" si="528"/>
        <v>9.2797171697540026</v>
      </c>
      <c r="BJ170" s="143">
        <f t="shared" si="528"/>
        <v>9.2797171697540026</v>
      </c>
      <c r="BK170" s="143">
        <f t="shared" si="528"/>
        <v>9.2797171697540026</v>
      </c>
      <c r="BL170" s="143">
        <f t="shared" si="528"/>
        <v>9.2797171697540026</v>
      </c>
      <c r="BM170" s="143">
        <f>H166</f>
        <v>9.9386442495206087</v>
      </c>
      <c r="BN170" s="143">
        <f t="shared" ref="BN170:CF170" si="529">BM170</f>
        <v>9.9386442495206087</v>
      </c>
      <c r="BO170" s="143">
        <f t="shared" si="529"/>
        <v>9.9386442495206087</v>
      </c>
      <c r="BP170" s="143">
        <f t="shared" si="529"/>
        <v>9.9386442495206087</v>
      </c>
      <c r="BQ170" s="143">
        <f t="shared" si="529"/>
        <v>9.9386442495206087</v>
      </c>
      <c r="BR170" s="143">
        <f t="shared" si="529"/>
        <v>9.9386442495206087</v>
      </c>
      <c r="BS170" s="143">
        <f t="shared" si="529"/>
        <v>9.9386442495206087</v>
      </c>
      <c r="BT170" s="143">
        <f t="shared" si="529"/>
        <v>9.9386442495206087</v>
      </c>
      <c r="BU170" s="143">
        <f t="shared" si="529"/>
        <v>9.9386442495206087</v>
      </c>
      <c r="BV170" s="143">
        <f t="shared" si="529"/>
        <v>9.9386442495206087</v>
      </c>
      <c r="BW170" s="143">
        <f t="shared" si="529"/>
        <v>9.9386442495206087</v>
      </c>
      <c r="BX170" s="143">
        <f t="shared" si="529"/>
        <v>9.9386442495206087</v>
      </c>
      <c r="BY170" s="143">
        <f t="shared" si="529"/>
        <v>9.9386442495206087</v>
      </c>
      <c r="BZ170" s="143">
        <f t="shared" si="529"/>
        <v>9.9386442495206087</v>
      </c>
      <c r="CA170" s="143">
        <f t="shared" si="529"/>
        <v>9.9386442495206087</v>
      </c>
      <c r="CB170" s="143">
        <f t="shared" si="529"/>
        <v>9.9386442495206087</v>
      </c>
      <c r="CC170" s="143">
        <f t="shared" si="529"/>
        <v>9.9386442495206087</v>
      </c>
      <c r="CD170" s="143">
        <f t="shared" si="529"/>
        <v>9.9386442495206087</v>
      </c>
      <c r="CE170" s="143">
        <f t="shared" si="529"/>
        <v>9.9386442495206087</v>
      </c>
      <c r="CF170" s="143">
        <f t="shared" si="529"/>
        <v>9.9386442495206087</v>
      </c>
      <c r="CG170" s="143">
        <f>I166</f>
        <v>10.483640711782828</v>
      </c>
      <c r="CH170" s="143">
        <f t="shared" ref="CH170:CP170" si="530">CG170</f>
        <v>10.483640711782828</v>
      </c>
      <c r="CI170" s="143">
        <f t="shared" si="530"/>
        <v>10.483640711782828</v>
      </c>
      <c r="CJ170" s="143">
        <f t="shared" si="530"/>
        <v>10.483640711782828</v>
      </c>
      <c r="CK170" s="143">
        <f t="shared" si="530"/>
        <v>10.483640711782828</v>
      </c>
      <c r="CL170" s="143">
        <f t="shared" si="530"/>
        <v>10.483640711782828</v>
      </c>
      <c r="CM170" s="143">
        <f t="shared" si="530"/>
        <v>10.483640711782828</v>
      </c>
      <c r="CN170" s="143">
        <f t="shared" si="530"/>
        <v>10.483640711782828</v>
      </c>
      <c r="CO170" s="143">
        <f t="shared" si="530"/>
        <v>10.483640711782828</v>
      </c>
      <c r="CP170" s="143">
        <f t="shared" si="530"/>
        <v>10.483640711782828</v>
      </c>
      <c r="CQ170" s="143">
        <f>J166</f>
        <v>10.893922027352794</v>
      </c>
      <c r="CR170" s="143">
        <f>CQ170</f>
        <v>10.893922027352794</v>
      </c>
      <c r="CS170" s="143">
        <f>CR170</f>
        <v>10.893922027352794</v>
      </c>
      <c r="CT170" s="143">
        <f>CS170</f>
        <v>10.893922027352794</v>
      </c>
      <c r="CU170" s="143">
        <f>CT170</f>
        <v>10.893922027352794</v>
      </c>
      <c r="CV170" s="143">
        <f>K166</f>
        <v>11.530730215486081</v>
      </c>
      <c r="CW170" s="143">
        <f>CV170</f>
        <v>11.530730215486081</v>
      </c>
      <c r="CX170" s="143">
        <f>CW170</f>
        <v>11.530730215486081</v>
      </c>
      <c r="CY170" s="143">
        <f>CX170</f>
        <v>11.530730215486081</v>
      </c>
      <c r="CZ170" s="143">
        <f>L166</f>
        <v>13.406517794991803</v>
      </c>
      <c r="DA170" s="60"/>
      <c r="DB170" s="143">
        <f>N166</f>
        <v>9.9683385248557439</v>
      </c>
      <c r="DC170" s="143">
        <f t="shared" ref="DC170:DU170" si="531">DB170</f>
        <v>9.9683385248557439</v>
      </c>
      <c r="DD170" s="143">
        <f t="shared" si="531"/>
        <v>9.9683385248557439</v>
      </c>
      <c r="DE170" s="143">
        <f t="shared" si="531"/>
        <v>9.9683385248557439</v>
      </c>
      <c r="DF170" s="143">
        <f t="shared" si="531"/>
        <v>9.9683385248557439</v>
      </c>
      <c r="DG170" s="143">
        <f t="shared" si="531"/>
        <v>9.9683385248557439</v>
      </c>
      <c r="DH170" s="143">
        <f t="shared" si="531"/>
        <v>9.9683385248557439</v>
      </c>
      <c r="DI170" s="143">
        <f t="shared" si="531"/>
        <v>9.9683385248557439</v>
      </c>
      <c r="DJ170" s="143">
        <f t="shared" si="531"/>
        <v>9.9683385248557439</v>
      </c>
      <c r="DK170" s="143">
        <f t="shared" si="531"/>
        <v>9.9683385248557439</v>
      </c>
      <c r="DL170" s="143">
        <f t="shared" si="531"/>
        <v>9.9683385248557439</v>
      </c>
      <c r="DM170" s="143">
        <f t="shared" si="531"/>
        <v>9.9683385248557439</v>
      </c>
      <c r="DN170" s="143">
        <f t="shared" si="531"/>
        <v>9.9683385248557439</v>
      </c>
      <c r="DO170" s="143">
        <f t="shared" si="531"/>
        <v>9.9683385248557439</v>
      </c>
      <c r="DP170" s="143">
        <f t="shared" si="531"/>
        <v>9.9683385248557439</v>
      </c>
      <c r="DQ170" s="143">
        <f t="shared" si="531"/>
        <v>9.9683385248557439</v>
      </c>
      <c r="DR170" s="143">
        <f t="shared" si="531"/>
        <v>9.9683385248557439</v>
      </c>
      <c r="DS170" s="143">
        <f t="shared" si="531"/>
        <v>9.9683385248557439</v>
      </c>
      <c r="DT170" s="143">
        <f t="shared" si="531"/>
        <v>9.9683385248557439</v>
      </c>
      <c r="DU170" s="143">
        <f t="shared" si="531"/>
        <v>9.9683385248557439</v>
      </c>
      <c r="DV170" s="143">
        <f>O166</f>
        <v>10.757264379021041</v>
      </c>
      <c r="DW170" s="143">
        <f t="shared" ref="DW170:EO170" si="532">DV170</f>
        <v>10.757264379021041</v>
      </c>
      <c r="DX170" s="143">
        <f t="shared" si="532"/>
        <v>10.757264379021041</v>
      </c>
      <c r="DY170" s="143">
        <f t="shared" si="532"/>
        <v>10.757264379021041</v>
      </c>
      <c r="DZ170" s="143">
        <f t="shared" si="532"/>
        <v>10.757264379021041</v>
      </c>
      <c r="EA170" s="143">
        <f t="shared" si="532"/>
        <v>10.757264379021041</v>
      </c>
      <c r="EB170" s="143">
        <f t="shared" si="532"/>
        <v>10.757264379021041</v>
      </c>
      <c r="EC170" s="143">
        <f t="shared" si="532"/>
        <v>10.757264379021041</v>
      </c>
      <c r="ED170" s="143">
        <f t="shared" si="532"/>
        <v>10.757264379021041</v>
      </c>
      <c r="EE170" s="143">
        <f t="shared" si="532"/>
        <v>10.757264379021041</v>
      </c>
      <c r="EF170" s="143">
        <f t="shared" si="532"/>
        <v>10.757264379021041</v>
      </c>
      <c r="EG170" s="143">
        <f t="shared" si="532"/>
        <v>10.757264379021041</v>
      </c>
      <c r="EH170" s="143">
        <f t="shared" si="532"/>
        <v>10.757264379021041</v>
      </c>
      <c r="EI170" s="143">
        <f t="shared" si="532"/>
        <v>10.757264379021041</v>
      </c>
      <c r="EJ170" s="143">
        <f t="shared" si="532"/>
        <v>10.757264379021041</v>
      </c>
      <c r="EK170" s="143">
        <f t="shared" si="532"/>
        <v>10.757264379021041</v>
      </c>
      <c r="EL170" s="143">
        <f t="shared" si="532"/>
        <v>10.757264379021041</v>
      </c>
      <c r="EM170" s="143">
        <f t="shared" si="532"/>
        <v>10.757264379021041</v>
      </c>
      <c r="EN170" s="143">
        <f t="shared" si="532"/>
        <v>10.757264379021041</v>
      </c>
      <c r="EO170" s="143">
        <f t="shared" si="532"/>
        <v>10.757264379021041</v>
      </c>
      <c r="EP170" s="143">
        <f>P166</f>
        <v>11.245830026126836</v>
      </c>
      <c r="EQ170" s="143">
        <f t="shared" ref="EQ170:FI170" si="533">EP170</f>
        <v>11.245830026126836</v>
      </c>
      <c r="ER170" s="143">
        <f t="shared" si="533"/>
        <v>11.245830026126836</v>
      </c>
      <c r="ES170" s="143">
        <f t="shared" si="533"/>
        <v>11.245830026126836</v>
      </c>
      <c r="ET170" s="143">
        <f t="shared" si="533"/>
        <v>11.245830026126836</v>
      </c>
      <c r="EU170" s="143">
        <f t="shared" si="533"/>
        <v>11.245830026126836</v>
      </c>
      <c r="EV170" s="143">
        <f t="shared" si="533"/>
        <v>11.245830026126836</v>
      </c>
      <c r="EW170" s="143">
        <f t="shared" si="533"/>
        <v>11.245830026126836</v>
      </c>
      <c r="EX170" s="143">
        <f t="shared" si="533"/>
        <v>11.245830026126836</v>
      </c>
      <c r="EY170" s="143">
        <f t="shared" si="533"/>
        <v>11.245830026126836</v>
      </c>
      <c r="EZ170" s="143">
        <f t="shared" si="533"/>
        <v>11.245830026126836</v>
      </c>
      <c r="FA170" s="143">
        <f t="shared" si="533"/>
        <v>11.245830026126836</v>
      </c>
      <c r="FB170" s="143">
        <f t="shared" si="533"/>
        <v>11.245830026126836</v>
      </c>
      <c r="FC170" s="143">
        <f t="shared" si="533"/>
        <v>11.245830026126836</v>
      </c>
      <c r="FD170" s="143">
        <f t="shared" si="533"/>
        <v>11.245830026126836</v>
      </c>
      <c r="FE170" s="143">
        <f t="shared" si="533"/>
        <v>11.245830026126836</v>
      </c>
      <c r="FF170" s="143">
        <f t="shared" si="533"/>
        <v>11.245830026126836</v>
      </c>
      <c r="FG170" s="143">
        <f t="shared" si="533"/>
        <v>11.245830026126836</v>
      </c>
      <c r="FH170" s="143">
        <f t="shared" si="533"/>
        <v>11.245830026126836</v>
      </c>
      <c r="FI170" s="143">
        <f t="shared" si="533"/>
        <v>11.245830026126836</v>
      </c>
      <c r="FJ170" s="143">
        <f>Q166</f>
        <v>11.66461597821066</v>
      </c>
      <c r="FK170" s="143">
        <f t="shared" ref="FK170:GC170" si="534">FJ170</f>
        <v>11.66461597821066</v>
      </c>
      <c r="FL170" s="143">
        <f t="shared" si="534"/>
        <v>11.66461597821066</v>
      </c>
      <c r="FM170" s="143">
        <f t="shared" si="534"/>
        <v>11.66461597821066</v>
      </c>
      <c r="FN170" s="143">
        <f t="shared" si="534"/>
        <v>11.66461597821066</v>
      </c>
      <c r="FO170" s="143">
        <f t="shared" si="534"/>
        <v>11.66461597821066</v>
      </c>
      <c r="FP170" s="143">
        <f t="shared" si="534"/>
        <v>11.66461597821066</v>
      </c>
      <c r="FQ170" s="143">
        <f t="shared" si="534"/>
        <v>11.66461597821066</v>
      </c>
      <c r="FR170" s="143">
        <f t="shared" si="534"/>
        <v>11.66461597821066</v>
      </c>
      <c r="FS170" s="143">
        <f t="shared" si="534"/>
        <v>11.66461597821066</v>
      </c>
      <c r="FT170" s="143">
        <f t="shared" si="534"/>
        <v>11.66461597821066</v>
      </c>
      <c r="FU170" s="143">
        <f t="shared" si="534"/>
        <v>11.66461597821066</v>
      </c>
      <c r="FV170" s="143">
        <f t="shared" si="534"/>
        <v>11.66461597821066</v>
      </c>
      <c r="FW170" s="143">
        <f t="shared" si="534"/>
        <v>11.66461597821066</v>
      </c>
      <c r="FX170" s="143">
        <f t="shared" si="534"/>
        <v>11.66461597821066</v>
      </c>
      <c r="FY170" s="143">
        <f t="shared" si="534"/>
        <v>11.66461597821066</v>
      </c>
      <c r="FZ170" s="143">
        <f t="shared" si="534"/>
        <v>11.66461597821066</v>
      </c>
      <c r="GA170" s="143">
        <f t="shared" si="534"/>
        <v>11.66461597821066</v>
      </c>
      <c r="GB170" s="143">
        <f t="shared" si="534"/>
        <v>11.66461597821066</v>
      </c>
      <c r="GC170" s="143">
        <f t="shared" si="534"/>
        <v>11.66461597821066</v>
      </c>
      <c r="GD170" s="143">
        <f>R166</f>
        <v>12.034809716092953</v>
      </c>
      <c r="GE170" s="143">
        <f t="shared" ref="GE170:GM170" si="535">GD170</f>
        <v>12.034809716092953</v>
      </c>
      <c r="GF170" s="143">
        <f t="shared" si="535"/>
        <v>12.034809716092953</v>
      </c>
      <c r="GG170" s="143">
        <f t="shared" si="535"/>
        <v>12.034809716092953</v>
      </c>
      <c r="GH170" s="143">
        <f t="shared" si="535"/>
        <v>12.034809716092953</v>
      </c>
      <c r="GI170" s="143">
        <f t="shared" si="535"/>
        <v>12.034809716092953</v>
      </c>
      <c r="GJ170" s="143">
        <f t="shared" si="535"/>
        <v>12.034809716092953</v>
      </c>
      <c r="GK170" s="143">
        <f t="shared" si="535"/>
        <v>12.034809716092953</v>
      </c>
      <c r="GL170" s="143">
        <f t="shared" si="535"/>
        <v>12.034809716092953</v>
      </c>
      <c r="GM170" s="143">
        <f t="shared" si="535"/>
        <v>12.034809716092953</v>
      </c>
      <c r="GN170" s="143">
        <f>S166</f>
        <v>12.346356190977231</v>
      </c>
      <c r="GO170" s="143">
        <f>GN170</f>
        <v>12.346356190977231</v>
      </c>
      <c r="GP170" s="143">
        <f>GO170</f>
        <v>12.346356190977231</v>
      </c>
      <c r="GQ170" s="143">
        <f>GP170</f>
        <v>12.346356190977231</v>
      </c>
      <c r="GR170" s="143">
        <f>GQ170</f>
        <v>12.346356190977231</v>
      </c>
      <c r="GS170" s="143">
        <f>T166</f>
        <v>12.851236836067967</v>
      </c>
      <c r="GT170" s="143">
        <f>GS170</f>
        <v>12.851236836067967</v>
      </c>
      <c r="GU170" s="143">
        <f>GT170</f>
        <v>12.851236836067967</v>
      </c>
      <c r="GV170" s="143">
        <f>GU170</f>
        <v>12.851236836067967</v>
      </c>
      <c r="GW170" s="143">
        <f>U166</f>
        <v>14.497161914010736</v>
      </c>
    </row>
    <row r="171" spans="1:205" s="556" customFormat="1" ht="9" customHeight="1">
      <c r="A171" s="259"/>
      <c r="B171" s="143"/>
      <c r="C171" s="143"/>
      <c r="D171" s="60"/>
      <c r="E171" s="143"/>
      <c r="F171" s="143"/>
      <c r="G171" s="143"/>
      <c r="H171" s="143"/>
      <c r="I171" s="143"/>
      <c r="J171" s="143"/>
      <c r="K171" s="143"/>
      <c r="L171" s="143"/>
      <c r="M171" s="143"/>
      <c r="N171" s="143"/>
      <c r="O171" s="143"/>
      <c r="P171" s="143"/>
      <c r="Q171" s="143"/>
      <c r="R171" s="143"/>
      <c r="S171" s="143"/>
      <c r="T171" s="143"/>
      <c r="U171" s="143"/>
      <c r="V171" s="143"/>
      <c r="W171" s="143"/>
      <c r="X171" s="143"/>
      <c r="Y171" s="143"/>
      <c r="Z171" s="143"/>
      <c r="AA171" s="143"/>
      <c r="AB171" s="143"/>
      <c r="AC171" s="143"/>
      <c r="AD171" s="143"/>
      <c r="AE171" s="143"/>
      <c r="AF171" s="143"/>
      <c r="AG171" s="143"/>
      <c r="AH171" s="143"/>
      <c r="AI171" s="143"/>
      <c r="AJ171" s="143"/>
      <c r="AK171" s="143"/>
      <c r="AL171" s="143"/>
      <c r="AM171" s="143"/>
      <c r="AN171" s="143"/>
      <c r="AO171" s="143"/>
      <c r="AP171" s="143"/>
      <c r="AQ171" s="143"/>
      <c r="AR171" s="143"/>
      <c r="AS171" s="143"/>
      <c r="AT171" s="143"/>
      <c r="AU171" s="143"/>
      <c r="AV171" s="143"/>
      <c r="AW171" s="143"/>
      <c r="AX171" s="143"/>
      <c r="AY171" s="143"/>
      <c r="AZ171" s="143"/>
      <c r="BA171" s="143"/>
      <c r="BB171" s="143"/>
      <c r="BC171" s="143"/>
      <c r="BD171" s="143"/>
      <c r="BE171" s="143"/>
      <c r="BF171" s="143"/>
      <c r="BG171" s="143"/>
      <c r="BH171" s="143"/>
      <c r="BI171" s="143"/>
      <c r="BJ171" s="143"/>
      <c r="BK171" s="143"/>
      <c r="BL171" s="143"/>
      <c r="BM171" s="143"/>
      <c r="BN171" s="143"/>
      <c r="BO171" s="143"/>
      <c r="BP171" s="143"/>
      <c r="BQ171" s="143"/>
      <c r="BR171" s="143"/>
      <c r="BS171" s="143"/>
      <c r="BT171" s="143"/>
      <c r="BU171" s="143"/>
      <c r="BV171" s="143"/>
      <c r="BW171" s="143"/>
      <c r="BX171" s="143"/>
      <c r="BY171" s="143"/>
      <c r="BZ171" s="143"/>
      <c r="CA171" s="143"/>
      <c r="CB171" s="143"/>
      <c r="CC171" s="143"/>
      <c r="CD171" s="143"/>
      <c r="CE171" s="143"/>
      <c r="CF171" s="143"/>
      <c r="CG171" s="143"/>
      <c r="CH171" s="143"/>
      <c r="CI171" s="143"/>
      <c r="CJ171" s="143"/>
      <c r="CK171" s="143"/>
      <c r="CL171" s="143"/>
      <c r="CM171" s="143"/>
      <c r="CN171" s="143"/>
      <c r="CO171" s="143"/>
      <c r="CP171" s="143"/>
      <c r="CQ171" s="143"/>
      <c r="CR171" s="143"/>
      <c r="CS171" s="143"/>
      <c r="CT171" s="143"/>
      <c r="CU171" s="143"/>
      <c r="CV171" s="143"/>
      <c r="CW171" s="143"/>
      <c r="CX171" s="143"/>
      <c r="CY171" s="143"/>
      <c r="CZ171" s="143"/>
      <c r="DA171" s="60"/>
      <c r="DB171" s="143"/>
      <c r="DC171" s="143"/>
      <c r="DD171" s="143"/>
      <c r="DE171" s="143"/>
      <c r="DF171" s="143"/>
      <c r="DG171" s="143"/>
      <c r="DH171" s="143"/>
      <c r="DI171" s="143"/>
      <c r="DJ171" s="143"/>
      <c r="DK171" s="143"/>
      <c r="DL171" s="143"/>
      <c r="DM171" s="143"/>
      <c r="DN171" s="143"/>
      <c r="DO171" s="143"/>
      <c r="DP171" s="143"/>
      <c r="DQ171" s="143"/>
      <c r="DR171" s="143"/>
      <c r="DS171" s="143"/>
      <c r="DT171" s="143"/>
      <c r="DU171" s="143"/>
      <c r="DV171" s="143"/>
      <c r="DW171" s="143"/>
      <c r="DX171" s="143"/>
      <c r="DY171" s="143"/>
      <c r="DZ171" s="143"/>
      <c r="EA171" s="143"/>
      <c r="EB171" s="143"/>
      <c r="EC171" s="143"/>
      <c r="ED171" s="143"/>
      <c r="EE171" s="143"/>
      <c r="EF171" s="143"/>
      <c r="EG171" s="143"/>
      <c r="EH171" s="143"/>
      <c r="EI171" s="143"/>
      <c r="EJ171" s="143"/>
      <c r="EK171" s="143"/>
      <c r="EL171" s="143"/>
      <c r="EM171" s="143"/>
      <c r="EN171" s="143"/>
      <c r="EO171" s="143"/>
      <c r="EP171" s="143"/>
      <c r="EQ171" s="143"/>
      <c r="ER171" s="143"/>
      <c r="ES171" s="143"/>
      <c r="ET171" s="143"/>
      <c r="EU171" s="143"/>
      <c r="EV171" s="143"/>
      <c r="EW171" s="143"/>
      <c r="EX171" s="143"/>
      <c r="EY171" s="143"/>
      <c r="EZ171" s="143"/>
      <c r="FA171" s="143"/>
      <c r="FB171" s="143"/>
      <c r="FC171" s="143"/>
      <c r="FD171" s="143"/>
      <c r="FE171" s="143"/>
      <c r="FF171" s="143"/>
      <c r="FG171" s="143"/>
      <c r="FH171" s="143"/>
      <c r="FI171" s="143"/>
      <c r="FJ171" s="143"/>
      <c r="FK171" s="143"/>
      <c r="FL171" s="143"/>
      <c r="FM171" s="143"/>
      <c r="FN171" s="143"/>
      <c r="FO171" s="143"/>
      <c r="FP171" s="143"/>
      <c r="FQ171" s="143"/>
      <c r="FR171" s="143"/>
      <c r="FS171" s="143"/>
      <c r="FT171" s="143"/>
      <c r="FU171" s="143"/>
      <c r="FV171" s="143"/>
      <c r="FW171" s="143"/>
      <c r="FX171" s="143"/>
      <c r="FY171" s="143"/>
      <c r="FZ171" s="143"/>
      <c r="GA171" s="143"/>
      <c r="GB171" s="143"/>
      <c r="GC171" s="143"/>
      <c r="GD171" s="143"/>
      <c r="GE171" s="143"/>
      <c r="GF171" s="143"/>
      <c r="GG171" s="143"/>
      <c r="GH171" s="143"/>
      <c r="GI171" s="143"/>
      <c r="GJ171" s="143"/>
      <c r="GK171" s="143"/>
      <c r="GL171" s="143"/>
      <c r="GM171" s="143"/>
      <c r="GN171" s="143"/>
      <c r="GO171" s="143"/>
      <c r="GP171" s="143"/>
      <c r="GQ171" s="143"/>
      <c r="GR171" s="143"/>
      <c r="GS171" s="143"/>
      <c r="GT171" s="143"/>
      <c r="GU171" s="143"/>
      <c r="GV171" s="143"/>
      <c r="GW171" s="143"/>
    </row>
    <row r="172" spans="1:205" s="556" customFormat="1" ht="9" customHeight="1">
      <c r="A172" s="259"/>
      <c r="B172" s="143"/>
      <c r="C172" s="143"/>
      <c r="D172" s="60"/>
      <c r="E172" s="143"/>
      <c r="F172" s="143"/>
      <c r="G172" s="143"/>
      <c r="H172" s="143"/>
      <c r="I172" s="143"/>
      <c r="J172" s="143"/>
      <c r="K172" s="143"/>
      <c r="L172" s="143"/>
      <c r="M172" s="143"/>
      <c r="N172" s="143"/>
      <c r="O172" s="143"/>
      <c r="P172" s="143"/>
      <c r="Q172" s="143"/>
      <c r="R172" s="143"/>
      <c r="S172" s="143"/>
      <c r="T172" s="143"/>
      <c r="U172" s="143"/>
      <c r="V172" s="143"/>
      <c r="W172" s="143"/>
      <c r="X172" s="143"/>
      <c r="Y172" s="143"/>
      <c r="Z172" s="143"/>
      <c r="AA172" s="143"/>
      <c r="AB172" s="143"/>
      <c r="AC172" s="143"/>
      <c r="AD172" s="143"/>
      <c r="AE172" s="143"/>
      <c r="AF172" s="143"/>
      <c r="AG172" s="143"/>
      <c r="AH172" s="143"/>
      <c r="AI172" s="143"/>
      <c r="AJ172" s="143"/>
      <c r="AK172" s="143"/>
      <c r="AL172" s="143"/>
      <c r="AM172" s="143"/>
      <c r="AN172" s="143"/>
      <c r="AO172" s="143"/>
      <c r="AP172" s="143"/>
      <c r="AQ172" s="143"/>
      <c r="AR172" s="143"/>
      <c r="AS172" s="143"/>
      <c r="AT172" s="143"/>
      <c r="AU172" s="143"/>
      <c r="AV172" s="143"/>
      <c r="AW172" s="143"/>
      <c r="AX172" s="143"/>
      <c r="AY172" s="143"/>
      <c r="AZ172" s="143"/>
      <c r="BA172" s="143"/>
      <c r="BB172" s="143"/>
      <c r="BC172" s="143"/>
      <c r="BD172" s="143"/>
      <c r="BE172" s="143"/>
      <c r="BF172" s="143"/>
      <c r="BG172" s="143"/>
      <c r="BH172" s="143"/>
      <c r="BI172" s="143"/>
      <c r="BJ172" s="143"/>
      <c r="BK172" s="143"/>
      <c r="BL172" s="143"/>
      <c r="BM172" s="143"/>
      <c r="BN172" s="143"/>
      <c r="BO172" s="143"/>
      <c r="BP172" s="143"/>
      <c r="BQ172" s="143"/>
      <c r="BR172" s="143"/>
      <c r="BS172" s="143"/>
      <c r="BT172" s="143"/>
      <c r="BU172" s="143"/>
      <c r="BV172" s="143"/>
      <c r="BW172" s="143"/>
      <c r="BX172" s="143"/>
      <c r="BY172" s="143"/>
      <c r="BZ172" s="143"/>
      <c r="CA172" s="143"/>
      <c r="CB172" s="143"/>
      <c r="CC172" s="143"/>
      <c r="CD172" s="143"/>
      <c r="CE172" s="143"/>
      <c r="CF172" s="143"/>
      <c r="CG172" s="143"/>
      <c r="CH172" s="143"/>
      <c r="CI172" s="143"/>
      <c r="CJ172" s="143"/>
      <c r="CK172" s="143"/>
      <c r="CL172" s="143"/>
      <c r="CM172" s="143"/>
      <c r="CN172" s="143"/>
      <c r="CO172" s="143"/>
      <c r="CP172" s="143"/>
      <c r="CQ172" s="143"/>
      <c r="CR172" s="143"/>
      <c r="CS172" s="143"/>
      <c r="CT172" s="143"/>
      <c r="CU172" s="143"/>
      <c r="CV172" s="143"/>
      <c r="CW172" s="143"/>
      <c r="CX172" s="143"/>
      <c r="CY172" s="143"/>
      <c r="CZ172" s="143"/>
      <c r="DA172" s="60"/>
      <c r="DB172" s="143"/>
      <c r="DC172" s="143"/>
      <c r="DD172" s="143"/>
      <c r="DE172" s="143"/>
      <c r="DF172" s="143"/>
      <c r="DG172" s="143"/>
      <c r="DH172" s="143"/>
      <c r="DI172" s="143"/>
      <c r="DJ172" s="143"/>
      <c r="DK172" s="143"/>
      <c r="DL172" s="143"/>
      <c r="DM172" s="143"/>
      <c r="DN172" s="143"/>
      <c r="DO172" s="143"/>
      <c r="DP172" s="143"/>
      <c r="DQ172" s="143"/>
      <c r="DR172" s="143"/>
      <c r="DS172" s="143"/>
      <c r="DT172" s="143"/>
      <c r="DU172" s="143"/>
      <c r="DV172" s="143"/>
      <c r="DW172" s="143"/>
      <c r="DX172" s="143"/>
      <c r="DY172" s="143"/>
      <c r="DZ172" s="143"/>
      <c r="EA172" s="143"/>
      <c r="EB172" s="143"/>
      <c r="EC172" s="143"/>
      <c r="ED172" s="143"/>
      <c r="EE172" s="143"/>
      <c r="EF172" s="143"/>
      <c r="EG172" s="143"/>
      <c r="EH172" s="143"/>
      <c r="EI172" s="143"/>
      <c r="EJ172" s="143"/>
      <c r="EK172" s="143"/>
      <c r="EL172" s="143"/>
      <c r="EM172" s="143"/>
      <c r="EN172" s="143"/>
      <c r="EO172" s="143"/>
      <c r="EP172" s="143"/>
      <c r="EQ172" s="143"/>
      <c r="ER172" s="143"/>
      <c r="ES172" s="143"/>
      <c r="ET172" s="143"/>
      <c r="EU172" s="143"/>
      <c r="EV172" s="143"/>
      <c r="EW172" s="143"/>
      <c r="EX172" s="143"/>
      <c r="EY172" s="143"/>
      <c r="EZ172" s="143"/>
      <c r="FA172" s="143"/>
      <c r="FB172" s="143"/>
      <c r="FC172" s="143"/>
      <c r="FD172" s="143"/>
      <c r="FE172" s="143"/>
      <c r="FF172" s="143"/>
      <c r="FG172" s="143"/>
      <c r="FH172" s="143"/>
      <c r="FI172" s="143"/>
      <c r="FJ172" s="143"/>
      <c r="FK172" s="143"/>
      <c r="FL172" s="143"/>
      <c r="FM172" s="143"/>
      <c r="FN172" s="143"/>
      <c r="FO172" s="143"/>
      <c r="FP172" s="143"/>
      <c r="FQ172" s="143"/>
      <c r="FR172" s="143"/>
      <c r="FS172" s="143"/>
      <c r="FT172" s="143"/>
      <c r="FU172" s="143"/>
      <c r="FV172" s="143"/>
      <c r="FW172" s="143"/>
      <c r="FX172" s="143"/>
      <c r="FY172" s="143"/>
      <c r="FZ172" s="143"/>
      <c r="GA172" s="143"/>
      <c r="GB172" s="143"/>
      <c r="GC172" s="143"/>
      <c r="GD172" s="143"/>
      <c r="GE172" s="143"/>
      <c r="GF172" s="143"/>
      <c r="GG172" s="143"/>
      <c r="GH172" s="143"/>
      <c r="GI172" s="143"/>
      <c r="GJ172" s="143"/>
      <c r="GK172" s="143"/>
      <c r="GL172" s="143"/>
      <c r="GM172" s="143"/>
      <c r="GN172" s="143"/>
      <c r="GO172" s="143"/>
      <c r="GP172" s="143"/>
      <c r="GQ172" s="143"/>
      <c r="GR172" s="143"/>
      <c r="GS172" s="143"/>
      <c r="GT172" s="143"/>
      <c r="GU172" s="143"/>
      <c r="GV172" s="143"/>
      <c r="GW172" s="143"/>
    </row>
  </sheetData>
  <mergeCells count="105">
    <mergeCell ref="E168:X168"/>
    <mergeCell ref="Y168:AR168"/>
    <mergeCell ref="AS168:BL168"/>
    <mergeCell ref="BM168:CF168"/>
    <mergeCell ref="CG168:CP168"/>
    <mergeCell ref="FJ159:GC159"/>
    <mergeCell ref="GD159:GM159"/>
    <mergeCell ref="GN159:GR159"/>
    <mergeCell ref="GS159:GV159"/>
    <mergeCell ref="DB159:DU159"/>
    <mergeCell ref="DV159:EO159"/>
    <mergeCell ref="EP159:FI159"/>
    <mergeCell ref="FJ168:GC168"/>
    <mergeCell ref="GD168:GM168"/>
    <mergeCell ref="GN168:GR168"/>
    <mergeCell ref="GS168:GV168"/>
    <mergeCell ref="CQ168:CU168"/>
    <mergeCell ref="CV168:CY168"/>
    <mergeCell ref="DB168:DU168"/>
    <mergeCell ref="DV168:EO168"/>
    <mergeCell ref="EP168:FI168"/>
    <mergeCell ref="B164:B165"/>
    <mergeCell ref="C164:C165"/>
    <mergeCell ref="E164:L164"/>
    <mergeCell ref="N164:U164"/>
    <mergeCell ref="W164:AD164"/>
    <mergeCell ref="AF164:AM164"/>
    <mergeCell ref="AO164:AV164"/>
    <mergeCell ref="CQ159:CU159"/>
    <mergeCell ref="CV159:CY159"/>
    <mergeCell ref="BM159:CF159"/>
    <mergeCell ref="CG159:CP159"/>
    <mergeCell ref="B155:B156"/>
    <mergeCell ref="C155:C156"/>
    <mergeCell ref="E155:L155"/>
    <mergeCell ref="N155:U155"/>
    <mergeCell ref="W155:AD155"/>
    <mergeCell ref="AF155:AM155"/>
    <mergeCell ref="AO155:AV155"/>
    <mergeCell ref="E159:X159"/>
    <mergeCell ref="Y159:AR159"/>
    <mergeCell ref="AS159:BL159"/>
    <mergeCell ref="B146:B147"/>
    <mergeCell ref="C146:C147"/>
    <mergeCell ref="E146:L146"/>
    <mergeCell ref="BM91:CF91"/>
    <mergeCell ref="W32:AD32"/>
    <mergeCell ref="GS91:GV91"/>
    <mergeCell ref="DB91:DU91"/>
    <mergeCell ref="DV91:EO91"/>
    <mergeCell ref="EP91:FI91"/>
    <mergeCell ref="FJ91:GC91"/>
    <mergeCell ref="CV91:CY91"/>
    <mergeCell ref="CG91:CP91"/>
    <mergeCell ref="CQ91:CU91"/>
    <mergeCell ref="GD91:GM91"/>
    <mergeCell ref="GN91:GR91"/>
    <mergeCell ref="B32:B33"/>
    <mergeCell ref="AF32:AM32"/>
    <mergeCell ref="N32:U32"/>
    <mergeCell ref="AO32:AV32"/>
    <mergeCell ref="E32:L32"/>
    <mergeCell ref="C32:C33"/>
    <mergeCell ref="E91:X91"/>
    <mergeCell ref="Y91:AR91"/>
    <mergeCell ref="AS91:BL91"/>
    <mergeCell ref="B137:B138"/>
    <mergeCell ref="C137:C138"/>
    <mergeCell ref="E137:L137"/>
    <mergeCell ref="N137:U137"/>
    <mergeCell ref="W137:AD137"/>
    <mergeCell ref="FJ141:GC141"/>
    <mergeCell ref="AO137:AV137"/>
    <mergeCell ref="E141:X141"/>
    <mergeCell ref="Y141:AR141"/>
    <mergeCell ref="AS141:BL141"/>
    <mergeCell ref="BM141:CF141"/>
    <mergeCell ref="CG141:CP141"/>
    <mergeCell ref="AF137:AM137"/>
    <mergeCell ref="N146:U146"/>
    <mergeCell ref="W146:AD146"/>
    <mergeCell ref="AF146:AM146"/>
    <mergeCell ref="AO146:AV146"/>
    <mergeCell ref="CQ141:CU141"/>
    <mergeCell ref="CV141:CY141"/>
    <mergeCell ref="DB150:DU150"/>
    <mergeCell ref="DV150:EO150"/>
    <mergeCell ref="EP150:FI150"/>
    <mergeCell ref="E150:X150"/>
    <mergeCell ref="Y150:AR150"/>
    <mergeCell ref="AS150:BL150"/>
    <mergeCell ref="BM150:CF150"/>
    <mergeCell ref="CG150:CP150"/>
    <mergeCell ref="CV150:CY150"/>
    <mergeCell ref="FJ150:GC150"/>
    <mergeCell ref="GD150:GM150"/>
    <mergeCell ref="CQ150:CU150"/>
    <mergeCell ref="GD141:GM141"/>
    <mergeCell ref="GN141:GR141"/>
    <mergeCell ref="GS141:GV141"/>
    <mergeCell ref="DB141:DU141"/>
    <mergeCell ref="DV141:EO141"/>
    <mergeCell ref="EP141:FI141"/>
    <mergeCell ref="GN150:GR150"/>
    <mergeCell ref="GS150:GV150"/>
  </mergeCells>
  <phoneticPr fontId="46" type="noConversion"/>
  <hyperlinks>
    <hyperlink ref="L1" location="Index!A1" display="index" xr:uid="{68197904-F73C-4576-BDFB-C9A932E74165}"/>
  </hyperlinks>
  <pageMargins left="0.7" right="0.7" top="0.75" bottom="0.75" header="0.3" footer="0.3"/>
  <pageSetup orientation="portrait" horizontalDpi="1200" verticalDpi="12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4333BE-6FCD-4035-840E-2C876F1084CA}">
  <sheetPr>
    <tabColor theme="8" tint="0.79998168889431442"/>
  </sheetPr>
  <dimension ref="A1:BB458"/>
  <sheetViews>
    <sheetView zoomScale="70" zoomScaleNormal="70" workbookViewId="0"/>
  </sheetViews>
  <sheetFormatPr defaultRowHeight="15"/>
  <cols>
    <col min="1" max="1" width="10" customWidth="1"/>
    <col min="2" max="2" width="9.140625" style="140" customWidth="1"/>
    <col min="3" max="9" width="7.140625" style="140" customWidth="1"/>
    <col min="10" max="10" width="2.28515625" customWidth="1"/>
    <col min="11" max="13" width="6.28515625" customWidth="1"/>
    <col min="14" max="14" width="7" customWidth="1"/>
    <col min="15" max="15" width="7.7109375" customWidth="1"/>
    <col min="16" max="18" width="7.85546875" customWidth="1"/>
    <col min="19" max="19" width="2.28515625" customWidth="1"/>
    <col min="20" max="27" width="7" customWidth="1"/>
    <col min="28" max="28" width="2.7109375" style="460" customWidth="1"/>
    <col min="29" max="36" width="7" style="460" customWidth="1"/>
    <col min="37" max="37" width="1.42578125" customWidth="1"/>
    <col min="38" max="44" width="7.85546875" customWidth="1"/>
    <col min="45" max="45" width="9.28515625" customWidth="1"/>
    <col min="46" max="46" width="2.7109375" customWidth="1"/>
    <col min="48" max="48" width="10.140625" customWidth="1"/>
    <col min="49" max="49" width="13.5703125" style="460" customWidth="1"/>
    <col min="50" max="50" width="20.140625" customWidth="1"/>
    <col min="51" max="51" width="4" customWidth="1"/>
  </cols>
  <sheetData>
    <row r="1" spans="1:20">
      <c r="A1" s="9" t="s">
        <v>496</v>
      </c>
      <c r="T1" s="641" t="s">
        <v>762</v>
      </c>
    </row>
    <row r="28" spans="1:52">
      <c r="A28" s="191"/>
      <c r="B28" s="191"/>
      <c r="C28" s="191"/>
      <c r="D28" s="191"/>
      <c r="E28" s="191"/>
      <c r="F28" s="191"/>
      <c r="G28" s="191"/>
      <c r="H28" s="191"/>
      <c r="I28" s="191"/>
      <c r="J28" s="191"/>
      <c r="K28" s="191"/>
      <c r="L28" s="191"/>
      <c r="M28" s="191"/>
      <c r="N28" s="191"/>
      <c r="O28" s="191"/>
      <c r="P28" s="191"/>
      <c r="Q28" s="191"/>
      <c r="R28" s="191"/>
      <c r="S28" s="191"/>
      <c r="T28" s="191"/>
      <c r="U28" s="191"/>
      <c r="V28" s="191"/>
      <c r="W28" s="191"/>
      <c r="X28" s="191"/>
      <c r="Y28" s="191"/>
      <c r="Z28" s="191"/>
      <c r="AA28" s="191"/>
      <c r="AB28" s="191"/>
      <c r="AC28" s="191"/>
      <c r="AD28" s="191"/>
      <c r="AE28" s="191"/>
      <c r="AF28" s="191"/>
      <c r="AG28" s="191"/>
      <c r="AH28" s="191"/>
      <c r="AI28" s="191"/>
      <c r="AJ28" s="191"/>
      <c r="AK28" s="191"/>
      <c r="AL28" s="191"/>
      <c r="AM28" s="191"/>
      <c r="AN28" s="191"/>
      <c r="AO28" s="191"/>
      <c r="AP28" s="191"/>
      <c r="AQ28" s="191"/>
      <c r="AR28" s="191"/>
      <c r="AS28" s="191"/>
      <c r="AT28" s="191"/>
      <c r="AU28" s="191"/>
      <c r="AV28" s="191"/>
      <c r="AW28" s="191"/>
      <c r="AX28" s="191"/>
    </row>
    <row r="29" spans="1:52">
      <c r="B29" s="747" t="s">
        <v>465</v>
      </c>
      <c r="C29" s="747"/>
      <c r="D29" s="747"/>
      <c r="E29" s="747"/>
      <c r="F29" s="747"/>
      <c r="G29" s="747"/>
      <c r="H29" s="747"/>
      <c r="I29" s="747"/>
      <c r="K29" s="748" t="s">
        <v>253</v>
      </c>
      <c r="L29" s="748"/>
      <c r="M29" s="748"/>
      <c r="N29" s="748"/>
      <c r="O29" s="748"/>
      <c r="P29" s="748"/>
      <c r="Q29" s="748"/>
      <c r="R29" s="748"/>
      <c r="T29" s="747" t="s">
        <v>476</v>
      </c>
      <c r="U29" s="747"/>
      <c r="V29" s="747"/>
      <c r="W29" s="747"/>
      <c r="X29" s="747"/>
      <c r="Y29" s="747"/>
      <c r="Z29" s="747"/>
      <c r="AA29" s="747"/>
      <c r="AB29" s="412"/>
      <c r="AC29" s="747" t="s">
        <v>477</v>
      </c>
      <c r="AD29" s="747"/>
      <c r="AE29" s="747"/>
      <c r="AF29" s="747"/>
      <c r="AG29" s="747"/>
      <c r="AH29" s="747"/>
      <c r="AI29" s="747"/>
      <c r="AJ29" s="747"/>
      <c r="AL29" s="748" t="s">
        <v>252</v>
      </c>
      <c r="AM29" s="748"/>
      <c r="AN29" s="748"/>
      <c r="AO29" s="748"/>
      <c r="AP29" s="748"/>
      <c r="AQ29" s="748"/>
      <c r="AR29" s="748"/>
      <c r="AS29" s="748"/>
      <c r="AU29" s="748" t="s">
        <v>254</v>
      </c>
      <c r="AV29" s="748"/>
      <c r="AW29" s="748"/>
      <c r="AX29" s="748"/>
      <c r="AZ29" s="9" t="s">
        <v>309</v>
      </c>
    </row>
    <row r="30" spans="1:52" ht="26.25" customHeight="1">
      <c r="A30" s="192"/>
      <c r="B30" s="236" t="s">
        <v>158</v>
      </c>
      <c r="C30" s="236" t="s">
        <v>159</v>
      </c>
      <c r="D30" s="236" t="s">
        <v>160</v>
      </c>
      <c r="E30" s="236" t="s">
        <v>161</v>
      </c>
      <c r="F30" s="195" t="s">
        <v>33</v>
      </c>
      <c r="G30" s="195" t="s">
        <v>51</v>
      </c>
      <c r="H30" s="195" t="s">
        <v>52</v>
      </c>
      <c r="I30" s="195" t="s">
        <v>28</v>
      </c>
      <c r="J30" s="191"/>
      <c r="K30" s="196" t="s">
        <v>158</v>
      </c>
      <c r="L30" s="196" t="s">
        <v>159</v>
      </c>
      <c r="M30" s="196" t="s">
        <v>160</v>
      </c>
      <c r="N30" s="196" t="s">
        <v>161</v>
      </c>
      <c r="O30" s="195" t="s">
        <v>33</v>
      </c>
      <c r="P30" s="195" t="s">
        <v>51</v>
      </c>
      <c r="Q30" s="195" t="s">
        <v>52</v>
      </c>
      <c r="R30" s="195" t="s">
        <v>28</v>
      </c>
      <c r="S30" s="191"/>
      <c r="T30" s="196" t="s">
        <v>158</v>
      </c>
      <c r="U30" s="196" t="s">
        <v>159</v>
      </c>
      <c r="V30" s="196" t="s">
        <v>160</v>
      </c>
      <c r="W30" s="196" t="s">
        <v>161</v>
      </c>
      <c r="X30" s="195" t="s">
        <v>33</v>
      </c>
      <c r="Y30" s="195" t="s">
        <v>51</v>
      </c>
      <c r="Z30" s="195" t="s">
        <v>52</v>
      </c>
      <c r="AA30" s="195" t="s">
        <v>28</v>
      </c>
      <c r="AB30" s="195"/>
      <c r="AC30" s="415" t="s">
        <v>158</v>
      </c>
      <c r="AD30" s="415" t="s">
        <v>159</v>
      </c>
      <c r="AE30" s="415" t="s">
        <v>160</v>
      </c>
      <c r="AF30" s="415" t="s">
        <v>161</v>
      </c>
      <c r="AG30" s="195" t="s">
        <v>33</v>
      </c>
      <c r="AH30" s="195" t="s">
        <v>51</v>
      </c>
      <c r="AI30" s="195" t="s">
        <v>52</v>
      </c>
      <c r="AJ30" s="195" t="s">
        <v>28</v>
      </c>
      <c r="AK30" s="191"/>
      <c r="AL30" s="196" t="s">
        <v>158</v>
      </c>
      <c r="AM30" s="196" t="s">
        <v>159</v>
      </c>
      <c r="AN30" s="196" t="s">
        <v>160</v>
      </c>
      <c r="AO30" s="196" t="s">
        <v>161</v>
      </c>
      <c r="AP30" s="195" t="s">
        <v>33</v>
      </c>
      <c r="AQ30" s="195" t="s">
        <v>51</v>
      </c>
      <c r="AR30" s="195" t="s">
        <v>52</v>
      </c>
      <c r="AS30" s="195" t="s">
        <v>28</v>
      </c>
      <c r="AT30" s="191"/>
      <c r="AU30" s="237" t="s">
        <v>153</v>
      </c>
      <c r="AV30" s="237" t="s">
        <v>475</v>
      </c>
      <c r="AW30" s="435" t="s">
        <v>474</v>
      </c>
      <c r="AX30" s="435" t="s">
        <v>306</v>
      </c>
      <c r="AZ30" s="280" t="s">
        <v>469</v>
      </c>
    </row>
    <row r="31" spans="1:52">
      <c r="A31" s="215">
        <v>1979</v>
      </c>
      <c r="B31" s="39">
        <f>(K31-T31-AC31)/AL31*100</f>
        <v>-173.68421052631581</v>
      </c>
      <c r="C31" s="403">
        <f t="shared" ref="C31:I31" si="0">(L31-U31-AD31)/AM31*100</f>
        <v>0.29940119760479045</v>
      </c>
      <c r="D31" s="403">
        <f t="shared" si="0"/>
        <v>14.416058394160583</v>
      </c>
      <c r="E31" s="403">
        <f t="shared" si="0"/>
        <v>19.63109354413702</v>
      </c>
      <c r="F31" s="403">
        <f t="shared" si="0"/>
        <v>22.401614530776992</v>
      </c>
      <c r="G31" s="403">
        <f t="shared" si="0"/>
        <v>24.225122349102772</v>
      </c>
      <c r="H31" s="403">
        <f t="shared" si="0"/>
        <v>26.096737907761529</v>
      </c>
      <c r="I31" s="403">
        <f t="shared" si="0"/>
        <v>34.475412746316344</v>
      </c>
      <c r="K31" s="235">
        <f>$D117</f>
        <v>1000</v>
      </c>
      <c r="L31" s="235">
        <f>$D155</f>
        <v>5900</v>
      </c>
      <c r="M31" s="235">
        <f>$D193</f>
        <v>11300</v>
      </c>
      <c r="N31" s="235">
        <f>$D231</f>
        <v>17300</v>
      </c>
      <c r="O31" s="235">
        <f>$D307</f>
        <v>24200</v>
      </c>
      <c r="P31" s="235">
        <f>$D345</f>
        <v>31700</v>
      </c>
      <c r="Q31" s="235">
        <f>$D383</f>
        <v>49400</v>
      </c>
      <c r="R31" s="235">
        <f>$D421</f>
        <v>199400</v>
      </c>
      <c r="S31" s="235"/>
      <c r="T31" s="235">
        <f>$G117</f>
        <v>4400</v>
      </c>
      <c r="U31" s="235">
        <f>$G155</f>
        <v>1100</v>
      </c>
      <c r="V31" s="235">
        <f>$G193</f>
        <v>500</v>
      </c>
      <c r="W31" s="235">
        <f>$G231</f>
        <v>200</v>
      </c>
      <c r="X31" s="235">
        <f>$G307</f>
        <v>100</v>
      </c>
      <c r="Y31" s="235">
        <f>$G345</f>
        <v>100</v>
      </c>
      <c r="Z31" s="235">
        <f>$G383</f>
        <v>100</v>
      </c>
      <c r="AA31" s="235">
        <f>$G421</f>
        <v>200</v>
      </c>
      <c r="AB31" s="235"/>
      <c r="AC31" s="235">
        <f>$F117</f>
        <v>9800</v>
      </c>
      <c r="AD31" s="235">
        <f>$F155</f>
        <v>4700</v>
      </c>
      <c r="AE31" s="235">
        <f>$F193</f>
        <v>2900</v>
      </c>
      <c r="AF31" s="235">
        <f>$F231</f>
        <v>2200</v>
      </c>
      <c r="AG31" s="235">
        <f>$F307</f>
        <v>1900</v>
      </c>
      <c r="AH31" s="235">
        <f>$F345</f>
        <v>1900</v>
      </c>
      <c r="AI31" s="235">
        <f>$F383</f>
        <v>2900</v>
      </c>
      <c r="AJ31" s="235">
        <f>$F421</f>
        <v>5000</v>
      </c>
      <c r="AL31" s="235">
        <f>$E117</f>
        <v>7600</v>
      </c>
      <c r="AM31" s="235">
        <f>$E155</f>
        <v>33400</v>
      </c>
      <c r="AN31" s="235">
        <f>$E193</f>
        <v>54800</v>
      </c>
      <c r="AO31" s="235">
        <f>$E231</f>
        <v>75900</v>
      </c>
      <c r="AP31" s="235">
        <f>$E307</f>
        <v>99100</v>
      </c>
      <c r="AQ31" s="235">
        <f>$E345</f>
        <v>122600</v>
      </c>
      <c r="AR31" s="235">
        <f>$E383</f>
        <v>177800</v>
      </c>
      <c r="AS31" s="235">
        <f>$E421</f>
        <v>563300</v>
      </c>
      <c r="AU31" s="235">
        <f>D269</f>
        <v>40300</v>
      </c>
      <c r="AV31" s="235">
        <f t="shared" ref="AV31:AV68" si="1">F269</f>
        <v>2300</v>
      </c>
      <c r="AW31" s="235">
        <f t="shared" ref="AW31:AW68" si="2">G269</f>
        <v>100</v>
      </c>
      <c r="AX31" s="235">
        <f>E269</f>
        <v>145300</v>
      </c>
      <c r="AZ31" s="39">
        <f>(AU31-AV31-AW31)/AX31*100</f>
        <v>26.083964211975225</v>
      </c>
    </row>
    <row r="32" spans="1:52">
      <c r="A32" s="215">
        <v>1980</v>
      </c>
      <c r="B32" s="403">
        <f t="shared" ref="B32:B68" si="3">(K32-T32-AC32)/AL32*100</f>
        <v>-198.55072463768116</v>
      </c>
      <c r="C32" s="403">
        <f t="shared" ref="C32:C68" si="4">(L32-U32-AD32)/AM32*100</f>
        <v>-4.1401273885350314</v>
      </c>
      <c r="D32" s="403">
        <f t="shared" ref="D32:D68" si="5">(M32-V32-AE32)/AN32*100</f>
        <v>13.601532567049809</v>
      </c>
      <c r="E32" s="403">
        <f t="shared" ref="E32:E68" si="6">(N32-W32-AF32)/AO32*100</f>
        <v>19.565217391304348</v>
      </c>
      <c r="F32" s="403">
        <f t="shared" ref="F32:F68" si="7">(O32-X32-AG32)/AP32*100</f>
        <v>22.567287784679088</v>
      </c>
      <c r="G32" s="403">
        <f t="shared" ref="G32:G68" si="8">(P32-Y32-AH32)/AQ32*100</f>
        <v>24.481327800829874</v>
      </c>
      <c r="H32" s="403">
        <f t="shared" ref="H32:H68" si="9">(Q32-Z32-AI32)/AR32*100</f>
        <v>26.257309941520468</v>
      </c>
      <c r="I32" s="403">
        <f t="shared" ref="I32:I68" si="10">(R32-AA32-AJ32)/AS32*100</f>
        <v>32.406892718176763</v>
      </c>
      <c r="J32" s="131"/>
      <c r="K32" s="235">
        <f t="shared" ref="K32:K68" si="11">$D118</f>
        <v>900</v>
      </c>
      <c r="L32" s="235">
        <f t="shared" ref="L32:L68" si="12">$D156</f>
        <v>5400</v>
      </c>
      <c r="M32" s="235">
        <f t="shared" ref="M32:M68" si="13">$D194</f>
        <v>10900</v>
      </c>
      <c r="N32" s="235">
        <f t="shared" ref="N32:N68" si="14">$D232</f>
        <v>17000</v>
      </c>
      <c r="O32" s="235">
        <f t="shared" ref="O32:O68" si="15">$D308</f>
        <v>24100</v>
      </c>
      <c r="P32" s="235">
        <f t="shared" ref="P32:P68" si="16">$D346</f>
        <v>31800</v>
      </c>
      <c r="Q32" s="235">
        <f t="shared" ref="Q32:Q68" si="17">$D384</f>
        <v>48100</v>
      </c>
      <c r="R32" s="235">
        <f t="shared" ref="R32:R68" si="18">$D422</f>
        <v>180100</v>
      </c>
      <c r="S32" s="235"/>
      <c r="T32" s="235">
        <f t="shared" ref="T32:T68" si="19">$G118</f>
        <v>4600</v>
      </c>
      <c r="U32" s="235">
        <f t="shared" ref="U32:U68" si="20">$G156</f>
        <v>1300</v>
      </c>
      <c r="V32" s="235">
        <f t="shared" ref="V32:V68" si="21">$G194</f>
        <v>500</v>
      </c>
      <c r="W32" s="235">
        <f t="shared" ref="W32:W68" si="22">$G232</f>
        <v>200</v>
      </c>
      <c r="X32" s="235">
        <f t="shared" ref="X32:X68" si="23">$G308</f>
        <v>100</v>
      </c>
      <c r="Y32" s="235">
        <f t="shared" ref="Y32:Y68" si="24">$G346</f>
        <v>100</v>
      </c>
      <c r="Z32" s="235">
        <f t="shared" ref="Z32:Z68" si="25">$G384</f>
        <v>100</v>
      </c>
      <c r="AA32" s="235">
        <f t="shared" ref="AA32:AA68" si="26">$G422</f>
        <v>200</v>
      </c>
      <c r="AB32" s="235"/>
      <c r="AC32" s="235">
        <f t="shared" ref="AC32:AC68" si="27">$F118</f>
        <v>10000</v>
      </c>
      <c r="AD32" s="235">
        <f t="shared" ref="AD32:AD68" si="28">$F156</f>
        <v>5400</v>
      </c>
      <c r="AE32" s="235">
        <f t="shared" ref="AE32:AE68" si="29">$F194</f>
        <v>3300</v>
      </c>
      <c r="AF32" s="235">
        <f t="shared" ref="AF32:AF68" si="30">$F232</f>
        <v>2400</v>
      </c>
      <c r="AG32" s="235">
        <f t="shared" ref="AG32:AG68" si="31">$F308</f>
        <v>2200</v>
      </c>
      <c r="AH32" s="235">
        <f t="shared" ref="AH32:AH68" si="32">$F346</f>
        <v>2200</v>
      </c>
      <c r="AI32" s="235">
        <f t="shared" ref="AI32:AI68" si="33">$F384</f>
        <v>3100</v>
      </c>
      <c r="AJ32" s="235">
        <f t="shared" ref="AJ32:AJ68" si="34">$F422</f>
        <v>5000</v>
      </c>
      <c r="AK32" s="460"/>
      <c r="AL32" s="235">
        <f t="shared" ref="AL32:AL68" si="35">$E118</f>
        <v>6900</v>
      </c>
      <c r="AM32" s="235">
        <f t="shared" ref="AM32:AM68" si="36">$E156</f>
        <v>31400</v>
      </c>
      <c r="AN32" s="235">
        <f t="shared" ref="AN32:AN68" si="37">$E194</f>
        <v>52200</v>
      </c>
      <c r="AO32" s="235">
        <f t="shared" ref="AO32:AO68" si="38">$E232</f>
        <v>73600</v>
      </c>
      <c r="AP32" s="235">
        <f t="shared" ref="AP32:AP68" si="39">$E308</f>
        <v>96600</v>
      </c>
      <c r="AQ32" s="235">
        <f t="shared" ref="AQ32:AQ68" si="40">$E346</f>
        <v>120500</v>
      </c>
      <c r="AR32" s="235">
        <f t="shared" ref="AR32:AR68" si="41">$E384</f>
        <v>171000</v>
      </c>
      <c r="AS32" s="235">
        <f t="shared" ref="AS32:AS68" si="42">$E422</f>
        <v>539700</v>
      </c>
      <c r="AT32" s="131"/>
      <c r="AU32" s="235">
        <f t="shared" ref="AU32:AU68" si="43">D270</f>
        <v>39100</v>
      </c>
      <c r="AV32" s="235">
        <f t="shared" si="1"/>
        <v>2500</v>
      </c>
      <c r="AW32" s="235">
        <f t="shared" si="2"/>
        <v>100</v>
      </c>
      <c r="AX32" s="235">
        <f t="shared" ref="AX32:AX68" si="44">E270</f>
        <v>141100</v>
      </c>
      <c r="AZ32" s="403">
        <f t="shared" ref="AZ32:AZ68" si="45">(AU32-AV32-AW32)/AX32*100</f>
        <v>25.868178596739899</v>
      </c>
    </row>
    <row r="33" spans="1:52">
      <c r="A33" s="215">
        <v>1981</v>
      </c>
      <c r="B33" s="403">
        <f t="shared" si="3"/>
        <v>-211.94029850746267</v>
      </c>
      <c r="C33" s="403">
        <f t="shared" si="4"/>
        <v>-4.8543689320388346</v>
      </c>
      <c r="D33" s="403">
        <f t="shared" si="5"/>
        <v>13.872832369942195</v>
      </c>
      <c r="E33" s="403">
        <f t="shared" si="6"/>
        <v>20.053835800807537</v>
      </c>
      <c r="F33" s="403">
        <f t="shared" si="7"/>
        <v>23.005181347150259</v>
      </c>
      <c r="G33" s="403">
        <f t="shared" si="8"/>
        <v>24.833333333333332</v>
      </c>
      <c r="H33" s="403">
        <f t="shared" si="9"/>
        <v>26.017699115044245</v>
      </c>
      <c r="I33" s="403">
        <f t="shared" si="10"/>
        <v>29.795158286778399</v>
      </c>
      <c r="J33" s="131"/>
      <c r="K33" s="235">
        <f t="shared" si="11"/>
        <v>900</v>
      </c>
      <c r="L33" s="235">
        <f t="shared" si="12"/>
        <v>5500</v>
      </c>
      <c r="M33" s="235">
        <f t="shared" si="13"/>
        <v>11100</v>
      </c>
      <c r="N33" s="235">
        <f t="shared" si="14"/>
        <v>17800</v>
      </c>
      <c r="O33" s="235">
        <f t="shared" si="15"/>
        <v>24700</v>
      </c>
      <c r="P33" s="235">
        <f t="shared" si="16"/>
        <v>32300</v>
      </c>
      <c r="Q33" s="235">
        <f t="shared" si="17"/>
        <v>47500</v>
      </c>
      <c r="R33" s="235">
        <f t="shared" si="18"/>
        <v>165400</v>
      </c>
      <c r="S33" s="235"/>
      <c r="T33" s="235">
        <f t="shared" si="19"/>
        <v>4800</v>
      </c>
      <c r="U33" s="235">
        <f t="shared" si="20"/>
        <v>1300</v>
      </c>
      <c r="V33" s="235">
        <f t="shared" si="21"/>
        <v>400</v>
      </c>
      <c r="W33" s="235">
        <f t="shared" si="22"/>
        <v>200</v>
      </c>
      <c r="X33" s="235">
        <f t="shared" si="23"/>
        <v>100</v>
      </c>
      <c r="Y33" s="235">
        <f t="shared" si="24"/>
        <v>100</v>
      </c>
      <c r="Z33" s="235">
        <f t="shared" si="25"/>
        <v>100</v>
      </c>
      <c r="AA33" s="235">
        <f t="shared" si="26"/>
        <v>200</v>
      </c>
      <c r="AB33" s="235"/>
      <c r="AC33" s="235">
        <f t="shared" si="27"/>
        <v>10300</v>
      </c>
      <c r="AD33" s="235">
        <f t="shared" si="28"/>
        <v>5700</v>
      </c>
      <c r="AE33" s="235">
        <f t="shared" si="29"/>
        <v>3500</v>
      </c>
      <c r="AF33" s="235">
        <f t="shared" si="30"/>
        <v>2700</v>
      </c>
      <c r="AG33" s="235">
        <f t="shared" si="31"/>
        <v>2400</v>
      </c>
      <c r="AH33" s="235">
        <f t="shared" si="32"/>
        <v>2400</v>
      </c>
      <c r="AI33" s="235">
        <f t="shared" si="33"/>
        <v>3300</v>
      </c>
      <c r="AJ33" s="235">
        <f t="shared" si="34"/>
        <v>5200</v>
      </c>
      <c r="AK33" s="460"/>
      <c r="AL33" s="235">
        <f t="shared" si="35"/>
        <v>6700</v>
      </c>
      <c r="AM33" s="235">
        <f t="shared" si="36"/>
        <v>30900</v>
      </c>
      <c r="AN33" s="235">
        <f t="shared" si="37"/>
        <v>51900</v>
      </c>
      <c r="AO33" s="235">
        <f t="shared" si="38"/>
        <v>74300</v>
      </c>
      <c r="AP33" s="235">
        <f t="shared" si="39"/>
        <v>96500</v>
      </c>
      <c r="AQ33" s="235">
        <f t="shared" si="40"/>
        <v>120000</v>
      </c>
      <c r="AR33" s="235">
        <f t="shared" si="41"/>
        <v>169500</v>
      </c>
      <c r="AS33" s="235">
        <f t="shared" si="42"/>
        <v>537000</v>
      </c>
      <c r="AT33" s="131"/>
      <c r="AU33" s="235">
        <f t="shared" si="43"/>
        <v>38700</v>
      </c>
      <c r="AV33" s="235">
        <f t="shared" si="1"/>
        <v>2700</v>
      </c>
      <c r="AW33" s="235">
        <f t="shared" si="2"/>
        <v>100</v>
      </c>
      <c r="AX33" s="235">
        <f t="shared" si="44"/>
        <v>140600</v>
      </c>
      <c r="AZ33" s="403">
        <f t="shared" si="45"/>
        <v>25.533428165007109</v>
      </c>
    </row>
    <row r="34" spans="1:52">
      <c r="A34" s="215">
        <v>1982</v>
      </c>
      <c r="B34" s="403">
        <f t="shared" si="3"/>
        <v>-237.09677419354841</v>
      </c>
      <c r="C34" s="403">
        <f t="shared" si="4"/>
        <v>-9.8305084745762716</v>
      </c>
      <c r="D34" s="403">
        <f t="shared" si="5"/>
        <v>10.714285714285714</v>
      </c>
      <c r="E34" s="403">
        <f t="shared" si="6"/>
        <v>18.032786885245901</v>
      </c>
      <c r="F34" s="403">
        <f t="shared" si="7"/>
        <v>21.041666666666668</v>
      </c>
      <c r="G34" s="403">
        <f t="shared" si="8"/>
        <v>22.586062132661631</v>
      </c>
      <c r="H34" s="403">
        <f t="shared" si="9"/>
        <v>23.258559622195985</v>
      </c>
      <c r="I34" s="403">
        <f t="shared" si="10"/>
        <v>26.016260162601629</v>
      </c>
      <c r="J34" s="131"/>
      <c r="K34" s="235">
        <f t="shared" si="11"/>
        <v>800</v>
      </c>
      <c r="L34" s="235">
        <f t="shared" si="12"/>
        <v>4900</v>
      </c>
      <c r="M34" s="235">
        <f t="shared" si="13"/>
        <v>10200</v>
      </c>
      <c r="N34" s="235">
        <f t="shared" si="14"/>
        <v>16400</v>
      </c>
      <c r="O34" s="235">
        <f t="shared" si="15"/>
        <v>23000</v>
      </c>
      <c r="P34" s="235">
        <f t="shared" si="16"/>
        <v>29600</v>
      </c>
      <c r="Q34" s="235">
        <f t="shared" si="17"/>
        <v>43200</v>
      </c>
      <c r="R34" s="235">
        <f t="shared" si="18"/>
        <v>153400</v>
      </c>
      <c r="S34" s="235"/>
      <c r="T34" s="235">
        <f t="shared" si="19"/>
        <v>4900</v>
      </c>
      <c r="U34" s="235">
        <f t="shared" si="20"/>
        <v>1200</v>
      </c>
      <c r="V34" s="235">
        <f t="shared" si="21"/>
        <v>400</v>
      </c>
      <c r="W34" s="235">
        <f t="shared" si="22"/>
        <v>200</v>
      </c>
      <c r="X34" s="235">
        <f t="shared" si="23"/>
        <v>100</v>
      </c>
      <c r="Y34" s="235">
        <f t="shared" si="24"/>
        <v>100</v>
      </c>
      <c r="Z34" s="235">
        <f t="shared" si="25"/>
        <v>100</v>
      </c>
      <c r="AA34" s="235">
        <f t="shared" si="26"/>
        <v>200</v>
      </c>
      <c r="AB34" s="235"/>
      <c r="AC34" s="235">
        <f t="shared" si="27"/>
        <v>10600</v>
      </c>
      <c r="AD34" s="235">
        <f t="shared" si="28"/>
        <v>6600</v>
      </c>
      <c r="AE34" s="235">
        <f t="shared" si="29"/>
        <v>4400</v>
      </c>
      <c r="AF34" s="235">
        <f t="shared" si="30"/>
        <v>3000</v>
      </c>
      <c r="AG34" s="235">
        <f t="shared" si="31"/>
        <v>2700</v>
      </c>
      <c r="AH34" s="235">
        <f t="shared" si="32"/>
        <v>2600</v>
      </c>
      <c r="AI34" s="235">
        <f t="shared" si="33"/>
        <v>3700</v>
      </c>
      <c r="AJ34" s="235">
        <f t="shared" si="34"/>
        <v>6000</v>
      </c>
      <c r="AK34" s="460"/>
      <c r="AL34" s="235">
        <f t="shared" si="35"/>
        <v>6200</v>
      </c>
      <c r="AM34" s="235">
        <f t="shared" si="36"/>
        <v>29500</v>
      </c>
      <c r="AN34" s="235">
        <f t="shared" si="37"/>
        <v>50400</v>
      </c>
      <c r="AO34" s="235">
        <f t="shared" si="38"/>
        <v>73200</v>
      </c>
      <c r="AP34" s="235">
        <f t="shared" si="39"/>
        <v>96000</v>
      </c>
      <c r="AQ34" s="235">
        <f t="shared" si="40"/>
        <v>119100</v>
      </c>
      <c r="AR34" s="235">
        <f t="shared" si="41"/>
        <v>169400</v>
      </c>
      <c r="AS34" s="235">
        <f t="shared" si="42"/>
        <v>565800</v>
      </c>
      <c r="AT34" s="131"/>
      <c r="AU34" s="235">
        <f t="shared" si="43"/>
        <v>35600</v>
      </c>
      <c r="AV34" s="235">
        <f t="shared" si="1"/>
        <v>3100</v>
      </c>
      <c r="AW34" s="235">
        <f t="shared" si="2"/>
        <v>100</v>
      </c>
      <c r="AX34" s="235">
        <f t="shared" si="44"/>
        <v>141300</v>
      </c>
      <c r="AZ34" s="403">
        <f t="shared" si="45"/>
        <v>22.929936305732486</v>
      </c>
    </row>
    <row r="35" spans="1:52">
      <c r="A35" s="215">
        <v>1983</v>
      </c>
      <c r="B35" s="403">
        <f t="shared" si="3"/>
        <v>-252.54237288135593</v>
      </c>
      <c r="C35" s="403">
        <f t="shared" si="4"/>
        <v>-11.267605633802818</v>
      </c>
      <c r="D35" s="403">
        <f t="shared" si="5"/>
        <v>10.1010101010101</v>
      </c>
      <c r="E35" s="403">
        <f t="shared" si="6"/>
        <v>17.1939477303989</v>
      </c>
      <c r="F35" s="403">
        <f t="shared" si="7"/>
        <v>20.349434737923946</v>
      </c>
      <c r="G35" s="403">
        <f t="shared" si="8"/>
        <v>21.831561733442356</v>
      </c>
      <c r="H35" s="403">
        <f t="shared" si="9"/>
        <v>22.184300341296929</v>
      </c>
      <c r="I35" s="403">
        <f t="shared" si="10"/>
        <v>26.044860416330483</v>
      </c>
      <c r="J35" s="131"/>
      <c r="K35" s="235">
        <f t="shared" si="11"/>
        <v>900</v>
      </c>
      <c r="L35" s="235">
        <f t="shared" si="12"/>
        <v>4800</v>
      </c>
      <c r="M35" s="235">
        <f t="shared" si="13"/>
        <v>9800</v>
      </c>
      <c r="N35" s="235">
        <f t="shared" si="14"/>
        <v>15900</v>
      </c>
      <c r="O35" s="235">
        <f t="shared" si="15"/>
        <v>22600</v>
      </c>
      <c r="P35" s="235">
        <f t="shared" si="16"/>
        <v>29400</v>
      </c>
      <c r="Q35" s="235">
        <f t="shared" si="17"/>
        <v>42800</v>
      </c>
      <c r="R35" s="235">
        <f t="shared" si="18"/>
        <v>167800</v>
      </c>
      <c r="S35" s="235"/>
      <c r="T35" s="235">
        <f t="shared" si="19"/>
        <v>5300</v>
      </c>
      <c r="U35" s="235">
        <f t="shared" si="20"/>
        <v>1100</v>
      </c>
      <c r="V35" s="235">
        <f t="shared" si="21"/>
        <v>300</v>
      </c>
      <c r="W35" s="235">
        <f t="shared" si="22"/>
        <v>200</v>
      </c>
      <c r="X35" s="235">
        <f t="shared" si="23"/>
        <v>100</v>
      </c>
      <c r="Y35" s="235">
        <f t="shared" si="24"/>
        <v>100</v>
      </c>
      <c r="Z35" s="235">
        <f t="shared" si="25"/>
        <v>100</v>
      </c>
      <c r="AA35" s="235">
        <f t="shared" si="26"/>
        <v>200</v>
      </c>
      <c r="AB35" s="235"/>
      <c r="AC35" s="235">
        <f t="shared" si="27"/>
        <v>10500</v>
      </c>
      <c r="AD35" s="235">
        <f t="shared" si="28"/>
        <v>6900</v>
      </c>
      <c r="AE35" s="235">
        <f t="shared" si="29"/>
        <v>4500</v>
      </c>
      <c r="AF35" s="235">
        <f t="shared" si="30"/>
        <v>3200</v>
      </c>
      <c r="AG35" s="235">
        <f t="shared" si="31"/>
        <v>2700</v>
      </c>
      <c r="AH35" s="235">
        <f t="shared" si="32"/>
        <v>2600</v>
      </c>
      <c r="AI35" s="235">
        <f t="shared" si="33"/>
        <v>3700</v>
      </c>
      <c r="AJ35" s="235">
        <f t="shared" si="34"/>
        <v>6200</v>
      </c>
      <c r="AK35" s="460"/>
      <c r="AL35" s="235">
        <f t="shared" si="35"/>
        <v>5900</v>
      </c>
      <c r="AM35" s="235">
        <f t="shared" si="36"/>
        <v>28400</v>
      </c>
      <c r="AN35" s="235">
        <f t="shared" si="37"/>
        <v>49500</v>
      </c>
      <c r="AO35" s="235">
        <f t="shared" si="38"/>
        <v>72700</v>
      </c>
      <c r="AP35" s="235">
        <f t="shared" si="39"/>
        <v>97300</v>
      </c>
      <c r="AQ35" s="235">
        <f t="shared" si="40"/>
        <v>122300</v>
      </c>
      <c r="AR35" s="235">
        <f t="shared" si="41"/>
        <v>175800</v>
      </c>
      <c r="AS35" s="235">
        <f t="shared" si="42"/>
        <v>619700</v>
      </c>
      <c r="AT35" s="131"/>
      <c r="AU35" s="235">
        <f t="shared" si="43"/>
        <v>36000</v>
      </c>
      <c r="AV35" s="235">
        <f t="shared" si="1"/>
        <v>3100</v>
      </c>
      <c r="AW35" s="235">
        <f t="shared" si="2"/>
        <v>100</v>
      </c>
      <c r="AX35" s="235">
        <f t="shared" si="44"/>
        <v>146900</v>
      </c>
      <c r="AZ35" s="403">
        <f t="shared" si="45"/>
        <v>22.328114363512594</v>
      </c>
    </row>
    <row r="36" spans="1:52">
      <c r="A36" s="215">
        <v>1984</v>
      </c>
      <c r="B36" s="403">
        <f t="shared" si="3"/>
        <v>-190.27777777777777</v>
      </c>
      <c r="C36" s="403">
        <f t="shared" si="4"/>
        <v>-6.4516129032258061</v>
      </c>
      <c r="D36" s="403">
        <f t="shared" si="5"/>
        <v>11.005692599620494</v>
      </c>
      <c r="E36" s="403">
        <f t="shared" si="6"/>
        <v>17.792207792207794</v>
      </c>
      <c r="F36" s="403">
        <f t="shared" si="7"/>
        <v>20.443587270973964</v>
      </c>
      <c r="G36" s="403">
        <f t="shared" si="8"/>
        <v>21.699544764795146</v>
      </c>
      <c r="H36" s="403">
        <f t="shared" si="9"/>
        <v>22.233875196643943</v>
      </c>
      <c r="I36" s="403">
        <f t="shared" si="10"/>
        <v>26.302045553460029</v>
      </c>
      <c r="J36" s="131"/>
      <c r="K36" s="235">
        <f t="shared" si="11"/>
        <v>1100</v>
      </c>
      <c r="L36" s="235">
        <f t="shared" si="12"/>
        <v>5500</v>
      </c>
      <c r="M36" s="235">
        <f t="shared" si="13"/>
        <v>10600</v>
      </c>
      <c r="N36" s="235">
        <f t="shared" si="14"/>
        <v>17000</v>
      </c>
      <c r="O36" s="235">
        <f t="shared" si="15"/>
        <v>24300</v>
      </c>
      <c r="P36" s="235">
        <f t="shared" si="16"/>
        <v>31700</v>
      </c>
      <c r="Q36" s="235">
        <f t="shared" si="17"/>
        <v>46200</v>
      </c>
      <c r="R36" s="235">
        <f t="shared" si="18"/>
        <v>188300</v>
      </c>
      <c r="S36" s="235"/>
      <c r="T36" s="235">
        <f t="shared" si="19"/>
        <v>4900</v>
      </c>
      <c r="U36" s="235">
        <f t="shared" si="20"/>
        <v>1100</v>
      </c>
      <c r="V36" s="235">
        <f t="shared" si="21"/>
        <v>400</v>
      </c>
      <c r="W36" s="235">
        <f t="shared" si="22"/>
        <v>200</v>
      </c>
      <c r="X36" s="235">
        <f t="shared" si="23"/>
        <v>100</v>
      </c>
      <c r="Y36" s="235">
        <f t="shared" si="24"/>
        <v>100</v>
      </c>
      <c r="Z36" s="235">
        <f t="shared" si="25"/>
        <v>100</v>
      </c>
      <c r="AA36" s="235">
        <f t="shared" si="26"/>
        <v>200</v>
      </c>
      <c r="AB36" s="235"/>
      <c r="AC36" s="235">
        <f t="shared" si="27"/>
        <v>9900</v>
      </c>
      <c r="AD36" s="235">
        <f t="shared" si="28"/>
        <v>6400</v>
      </c>
      <c r="AE36" s="235">
        <f t="shared" si="29"/>
        <v>4400</v>
      </c>
      <c r="AF36" s="235">
        <f t="shared" si="30"/>
        <v>3100</v>
      </c>
      <c r="AG36" s="235">
        <f t="shared" si="31"/>
        <v>3000</v>
      </c>
      <c r="AH36" s="235">
        <f t="shared" si="32"/>
        <v>3000</v>
      </c>
      <c r="AI36" s="235">
        <f t="shared" si="33"/>
        <v>3700</v>
      </c>
      <c r="AJ36" s="235">
        <f t="shared" si="34"/>
        <v>6800</v>
      </c>
      <c r="AK36" s="460"/>
      <c r="AL36" s="235">
        <f t="shared" si="35"/>
        <v>7200</v>
      </c>
      <c r="AM36" s="235">
        <f t="shared" si="36"/>
        <v>31000</v>
      </c>
      <c r="AN36" s="235">
        <f t="shared" si="37"/>
        <v>52700</v>
      </c>
      <c r="AO36" s="235">
        <f t="shared" si="38"/>
        <v>77000</v>
      </c>
      <c r="AP36" s="235">
        <f t="shared" si="39"/>
        <v>103700</v>
      </c>
      <c r="AQ36" s="235">
        <f t="shared" si="40"/>
        <v>131800</v>
      </c>
      <c r="AR36" s="235">
        <f t="shared" si="41"/>
        <v>190700</v>
      </c>
      <c r="AS36" s="235">
        <f t="shared" si="42"/>
        <v>689300</v>
      </c>
      <c r="AT36" s="131"/>
      <c r="AU36" s="235">
        <f t="shared" si="43"/>
        <v>39200</v>
      </c>
      <c r="AV36" s="235">
        <f t="shared" si="1"/>
        <v>3300</v>
      </c>
      <c r="AW36" s="235">
        <f t="shared" si="2"/>
        <v>100</v>
      </c>
      <c r="AX36" s="235">
        <f t="shared" si="44"/>
        <v>159100</v>
      </c>
      <c r="AZ36" s="403">
        <f t="shared" si="45"/>
        <v>22.501571338780639</v>
      </c>
    </row>
    <row r="37" spans="1:52">
      <c r="A37" s="215">
        <v>1985</v>
      </c>
      <c r="B37" s="403">
        <f t="shared" si="3"/>
        <v>-210.14492753623188</v>
      </c>
      <c r="C37" s="403">
        <f t="shared" si="4"/>
        <v>-6.7961165048543686</v>
      </c>
      <c r="D37" s="403">
        <f t="shared" si="5"/>
        <v>10.964083175803403</v>
      </c>
      <c r="E37" s="403">
        <f t="shared" si="6"/>
        <v>17.769130998702984</v>
      </c>
      <c r="F37" s="403">
        <f t="shared" si="7"/>
        <v>20.719844357976655</v>
      </c>
      <c r="G37" s="403">
        <f t="shared" si="8"/>
        <v>22.146118721461185</v>
      </c>
      <c r="H37" s="403">
        <f t="shared" si="9"/>
        <v>22.372528616024976</v>
      </c>
      <c r="I37" s="403">
        <f t="shared" si="10"/>
        <v>25.364391772238115</v>
      </c>
      <c r="J37" s="131"/>
      <c r="K37" s="235">
        <f t="shared" si="11"/>
        <v>1100</v>
      </c>
      <c r="L37" s="235">
        <f t="shared" si="12"/>
        <v>5500</v>
      </c>
      <c r="M37" s="235">
        <f t="shared" si="13"/>
        <v>10700</v>
      </c>
      <c r="N37" s="235">
        <f t="shared" si="14"/>
        <v>17100</v>
      </c>
      <c r="O37" s="235">
        <f t="shared" si="15"/>
        <v>24300</v>
      </c>
      <c r="P37" s="235">
        <f t="shared" si="16"/>
        <v>31900</v>
      </c>
      <c r="Q37" s="235">
        <f t="shared" si="17"/>
        <v>46900</v>
      </c>
      <c r="R37" s="235">
        <f t="shared" si="18"/>
        <v>193200</v>
      </c>
      <c r="S37" s="235"/>
      <c r="T37" s="235">
        <f t="shared" si="19"/>
        <v>5300</v>
      </c>
      <c r="U37" s="235">
        <f t="shared" si="20"/>
        <v>1000</v>
      </c>
      <c r="V37" s="235">
        <f t="shared" si="21"/>
        <v>400</v>
      </c>
      <c r="W37" s="235">
        <f t="shared" si="22"/>
        <v>200</v>
      </c>
      <c r="X37" s="235">
        <f t="shared" si="23"/>
        <v>200</v>
      </c>
      <c r="Y37" s="235">
        <f t="shared" si="24"/>
        <v>100</v>
      </c>
      <c r="Z37" s="235">
        <f t="shared" si="25"/>
        <v>100</v>
      </c>
      <c r="AA37" s="235">
        <f t="shared" si="26"/>
        <v>200</v>
      </c>
      <c r="AB37" s="235"/>
      <c r="AC37" s="235">
        <f t="shared" si="27"/>
        <v>10300</v>
      </c>
      <c r="AD37" s="235">
        <f t="shared" si="28"/>
        <v>6600</v>
      </c>
      <c r="AE37" s="235">
        <f t="shared" si="29"/>
        <v>4500</v>
      </c>
      <c r="AF37" s="235">
        <f t="shared" si="30"/>
        <v>3200</v>
      </c>
      <c r="AG37" s="235">
        <f t="shared" si="31"/>
        <v>2800</v>
      </c>
      <c r="AH37" s="235">
        <f t="shared" si="32"/>
        <v>2700</v>
      </c>
      <c r="AI37" s="235">
        <f t="shared" si="33"/>
        <v>3800</v>
      </c>
      <c r="AJ37" s="235">
        <f t="shared" si="34"/>
        <v>6800</v>
      </c>
      <c r="AK37" s="460"/>
      <c r="AL37" s="235">
        <f t="shared" si="35"/>
        <v>6900</v>
      </c>
      <c r="AM37" s="235">
        <f t="shared" si="36"/>
        <v>30900</v>
      </c>
      <c r="AN37" s="235">
        <f t="shared" si="37"/>
        <v>52900</v>
      </c>
      <c r="AO37" s="235">
        <f t="shared" si="38"/>
        <v>77100</v>
      </c>
      <c r="AP37" s="235">
        <f t="shared" si="39"/>
        <v>102800</v>
      </c>
      <c r="AQ37" s="235">
        <f t="shared" si="40"/>
        <v>131400</v>
      </c>
      <c r="AR37" s="235">
        <f t="shared" si="41"/>
        <v>192200</v>
      </c>
      <c r="AS37" s="235">
        <f t="shared" si="42"/>
        <v>734100</v>
      </c>
      <c r="AT37" s="131"/>
      <c r="AU37" s="235">
        <f t="shared" si="43"/>
        <v>39600</v>
      </c>
      <c r="AV37" s="235">
        <f t="shared" si="1"/>
        <v>3200</v>
      </c>
      <c r="AW37" s="235">
        <f t="shared" si="2"/>
        <v>100</v>
      </c>
      <c r="AX37" s="235">
        <f t="shared" si="44"/>
        <v>160900</v>
      </c>
      <c r="AZ37" s="403">
        <f t="shared" si="45"/>
        <v>22.560596643878185</v>
      </c>
    </row>
    <row r="38" spans="1:52">
      <c r="A38" s="215">
        <v>1986</v>
      </c>
      <c r="B38" s="403">
        <f t="shared" si="3"/>
        <v>-214.70588235294116</v>
      </c>
      <c r="C38" s="403">
        <f t="shared" si="4"/>
        <v>-9.0614886731391593</v>
      </c>
      <c r="D38" s="403">
        <f t="shared" si="5"/>
        <v>10.946196660482375</v>
      </c>
      <c r="E38" s="403">
        <f t="shared" si="6"/>
        <v>18.295739348370926</v>
      </c>
      <c r="F38" s="403">
        <f t="shared" si="7"/>
        <v>21.184088806660501</v>
      </c>
      <c r="G38" s="403">
        <f t="shared" si="8"/>
        <v>22.100656455142232</v>
      </c>
      <c r="H38" s="403">
        <f t="shared" si="9"/>
        <v>22.311700615821888</v>
      </c>
      <c r="I38" s="403">
        <f t="shared" si="10"/>
        <v>24.117524916943523</v>
      </c>
      <c r="J38" s="131"/>
      <c r="K38" s="235">
        <f t="shared" si="11"/>
        <v>1100</v>
      </c>
      <c r="L38" s="235">
        <f t="shared" si="12"/>
        <v>5500</v>
      </c>
      <c r="M38" s="235">
        <f t="shared" si="13"/>
        <v>11000</v>
      </c>
      <c r="N38" s="235">
        <f t="shared" si="14"/>
        <v>17900</v>
      </c>
      <c r="O38" s="235">
        <f t="shared" si="15"/>
        <v>25700</v>
      </c>
      <c r="P38" s="235">
        <f t="shared" si="16"/>
        <v>33400</v>
      </c>
      <c r="Q38" s="235">
        <f t="shared" si="17"/>
        <v>51100</v>
      </c>
      <c r="R38" s="235">
        <f t="shared" si="18"/>
        <v>239500</v>
      </c>
      <c r="S38" s="235"/>
      <c r="T38" s="235">
        <f t="shared" si="19"/>
        <v>5400</v>
      </c>
      <c r="U38" s="235">
        <f t="shared" si="20"/>
        <v>1100</v>
      </c>
      <c r="V38" s="235">
        <f t="shared" si="21"/>
        <v>400</v>
      </c>
      <c r="W38" s="235">
        <f t="shared" si="22"/>
        <v>200</v>
      </c>
      <c r="X38" s="235">
        <f t="shared" si="23"/>
        <v>100</v>
      </c>
      <c r="Y38" s="235">
        <f t="shared" si="24"/>
        <v>100</v>
      </c>
      <c r="Z38" s="235">
        <f t="shared" si="25"/>
        <v>100</v>
      </c>
      <c r="AA38" s="235">
        <f t="shared" si="26"/>
        <v>200</v>
      </c>
      <c r="AB38" s="235"/>
      <c r="AC38" s="235">
        <f t="shared" si="27"/>
        <v>10300</v>
      </c>
      <c r="AD38" s="235">
        <f t="shared" si="28"/>
        <v>7200</v>
      </c>
      <c r="AE38" s="235">
        <f t="shared" si="29"/>
        <v>4700</v>
      </c>
      <c r="AF38" s="235">
        <f t="shared" si="30"/>
        <v>3100</v>
      </c>
      <c r="AG38" s="235">
        <f t="shared" si="31"/>
        <v>2700</v>
      </c>
      <c r="AH38" s="235">
        <f t="shared" si="32"/>
        <v>3000</v>
      </c>
      <c r="AI38" s="235">
        <f t="shared" si="33"/>
        <v>3900</v>
      </c>
      <c r="AJ38" s="235">
        <f t="shared" si="34"/>
        <v>7000</v>
      </c>
      <c r="AK38" s="460"/>
      <c r="AL38" s="235">
        <f t="shared" si="35"/>
        <v>6800</v>
      </c>
      <c r="AM38" s="235">
        <f t="shared" si="36"/>
        <v>30900</v>
      </c>
      <c r="AN38" s="235">
        <f t="shared" si="37"/>
        <v>53900</v>
      </c>
      <c r="AO38" s="235">
        <f t="shared" si="38"/>
        <v>79800</v>
      </c>
      <c r="AP38" s="235">
        <f t="shared" si="39"/>
        <v>108100</v>
      </c>
      <c r="AQ38" s="235">
        <f t="shared" si="40"/>
        <v>137100</v>
      </c>
      <c r="AR38" s="235">
        <f t="shared" si="41"/>
        <v>211100</v>
      </c>
      <c r="AS38" s="235">
        <f t="shared" si="42"/>
        <v>963200</v>
      </c>
      <c r="AT38" s="131"/>
      <c r="AU38" s="235">
        <f t="shared" si="43"/>
        <v>44000</v>
      </c>
      <c r="AV38" s="235">
        <f t="shared" si="1"/>
        <v>3300</v>
      </c>
      <c r="AW38" s="235">
        <f t="shared" si="2"/>
        <v>100</v>
      </c>
      <c r="AX38" s="235">
        <f t="shared" si="44"/>
        <v>181000</v>
      </c>
      <c r="AZ38" s="403">
        <f t="shared" si="45"/>
        <v>22.430939226519335</v>
      </c>
    </row>
    <row r="39" spans="1:52">
      <c r="A39" s="215">
        <v>1987</v>
      </c>
      <c r="B39" s="403">
        <f t="shared" si="3"/>
        <v>-250.81967213114754</v>
      </c>
      <c r="C39" s="403">
        <f t="shared" si="4"/>
        <v>-9.9667774086378742</v>
      </c>
      <c r="D39" s="403">
        <f t="shared" si="5"/>
        <v>11.194029850746269</v>
      </c>
      <c r="E39" s="403">
        <f t="shared" si="6"/>
        <v>17.866004962779154</v>
      </c>
      <c r="F39" s="403">
        <f t="shared" si="7"/>
        <v>21.611721611721613</v>
      </c>
      <c r="G39" s="403">
        <f t="shared" si="8"/>
        <v>23.349893541518806</v>
      </c>
      <c r="H39" s="403">
        <f t="shared" si="9"/>
        <v>24.807321772639693</v>
      </c>
      <c r="I39" s="403">
        <f t="shared" si="10"/>
        <v>29.53133091662351</v>
      </c>
      <c r="J39" s="131"/>
      <c r="K39" s="235">
        <f t="shared" si="11"/>
        <v>900</v>
      </c>
      <c r="L39" s="235">
        <f t="shared" si="12"/>
        <v>5100</v>
      </c>
      <c r="M39" s="235">
        <f t="shared" si="13"/>
        <v>10800</v>
      </c>
      <c r="N39" s="235">
        <f t="shared" si="14"/>
        <v>17700</v>
      </c>
      <c r="O39" s="235">
        <f t="shared" si="15"/>
        <v>26100</v>
      </c>
      <c r="P39" s="235">
        <f t="shared" si="16"/>
        <v>35600</v>
      </c>
      <c r="Q39" s="235">
        <f t="shared" si="17"/>
        <v>55300</v>
      </c>
      <c r="R39" s="235">
        <f t="shared" si="18"/>
        <v>234000</v>
      </c>
      <c r="S39" s="235"/>
      <c r="T39" s="235">
        <f t="shared" si="19"/>
        <v>5600</v>
      </c>
      <c r="U39" s="235">
        <f t="shared" si="20"/>
        <v>1000</v>
      </c>
      <c r="V39" s="235">
        <f t="shared" si="21"/>
        <v>400</v>
      </c>
      <c r="W39" s="235">
        <f t="shared" si="22"/>
        <v>200</v>
      </c>
      <c r="X39" s="235">
        <f t="shared" si="23"/>
        <v>100</v>
      </c>
      <c r="Y39" s="235">
        <f t="shared" si="24"/>
        <v>100</v>
      </c>
      <c r="Z39" s="235">
        <f t="shared" si="25"/>
        <v>200</v>
      </c>
      <c r="AA39" s="235">
        <f t="shared" si="26"/>
        <v>300</v>
      </c>
      <c r="AB39" s="235"/>
      <c r="AC39" s="235">
        <f t="shared" si="27"/>
        <v>10600</v>
      </c>
      <c r="AD39" s="235">
        <f t="shared" si="28"/>
        <v>7100</v>
      </c>
      <c r="AE39" s="235">
        <f t="shared" si="29"/>
        <v>4400</v>
      </c>
      <c r="AF39" s="235">
        <f t="shared" si="30"/>
        <v>3100</v>
      </c>
      <c r="AG39" s="235">
        <f t="shared" si="31"/>
        <v>2400</v>
      </c>
      <c r="AH39" s="235">
        <f t="shared" si="32"/>
        <v>2600</v>
      </c>
      <c r="AI39" s="235">
        <f t="shared" si="33"/>
        <v>3600</v>
      </c>
      <c r="AJ39" s="235">
        <f t="shared" si="34"/>
        <v>5600</v>
      </c>
      <c r="AK39" s="460"/>
      <c r="AL39" s="235">
        <f t="shared" si="35"/>
        <v>6100</v>
      </c>
      <c r="AM39" s="235">
        <f t="shared" si="36"/>
        <v>30100</v>
      </c>
      <c r="AN39" s="235">
        <f t="shared" si="37"/>
        <v>53600</v>
      </c>
      <c r="AO39" s="235">
        <f t="shared" si="38"/>
        <v>80600</v>
      </c>
      <c r="AP39" s="235">
        <f t="shared" si="39"/>
        <v>109200</v>
      </c>
      <c r="AQ39" s="235">
        <f t="shared" si="40"/>
        <v>140900</v>
      </c>
      <c r="AR39" s="235">
        <f t="shared" si="41"/>
        <v>207600</v>
      </c>
      <c r="AS39" s="235">
        <f t="shared" si="42"/>
        <v>772400</v>
      </c>
      <c r="AT39" s="131"/>
      <c r="AU39" s="235">
        <f t="shared" si="43"/>
        <v>45000</v>
      </c>
      <c r="AV39" s="235">
        <f t="shared" si="1"/>
        <v>2800</v>
      </c>
      <c r="AW39" s="235">
        <f t="shared" si="2"/>
        <v>100</v>
      </c>
      <c r="AX39" s="235">
        <f t="shared" si="44"/>
        <v>170900</v>
      </c>
      <c r="AZ39" s="403">
        <f t="shared" si="45"/>
        <v>24.634289057928612</v>
      </c>
    </row>
    <row r="40" spans="1:52">
      <c r="A40" s="215">
        <v>1988</v>
      </c>
      <c r="B40" s="403">
        <f t="shared" si="3"/>
        <v>-247.61904761904762</v>
      </c>
      <c r="C40" s="403">
        <f t="shared" si="4"/>
        <v>-9.120521172638437</v>
      </c>
      <c r="D40" s="403">
        <f t="shared" si="5"/>
        <v>11.721611721611721</v>
      </c>
      <c r="E40" s="403">
        <f t="shared" si="6"/>
        <v>18.596059113300491</v>
      </c>
      <c r="F40" s="403">
        <f t="shared" si="7"/>
        <v>21.64855072463768</v>
      </c>
      <c r="G40" s="403">
        <f t="shared" si="8"/>
        <v>23.562412342215989</v>
      </c>
      <c r="H40" s="403">
        <f t="shared" si="9"/>
        <v>24.383434155421128</v>
      </c>
      <c r="I40" s="403">
        <f t="shared" si="10"/>
        <v>28.185488044715868</v>
      </c>
      <c r="J40" s="131"/>
      <c r="K40" s="235">
        <f t="shared" si="11"/>
        <v>1000</v>
      </c>
      <c r="L40" s="235">
        <f t="shared" si="12"/>
        <v>5300</v>
      </c>
      <c r="M40" s="235">
        <f t="shared" si="13"/>
        <v>11200</v>
      </c>
      <c r="N40" s="235">
        <f t="shared" si="14"/>
        <v>18300</v>
      </c>
      <c r="O40" s="235">
        <f t="shared" si="15"/>
        <v>26600</v>
      </c>
      <c r="P40" s="235">
        <f t="shared" si="16"/>
        <v>36100</v>
      </c>
      <c r="Q40" s="235">
        <f t="shared" si="17"/>
        <v>56100</v>
      </c>
      <c r="R40" s="235">
        <f t="shared" si="18"/>
        <v>278400</v>
      </c>
      <c r="S40" s="235"/>
      <c r="T40" s="235">
        <f t="shared" si="19"/>
        <v>5800</v>
      </c>
      <c r="U40" s="235">
        <f t="shared" si="20"/>
        <v>1000</v>
      </c>
      <c r="V40" s="235">
        <f t="shared" si="21"/>
        <v>400</v>
      </c>
      <c r="W40" s="235">
        <f t="shared" si="22"/>
        <v>200</v>
      </c>
      <c r="X40" s="235">
        <f t="shared" si="23"/>
        <v>100</v>
      </c>
      <c r="Y40" s="235">
        <f t="shared" si="24"/>
        <v>100</v>
      </c>
      <c r="Z40" s="235">
        <f t="shared" si="25"/>
        <v>100</v>
      </c>
      <c r="AA40" s="235">
        <f t="shared" si="26"/>
        <v>200</v>
      </c>
      <c r="AB40" s="235"/>
      <c r="AC40" s="235">
        <f t="shared" si="27"/>
        <v>10800</v>
      </c>
      <c r="AD40" s="235">
        <f t="shared" si="28"/>
        <v>7100</v>
      </c>
      <c r="AE40" s="235">
        <f t="shared" si="29"/>
        <v>4400</v>
      </c>
      <c r="AF40" s="235">
        <f t="shared" si="30"/>
        <v>3000</v>
      </c>
      <c r="AG40" s="235">
        <f t="shared" si="31"/>
        <v>2600</v>
      </c>
      <c r="AH40" s="235">
        <f t="shared" si="32"/>
        <v>2400</v>
      </c>
      <c r="AI40" s="235">
        <f t="shared" si="33"/>
        <v>3600</v>
      </c>
      <c r="AJ40" s="235">
        <f t="shared" si="34"/>
        <v>5900</v>
      </c>
      <c r="AK40" s="460"/>
      <c r="AL40" s="235">
        <f t="shared" si="35"/>
        <v>6300</v>
      </c>
      <c r="AM40" s="235">
        <f t="shared" si="36"/>
        <v>30700</v>
      </c>
      <c r="AN40" s="235">
        <f t="shared" si="37"/>
        <v>54600</v>
      </c>
      <c r="AO40" s="235">
        <f t="shared" si="38"/>
        <v>81200</v>
      </c>
      <c r="AP40" s="235">
        <f t="shared" si="39"/>
        <v>110400</v>
      </c>
      <c r="AQ40" s="235">
        <f t="shared" si="40"/>
        <v>142600</v>
      </c>
      <c r="AR40" s="235">
        <f t="shared" si="41"/>
        <v>214900</v>
      </c>
      <c r="AS40" s="235">
        <f t="shared" si="42"/>
        <v>966100</v>
      </c>
      <c r="AT40" s="131"/>
      <c r="AU40" s="235">
        <f t="shared" si="43"/>
        <v>47700</v>
      </c>
      <c r="AV40" s="235">
        <f t="shared" si="1"/>
        <v>2900</v>
      </c>
      <c r="AW40" s="235">
        <f t="shared" si="2"/>
        <v>100</v>
      </c>
      <c r="AX40" s="235">
        <f t="shared" si="44"/>
        <v>182900</v>
      </c>
      <c r="AZ40" s="403">
        <f t="shared" si="45"/>
        <v>24.439584472389285</v>
      </c>
    </row>
    <row r="41" spans="1:52">
      <c r="A41" s="215">
        <v>1989</v>
      </c>
      <c r="B41" s="403">
        <f t="shared" si="3"/>
        <v>-225.71428571428572</v>
      </c>
      <c r="C41" s="403">
        <f t="shared" si="4"/>
        <v>-10.932475884244374</v>
      </c>
      <c r="D41" s="403">
        <f t="shared" si="5"/>
        <v>11.636363636363637</v>
      </c>
      <c r="E41" s="403">
        <f t="shared" si="6"/>
        <v>18.292682926829269</v>
      </c>
      <c r="F41" s="403">
        <f t="shared" si="7"/>
        <v>21.677074041034793</v>
      </c>
      <c r="G41" s="403">
        <f t="shared" si="8"/>
        <v>22.992450240219632</v>
      </c>
      <c r="H41" s="403">
        <f t="shared" si="9"/>
        <v>24.223034734917732</v>
      </c>
      <c r="I41" s="403">
        <f t="shared" si="10"/>
        <v>27.461427461427462</v>
      </c>
      <c r="J41" s="131"/>
      <c r="K41" s="235">
        <f t="shared" si="11"/>
        <v>1000</v>
      </c>
      <c r="L41" s="235">
        <f t="shared" si="12"/>
        <v>5100</v>
      </c>
      <c r="M41" s="235">
        <f t="shared" si="13"/>
        <v>11300</v>
      </c>
      <c r="N41" s="235">
        <f t="shared" si="14"/>
        <v>18400</v>
      </c>
      <c r="O41" s="235">
        <f t="shared" si="15"/>
        <v>27100</v>
      </c>
      <c r="P41" s="235">
        <f t="shared" si="16"/>
        <v>36500</v>
      </c>
      <c r="Q41" s="235">
        <f t="shared" si="17"/>
        <v>56800</v>
      </c>
      <c r="R41" s="235">
        <f t="shared" si="18"/>
        <v>253100</v>
      </c>
      <c r="S41" s="235"/>
      <c r="T41" s="235">
        <f t="shared" si="19"/>
        <v>5900</v>
      </c>
      <c r="U41" s="235">
        <f t="shared" si="20"/>
        <v>1200</v>
      </c>
      <c r="V41" s="235">
        <f t="shared" si="21"/>
        <v>400</v>
      </c>
      <c r="W41" s="235">
        <f t="shared" si="22"/>
        <v>200</v>
      </c>
      <c r="X41" s="235">
        <f t="shared" si="23"/>
        <v>200</v>
      </c>
      <c r="Y41" s="235">
        <f t="shared" si="24"/>
        <v>200</v>
      </c>
      <c r="Z41" s="235">
        <f t="shared" si="25"/>
        <v>100</v>
      </c>
      <c r="AA41" s="235">
        <f t="shared" si="26"/>
        <v>200</v>
      </c>
      <c r="AB41" s="235"/>
      <c r="AC41" s="235">
        <f t="shared" si="27"/>
        <v>10900</v>
      </c>
      <c r="AD41" s="235">
        <f t="shared" si="28"/>
        <v>7300</v>
      </c>
      <c r="AE41" s="235">
        <f t="shared" si="29"/>
        <v>4500</v>
      </c>
      <c r="AF41" s="235">
        <f t="shared" si="30"/>
        <v>3200</v>
      </c>
      <c r="AG41" s="235">
        <f t="shared" si="31"/>
        <v>2600</v>
      </c>
      <c r="AH41" s="235">
        <f t="shared" si="32"/>
        <v>2800</v>
      </c>
      <c r="AI41" s="235">
        <f t="shared" si="33"/>
        <v>3700</v>
      </c>
      <c r="AJ41" s="235">
        <f t="shared" si="34"/>
        <v>5500</v>
      </c>
      <c r="AK41" s="460"/>
      <c r="AL41" s="235">
        <f t="shared" si="35"/>
        <v>7000</v>
      </c>
      <c r="AM41" s="235">
        <f t="shared" si="36"/>
        <v>31100</v>
      </c>
      <c r="AN41" s="235">
        <f t="shared" si="37"/>
        <v>55000</v>
      </c>
      <c r="AO41" s="235">
        <f t="shared" si="38"/>
        <v>82000</v>
      </c>
      <c r="AP41" s="235">
        <f t="shared" si="39"/>
        <v>112100</v>
      </c>
      <c r="AQ41" s="235">
        <f t="shared" si="40"/>
        <v>145700</v>
      </c>
      <c r="AR41" s="235">
        <f t="shared" si="41"/>
        <v>218800</v>
      </c>
      <c r="AS41" s="235">
        <f t="shared" si="42"/>
        <v>900900</v>
      </c>
      <c r="AT41" s="131"/>
      <c r="AU41" s="235">
        <f t="shared" si="43"/>
        <v>47000</v>
      </c>
      <c r="AV41" s="235">
        <f t="shared" si="1"/>
        <v>3000</v>
      </c>
      <c r="AW41" s="235">
        <f t="shared" si="2"/>
        <v>200</v>
      </c>
      <c r="AX41" s="235">
        <f t="shared" si="44"/>
        <v>182500</v>
      </c>
      <c r="AZ41" s="403">
        <f t="shared" si="45"/>
        <v>24</v>
      </c>
    </row>
    <row r="42" spans="1:52">
      <c r="A42" s="215">
        <v>1990</v>
      </c>
      <c r="B42" s="403">
        <f t="shared" si="3"/>
        <v>-224.65753424657535</v>
      </c>
      <c r="C42" s="403">
        <f t="shared" si="4"/>
        <v>-10.625</v>
      </c>
      <c r="D42" s="403">
        <f t="shared" si="5"/>
        <v>11.05072463768116</v>
      </c>
      <c r="E42" s="403">
        <f t="shared" si="6"/>
        <v>18.081180811808117</v>
      </c>
      <c r="F42" s="403">
        <f t="shared" si="7"/>
        <v>21.53846153846154</v>
      </c>
      <c r="G42" s="403">
        <f t="shared" si="8"/>
        <v>22.925457102672294</v>
      </c>
      <c r="H42" s="403">
        <f t="shared" si="9"/>
        <v>24.144397562119082</v>
      </c>
      <c r="I42" s="403">
        <f t="shared" si="10"/>
        <v>27.228915662650603</v>
      </c>
      <c r="J42" s="131"/>
      <c r="K42" s="235">
        <f t="shared" si="11"/>
        <v>1100</v>
      </c>
      <c r="L42" s="235">
        <f t="shared" si="12"/>
        <v>5600</v>
      </c>
      <c r="M42" s="235">
        <f t="shared" si="13"/>
        <v>11400</v>
      </c>
      <c r="N42" s="235">
        <f t="shared" si="14"/>
        <v>18300</v>
      </c>
      <c r="O42" s="235">
        <f t="shared" si="15"/>
        <v>26800</v>
      </c>
      <c r="P42" s="235">
        <f t="shared" si="16"/>
        <v>35700</v>
      </c>
      <c r="Q42" s="235">
        <f t="shared" si="17"/>
        <v>55300</v>
      </c>
      <c r="R42" s="235">
        <f t="shared" si="18"/>
        <v>243600</v>
      </c>
      <c r="S42" s="235"/>
      <c r="T42" s="235">
        <f t="shared" si="19"/>
        <v>6400</v>
      </c>
      <c r="U42" s="235">
        <f t="shared" si="20"/>
        <v>1400</v>
      </c>
      <c r="V42" s="235">
        <f t="shared" si="21"/>
        <v>500</v>
      </c>
      <c r="W42" s="235">
        <f t="shared" si="22"/>
        <v>300</v>
      </c>
      <c r="X42" s="235">
        <f t="shared" si="23"/>
        <v>200</v>
      </c>
      <c r="Y42" s="235">
        <f t="shared" si="24"/>
        <v>100</v>
      </c>
      <c r="Z42" s="235">
        <f t="shared" si="25"/>
        <v>200</v>
      </c>
      <c r="AA42" s="235">
        <f t="shared" si="26"/>
        <v>200</v>
      </c>
      <c r="AB42" s="235"/>
      <c r="AC42" s="235">
        <f t="shared" si="27"/>
        <v>11100</v>
      </c>
      <c r="AD42" s="235">
        <f t="shared" si="28"/>
        <v>7600</v>
      </c>
      <c r="AE42" s="235">
        <f t="shared" si="29"/>
        <v>4800</v>
      </c>
      <c r="AF42" s="235">
        <f t="shared" si="30"/>
        <v>3300</v>
      </c>
      <c r="AG42" s="235">
        <f t="shared" si="31"/>
        <v>2800</v>
      </c>
      <c r="AH42" s="235">
        <f t="shared" si="32"/>
        <v>3000</v>
      </c>
      <c r="AI42" s="235">
        <f t="shared" si="33"/>
        <v>3600</v>
      </c>
      <c r="AJ42" s="235">
        <f t="shared" si="34"/>
        <v>6100</v>
      </c>
      <c r="AK42" s="460"/>
      <c r="AL42" s="235">
        <f t="shared" si="35"/>
        <v>7300</v>
      </c>
      <c r="AM42" s="235">
        <f t="shared" si="36"/>
        <v>32000</v>
      </c>
      <c r="AN42" s="235">
        <f t="shared" si="37"/>
        <v>55200</v>
      </c>
      <c r="AO42" s="235">
        <f t="shared" si="38"/>
        <v>81300</v>
      </c>
      <c r="AP42" s="235">
        <f t="shared" si="39"/>
        <v>110500</v>
      </c>
      <c r="AQ42" s="235">
        <f t="shared" si="40"/>
        <v>142200</v>
      </c>
      <c r="AR42" s="235">
        <f t="shared" si="41"/>
        <v>213300</v>
      </c>
      <c r="AS42" s="235">
        <f t="shared" si="42"/>
        <v>871500</v>
      </c>
      <c r="AT42" s="131"/>
      <c r="AU42" s="235">
        <f t="shared" si="43"/>
        <v>45800</v>
      </c>
      <c r="AV42" s="235">
        <f t="shared" si="1"/>
        <v>3200</v>
      </c>
      <c r="AW42" s="235">
        <f t="shared" si="2"/>
        <v>200</v>
      </c>
      <c r="AX42" s="235">
        <f t="shared" si="44"/>
        <v>177900</v>
      </c>
      <c r="AZ42" s="403">
        <f t="shared" si="45"/>
        <v>23.833614390106803</v>
      </c>
    </row>
    <row r="43" spans="1:52">
      <c r="A43" s="215">
        <v>1991</v>
      </c>
      <c r="B43" s="403">
        <f t="shared" si="3"/>
        <v>-244.44444444444446</v>
      </c>
      <c r="C43" s="403">
        <f t="shared" si="4"/>
        <v>-14.983713355048861</v>
      </c>
      <c r="D43" s="403">
        <f t="shared" si="5"/>
        <v>9.5327102803738324</v>
      </c>
      <c r="E43" s="403">
        <f t="shared" si="6"/>
        <v>17.910447761194028</v>
      </c>
      <c r="F43" s="403">
        <f t="shared" si="7"/>
        <v>21.30394857667585</v>
      </c>
      <c r="G43" s="403">
        <f t="shared" si="8"/>
        <v>23.207948899929029</v>
      </c>
      <c r="H43" s="403">
        <f t="shared" si="9"/>
        <v>24.461464815701291</v>
      </c>
      <c r="I43" s="403">
        <f t="shared" si="10"/>
        <v>28.35725269092773</v>
      </c>
      <c r="J43" s="131"/>
      <c r="K43" s="235">
        <f t="shared" si="11"/>
        <v>1000</v>
      </c>
      <c r="L43" s="235">
        <f t="shared" si="12"/>
        <v>5200</v>
      </c>
      <c r="M43" s="235">
        <f t="shared" si="13"/>
        <v>11000</v>
      </c>
      <c r="N43" s="235">
        <f t="shared" si="14"/>
        <v>18100</v>
      </c>
      <c r="O43" s="235">
        <f t="shared" si="15"/>
        <v>26300</v>
      </c>
      <c r="P43" s="235">
        <f t="shared" si="16"/>
        <v>35600</v>
      </c>
      <c r="Q43" s="235">
        <f t="shared" si="17"/>
        <v>54800</v>
      </c>
      <c r="R43" s="235">
        <f t="shared" si="18"/>
        <v>227800</v>
      </c>
      <c r="S43" s="235"/>
      <c r="T43" s="235">
        <f t="shared" si="19"/>
        <v>6900</v>
      </c>
      <c r="U43" s="235">
        <f t="shared" si="20"/>
        <v>1700</v>
      </c>
      <c r="V43" s="235">
        <f t="shared" si="21"/>
        <v>600</v>
      </c>
      <c r="W43" s="235">
        <f t="shared" si="22"/>
        <v>300</v>
      </c>
      <c r="X43" s="235">
        <f t="shared" si="23"/>
        <v>200</v>
      </c>
      <c r="Y43" s="235">
        <f t="shared" si="24"/>
        <v>100</v>
      </c>
      <c r="Z43" s="235">
        <f t="shared" si="25"/>
        <v>200</v>
      </c>
      <c r="AA43" s="235">
        <f t="shared" si="26"/>
        <v>300</v>
      </c>
      <c r="AB43" s="235"/>
      <c r="AC43" s="235">
        <f t="shared" si="27"/>
        <v>11700</v>
      </c>
      <c r="AD43" s="235">
        <f t="shared" si="28"/>
        <v>8100</v>
      </c>
      <c r="AE43" s="235">
        <f t="shared" si="29"/>
        <v>5300</v>
      </c>
      <c r="AF43" s="235">
        <f t="shared" si="30"/>
        <v>3400</v>
      </c>
      <c r="AG43" s="235">
        <f t="shared" si="31"/>
        <v>2900</v>
      </c>
      <c r="AH43" s="235">
        <f t="shared" si="32"/>
        <v>2800</v>
      </c>
      <c r="AI43" s="235">
        <f t="shared" si="33"/>
        <v>3500</v>
      </c>
      <c r="AJ43" s="235">
        <f t="shared" si="34"/>
        <v>6200</v>
      </c>
      <c r="AK43" s="460"/>
      <c r="AL43" s="235">
        <f t="shared" si="35"/>
        <v>7200</v>
      </c>
      <c r="AM43" s="235">
        <f t="shared" si="36"/>
        <v>30700</v>
      </c>
      <c r="AN43" s="235">
        <f t="shared" si="37"/>
        <v>53500</v>
      </c>
      <c r="AO43" s="235">
        <f t="shared" si="38"/>
        <v>80400</v>
      </c>
      <c r="AP43" s="235">
        <f t="shared" si="39"/>
        <v>108900</v>
      </c>
      <c r="AQ43" s="235">
        <f t="shared" si="40"/>
        <v>140900</v>
      </c>
      <c r="AR43" s="235">
        <f t="shared" si="41"/>
        <v>208900</v>
      </c>
      <c r="AS43" s="235">
        <f t="shared" si="42"/>
        <v>780400</v>
      </c>
      <c r="AT43" s="131"/>
      <c r="AU43" s="235">
        <f t="shared" si="43"/>
        <v>44800</v>
      </c>
      <c r="AV43" s="235">
        <f t="shared" si="1"/>
        <v>3200</v>
      </c>
      <c r="AW43" s="235">
        <f t="shared" si="2"/>
        <v>200</v>
      </c>
      <c r="AX43" s="235">
        <f t="shared" si="44"/>
        <v>171900</v>
      </c>
      <c r="AZ43" s="403">
        <f t="shared" si="45"/>
        <v>24.083769633507853</v>
      </c>
    </row>
    <row r="44" spans="1:52">
      <c r="A44" s="215">
        <v>1992</v>
      </c>
      <c r="B44" s="403">
        <f t="shared" si="3"/>
        <v>-272.46376811594206</v>
      </c>
      <c r="C44" s="403">
        <f t="shared" si="4"/>
        <v>-19.127516778523489</v>
      </c>
      <c r="D44" s="403">
        <f t="shared" si="5"/>
        <v>8.5501858736059475</v>
      </c>
      <c r="E44" s="403">
        <f t="shared" si="6"/>
        <v>17.326732673267326</v>
      </c>
      <c r="F44" s="403">
        <f t="shared" si="7"/>
        <v>21.129326047358834</v>
      </c>
      <c r="G44" s="403">
        <f t="shared" si="8"/>
        <v>22.91520672740014</v>
      </c>
      <c r="H44" s="403">
        <f t="shared" si="9"/>
        <v>24.585635359116022</v>
      </c>
      <c r="I44" s="403">
        <f t="shared" si="10"/>
        <v>29.160081282456535</v>
      </c>
      <c r="J44" s="131"/>
      <c r="K44" s="235">
        <f t="shared" si="11"/>
        <v>1000</v>
      </c>
      <c r="L44" s="235">
        <f t="shared" si="12"/>
        <v>5000</v>
      </c>
      <c r="M44" s="235">
        <f t="shared" si="13"/>
        <v>10900</v>
      </c>
      <c r="N44" s="235">
        <f t="shared" si="14"/>
        <v>18100</v>
      </c>
      <c r="O44" s="235">
        <f t="shared" si="15"/>
        <v>26500</v>
      </c>
      <c r="P44" s="235">
        <f t="shared" si="16"/>
        <v>35800</v>
      </c>
      <c r="Q44" s="235">
        <f t="shared" si="17"/>
        <v>57200</v>
      </c>
      <c r="R44" s="235">
        <f t="shared" si="18"/>
        <v>264500</v>
      </c>
      <c r="S44" s="235"/>
      <c r="T44" s="235">
        <f t="shared" si="19"/>
        <v>7500</v>
      </c>
      <c r="U44" s="235">
        <f t="shared" si="20"/>
        <v>2100</v>
      </c>
      <c r="V44" s="235">
        <f t="shared" si="21"/>
        <v>800</v>
      </c>
      <c r="W44" s="235">
        <f t="shared" si="22"/>
        <v>400</v>
      </c>
      <c r="X44" s="235">
        <f t="shared" si="23"/>
        <v>300</v>
      </c>
      <c r="Y44" s="235">
        <f t="shared" si="24"/>
        <v>200</v>
      </c>
      <c r="Z44" s="235">
        <f t="shared" si="25"/>
        <v>100</v>
      </c>
      <c r="AA44" s="235">
        <f t="shared" si="26"/>
        <v>200</v>
      </c>
      <c r="AB44" s="235"/>
      <c r="AC44" s="235">
        <f t="shared" si="27"/>
        <v>12300</v>
      </c>
      <c r="AD44" s="235">
        <f t="shared" si="28"/>
        <v>8600</v>
      </c>
      <c r="AE44" s="235">
        <f t="shared" si="29"/>
        <v>5500</v>
      </c>
      <c r="AF44" s="235">
        <f t="shared" si="30"/>
        <v>3700</v>
      </c>
      <c r="AG44" s="235">
        <f t="shared" si="31"/>
        <v>3000</v>
      </c>
      <c r="AH44" s="235">
        <f t="shared" si="32"/>
        <v>2900</v>
      </c>
      <c r="AI44" s="235">
        <f t="shared" si="33"/>
        <v>3700</v>
      </c>
      <c r="AJ44" s="235">
        <f t="shared" si="34"/>
        <v>6000</v>
      </c>
      <c r="AK44" s="460"/>
      <c r="AL44" s="235">
        <f t="shared" si="35"/>
        <v>6900</v>
      </c>
      <c r="AM44" s="235">
        <f t="shared" si="36"/>
        <v>29800</v>
      </c>
      <c r="AN44" s="235">
        <f t="shared" si="37"/>
        <v>53800</v>
      </c>
      <c r="AO44" s="235">
        <f t="shared" si="38"/>
        <v>80800</v>
      </c>
      <c r="AP44" s="235">
        <f t="shared" si="39"/>
        <v>109800</v>
      </c>
      <c r="AQ44" s="235">
        <f t="shared" si="40"/>
        <v>142700</v>
      </c>
      <c r="AR44" s="235">
        <f t="shared" si="41"/>
        <v>217200</v>
      </c>
      <c r="AS44" s="235">
        <f t="shared" si="42"/>
        <v>885800</v>
      </c>
      <c r="AT44" s="131"/>
      <c r="AU44" s="235">
        <f t="shared" si="43"/>
        <v>47000</v>
      </c>
      <c r="AV44" s="235">
        <f t="shared" si="1"/>
        <v>3200</v>
      </c>
      <c r="AW44" s="235">
        <f t="shared" si="2"/>
        <v>200</v>
      </c>
      <c r="AX44" s="235">
        <f t="shared" si="44"/>
        <v>178900</v>
      </c>
      <c r="AZ44" s="403">
        <f t="shared" si="45"/>
        <v>24.37115707098938</v>
      </c>
    </row>
    <row r="45" spans="1:52">
      <c r="A45" s="215">
        <v>1993</v>
      </c>
      <c r="B45" s="403">
        <f t="shared" si="3"/>
        <v>-288.23529411764707</v>
      </c>
      <c r="C45" s="403">
        <f t="shared" si="4"/>
        <v>-21.333333333333336</v>
      </c>
      <c r="D45" s="403">
        <f t="shared" si="5"/>
        <v>8.7198515769944329</v>
      </c>
      <c r="E45" s="403">
        <f t="shared" si="6"/>
        <v>17.199017199017199</v>
      </c>
      <c r="F45" s="403">
        <f t="shared" si="7"/>
        <v>21.203953279424979</v>
      </c>
      <c r="G45" s="403">
        <f t="shared" si="8"/>
        <v>23.300970873786408</v>
      </c>
      <c r="H45" s="403">
        <f t="shared" si="9"/>
        <v>25.343721356553623</v>
      </c>
      <c r="I45" s="403">
        <f t="shared" si="10"/>
        <v>32.752120640904806</v>
      </c>
      <c r="J45" s="131"/>
      <c r="K45" s="235">
        <f t="shared" si="11"/>
        <v>1000</v>
      </c>
      <c r="L45" s="235">
        <f t="shared" si="12"/>
        <v>5000</v>
      </c>
      <c r="M45" s="235">
        <f t="shared" si="13"/>
        <v>11000</v>
      </c>
      <c r="N45" s="235">
        <f t="shared" si="14"/>
        <v>18200</v>
      </c>
      <c r="O45" s="235">
        <f t="shared" si="15"/>
        <v>26800</v>
      </c>
      <c r="P45" s="235">
        <f t="shared" si="16"/>
        <v>36900</v>
      </c>
      <c r="Q45" s="235">
        <f t="shared" si="17"/>
        <v>59300</v>
      </c>
      <c r="R45" s="235">
        <f t="shared" si="18"/>
        <v>284300</v>
      </c>
      <c r="S45" s="235"/>
      <c r="T45" s="235">
        <f t="shared" si="19"/>
        <v>7800</v>
      </c>
      <c r="U45" s="235">
        <f t="shared" si="20"/>
        <v>2400</v>
      </c>
      <c r="V45" s="235">
        <f t="shared" si="21"/>
        <v>900</v>
      </c>
      <c r="W45" s="235">
        <f t="shared" si="22"/>
        <v>400</v>
      </c>
      <c r="X45" s="235">
        <f t="shared" si="23"/>
        <v>200</v>
      </c>
      <c r="Y45" s="235">
        <f t="shared" si="24"/>
        <v>200</v>
      </c>
      <c r="Z45" s="235">
        <f t="shared" si="25"/>
        <v>200</v>
      </c>
      <c r="AA45" s="235">
        <f t="shared" si="26"/>
        <v>300</v>
      </c>
      <c r="AB45" s="235"/>
      <c r="AC45" s="235">
        <f t="shared" si="27"/>
        <v>12800</v>
      </c>
      <c r="AD45" s="235">
        <f t="shared" si="28"/>
        <v>9000</v>
      </c>
      <c r="AE45" s="235">
        <f t="shared" si="29"/>
        <v>5400</v>
      </c>
      <c r="AF45" s="235">
        <f t="shared" si="30"/>
        <v>3800</v>
      </c>
      <c r="AG45" s="235">
        <f t="shared" si="31"/>
        <v>3000</v>
      </c>
      <c r="AH45" s="235">
        <f t="shared" si="32"/>
        <v>3100</v>
      </c>
      <c r="AI45" s="235">
        <f t="shared" si="33"/>
        <v>3800</v>
      </c>
      <c r="AJ45" s="235">
        <f t="shared" si="34"/>
        <v>6000</v>
      </c>
      <c r="AK45" s="460"/>
      <c r="AL45" s="235">
        <f t="shared" si="35"/>
        <v>6800</v>
      </c>
      <c r="AM45" s="235">
        <f t="shared" si="36"/>
        <v>30000</v>
      </c>
      <c r="AN45" s="235">
        <f t="shared" si="37"/>
        <v>53900</v>
      </c>
      <c r="AO45" s="235">
        <f t="shared" si="38"/>
        <v>81400</v>
      </c>
      <c r="AP45" s="235">
        <f t="shared" si="39"/>
        <v>111300</v>
      </c>
      <c r="AQ45" s="235">
        <f t="shared" si="40"/>
        <v>144200</v>
      </c>
      <c r="AR45" s="235">
        <f t="shared" si="41"/>
        <v>218200</v>
      </c>
      <c r="AS45" s="235">
        <f t="shared" si="42"/>
        <v>848800</v>
      </c>
      <c r="AT45" s="131"/>
      <c r="AU45" s="235">
        <f t="shared" si="43"/>
        <v>49100</v>
      </c>
      <c r="AV45" s="235">
        <f t="shared" si="1"/>
        <v>3400</v>
      </c>
      <c r="AW45" s="235">
        <f t="shared" si="2"/>
        <v>200</v>
      </c>
      <c r="AX45" s="235">
        <f t="shared" si="44"/>
        <v>179100</v>
      </c>
      <c r="AZ45" s="403">
        <f t="shared" si="45"/>
        <v>25.404801786711335</v>
      </c>
    </row>
    <row r="46" spans="1:52">
      <c r="A46" s="215">
        <v>1994</v>
      </c>
      <c r="B46" s="403">
        <f t="shared" si="3"/>
        <v>-310.76923076923077</v>
      </c>
      <c r="C46" s="403">
        <f t="shared" si="4"/>
        <v>-20.394736842105264</v>
      </c>
      <c r="D46" s="403">
        <f t="shared" si="5"/>
        <v>9.3577981651376145</v>
      </c>
      <c r="E46" s="403">
        <f t="shared" si="6"/>
        <v>17.753623188405797</v>
      </c>
      <c r="F46" s="403">
        <f t="shared" si="7"/>
        <v>21.47887323943662</v>
      </c>
      <c r="G46" s="403">
        <f t="shared" si="8"/>
        <v>23.239917976760083</v>
      </c>
      <c r="H46" s="403">
        <f t="shared" si="9"/>
        <v>25.672043010752688</v>
      </c>
      <c r="I46" s="403">
        <f t="shared" si="10"/>
        <v>34.013915820691224</v>
      </c>
      <c r="J46" s="131"/>
      <c r="K46" s="235">
        <f t="shared" si="11"/>
        <v>800</v>
      </c>
      <c r="L46" s="235">
        <f t="shared" si="12"/>
        <v>4800</v>
      </c>
      <c r="M46" s="235">
        <f t="shared" si="13"/>
        <v>11200</v>
      </c>
      <c r="N46" s="235">
        <f t="shared" si="14"/>
        <v>18700</v>
      </c>
      <c r="O46" s="235">
        <f t="shared" si="15"/>
        <v>27800</v>
      </c>
      <c r="P46" s="235">
        <f t="shared" si="16"/>
        <v>37800</v>
      </c>
      <c r="Q46" s="235">
        <f t="shared" si="17"/>
        <v>61700</v>
      </c>
      <c r="R46" s="235">
        <f t="shared" si="18"/>
        <v>304700</v>
      </c>
      <c r="S46" s="235"/>
      <c r="T46" s="235">
        <f t="shared" si="19"/>
        <v>8000</v>
      </c>
      <c r="U46" s="235">
        <f t="shared" si="20"/>
        <v>2400</v>
      </c>
      <c r="V46" s="235">
        <f t="shared" si="21"/>
        <v>900</v>
      </c>
      <c r="W46" s="235">
        <f t="shared" si="22"/>
        <v>500</v>
      </c>
      <c r="X46" s="235">
        <f t="shared" si="23"/>
        <v>300</v>
      </c>
      <c r="Y46" s="235">
        <f t="shared" si="24"/>
        <v>300</v>
      </c>
      <c r="Z46" s="235">
        <f t="shared" si="25"/>
        <v>300</v>
      </c>
      <c r="AA46" s="235">
        <f t="shared" si="26"/>
        <v>300</v>
      </c>
      <c r="AB46" s="235"/>
      <c r="AC46" s="235">
        <f t="shared" si="27"/>
        <v>13000</v>
      </c>
      <c r="AD46" s="235">
        <f t="shared" si="28"/>
        <v>8600</v>
      </c>
      <c r="AE46" s="235">
        <f t="shared" si="29"/>
        <v>5200</v>
      </c>
      <c r="AF46" s="235">
        <f t="shared" si="30"/>
        <v>3500</v>
      </c>
      <c r="AG46" s="235">
        <f t="shared" si="31"/>
        <v>3100</v>
      </c>
      <c r="AH46" s="235">
        <f t="shared" si="32"/>
        <v>3500</v>
      </c>
      <c r="AI46" s="235">
        <f t="shared" si="33"/>
        <v>4100</v>
      </c>
      <c r="AJ46" s="235">
        <f t="shared" si="34"/>
        <v>6200</v>
      </c>
      <c r="AK46" s="460"/>
      <c r="AL46" s="235">
        <f t="shared" si="35"/>
        <v>6500</v>
      </c>
      <c r="AM46" s="235">
        <f t="shared" si="36"/>
        <v>30400</v>
      </c>
      <c r="AN46" s="235">
        <f t="shared" si="37"/>
        <v>54500</v>
      </c>
      <c r="AO46" s="235">
        <f t="shared" si="38"/>
        <v>82800</v>
      </c>
      <c r="AP46" s="235">
        <f t="shared" si="39"/>
        <v>113600</v>
      </c>
      <c r="AQ46" s="235">
        <f t="shared" si="40"/>
        <v>146300</v>
      </c>
      <c r="AR46" s="235">
        <f t="shared" si="41"/>
        <v>223200</v>
      </c>
      <c r="AS46" s="235">
        <f t="shared" si="42"/>
        <v>876700</v>
      </c>
      <c r="AT46" s="131"/>
      <c r="AU46" s="235">
        <f t="shared" si="43"/>
        <v>51300</v>
      </c>
      <c r="AV46" s="235">
        <f t="shared" si="1"/>
        <v>3600</v>
      </c>
      <c r="AW46" s="235">
        <f t="shared" si="2"/>
        <v>300</v>
      </c>
      <c r="AX46" s="235">
        <f t="shared" si="44"/>
        <v>182900</v>
      </c>
      <c r="AZ46" s="403">
        <f t="shared" si="45"/>
        <v>25.915800984144344</v>
      </c>
    </row>
    <row r="47" spans="1:52">
      <c r="A47" s="215">
        <v>1995</v>
      </c>
      <c r="B47" s="403">
        <f t="shared" si="3"/>
        <v>-272</v>
      </c>
      <c r="C47" s="403">
        <f t="shared" si="4"/>
        <v>-18.209876543209877</v>
      </c>
      <c r="D47" s="403">
        <f t="shared" si="5"/>
        <v>9.557522123893806</v>
      </c>
      <c r="E47" s="403">
        <f t="shared" si="6"/>
        <v>17.654028436018958</v>
      </c>
      <c r="F47" s="403">
        <f t="shared" si="7"/>
        <v>21.727972626176221</v>
      </c>
      <c r="G47" s="403">
        <f t="shared" si="8"/>
        <v>23.793787177792467</v>
      </c>
      <c r="H47" s="403">
        <f t="shared" si="9"/>
        <v>26.074011059123777</v>
      </c>
      <c r="I47" s="403">
        <f t="shared" si="10"/>
        <v>34.482404842515649</v>
      </c>
      <c r="J47" s="131"/>
      <c r="K47" s="235">
        <f t="shared" si="11"/>
        <v>800</v>
      </c>
      <c r="L47" s="235">
        <f t="shared" si="12"/>
        <v>5200</v>
      </c>
      <c r="M47" s="235">
        <f t="shared" si="13"/>
        <v>11700</v>
      </c>
      <c r="N47" s="235">
        <f t="shared" si="14"/>
        <v>19200</v>
      </c>
      <c r="O47" s="235">
        <f t="shared" si="15"/>
        <v>28900</v>
      </c>
      <c r="P47" s="235">
        <f t="shared" si="16"/>
        <v>39600</v>
      </c>
      <c r="Q47" s="235">
        <f t="shared" si="17"/>
        <v>65800</v>
      </c>
      <c r="R47" s="235">
        <f t="shared" si="18"/>
        <v>342700</v>
      </c>
      <c r="S47" s="235"/>
      <c r="T47" s="235">
        <f t="shared" si="19"/>
        <v>8000</v>
      </c>
      <c r="U47" s="235">
        <f t="shared" si="20"/>
        <v>2400</v>
      </c>
      <c r="V47" s="235">
        <f t="shared" si="21"/>
        <v>1000</v>
      </c>
      <c r="W47" s="235">
        <f t="shared" si="22"/>
        <v>400</v>
      </c>
      <c r="X47" s="235">
        <f t="shared" si="23"/>
        <v>300</v>
      </c>
      <c r="Y47" s="235">
        <f t="shared" si="24"/>
        <v>200</v>
      </c>
      <c r="Z47" s="235">
        <f t="shared" si="25"/>
        <v>300</v>
      </c>
      <c r="AA47" s="235">
        <f t="shared" si="26"/>
        <v>400</v>
      </c>
      <c r="AB47" s="235"/>
      <c r="AC47" s="235">
        <f t="shared" si="27"/>
        <v>13200</v>
      </c>
      <c r="AD47" s="235">
        <f t="shared" si="28"/>
        <v>8700</v>
      </c>
      <c r="AE47" s="235">
        <f t="shared" si="29"/>
        <v>5300</v>
      </c>
      <c r="AF47" s="235">
        <f t="shared" si="30"/>
        <v>3900</v>
      </c>
      <c r="AG47" s="235">
        <f t="shared" si="31"/>
        <v>3200</v>
      </c>
      <c r="AH47" s="235">
        <f t="shared" si="32"/>
        <v>3400</v>
      </c>
      <c r="AI47" s="235">
        <f t="shared" si="33"/>
        <v>4200</v>
      </c>
      <c r="AJ47" s="235">
        <f t="shared" si="34"/>
        <v>6200</v>
      </c>
      <c r="AK47" s="460"/>
      <c r="AL47" s="235">
        <f t="shared" si="35"/>
        <v>7500</v>
      </c>
      <c r="AM47" s="235">
        <f t="shared" si="36"/>
        <v>32400</v>
      </c>
      <c r="AN47" s="235">
        <f t="shared" si="37"/>
        <v>56500</v>
      </c>
      <c r="AO47" s="235">
        <f t="shared" si="38"/>
        <v>84400</v>
      </c>
      <c r="AP47" s="235">
        <f t="shared" si="39"/>
        <v>116900</v>
      </c>
      <c r="AQ47" s="235">
        <f t="shared" si="40"/>
        <v>151300</v>
      </c>
      <c r="AR47" s="235">
        <f t="shared" si="41"/>
        <v>235100</v>
      </c>
      <c r="AS47" s="235">
        <f t="shared" si="42"/>
        <v>974700</v>
      </c>
      <c r="AT47" s="131"/>
      <c r="AU47" s="235">
        <f t="shared" si="43"/>
        <v>54700</v>
      </c>
      <c r="AV47" s="235">
        <f t="shared" si="1"/>
        <v>3600</v>
      </c>
      <c r="AW47" s="235">
        <f t="shared" si="2"/>
        <v>300</v>
      </c>
      <c r="AX47" s="235">
        <f t="shared" si="44"/>
        <v>192400</v>
      </c>
      <c r="AZ47" s="403">
        <f t="shared" si="45"/>
        <v>26.403326403326403</v>
      </c>
    </row>
    <row r="48" spans="1:52">
      <c r="A48" s="215">
        <v>1996</v>
      </c>
      <c r="B48" s="403">
        <f t="shared" si="3"/>
        <v>-259.74025974025972</v>
      </c>
      <c r="C48" s="403">
        <f t="shared" si="4"/>
        <v>-18.827160493827162</v>
      </c>
      <c r="D48" s="403">
        <f t="shared" si="5"/>
        <v>8.9473684210526319</v>
      </c>
      <c r="E48" s="403">
        <f t="shared" si="6"/>
        <v>17.906976744186046</v>
      </c>
      <c r="F48" s="403">
        <f t="shared" si="7"/>
        <v>21.326616288832913</v>
      </c>
      <c r="G48" s="403">
        <f t="shared" si="8"/>
        <v>23.727735368956743</v>
      </c>
      <c r="H48" s="403">
        <f t="shared" si="9"/>
        <v>26.341663252765262</v>
      </c>
      <c r="I48" s="403">
        <f t="shared" si="10"/>
        <v>34.439178515007903</v>
      </c>
      <c r="J48" s="131"/>
      <c r="K48" s="235">
        <f t="shared" si="11"/>
        <v>700</v>
      </c>
      <c r="L48" s="235">
        <f t="shared" si="12"/>
        <v>5100</v>
      </c>
      <c r="M48" s="235">
        <f t="shared" si="13"/>
        <v>11800</v>
      </c>
      <c r="N48" s="235">
        <f t="shared" si="14"/>
        <v>19600</v>
      </c>
      <c r="O48" s="235">
        <f t="shared" si="15"/>
        <v>29300</v>
      </c>
      <c r="P48" s="235">
        <f t="shared" si="16"/>
        <v>41200</v>
      </c>
      <c r="Q48" s="235">
        <f t="shared" si="17"/>
        <v>69000</v>
      </c>
      <c r="R48" s="235">
        <f t="shared" si="18"/>
        <v>377400</v>
      </c>
      <c r="S48" s="235"/>
      <c r="T48" s="235">
        <f t="shared" si="19"/>
        <v>7800</v>
      </c>
      <c r="U48" s="235">
        <f t="shared" si="20"/>
        <v>2300</v>
      </c>
      <c r="V48" s="235">
        <f t="shared" si="21"/>
        <v>900</v>
      </c>
      <c r="W48" s="235">
        <f t="shared" si="22"/>
        <v>400</v>
      </c>
      <c r="X48" s="235">
        <f t="shared" si="23"/>
        <v>300</v>
      </c>
      <c r="Y48" s="235">
        <f t="shared" si="24"/>
        <v>200</v>
      </c>
      <c r="Z48" s="235">
        <f t="shared" si="25"/>
        <v>200</v>
      </c>
      <c r="AA48" s="235">
        <f t="shared" si="26"/>
        <v>300</v>
      </c>
      <c r="AB48" s="235"/>
      <c r="AC48" s="235">
        <f t="shared" si="27"/>
        <v>12900</v>
      </c>
      <c r="AD48" s="235">
        <f t="shared" si="28"/>
        <v>8900</v>
      </c>
      <c r="AE48" s="235">
        <f t="shared" si="29"/>
        <v>5800</v>
      </c>
      <c r="AF48" s="235">
        <f t="shared" si="30"/>
        <v>3800</v>
      </c>
      <c r="AG48" s="235">
        <f t="shared" si="31"/>
        <v>3600</v>
      </c>
      <c r="AH48" s="235">
        <f t="shared" si="32"/>
        <v>3700</v>
      </c>
      <c r="AI48" s="235">
        <f t="shared" si="33"/>
        <v>4500</v>
      </c>
      <c r="AJ48" s="235">
        <f t="shared" si="34"/>
        <v>6500</v>
      </c>
      <c r="AK48" s="460"/>
      <c r="AL48" s="235">
        <f t="shared" si="35"/>
        <v>7700</v>
      </c>
      <c r="AM48" s="235">
        <f t="shared" si="36"/>
        <v>32400</v>
      </c>
      <c r="AN48" s="235">
        <f t="shared" si="37"/>
        <v>57000</v>
      </c>
      <c r="AO48" s="235">
        <f t="shared" si="38"/>
        <v>86000</v>
      </c>
      <c r="AP48" s="235">
        <f t="shared" si="39"/>
        <v>119100</v>
      </c>
      <c r="AQ48" s="235">
        <f t="shared" si="40"/>
        <v>157200</v>
      </c>
      <c r="AR48" s="235">
        <f t="shared" si="41"/>
        <v>244100</v>
      </c>
      <c r="AS48" s="235">
        <f t="shared" si="42"/>
        <v>1076100</v>
      </c>
      <c r="AT48" s="131"/>
      <c r="AU48" s="235">
        <f t="shared" si="43"/>
        <v>58300</v>
      </c>
      <c r="AV48" s="235">
        <f t="shared" si="1"/>
        <v>4000</v>
      </c>
      <c r="AW48" s="235">
        <f t="shared" si="2"/>
        <v>300</v>
      </c>
      <c r="AX48" s="235">
        <f t="shared" si="44"/>
        <v>203300</v>
      </c>
      <c r="AZ48" s="403">
        <f t="shared" si="45"/>
        <v>26.561731431382196</v>
      </c>
    </row>
    <row r="49" spans="1:52">
      <c r="A49" s="215">
        <v>1997</v>
      </c>
      <c r="B49" s="403">
        <f t="shared" si="3"/>
        <v>-238.0952380952381</v>
      </c>
      <c r="C49" s="403">
        <f t="shared" si="4"/>
        <v>-16.666666666666664</v>
      </c>
      <c r="D49" s="403">
        <f t="shared" si="5"/>
        <v>9.2624356775300178</v>
      </c>
      <c r="E49" s="403">
        <f t="shared" si="6"/>
        <v>17.820658342792282</v>
      </c>
      <c r="F49" s="403">
        <f t="shared" si="7"/>
        <v>21.977124183006534</v>
      </c>
      <c r="G49" s="403">
        <f t="shared" si="8"/>
        <v>23.724646588813766</v>
      </c>
      <c r="H49" s="403">
        <f t="shared" si="9"/>
        <v>26.336024605920798</v>
      </c>
      <c r="I49" s="403">
        <f t="shared" si="10"/>
        <v>33.44559377756395</v>
      </c>
      <c r="J49" s="131"/>
      <c r="K49" s="235">
        <f t="shared" si="11"/>
        <v>800</v>
      </c>
      <c r="L49" s="235">
        <f t="shared" si="12"/>
        <v>5400</v>
      </c>
      <c r="M49" s="235">
        <f t="shared" si="13"/>
        <v>12100</v>
      </c>
      <c r="N49" s="235">
        <f t="shared" si="14"/>
        <v>20200</v>
      </c>
      <c r="O49" s="235">
        <f t="shared" si="15"/>
        <v>30500</v>
      </c>
      <c r="P49" s="235">
        <f t="shared" si="16"/>
        <v>42900</v>
      </c>
      <c r="Q49" s="235">
        <f t="shared" si="17"/>
        <v>73900</v>
      </c>
      <c r="R49" s="235">
        <f t="shared" si="18"/>
        <v>424300</v>
      </c>
      <c r="S49" s="235"/>
      <c r="T49" s="235">
        <f t="shared" si="19"/>
        <v>7500</v>
      </c>
      <c r="U49" s="235">
        <f t="shared" si="20"/>
        <v>2300</v>
      </c>
      <c r="V49" s="235">
        <f t="shared" si="21"/>
        <v>900</v>
      </c>
      <c r="W49" s="235">
        <f t="shared" si="22"/>
        <v>500</v>
      </c>
      <c r="X49" s="235">
        <f t="shared" si="23"/>
        <v>300</v>
      </c>
      <c r="Y49" s="235">
        <f t="shared" si="24"/>
        <v>200</v>
      </c>
      <c r="Z49" s="235">
        <f t="shared" si="25"/>
        <v>200</v>
      </c>
      <c r="AA49" s="235">
        <f t="shared" si="26"/>
        <v>200</v>
      </c>
      <c r="AB49" s="235"/>
      <c r="AC49" s="235">
        <f t="shared" si="27"/>
        <v>13300</v>
      </c>
      <c r="AD49" s="235">
        <f t="shared" si="28"/>
        <v>8700</v>
      </c>
      <c r="AE49" s="235">
        <f t="shared" si="29"/>
        <v>5800</v>
      </c>
      <c r="AF49" s="235">
        <f t="shared" si="30"/>
        <v>4000</v>
      </c>
      <c r="AG49" s="235">
        <f t="shared" si="31"/>
        <v>3300</v>
      </c>
      <c r="AH49" s="235">
        <f t="shared" si="32"/>
        <v>4100</v>
      </c>
      <c r="AI49" s="235">
        <f t="shared" si="33"/>
        <v>5200</v>
      </c>
      <c r="AJ49" s="235">
        <f t="shared" si="34"/>
        <v>7000</v>
      </c>
      <c r="AK49" s="460"/>
      <c r="AL49" s="235">
        <f t="shared" si="35"/>
        <v>8400</v>
      </c>
      <c r="AM49" s="235">
        <f t="shared" si="36"/>
        <v>33600</v>
      </c>
      <c r="AN49" s="235">
        <f t="shared" si="37"/>
        <v>58300</v>
      </c>
      <c r="AO49" s="235">
        <f t="shared" si="38"/>
        <v>88100</v>
      </c>
      <c r="AP49" s="235">
        <f t="shared" si="39"/>
        <v>122400</v>
      </c>
      <c r="AQ49" s="235">
        <f t="shared" si="40"/>
        <v>162700</v>
      </c>
      <c r="AR49" s="235">
        <f t="shared" si="41"/>
        <v>260100</v>
      </c>
      <c r="AS49" s="235">
        <f t="shared" si="42"/>
        <v>1247100</v>
      </c>
      <c r="AT49" s="131"/>
      <c r="AU49" s="235">
        <f t="shared" si="43"/>
        <v>62000</v>
      </c>
      <c r="AV49" s="235">
        <f t="shared" si="1"/>
        <v>4000</v>
      </c>
      <c r="AW49" s="235">
        <f t="shared" si="2"/>
        <v>200</v>
      </c>
      <c r="AX49" s="235">
        <f t="shared" si="44"/>
        <v>216500</v>
      </c>
      <c r="AZ49" s="403">
        <f t="shared" si="45"/>
        <v>26.697459584295615</v>
      </c>
    </row>
    <row r="50" spans="1:52">
      <c r="A50" s="215">
        <v>1998</v>
      </c>
      <c r="B50" s="403">
        <f t="shared" si="3"/>
        <v>-211.57894736842104</v>
      </c>
      <c r="C50" s="403">
        <f t="shared" si="4"/>
        <v>-15.819209039548024</v>
      </c>
      <c r="D50" s="403">
        <f t="shared" si="5"/>
        <v>8.9256198347107443</v>
      </c>
      <c r="E50" s="403">
        <f t="shared" si="6"/>
        <v>17.775354416575791</v>
      </c>
      <c r="F50" s="403">
        <f t="shared" si="7"/>
        <v>21.821036106750395</v>
      </c>
      <c r="G50" s="403">
        <f t="shared" si="8"/>
        <v>23.71983519717481</v>
      </c>
      <c r="H50" s="403">
        <f t="shared" si="9"/>
        <v>26.220614828209765</v>
      </c>
      <c r="I50" s="403">
        <f t="shared" si="10"/>
        <v>32.109181141439208</v>
      </c>
      <c r="J50" s="131"/>
      <c r="K50" s="235">
        <f t="shared" si="11"/>
        <v>800</v>
      </c>
      <c r="L50" s="235">
        <f t="shared" si="12"/>
        <v>5500</v>
      </c>
      <c r="M50" s="235">
        <f t="shared" si="13"/>
        <v>12100</v>
      </c>
      <c r="N50" s="235">
        <f t="shared" si="14"/>
        <v>20700</v>
      </c>
      <c r="O50" s="235">
        <f t="shared" si="15"/>
        <v>31500</v>
      </c>
      <c r="P50" s="235">
        <f t="shared" si="16"/>
        <v>44500</v>
      </c>
      <c r="Q50" s="235">
        <f t="shared" si="17"/>
        <v>77900</v>
      </c>
      <c r="R50" s="235">
        <f t="shared" si="18"/>
        <v>459800</v>
      </c>
      <c r="S50" s="235"/>
      <c r="T50" s="235">
        <f t="shared" si="19"/>
        <v>7600</v>
      </c>
      <c r="U50" s="235">
        <f t="shared" si="20"/>
        <v>2600</v>
      </c>
      <c r="V50" s="235">
        <f t="shared" si="21"/>
        <v>900</v>
      </c>
      <c r="W50" s="235">
        <f t="shared" si="22"/>
        <v>500</v>
      </c>
      <c r="X50" s="235">
        <f t="shared" si="23"/>
        <v>300</v>
      </c>
      <c r="Y50" s="235">
        <f t="shared" si="24"/>
        <v>200</v>
      </c>
      <c r="Z50" s="235">
        <f t="shared" si="25"/>
        <v>300</v>
      </c>
      <c r="AA50" s="235">
        <f t="shared" si="26"/>
        <v>300</v>
      </c>
      <c r="AB50" s="235"/>
      <c r="AC50" s="235">
        <f t="shared" si="27"/>
        <v>13300</v>
      </c>
      <c r="AD50" s="235">
        <f t="shared" si="28"/>
        <v>8500</v>
      </c>
      <c r="AE50" s="235">
        <f t="shared" si="29"/>
        <v>5800</v>
      </c>
      <c r="AF50" s="235">
        <f t="shared" si="30"/>
        <v>3900</v>
      </c>
      <c r="AG50" s="235">
        <f t="shared" si="31"/>
        <v>3400</v>
      </c>
      <c r="AH50" s="235">
        <f t="shared" si="32"/>
        <v>4000</v>
      </c>
      <c r="AI50" s="235">
        <f t="shared" si="33"/>
        <v>5100</v>
      </c>
      <c r="AJ50" s="235">
        <f t="shared" si="34"/>
        <v>6600</v>
      </c>
      <c r="AK50" s="460"/>
      <c r="AL50" s="235">
        <f t="shared" si="35"/>
        <v>9500</v>
      </c>
      <c r="AM50" s="235">
        <f t="shared" si="36"/>
        <v>35400</v>
      </c>
      <c r="AN50" s="235">
        <f t="shared" si="37"/>
        <v>60500</v>
      </c>
      <c r="AO50" s="235">
        <f t="shared" si="38"/>
        <v>91700</v>
      </c>
      <c r="AP50" s="235">
        <f t="shared" si="39"/>
        <v>127400</v>
      </c>
      <c r="AQ50" s="235">
        <f t="shared" si="40"/>
        <v>169900</v>
      </c>
      <c r="AR50" s="235">
        <f t="shared" si="41"/>
        <v>276500</v>
      </c>
      <c r="AS50" s="235">
        <f t="shared" si="42"/>
        <v>1410500</v>
      </c>
      <c r="AT50" s="131"/>
      <c r="AU50" s="235">
        <f t="shared" si="43"/>
        <v>65200</v>
      </c>
      <c r="AV50" s="235">
        <f t="shared" si="1"/>
        <v>4100</v>
      </c>
      <c r="AW50" s="235">
        <f t="shared" si="2"/>
        <v>300</v>
      </c>
      <c r="AX50" s="235">
        <f t="shared" si="44"/>
        <v>231400</v>
      </c>
      <c r="AZ50" s="403">
        <f t="shared" si="45"/>
        <v>26.27484874675886</v>
      </c>
    </row>
    <row r="51" spans="1:52">
      <c r="A51" s="215">
        <v>1999</v>
      </c>
      <c r="B51" s="403">
        <f t="shared" si="3"/>
        <v>-188.34951456310679</v>
      </c>
      <c r="C51" s="403">
        <f t="shared" si="4"/>
        <v>-14.402173913043478</v>
      </c>
      <c r="D51" s="403">
        <f t="shared" si="5"/>
        <v>9.5693779904306222</v>
      </c>
      <c r="E51" s="403">
        <f t="shared" si="6"/>
        <v>17.777777777777779</v>
      </c>
      <c r="F51" s="403">
        <f t="shared" si="7"/>
        <v>22.071050642479214</v>
      </c>
      <c r="G51" s="403">
        <f t="shared" si="8"/>
        <v>24.20814479638009</v>
      </c>
      <c r="H51" s="403">
        <f t="shared" si="9"/>
        <v>26.880607315389927</v>
      </c>
      <c r="I51" s="403">
        <f t="shared" si="10"/>
        <v>32.34475166742213</v>
      </c>
      <c r="J51" s="131"/>
      <c r="K51" s="235">
        <f t="shared" si="11"/>
        <v>1000</v>
      </c>
      <c r="L51" s="235">
        <f t="shared" si="12"/>
        <v>5700</v>
      </c>
      <c r="M51" s="235">
        <f t="shared" si="13"/>
        <v>12600</v>
      </c>
      <c r="N51" s="235">
        <f t="shared" si="14"/>
        <v>21300</v>
      </c>
      <c r="O51" s="235">
        <f t="shared" si="15"/>
        <v>32900</v>
      </c>
      <c r="P51" s="235">
        <f t="shared" si="16"/>
        <v>46900</v>
      </c>
      <c r="Q51" s="235">
        <f t="shared" si="17"/>
        <v>83000</v>
      </c>
      <c r="R51" s="235">
        <f t="shared" si="18"/>
        <v>506200</v>
      </c>
      <c r="S51" s="235"/>
      <c r="T51" s="235">
        <f t="shared" si="19"/>
        <v>7500</v>
      </c>
      <c r="U51" s="235">
        <f t="shared" si="20"/>
        <v>2700</v>
      </c>
      <c r="V51" s="235">
        <f t="shared" si="21"/>
        <v>1100</v>
      </c>
      <c r="W51" s="235">
        <f t="shared" si="22"/>
        <v>500</v>
      </c>
      <c r="X51" s="235">
        <f t="shared" si="23"/>
        <v>300</v>
      </c>
      <c r="Y51" s="235">
        <f t="shared" si="24"/>
        <v>300</v>
      </c>
      <c r="Z51" s="235">
        <f t="shared" si="25"/>
        <v>300</v>
      </c>
      <c r="AA51" s="235">
        <f t="shared" si="26"/>
        <v>300</v>
      </c>
      <c r="AB51" s="235"/>
      <c r="AC51" s="235">
        <f t="shared" si="27"/>
        <v>12900</v>
      </c>
      <c r="AD51" s="235">
        <f t="shared" si="28"/>
        <v>8300</v>
      </c>
      <c r="AE51" s="235">
        <f t="shared" si="29"/>
        <v>5500</v>
      </c>
      <c r="AF51" s="235">
        <f t="shared" si="30"/>
        <v>4000</v>
      </c>
      <c r="AG51" s="235">
        <f t="shared" si="31"/>
        <v>3400</v>
      </c>
      <c r="AH51" s="235">
        <f t="shared" si="32"/>
        <v>3800</v>
      </c>
      <c r="AI51" s="235">
        <f t="shared" si="33"/>
        <v>4800</v>
      </c>
      <c r="AJ51" s="235">
        <f t="shared" si="34"/>
        <v>6400</v>
      </c>
      <c r="AK51" s="460"/>
      <c r="AL51" s="235">
        <f t="shared" si="35"/>
        <v>10300</v>
      </c>
      <c r="AM51" s="235">
        <f t="shared" si="36"/>
        <v>36800</v>
      </c>
      <c r="AN51" s="235">
        <f t="shared" si="37"/>
        <v>62700</v>
      </c>
      <c r="AO51" s="235">
        <f t="shared" si="38"/>
        <v>94500</v>
      </c>
      <c r="AP51" s="235">
        <f t="shared" si="39"/>
        <v>132300</v>
      </c>
      <c r="AQ51" s="235">
        <f t="shared" si="40"/>
        <v>176800</v>
      </c>
      <c r="AR51" s="235">
        <f t="shared" si="41"/>
        <v>289800</v>
      </c>
      <c r="AS51" s="235">
        <f t="shared" si="42"/>
        <v>1544300</v>
      </c>
      <c r="AT51" s="131"/>
      <c r="AU51" s="235">
        <f t="shared" si="43"/>
        <v>70300</v>
      </c>
      <c r="AV51" s="235">
        <f t="shared" si="1"/>
        <v>3900</v>
      </c>
      <c r="AW51" s="235">
        <f t="shared" si="2"/>
        <v>300</v>
      </c>
      <c r="AX51" s="235">
        <f t="shared" si="44"/>
        <v>246200</v>
      </c>
      <c r="AZ51" s="403">
        <f t="shared" si="45"/>
        <v>26.848090982940697</v>
      </c>
    </row>
    <row r="52" spans="1:52">
      <c r="A52" s="215">
        <v>2000</v>
      </c>
      <c r="B52" s="403">
        <f t="shared" si="3"/>
        <v>-189.32038834951456</v>
      </c>
      <c r="C52" s="403">
        <f t="shared" si="4"/>
        <v>-15.135135135135137</v>
      </c>
      <c r="D52" s="403">
        <f t="shared" si="5"/>
        <v>9.0476190476190474</v>
      </c>
      <c r="E52" s="403">
        <f t="shared" si="6"/>
        <v>17.726798748696559</v>
      </c>
      <c r="F52" s="403">
        <f t="shared" si="7"/>
        <v>22.008862629246675</v>
      </c>
      <c r="G52" s="403">
        <f t="shared" si="8"/>
        <v>23.956043956043956</v>
      </c>
      <c r="H52" s="403">
        <f t="shared" si="9"/>
        <v>26.863666890530556</v>
      </c>
      <c r="I52" s="403">
        <f t="shared" si="10"/>
        <v>32.000471114775337</v>
      </c>
      <c r="J52" s="131"/>
      <c r="K52" s="235">
        <f t="shared" si="11"/>
        <v>900</v>
      </c>
      <c r="L52" s="235">
        <f t="shared" si="12"/>
        <v>5700</v>
      </c>
      <c r="M52" s="235">
        <f t="shared" si="13"/>
        <v>12500</v>
      </c>
      <c r="N52" s="235">
        <f t="shared" si="14"/>
        <v>21600</v>
      </c>
      <c r="O52" s="235">
        <f t="shared" si="15"/>
        <v>33700</v>
      </c>
      <c r="P52" s="235">
        <f t="shared" si="16"/>
        <v>48100</v>
      </c>
      <c r="Q52" s="235">
        <f t="shared" si="17"/>
        <v>85600</v>
      </c>
      <c r="R52" s="235">
        <f t="shared" si="18"/>
        <v>550800</v>
      </c>
      <c r="S52" s="235"/>
      <c r="T52" s="235">
        <f t="shared" si="19"/>
        <v>7700</v>
      </c>
      <c r="U52" s="235">
        <f t="shared" si="20"/>
        <v>2700</v>
      </c>
      <c r="V52" s="235">
        <f t="shared" si="21"/>
        <v>1100</v>
      </c>
      <c r="W52" s="235">
        <f t="shared" si="22"/>
        <v>600</v>
      </c>
      <c r="X52" s="235">
        <f t="shared" si="23"/>
        <v>400</v>
      </c>
      <c r="Y52" s="235">
        <f t="shared" si="24"/>
        <v>300</v>
      </c>
      <c r="Z52" s="235">
        <f t="shared" si="25"/>
        <v>300</v>
      </c>
      <c r="AA52" s="235">
        <f t="shared" si="26"/>
        <v>300</v>
      </c>
      <c r="AB52" s="235"/>
      <c r="AC52" s="235">
        <f t="shared" si="27"/>
        <v>12700</v>
      </c>
      <c r="AD52" s="235">
        <f t="shared" si="28"/>
        <v>8600</v>
      </c>
      <c r="AE52" s="235">
        <f t="shared" si="29"/>
        <v>5700</v>
      </c>
      <c r="AF52" s="235">
        <f t="shared" si="30"/>
        <v>4000</v>
      </c>
      <c r="AG52" s="235">
        <f t="shared" si="31"/>
        <v>3500</v>
      </c>
      <c r="AH52" s="235">
        <f t="shared" si="32"/>
        <v>4200</v>
      </c>
      <c r="AI52" s="235">
        <f t="shared" si="33"/>
        <v>5300</v>
      </c>
      <c r="AJ52" s="235">
        <f t="shared" si="34"/>
        <v>7100</v>
      </c>
      <c r="AK52" s="460"/>
      <c r="AL52" s="235">
        <f t="shared" si="35"/>
        <v>10300</v>
      </c>
      <c r="AM52" s="235">
        <f t="shared" si="36"/>
        <v>37000</v>
      </c>
      <c r="AN52" s="235">
        <f t="shared" si="37"/>
        <v>63000</v>
      </c>
      <c r="AO52" s="235">
        <f t="shared" si="38"/>
        <v>95900</v>
      </c>
      <c r="AP52" s="235">
        <f t="shared" si="39"/>
        <v>135400</v>
      </c>
      <c r="AQ52" s="235">
        <f t="shared" si="40"/>
        <v>182000</v>
      </c>
      <c r="AR52" s="235">
        <f t="shared" si="41"/>
        <v>297800</v>
      </c>
      <c r="AS52" s="235">
        <f t="shared" si="42"/>
        <v>1698100</v>
      </c>
      <c r="AT52" s="131"/>
      <c r="AU52" s="235">
        <f t="shared" si="43"/>
        <v>73800</v>
      </c>
      <c r="AV52" s="235">
        <f t="shared" si="1"/>
        <v>4200</v>
      </c>
      <c r="AW52" s="235">
        <f t="shared" si="2"/>
        <v>300</v>
      </c>
      <c r="AX52" s="235">
        <f t="shared" si="44"/>
        <v>258500</v>
      </c>
      <c r="AZ52" s="403">
        <f t="shared" si="45"/>
        <v>26.808510638297872</v>
      </c>
    </row>
    <row r="53" spans="1:52">
      <c r="A53" s="215">
        <v>2001</v>
      </c>
      <c r="B53" s="403">
        <f t="shared" si="3"/>
        <v>-225.80645161290326</v>
      </c>
      <c r="C53" s="403">
        <f t="shared" si="4"/>
        <v>-20.277777777777779</v>
      </c>
      <c r="D53" s="403">
        <f t="shared" si="5"/>
        <v>5.9390048154093105</v>
      </c>
      <c r="E53" s="403">
        <f t="shared" si="6"/>
        <v>16.0676532769556</v>
      </c>
      <c r="F53" s="403">
        <f t="shared" si="7"/>
        <v>20.898876404494381</v>
      </c>
      <c r="G53" s="403">
        <f t="shared" si="8"/>
        <v>23.310810810810811</v>
      </c>
      <c r="H53" s="403">
        <f t="shared" si="9"/>
        <v>25.614535090844321</v>
      </c>
      <c r="I53" s="403">
        <f t="shared" si="10"/>
        <v>31.716307873783546</v>
      </c>
      <c r="J53" s="131"/>
      <c r="K53" s="235">
        <f t="shared" si="11"/>
        <v>800</v>
      </c>
      <c r="L53" s="235">
        <f t="shared" si="12"/>
        <v>4800</v>
      </c>
      <c r="M53" s="235">
        <f t="shared" si="13"/>
        <v>11300</v>
      </c>
      <c r="N53" s="235">
        <f t="shared" si="14"/>
        <v>20000</v>
      </c>
      <c r="O53" s="235">
        <f t="shared" si="15"/>
        <v>31700</v>
      </c>
      <c r="P53" s="235">
        <f t="shared" si="16"/>
        <v>45300</v>
      </c>
      <c r="Q53" s="235">
        <f t="shared" si="17"/>
        <v>77000</v>
      </c>
      <c r="R53" s="235">
        <f t="shared" si="18"/>
        <v>436900</v>
      </c>
      <c r="S53" s="235"/>
      <c r="T53" s="235">
        <f t="shared" si="19"/>
        <v>8200</v>
      </c>
      <c r="U53" s="235">
        <f t="shared" si="20"/>
        <v>3000</v>
      </c>
      <c r="V53" s="235">
        <f t="shared" si="21"/>
        <v>1300</v>
      </c>
      <c r="W53" s="235">
        <f t="shared" si="22"/>
        <v>600</v>
      </c>
      <c r="X53" s="235">
        <f t="shared" si="23"/>
        <v>300</v>
      </c>
      <c r="Y53" s="235">
        <f t="shared" si="24"/>
        <v>300</v>
      </c>
      <c r="Z53" s="235">
        <f t="shared" si="25"/>
        <v>300</v>
      </c>
      <c r="AA53" s="235">
        <f t="shared" si="26"/>
        <v>400</v>
      </c>
      <c r="AB53" s="235"/>
      <c r="AC53" s="235">
        <f t="shared" si="27"/>
        <v>13600</v>
      </c>
      <c r="AD53" s="235">
        <f t="shared" si="28"/>
        <v>9100</v>
      </c>
      <c r="AE53" s="235">
        <f t="shared" si="29"/>
        <v>6300</v>
      </c>
      <c r="AF53" s="235">
        <f t="shared" si="30"/>
        <v>4200</v>
      </c>
      <c r="AG53" s="235">
        <f t="shared" si="31"/>
        <v>3500</v>
      </c>
      <c r="AH53" s="235">
        <f t="shared" si="32"/>
        <v>3600</v>
      </c>
      <c r="AI53" s="235">
        <f t="shared" si="33"/>
        <v>4800</v>
      </c>
      <c r="AJ53" s="235">
        <f t="shared" si="34"/>
        <v>6300</v>
      </c>
      <c r="AK53" s="460"/>
      <c r="AL53" s="235">
        <f t="shared" si="35"/>
        <v>9300</v>
      </c>
      <c r="AM53" s="235">
        <f t="shared" si="36"/>
        <v>36000</v>
      </c>
      <c r="AN53" s="235">
        <f t="shared" si="37"/>
        <v>62300</v>
      </c>
      <c r="AO53" s="235">
        <f t="shared" si="38"/>
        <v>94600</v>
      </c>
      <c r="AP53" s="235">
        <f t="shared" si="39"/>
        <v>133500</v>
      </c>
      <c r="AQ53" s="235">
        <f t="shared" si="40"/>
        <v>177600</v>
      </c>
      <c r="AR53" s="235">
        <f t="shared" si="41"/>
        <v>280700</v>
      </c>
      <c r="AS53" s="235">
        <f t="shared" si="42"/>
        <v>1356400</v>
      </c>
      <c r="AT53" s="131"/>
      <c r="AU53" s="235">
        <f t="shared" si="43"/>
        <v>64500</v>
      </c>
      <c r="AV53" s="235">
        <f t="shared" si="1"/>
        <v>3900</v>
      </c>
      <c r="AW53" s="235">
        <f t="shared" si="2"/>
        <v>300</v>
      </c>
      <c r="AX53" s="235">
        <f t="shared" si="44"/>
        <v>235300</v>
      </c>
      <c r="AZ53" s="403">
        <f t="shared" si="45"/>
        <v>25.626859328516787</v>
      </c>
    </row>
    <row r="54" spans="1:52">
      <c r="A54" s="215">
        <v>2002</v>
      </c>
      <c r="B54" s="403">
        <f t="shared" si="3"/>
        <v>-249.43820224719099</v>
      </c>
      <c r="C54" s="403">
        <f t="shared" si="4"/>
        <v>-25.360230547550433</v>
      </c>
      <c r="D54" s="403">
        <f t="shared" si="5"/>
        <v>4.3117744610281923</v>
      </c>
      <c r="E54" s="403">
        <f t="shared" si="6"/>
        <v>15.226781857451405</v>
      </c>
      <c r="F54" s="403">
        <f t="shared" si="7"/>
        <v>19.954303122619955</v>
      </c>
      <c r="G54" s="403">
        <f t="shared" si="8"/>
        <v>22.643678160919539</v>
      </c>
      <c r="H54" s="403">
        <f t="shared" si="9"/>
        <v>25.046244913059564</v>
      </c>
      <c r="I54" s="403">
        <f t="shared" si="10"/>
        <v>31.524182136019313</v>
      </c>
      <c r="J54" s="131"/>
      <c r="K54" s="235">
        <f t="shared" si="11"/>
        <v>700</v>
      </c>
      <c r="L54" s="235">
        <f t="shared" si="12"/>
        <v>4300</v>
      </c>
      <c r="M54" s="235">
        <f t="shared" si="13"/>
        <v>10600</v>
      </c>
      <c r="N54" s="235">
        <f t="shared" si="14"/>
        <v>19100</v>
      </c>
      <c r="O54" s="235">
        <f t="shared" si="15"/>
        <v>30200</v>
      </c>
      <c r="P54" s="235">
        <f t="shared" si="16"/>
        <v>43200</v>
      </c>
      <c r="Q54" s="235">
        <f t="shared" si="17"/>
        <v>72400</v>
      </c>
      <c r="R54" s="235">
        <f t="shared" si="18"/>
        <v>385900</v>
      </c>
      <c r="S54" s="235"/>
      <c r="T54" s="235">
        <f t="shared" si="19"/>
        <v>8500</v>
      </c>
      <c r="U54" s="235">
        <f t="shared" si="20"/>
        <v>3500</v>
      </c>
      <c r="V54" s="235">
        <f t="shared" si="21"/>
        <v>1500</v>
      </c>
      <c r="W54" s="235">
        <f t="shared" si="22"/>
        <v>700</v>
      </c>
      <c r="X54" s="235">
        <f t="shared" si="23"/>
        <v>400</v>
      </c>
      <c r="Y54" s="235">
        <f t="shared" si="24"/>
        <v>300</v>
      </c>
      <c r="Z54" s="235">
        <f t="shared" si="25"/>
        <v>300</v>
      </c>
      <c r="AA54" s="235">
        <f t="shared" si="26"/>
        <v>500</v>
      </c>
      <c r="AB54" s="235"/>
      <c r="AC54" s="235">
        <f t="shared" si="27"/>
        <v>14400</v>
      </c>
      <c r="AD54" s="235">
        <f t="shared" si="28"/>
        <v>9600</v>
      </c>
      <c r="AE54" s="235">
        <f t="shared" si="29"/>
        <v>6500</v>
      </c>
      <c r="AF54" s="235">
        <f t="shared" si="30"/>
        <v>4300</v>
      </c>
      <c r="AG54" s="235">
        <f t="shared" si="31"/>
        <v>3600</v>
      </c>
      <c r="AH54" s="235">
        <f t="shared" si="32"/>
        <v>3500</v>
      </c>
      <c r="AI54" s="235">
        <f t="shared" si="33"/>
        <v>4400</v>
      </c>
      <c r="AJ54" s="235">
        <f t="shared" si="34"/>
        <v>6700</v>
      </c>
      <c r="AK54" s="460"/>
      <c r="AL54" s="235">
        <f t="shared" si="35"/>
        <v>8900</v>
      </c>
      <c r="AM54" s="235">
        <f t="shared" si="36"/>
        <v>34700</v>
      </c>
      <c r="AN54" s="235">
        <f t="shared" si="37"/>
        <v>60300</v>
      </c>
      <c r="AO54" s="235">
        <f t="shared" si="38"/>
        <v>92600</v>
      </c>
      <c r="AP54" s="235">
        <f t="shared" si="39"/>
        <v>131300</v>
      </c>
      <c r="AQ54" s="235">
        <f t="shared" si="40"/>
        <v>174000</v>
      </c>
      <c r="AR54" s="235">
        <f t="shared" si="41"/>
        <v>270300</v>
      </c>
      <c r="AS54" s="235">
        <f t="shared" si="42"/>
        <v>1201300</v>
      </c>
      <c r="AT54" s="131"/>
      <c r="AU54" s="235">
        <f t="shared" si="43"/>
        <v>59800</v>
      </c>
      <c r="AV54" s="235">
        <f t="shared" si="1"/>
        <v>3900</v>
      </c>
      <c r="AW54" s="235">
        <f t="shared" si="2"/>
        <v>400</v>
      </c>
      <c r="AX54" s="235">
        <f t="shared" si="44"/>
        <v>223600</v>
      </c>
      <c r="AZ54" s="403">
        <f t="shared" si="45"/>
        <v>24.821109123434702</v>
      </c>
    </row>
    <row r="55" spans="1:52">
      <c r="A55" s="215">
        <v>2003</v>
      </c>
      <c r="B55" s="403">
        <f t="shared" si="3"/>
        <v>-271.42857142857144</v>
      </c>
      <c r="C55" s="403">
        <f t="shared" si="4"/>
        <v>-27.777777777777779</v>
      </c>
      <c r="D55" s="403">
        <f t="shared" si="5"/>
        <v>2.9850746268656714</v>
      </c>
      <c r="E55" s="403">
        <f t="shared" si="6"/>
        <v>14.087513340448238</v>
      </c>
      <c r="F55" s="403">
        <f t="shared" si="7"/>
        <v>18.890554722638679</v>
      </c>
      <c r="G55" s="403">
        <f t="shared" si="8"/>
        <v>21.230942970073404</v>
      </c>
      <c r="H55" s="403">
        <f t="shared" si="9"/>
        <v>23.864042933810374</v>
      </c>
      <c r="I55" s="403">
        <f t="shared" si="10"/>
        <v>29.954602379461491</v>
      </c>
      <c r="J55" s="131"/>
      <c r="K55" s="235">
        <f t="shared" si="11"/>
        <v>700</v>
      </c>
      <c r="L55" s="235">
        <f t="shared" si="12"/>
        <v>4000</v>
      </c>
      <c r="M55" s="235">
        <f t="shared" si="13"/>
        <v>10100</v>
      </c>
      <c r="N55" s="235">
        <f t="shared" si="14"/>
        <v>18400</v>
      </c>
      <c r="O55" s="235">
        <f t="shared" si="15"/>
        <v>29300</v>
      </c>
      <c r="P55" s="235">
        <f t="shared" si="16"/>
        <v>41900</v>
      </c>
      <c r="Q55" s="235">
        <f t="shared" si="17"/>
        <v>71800</v>
      </c>
      <c r="R55" s="235">
        <f t="shared" si="18"/>
        <v>389800</v>
      </c>
      <c r="S55" s="235"/>
      <c r="T55" s="235">
        <f t="shared" si="19"/>
        <v>8900</v>
      </c>
      <c r="U55" s="235">
        <f t="shared" si="20"/>
        <v>3800</v>
      </c>
      <c r="V55" s="235">
        <f t="shared" si="21"/>
        <v>1700</v>
      </c>
      <c r="W55" s="235">
        <f t="shared" si="22"/>
        <v>800</v>
      </c>
      <c r="X55" s="235">
        <f t="shared" si="23"/>
        <v>400</v>
      </c>
      <c r="Y55" s="235">
        <f t="shared" si="24"/>
        <v>400</v>
      </c>
      <c r="Z55" s="235">
        <f t="shared" si="25"/>
        <v>400</v>
      </c>
      <c r="AA55" s="235">
        <f t="shared" si="26"/>
        <v>400</v>
      </c>
      <c r="AB55" s="235"/>
      <c r="AC55" s="235">
        <f t="shared" si="27"/>
        <v>14600</v>
      </c>
      <c r="AD55" s="235">
        <f t="shared" si="28"/>
        <v>9700</v>
      </c>
      <c r="AE55" s="235">
        <f t="shared" si="29"/>
        <v>6600</v>
      </c>
      <c r="AF55" s="235">
        <f t="shared" si="30"/>
        <v>4400</v>
      </c>
      <c r="AG55" s="235">
        <f t="shared" si="31"/>
        <v>3700</v>
      </c>
      <c r="AH55" s="235">
        <f t="shared" si="32"/>
        <v>3900</v>
      </c>
      <c r="AI55" s="235">
        <f t="shared" si="33"/>
        <v>4700</v>
      </c>
      <c r="AJ55" s="235">
        <f t="shared" si="34"/>
        <v>6700</v>
      </c>
      <c r="AK55" s="460"/>
      <c r="AL55" s="235">
        <f t="shared" si="35"/>
        <v>8400</v>
      </c>
      <c r="AM55" s="235">
        <f t="shared" si="36"/>
        <v>34200</v>
      </c>
      <c r="AN55" s="235">
        <f t="shared" si="37"/>
        <v>60300</v>
      </c>
      <c r="AO55" s="235">
        <f t="shared" si="38"/>
        <v>93700</v>
      </c>
      <c r="AP55" s="235">
        <f t="shared" si="39"/>
        <v>133400</v>
      </c>
      <c r="AQ55" s="235">
        <f t="shared" si="40"/>
        <v>177100</v>
      </c>
      <c r="AR55" s="235">
        <f t="shared" si="41"/>
        <v>279500</v>
      </c>
      <c r="AS55" s="235">
        <f t="shared" si="42"/>
        <v>1277600</v>
      </c>
      <c r="AT55" s="131"/>
      <c r="AU55" s="235">
        <f t="shared" si="43"/>
        <v>59100</v>
      </c>
      <c r="AV55" s="235">
        <f t="shared" si="1"/>
        <v>4100</v>
      </c>
      <c r="AW55" s="235">
        <f t="shared" si="2"/>
        <v>400</v>
      </c>
      <c r="AX55" s="235">
        <f t="shared" si="44"/>
        <v>231400</v>
      </c>
      <c r="AZ55" s="403">
        <f t="shared" si="45"/>
        <v>23.595505617977526</v>
      </c>
    </row>
    <row r="56" spans="1:52">
      <c r="A56" s="215">
        <v>2004</v>
      </c>
      <c r="B56" s="403">
        <f t="shared" si="3"/>
        <v>-268.60465116279067</v>
      </c>
      <c r="C56" s="403">
        <f t="shared" si="4"/>
        <v>-26.760563380281688</v>
      </c>
      <c r="D56" s="403">
        <f t="shared" si="5"/>
        <v>3.3707865168539324</v>
      </c>
      <c r="E56" s="403">
        <f t="shared" si="6"/>
        <v>14.389233954451347</v>
      </c>
      <c r="F56" s="403">
        <f t="shared" si="7"/>
        <v>18.867924528301888</v>
      </c>
      <c r="G56" s="403">
        <f t="shared" si="8"/>
        <v>21.614301191765982</v>
      </c>
      <c r="H56" s="403">
        <f t="shared" si="9"/>
        <v>24.264954376478538</v>
      </c>
      <c r="I56" s="403">
        <f t="shared" si="10"/>
        <v>29.638364779874216</v>
      </c>
      <c r="J56" s="131"/>
      <c r="K56" s="235">
        <f t="shared" si="11"/>
        <v>600</v>
      </c>
      <c r="L56" s="235">
        <f t="shared" si="12"/>
        <v>4200</v>
      </c>
      <c r="M56" s="235">
        <f t="shared" si="13"/>
        <v>10500</v>
      </c>
      <c r="N56" s="235">
        <f t="shared" si="14"/>
        <v>19200</v>
      </c>
      <c r="O56" s="235">
        <f t="shared" si="15"/>
        <v>30400</v>
      </c>
      <c r="P56" s="235">
        <f t="shared" si="16"/>
        <v>43900</v>
      </c>
      <c r="Q56" s="235">
        <f t="shared" si="17"/>
        <v>77000</v>
      </c>
      <c r="R56" s="235">
        <f t="shared" si="18"/>
        <v>460000</v>
      </c>
      <c r="S56" s="235"/>
      <c r="T56" s="235">
        <f t="shared" si="19"/>
        <v>9100</v>
      </c>
      <c r="U56" s="235">
        <f t="shared" si="20"/>
        <v>4200</v>
      </c>
      <c r="V56" s="235">
        <f t="shared" si="21"/>
        <v>1800</v>
      </c>
      <c r="W56" s="235">
        <f t="shared" si="22"/>
        <v>800</v>
      </c>
      <c r="X56" s="235">
        <f t="shared" si="23"/>
        <v>500</v>
      </c>
      <c r="Y56" s="235">
        <f t="shared" si="24"/>
        <v>400</v>
      </c>
      <c r="Z56" s="235">
        <f t="shared" si="25"/>
        <v>300</v>
      </c>
      <c r="AA56" s="235">
        <f t="shared" si="26"/>
        <v>400</v>
      </c>
      <c r="AB56" s="235"/>
      <c r="AC56" s="235">
        <f t="shared" si="27"/>
        <v>14600</v>
      </c>
      <c r="AD56" s="235">
        <f t="shared" si="28"/>
        <v>9500</v>
      </c>
      <c r="AE56" s="235">
        <f t="shared" si="29"/>
        <v>6600</v>
      </c>
      <c r="AF56" s="235">
        <f t="shared" si="30"/>
        <v>4500</v>
      </c>
      <c r="AG56" s="235">
        <f t="shared" si="31"/>
        <v>3900</v>
      </c>
      <c r="AH56" s="235">
        <f t="shared" si="32"/>
        <v>3600</v>
      </c>
      <c r="AI56" s="235">
        <f t="shared" si="33"/>
        <v>4900</v>
      </c>
      <c r="AJ56" s="235">
        <f t="shared" si="34"/>
        <v>7200</v>
      </c>
      <c r="AK56" s="460"/>
      <c r="AL56" s="235">
        <f t="shared" si="35"/>
        <v>8600</v>
      </c>
      <c r="AM56" s="235">
        <f t="shared" si="36"/>
        <v>35500</v>
      </c>
      <c r="AN56" s="235">
        <f t="shared" si="37"/>
        <v>62300</v>
      </c>
      <c r="AO56" s="235">
        <f t="shared" si="38"/>
        <v>96600</v>
      </c>
      <c r="AP56" s="235">
        <f t="shared" si="39"/>
        <v>137800</v>
      </c>
      <c r="AQ56" s="235">
        <f t="shared" si="40"/>
        <v>184600</v>
      </c>
      <c r="AR56" s="235">
        <f t="shared" si="41"/>
        <v>295900</v>
      </c>
      <c r="AS56" s="235">
        <f t="shared" si="42"/>
        <v>1526400</v>
      </c>
      <c r="AT56" s="131"/>
      <c r="AU56" s="235">
        <f t="shared" si="43"/>
        <v>65000</v>
      </c>
      <c r="AV56" s="235">
        <f t="shared" si="1"/>
        <v>4200</v>
      </c>
      <c r="AW56" s="235">
        <f t="shared" si="2"/>
        <v>400</v>
      </c>
      <c r="AX56" s="235">
        <f t="shared" si="44"/>
        <v>252000</v>
      </c>
      <c r="AZ56" s="403">
        <f t="shared" si="45"/>
        <v>23.968253968253968</v>
      </c>
    </row>
    <row r="57" spans="1:52">
      <c r="A57" s="215">
        <v>2005</v>
      </c>
      <c r="B57" s="403">
        <f t="shared" si="3"/>
        <v>-254.94505494505492</v>
      </c>
      <c r="C57" s="403">
        <f t="shared" si="4"/>
        <v>-25</v>
      </c>
      <c r="D57" s="403">
        <f t="shared" si="5"/>
        <v>3.9494470774091628</v>
      </c>
      <c r="E57" s="403">
        <f t="shared" si="6"/>
        <v>14.532520325203253</v>
      </c>
      <c r="F57" s="403">
        <f t="shared" si="7"/>
        <v>19.017094017094017</v>
      </c>
      <c r="G57" s="403">
        <f t="shared" si="8"/>
        <v>21.49581589958159</v>
      </c>
      <c r="H57" s="403">
        <f t="shared" si="9"/>
        <v>24.679787566385507</v>
      </c>
      <c r="I57" s="403">
        <f t="shared" si="10"/>
        <v>29.864989426882826</v>
      </c>
      <c r="J57" s="131"/>
      <c r="K57" s="235">
        <f t="shared" si="11"/>
        <v>700</v>
      </c>
      <c r="L57" s="235">
        <f t="shared" si="12"/>
        <v>4400</v>
      </c>
      <c r="M57" s="235">
        <f t="shared" si="13"/>
        <v>10900</v>
      </c>
      <c r="N57" s="235">
        <f t="shared" si="14"/>
        <v>19700</v>
      </c>
      <c r="O57" s="235">
        <f t="shared" si="15"/>
        <v>31300</v>
      </c>
      <c r="P57" s="235">
        <f t="shared" si="16"/>
        <v>45900</v>
      </c>
      <c r="Q57" s="235">
        <f t="shared" si="17"/>
        <v>85000</v>
      </c>
      <c r="R57" s="235">
        <f t="shared" si="18"/>
        <v>559400</v>
      </c>
      <c r="S57" s="235"/>
      <c r="T57" s="235">
        <f t="shared" si="19"/>
        <v>9200</v>
      </c>
      <c r="U57" s="235">
        <f t="shared" si="20"/>
        <v>4200</v>
      </c>
      <c r="V57" s="235">
        <f t="shared" si="21"/>
        <v>1800</v>
      </c>
      <c r="W57" s="235">
        <f t="shared" si="22"/>
        <v>800</v>
      </c>
      <c r="X57" s="235">
        <f t="shared" si="23"/>
        <v>500</v>
      </c>
      <c r="Y57" s="235">
        <f t="shared" si="24"/>
        <v>400</v>
      </c>
      <c r="Z57" s="235">
        <f t="shared" si="25"/>
        <v>500</v>
      </c>
      <c r="AA57" s="235">
        <f t="shared" si="26"/>
        <v>400</v>
      </c>
      <c r="AB57" s="235"/>
      <c r="AC57" s="235">
        <f t="shared" si="27"/>
        <v>14700</v>
      </c>
      <c r="AD57" s="235">
        <f t="shared" si="28"/>
        <v>9300</v>
      </c>
      <c r="AE57" s="235">
        <f t="shared" si="29"/>
        <v>6600</v>
      </c>
      <c r="AF57" s="235">
        <f t="shared" si="30"/>
        <v>4600</v>
      </c>
      <c r="AG57" s="235">
        <f t="shared" si="31"/>
        <v>4100</v>
      </c>
      <c r="AH57" s="235">
        <f t="shared" si="32"/>
        <v>4400</v>
      </c>
      <c r="AI57" s="235">
        <f t="shared" si="33"/>
        <v>5500</v>
      </c>
      <c r="AJ57" s="235">
        <f t="shared" si="34"/>
        <v>8200</v>
      </c>
      <c r="AK57" s="460"/>
      <c r="AL57" s="235">
        <f t="shared" si="35"/>
        <v>9100</v>
      </c>
      <c r="AM57" s="235">
        <f t="shared" si="36"/>
        <v>36400</v>
      </c>
      <c r="AN57" s="235">
        <f t="shared" si="37"/>
        <v>63300</v>
      </c>
      <c r="AO57" s="235">
        <f t="shared" si="38"/>
        <v>98400</v>
      </c>
      <c r="AP57" s="235">
        <f t="shared" si="39"/>
        <v>140400</v>
      </c>
      <c r="AQ57" s="235">
        <f t="shared" si="40"/>
        <v>191200</v>
      </c>
      <c r="AR57" s="235">
        <f t="shared" si="41"/>
        <v>320100</v>
      </c>
      <c r="AS57" s="235">
        <f t="shared" si="42"/>
        <v>1844300</v>
      </c>
      <c r="AT57" s="131"/>
      <c r="AU57" s="235">
        <f t="shared" si="43"/>
        <v>71700</v>
      </c>
      <c r="AV57" s="235">
        <f t="shared" si="1"/>
        <v>4700</v>
      </c>
      <c r="AW57" s="235">
        <f t="shared" si="2"/>
        <v>500</v>
      </c>
      <c r="AX57" s="235">
        <f t="shared" si="44"/>
        <v>273200</v>
      </c>
      <c r="AZ57" s="403">
        <f t="shared" si="45"/>
        <v>24.341142020497806</v>
      </c>
    </row>
    <row r="58" spans="1:52">
      <c r="A58" s="215">
        <v>2006</v>
      </c>
      <c r="B58" s="403">
        <f t="shared" si="3"/>
        <v>-244.89795918367346</v>
      </c>
      <c r="C58" s="403">
        <f t="shared" si="4"/>
        <v>-24.324324324324326</v>
      </c>
      <c r="D58" s="403">
        <f t="shared" si="5"/>
        <v>3.7676609105180532</v>
      </c>
      <c r="E58" s="403">
        <f t="shared" si="6"/>
        <v>14.314314314314313</v>
      </c>
      <c r="F58" s="403">
        <f t="shared" si="7"/>
        <v>18.945176960444137</v>
      </c>
      <c r="G58" s="403">
        <f t="shared" si="8"/>
        <v>21.512519161982627</v>
      </c>
      <c r="H58" s="403">
        <f t="shared" si="9"/>
        <v>24.735089312745988</v>
      </c>
      <c r="I58" s="403">
        <f t="shared" si="10"/>
        <v>29.512463710081089</v>
      </c>
      <c r="J58" s="131"/>
      <c r="K58" s="235">
        <f t="shared" si="11"/>
        <v>800</v>
      </c>
      <c r="L58" s="235">
        <f t="shared" si="12"/>
        <v>4500</v>
      </c>
      <c r="M58" s="235">
        <f t="shared" si="13"/>
        <v>11100</v>
      </c>
      <c r="N58" s="235">
        <f t="shared" si="14"/>
        <v>20200</v>
      </c>
      <c r="O58" s="235">
        <f t="shared" si="15"/>
        <v>32300</v>
      </c>
      <c r="P58" s="235">
        <f t="shared" si="16"/>
        <v>47200</v>
      </c>
      <c r="Q58" s="235">
        <f t="shared" si="17"/>
        <v>88000</v>
      </c>
      <c r="R58" s="235">
        <f t="shared" si="18"/>
        <v>598500</v>
      </c>
      <c r="S58" s="235"/>
      <c r="T58" s="235">
        <f t="shared" si="19"/>
        <v>9200</v>
      </c>
      <c r="U58" s="235">
        <f t="shared" si="20"/>
        <v>4000</v>
      </c>
      <c r="V58" s="235">
        <f t="shared" si="21"/>
        <v>1700</v>
      </c>
      <c r="W58" s="235">
        <f t="shared" si="22"/>
        <v>900</v>
      </c>
      <c r="X58" s="235">
        <f t="shared" si="23"/>
        <v>600</v>
      </c>
      <c r="Y58" s="235">
        <f t="shared" si="24"/>
        <v>400</v>
      </c>
      <c r="Z58" s="235">
        <f t="shared" si="25"/>
        <v>400</v>
      </c>
      <c r="AA58" s="235">
        <f t="shared" si="26"/>
        <v>500</v>
      </c>
      <c r="AB58" s="235"/>
      <c r="AC58" s="235">
        <f t="shared" si="27"/>
        <v>15600</v>
      </c>
      <c r="AD58" s="235">
        <f t="shared" si="28"/>
        <v>9500</v>
      </c>
      <c r="AE58" s="235">
        <f t="shared" si="29"/>
        <v>7000</v>
      </c>
      <c r="AF58" s="235">
        <f t="shared" si="30"/>
        <v>5000</v>
      </c>
      <c r="AG58" s="235">
        <f t="shared" si="31"/>
        <v>4400</v>
      </c>
      <c r="AH58" s="235">
        <f t="shared" si="32"/>
        <v>4700</v>
      </c>
      <c r="AI58" s="235">
        <f t="shared" si="33"/>
        <v>5900</v>
      </c>
      <c r="AJ58" s="235">
        <f t="shared" si="34"/>
        <v>8400</v>
      </c>
      <c r="AK58" s="460"/>
      <c r="AL58" s="235">
        <f t="shared" si="35"/>
        <v>9800</v>
      </c>
      <c r="AM58" s="235">
        <f t="shared" si="36"/>
        <v>37000</v>
      </c>
      <c r="AN58" s="235">
        <f t="shared" si="37"/>
        <v>63700</v>
      </c>
      <c r="AO58" s="235">
        <f t="shared" si="38"/>
        <v>99900</v>
      </c>
      <c r="AP58" s="235">
        <f t="shared" si="39"/>
        <v>144100</v>
      </c>
      <c r="AQ58" s="235">
        <f t="shared" si="40"/>
        <v>195700</v>
      </c>
      <c r="AR58" s="235">
        <f t="shared" si="41"/>
        <v>330300</v>
      </c>
      <c r="AS58" s="235">
        <f t="shared" si="42"/>
        <v>1997800</v>
      </c>
      <c r="AT58" s="131"/>
      <c r="AU58" s="235">
        <f t="shared" si="43"/>
        <v>75000</v>
      </c>
      <c r="AV58" s="235">
        <f t="shared" si="1"/>
        <v>5000</v>
      </c>
      <c r="AW58" s="235">
        <f t="shared" si="2"/>
        <v>500</v>
      </c>
      <c r="AX58" s="235">
        <f t="shared" si="44"/>
        <v>285400</v>
      </c>
      <c r="AZ58" s="403">
        <f t="shared" si="45"/>
        <v>24.351786965662228</v>
      </c>
    </row>
    <row r="59" spans="1:52">
      <c r="A59" s="215">
        <v>2007</v>
      </c>
      <c r="B59" s="403">
        <f t="shared" si="3"/>
        <v>-211.60714285714283</v>
      </c>
      <c r="C59" s="403">
        <f t="shared" si="4"/>
        <v>-23.017902813299234</v>
      </c>
      <c r="D59" s="403">
        <f t="shared" si="5"/>
        <v>3.9334341906202726</v>
      </c>
      <c r="E59" s="403">
        <f t="shared" si="6"/>
        <v>14.005876591576886</v>
      </c>
      <c r="F59" s="403">
        <f t="shared" si="7"/>
        <v>18.609406952965234</v>
      </c>
      <c r="G59" s="403">
        <f t="shared" si="8"/>
        <v>21.01593625498008</v>
      </c>
      <c r="H59" s="403">
        <f t="shared" si="9"/>
        <v>24.098504837291117</v>
      </c>
      <c r="I59" s="403">
        <f t="shared" si="10"/>
        <v>27.937473274100821</v>
      </c>
      <c r="J59" s="131"/>
      <c r="K59" s="235">
        <f t="shared" si="11"/>
        <v>700</v>
      </c>
      <c r="L59" s="235">
        <f t="shared" si="12"/>
        <v>4900</v>
      </c>
      <c r="M59" s="235">
        <f t="shared" si="13"/>
        <v>11500</v>
      </c>
      <c r="N59" s="235">
        <f t="shared" si="14"/>
        <v>20400</v>
      </c>
      <c r="O59" s="235">
        <f t="shared" si="15"/>
        <v>32600</v>
      </c>
      <c r="P59" s="235">
        <f t="shared" si="16"/>
        <v>47800</v>
      </c>
      <c r="Q59" s="235">
        <f t="shared" si="17"/>
        <v>89200</v>
      </c>
      <c r="R59" s="235">
        <f t="shared" si="18"/>
        <v>596800</v>
      </c>
      <c r="S59" s="235"/>
      <c r="T59" s="235">
        <f t="shared" si="19"/>
        <v>9200</v>
      </c>
      <c r="U59" s="235">
        <f t="shared" si="20"/>
        <v>4100</v>
      </c>
      <c r="V59" s="235">
        <f t="shared" si="21"/>
        <v>1900</v>
      </c>
      <c r="W59" s="235">
        <f t="shared" si="22"/>
        <v>900</v>
      </c>
      <c r="X59" s="235">
        <f t="shared" si="23"/>
        <v>600</v>
      </c>
      <c r="Y59" s="235">
        <f t="shared" si="24"/>
        <v>500</v>
      </c>
      <c r="Z59" s="235">
        <f t="shared" si="25"/>
        <v>500</v>
      </c>
      <c r="AA59" s="235">
        <f t="shared" si="26"/>
        <v>500</v>
      </c>
      <c r="AB59" s="235"/>
      <c r="AC59" s="235">
        <f t="shared" si="27"/>
        <v>15200</v>
      </c>
      <c r="AD59" s="235">
        <f t="shared" si="28"/>
        <v>9800</v>
      </c>
      <c r="AE59" s="235">
        <f t="shared" si="29"/>
        <v>7000</v>
      </c>
      <c r="AF59" s="235">
        <f t="shared" si="30"/>
        <v>5200</v>
      </c>
      <c r="AG59" s="235">
        <f t="shared" si="31"/>
        <v>4700</v>
      </c>
      <c r="AH59" s="235">
        <f t="shared" si="32"/>
        <v>5100</v>
      </c>
      <c r="AI59" s="235">
        <f t="shared" si="33"/>
        <v>6500</v>
      </c>
      <c r="AJ59" s="235">
        <f t="shared" si="34"/>
        <v>8300</v>
      </c>
      <c r="AK59" s="460"/>
      <c r="AL59" s="235">
        <f t="shared" si="35"/>
        <v>11200</v>
      </c>
      <c r="AM59" s="235">
        <f t="shared" si="36"/>
        <v>39100</v>
      </c>
      <c r="AN59" s="235">
        <f t="shared" si="37"/>
        <v>66100</v>
      </c>
      <c r="AO59" s="235">
        <f t="shared" si="38"/>
        <v>102100</v>
      </c>
      <c r="AP59" s="235">
        <f t="shared" si="39"/>
        <v>146700</v>
      </c>
      <c r="AQ59" s="235">
        <f t="shared" si="40"/>
        <v>200800</v>
      </c>
      <c r="AR59" s="235">
        <f t="shared" si="41"/>
        <v>341100</v>
      </c>
      <c r="AS59" s="235">
        <f t="shared" si="42"/>
        <v>2104700</v>
      </c>
      <c r="AT59" s="131"/>
      <c r="AU59" s="235">
        <f t="shared" si="43"/>
        <v>75800</v>
      </c>
      <c r="AV59" s="235">
        <f t="shared" si="1"/>
        <v>5300</v>
      </c>
      <c r="AW59" s="235">
        <f t="shared" si="2"/>
        <v>500</v>
      </c>
      <c r="AX59" s="235">
        <f t="shared" si="44"/>
        <v>296500</v>
      </c>
      <c r="AZ59" s="403">
        <f t="shared" si="45"/>
        <v>23.608768971332207</v>
      </c>
    </row>
    <row r="60" spans="1:52">
      <c r="A60" s="215">
        <v>2008</v>
      </c>
      <c r="B60" s="403">
        <f t="shared" si="3"/>
        <v>-253.92156862745097</v>
      </c>
      <c r="C60" s="403">
        <f t="shared" si="4"/>
        <v>-31.707317073170731</v>
      </c>
      <c r="D60" s="403">
        <f t="shared" si="5"/>
        <v>-0.63191153238546605</v>
      </c>
      <c r="E60" s="403">
        <f t="shared" si="6"/>
        <v>11.457286432160805</v>
      </c>
      <c r="F60" s="403">
        <f t="shared" si="7"/>
        <v>17.303683113273106</v>
      </c>
      <c r="G60" s="403">
        <f t="shared" si="8"/>
        <v>20.226453937210497</v>
      </c>
      <c r="H60" s="403">
        <f t="shared" si="9"/>
        <v>23.616819475181789</v>
      </c>
      <c r="I60" s="403">
        <f t="shared" si="10"/>
        <v>27.721791809867767</v>
      </c>
      <c r="J60" s="131"/>
      <c r="K60" s="235">
        <f t="shared" si="11"/>
        <v>-100</v>
      </c>
      <c r="L60" s="235">
        <f t="shared" si="12"/>
        <v>3100</v>
      </c>
      <c r="M60" s="235">
        <f t="shared" si="13"/>
        <v>9100</v>
      </c>
      <c r="N60" s="235">
        <f t="shared" si="14"/>
        <v>17800</v>
      </c>
      <c r="O60" s="235">
        <f t="shared" si="15"/>
        <v>29800</v>
      </c>
      <c r="P60" s="235">
        <f t="shared" si="16"/>
        <v>44500</v>
      </c>
      <c r="Q60" s="235">
        <f t="shared" si="17"/>
        <v>80200</v>
      </c>
      <c r="R60" s="235">
        <f t="shared" si="18"/>
        <v>484200</v>
      </c>
      <c r="S60" s="235"/>
      <c r="T60" s="235">
        <f t="shared" si="19"/>
        <v>9400</v>
      </c>
      <c r="U60" s="235">
        <f t="shared" si="20"/>
        <v>4500</v>
      </c>
      <c r="V60" s="235">
        <f t="shared" si="21"/>
        <v>2000</v>
      </c>
      <c r="W60" s="235">
        <f t="shared" si="22"/>
        <v>900</v>
      </c>
      <c r="X60" s="235">
        <f t="shared" si="23"/>
        <v>500</v>
      </c>
      <c r="Y60" s="235">
        <f t="shared" si="24"/>
        <v>500</v>
      </c>
      <c r="Z60" s="235">
        <f t="shared" si="25"/>
        <v>500</v>
      </c>
      <c r="AA60" s="235">
        <f t="shared" si="26"/>
        <v>600</v>
      </c>
      <c r="AB60" s="235"/>
      <c r="AC60" s="235">
        <f t="shared" si="27"/>
        <v>16400</v>
      </c>
      <c r="AD60" s="235">
        <f t="shared" si="28"/>
        <v>10300</v>
      </c>
      <c r="AE60" s="235">
        <f t="shared" si="29"/>
        <v>7500</v>
      </c>
      <c r="AF60" s="235">
        <f t="shared" si="30"/>
        <v>5500</v>
      </c>
      <c r="AG60" s="235">
        <f t="shared" si="31"/>
        <v>4400</v>
      </c>
      <c r="AH60" s="235">
        <f t="shared" si="32"/>
        <v>4700</v>
      </c>
      <c r="AI60" s="235">
        <f t="shared" si="33"/>
        <v>5000</v>
      </c>
      <c r="AJ60" s="235">
        <f t="shared" si="34"/>
        <v>7700</v>
      </c>
      <c r="AK60" s="460"/>
      <c r="AL60" s="235">
        <f t="shared" si="35"/>
        <v>10200</v>
      </c>
      <c r="AM60" s="235">
        <f t="shared" si="36"/>
        <v>36900</v>
      </c>
      <c r="AN60" s="235">
        <f t="shared" si="37"/>
        <v>63300</v>
      </c>
      <c r="AO60" s="235">
        <f t="shared" si="38"/>
        <v>99500</v>
      </c>
      <c r="AP60" s="235">
        <f t="shared" si="39"/>
        <v>143900</v>
      </c>
      <c r="AQ60" s="235">
        <f t="shared" si="40"/>
        <v>194300</v>
      </c>
      <c r="AR60" s="235">
        <f t="shared" si="41"/>
        <v>316300</v>
      </c>
      <c r="AS60" s="235">
        <f t="shared" si="42"/>
        <v>1716700</v>
      </c>
      <c r="AT60" s="131"/>
      <c r="AU60" s="235">
        <f t="shared" si="43"/>
        <v>66000</v>
      </c>
      <c r="AV60" s="235">
        <f t="shared" si="1"/>
        <v>4800</v>
      </c>
      <c r="AW60" s="235">
        <f t="shared" si="2"/>
        <v>500</v>
      </c>
      <c r="AX60" s="235">
        <f t="shared" si="44"/>
        <v>268500</v>
      </c>
      <c r="AZ60" s="403">
        <f t="shared" si="45"/>
        <v>22.607076350093109</v>
      </c>
    </row>
    <row r="61" spans="1:52">
      <c r="A61" s="215">
        <v>2009</v>
      </c>
      <c r="B61" s="403">
        <f t="shared" si="3"/>
        <v>-331.0344827586207</v>
      </c>
      <c r="C61" s="403">
        <f t="shared" si="4"/>
        <v>-44.94047619047619</v>
      </c>
      <c r="D61" s="403">
        <f t="shared" si="5"/>
        <v>-4.9751243781094532</v>
      </c>
      <c r="E61" s="403">
        <f t="shared" si="6"/>
        <v>9.801876955161628</v>
      </c>
      <c r="F61" s="403">
        <f t="shared" si="7"/>
        <v>16.415770609318997</v>
      </c>
      <c r="G61" s="403">
        <f t="shared" si="8"/>
        <v>19.478445981905267</v>
      </c>
      <c r="H61" s="403">
        <f t="shared" si="9"/>
        <v>23.011844331641285</v>
      </c>
      <c r="I61" s="403">
        <f t="shared" si="10"/>
        <v>28.330346475507767</v>
      </c>
      <c r="J61" s="131"/>
      <c r="K61" s="235">
        <f t="shared" si="11"/>
        <v>0</v>
      </c>
      <c r="L61" s="235">
        <f t="shared" si="12"/>
        <v>2500</v>
      </c>
      <c r="M61" s="235">
        <f t="shared" si="13"/>
        <v>8500</v>
      </c>
      <c r="N61" s="235">
        <f t="shared" si="14"/>
        <v>17000</v>
      </c>
      <c r="O61" s="235">
        <f t="shared" si="15"/>
        <v>28500</v>
      </c>
      <c r="P61" s="235">
        <f t="shared" si="16"/>
        <v>42300</v>
      </c>
      <c r="Q61" s="235">
        <f t="shared" si="17"/>
        <v>73900</v>
      </c>
      <c r="R61" s="235">
        <f t="shared" si="18"/>
        <v>387900</v>
      </c>
      <c r="S61" s="235"/>
      <c r="T61" s="235">
        <f t="shared" si="19"/>
        <v>10500</v>
      </c>
      <c r="U61" s="235">
        <f t="shared" si="20"/>
        <v>5200</v>
      </c>
      <c r="V61" s="235">
        <f t="shared" si="21"/>
        <v>2400</v>
      </c>
      <c r="W61" s="235">
        <f t="shared" si="22"/>
        <v>1100</v>
      </c>
      <c r="X61" s="235">
        <f t="shared" si="23"/>
        <v>600</v>
      </c>
      <c r="Y61" s="235">
        <f t="shared" si="24"/>
        <v>500</v>
      </c>
      <c r="Z61" s="235">
        <f t="shared" si="25"/>
        <v>500</v>
      </c>
      <c r="AA61" s="235">
        <f t="shared" si="26"/>
        <v>600</v>
      </c>
      <c r="AB61" s="235"/>
      <c r="AC61" s="235">
        <f t="shared" si="27"/>
        <v>18300</v>
      </c>
      <c r="AD61" s="235">
        <f t="shared" si="28"/>
        <v>12400</v>
      </c>
      <c r="AE61" s="235">
        <f t="shared" si="29"/>
        <v>9100</v>
      </c>
      <c r="AF61" s="235">
        <f t="shared" si="30"/>
        <v>6500</v>
      </c>
      <c r="AG61" s="235">
        <f t="shared" si="31"/>
        <v>5000</v>
      </c>
      <c r="AH61" s="235">
        <f t="shared" si="32"/>
        <v>5200</v>
      </c>
      <c r="AI61" s="235">
        <f t="shared" si="33"/>
        <v>5400</v>
      </c>
      <c r="AJ61" s="235">
        <f t="shared" si="34"/>
        <v>7900</v>
      </c>
      <c r="AK61" s="460"/>
      <c r="AL61" s="235">
        <f t="shared" si="35"/>
        <v>8700</v>
      </c>
      <c r="AM61" s="235">
        <f t="shared" si="36"/>
        <v>33600</v>
      </c>
      <c r="AN61" s="235">
        <f t="shared" si="37"/>
        <v>60300</v>
      </c>
      <c r="AO61" s="235">
        <f t="shared" si="38"/>
        <v>95900</v>
      </c>
      <c r="AP61" s="235">
        <f t="shared" si="39"/>
        <v>139500</v>
      </c>
      <c r="AQ61" s="235">
        <f t="shared" si="40"/>
        <v>187900</v>
      </c>
      <c r="AR61" s="235">
        <f t="shared" si="41"/>
        <v>295500</v>
      </c>
      <c r="AS61" s="235">
        <f t="shared" si="42"/>
        <v>1339200</v>
      </c>
      <c r="AT61" s="131"/>
      <c r="AU61" s="235">
        <f t="shared" si="43"/>
        <v>58700</v>
      </c>
      <c r="AV61" s="235">
        <f t="shared" si="1"/>
        <v>5300</v>
      </c>
      <c r="AW61" s="235">
        <f t="shared" si="2"/>
        <v>600</v>
      </c>
      <c r="AX61" s="235">
        <f t="shared" si="44"/>
        <v>241900</v>
      </c>
      <c r="AZ61" s="403">
        <f t="shared" si="45"/>
        <v>21.827201322860688</v>
      </c>
    </row>
    <row r="62" spans="1:52">
      <c r="A62" s="215">
        <v>2010</v>
      </c>
      <c r="B62" s="403">
        <f t="shared" si="3"/>
        <v>-335.29411764705884</v>
      </c>
      <c r="C62" s="403">
        <f t="shared" si="4"/>
        <v>-46.525679758308158</v>
      </c>
      <c r="D62" s="403">
        <f t="shared" si="5"/>
        <v>-5.4054054054054053</v>
      </c>
      <c r="E62" s="403">
        <f t="shared" si="6"/>
        <v>10</v>
      </c>
      <c r="F62" s="403">
        <f t="shared" si="7"/>
        <v>16.750539180445724</v>
      </c>
      <c r="G62" s="403">
        <f t="shared" si="8"/>
        <v>19.989479221462389</v>
      </c>
      <c r="H62" s="403">
        <f t="shared" si="9"/>
        <v>23.651315789473685</v>
      </c>
      <c r="I62" s="403">
        <f t="shared" si="10"/>
        <v>28.862633082316279</v>
      </c>
      <c r="J62" s="131"/>
      <c r="K62" s="235">
        <f t="shared" si="11"/>
        <v>0</v>
      </c>
      <c r="L62" s="235">
        <f t="shared" si="12"/>
        <v>2600</v>
      </c>
      <c r="M62" s="235">
        <f t="shared" si="13"/>
        <v>8700</v>
      </c>
      <c r="N62" s="235">
        <f t="shared" si="14"/>
        <v>17300</v>
      </c>
      <c r="O62" s="235">
        <f t="shared" si="15"/>
        <v>29200</v>
      </c>
      <c r="P62" s="235">
        <f t="shared" si="16"/>
        <v>43700</v>
      </c>
      <c r="Q62" s="235">
        <f t="shared" si="17"/>
        <v>77800</v>
      </c>
      <c r="R62" s="235">
        <f t="shared" si="18"/>
        <v>453400</v>
      </c>
      <c r="S62" s="235"/>
      <c r="T62" s="235">
        <f t="shared" si="19"/>
        <v>10800</v>
      </c>
      <c r="U62" s="235">
        <f t="shared" si="20"/>
        <v>5600</v>
      </c>
      <c r="V62" s="235">
        <f t="shared" si="21"/>
        <v>2500</v>
      </c>
      <c r="W62" s="235">
        <f t="shared" si="22"/>
        <v>1200</v>
      </c>
      <c r="X62" s="235">
        <f t="shared" si="23"/>
        <v>600</v>
      </c>
      <c r="Y62" s="235">
        <f t="shared" si="24"/>
        <v>500</v>
      </c>
      <c r="Z62" s="235">
        <f t="shared" si="25"/>
        <v>400</v>
      </c>
      <c r="AA62" s="235">
        <f t="shared" si="26"/>
        <v>800</v>
      </c>
      <c r="AB62" s="235"/>
      <c r="AC62" s="235">
        <f t="shared" si="27"/>
        <v>17700</v>
      </c>
      <c r="AD62" s="235">
        <f t="shared" si="28"/>
        <v>12400</v>
      </c>
      <c r="AE62" s="235">
        <f t="shared" si="29"/>
        <v>9400</v>
      </c>
      <c r="AF62" s="235">
        <f t="shared" si="30"/>
        <v>6600</v>
      </c>
      <c r="AG62" s="235">
        <f t="shared" si="31"/>
        <v>5300</v>
      </c>
      <c r="AH62" s="235">
        <f t="shared" si="32"/>
        <v>5200</v>
      </c>
      <c r="AI62" s="235">
        <f t="shared" si="33"/>
        <v>5500</v>
      </c>
      <c r="AJ62" s="235">
        <f t="shared" si="34"/>
        <v>8000</v>
      </c>
      <c r="AK62" s="460"/>
      <c r="AL62" s="235">
        <f t="shared" si="35"/>
        <v>8500</v>
      </c>
      <c r="AM62" s="235">
        <f t="shared" si="36"/>
        <v>33100</v>
      </c>
      <c r="AN62" s="235">
        <f t="shared" si="37"/>
        <v>59200</v>
      </c>
      <c r="AO62" s="235">
        <f t="shared" si="38"/>
        <v>95000</v>
      </c>
      <c r="AP62" s="235">
        <f t="shared" si="39"/>
        <v>139100</v>
      </c>
      <c r="AQ62" s="235">
        <f t="shared" si="40"/>
        <v>190100</v>
      </c>
      <c r="AR62" s="235">
        <f t="shared" si="41"/>
        <v>304000</v>
      </c>
      <c r="AS62" s="235">
        <f t="shared" si="42"/>
        <v>1540400</v>
      </c>
      <c r="AT62" s="131"/>
      <c r="AU62" s="235">
        <f t="shared" si="43"/>
        <v>63200</v>
      </c>
      <c r="AV62" s="235">
        <f t="shared" si="1"/>
        <v>5500</v>
      </c>
      <c r="AW62" s="235">
        <f t="shared" si="2"/>
        <v>600</v>
      </c>
      <c r="AX62" s="235">
        <f t="shared" si="44"/>
        <v>253100</v>
      </c>
      <c r="AZ62" s="403">
        <f t="shared" si="45"/>
        <v>22.560252864480443</v>
      </c>
    </row>
    <row r="63" spans="1:52">
      <c r="A63" s="215">
        <v>2011</v>
      </c>
      <c r="B63" s="403">
        <f t="shared" si="3"/>
        <v>-324.41860465116281</v>
      </c>
      <c r="C63" s="403">
        <f t="shared" si="4"/>
        <v>-43.283582089552233</v>
      </c>
      <c r="D63" s="403">
        <f t="shared" si="5"/>
        <v>-4.9069373942470387</v>
      </c>
      <c r="E63" s="403">
        <f t="shared" si="6"/>
        <v>10.157068062827225</v>
      </c>
      <c r="F63" s="403">
        <f t="shared" si="7"/>
        <v>16.24113475177305</v>
      </c>
      <c r="G63" s="403">
        <f t="shared" si="8"/>
        <v>19.438669438669439</v>
      </c>
      <c r="H63" s="403">
        <f t="shared" si="9"/>
        <v>23.037323037323038</v>
      </c>
      <c r="I63" s="403">
        <f t="shared" si="10"/>
        <v>28.62916367903005</v>
      </c>
      <c r="J63" s="131"/>
      <c r="K63" s="235">
        <f t="shared" si="11"/>
        <v>100</v>
      </c>
      <c r="L63" s="235">
        <f t="shared" si="12"/>
        <v>2700</v>
      </c>
      <c r="M63" s="235">
        <f t="shared" si="13"/>
        <v>8600</v>
      </c>
      <c r="N63" s="235">
        <f t="shared" si="14"/>
        <v>17100</v>
      </c>
      <c r="O63" s="235">
        <f t="shared" si="15"/>
        <v>28800</v>
      </c>
      <c r="P63" s="235">
        <f t="shared" si="16"/>
        <v>43000</v>
      </c>
      <c r="Q63" s="235">
        <f t="shared" si="17"/>
        <v>77800</v>
      </c>
      <c r="R63" s="235">
        <f t="shared" si="18"/>
        <v>447900</v>
      </c>
      <c r="S63" s="235"/>
      <c r="T63" s="235">
        <f t="shared" si="19"/>
        <v>10400</v>
      </c>
      <c r="U63" s="235">
        <f t="shared" si="20"/>
        <v>5700</v>
      </c>
      <c r="V63" s="235">
        <f t="shared" si="21"/>
        <v>2600</v>
      </c>
      <c r="W63" s="235">
        <f t="shared" si="22"/>
        <v>1100</v>
      </c>
      <c r="X63" s="235">
        <f t="shared" si="23"/>
        <v>600</v>
      </c>
      <c r="Y63" s="235">
        <f t="shared" si="24"/>
        <v>400</v>
      </c>
      <c r="Z63" s="235">
        <f t="shared" si="25"/>
        <v>500</v>
      </c>
      <c r="AA63" s="235">
        <f t="shared" si="26"/>
        <v>800</v>
      </c>
      <c r="AB63" s="235"/>
      <c r="AC63" s="235">
        <f t="shared" si="27"/>
        <v>17600</v>
      </c>
      <c r="AD63" s="235">
        <f t="shared" si="28"/>
        <v>11500</v>
      </c>
      <c r="AE63" s="235">
        <f t="shared" si="29"/>
        <v>8900</v>
      </c>
      <c r="AF63" s="235">
        <f t="shared" si="30"/>
        <v>6300</v>
      </c>
      <c r="AG63" s="235">
        <f t="shared" si="31"/>
        <v>5300</v>
      </c>
      <c r="AH63" s="235">
        <f t="shared" si="32"/>
        <v>5200</v>
      </c>
      <c r="AI63" s="235">
        <f t="shared" si="33"/>
        <v>5700</v>
      </c>
      <c r="AJ63" s="235">
        <f t="shared" si="34"/>
        <v>7900</v>
      </c>
      <c r="AK63" s="460"/>
      <c r="AL63" s="235">
        <f t="shared" si="35"/>
        <v>8600</v>
      </c>
      <c r="AM63" s="235">
        <f t="shared" si="36"/>
        <v>33500</v>
      </c>
      <c r="AN63" s="235">
        <f t="shared" si="37"/>
        <v>59100</v>
      </c>
      <c r="AO63" s="235">
        <f t="shared" si="38"/>
        <v>95500</v>
      </c>
      <c r="AP63" s="235">
        <f t="shared" si="39"/>
        <v>141000</v>
      </c>
      <c r="AQ63" s="235">
        <f t="shared" si="40"/>
        <v>192400</v>
      </c>
      <c r="AR63" s="235">
        <f t="shared" si="41"/>
        <v>310800</v>
      </c>
      <c r="AS63" s="235">
        <f t="shared" si="42"/>
        <v>1534100</v>
      </c>
      <c r="AT63" s="131"/>
      <c r="AU63" s="235">
        <f t="shared" si="43"/>
        <v>62600</v>
      </c>
      <c r="AV63" s="235">
        <f t="shared" si="1"/>
        <v>5500</v>
      </c>
      <c r="AW63" s="235">
        <f t="shared" si="2"/>
        <v>500</v>
      </c>
      <c r="AX63" s="235">
        <f t="shared" si="44"/>
        <v>256000</v>
      </c>
      <c r="AZ63" s="403">
        <f t="shared" si="45"/>
        <v>22.109375</v>
      </c>
    </row>
    <row r="64" spans="1:52">
      <c r="A64" s="215">
        <v>2012</v>
      </c>
      <c r="B64" s="403">
        <f t="shared" si="3"/>
        <v>-344.44444444444446</v>
      </c>
      <c r="C64" s="403">
        <f t="shared" si="4"/>
        <v>-44.848484848484851</v>
      </c>
      <c r="D64" s="403">
        <f t="shared" si="5"/>
        <v>-4.7377326565143827</v>
      </c>
      <c r="E64" s="403">
        <f t="shared" si="6"/>
        <v>10.449320794148379</v>
      </c>
      <c r="F64" s="403">
        <f t="shared" si="7"/>
        <v>16.373858046380885</v>
      </c>
      <c r="G64" s="403">
        <f t="shared" si="8"/>
        <v>19.630958482829321</v>
      </c>
      <c r="H64" s="403">
        <f t="shared" si="9"/>
        <v>23.646375038237995</v>
      </c>
      <c r="I64" s="403">
        <f t="shared" si="10"/>
        <v>28.199863107460644</v>
      </c>
      <c r="J64" s="131"/>
      <c r="K64" s="235">
        <f t="shared" si="11"/>
        <v>100</v>
      </c>
      <c r="L64" s="235">
        <f t="shared" si="12"/>
        <v>2700</v>
      </c>
      <c r="M64" s="235">
        <f t="shared" si="13"/>
        <v>8700</v>
      </c>
      <c r="N64" s="235">
        <f t="shared" si="14"/>
        <v>17400</v>
      </c>
      <c r="O64" s="235">
        <f t="shared" si="15"/>
        <v>29600</v>
      </c>
      <c r="P64" s="235">
        <f t="shared" si="16"/>
        <v>44400</v>
      </c>
      <c r="Q64" s="235">
        <f t="shared" si="17"/>
        <v>83500</v>
      </c>
      <c r="R64" s="235">
        <f t="shared" si="18"/>
        <v>545100</v>
      </c>
      <c r="S64" s="235"/>
      <c r="T64" s="235">
        <f t="shared" si="19"/>
        <v>10500</v>
      </c>
      <c r="U64" s="235">
        <f t="shared" si="20"/>
        <v>5700</v>
      </c>
      <c r="V64" s="235">
        <f t="shared" si="21"/>
        <v>2500</v>
      </c>
      <c r="W64" s="235">
        <f t="shared" si="22"/>
        <v>1100</v>
      </c>
      <c r="X64" s="235">
        <f t="shared" si="23"/>
        <v>600</v>
      </c>
      <c r="Y64" s="235">
        <f t="shared" si="24"/>
        <v>500</v>
      </c>
      <c r="Z64" s="235">
        <f t="shared" si="25"/>
        <v>400</v>
      </c>
      <c r="AA64" s="235">
        <f t="shared" si="26"/>
        <v>700</v>
      </c>
      <c r="AB64" s="235"/>
      <c r="AC64" s="235">
        <f t="shared" si="27"/>
        <v>17500</v>
      </c>
      <c r="AD64" s="235">
        <f t="shared" si="28"/>
        <v>11800</v>
      </c>
      <c r="AE64" s="235">
        <f t="shared" si="29"/>
        <v>9000</v>
      </c>
      <c r="AF64" s="235">
        <f t="shared" si="30"/>
        <v>6300</v>
      </c>
      <c r="AG64" s="235">
        <f t="shared" si="31"/>
        <v>5700</v>
      </c>
      <c r="AH64" s="235">
        <f t="shared" si="32"/>
        <v>5600</v>
      </c>
      <c r="AI64" s="235">
        <f t="shared" si="33"/>
        <v>5800</v>
      </c>
      <c r="AJ64" s="235">
        <f t="shared" si="34"/>
        <v>8800</v>
      </c>
      <c r="AK64" s="460"/>
      <c r="AL64" s="235">
        <f t="shared" si="35"/>
        <v>8100</v>
      </c>
      <c r="AM64" s="235">
        <f t="shared" si="36"/>
        <v>33000</v>
      </c>
      <c r="AN64" s="235">
        <f t="shared" si="37"/>
        <v>59100</v>
      </c>
      <c r="AO64" s="235">
        <f t="shared" si="38"/>
        <v>95700</v>
      </c>
      <c r="AP64" s="235">
        <f t="shared" si="39"/>
        <v>142300</v>
      </c>
      <c r="AQ64" s="235">
        <f t="shared" si="40"/>
        <v>195100</v>
      </c>
      <c r="AR64" s="235">
        <f t="shared" si="41"/>
        <v>326900</v>
      </c>
      <c r="AS64" s="235">
        <f t="shared" si="42"/>
        <v>1899300</v>
      </c>
      <c r="AT64" s="131"/>
      <c r="AU64" s="235">
        <f t="shared" si="43"/>
        <v>69100</v>
      </c>
      <c r="AV64" s="235">
        <f t="shared" si="1"/>
        <v>5800</v>
      </c>
      <c r="AW64" s="235">
        <f t="shared" si="2"/>
        <v>600</v>
      </c>
      <c r="AX64" s="235">
        <f t="shared" si="44"/>
        <v>277600</v>
      </c>
      <c r="AZ64" s="403">
        <f t="shared" si="45"/>
        <v>22.586455331412104</v>
      </c>
    </row>
    <row r="65" spans="1:54">
      <c r="A65" s="215">
        <v>2013</v>
      </c>
      <c r="B65" s="403">
        <f t="shared" si="3"/>
        <v>-312.35955056179773</v>
      </c>
      <c r="C65" s="403">
        <f t="shared" si="4"/>
        <v>-41.17647058823529</v>
      </c>
      <c r="D65" s="403">
        <f t="shared" si="5"/>
        <v>-2.3102310231023102</v>
      </c>
      <c r="E65" s="403">
        <f t="shared" si="6"/>
        <v>12.053115423901941</v>
      </c>
      <c r="F65" s="403">
        <f t="shared" si="7"/>
        <v>18.269896193771626</v>
      </c>
      <c r="G65" s="403">
        <f t="shared" si="8"/>
        <v>21.559860904123198</v>
      </c>
      <c r="H65" s="403">
        <f t="shared" si="9"/>
        <v>25</v>
      </c>
      <c r="I65" s="403">
        <f t="shared" si="10"/>
        <v>33.289613390793832</v>
      </c>
      <c r="J65" s="131"/>
      <c r="K65" s="235">
        <f t="shared" si="11"/>
        <v>300</v>
      </c>
      <c r="L65" s="235">
        <f t="shared" si="12"/>
        <v>3400</v>
      </c>
      <c r="M65" s="235">
        <f t="shared" si="13"/>
        <v>10000</v>
      </c>
      <c r="N65" s="235">
        <f t="shared" si="14"/>
        <v>19500</v>
      </c>
      <c r="O65" s="235">
        <f t="shared" si="15"/>
        <v>32700</v>
      </c>
      <c r="P65" s="235">
        <f t="shared" si="16"/>
        <v>49200</v>
      </c>
      <c r="Q65" s="235">
        <f t="shared" si="17"/>
        <v>89400</v>
      </c>
      <c r="R65" s="235">
        <f t="shared" si="18"/>
        <v>542100</v>
      </c>
      <c r="S65" s="235"/>
      <c r="T65" s="235">
        <f t="shared" si="19"/>
        <v>10700</v>
      </c>
      <c r="U65" s="235">
        <f t="shared" si="20"/>
        <v>5800</v>
      </c>
      <c r="V65" s="235">
        <f t="shared" si="21"/>
        <v>2600</v>
      </c>
      <c r="W65" s="235">
        <f t="shared" si="22"/>
        <v>1100</v>
      </c>
      <c r="X65" s="235">
        <f t="shared" si="23"/>
        <v>600</v>
      </c>
      <c r="Y65" s="235">
        <f t="shared" si="24"/>
        <v>500</v>
      </c>
      <c r="Z65" s="235">
        <f t="shared" si="25"/>
        <v>400</v>
      </c>
      <c r="AA65" s="235">
        <f t="shared" si="26"/>
        <v>600</v>
      </c>
      <c r="AB65" s="235"/>
      <c r="AC65" s="235">
        <f t="shared" si="27"/>
        <v>17400</v>
      </c>
      <c r="AD65" s="235">
        <f t="shared" si="28"/>
        <v>11600</v>
      </c>
      <c r="AE65" s="235">
        <f t="shared" si="29"/>
        <v>8800</v>
      </c>
      <c r="AF65" s="235">
        <f t="shared" si="30"/>
        <v>6600</v>
      </c>
      <c r="AG65" s="235">
        <f t="shared" si="31"/>
        <v>5700</v>
      </c>
      <c r="AH65" s="235">
        <f t="shared" si="32"/>
        <v>5300</v>
      </c>
      <c r="AI65" s="235">
        <f t="shared" si="33"/>
        <v>6600</v>
      </c>
      <c r="AJ65" s="235">
        <f t="shared" si="34"/>
        <v>8500</v>
      </c>
      <c r="AK65" s="460"/>
      <c r="AL65" s="235">
        <f t="shared" si="35"/>
        <v>8900</v>
      </c>
      <c r="AM65" s="235">
        <f t="shared" si="36"/>
        <v>34000</v>
      </c>
      <c r="AN65" s="235">
        <f t="shared" si="37"/>
        <v>60600</v>
      </c>
      <c r="AO65" s="235">
        <f t="shared" si="38"/>
        <v>97900</v>
      </c>
      <c r="AP65" s="235">
        <f t="shared" si="39"/>
        <v>144500</v>
      </c>
      <c r="AQ65" s="235">
        <f t="shared" si="40"/>
        <v>201300</v>
      </c>
      <c r="AR65" s="235">
        <f t="shared" si="41"/>
        <v>329600</v>
      </c>
      <c r="AS65" s="235">
        <f t="shared" si="42"/>
        <v>1601100</v>
      </c>
      <c r="AT65" s="131"/>
      <c r="AU65" s="235">
        <f t="shared" si="43"/>
        <v>73000</v>
      </c>
      <c r="AV65" s="235">
        <f t="shared" si="1"/>
        <v>5900</v>
      </c>
      <c r="AW65" s="235">
        <f t="shared" si="2"/>
        <v>500</v>
      </c>
      <c r="AX65" s="235">
        <f t="shared" si="44"/>
        <v>266800</v>
      </c>
      <c r="AZ65" s="403">
        <f t="shared" si="45"/>
        <v>24.962518740629687</v>
      </c>
    </row>
    <row r="66" spans="1:54">
      <c r="A66" s="215">
        <v>2014</v>
      </c>
      <c r="B66" s="403">
        <f t="shared" si="3"/>
        <v>-335.29411764705884</v>
      </c>
      <c r="C66" s="403">
        <f t="shared" si="4"/>
        <v>-42.732558139534881</v>
      </c>
      <c r="D66" s="403">
        <f t="shared" si="5"/>
        <v>-2.9079159935379644</v>
      </c>
      <c r="E66" s="403">
        <f t="shared" si="6"/>
        <v>11.823647294589177</v>
      </c>
      <c r="F66" s="403">
        <f t="shared" si="7"/>
        <v>18.52603110209601</v>
      </c>
      <c r="G66" s="403">
        <f t="shared" si="8"/>
        <v>21.592574499267219</v>
      </c>
      <c r="H66" s="403">
        <f t="shared" si="9"/>
        <v>25.372698041508329</v>
      </c>
      <c r="I66" s="403">
        <f t="shared" si="10"/>
        <v>33.285182510139457</v>
      </c>
      <c r="J66" s="131"/>
      <c r="K66" s="235">
        <f t="shared" si="11"/>
        <v>200</v>
      </c>
      <c r="L66" s="235">
        <f t="shared" si="12"/>
        <v>3400</v>
      </c>
      <c r="M66" s="235">
        <f t="shared" si="13"/>
        <v>10300</v>
      </c>
      <c r="N66" s="235">
        <f t="shared" si="14"/>
        <v>20200</v>
      </c>
      <c r="O66" s="235">
        <f t="shared" si="15"/>
        <v>33900</v>
      </c>
      <c r="P66" s="235">
        <f t="shared" si="16"/>
        <v>50800</v>
      </c>
      <c r="Q66" s="235">
        <f t="shared" si="17"/>
        <v>94400</v>
      </c>
      <c r="R66" s="235">
        <f t="shared" si="18"/>
        <v>608400</v>
      </c>
      <c r="S66" s="235"/>
      <c r="T66" s="235">
        <f t="shared" si="19"/>
        <v>11800</v>
      </c>
      <c r="U66" s="235">
        <f t="shared" si="20"/>
        <v>6800</v>
      </c>
      <c r="V66" s="235">
        <f t="shared" si="21"/>
        <v>3200</v>
      </c>
      <c r="W66" s="235">
        <f t="shared" si="22"/>
        <v>1500</v>
      </c>
      <c r="X66" s="235">
        <f t="shared" si="23"/>
        <v>800</v>
      </c>
      <c r="Y66" s="235">
        <f t="shared" si="24"/>
        <v>600</v>
      </c>
      <c r="Z66" s="235">
        <f t="shared" si="25"/>
        <v>600</v>
      </c>
      <c r="AA66" s="235">
        <f t="shared" si="26"/>
        <v>900</v>
      </c>
      <c r="AB66" s="235"/>
      <c r="AC66" s="235">
        <f t="shared" si="27"/>
        <v>16900</v>
      </c>
      <c r="AD66" s="235">
        <f t="shared" si="28"/>
        <v>11300</v>
      </c>
      <c r="AE66" s="235">
        <f t="shared" si="29"/>
        <v>8900</v>
      </c>
      <c r="AF66" s="235">
        <f t="shared" si="30"/>
        <v>6900</v>
      </c>
      <c r="AG66" s="235">
        <f t="shared" si="31"/>
        <v>5700</v>
      </c>
      <c r="AH66" s="235">
        <f t="shared" si="32"/>
        <v>6000</v>
      </c>
      <c r="AI66" s="235">
        <f t="shared" si="33"/>
        <v>7000</v>
      </c>
      <c r="AJ66" s="235">
        <f t="shared" si="34"/>
        <v>8400</v>
      </c>
      <c r="AK66" s="460"/>
      <c r="AL66" s="235">
        <f t="shared" si="35"/>
        <v>8500</v>
      </c>
      <c r="AM66" s="235">
        <f t="shared" si="36"/>
        <v>34400</v>
      </c>
      <c r="AN66" s="235">
        <f t="shared" si="37"/>
        <v>61900</v>
      </c>
      <c r="AO66" s="235">
        <f t="shared" si="38"/>
        <v>99800</v>
      </c>
      <c r="AP66" s="235">
        <f t="shared" si="39"/>
        <v>147900</v>
      </c>
      <c r="AQ66" s="235">
        <f t="shared" si="40"/>
        <v>204700</v>
      </c>
      <c r="AR66" s="235">
        <f t="shared" si="41"/>
        <v>342100</v>
      </c>
      <c r="AS66" s="235">
        <f t="shared" si="42"/>
        <v>1799900</v>
      </c>
      <c r="AT66" s="131"/>
      <c r="AU66" s="235">
        <f t="shared" si="43"/>
        <v>78400</v>
      </c>
      <c r="AV66" s="235">
        <f t="shared" si="1"/>
        <v>6200</v>
      </c>
      <c r="AW66" s="235">
        <f t="shared" si="2"/>
        <v>700</v>
      </c>
      <c r="AX66" s="235">
        <f t="shared" si="44"/>
        <v>282000</v>
      </c>
      <c r="AZ66" s="403">
        <f t="shared" si="45"/>
        <v>25.354609929078016</v>
      </c>
    </row>
    <row r="67" spans="1:54">
      <c r="A67" s="215">
        <v>2015</v>
      </c>
      <c r="B67" s="403">
        <f t="shared" si="3"/>
        <v>-328.88888888888886</v>
      </c>
      <c r="C67" s="403">
        <f t="shared" si="4"/>
        <v>-42.541436464088399</v>
      </c>
      <c r="D67" s="403">
        <f t="shared" si="5"/>
        <v>-3.1298904538341157</v>
      </c>
      <c r="E67" s="403">
        <f t="shared" si="6"/>
        <v>12.100677637947726</v>
      </c>
      <c r="F67" s="403">
        <f t="shared" si="7"/>
        <v>18.790637191157348</v>
      </c>
      <c r="G67" s="403">
        <f t="shared" si="8"/>
        <v>21.728861596598961</v>
      </c>
      <c r="H67" s="403">
        <f t="shared" si="9"/>
        <v>25.478065241844771</v>
      </c>
      <c r="I67" s="403">
        <f t="shared" si="10"/>
        <v>32.97787256731538</v>
      </c>
      <c r="J67" s="131"/>
      <c r="K67" s="235">
        <f t="shared" si="11"/>
        <v>100</v>
      </c>
      <c r="L67" s="235">
        <f t="shared" si="12"/>
        <v>3700</v>
      </c>
      <c r="M67" s="235">
        <f t="shared" si="13"/>
        <v>10700</v>
      </c>
      <c r="N67" s="235">
        <f t="shared" si="14"/>
        <v>21000</v>
      </c>
      <c r="O67" s="235">
        <f t="shared" si="15"/>
        <v>35500</v>
      </c>
      <c r="P67" s="235">
        <f t="shared" si="16"/>
        <v>52700</v>
      </c>
      <c r="Q67" s="235">
        <f t="shared" si="17"/>
        <v>98200</v>
      </c>
      <c r="R67" s="235">
        <f t="shared" si="18"/>
        <v>628900</v>
      </c>
      <c r="S67" s="235"/>
      <c r="T67" s="235">
        <f t="shared" si="19"/>
        <v>12000</v>
      </c>
      <c r="U67" s="235">
        <f t="shared" si="20"/>
        <v>7600</v>
      </c>
      <c r="V67" s="235">
        <f t="shared" si="21"/>
        <v>3600</v>
      </c>
      <c r="W67" s="235">
        <f t="shared" si="22"/>
        <v>1700</v>
      </c>
      <c r="X67" s="235">
        <f t="shared" si="23"/>
        <v>900</v>
      </c>
      <c r="Y67" s="235">
        <f t="shared" si="24"/>
        <v>800</v>
      </c>
      <c r="Z67" s="235">
        <f t="shared" si="25"/>
        <v>800</v>
      </c>
      <c r="AA67" s="235">
        <f t="shared" si="26"/>
        <v>1000</v>
      </c>
      <c r="AB67" s="235"/>
      <c r="AC67" s="235">
        <f t="shared" si="27"/>
        <v>17700</v>
      </c>
      <c r="AD67" s="235">
        <f t="shared" si="28"/>
        <v>11500</v>
      </c>
      <c r="AE67" s="235">
        <f t="shared" si="29"/>
        <v>9100</v>
      </c>
      <c r="AF67" s="235">
        <f t="shared" si="30"/>
        <v>6800</v>
      </c>
      <c r="AG67" s="235">
        <f t="shared" si="31"/>
        <v>5700</v>
      </c>
      <c r="AH67" s="235">
        <f t="shared" si="32"/>
        <v>5900</v>
      </c>
      <c r="AI67" s="235">
        <f t="shared" si="33"/>
        <v>6800</v>
      </c>
      <c r="AJ67" s="235">
        <f t="shared" si="34"/>
        <v>9400</v>
      </c>
      <c r="AK67" s="460"/>
      <c r="AL67" s="235">
        <f t="shared" si="35"/>
        <v>9000</v>
      </c>
      <c r="AM67" s="235">
        <f t="shared" si="36"/>
        <v>36200</v>
      </c>
      <c r="AN67" s="235">
        <f t="shared" si="37"/>
        <v>63900</v>
      </c>
      <c r="AO67" s="235">
        <f t="shared" si="38"/>
        <v>103300</v>
      </c>
      <c r="AP67" s="235">
        <f t="shared" si="39"/>
        <v>153800</v>
      </c>
      <c r="AQ67" s="235">
        <f t="shared" si="40"/>
        <v>211700</v>
      </c>
      <c r="AR67" s="235">
        <f t="shared" si="41"/>
        <v>355600</v>
      </c>
      <c r="AS67" s="235">
        <f t="shared" si="42"/>
        <v>1875500</v>
      </c>
      <c r="AT67" s="131"/>
      <c r="AU67" s="235">
        <f t="shared" si="43"/>
        <v>81200</v>
      </c>
      <c r="AV67" s="235">
        <f t="shared" si="1"/>
        <v>6200</v>
      </c>
      <c r="AW67" s="235">
        <f t="shared" si="2"/>
        <v>900</v>
      </c>
      <c r="AX67" s="235">
        <f t="shared" si="44"/>
        <v>292400</v>
      </c>
      <c r="AZ67" s="403">
        <f t="shared" si="45"/>
        <v>25.341997264021888</v>
      </c>
    </row>
    <row r="68" spans="1:54">
      <c r="A68" s="215">
        <v>2016</v>
      </c>
      <c r="B68" s="403">
        <f t="shared" si="3"/>
        <v>-337.07865168539325</v>
      </c>
      <c r="C68" s="403">
        <f t="shared" si="4"/>
        <v>-43.442622950819668</v>
      </c>
      <c r="D68" s="403">
        <f t="shared" si="5"/>
        <v>-2.9503105590062111</v>
      </c>
      <c r="E68" s="403">
        <f t="shared" si="6"/>
        <v>11.980676328502415</v>
      </c>
      <c r="F68" s="403">
        <f t="shared" si="7"/>
        <v>18.523316062176164</v>
      </c>
      <c r="G68" s="403">
        <f t="shared" si="8"/>
        <v>21.665886757136171</v>
      </c>
      <c r="H68" s="403">
        <f t="shared" si="9"/>
        <v>25.449943757030368</v>
      </c>
      <c r="I68" s="403">
        <f t="shared" si="10"/>
        <v>32.949977668602052</v>
      </c>
      <c r="J68" s="131"/>
      <c r="K68" s="235">
        <f t="shared" si="11"/>
        <v>100</v>
      </c>
      <c r="L68" s="235">
        <f t="shared" si="12"/>
        <v>3700</v>
      </c>
      <c r="M68" s="235">
        <f t="shared" si="13"/>
        <v>10800</v>
      </c>
      <c r="N68" s="235">
        <f t="shared" si="14"/>
        <v>21100</v>
      </c>
      <c r="O68" s="235">
        <f t="shared" si="15"/>
        <v>35600</v>
      </c>
      <c r="P68" s="235">
        <f t="shared" si="16"/>
        <v>53200</v>
      </c>
      <c r="Q68" s="235">
        <f t="shared" si="17"/>
        <v>98300</v>
      </c>
      <c r="R68" s="235">
        <f t="shared" si="18"/>
        <v>600000</v>
      </c>
      <c r="S68" s="235"/>
      <c r="T68" s="235">
        <f t="shared" si="19"/>
        <v>12000</v>
      </c>
      <c r="U68" s="235">
        <f t="shared" si="20"/>
        <v>7700</v>
      </c>
      <c r="V68" s="235">
        <f t="shared" si="21"/>
        <v>3700</v>
      </c>
      <c r="W68" s="235">
        <f t="shared" si="22"/>
        <v>1800</v>
      </c>
      <c r="X68" s="235">
        <f t="shared" si="23"/>
        <v>1100</v>
      </c>
      <c r="Y68" s="235">
        <f t="shared" si="24"/>
        <v>900</v>
      </c>
      <c r="Z68" s="235">
        <f t="shared" si="25"/>
        <v>800</v>
      </c>
      <c r="AA68" s="235">
        <f t="shared" si="26"/>
        <v>1100</v>
      </c>
      <c r="AB68" s="235"/>
      <c r="AC68" s="235">
        <f t="shared" si="27"/>
        <v>18100</v>
      </c>
      <c r="AD68" s="235">
        <f t="shared" si="28"/>
        <v>11900</v>
      </c>
      <c r="AE68" s="235">
        <f t="shared" si="29"/>
        <v>9000</v>
      </c>
      <c r="AF68" s="235">
        <f t="shared" si="30"/>
        <v>6900</v>
      </c>
      <c r="AG68" s="235">
        <f t="shared" si="31"/>
        <v>5900</v>
      </c>
      <c r="AH68" s="235">
        <f t="shared" si="32"/>
        <v>6000</v>
      </c>
      <c r="AI68" s="235">
        <f t="shared" si="33"/>
        <v>7000</v>
      </c>
      <c r="AJ68" s="235">
        <f t="shared" si="34"/>
        <v>8700</v>
      </c>
      <c r="AK68" s="460"/>
      <c r="AL68" s="235">
        <f t="shared" si="35"/>
        <v>8900</v>
      </c>
      <c r="AM68" s="235">
        <f t="shared" si="36"/>
        <v>36600</v>
      </c>
      <c r="AN68" s="235">
        <f t="shared" si="37"/>
        <v>64400</v>
      </c>
      <c r="AO68" s="235">
        <f t="shared" si="38"/>
        <v>103500</v>
      </c>
      <c r="AP68" s="235">
        <f t="shared" si="39"/>
        <v>154400</v>
      </c>
      <c r="AQ68" s="235">
        <f t="shared" si="40"/>
        <v>213700</v>
      </c>
      <c r="AR68" s="235">
        <f t="shared" si="41"/>
        <v>355600</v>
      </c>
      <c r="AS68" s="235">
        <f t="shared" si="42"/>
        <v>1791200</v>
      </c>
      <c r="AT68" s="131"/>
      <c r="AU68" s="235">
        <f t="shared" si="43"/>
        <v>79800</v>
      </c>
      <c r="AV68" s="235">
        <f t="shared" si="1"/>
        <v>6300</v>
      </c>
      <c r="AW68" s="235">
        <f t="shared" si="2"/>
        <v>1000</v>
      </c>
      <c r="AX68" s="235">
        <f t="shared" si="44"/>
        <v>288400</v>
      </c>
      <c r="AZ68" s="403">
        <f t="shared" si="45"/>
        <v>25.138696255201111</v>
      </c>
    </row>
    <row r="69" spans="1:54">
      <c r="A69" s="215">
        <v>2017</v>
      </c>
      <c r="B69" s="39"/>
      <c r="C69" s="39"/>
      <c r="D69" s="39"/>
      <c r="E69" s="39"/>
      <c r="F69" s="39"/>
      <c r="G69" s="39"/>
      <c r="H69" s="39"/>
      <c r="I69" s="39"/>
      <c r="J69" s="131"/>
      <c r="K69" s="235"/>
      <c r="L69" s="235"/>
      <c r="M69" s="235"/>
      <c r="N69" s="235"/>
      <c r="O69" s="235"/>
      <c r="P69" s="235"/>
      <c r="Q69" s="235"/>
      <c r="R69" s="235"/>
      <c r="S69" s="235"/>
      <c r="T69" s="235"/>
      <c r="U69" s="235"/>
      <c r="V69" s="235"/>
      <c r="W69" s="235"/>
      <c r="X69" s="235"/>
      <c r="Y69" s="235"/>
      <c r="Z69" s="235"/>
      <c r="AA69" s="235"/>
      <c r="AB69" s="235"/>
      <c r="AC69" s="235"/>
      <c r="AD69" s="235"/>
      <c r="AE69" s="235"/>
      <c r="AF69" s="235"/>
      <c r="AG69" s="235"/>
      <c r="AH69" s="235"/>
      <c r="AI69" s="235"/>
      <c r="AJ69" s="235"/>
      <c r="AK69" s="131"/>
      <c r="AL69" s="235"/>
      <c r="AM69" s="235"/>
      <c r="AN69" s="235"/>
      <c r="AO69" s="235"/>
      <c r="AP69" s="235"/>
      <c r="AQ69" s="235"/>
      <c r="AR69" s="235"/>
      <c r="AS69" s="235"/>
      <c r="AT69" s="131"/>
      <c r="AU69" s="235"/>
      <c r="AV69" s="235"/>
      <c r="AW69" s="235"/>
      <c r="AX69" s="235"/>
    </row>
    <row r="70" spans="1:54">
      <c r="A70" s="215">
        <v>2018</v>
      </c>
      <c r="B70" s="39"/>
      <c r="C70" s="39"/>
      <c r="D70" s="39"/>
      <c r="E70" s="39"/>
      <c r="F70" s="39"/>
      <c r="G70" s="39"/>
      <c r="H70" s="39"/>
      <c r="I70" s="39"/>
      <c r="J70" s="131"/>
      <c r="K70" s="235"/>
      <c r="L70" s="235"/>
      <c r="M70" s="235"/>
      <c r="N70" s="235"/>
      <c r="O70" s="235"/>
      <c r="P70" s="235"/>
      <c r="Q70" s="235"/>
      <c r="R70" s="235"/>
      <c r="S70" s="235"/>
      <c r="T70" s="235"/>
      <c r="U70" s="235"/>
      <c r="V70" s="235"/>
      <c r="W70" s="235"/>
      <c r="X70" s="235"/>
      <c r="Y70" s="235"/>
      <c r="Z70" s="235"/>
      <c r="AA70" s="235"/>
      <c r="AB70" s="235"/>
      <c r="AC70" s="235"/>
      <c r="AD70" s="235"/>
      <c r="AE70" s="235"/>
      <c r="AF70" s="235"/>
      <c r="AG70" s="235"/>
      <c r="AH70" s="235"/>
      <c r="AI70" s="235"/>
      <c r="AJ70" s="235"/>
      <c r="AK70" s="131"/>
      <c r="AL70" s="235"/>
      <c r="AM70" s="235"/>
      <c r="AN70" s="235"/>
      <c r="AO70" s="235"/>
      <c r="AP70" s="235"/>
      <c r="AQ70" s="235"/>
      <c r="AR70" s="235"/>
      <c r="AS70" s="235"/>
      <c r="AT70" s="131"/>
      <c r="AU70" s="235"/>
      <c r="AV70" s="235"/>
      <c r="AW70" s="235"/>
      <c r="AX70" s="235"/>
    </row>
    <row r="71" spans="1:54">
      <c r="A71" s="215">
        <v>2019</v>
      </c>
      <c r="B71" s="39"/>
      <c r="C71" s="39"/>
      <c r="D71" s="39"/>
      <c r="E71" s="39"/>
      <c r="F71" s="39"/>
      <c r="G71" s="39"/>
      <c r="H71" s="39"/>
      <c r="I71" s="39"/>
      <c r="J71" s="131"/>
      <c r="K71" s="235"/>
      <c r="L71" s="235"/>
      <c r="M71" s="235"/>
      <c r="N71" s="235"/>
      <c r="O71" s="235"/>
      <c r="P71" s="235"/>
      <c r="Q71" s="235"/>
      <c r="R71" s="235"/>
      <c r="S71" s="235"/>
      <c r="T71" s="235"/>
      <c r="U71" s="235"/>
      <c r="V71" s="235"/>
      <c r="W71" s="235"/>
      <c r="X71" s="235"/>
      <c r="Y71" s="235"/>
      <c r="Z71" s="235"/>
      <c r="AA71" s="235"/>
      <c r="AB71" s="235"/>
      <c r="AC71" s="235"/>
      <c r="AD71" s="235"/>
      <c r="AE71" s="235"/>
      <c r="AF71" s="235"/>
      <c r="AG71" s="235"/>
      <c r="AH71" s="235"/>
      <c r="AI71" s="235"/>
      <c r="AJ71" s="235"/>
      <c r="AK71" s="131"/>
      <c r="AL71" s="235"/>
      <c r="AM71" s="235"/>
      <c r="AN71" s="235"/>
      <c r="AO71" s="235"/>
      <c r="AP71" s="235"/>
      <c r="AQ71" s="235"/>
      <c r="AR71" s="235"/>
      <c r="AS71" s="235"/>
      <c r="AT71" s="131"/>
      <c r="AU71" s="235"/>
      <c r="AV71" s="235"/>
      <c r="AW71" s="235"/>
      <c r="AX71" s="235"/>
    </row>
    <row r="73" spans="1:54">
      <c r="A73" s="11" t="s">
        <v>154</v>
      </c>
      <c r="B73" s="450">
        <f>B68-B31</f>
        <v>-163.39444115907745</v>
      </c>
      <c r="C73" s="450">
        <f t="shared" ref="C73:I73" si="46">C68-C31</f>
        <v>-43.742024148424456</v>
      </c>
      <c r="D73" s="450">
        <f t="shared" si="46"/>
        <v>-17.366368953166795</v>
      </c>
      <c r="E73" s="450">
        <f t="shared" si="46"/>
        <v>-7.6504172156346044</v>
      </c>
      <c r="F73" s="450">
        <f t="shared" si="46"/>
        <v>-3.8782984686008284</v>
      </c>
      <c r="G73" s="450">
        <f t="shared" si="46"/>
        <v>-2.5592355919666012</v>
      </c>
      <c r="H73" s="450">
        <f t="shared" si="46"/>
        <v>-0.64679415073116076</v>
      </c>
      <c r="I73" s="450">
        <f t="shared" si="46"/>
        <v>-1.5254350777142918</v>
      </c>
      <c r="AY73" s="140" t="s">
        <v>154</v>
      </c>
      <c r="AZ73" s="450">
        <f>AZ68-AZ31</f>
        <v>-0.94526795677411357</v>
      </c>
      <c r="BA73" s="450"/>
      <c r="BB73" s="450"/>
    </row>
    <row r="77" spans="1:54">
      <c r="A77" s="9" t="s">
        <v>473</v>
      </c>
      <c r="N77" t="s">
        <v>478</v>
      </c>
    </row>
    <row r="78" spans="1:54">
      <c r="A78" s="460" t="s">
        <v>435</v>
      </c>
      <c r="B78" s="460" t="s">
        <v>436</v>
      </c>
      <c r="C78" s="460" t="s">
        <v>437</v>
      </c>
      <c r="D78" s="460" t="s">
        <v>470</v>
      </c>
      <c r="E78" s="460" t="s">
        <v>471</v>
      </c>
      <c r="F78" s="460" t="s">
        <v>472</v>
      </c>
      <c r="G78" s="460" t="s">
        <v>438</v>
      </c>
      <c r="H78" s="555" t="s">
        <v>593</v>
      </c>
      <c r="I78" s="556" t="s">
        <v>594</v>
      </c>
      <c r="K78" t="s">
        <v>595</v>
      </c>
      <c r="N78" s="461" t="s">
        <v>479</v>
      </c>
      <c r="O78" s="462" t="s">
        <v>480</v>
      </c>
    </row>
    <row r="79" spans="1:54">
      <c r="A79" s="460" t="s">
        <v>443</v>
      </c>
      <c r="B79" s="460" t="s">
        <v>444</v>
      </c>
      <c r="C79" s="460">
        <v>1979</v>
      </c>
      <c r="D79" s="460">
        <v>14800</v>
      </c>
      <c r="E79" s="460">
        <v>61400</v>
      </c>
      <c r="F79" s="460">
        <v>4600</v>
      </c>
      <c r="G79" s="460">
        <v>1400</v>
      </c>
      <c r="H79" s="555">
        <v>81.099999999999994</v>
      </c>
      <c r="I79" s="556">
        <v>4600</v>
      </c>
      <c r="K79" s="148">
        <f>D79-I79</f>
        <v>10200</v>
      </c>
      <c r="N79" s="461">
        <v>100</v>
      </c>
      <c r="O79" s="462">
        <v>100</v>
      </c>
    </row>
    <row r="80" spans="1:54">
      <c r="A80" s="460" t="s">
        <v>443</v>
      </c>
      <c r="B80" s="460" t="s">
        <v>444</v>
      </c>
      <c r="C80" s="460">
        <v>1980</v>
      </c>
      <c r="D80" s="460">
        <v>14400</v>
      </c>
      <c r="E80" s="460">
        <v>59100</v>
      </c>
      <c r="F80" s="460">
        <v>4900</v>
      </c>
      <c r="G80" s="460">
        <v>1500</v>
      </c>
      <c r="H80" s="555">
        <v>82.6</v>
      </c>
      <c r="I80" s="556">
        <v>4500</v>
      </c>
      <c r="K80" s="148">
        <f t="shared" ref="K80:K143" si="47">D80-I80</f>
        <v>9900</v>
      </c>
      <c r="N80" s="461">
        <v>100</v>
      </c>
      <c r="O80" s="462">
        <v>100</v>
      </c>
    </row>
    <row r="81" spans="1:15">
      <c r="A81" s="460" t="s">
        <v>443</v>
      </c>
      <c r="B81" s="460" t="s">
        <v>444</v>
      </c>
      <c r="C81" s="460">
        <v>1981</v>
      </c>
      <c r="D81" s="460">
        <v>14500</v>
      </c>
      <c r="E81" s="460">
        <v>59100</v>
      </c>
      <c r="F81" s="460">
        <v>5200</v>
      </c>
      <c r="G81" s="460">
        <v>1500</v>
      </c>
      <c r="H81" s="555">
        <v>83.8</v>
      </c>
      <c r="I81" s="556">
        <v>4800</v>
      </c>
      <c r="K81" s="148">
        <f t="shared" si="47"/>
        <v>9700</v>
      </c>
      <c r="N81" s="461">
        <v>100</v>
      </c>
      <c r="O81" s="462">
        <v>100</v>
      </c>
    </row>
    <row r="82" spans="1:15">
      <c r="A82" s="460" t="s">
        <v>443</v>
      </c>
      <c r="B82" s="460" t="s">
        <v>444</v>
      </c>
      <c r="C82" s="460">
        <v>1982</v>
      </c>
      <c r="D82" s="460">
        <v>13400</v>
      </c>
      <c r="E82" s="460">
        <v>58700</v>
      </c>
      <c r="F82" s="460">
        <v>5700</v>
      </c>
      <c r="G82" s="460">
        <v>1500</v>
      </c>
      <c r="H82" s="555">
        <v>84.3</v>
      </c>
      <c r="I82" s="556">
        <v>4900</v>
      </c>
      <c r="K82" s="148">
        <f t="shared" si="47"/>
        <v>8500</v>
      </c>
      <c r="N82" s="461">
        <v>100</v>
      </c>
      <c r="O82" s="462">
        <v>100</v>
      </c>
    </row>
    <row r="83" spans="1:15">
      <c r="A83" s="460" t="s">
        <v>443</v>
      </c>
      <c r="B83" s="460" t="s">
        <v>444</v>
      </c>
      <c r="C83" s="460">
        <v>1983</v>
      </c>
      <c r="D83" s="460">
        <v>13300</v>
      </c>
      <c r="E83" s="460">
        <v>59300</v>
      </c>
      <c r="F83" s="460">
        <v>5800</v>
      </c>
      <c r="G83" s="460">
        <v>1500</v>
      </c>
      <c r="H83" s="555">
        <v>85.8</v>
      </c>
      <c r="I83" s="556">
        <v>4900</v>
      </c>
      <c r="K83" s="148">
        <f t="shared" si="47"/>
        <v>8400</v>
      </c>
      <c r="N83" s="461">
        <v>100</v>
      </c>
      <c r="O83" s="462">
        <v>100</v>
      </c>
    </row>
    <row r="84" spans="1:15">
      <c r="A84" s="460" t="s">
        <v>443</v>
      </c>
      <c r="B84" s="460" t="s">
        <v>444</v>
      </c>
      <c r="C84" s="460">
        <v>1984</v>
      </c>
      <c r="D84" s="460">
        <v>14300</v>
      </c>
      <c r="E84" s="460">
        <v>63100</v>
      </c>
      <c r="F84" s="460">
        <v>5600</v>
      </c>
      <c r="G84" s="460">
        <v>1500</v>
      </c>
      <c r="H84" s="555">
        <v>87.2</v>
      </c>
      <c r="I84" s="556">
        <v>5300</v>
      </c>
      <c r="K84" s="148">
        <f t="shared" si="47"/>
        <v>9000</v>
      </c>
      <c r="N84" s="461">
        <v>100</v>
      </c>
      <c r="O84" s="462">
        <v>100</v>
      </c>
    </row>
    <row r="85" spans="1:15">
      <c r="A85" s="460" t="s">
        <v>443</v>
      </c>
      <c r="B85" s="460" t="s">
        <v>444</v>
      </c>
      <c r="C85" s="460">
        <v>1985</v>
      </c>
      <c r="D85" s="460">
        <v>14600</v>
      </c>
      <c r="E85" s="460">
        <v>64100</v>
      </c>
      <c r="F85" s="460">
        <v>5700</v>
      </c>
      <c r="G85" s="460">
        <v>1600</v>
      </c>
      <c r="H85" s="555">
        <v>88.8</v>
      </c>
      <c r="I85" s="556">
        <v>5500</v>
      </c>
      <c r="K85" s="148">
        <f t="shared" si="47"/>
        <v>9100</v>
      </c>
      <c r="N85" s="461">
        <v>100</v>
      </c>
      <c r="O85" s="462">
        <v>100</v>
      </c>
    </row>
    <row r="86" spans="1:15">
      <c r="A86" s="460" t="s">
        <v>443</v>
      </c>
      <c r="B86" s="460" t="s">
        <v>444</v>
      </c>
      <c r="C86" s="460">
        <v>1986</v>
      </c>
      <c r="D86" s="460">
        <v>15600</v>
      </c>
      <c r="E86" s="460">
        <v>68700</v>
      </c>
      <c r="F86" s="460">
        <v>5900</v>
      </c>
      <c r="G86" s="460">
        <v>1600</v>
      </c>
      <c r="H86" s="555">
        <v>89.9</v>
      </c>
      <c r="I86" s="556">
        <v>5800</v>
      </c>
      <c r="K86" s="148">
        <f t="shared" si="47"/>
        <v>9800</v>
      </c>
      <c r="N86" s="461">
        <v>100</v>
      </c>
      <c r="O86" s="462">
        <v>100</v>
      </c>
    </row>
    <row r="87" spans="1:15">
      <c r="A87" s="460" t="s">
        <v>443</v>
      </c>
      <c r="B87" s="460" t="s">
        <v>444</v>
      </c>
      <c r="C87" s="460">
        <v>1987</v>
      </c>
      <c r="D87" s="460">
        <v>15700</v>
      </c>
      <c r="E87" s="460">
        <v>66400</v>
      </c>
      <c r="F87" s="460">
        <v>5800</v>
      </c>
      <c r="G87" s="460">
        <v>1600</v>
      </c>
      <c r="H87" s="555">
        <v>91.4</v>
      </c>
      <c r="I87" s="556">
        <v>5800</v>
      </c>
      <c r="K87" s="148">
        <f t="shared" si="47"/>
        <v>9900</v>
      </c>
      <c r="N87" s="461">
        <v>100</v>
      </c>
      <c r="O87" s="462">
        <v>100</v>
      </c>
    </row>
    <row r="88" spans="1:15">
      <c r="A88" s="460" t="s">
        <v>443</v>
      </c>
      <c r="B88" s="460" t="s">
        <v>444</v>
      </c>
      <c r="C88" s="460">
        <v>1988</v>
      </c>
      <c r="D88" s="460">
        <v>16500</v>
      </c>
      <c r="E88" s="460">
        <v>69400</v>
      </c>
      <c r="F88" s="460">
        <v>5800</v>
      </c>
      <c r="G88" s="460">
        <v>1600</v>
      </c>
      <c r="H88" s="555">
        <v>93.1</v>
      </c>
      <c r="I88" s="556">
        <v>6100</v>
      </c>
      <c r="K88" s="148">
        <f t="shared" si="47"/>
        <v>10400</v>
      </c>
      <c r="N88" s="461">
        <v>100</v>
      </c>
      <c r="O88" s="462">
        <v>100</v>
      </c>
    </row>
    <row r="89" spans="1:15">
      <c r="A89" s="460" t="s">
        <v>443</v>
      </c>
      <c r="B89" s="460" t="s">
        <v>444</v>
      </c>
      <c r="C89" s="460">
        <v>1989</v>
      </c>
      <c r="D89" s="460">
        <v>16400</v>
      </c>
      <c r="E89" s="460">
        <v>69800</v>
      </c>
      <c r="F89" s="460">
        <v>5900</v>
      </c>
      <c r="G89" s="460">
        <v>1700</v>
      </c>
      <c r="H89" s="555">
        <v>93.6</v>
      </c>
      <c r="I89" s="556">
        <v>6200</v>
      </c>
      <c r="K89" s="148">
        <f t="shared" si="47"/>
        <v>10200</v>
      </c>
      <c r="N89" s="461">
        <v>100</v>
      </c>
      <c r="O89" s="462">
        <v>100</v>
      </c>
    </row>
    <row r="90" spans="1:15">
      <c r="A90" s="460" t="s">
        <v>443</v>
      </c>
      <c r="B90" s="460" t="s">
        <v>444</v>
      </c>
      <c r="C90" s="460">
        <v>1990</v>
      </c>
      <c r="D90" s="460">
        <v>16300</v>
      </c>
      <c r="E90" s="460">
        <v>69200</v>
      </c>
      <c r="F90" s="460">
        <v>6100</v>
      </c>
      <c r="G90" s="460">
        <v>1900</v>
      </c>
      <c r="H90" s="555">
        <v>94.6</v>
      </c>
      <c r="I90" s="556">
        <v>6400</v>
      </c>
      <c r="K90" s="148">
        <f t="shared" si="47"/>
        <v>9900</v>
      </c>
      <c r="N90" s="461">
        <v>100</v>
      </c>
      <c r="O90" s="462">
        <v>100</v>
      </c>
    </row>
    <row r="91" spans="1:15">
      <c r="A91" s="460" t="s">
        <v>443</v>
      </c>
      <c r="B91" s="460" t="s">
        <v>444</v>
      </c>
      <c r="C91" s="460">
        <v>1991</v>
      </c>
      <c r="D91" s="460">
        <v>15900</v>
      </c>
      <c r="E91" s="460">
        <v>67100</v>
      </c>
      <c r="F91" s="460">
        <v>6500</v>
      </c>
      <c r="G91" s="460">
        <v>2100</v>
      </c>
      <c r="H91" s="555">
        <v>96</v>
      </c>
      <c r="I91" s="556">
        <v>6400</v>
      </c>
      <c r="K91" s="148">
        <f t="shared" si="47"/>
        <v>9500</v>
      </c>
      <c r="N91" s="461">
        <v>100</v>
      </c>
      <c r="O91" s="462">
        <v>100</v>
      </c>
    </row>
    <row r="92" spans="1:15">
      <c r="A92" s="460" t="s">
        <v>443</v>
      </c>
      <c r="B92" s="460" t="s">
        <v>444</v>
      </c>
      <c r="C92" s="460">
        <v>1992</v>
      </c>
      <c r="D92" s="460">
        <v>16300</v>
      </c>
      <c r="E92" s="460">
        <v>68700</v>
      </c>
      <c r="F92" s="460">
        <v>6800</v>
      </c>
      <c r="G92" s="460">
        <v>2300</v>
      </c>
      <c r="H92" s="555">
        <v>96.3</v>
      </c>
      <c r="I92" s="556">
        <v>6400</v>
      </c>
      <c r="K92" s="148">
        <f t="shared" si="47"/>
        <v>9900</v>
      </c>
      <c r="N92" s="461">
        <v>100</v>
      </c>
      <c r="O92" s="462">
        <v>100</v>
      </c>
    </row>
    <row r="93" spans="1:15">
      <c r="A93" s="460" t="s">
        <v>443</v>
      </c>
      <c r="B93" s="460" t="s">
        <v>444</v>
      </c>
      <c r="C93" s="460">
        <v>1993</v>
      </c>
      <c r="D93" s="460">
        <v>16800</v>
      </c>
      <c r="E93" s="460">
        <v>68800</v>
      </c>
      <c r="F93" s="460">
        <v>7000</v>
      </c>
      <c r="G93" s="460">
        <v>2500</v>
      </c>
      <c r="H93" s="555">
        <v>97.3</v>
      </c>
      <c r="I93" s="556">
        <v>6500</v>
      </c>
      <c r="K93" s="148">
        <f t="shared" si="47"/>
        <v>10300</v>
      </c>
      <c r="N93" s="461">
        <v>100</v>
      </c>
      <c r="O93" s="462">
        <v>100</v>
      </c>
    </row>
    <row r="94" spans="1:15">
      <c r="A94" s="460" t="s">
        <v>443</v>
      </c>
      <c r="B94" s="460" t="s">
        <v>444</v>
      </c>
      <c r="C94" s="460">
        <v>1994</v>
      </c>
      <c r="D94" s="460">
        <v>17200</v>
      </c>
      <c r="E94" s="460">
        <v>69700</v>
      </c>
      <c r="F94" s="460">
        <v>6900</v>
      </c>
      <c r="G94" s="460">
        <v>2500</v>
      </c>
      <c r="H94" s="555">
        <v>99.1</v>
      </c>
      <c r="I94" s="556">
        <v>6600</v>
      </c>
      <c r="K94" s="148">
        <f t="shared" si="47"/>
        <v>10600</v>
      </c>
      <c r="N94" s="461">
        <v>100</v>
      </c>
      <c r="O94" s="462">
        <v>100</v>
      </c>
    </row>
    <row r="95" spans="1:15">
      <c r="A95" s="460" t="s">
        <v>443</v>
      </c>
      <c r="B95" s="460" t="s">
        <v>444</v>
      </c>
      <c r="C95" s="460">
        <v>1995</v>
      </c>
      <c r="D95" s="460">
        <v>18100</v>
      </c>
      <c r="E95" s="460">
        <v>72800</v>
      </c>
      <c r="F95" s="460">
        <v>7100</v>
      </c>
      <c r="G95" s="460">
        <v>2600</v>
      </c>
      <c r="H95" s="555">
        <v>99.7</v>
      </c>
      <c r="I95" s="556">
        <v>6800</v>
      </c>
      <c r="K95" s="148">
        <f t="shared" si="47"/>
        <v>11300</v>
      </c>
      <c r="N95" s="461">
        <v>100</v>
      </c>
      <c r="O95" s="462">
        <v>100</v>
      </c>
    </row>
    <row r="96" spans="1:15">
      <c r="A96" s="460" t="s">
        <v>443</v>
      </c>
      <c r="B96" s="460" t="s">
        <v>444</v>
      </c>
      <c r="C96" s="460">
        <v>1996</v>
      </c>
      <c r="D96" s="460">
        <v>19000</v>
      </c>
      <c r="E96" s="460">
        <v>75700</v>
      </c>
      <c r="F96" s="460">
        <v>7200</v>
      </c>
      <c r="G96" s="460">
        <v>2500</v>
      </c>
      <c r="H96" s="555">
        <v>101.1</v>
      </c>
      <c r="I96" s="556">
        <v>6900</v>
      </c>
      <c r="K96" s="148">
        <f t="shared" si="47"/>
        <v>12100</v>
      </c>
      <c r="N96" s="461">
        <v>100</v>
      </c>
      <c r="O96" s="462">
        <v>100</v>
      </c>
    </row>
    <row r="97" spans="1:15">
      <c r="A97" s="460" t="s">
        <v>443</v>
      </c>
      <c r="B97" s="460" t="s">
        <v>444</v>
      </c>
      <c r="C97" s="460">
        <v>1997</v>
      </c>
      <c r="D97" s="460">
        <v>20000</v>
      </c>
      <c r="E97" s="460">
        <v>79500</v>
      </c>
      <c r="F97" s="460">
        <v>7300</v>
      </c>
      <c r="G97" s="460">
        <v>2400</v>
      </c>
      <c r="H97" s="555">
        <v>102.6</v>
      </c>
      <c r="I97" s="556">
        <v>7100</v>
      </c>
      <c r="K97" s="148">
        <f t="shared" si="47"/>
        <v>12900</v>
      </c>
      <c r="N97" s="461">
        <v>100</v>
      </c>
      <c r="O97" s="462">
        <v>100</v>
      </c>
    </row>
    <row r="98" spans="1:15">
      <c r="A98" s="460" t="s">
        <v>443</v>
      </c>
      <c r="B98" s="460" t="s">
        <v>444</v>
      </c>
      <c r="C98" s="460">
        <v>1998</v>
      </c>
      <c r="D98" s="460">
        <v>20700</v>
      </c>
      <c r="E98" s="460">
        <v>84200</v>
      </c>
      <c r="F98" s="460">
        <v>7300</v>
      </c>
      <c r="G98" s="460">
        <v>2500</v>
      </c>
      <c r="H98" s="555">
        <v>104</v>
      </c>
      <c r="I98" s="556">
        <v>7500</v>
      </c>
      <c r="K98" s="148">
        <f t="shared" si="47"/>
        <v>13200</v>
      </c>
      <c r="N98" s="461">
        <v>100</v>
      </c>
      <c r="O98" s="462">
        <v>100</v>
      </c>
    </row>
    <row r="99" spans="1:15">
      <c r="A99" s="460" t="s">
        <v>443</v>
      </c>
      <c r="B99" s="460" t="s">
        <v>444</v>
      </c>
      <c r="C99" s="460">
        <v>1999</v>
      </c>
      <c r="D99" s="460">
        <v>22100</v>
      </c>
      <c r="E99" s="460">
        <v>88800</v>
      </c>
      <c r="F99" s="460">
        <v>7100</v>
      </c>
      <c r="G99" s="460">
        <v>2600</v>
      </c>
      <c r="H99" s="555">
        <v>104.8</v>
      </c>
      <c r="I99" s="556">
        <v>7700</v>
      </c>
      <c r="K99" s="148">
        <f t="shared" si="47"/>
        <v>14400</v>
      </c>
      <c r="N99" s="461">
        <v>100</v>
      </c>
      <c r="O99" s="462">
        <v>100</v>
      </c>
    </row>
    <row r="100" spans="1:15">
      <c r="A100" s="460" t="s">
        <v>443</v>
      </c>
      <c r="B100" s="460" t="s">
        <v>444</v>
      </c>
      <c r="C100" s="460">
        <v>2000</v>
      </c>
      <c r="D100" s="460">
        <v>22700</v>
      </c>
      <c r="E100" s="460">
        <v>91300</v>
      </c>
      <c r="F100" s="460">
        <v>7200</v>
      </c>
      <c r="G100" s="460">
        <v>2600</v>
      </c>
      <c r="H100" s="555">
        <v>108.3</v>
      </c>
      <c r="I100" s="556">
        <v>7800</v>
      </c>
      <c r="K100" s="148">
        <f t="shared" si="47"/>
        <v>14900</v>
      </c>
      <c r="N100" s="461">
        <v>100</v>
      </c>
      <c r="O100" s="462">
        <v>100</v>
      </c>
    </row>
    <row r="101" spans="1:15">
      <c r="A101" s="460" t="s">
        <v>443</v>
      </c>
      <c r="B101" s="460" t="s">
        <v>444</v>
      </c>
      <c r="C101" s="460">
        <v>2001</v>
      </c>
      <c r="D101" s="460">
        <v>20100</v>
      </c>
      <c r="E101" s="460">
        <v>85500</v>
      </c>
      <c r="F101" s="460">
        <v>7600</v>
      </c>
      <c r="G101" s="460">
        <v>2800</v>
      </c>
      <c r="H101" s="555">
        <v>109.4</v>
      </c>
      <c r="I101" s="556">
        <v>7900</v>
      </c>
      <c r="K101" s="148">
        <f t="shared" si="47"/>
        <v>12200</v>
      </c>
      <c r="N101" s="461">
        <v>100</v>
      </c>
      <c r="O101" s="462">
        <v>100</v>
      </c>
    </row>
    <row r="102" spans="1:15">
      <c r="A102" s="460" t="s">
        <v>443</v>
      </c>
      <c r="B102" s="460" t="s">
        <v>444</v>
      </c>
      <c r="C102" s="460">
        <v>2002</v>
      </c>
      <c r="D102" s="460">
        <v>18600</v>
      </c>
      <c r="E102" s="460">
        <v>81500</v>
      </c>
      <c r="F102" s="460">
        <v>8000</v>
      </c>
      <c r="G102" s="460">
        <v>3100</v>
      </c>
      <c r="H102" s="555">
        <v>111.4</v>
      </c>
      <c r="I102" s="556">
        <v>7600</v>
      </c>
      <c r="K102" s="148">
        <f t="shared" si="47"/>
        <v>11000</v>
      </c>
      <c r="N102" s="461">
        <v>100</v>
      </c>
      <c r="O102" s="462">
        <v>100</v>
      </c>
    </row>
    <row r="103" spans="1:15">
      <c r="A103" s="460" t="s">
        <v>443</v>
      </c>
      <c r="B103" s="460" t="s">
        <v>444</v>
      </c>
      <c r="C103" s="460">
        <v>2003</v>
      </c>
      <c r="D103" s="460">
        <v>18100</v>
      </c>
      <c r="E103" s="460">
        <v>82900</v>
      </c>
      <c r="F103" s="460">
        <v>8100</v>
      </c>
      <c r="G103" s="460">
        <v>3300</v>
      </c>
      <c r="H103" s="555">
        <v>112.1</v>
      </c>
      <c r="I103" s="556">
        <v>7600</v>
      </c>
      <c r="K103" s="148">
        <f t="shared" si="47"/>
        <v>10500</v>
      </c>
      <c r="N103" s="461">
        <v>100</v>
      </c>
      <c r="O103" s="462">
        <v>100</v>
      </c>
    </row>
    <row r="104" spans="1:15">
      <c r="A104" s="460" t="s">
        <v>443</v>
      </c>
      <c r="B104" s="460" t="s">
        <v>444</v>
      </c>
      <c r="C104" s="460">
        <v>2004</v>
      </c>
      <c r="D104" s="460">
        <v>19500</v>
      </c>
      <c r="E104" s="460">
        <v>88000</v>
      </c>
      <c r="F104" s="460">
        <v>8100</v>
      </c>
      <c r="G104" s="460">
        <v>3500</v>
      </c>
      <c r="H104" s="555">
        <v>113.3</v>
      </c>
      <c r="I104" s="556">
        <v>7700</v>
      </c>
      <c r="K104" s="148">
        <f t="shared" si="47"/>
        <v>11800</v>
      </c>
      <c r="N104" s="461">
        <v>100</v>
      </c>
      <c r="O104" s="462">
        <v>100</v>
      </c>
    </row>
    <row r="105" spans="1:15">
      <c r="A105" s="460" t="s">
        <v>443</v>
      </c>
      <c r="B105" s="460" t="s">
        <v>444</v>
      </c>
      <c r="C105" s="460">
        <v>2005</v>
      </c>
      <c r="D105" s="460">
        <v>21100</v>
      </c>
      <c r="E105" s="460">
        <v>93000</v>
      </c>
      <c r="F105" s="460">
        <v>8200</v>
      </c>
      <c r="G105" s="460">
        <v>3500</v>
      </c>
      <c r="H105" s="555">
        <v>114.5</v>
      </c>
      <c r="I105" s="556">
        <v>7800</v>
      </c>
      <c r="K105" s="148">
        <f t="shared" si="47"/>
        <v>13300</v>
      </c>
      <c r="N105" s="461">
        <v>100</v>
      </c>
      <c r="O105" s="462">
        <v>100</v>
      </c>
    </row>
    <row r="106" spans="1:15">
      <c r="A106" s="460" t="s">
        <v>443</v>
      </c>
      <c r="B106" s="460" t="s">
        <v>444</v>
      </c>
      <c r="C106" s="460">
        <v>2006</v>
      </c>
      <c r="D106" s="460">
        <v>22000</v>
      </c>
      <c r="E106" s="460">
        <v>96600</v>
      </c>
      <c r="F106" s="460">
        <v>8600</v>
      </c>
      <c r="G106" s="460">
        <v>3500</v>
      </c>
      <c r="H106" s="555">
        <v>116.1</v>
      </c>
      <c r="I106" s="556">
        <v>7900</v>
      </c>
      <c r="K106" s="148">
        <f t="shared" si="47"/>
        <v>14100</v>
      </c>
      <c r="N106" s="461">
        <v>100</v>
      </c>
      <c r="O106" s="462">
        <v>100</v>
      </c>
    </row>
    <row r="107" spans="1:15">
      <c r="A107" s="460" t="s">
        <v>443</v>
      </c>
      <c r="B107" s="460" t="s">
        <v>444</v>
      </c>
      <c r="C107" s="460">
        <v>2007</v>
      </c>
      <c r="D107" s="460">
        <v>22200</v>
      </c>
      <c r="E107" s="460">
        <v>99700</v>
      </c>
      <c r="F107" s="460">
        <v>8800</v>
      </c>
      <c r="G107" s="460">
        <v>3500</v>
      </c>
      <c r="H107" s="555">
        <v>116.9</v>
      </c>
      <c r="I107" s="556">
        <v>8100</v>
      </c>
      <c r="K107" s="148">
        <f t="shared" si="47"/>
        <v>14100</v>
      </c>
      <c r="N107" s="461">
        <v>100</v>
      </c>
      <c r="O107" s="462">
        <v>100</v>
      </c>
    </row>
    <row r="108" spans="1:15">
      <c r="A108" s="460" t="s">
        <v>443</v>
      </c>
      <c r="B108" s="460" t="s">
        <v>444</v>
      </c>
      <c r="C108" s="460">
        <v>2008</v>
      </c>
      <c r="D108" s="460">
        <v>18700</v>
      </c>
      <c r="E108" s="460">
        <v>91600</v>
      </c>
      <c r="F108" s="460">
        <v>9200</v>
      </c>
      <c r="G108" s="460">
        <v>3700</v>
      </c>
      <c r="H108" s="555">
        <v>117.3</v>
      </c>
      <c r="I108" s="556">
        <v>8000</v>
      </c>
      <c r="K108" s="148">
        <f t="shared" si="47"/>
        <v>10700</v>
      </c>
      <c r="N108" s="461">
        <v>100</v>
      </c>
      <c r="O108" s="462">
        <v>100</v>
      </c>
    </row>
    <row r="109" spans="1:15">
      <c r="A109" s="460" t="s">
        <v>443</v>
      </c>
      <c r="B109" s="460" t="s">
        <v>444</v>
      </c>
      <c r="C109" s="460">
        <v>2009</v>
      </c>
      <c r="D109" s="460">
        <v>17000</v>
      </c>
      <c r="E109" s="460">
        <v>84200</v>
      </c>
      <c r="F109" s="460">
        <v>10600</v>
      </c>
      <c r="G109" s="460">
        <v>4200</v>
      </c>
      <c r="H109" s="555">
        <v>117.6</v>
      </c>
      <c r="I109" s="556">
        <v>7800</v>
      </c>
      <c r="K109" s="148">
        <f t="shared" si="47"/>
        <v>9200</v>
      </c>
      <c r="N109" s="461">
        <v>100</v>
      </c>
      <c r="O109" s="462">
        <v>100</v>
      </c>
    </row>
    <row r="110" spans="1:15">
      <c r="A110" s="460" t="s">
        <v>443</v>
      </c>
      <c r="B110" s="460" t="s">
        <v>444</v>
      </c>
      <c r="C110" s="460">
        <v>2010</v>
      </c>
      <c r="D110" s="460">
        <v>17900</v>
      </c>
      <c r="E110" s="460">
        <v>85800</v>
      </c>
      <c r="F110" s="460">
        <v>10600</v>
      </c>
      <c r="G110" s="460">
        <v>4400</v>
      </c>
      <c r="H110" s="555">
        <v>120</v>
      </c>
      <c r="I110" s="556">
        <v>7600</v>
      </c>
      <c r="K110" s="148">
        <f t="shared" si="47"/>
        <v>10300</v>
      </c>
      <c r="N110" s="461">
        <v>100</v>
      </c>
      <c r="O110" s="462">
        <v>100</v>
      </c>
    </row>
    <row r="111" spans="1:15">
      <c r="A111" s="460" t="s">
        <v>443</v>
      </c>
      <c r="B111" s="460" t="s">
        <v>444</v>
      </c>
      <c r="C111" s="460">
        <v>2011</v>
      </c>
      <c r="D111" s="460">
        <v>17600</v>
      </c>
      <c r="E111" s="460">
        <v>86000</v>
      </c>
      <c r="F111" s="460">
        <v>10300</v>
      </c>
      <c r="G111" s="460">
        <v>4300</v>
      </c>
      <c r="H111" s="555">
        <v>121.2</v>
      </c>
      <c r="I111" s="556">
        <v>6700</v>
      </c>
      <c r="K111" s="148">
        <f t="shared" si="47"/>
        <v>10900</v>
      </c>
      <c r="N111" s="461">
        <v>100</v>
      </c>
      <c r="O111" s="462">
        <v>100</v>
      </c>
    </row>
    <row r="112" spans="1:15">
      <c r="A112" s="460" t="s">
        <v>443</v>
      </c>
      <c r="B112" s="460" t="s">
        <v>444</v>
      </c>
      <c r="C112" s="460">
        <v>2012</v>
      </c>
      <c r="D112" s="460">
        <v>19100</v>
      </c>
      <c r="E112" s="460">
        <v>90400</v>
      </c>
      <c r="F112" s="460">
        <v>10400</v>
      </c>
      <c r="G112" s="460">
        <v>4300</v>
      </c>
      <c r="H112" s="555">
        <v>122.5</v>
      </c>
      <c r="I112" s="556">
        <v>6700</v>
      </c>
      <c r="K112" s="148">
        <f t="shared" si="47"/>
        <v>12400</v>
      </c>
      <c r="N112" s="461">
        <v>100</v>
      </c>
      <c r="O112" s="462">
        <v>100</v>
      </c>
    </row>
    <row r="113" spans="1:15">
      <c r="A113" s="460" t="s">
        <v>443</v>
      </c>
      <c r="B113" s="460" t="s">
        <v>444</v>
      </c>
      <c r="C113" s="460">
        <v>2013</v>
      </c>
      <c r="D113" s="460">
        <v>20600</v>
      </c>
      <c r="E113" s="460">
        <v>89200</v>
      </c>
      <c r="F113" s="460">
        <v>10400</v>
      </c>
      <c r="G113" s="460">
        <v>4400</v>
      </c>
      <c r="H113" s="555">
        <v>123.1</v>
      </c>
      <c r="I113" s="556">
        <v>7900</v>
      </c>
      <c r="K113" s="148">
        <f t="shared" si="47"/>
        <v>12700</v>
      </c>
      <c r="N113" s="461">
        <v>100</v>
      </c>
      <c r="O113" s="462">
        <v>100</v>
      </c>
    </row>
    <row r="114" spans="1:15">
      <c r="A114" s="460" t="s">
        <v>443</v>
      </c>
      <c r="B114" s="460" t="s">
        <v>444</v>
      </c>
      <c r="C114" s="460">
        <v>2014</v>
      </c>
      <c r="D114" s="460">
        <v>21800</v>
      </c>
      <c r="E114" s="460">
        <v>92700</v>
      </c>
      <c r="F114" s="460">
        <v>10400</v>
      </c>
      <c r="G114" s="460">
        <v>5100</v>
      </c>
      <c r="H114" s="555">
        <v>124.7</v>
      </c>
      <c r="I114" s="556">
        <v>8000</v>
      </c>
      <c r="K114" s="148">
        <f t="shared" si="47"/>
        <v>13800</v>
      </c>
      <c r="N114" s="461">
        <v>100</v>
      </c>
      <c r="O114" s="462">
        <v>100</v>
      </c>
    </row>
    <row r="115" spans="1:15">
      <c r="A115" s="460" t="s">
        <v>443</v>
      </c>
      <c r="B115" s="460" t="s">
        <v>444</v>
      </c>
      <c r="C115" s="460">
        <v>2015</v>
      </c>
      <c r="D115" s="460">
        <v>22400</v>
      </c>
      <c r="E115" s="460">
        <v>95600</v>
      </c>
      <c r="F115" s="460">
        <v>10700</v>
      </c>
      <c r="G115" s="460">
        <v>5500</v>
      </c>
      <c r="H115" s="555">
        <v>126.1</v>
      </c>
      <c r="I115" s="556">
        <v>8300</v>
      </c>
      <c r="K115" s="148">
        <f t="shared" si="47"/>
        <v>14100</v>
      </c>
      <c r="N115" s="461">
        <v>100</v>
      </c>
      <c r="O115" s="462">
        <v>100</v>
      </c>
    </row>
    <row r="116" spans="1:15">
      <c r="A116" s="460" t="s">
        <v>443</v>
      </c>
      <c r="B116" s="460" t="s">
        <v>444</v>
      </c>
      <c r="C116" s="460">
        <v>2016</v>
      </c>
      <c r="D116" s="460">
        <v>22100</v>
      </c>
      <c r="E116" s="460">
        <v>94600</v>
      </c>
      <c r="F116" s="460">
        <v>10900</v>
      </c>
      <c r="G116" s="460">
        <v>5600</v>
      </c>
      <c r="H116" s="555">
        <v>126.5</v>
      </c>
      <c r="I116" s="556">
        <v>8300</v>
      </c>
      <c r="K116" s="148">
        <f t="shared" si="47"/>
        <v>13800</v>
      </c>
      <c r="N116" s="461">
        <v>100</v>
      </c>
      <c r="O116" s="462">
        <v>100</v>
      </c>
    </row>
    <row r="117" spans="1:15">
      <c r="A117" s="460" t="s">
        <v>443</v>
      </c>
      <c r="B117" s="460" t="s">
        <v>445</v>
      </c>
      <c r="C117" s="460">
        <v>1979</v>
      </c>
      <c r="D117" s="460">
        <v>1000</v>
      </c>
      <c r="E117" s="460">
        <v>7600</v>
      </c>
      <c r="F117" s="460">
        <v>9800</v>
      </c>
      <c r="G117" s="460">
        <v>4400</v>
      </c>
      <c r="H117" s="555">
        <v>19.100000000000001</v>
      </c>
      <c r="I117" s="556">
        <v>600</v>
      </c>
      <c r="K117" s="148">
        <f t="shared" si="47"/>
        <v>400</v>
      </c>
      <c r="N117" s="461">
        <v>2.9</v>
      </c>
      <c r="O117" s="462">
        <v>9.3000000000000007</v>
      </c>
    </row>
    <row r="118" spans="1:15">
      <c r="A118" s="460" t="s">
        <v>443</v>
      </c>
      <c r="B118" s="460" t="s">
        <v>445</v>
      </c>
      <c r="C118" s="460">
        <v>1980</v>
      </c>
      <c r="D118" s="460">
        <v>900</v>
      </c>
      <c r="E118" s="460">
        <v>6900</v>
      </c>
      <c r="F118" s="460">
        <v>10000</v>
      </c>
      <c r="G118" s="460">
        <v>4600</v>
      </c>
      <c r="H118" s="555">
        <v>19.399999999999999</v>
      </c>
      <c r="I118" s="556">
        <v>500</v>
      </c>
      <c r="K118" s="148">
        <f t="shared" si="47"/>
        <v>400</v>
      </c>
      <c r="N118" s="461">
        <v>2.7</v>
      </c>
      <c r="O118" s="462">
        <v>9.4</v>
      </c>
    </row>
    <row r="119" spans="1:15">
      <c r="A119" s="460" t="s">
        <v>443</v>
      </c>
      <c r="B119" s="460" t="s">
        <v>445</v>
      </c>
      <c r="C119" s="460">
        <v>1981</v>
      </c>
      <c r="D119" s="460">
        <v>900</v>
      </c>
      <c r="E119" s="460">
        <v>6700</v>
      </c>
      <c r="F119" s="460">
        <v>10300</v>
      </c>
      <c r="G119" s="460">
        <v>4800</v>
      </c>
      <c r="H119" s="555">
        <v>19.2</v>
      </c>
      <c r="I119" s="556">
        <v>600</v>
      </c>
      <c r="K119" s="148">
        <f t="shared" si="47"/>
        <v>300</v>
      </c>
      <c r="N119" s="461">
        <v>2.6</v>
      </c>
      <c r="O119" s="462">
        <v>9.3000000000000007</v>
      </c>
    </row>
    <row r="120" spans="1:15">
      <c r="A120" s="460" t="s">
        <v>443</v>
      </c>
      <c r="B120" s="460" t="s">
        <v>445</v>
      </c>
      <c r="C120" s="460">
        <v>1982</v>
      </c>
      <c r="D120" s="460">
        <v>800</v>
      </c>
      <c r="E120" s="460">
        <v>6200</v>
      </c>
      <c r="F120" s="460">
        <v>10600</v>
      </c>
      <c r="G120" s="460">
        <v>4900</v>
      </c>
      <c r="H120" s="555">
        <v>19</v>
      </c>
      <c r="I120" s="556">
        <v>600</v>
      </c>
      <c r="K120" s="148">
        <f t="shared" si="47"/>
        <v>200</v>
      </c>
      <c r="N120" s="461">
        <v>2.4</v>
      </c>
      <c r="O120" s="462">
        <v>9</v>
      </c>
    </row>
    <row r="121" spans="1:15">
      <c r="A121" s="460" t="s">
        <v>443</v>
      </c>
      <c r="B121" s="460" t="s">
        <v>445</v>
      </c>
      <c r="C121" s="460">
        <v>1983</v>
      </c>
      <c r="D121" s="460">
        <v>900</v>
      </c>
      <c r="E121" s="460">
        <v>5900</v>
      </c>
      <c r="F121" s="460">
        <v>10500</v>
      </c>
      <c r="G121" s="460">
        <v>5300</v>
      </c>
      <c r="H121" s="555">
        <v>19.100000000000001</v>
      </c>
      <c r="I121" s="556">
        <v>500</v>
      </c>
      <c r="K121" s="148">
        <f t="shared" si="47"/>
        <v>400</v>
      </c>
      <c r="N121" s="461">
        <v>2.2000000000000002</v>
      </c>
      <c r="O121" s="462">
        <v>8.6999999999999993</v>
      </c>
    </row>
    <row r="122" spans="1:15">
      <c r="A122" s="460" t="s">
        <v>443</v>
      </c>
      <c r="B122" s="460" t="s">
        <v>445</v>
      </c>
      <c r="C122" s="460">
        <v>1984</v>
      </c>
      <c r="D122" s="460">
        <v>1100</v>
      </c>
      <c r="E122" s="460">
        <v>7200</v>
      </c>
      <c r="F122" s="460">
        <v>9900</v>
      </c>
      <c r="G122" s="460">
        <v>4900</v>
      </c>
      <c r="H122" s="555">
        <v>19.899999999999999</v>
      </c>
      <c r="I122" s="556">
        <v>600</v>
      </c>
      <c r="K122" s="148">
        <f t="shared" si="47"/>
        <v>500</v>
      </c>
      <c r="N122" s="461">
        <v>2.6</v>
      </c>
      <c r="O122" s="462">
        <v>8.5</v>
      </c>
    </row>
    <row r="123" spans="1:15">
      <c r="A123" s="460" t="s">
        <v>443</v>
      </c>
      <c r="B123" s="460" t="s">
        <v>445</v>
      </c>
      <c r="C123" s="460">
        <v>1985</v>
      </c>
      <c r="D123" s="460">
        <v>1100</v>
      </c>
      <c r="E123" s="460">
        <v>6900</v>
      </c>
      <c r="F123" s="460">
        <v>10300</v>
      </c>
      <c r="G123" s="460">
        <v>5300</v>
      </c>
      <c r="H123" s="555">
        <v>20</v>
      </c>
      <c r="I123" s="556">
        <v>700</v>
      </c>
      <c r="K123" s="148">
        <f t="shared" si="47"/>
        <v>400</v>
      </c>
      <c r="N123" s="461">
        <v>2.4</v>
      </c>
      <c r="O123" s="462">
        <v>8.5</v>
      </c>
    </row>
    <row r="124" spans="1:15">
      <c r="A124" s="460" t="s">
        <v>443</v>
      </c>
      <c r="B124" s="460" t="s">
        <v>445</v>
      </c>
      <c r="C124" s="460">
        <v>1986</v>
      </c>
      <c r="D124" s="460">
        <v>1100</v>
      </c>
      <c r="E124" s="460">
        <v>6800</v>
      </c>
      <c r="F124" s="460">
        <v>10300</v>
      </c>
      <c r="G124" s="460">
        <v>5400</v>
      </c>
      <c r="H124" s="555">
        <v>20.3</v>
      </c>
      <c r="I124" s="556">
        <v>600</v>
      </c>
      <c r="K124" s="148">
        <f t="shared" si="47"/>
        <v>500</v>
      </c>
      <c r="N124" s="461">
        <v>2.2000000000000002</v>
      </c>
      <c r="O124" s="462">
        <v>8</v>
      </c>
    </row>
    <row r="125" spans="1:15">
      <c r="A125" s="460" t="s">
        <v>443</v>
      </c>
      <c r="B125" s="460" t="s">
        <v>445</v>
      </c>
      <c r="C125" s="460">
        <v>1987</v>
      </c>
      <c r="D125" s="460">
        <v>900</v>
      </c>
      <c r="E125" s="460">
        <v>6100</v>
      </c>
      <c r="F125" s="460">
        <v>10600</v>
      </c>
      <c r="G125" s="460">
        <v>5600</v>
      </c>
      <c r="H125" s="555">
        <v>20.100000000000001</v>
      </c>
      <c r="I125" s="556">
        <v>600</v>
      </c>
      <c r="K125" s="148">
        <f t="shared" si="47"/>
        <v>300</v>
      </c>
      <c r="N125" s="461">
        <v>2</v>
      </c>
      <c r="O125" s="462">
        <v>8.1</v>
      </c>
    </row>
    <row r="126" spans="1:15">
      <c r="A126" s="460" t="s">
        <v>443</v>
      </c>
      <c r="B126" s="460" t="s">
        <v>445</v>
      </c>
      <c r="C126" s="460">
        <v>1988</v>
      </c>
      <c r="D126" s="460">
        <v>1000</v>
      </c>
      <c r="E126" s="460">
        <v>6300</v>
      </c>
      <c r="F126" s="460">
        <v>10800</v>
      </c>
      <c r="G126" s="460">
        <v>5800</v>
      </c>
      <c r="H126" s="555">
        <v>20.3</v>
      </c>
      <c r="I126" s="556">
        <v>600</v>
      </c>
      <c r="K126" s="148">
        <f t="shared" si="47"/>
        <v>400</v>
      </c>
      <c r="N126" s="461">
        <v>2</v>
      </c>
      <c r="O126" s="462">
        <v>7.9</v>
      </c>
    </row>
    <row r="127" spans="1:15">
      <c r="A127" s="460" t="s">
        <v>443</v>
      </c>
      <c r="B127" s="460" t="s">
        <v>445</v>
      </c>
      <c r="C127" s="460">
        <v>1989</v>
      </c>
      <c r="D127" s="460">
        <v>1000</v>
      </c>
      <c r="E127" s="460">
        <v>7000</v>
      </c>
      <c r="F127" s="460">
        <v>10900</v>
      </c>
      <c r="G127" s="460">
        <v>5900</v>
      </c>
      <c r="H127" s="555">
        <v>20.3</v>
      </c>
      <c r="I127" s="556">
        <v>700</v>
      </c>
      <c r="K127" s="148">
        <f t="shared" si="47"/>
        <v>300</v>
      </c>
      <c r="N127" s="461">
        <v>2.2000000000000002</v>
      </c>
      <c r="O127" s="462">
        <v>8.1</v>
      </c>
    </row>
    <row r="128" spans="1:15">
      <c r="A128" s="460" t="s">
        <v>443</v>
      </c>
      <c r="B128" s="460" t="s">
        <v>445</v>
      </c>
      <c r="C128" s="460">
        <v>1990</v>
      </c>
      <c r="D128" s="460">
        <v>1100</v>
      </c>
      <c r="E128" s="460">
        <v>7300</v>
      </c>
      <c r="F128" s="460">
        <v>11100</v>
      </c>
      <c r="G128" s="460">
        <v>6400</v>
      </c>
      <c r="H128" s="555">
        <v>20.7</v>
      </c>
      <c r="I128" s="556">
        <v>700</v>
      </c>
      <c r="K128" s="148">
        <f t="shared" si="47"/>
        <v>400</v>
      </c>
      <c r="N128" s="461">
        <v>2.2999999999999998</v>
      </c>
      <c r="O128" s="462">
        <v>8.6</v>
      </c>
    </row>
    <row r="129" spans="1:15">
      <c r="A129" s="460" t="s">
        <v>443</v>
      </c>
      <c r="B129" s="460" t="s">
        <v>445</v>
      </c>
      <c r="C129" s="460">
        <v>1991</v>
      </c>
      <c r="D129" s="460">
        <v>1000</v>
      </c>
      <c r="E129" s="460">
        <v>7200</v>
      </c>
      <c r="F129" s="460">
        <v>11700</v>
      </c>
      <c r="G129" s="460">
        <v>6900</v>
      </c>
      <c r="H129" s="555">
        <v>21</v>
      </c>
      <c r="I129" s="556">
        <v>700</v>
      </c>
      <c r="K129" s="148">
        <f t="shared" si="47"/>
        <v>300</v>
      </c>
      <c r="N129" s="461">
        <v>2.2999999999999998</v>
      </c>
      <c r="O129" s="462">
        <v>9.1</v>
      </c>
    </row>
    <row r="130" spans="1:15">
      <c r="A130" s="460" t="s">
        <v>443</v>
      </c>
      <c r="B130" s="460" t="s">
        <v>445</v>
      </c>
      <c r="C130" s="460">
        <v>1992</v>
      </c>
      <c r="D130" s="460">
        <v>1000</v>
      </c>
      <c r="E130" s="460">
        <v>6900</v>
      </c>
      <c r="F130" s="460">
        <v>12300</v>
      </c>
      <c r="G130" s="460">
        <v>7500</v>
      </c>
      <c r="H130" s="555">
        <v>20.7</v>
      </c>
      <c r="I130" s="556">
        <v>700</v>
      </c>
      <c r="K130" s="148">
        <f t="shared" si="47"/>
        <v>300</v>
      </c>
      <c r="N130" s="461">
        <v>2.2000000000000002</v>
      </c>
      <c r="O130" s="462">
        <v>9</v>
      </c>
    </row>
    <row r="131" spans="1:15">
      <c r="A131" s="460" t="s">
        <v>443</v>
      </c>
      <c r="B131" s="460" t="s">
        <v>445</v>
      </c>
      <c r="C131" s="460">
        <v>1993</v>
      </c>
      <c r="D131" s="460">
        <v>1000</v>
      </c>
      <c r="E131" s="460">
        <v>6800</v>
      </c>
      <c r="F131" s="460">
        <v>12800</v>
      </c>
      <c r="G131" s="460">
        <v>7800</v>
      </c>
      <c r="H131" s="555">
        <v>21.1</v>
      </c>
      <c r="I131" s="556">
        <v>700</v>
      </c>
      <c r="K131" s="148">
        <f t="shared" si="47"/>
        <v>300</v>
      </c>
      <c r="N131" s="461">
        <v>2.1</v>
      </c>
      <c r="O131" s="462">
        <v>9.3000000000000007</v>
      </c>
    </row>
    <row r="132" spans="1:15">
      <c r="A132" s="460" t="s">
        <v>443</v>
      </c>
      <c r="B132" s="460" t="s">
        <v>445</v>
      </c>
      <c r="C132" s="460">
        <v>1994</v>
      </c>
      <c r="D132" s="460">
        <v>800</v>
      </c>
      <c r="E132" s="460">
        <v>6500</v>
      </c>
      <c r="F132" s="460">
        <v>13000</v>
      </c>
      <c r="G132" s="460">
        <v>8000</v>
      </c>
      <c r="H132" s="555">
        <v>21.5</v>
      </c>
      <c r="I132" s="556">
        <v>700</v>
      </c>
      <c r="K132" s="148">
        <f t="shared" si="47"/>
        <v>100</v>
      </c>
      <c r="N132" s="461">
        <v>2</v>
      </c>
      <c r="O132" s="462">
        <v>9.3000000000000007</v>
      </c>
    </row>
    <row r="133" spans="1:15">
      <c r="A133" s="460" t="s">
        <v>443</v>
      </c>
      <c r="B133" s="460" t="s">
        <v>445</v>
      </c>
      <c r="C133" s="460">
        <v>1995</v>
      </c>
      <c r="D133" s="460">
        <v>800</v>
      </c>
      <c r="E133" s="460">
        <v>7500</v>
      </c>
      <c r="F133" s="460">
        <v>13200</v>
      </c>
      <c r="G133" s="460">
        <v>8000</v>
      </c>
      <c r="H133" s="555">
        <v>22.3</v>
      </c>
      <c r="I133" s="556">
        <v>800</v>
      </c>
      <c r="K133" s="148">
        <f t="shared" si="47"/>
        <v>0</v>
      </c>
      <c r="N133" s="461">
        <v>2.2999999999999998</v>
      </c>
      <c r="O133" s="462">
        <v>9.6999999999999993</v>
      </c>
    </row>
    <row r="134" spans="1:15">
      <c r="A134" s="460" t="s">
        <v>443</v>
      </c>
      <c r="B134" s="460" t="s">
        <v>445</v>
      </c>
      <c r="C134" s="460">
        <v>1996</v>
      </c>
      <c r="D134" s="460">
        <v>700</v>
      </c>
      <c r="E134" s="460">
        <v>7700</v>
      </c>
      <c r="F134" s="460">
        <v>12900</v>
      </c>
      <c r="G134" s="460">
        <v>7800</v>
      </c>
      <c r="H134" s="555">
        <v>22.3</v>
      </c>
      <c r="I134" s="556">
        <v>800</v>
      </c>
      <c r="K134" s="148">
        <f t="shared" si="47"/>
        <v>-100</v>
      </c>
      <c r="N134" s="461">
        <v>2.2000000000000002</v>
      </c>
      <c r="O134" s="462">
        <v>9.1999999999999993</v>
      </c>
    </row>
    <row r="135" spans="1:15">
      <c r="A135" s="460" t="s">
        <v>443</v>
      </c>
      <c r="B135" s="460" t="s">
        <v>445</v>
      </c>
      <c r="C135" s="460">
        <v>1997</v>
      </c>
      <c r="D135" s="460">
        <v>800</v>
      </c>
      <c r="E135" s="460">
        <v>8400</v>
      </c>
      <c r="F135" s="460">
        <v>13300</v>
      </c>
      <c r="G135" s="460">
        <v>7500</v>
      </c>
      <c r="H135" s="555">
        <v>22.6</v>
      </c>
      <c r="I135" s="556">
        <v>900</v>
      </c>
      <c r="K135" s="148">
        <f t="shared" si="47"/>
        <v>-100</v>
      </c>
      <c r="N135" s="461">
        <v>2.2999999999999998</v>
      </c>
      <c r="O135" s="462">
        <v>9</v>
      </c>
    </row>
    <row r="136" spans="1:15">
      <c r="A136" s="460" t="s">
        <v>443</v>
      </c>
      <c r="B136" s="460" t="s">
        <v>445</v>
      </c>
      <c r="C136" s="460">
        <v>1998</v>
      </c>
      <c r="D136" s="460">
        <v>800</v>
      </c>
      <c r="E136" s="460">
        <v>9500</v>
      </c>
      <c r="F136" s="460">
        <v>13300</v>
      </c>
      <c r="G136" s="460">
        <v>7600</v>
      </c>
      <c r="H136" s="555">
        <v>22.9</v>
      </c>
      <c r="I136" s="556">
        <v>1000</v>
      </c>
      <c r="K136" s="148">
        <f t="shared" si="47"/>
        <v>-200</v>
      </c>
      <c r="N136" s="461">
        <v>2.5</v>
      </c>
      <c r="O136" s="462">
        <v>8.9</v>
      </c>
    </row>
    <row r="137" spans="1:15">
      <c r="A137" s="460" t="s">
        <v>443</v>
      </c>
      <c r="B137" s="460" t="s">
        <v>445</v>
      </c>
      <c r="C137" s="460">
        <v>1999</v>
      </c>
      <c r="D137" s="460">
        <v>1000</v>
      </c>
      <c r="E137" s="460">
        <v>10300</v>
      </c>
      <c r="F137" s="460">
        <v>12900</v>
      </c>
      <c r="G137" s="460">
        <v>7500</v>
      </c>
      <c r="H137" s="555">
        <v>23</v>
      </c>
      <c r="I137" s="556">
        <v>1100</v>
      </c>
      <c r="K137" s="148">
        <f t="shared" si="47"/>
        <v>-100</v>
      </c>
      <c r="N137" s="461">
        <v>2.5</v>
      </c>
      <c r="O137" s="462">
        <v>8.5</v>
      </c>
    </row>
    <row r="138" spans="1:15">
      <c r="A138" s="460" t="s">
        <v>443</v>
      </c>
      <c r="B138" s="460" t="s">
        <v>445</v>
      </c>
      <c r="C138" s="460">
        <v>2000</v>
      </c>
      <c r="D138" s="460">
        <v>900</v>
      </c>
      <c r="E138" s="460">
        <v>10300</v>
      </c>
      <c r="F138" s="460">
        <v>12700</v>
      </c>
      <c r="G138" s="460">
        <v>7700</v>
      </c>
      <c r="H138" s="555">
        <v>23.9</v>
      </c>
      <c r="I138" s="556">
        <v>1100</v>
      </c>
      <c r="K138" s="148">
        <f t="shared" si="47"/>
        <v>-200</v>
      </c>
      <c r="N138" s="461">
        <v>2.5</v>
      </c>
      <c r="O138" s="462">
        <v>8.4</v>
      </c>
    </row>
    <row r="139" spans="1:15">
      <c r="A139" s="460" t="s">
        <v>443</v>
      </c>
      <c r="B139" s="460" t="s">
        <v>445</v>
      </c>
      <c r="C139" s="460">
        <v>2001</v>
      </c>
      <c r="D139" s="460">
        <v>800</v>
      </c>
      <c r="E139" s="460">
        <v>9300</v>
      </c>
      <c r="F139" s="460">
        <v>13600</v>
      </c>
      <c r="G139" s="460">
        <v>8200</v>
      </c>
      <c r="H139" s="555">
        <v>24.1</v>
      </c>
      <c r="I139" s="556">
        <v>1000</v>
      </c>
      <c r="K139" s="148">
        <f t="shared" si="47"/>
        <v>-200</v>
      </c>
      <c r="N139" s="461">
        <v>2.4</v>
      </c>
      <c r="O139" s="462">
        <v>8.8000000000000007</v>
      </c>
    </row>
    <row r="140" spans="1:15">
      <c r="A140" s="460" t="s">
        <v>443</v>
      </c>
      <c r="B140" s="460" t="s">
        <v>445</v>
      </c>
      <c r="C140" s="460">
        <v>2002</v>
      </c>
      <c r="D140" s="460">
        <v>700</v>
      </c>
      <c r="E140" s="460">
        <v>8900</v>
      </c>
      <c r="F140" s="460">
        <v>14400</v>
      </c>
      <c r="G140" s="460">
        <v>8500</v>
      </c>
      <c r="H140" s="555">
        <v>24.9</v>
      </c>
      <c r="I140" s="556">
        <v>900</v>
      </c>
      <c r="K140" s="148">
        <f t="shared" si="47"/>
        <v>-200</v>
      </c>
      <c r="N140" s="461">
        <v>2.4</v>
      </c>
      <c r="O140" s="462">
        <v>9.4</v>
      </c>
    </row>
    <row r="141" spans="1:15">
      <c r="A141" s="460" t="s">
        <v>443</v>
      </c>
      <c r="B141" s="460" t="s">
        <v>445</v>
      </c>
      <c r="C141" s="460">
        <v>2003</v>
      </c>
      <c r="D141" s="460">
        <v>700</v>
      </c>
      <c r="E141" s="460">
        <v>8400</v>
      </c>
      <c r="F141" s="460">
        <v>14600</v>
      </c>
      <c r="G141" s="460">
        <v>8900</v>
      </c>
      <c r="H141" s="555">
        <v>25.2</v>
      </c>
      <c r="I141" s="556">
        <v>900</v>
      </c>
      <c r="K141" s="148">
        <f t="shared" si="47"/>
        <v>-200</v>
      </c>
      <c r="N141" s="461">
        <v>2.2999999999999998</v>
      </c>
      <c r="O141" s="462">
        <v>9.1999999999999993</v>
      </c>
    </row>
    <row r="142" spans="1:15">
      <c r="A142" s="460" t="s">
        <v>443</v>
      </c>
      <c r="B142" s="460" t="s">
        <v>445</v>
      </c>
      <c r="C142" s="460">
        <v>2004</v>
      </c>
      <c r="D142" s="460">
        <v>600</v>
      </c>
      <c r="E142" s="460">
        <v>8600</v>
      </c>
      <c r="F142" s="460">
        <v>14600</v>
      </c>
      <c r="G142" s="460">
        <v>9100</v>
      </c>
      <c r="H142" s="555">
        <v>25.7</v>
      </c>
      <c r="I142" s="556">
        <v>900</v>
      </c>
      <c r="K142" s="148">
        <f t="shared" si="47"/>
        <v>-300</v>
      </c>
      <c r="N142" s="461">
        <v>2.2000000000000002</v>
      </c>
      <c r="O142" s="462">
        <v>9</v>
      </c>
    </row>
    <row r="143" spans="1:15">
      <c r="A143" s="460" t="s">
        <v>443</v>
      </c>
      <c r="B143" s="460" t="s">
        <v>445</v>
      </c>
      <c r="C143" s="460">
        <v>2005</v>
      </c>
      <c r="D143" s="460">
        <v>700</v>
      </c>
      <c r="E143" s="460">
        <v>9100</v>
      </c>
      <c r="F143" s="460">
        <v>14700</v>
      </c>
      <c r="G143" s="460">
        <v>9200</v>
      </c>
      <c r="H143" s="555">
        <v>26.1</v>
      </c>
      <c r="I143" s="556">
        <v>1000</v>
      </c>
      <c r="K143" s="148">
        <f t="shared" si="47"/>
        <v>-300</v>
      </c>
      <c r="N143" s="461">
        <v>2.2000000000000002</v>
      </c>
      <c r="O143" s="462">
        <v>8.8000000000000007</v>
      </c>
    </row>
    <row r="144" spans="1:15">
      <c r="A144" s="460" t="s">
        <v>443</v>
      </c>
      <c r="B144" s="460" t="s">
        <v>445</v>
      </c>
      <c r="C144" s="460">
        <v>2006</v>
      </c>
      <c r="D144" s="460">
        <v>800</v>
      </c>
      <c r="E144" s="460">
        <v>9800</v>
      </c>
      <c r="F144" s="460">
        <v>15600</v>
      </c>
      <c r="G144" s="460">
        <v>9200</v>
      </c>
      <c r="H144" s="555">
        <v>25.9</v>
      </c>
      <c r="I144" s="556">
        <v>1000</v>
      </c>
      <c r="K144" s="148">
        <f t="shared" ref="K144:K207" si="48">D144-I144</f>
        <v>-200</v>
      </c>
      <c r="N144" s="461">
        <v>2.2999999999999998</v>
      </c>
      <c r="O144" s="462">
        <v>8.6999999999999993</v>
      </c>
    </row>
    <row r="145" spans="1:15">
      <c r="A145" s="460" t="s">
        <v>443</v>
      </c>
      <c r="B145" s="460" t="s">
        <v>445</v>
      </c>
      <c r="C145" s="460">
        <v>2007</v>
      </c>
      <c r="D145" s="460">
        <v>700</v>
      </c>
      <c r="E145" s="460">
        <v>11200</v>
      </c>
      <c r="F145" s="460">
        <v>15200</v>
      </c>
      <c r="G145" s="460">
        <v>9200</v>
      </c>
      <c r="H145" s="555">
        <v>26.6</v>
      </c>
      <c r="I145" s="556">
        <v>1200</v>
      </c>
      <c r="K145" s="148">
        <f t="shared" si="48"/>
        <v>-500</v>
      </c>
      <c r="N145" s="461">
        <v>2.5</v>
      </c>
      <c r="O145" s="462">
        <v>8.8000000000000007</v>
      </c>
    </row>
    <row r="146" spans="1:15">
      <c r="A146" s="460" t="s">
        <v>443</v>
      </c>
      <c r="B146" s="460" t="s">
        <v>445</v>
      </c>
      <c r="C146" s="460">
        <v>2008</v>
      </c>
      <c r="D146" s="460">
        <v>-100</v>
      </c>
      <c r="E146" s="460">
        <v>10200</v>
      </c>
      <c r="F146" s="460">
        <v>16400</v>
      </c>
      <c r="G146" s="460">
        <v>9400</v>
      </c>
      <c r="H146" s="555">
        <v>26.7</v>
      </c>
      <c r="I146" s="556">
        <v>1100</v>
      </c>
      <c r="K146" s="148">
        <f t="shared" si="48"/>
        <v>-1200</v>
      </c>
      <c r="N146" s="461">
        <v>2.5</v>
      </c>
      <c r="O146" s="462">
        <v>9.6</v>
      </c>
    </row>
    <row r="147" spans="1:15">
      <c r="A147" s="460" t="s">
        <v>443</v>
      </c>
      <c r="B147" s="460" t="s">
        <v>445</v>
      </c>
      <c r="C147" s="460">
        <v>2009</v>
      </c>
      <c r="D147" s="460">
        <v>0</v>
      </c>
      <c r="E147" s="460">
        <v>8700</v>
      </c>
      <c r="F147" s="460">
        <v>18300</v>
      </c>
      <c r="G147" s="460">
        <v>10500</v>
      </c>
      <c r="H147" s="555">
        <v>26.2</v>
      </c>
      <c r="I147" s="556">
        <v>900</v>
      </c>
      <c r="K147" s="148">
        <f t="shared" si="48"/>
        <v>-900</v>
      </c>
      <c r="N147" s="461">
        <v>2.2999999999999998</v>
      </c>
      <c r="O147" s="462">
        <v>10.199999999999999</v>
      </c>
    </row>
    <row r="148" spans="1:15">
      <c r="A148" s="460" t="s">
        <v>443</v>
      </c>
      <c r="B148" s="460" t="s">
        <v>445</v>
      </c>
      <c r="C148" s="460">
        <v>2010</v>
      </c>
      <c r="D148" s="460">
        <v>0</v>
      </c>
      <c r="E148" s="460">
        <v>8500</v>
      </c>
      <c r="F148" s="460">
        <v>17700</v>
      </c>
      <c r="G148" s="460">
        <v>10800</v>
      </c>
      <c r="H148" s="555">
        <v>27.1</v>
      </c>
      <c r="I148" s="556">
        <v>900</v>
      </c>
      <c r="K148" s="148">
        <f t="shared" si="48"/>
        <v>-900</v>
      </c>
      <c r="N148" s="461">
        <v>2.2000000000000002</v>
      </c>
      <c r="O148" s="462">
        <v>10.1</v>
      </c>
    </row>
    <row r="149" spans="1:15">
      <c r="A149" s="460" t="s">
        <v>443</v>
      </c>
      <c r="B149" s="460" t="s">
        <v>445</v>
      </c>
      <c r="C149" s="460">
        <v>2011</v>
      </c>
      <c r="D149" s="460">
        <v>100</v>
      </c>
      <c r="E149" s="460">
        <v>8600</v>
      </c>
      <c r="F149" s="460">
        <v>17600</v>
      </c>
      <c r="G149" s="460">
        <v>10400</v>
      </c>
      <c r="H149" s="555">
        <v>27.7</v>
      </c>
      <c r="I149" s="556">
        <v>800</v>
      </c>
      <c r="K149" s="148">
        <f t="shared" si="48"/>
        <v>-700</v>
      </c>
      <c r="N149" s="461">
        <v>2.2999999999999998</v>
      </c>
      <c r="O149" s="462">
        <v>10.1</v>
      </c>
    </row>
    <row r="150" spans="1:15">
      <c r="A150" s="460" t="s">
        <v>443</v>
      </c>
      <c r="B150" s="460" t="s">
        <v>445</v>
      </c>
      <c r="C150" s="460">
        <v>2012</v>
      </c>
      <c r="D150" s="460">
        <v>100</v>
      </c>
      <c r="E150" s="460">
        <v>8100</v>
      </c>
      <c r="F150" s="460">
        <v>17500</v>
      </c>
      <c r="G150" s="460">
        <v>10500</v>
      </c>
      <c r="H150" s="555">
        <v>27.8</v>
      </c>
      <c r="I150" s="556">
        <v>800</v>
      </c>
      <c r="K150" s="148">
        <f t="shared" si="48"/>
        <v>-700</v>
      </c>
      <c r="N150" s="461">
        <v>2</v>
      </c>
      <c r="O150" s="462">
        <v>9.5</v>
      </c>
    </row>
    <row r="151" spans="1:15">
      <c r="A151" s="460" t="s">
        <v>443</v>
      </c>
      <c r="B151" s="460" t="s">
        <v>445</v>
      </c>
      <c r="C151" s="460">
        <v>2013</v>
      </c>
      <c r="D151" s="460">
        <v>300</v>
      </c>
      <c r="E151" s="460">
        <v>8900</v>
      </c>
      <c r="F151" s="460">
        <v>17400</v>
      </c>
      <c r="G151" s="460">
        <v>10700</v>
      </c>
      <c r="H151" s="555">
        <v>28.1</v>
      </c>
      <c r="I151" s="556">
        <v>900</v>
      </c>
      <c r="K151" s="148">
        <f t="shared" si="48"/>
        <v>-600</v>
      </c>
      <c r="N151" s="461">
        <v>2.2999999999999998</v>
      </c>
      <c r="O151" s="462">
        <v>10</v>
      </c>
    </row>
    <row r="152" spans="1:15">
      <c r="A152" s="460" t="s">
        <v>443</v>
      </c>
      <c r="B152" s="460" t="s">
        <v>445</v>
      </c>
      <c r="C152" s="460">
        <v>2014</v>
      </c>
      <c r="D152" s="460">
        <v>200</v>
      </c>
      <c r="E152" s="460">
        <v>8500</v>
      </c>
      <c r="F152" s="460">
        <v>16900</v>
      </c>
      <c r="G152" s="460">
        <v>11800</v>
      </c>
      <c r="H152" s="555">
        <v>28.6</v>
      </c>
      <c r="I152" s="556">
        <v>900</v>
      </c>
      <c r="K152" s="148">
        <f t="shared" si="48"/>
        <v>-700</v>
      </c>
      <c r="N152" s="461">
        <v>2.1</v>
      </c>
      <c r="O152" s="462">
        <v>9.8000000000000007</v>
      </c>
    </row>
    <row r="153" spans="1:15">
      <c r="A153" s="460" t="s">
        <v>443</v>
      </c>
      <c r="B153" s="460" t="s">
        <v>445</v>
      </c>
      <c r="C153" s="460">
        <v>2015</v>
      </c>
      <c r="D153" s="460">
        <v>100</v>
      </c>
      <c r="E153" s="460">
        <v>9000</v>
      </c>
      <c r="F153" s="460">
        <v>17700</v>
      </c>
      <c r="G153" s="460">
        <v>12000</v>
      </c>
      <c r="H153" s="555">
        <v>29.2</v>
      </c>
      <c r="I153" s="556">
        <v>1000</v>
      </c>
      <c r="K153" s="148">
        <f t="shared" si="48"/>
        <v>-900</v>
      </c>
      <c r="N153" s="461">
        <v>2.2000000000000002</v>
      </c>
      <c r="O153" s="462">
        <v>10</v>
      </c>
    </row>
    <row r="154" spans="1:15">
      <c r="A154" s="460" t="s">
        <v>443</v>
      </c>
      <c r="B154" s="460" t="s">
        <v>445</v>
      </c>
      <c r="C154" s="460">
        <v>2016</v>
      </c>
      <c r="D154" s="460">
        <v>100</v>
      </c>
      <c r="E154" s="460">
        <v>8900</v>
      </c>
      <c r="F154" s="460">
        <v>18100</v>
      </c>
      <c r="G154" s="460">
        <v>12000</v>
      </c>
      <c r="H154" s="555">
        <v>29.8</v>
      </c>
      <c r="I154" s="556">
        <v>900</v>
      </c>
      <c r="K154" s="148">
        <f t="shared" si="48"/>
        <v>-800</v>
      </c>
      <c r="N154" s="461">
        <v>2.2000000000000002</v>
      </c>
      <c r="O154" s="462">
        <v>10.3</v>
      </c>
    </row>
    <row r="155" spans="1:15">
      <c r="A155" s="460" t="s">
        <v>443</v>
      </c>
      <c r="B155" s="460" t="s">
        <v>446</v>
      </c>
      <c r="C155" s="460">
        <v>1979</v>
      </c>
      <c r="D155" s="460">
        <v>5900</v>
      </c>
      <c r="E155" s="460">
        <v>33400</v>
      </c>
      <c r="F155" s="460">
        <v>4700</v>
      </c>
      <c r="G155" s="460">
        <v>1100</v>
      </c>
      <c r="H155" s="555">
        <v>15.5</v>
      </c>
      <c r="I155" s="556">
        <v>3000</v>
      </c>
      <c r="K155" s="148">
        <f t="shared" si="48"/>
        <v>2900</v>
      </c>
      <c r="N155" s="461">
        <v>10.4</v>
      </c>
      <c r="O155" s="462">
        <v>12.1</v>
      </c>
    </row>
    <row r="156" spans="1:15">
      <c r="A156" s="460" t="s">
        <v>443</v>
      </c>
      <c r="B156" s="460" t="s">
        <v>446</v>
      </c>
      <c r="C156" s="460">
        <v>1980</v>
      </c>
      <c r="D156" s="460">
        <v>5400</v>
      </c>
      <c r="E156" s="460">
        <v>31400</v>
      </c>
      <c r="F156" s="460">
        <v>5400</v>
      </c>
      <c r="G156" s="460">
        <v>1300</v>
      </c>
      <c r="H156" s="555">
        <v>15.7</v>
      </c>
      <c r="I156" s="556">
        <v>2800</v>
      </c>
      <c r="K156" s="148">
        <f t="shared" si="48"/>
        <v>2600</v>
      </c>
      <c r="N156" s="461">
        <v>10.1</v>
      </c>
      <c r="O156" s="462">
        <v>12.1</v>
      </c>
    </row>
    <row r="157" spans="1:15">
      <c r="A157" s="460" t="s">
        <v>443</v>
      </c>
      <c r="B157" s="460" t="s">
        <v>446</v>
      </c>
      <c r="C157" s="460">
        <v>1981</v>
      </c>
      <c r="D157" s="460">
        <v>5500</v>
      </c>
      <c r="E157" s="460">
        <v>30900</v>
      </c>
      <c r="F157" s="460">
        <v>5700</v>
      </c>
      <c r="G157" s="460">
        <v>1300</v>
      </c>
      <c r="H157" s="555">
        <v>16.100000000000001</v>
      </c>
      <c r="I157" s="556">
        <v>2900</v>
      </c>
      <c r="K157" s="148">
        <f t="shared" si="48"/>
        <v>2600</v>
      </c>
      <c r="N157" s="461">
        <v>10</v>
      </c>
      <c r="O157" s="462">
        <v>12.1</v>
      </c>
    </row>
    <row r="158" spans="1:15">
      <c r="A158" s="460" t="s">
        <v>443</v>
      </c>
      <c r="B158" s="460" t="s">
        <v>446</v>
      </c>
      <c r="C158" s="460">
        <v>1982</v>
      </c>
      <c r="D158" s="460">
        <v>4900</v>
      </c>
      <c r="E158" s="460">
        <v>29500</v>
      </c>
      <c r="F158" s="460">
        <v>6600</v>
      </c>
      <c r="G158" s="460">
        <v>1200</v>
      </c>
      <c r="H158" s="555">
        <v>16.100000000000001</v>
      </c>
      <c r="I158" s="556">
        <v>2800</v>
      </c>
      <c r="K158" s="148">
        <f t="shared" si="48"/>
        <v>2100</v>
      </c>
      <c r="N158" s="461">
        <v>9.6</v>
      </c>
      <c r="O158" s="462">
        <v>11.8</v>
      </c>
    </row>
    <row r="159" spans="1:15">
      <c r="A159" s="460" t="s">
        <v>443</v>
      </c>
      <c r="B159" s="460" t="s">
        <v>446</v>
      </c>
      <c r="C159" s="460">
        <v>1983</v>
      </c>
      <c r="D159" s="460">
        <v>4800</v>
      </c>
      <c r="E159" s="460">
        <v>28400</v>
      </c>
      <c r="F159" s="460">
        <v>6900</v>
      </c>
      <c r="G159" s="460">
        <v>1100</v>
      </c>
      <c r="H159" s="555">
        <v>16.600000000000001</v>
      </c>
      <c r="I159" s="556">
        <v>2700</v>
      </c>
      <c r="K159" s="148">
        <f t="shared" si="48"/>
        <v>2100</v>
      </c>
      <c r="N159" s="461">
        <v>9.3000000000000007</v>
      </c>
      <c r="O159" s="462">
        <v>11.5</v>
      </c>
    </row>
    <row r="160" spans="1:15">
      <c r="A160" s="460" t="s">
        <v>443</v>
      </c>
      <c r="B160" s="460" t="s">
        <v>446</v>
      </c>
      <c r="C160" s="460">
        <v>1984</v>
      </c>
      <c r="D160" s="460">
        <v>5500</v>
      </c>
      <c r="E160" s="460">
        <v>31000</v>
      </c>
      <c r="F160" s="460">
        <v>6400</v>
      </c>
      <c r="G160" s="460">
        <v>1100</v>
      </c>
      <c r="H160" s="555">
        <v>16.8</v>
      </c>
      <c r="I160" s="556">
        <v>3000</v>
      </c>
      <c r="K160" s="148">
        <f t="shared" si="48"/>
        <v>2500</v>
      </c>
      <c r="N160" s="461">
        <v>9.5</v>
      </c>
      <c r="O160" s="462">
        <v>11.4</v>
      </c>
    </row>
    <row r="161" spans="1:15">
      <c r="A161" s="460" t="s">
        <v>443</v>
      </c>
      <c r="B161" s="460" t="s">
        <v>446</v>
      </c>
      <c r="C161" s="460">
        <v>1985</v>
      </c>
      <c r="D161" s="460">
        <v>5500</v>
      </c>
      <c r="E161" s="460">
        <v>30900</v>
      </c>
      <c r="F161" s="460">
        <v>6600</v>
      </c>
      <c r="G161" s="460">
        <v>1000</v>
      </c>
      <c r="H161" s="555">
        <v>17.100000000000001</v>
      </c>
      <c r="I161" s="556">
        <v>3100</v>
      </c>
      <c r="K161" s="148">
        <f t="shared" si="48"/>
        <v>2400</v>
      </c>
      <c r="N161" s="461">
        <v>9.3000000000000007</v>
      </c>
      <c r="O161" s="462">
        <v>11.2</v>
      </c>
    </row>
    <row r="162" spans="1:15">
      <c r="A162" s="460" t="s">
        <v>443</v>
      </c>
      <c r="B162" s="460" t="s">
        <v>446</v>
      </c>
      <c r="C162" s="460">
        <v>1986</v>
      </c>
      <c r="D162" s="460">
        <v>5500</v>
      </c>
      <c r="E162" s="460">
        <v>30900</v>
      </c>
      <c r="F162" s="460">
        <v>7200</v>
      </c>
      <c r="G162" s="460">
        <v>1100</v>
      </c>
      <c r="H162" s="555">
        <v>17.3</v>
      </c>
      <c r="I162" s="556">
        <v>3100</v>
      </c>
      <c r="K162" s="148">
        <f t="shared" si="48"/>
        <v>2400</v>
      </c>
      <c r="N162" s="461">
        <v>8.6999999999999993</v>
      </c>
      <c r="O162" s="462">
        <v>10.8</v>
      </c>
    </row>
    <row r="163" spans="1:15">
      <c r="A163" s="460" t="s">
        <v>443</v>
      </c>
      <c r="B163" s="460" t="s">
        <v>446</v>
      </c>
      <c r="C163" s="460">
        <v>1987</v>
      </c>
      <c r="D163" s="460">
        <v>5100</v>
      </c>
      <c r="E163" s="460">
        <v>30100</v>
      </c>
      <c r="F163" s="460">
        <v>7100</v>
      </c>
      <c r="G163" s="460">
        <v>1000</v>
      </c>
      <c r="H163" s="555">
        <v>17.899999999999999</v>
      </c>
      <c r="I163" s="556">
        <v>2900</v>
      </c>
      <c r="K163" s="148">
        <f t="shared" si="48"/>
        <v>2200</v>
      </c>
      <c r="N163" s="461">
        <v>8.9</v>
      </c>
      <c r="O163" s="462">
        <v>11.2</v>
      </c>
    </row>
    <row r="164" spans="1:15">
      <c r="A164" s="460" t="s">
        <v>443</v>
      </c>
      <c r="B164" s="460" t="s">
        <v>446</v>
      </c>
      <c r="C164" s="460">
        <v>1988</v>
      </c>
      <c r="D164" s="460">
        <v>5300</v>
      </c>
      <c r="E164" s="460">
        <v>30700</v>
      </c>
      <c r="F164" s="460">
        <v>7100</v>
      </c>
      <c r="G164" s="460">
        <v>1000</v>
      </c>
      <c r="H164" s="555">
        <v>18.399999999999999</v>
      </c>
      <c r="I164" s="556">
        <v>3100</v>
      </c>
      <c r="K164" s="148">
        <f t="shared" si="48"/>
        <v>2200</v>
      </c>
      <c r="N164" s="461">
        <v>8.6999999999999993</v>
      </c>
      <c r="O164" s="462">
        <v>11</v>
      </c>
    </row>
    <row r="165" spans="1:15">
      <c r="A165" s="460" t="s">
        <v>443</v>
      </c>
      <c r="B165" s="460" t="s">
        <v>446</v>
      </c>
      <c r="C165" s="460">
        <v>1989</v>
      </c>
      <c r="D165" s="460">
        <v>5100</v>
      </c>
      <c r="E165" s="460">
        <v>31100</v>
      </c>
      <c r="F165" s="460">
        <v>7300</v>
      </c>
      <c r="G165" s="460">
        <v>1200</v>
      </c>
      <c r="H165" s="555">
        <v>18.5</v>
      </c>
      <c r="I165" s="556">
        <v>3200</v>
      </c>
      <c r="K165" s="148">
        <f t="shared" si="48"/>
        <v>1900</v>
      </c>
      <c r="N165" s="461">
        <v>8.8000000000000007</v>
      </c>
      <c r="O165" s="462">
        <v>11.1</v>
      </c>
    </row>
    <row r="166" spans="1:15">
      <c r="A166" s="460" t="s">
        <v>443</v>
      </c>
      <c r="B166" s="460" t="s">
        <v>446</v>
      </c>
      <c r="C166" s="460">
        <v>1990</v>
      </c>
      <c r="D166" s="460">
        <v>5600</v>
      </c>
      <c r="E166" s="460">
        <v>32000</v>
      </c>
      <c r="F166" s="460">
        <v>7600</v>
      </c>
      <c r="G166" s="460">
        <v>1400</v>
      </c>
      <c r="H166" s="555">
        <v>18.5</v>
      </c>
      <c r="I166" s="556">
        <v>3400</v>
      </c>
      <c r="K166" s="148">
        <f t="shared" si="48"/>
        <v>2200</v>
      </c>
      <c r="N166" s="461">
        <v>9</v>
      </c>
      <c r="O166" s="462">
        <v>11.3</v>
      </c>
    </row>
    <row r="167" spans="1:15">
      <c r="A167" s="460" t="s">
        <v>443</v>
      </c>
      <c r="B167" s="460" t="s">
        <v>446</v>
      </c>
      <c r="C167" s="460">
        <v>1991</v>
      </c>
      <c r="D167" s="460">
        <v>5200</v>
      </c>
      <c r="E167" s="460">
        <v>30700</v>
      </c>
      <c r="F167" s="460">
        <v>8100</v>
      </c>
      <c r="G167" s="460">
        <v>1700</v>
      </c>
      <c r="H167" s="555">
        <v>18.7</v>
      </c>
      <c r="I167" s="556">
        <v>3200</v>
      </c>
      <c r="K167" s="148">
        <f t="shared" si="48"/>
        <v>2000</v>
      </c>
      <c r="N167" s="461">
        <v>8.9</v>
      </c>
      <c r="O167" s="462">
        <v>11.5</v>
      </c>
    </row>
    <row r="168" spans="1:15">
      <c r="A168" s="460" t="s">
        <v>443</v>
      </c>
      <c r="B168" s="460" t="s">
        <v>446</v>
      </c>
      <c r="C168" s="460">
        <v>1992</v>
      </c>
      <c r="D168" s="460">
        <v>5000</v>
      </c>
      <c r="E168" s="460">
        <v>29800</v>
      </c>
      <c r="F168" s="460">
        <v>8600</v>
      </c>
      <c r="G168" s="460">
        <v>2100</v>
      </c>
      <c r="H168" s="555">
        <v>19</v>
      </c>
      <c r="I168" s="556">
        <v>3100</v>
      </c>
      <c r="K168" s="148">
        <f t="shared" si="48"/>
        <v>1900</v>
      </c>
      <c r="N168" s="461">
        <v>8.6</v>
      </c>
      <c r="O168" s="462">
        <v>11.4</v>
      </c>
    </row>
    <row r="169" spans="1:15">
      <c r="A169" s="460" t="s">
        <v>443</v>
      </c>
      <c r="B169" s="460" t="s">
        <v>446</v>
      </c>
      <c r="C169" s="460">
        <v>1993</v>
      </c>
      <c r="D169" s="460">
        <v>5000</v>
      </c>
      <c r="E169" s="460">
        <v>30000</v>
      </c>
      <c r="F169" s="460">
        <v>9000</v>
      </c>
      <c r="G169" s="460">
        <v>2400</v>
      </c>
      <c r="H169" s="555">
        <v>19</v>
      </c>
      <c r="I169" s="556">
        <v>3100</v>
      </c>
      <c r="K169" s="148">
        <f t="shared" si="48"/>
        <v>1900</v>
      </c>
      <c r="N169" s="461">
        <v>8.5</v>
      </c>
      <c r="O169" s="462">
        <v>11.5</v>
      </c>
    </row>
    <row r="170" spans="1:15">
      <c r="A170" s="460" t="s">
        <v>443</v>
      </c>
      <c r="B170" s="460" t="s">
        <v>446</v>
      </c>
      <c r="C170" s="460">
        <v>1994</v>
      </c>
      <c r="D170" s="460">
        <v>4800</v>
      </c>
      <c r="E170" s="460">
        <v>30400</v>
      </c>
      <c r="F170" s="460">
        <v>8600</v>
      </c>
      <c r="G170" s="460">
        <v>2400</v>
      </c>
      <c r="H170" s="555">
        <v>19.399999999999999</v>
      </c>
      <c r="I170" s="556">
        <v>3100</v>
      </c>
      <c r="K170" s="148">
        <f t="shared" si="48"/>
        <v>1700</v>
      </c>
      <c r="N170" s="461">
        <v>8.6</v>
      </c>
      <c r="O170" s="462">
        <v>11.6</v>
      </c>
    </row>
    <row r="171" spans="1:15">
      <c r="A171" s="460" t="s">
        <v>443</v>
      </c>
      <c r="B171" s="460" t="s">
        <v>446</v>
      </c>
      <c r="C171" s="460">
        <v>1995</v>
      </c>
      <c r="D171" s="460">
        <v>5200</v>
      </c>
      <c r="E171" s="460">
        <v>32400</v>
      </c>
      <c r="F171" s="460">
        <v>8700</v>
      </c>
      <c r="G171" s="460">
        <v>2400</v>
      </c>
      <c r="H171" s="555">
        <v>19.2</v>
      </c>
      <c r="I171" s="556">
        <v>3400</v>
      </c>
      <c r="K171" s="148">
        <f t="shared" si="48"/>
        <v>1800</v>
      </c>
      <c r="N171" s="461">
        <v>8.6</v>
      </c>
      <c r="O171" s="462">
        <v>11.4</v>
      </c>
    </row>
    <row r="172" spans="1:15">
      <c r="A172" s="460" t="s">
        <v>443</v>
      </c>
      <c r="B172" s="460" t="s">
        <v>446</v>
      </c>
      <c r="C172" s="460">
        <v>1996</v>
      </c>
      <c r="D172" s="460">
        <v>5100</v>
      </c>
      <c r="E172" s="460">
        <v>32400</v>
      </c>
      <c r="F172" s="460">
        <v>8900</v>
      </c>
      <c r="G172" s="460">
        <v>2300</v>
      </c>
      <c r="H172" s="555">
        <v>19.600000000000001</v>
      </c>
      <c r="I172" s="556">
        <v>3400</v>
      </c>
      <c r="K172" s="148">
        <f t="shared" si="48"/>
        <v>1700</v>
      </c>
      <c r="N172" s="461">
        <v>8.3000000000000007</v>
      </c>
      <c r="O172" s="462">
        <v>11.2</v>
      </c>
    </row>
    <row r="173" spans="1:15">
      <c r="A173" s="460" t="s">
        <v>443</v>
      </c>
      <c r="B173" s="460" t="s">
        <v>446</v>
      </c>
      <c r="C173" s="460">
        <v>1997</v>
      </c>
      <c r="D173" s="460">
        <v>5400</v>
      </c>
      <c r="E173" s="460">
        <v>33600</v>
      </c>
      <c r="F173" s="460">
        <v>8700</v>
      </c>
      <c r="G173" s="460">
        <v>2300</v>
      </c>
      <c r="H173" s="555">
        <v>19.8</v>
      </c>
      <c r="I173" s="556">
        <v>3500</v>
      </c>
      <c r="K173" s="148">
        <f t="shared" si="48"/>
        <v>1900</v>
      </c>
      <c r="N173" s="461">
        <v>8.1999999999999993</v>
      </c>
      <c r="O173" s="462">
        <v>10.9</v>
      </c>
    </row>
    <row r="174" spans="1:15">
      <c r="A174" s="460" t="s">
        <v>443</v>
      </c>
      <c r="B174" s="460" t="s">
        <v>446</v>
      </c>
      <c r="C174" s="460">
        <v>1998</v>
      </c>
      <c r="D174" s="460">
        <v>5500</v>
      </c>
      <c r="E174" s="460">
        <v>35400</v>
      </c>
      <c r="F174" s="460">
        <v>8500</v>
      </c>
      <c r="G174" s="460">
        <v>2600</v>
      </c>
      <c r="H174" s="555">
        <v>20</v>
      </c>
      <c r="I174" s="556">
        <v>3700</v>
      </c>
      <c r="K174" s="148">
        <f t="shared" si="48"/>
        <v>1800</v>
      </c>
      <c r="N174" s="461">
        <v>8.1</v>
      </c>
      <c r="O174" s="462">
        <v>10.8</v>
      </c>
    </row>
    <row r="175" spans="1:15">
      <c r="A175" s="460" t="s">
        <v>443</v>
      </c>
      <c r="B175" s="460" t="s">
        <v>446</v>
      </c>
      <c r="C175" s="460">
        <v>1999</v>
      </c>
      <c r="D175" s="460">
        <v>5700</v>
      </c>
      <c r="E175" s="460">
        <v>36800</v>
      </c>
      <c r="F175" s="460">
        <v>8300</v>
      </c>
      <c r="G175" s="460">
        <v>2700</v>
      </c>
      <c r="H175" s="555">
        <v>20.100000000000001</v>
      </c>
      <c r="I175" s="556">
        <v>3900</v>
      </c>
      <c r="K175" s="148">
        <f t="shared" si="48"/>
        <v>1800</v>
      </c>
      <c r="N175" s="461">
        <v>8</v>
      </c>
      <c r="O175" s="462">
        <v>10.6</v>
      </c>
    </row>
    <row r="176" spans="1:15">
      <c r="A176" s="460" t="s">
        <v>443</v>
      </c>
      <c r="B176" s="460" t="s">
        <v>446</v>
      </c>
      <c r="C176" s="460">
        <v>2000</v>
      </c>
      <c r="D176" s="460">
        <v>5700</v>
      </c>
      <c r="E176" s="460">
        <v>37000</v>
      </c>
      <c r="F176" s="460">
        <v>8600</v>
      </c>
      <c r="G176" s="460">
        <v>2700</v>
      </c>
      <c r="H176" s="555">
        <v>20.9</v>
      </c>
      <c r="I176" s="556">
        <v>3900</v>
      </c>
      <c r="K176" s="148">
        <f t="shared" si="48"/>
        <v>1800</v>
      </c>
      <c r="N176" s="461">
        <v>7.8</v>
      </c>
      <c r="O176" s="462">
        <v>10.5</v>
      </c>
    </row>
    <row r="177" spans="1:15">
      <c r="A177" s="460" t="s">
        <v>443</v>
      </c>
      <c r="B177" s="460" t="s">
        <v>446</v>
      </c>
      <c r="C177" s="460">
        <v>2001</v>
      </c>
      <c r="D177" s="460">
        <v>4800</v>
      </c>
      <c r="E177" s="460">
        <v>36000</v>
      </c>
      <c r="F177" s="460">
        <v>9100</v>
      </c>
      <c r="G177" s="460">
        <v>3000</v>
      </c>
      <c r="H177" s="555">
        <v>21.1</v>
      </c>
      <c r="I177" s="556">
        <v>3800</v>
      </c>
      <c r="K177" s="148">
        <f t="shared" si="48"/>
        <v>1000</v>
      </c>
      <c r="N177" s="461">
        <v>8.1</v>
      </c>
      <c r="O177" s="462">
        <v>11</v>
      </c>
    </row>
    <row r="178" spans="1:15">
      <c r="A178" s="460" t="s">
        <v>443</v>
      </c>
      <c r="B178" s="460" t="s">
        <v>446</v>
      </c>
      <c r="C178" s="460">
        <v>2002</v>
      </c>
      <c r="D178" s="460">
        <v>4300</v>
      </c>
      <c r="E178" s="460">
        <v>34700</v>
      </c>
      <c r="F178" s="460">
        <v>9600</v>
      </c>
      <c r="G178" s="460">
        <v>3500</v>
      </c>
      <c r="H178" s="555">
        <v>21.3</v>
      </c>
      <c r="I178" s="556">
        <v>3600</v>
      </c>
      <c r="K178" s="148">
        <f t="shared" si="48"/>
        <v>700</v>
      </c>
      <c r="N178" s="461">
        <v>8.1999999999999993</v>
      </c>
      <c r="O178" s="462">
        <v>11.3</v>
      </c>
    </row>
    <row r="179" spans="1:15">
      <c r="A179" s="460" t="s">
        <v>443</v>
      </c>
      <c r="B179" s="460" t="s">
        <v>446</v>
      </c>
      <c r="C179" s="460">
        <v>2003</v>
      </c>
      <c r="D179" s="460">
        <v>4000</v>
      </c>
      <c r="E179" s="460">
        <v>34200</v>
      </c>
      <c r="F179" s="460">
        <v>9700</v>
      </c>
      <c r="G179" s="460">
        <v>3800</v>
      </c>
      <c r="H179" s="555">
        <v>21.5</v>
      </c>
      <c r="I179" s="556">
        <v>3600</v>
      </c>
      <c r="K179" s="148">
        <f t="shared" si="48"/>
        <v>400</v>
      </c>
      <c r="N179" s="461">
        <v>7.9</v>
      </c>
      <c r="O179" s="462">
        <v>11</v>
      </c>
    </row>
    <row r="180" spans="1:15">
      <c r="A180" s="460" t="s">
        <v>443</v>
      </c>
      <c r="B180" s="460" t="s">
        <v>446</v>
      </c>
      <c r="C180" s="460">
        <v>2004</v>
      </c>
      <c r="D180" s="460">
        <v>4200</v>
      </c>
      <c r="E180" s="460">
        <v>35500</v>
      </c>
      <c r="F180" s="460">
        <v>9500</v>
      </c>
      <c r="G180" s="460">
        <v>4200</v>
      </c>
      <c r="H180" s="555">
        <v>21.6</v>
      </c>
      <c r="I180" s="556">
        <v>3700</v>
      </c>
      <c r="K180" s="148">
        <f t="shared" si="48"/>
        <v>500</v>
      </c>
      <c r="N180" s="461">
        <v>7.7</v>
      </c>
      <c r="O180" s="462">
        <v>10.8</v>
      </c>
    </row>
    <row r="181" spans="1:15">
      <c r="A181" s="460" t="s">
        <v>443</v>
      </c>
      <c r="B181" s="460" t="s">
        <v>446</v>
      </c>
      <c r="C181" s="460">
        <v>2005</v>
      </c>
      <c r="D181" s="460">
        <v>4400</v>
      </c>
      <c r="E181" s="460">
        <v>36400</v>
      </c>
      <c r="F181" s="460">
        <v>9300</v>
      </c>
      <c r="G181" s="460">
        <v>4200</v>
      </c>
      <c r="H181" s="555">
        <v>21.7</v>
      </c>
      <c r="I181" s="556">
        <v>3800</v>
      </c>
      <c r="K181" s="148">
        <f t="shared" si="48"/>
        <v>600</v>
      </c>
      <c r="N181" s="461">
        <v>7.4</v>
      </c>
      <c r="O181" s="462">
        <v>10.3</v>
      </c>
    </row>
    <row r="182" spans="1:15">
      <c r="A182" s="460" t="s">
        <v>443</v>
      </c>
      <c r="B182" s="460" t="s">
        <v>446</v>
      </c>
      <c r="C182" s="460">
        <v>2006</v>
      </c>
      <c r="D182" s="460">
        <v>4500</v>
      </c>
      <c r="E182" s="460">
        <v>37000</v>
      </c>
      <c r="F182" s="460">
        <v>9500</v>
      </c>
      <c r="G182" s="460">
        <v>4000</v>
      </c>
      <c r="H182" s="555">
        <v>22</v>
      </c>
      <c r="I182" s="556">
        <v>3900</v>
      </c>
      <c r="K182" s="148">
        <f t="shared" si="48"/>
        <v>600</v>
      </c>
      <c r="N182" s="461">
        <v>7.2</v>
      </c>
      <c r="O182" s="462">
        <v>10</v>
      </c>
    </row>
    <row r="183" spans="1:15">
      <c r="A183" s="460" t="s">
        <v>443</v>
      </c>
      <c r="B183" s="460" t="s">
        <v>446</v>
      </c>
      <c r="C183" s="460">
        <v>2007</v>
      </c>
      <c r="D183" s="460">
        <v>4900</v>
      </c>
      <c r="E183" s="460">
        <v>39100</v>
      </c>
      <c r="F183" s="460">
        <v>9800</v>
      </c>
      <c r="G183" s="460">
        <v>4100</v>
      </c>
      <c r="H183" s="555">
        <v>22.2</v>
      </c>
      <c r="I183" s="556">
        <v>4100</v>
      </c>
      <c r="K183" s="148">
        <f t="shared" si="48"/>
        <v>800</v>
      </c>
      <c r="N183" s="461">
        <v>7.5</v>
      </c>
      <c r="O183" s="462">
        <v>10.199999999999999</v>
      </c>
    </row>
    <row r="184" spans="1:15">
      <c r="A184" s="460" t="s">
        <v>443</v>
      </c>
      <c r="B184" s="460" t="s">
        <v>446</v>
      </c>
      <c r="C184" s="460">
        <v>2008</v>
      </c>
      <c r="D184" s="460">
        <v>3100</v>
      </c>
      <c r="E184" s="460">
        <v>36900</v>
      </c>
      <c r="F184" s="460">
        <v>10300</v>
      </c>
      <c r="G184" s="460">
        <v>4500</v>
      </c>
      <c r="H184" s="555">
        <v>22.3</v>
      </c>
      <c r="I184" s="556">
        <v>3900</v>
      </c>
      <c r="K184" s="148">
        <f t="shared" si="48"/>
        <v>-800</v>
      </c>
      <c r="N184" s="461">
        <v>7.7</v>
      </c>
      <c r="O184" s="462">
        <v>10.8</v>
      </c>
    </row>
    <row r="185" spans="1:15">
      <c r="A185" s="460" t="s">
        <v>443</v>
      </c>
      <c r="B185" s="460" t="s">
        <v>446</v>
      </c>
      <c r="C185" s="460">
        <v>2009</v>
      </c>
      <c r="D185" s="460">
        <v>2500</v>
      </c>
      <c r="E185" s="460">
        <v>33600</v>
      </c>
      <c r="F185" s="460">
        <v>12400</v>
      </c>
      <c r="G185" s="460">
        <v>5200</v>
      </c>
      <c r="H185" s="555">
        <v>22.6</v>
      </c>
      <c r="I185" s="556">
        <v>3500</v>
      </c>
      <c r="K185" s="148">
        <f t="shared" si="48"/>
        <v>-1000</v>
      </c>
      <c r="N185" s="461">
        <v>7.7</v>
      </c>
      <c r="O185" s="462">
        <v>11.4</v>
      </c>
    </row>
    <row r="186" spans="1:15">
      <c r="A186" s="460" t="s">
        <v>443</v>
      </c>
      <c r="B186" s="460" t="s">
        <v>446</v>
      </c>
      <c r="C186" s="460">
        <v>2010</v>
      </c>
      <c r="D186" s="460">
        <v>2600</v>
      </c>
      <c r="E186" s="460">
        <v>33100</v>
      </c>
      <c r="F186" s="460">
        <v>12400</v>
      </c>
      <c r="G186" s="460">
        <v>5600</v>
      </c>
      <c r="H186" s="555">
        <v>22.9</v>
      </c>
      <c r="I186" s="556">
        <v>3500</v>
      </c>
      <c r="K186" s="148">
        <f t="shared" si="48"/>
        <v>-900</v>
      </c>
      <c r="N186" s="461">
        <v>7.4</v>
      </c>
      <c r="O186" s="462">
        <v>11.2</v>
      </c>
    </row>
    <row r="187" spans="1:15">
      <c r="A187" s="460" t="s">
        <v>443</v>
      </c>
      <c r="B187" s="460" t="s">
        <v>446</v>
      </c>
      <c r="C187" s="460">
        <v>2011</v>
      </c>
      <c r="D187" s="460">
        <v>2700</v>
      </c>
      <c r="E187" s="460">
        <v>33500</v>
      </c>
      <c r="F187" s="460">
        <v>11500</v>
      </c>
      <c r="G187" s="460">
        <v>5700</v>
      </c>
      <c r="H187" s="555">
        <v>23</v>
      </c>
      <c r="I187" s="556">
        <v>3100</v>
      </c>
      <c r="K187" s="148">
        <f t="shared" si="48"/>
        <v>-400</v>
      </c>
      <c r="N187" s="461">
        <v>7.4</v>
      </c>
      <c r="O187" s="462">
        <v>10.9</v>
      </c>
    </row>
    <row r="188" spans="1:15">
      <c r="A188" s="460" t="s">
        <v>443</v>
      </c>
      <c r="B188" s="460" t="s">
        <v>446</v>
      </c>
      <c r="C188" s="460">
        <v>2012</v>
      </c>
      <c r="D188" s="460">
        <v>2700</v>
      </c>
      <c r="E188" s="460">
        <v>33000</v>
      </c>
      <c r="F188" s="460">
        <v>11800</v>
      </c>
      <c r="G188" s="460">
        <v>5700</v>
      </c>
      <c r="H188" s="555">
        <v>23.3</v>
      </c>
      <c r="I188" s="556">
        <v>3000</v>
      </c>
      <c r="K188" s="148">
        <f t="shared" si="48"/>
        <v>-300</v>
      </c>
      <c r="N188" s="461">
        <v>6.9</v>
      </c>
      <c r="O188" s="462">
        <v>10.5</v>
      </c>
    </row>
    <row r="189" spans="1:15">
      <c r="A189" s="460" t="s">
        <v>443</v>
      </c>
      <c r="B189" s="460" t="s">
        <v>446</v>
      </c>
      <c r="C189" s="460">
        <v>2013</v>
      </c>
      <c r="D189" s="460">
        <v>3400</v>
      </c>
      <c r="E189" s="460">
        <v>34000</v>
      </c>
      <c r="F189" s="460">
        <v>11600</v>
      </c>
      <c r="G189" s="460">
        <v>5800</v>
      </c>
      <c r="H189" s="555">
        <v>23.4</v>
      </c>
      <c r="I189" s="556">
        <v>3500</v>
      </c>
      <c r="K189" s="148">
        <f t="shared" si="48"/>
        <v>-100</v>
      </c>
      <c r="N189" s="461">
        <v>7.3</v>
      </c>
      <c r="O189" s="462">
        <v>11</v>
      </c>
    </row>
    <row r="190" spans="1:15">
      <c r="A190" s="460" t="s">
        <v>443</v>
      </c>
      <c r="B190" s="460" t="s">
        <v>446</v>
      </c>
      <c r="C190" s="460">
        <v>2014</v>
      </c>
      <c r="D190" s="460">
        <v>3400</v>
      </c>
      <c r="E190" s="460">
        <v>34400</v>
      </c>
      <c r="F190" s="460">
        <v>11300</v>
      </c>
      <c r="G190" s="460">
        <v>6800</v>
      </c>
      <c r="H190" s="555">
        <v>23.9</v>
      </c>
      <c r="I190" s="556">
        <v>3600</v>
      </c>
      <c r="K190" s="148">
        <f t="shared" si="48"/>
        <v>-200</v>
      </c>
      <c r="N190" s="461">
        <v>7.1</v>
      </c>
      <c r="O190" s="462">
        <v>10.9</v>
      </c>
    </row>
    <row r="191" spans="1:15">
      <c r="A191" s="460" t="s">
        <v>443</v>
      </c>
      <c r="B191" s="460" t="s">
        <v>446</v>
      </c>
      <c r="C191" s="460">
        <v>2015</v>
      </c>
      <c r="D191" s="460">
        <v>3700</v>
      </c>
      <c r="E191" s="460">
        <v>36200</v>
      </c>
      <c r="F191" s="460">
        <v>11500</v>
      </c>
      <c r="G191" s="460">
        <v>7600</v>
      </c>
      <c r="H191" s="555">
        <v>24</v>
      </c>
      <c r="I191" s="556">
        <v>3800</v>
      </c>
      <c r="K191" s="148">
        <f t="shared" si="48"/>
        <v>-100</v>
      </c>
      <c r="N191" s="461">
        <v>7.2</v>
      </c>
      <c r="O191" s="462">
        <v>11</v>
      </c>
    </row>
    <row r="192" spans="1:15">
      <c r="A192" s="460" t="s">
        <v>443</v>
      </c>
      <c r="B192" s="460" t="s">
        <v>446</v>
      </c>
      <c r="C192" s="460">
        <v>2016</v>
      </c>
      <c r="D192" s="460">
        <v>3700</v>
      </c>
      <c r="E192" s="460">
        <v>36600</v>
      </c>
      <c r="F192" s="460">
        <v>11900</v>
      </c>
      <c r="G192" s="460">
        <v>7700</v>
      </c>
      <c r="H192" s="555">
        <v>24</v>
      </c>
      <c r="I192" s="556">
        <v>3800</v>
      </c>
      <c r="K192" s="148">
        <f t="shared" si="48"/>
        <v>-100</v>
      </c>
      <c r="N192" s="461">
        <v>7.3</v>
      </c>
      <c r="O192" s="462">
        <v>11.2</v>
      </c>
    </row>
    <row r="193" spans="1:15">
      <c r="A193" s="460" t="s">
        <v>443</v>
      </c>
      <c r="B193" s="460" t="s">
        <v>447</v>
      </c>
      <c r="C193" s="460">
        <v>1979</v>
      </c>
      <c r="D193" s="460">
        <v>11300</v>
      </c>
      <c r="E193" s="460">
        <v>54800</v>
      </c>
      <c r="F193" s="460">
        <v>2900</v>
      </c>
      <c r="G193" s="460">
        <v>500</v>
      </c>
      <c r="H193" s="555">
        <v>14.6</v>
      </c>
      <c r="I193" s="556">
        <v>5100</v>
      </c>
      <c r="K193" s="148">
        <f t="shared" si="48"/>
        <v>6200</v>
      </c>
      <c r="N193" s="461">
        <v>16.100000000000001</v>
      </c>
      <c r="O193" s="462">
        <v>16</v>
      </c>
    </row>
    <row r="194" spans="1:15">
      <c r="A194" s="460" t="s">
        <v>443</v>
      </c>
      <c r="B194" s="460" t="s">
        <v>447</v>
      </c>
      <c r="C194" s="460">
        <v>1980</v>
      </c>
      <c r="D194" s="460">
        <v>10900</v>
      </c>
      <c r="E194" s="460">
        <v>52200</v>
      </c>
      <c r="F194" s="460">
        <v>3300</v>
      </c>
      <c r="G194" s="460">
        <v>500</v>
      </c>
      <c r="H194" s="555">
        <v>15</v>
      </c>
      <c r="I194" s="556">
        <v>4800</v>
      </c>
      <c r="K194" s="148">
        <f t="shared" si="48"/>
        <v>6100</v>
      </c>
      <c r="N194" s="461">
        <v>16</v>
      </c>
      <c r="O194" s="462">
        <v>15.9</v>
      </c>
    </row>
    <row r="195" spans="1:15">
      <c r="A195" s="460" t="s">
        <v>443</v>
      </c>
      <c r="B195" s="460" t="s">
        <v>447</v>
      </c>
      <c r="C195" s="460">
        <v>1981</v>
      </c>
      <c r="D195" s="460">
        <v>11100</v>
      </c>
      <c r="E195" s="460">
        <v>51900</v>
      </c>
      <c r="F195" s="460">
        <v>3500</v>
      </c>
      <c r="G195" s="460">
        <v>400</v>
      </c>
      <c r="H195" s="555">
        <v>15.3</v>
      </c>
      <c r="I195" s="556">
        <v>5100</v>
      </c>
      <c r="K195" s="148">
        <f t="shared" si="48"/>
        <v>6000</v>
      </c>
      <c r="N195" s="461">
        <v>16</v>
      </c>
      <c r="O195" s="462">
        <v>15.9</v>
      </c>
    </row>
    <row r="196" spans="1:15">
      <c r="A196" s="460" t="s">
        <v>443</v>
      </c>
      <c r="B196" s="460" t="s">
        <v>447</v>
      </c>
      <c r="C196" s="460">
        <v>1982</v>
      </c>
      <c r="D196" s="460">
        <v>10200</v>
      </c>
      <c r="E196" s="460">
        <v>50400</v>
      </c>
      <c r="F196" s="460">
        <v>4400</v>
      </c>
      <c r="G196" s="460">
        <v>400</v>
      </c>
      <c r="H196" s="555">
        <v>15.5</v>
      </c>
      <c r="I196" s="556">
        <v>5000</v>
      </c>
      <c r="K196" s="148">
        <f t="shared" si="48"/>
        <v>5200</v>
      </c>
      <c r="N196" s="461">
        <v>15.8</v>
      </c>
      <c r="O196" s="462">
        <v>15.7</v>
      </c>
    </row>
    <row r="197" spans="1:15">
      <c r="A197" s="460" t="s">
        <v>443</v>
      </c>
      <c r="B197" s="460" t="s">
        <v>447</v>
      </c>
      <c r="C197" s="460">
        <v>1983</v>
      </c>
      <c r="D197" s="460">
        <v>9800</v>
      </c>
      <c r="E197" s="460">
        <v>49500</v>
      </c>
      <c r="F197" s="460">
        <v>4500</v>
      </c>
      <c r="G197" s="460">
        <v>300</v>
      </c>
      <c r="H197" s="555">
        <v>15.9</v>
      </c>
      <c r="I197" s="556">
        <v>4900</v>
      </c>
      <c r="K197" s="148">
        <f t="shared" si="48"/>
        <v>4900</v>
      </c>
      <c r="N197" s="461">
        <v>15.4</v>
      </c>
      <c r="O197" s="462">
        <v>15.4</v>
      </c>
    </row>
    <row r="198" spans="1:15">
      <c r="A198" s="460" t="s">
        <v>443</v>
      </c>
      <c r="B198" s="460" t="s">
        <v>447</v>
      </c>
      <c r="C198" s="460">
        <v>1984</v>
      </c>
      <c r="D198" s="460">
        <v>10600</v>
      </c>
      <c r="E198" s="460">
        <v>52700</v>
      </c>
      <c r="F198" s="460">
        <v>4400</v>
      </c>
      <c r="G198" s="460">
        <v>400</v>
      </c>
      <c r="H198" s="555">
        <v>16.100000000000001</v>
      </c>
      <c r="I198" s="556">
        <v>5300</v>
      </c>
      <c r="K198" s="148">
        <f t="shared" si="48"/>
        <v>5300</v>
      </c>
      <c r="N198" s="461">
        <v>15.4</v>
      </c>
      <c r="O198" s="462">
        <v>15.4</v>
      </c>
    </row>
    <row r="199" spans="1:15">
      <c r="A199" s="460" t="s">
        <v>443</v>
      </c>
      <c r="B199" s="460" t="s">
        <v>447</v>
      </c>
      <c r="C199" s="460">
        <v>1985</v>
      </c>
      <c r="D199" s="460">
        <v>10700</v>
      </c>
      <c r="E199" s="460">
        <v>52900</v>
      </c>
      <c r="F199" s="460">
        <v>4500</v>
      </c>
      <c r="G199" s="460">
        <v>400</v>
      </c>
      <c r="H199" s="555">
        <v>16.3</v>
      </c>
      <c r="I199" s="556">
        <v>5500</v>
      </c>
      <c r="K199" s="148">
        <f t="shared" si="48"/>
        <v>5200</v>
      </c>
      <c r="N199" s="461">
        <v>15.1</v>
      </c>
      <c r="O199" s="462">
        <v>15.2</v>
      </c>
    </row>
    <row r="200" spans="1:15">
      <c r="A200" s="460" t="s">
        <v>443</v>
      </c>
      <c r="B200" s="460" t="s">
        <v>447</v>
      </c>
      <c r="C200" s="460">
        <v>1986</v>
      </c>
      <c r="D200" s="460">
        <v>11000</v>
      </c>
      <c r="E200" s="460">
        <v>53900</v>
      </c>
      <c r="F200" s="460">
        <v>4700</v>
      </c>
      <c r="G200" s="460">
        <v>400</v>
      </c>
      <c r="H200" s="555">
        <v>16.600000000000001</v>
      </c>
      <c r="I200" s="556">
        <v>5700</v>
      </c>
      <c r="K200" s="148">
        <f t="shared" si="48"/>
        <v>5300</v>
      </c>
      <c r="N200" s="461">
        <v>14.5</v>
      </c>
      <c r="O200" s="462">
        <v>14.6</v>
      </c>
    </row>
    <row r="201" spans="1:15">
      <c r="A201" s="460" t="s">
        <v>443</v>
      </c>
      <c r="B201" s="460" t="s">
        <v>447</v>
      </c>
      <c r="C201" s="460">
        <v>1987</v>
      </c>
      <c r="D201" s="460">
        <v>10800</v>
      </c>
      <c r="E201" s="460">
        <v>53600</v>
      </c>
      <c r="F201" s="460">
        <v>4400</v>
      </c>
      <c r="G201" s="460">
        <v>400</v>
      </c>
      <c r="H201" s="555">
        <v>17.2</v>
      </c>
      <c r="I201" s="556">
        <v>5700</v>
      </c>
      <c r="K201" s="148">
        <f t="shared" si="48"/>
        <v>5100</v>
      </c>
      <c r="N201" s="461">
        <v>15.2</v>
      </c>
      <c r="O201" s="462">
        <v>15.4</v>
      </c>
    </row>
    <row r="202" spans="1:15">
      <c r="A202" s="460" t="s">
        <v>443</v>
      </c>
      <c r="B202" s="460" t="s">
        <v>447</v>
      </c>
      <c r="C202" s="460">
        <v>1988</v>
      </c>
      <c r="D202" s="460">
        <v>11200</v>
      </c>
      <c r="E202" s="460">
        <v>54600</v>
      </c>
      <c r="F202" s="460">
        <v>4400</v>
      </c>
      <c r="G202" s="460">
        <v>400</v>
      </c>
      <c r="H202" s="555">
        <v>17.3</v>
      </c>
      <c r="I202" s="556">
        <v>6000</v>
      </c>
      <c r="K202" s="148">
        <f t="shared" si="48"/>
        <v>5200</v>
      </c>
      <c r="N202" s="461">
        <v>14.6</v>
      </c>
      <c r="O202" s="462">
        <v>14.9</v>
      </c>
    </row>
    <row r="203" spans="1:15">
      <c r="A203" s="460" t="s">
        <v>443</v>
      </c>
      <c r="B203" s="460" t="s">
        <v>447</v>
      </c>
      <c r="C203" s="460">
        <v>1989</v>
      </c>
      <c r="D203" s="460">
        <v>11300</v>
      </c>
      <c r="E203" s="460">
        <v>55000</v>
      </c>
      <c r="F203" s="460">
        <v>4500</v>
      </c>
      <c r="G203" s="460">
        <v>400</v>
      </c>
      <c r="H203" s="555">
        <v>17.600000000000001</v>
      </c>
      <c r="I203" s="556">
        <v>6000</v>
      </c>
      <c r="K203" s="148">
        <f t="shared" si="48"/>
        <v>5300</v>
      </c>
      <c r="N203" s="461">
        <v>14.8</v>
      </c>
      <c r="O203" s="462">
        <v>15</v>
      </c>
    </row>
    <row r="204" spans="1:15">
      <c r="A204" s="460" t="s">
        <v>443</v>
      </c>
      <c r="B204" s="460" t="s">
        <v>447</v>
      </c>
      <c r="C204" s="460">
        <v>1990</v>
      </c>
      <c r="D204" s="460">
        <v>11400</v>
      </c>
      <c r="E204" s="460">
        <v>55200</v>
      </c>
      <c r="F204" s="460">
        <v>4800</v>
      </c>
      <c r="G204" s="460">
        <v>500</v>
      </c>
      <c r="H204" s="555">
        <v>17.5</v>
      </c>
      <c r="I204" s="556">
        <v>6100</v>
      </c>
      <c r="K204" s="148">
        <f t="shared" si="48"/>
        <v>5300</v>
      </c>
      <c r="N204" s="461">
        <v>14.8</v>
      </c>
      <c r="O204" s="462">
        <v>15</v>
      </c>
    </row>
    <row r="205" spans="1:15">
      <c r="A205" s="460" t="s">
        <v>443</v>
      </c>
      <c r="B205" s="460" t="s">
        <v>447</v>
      </c>
      <c r="C205" s="460">
        <v>1991</v>
      </c>
      <c r="D205" s="460">
        <v>11000</v>
      </c>
      <c r="E205" s="460">
        <v>53500</v>
      </c>
      <c r="F205" s="460">
        <v>5300</v>
      </c>
      <c r="G205" s="460">
        <v>600</v>
      </c>
      <c r="H205" s="555">
        <v>18.100000000000001</v>
      </c>
      <c r="I205" s="556">
        <v>5900</v>
      </c>
      <c r="K205" s="148">
        <f t="shared" si="48"/>
        <v>5100</v>
      </c>
      <c r="N205" s="461">
        <v>15</v>
      </c>
      <c r="O205" s="462">
        <v>15.3</v>
      </c>
    </row>
    <row r="206" spans="1:15">
      <c r="A206" s="460" t="s">
        <v>443</v>
      </c>
      <c r="B206" s="460" t="s">
        <v>447</v>
      </c>
      <c r="C206" s="460">
        <v>1992</v>
      </c>
      <c r="D206" s="460">
        <v>10900</v>
      </c>
      <c r="E206" s="460">
        <v>53800</v>
      </c>
      <c r="F206" s="460">
        <v>5500</v>
      </c>
      <c r="G206" s="460">
        <v>800</v>
      </c>
      <c r="H206" s="555">
        <v>18</v>
      </c>
      <c r="I206" s="556">
        <v>5900</v>
      </c>
      <c r="K206" s="148">
        <f t="shared" si="48"/>
        <v>5000</v>
      </c>
      <c r="N206" s="461">
        <v>14.7</v>
      </c>
      <c r="O206" s="462">
        <v>15</v>
      </c>
    </row>
    <row r="207" spans="1:15">
      <c r="A207" s="460" t="s">
        <v>443</v>
      </c>
      <c r="B207" s="460" t="s">
        <v>447</v>
      </c>
      <c r="C207" s="460">
        <v>1993</v>
      </c>
      <c r="D207" s="460">
        <v>11000</v>
      </c>
      <c r="E207" s="460">
        <v>53900</v>
      </c>
      <c r="F207" s="460">
        <v>5400</v>
      </c>
      <c r="G207" s="460">
        <v>900</v>
      </c>
      <c r="H207" s="555">
        <v>18.2</v>
      </c>
      <c r="I207" s="556">
        <v>5900</v>
      </c>
      <c r="K207" s="148">
        <f t="shared" si="48"/>
        <v>5100</v>
      </c>
      <c r="N207" s="461">
        <v>14.7</v>
      </c>
      <c r="O207" s="462">
        <v>15</v>
      </c>
    </row>
    <row r="208" spans="1:15">
      <c r="A208" s="460" t="s">
        <v>443</v>
      </c>
      <c r="B208" s="460" t="s">
        <v>447</v>
      </c>
      <c r="C208" s="460">
        <v>1994</v>
      </c>
      <c r="D208" s="460">
        <v>11200</v>
      </c>
      <c r="E208" s="460">
        <v>54500</v>
      </c>
      <c r="F208" s="460">
        <v>5200</v>
      </c>
      <c r="G208" s="460">
        <v>900</v>
      </c>
      <c r="H208" s="555">
        <v>18.7</v>
      </c>
      <c r="I208" s="556">
        <v>6000</v>
      </c>
      <c r="K208" s="148">
        <f t="shared" ref="K208:K271" si="49">D208-I208</f>
        <v>5200</v>
      </c>
      <c r="N208" s="461">
        <v>14.7</v>
      </c>
      <c r="O208" s="462">
        <v>15</v>
      </c>
    </row>
    <row r="209" spans="1:15">
      <c r="A209" s="460" t="s">
        <v>443</v>
      </c>
      <c r="B209" s="460" t="s">
        <v>447</v>
      </c>
      <c r="C209" s="460">
        <v>1995</v>
      </c>
      <c r="D209" s="460">
        <v>11700</v>
      </c>
      <c r="E209" s="460">
        <v>56500</v>
      </c>
      <c r="F209" s="460">
        <v>5300</v>
      </c>
      <c r="G209" s="460">
        <v>1000</v>
      </c>
      <c r="H209" s="555">
        <v>18.600000000000001</v>
      </c>
      <c r="I209" s="556">
        <v>6200</v>
      </c>
      <c r="K209" s="148">
        <f t="shared" si="49"/>
        <v>5500</v>
      </c>
      <c r="N209" s="461">
        <v>14.5</v>
      </c>
      <c r="O209" s="462">
        <v>14.9</v>
      </c>
    </row>
    <row r="210" spans="1:15">
      <c r="A210" s="460" t="s">
        <v>443</v>
      </c>
      <c r="B210" s="460" t="s">
        <v>447</v>
      </c>
      <c r="C210" s="460">
        <v>1996</v>
      </c>
      <c r="D210" s="460">
        <v>11800</v>
      </c>
      <c r="E210" s="460">
        <v>57000</v>
      </c>
      <c r="F210" s="460">
        <v>5800</v>
      </c>
      <c r="G210" s="460">
        <v>900</v>
      </c>
      <c r="H210" s="555">
        <v>19</v>
      </c>
      <c r="I210" s="556">
        <v>6300</v>
      </c>
      <c r="K210" s="148">
        <f t="shared" si="49"/>
        <v>5500</v>
      </c>
      <c r="N210" s="461">
        <v>14.1</v>
      </c>
      <c r="O210" s="462">
        <v>14.7</v>
      </c>
    </row>
    <row r="211" spans="1:15">
      <c r="A211" s="460" t="s">
        <v>443</v>
      </c>
      <c r="B211" s="460" t="s">
        <v>447</v>
      </c>
      <c r="C211" s="460">
        <v>1997</v>
      </c>
      <c r="D211" s="460">
        <v>12100</v>
      </c>
      <c r="E211" s="460">
        <v>58300</v>
      </c>
      <c r="F211" s="460">
        <v>5800</v>
      </c>
      <c r="G211" s="460">
        <v>900</v>
      </c>
      <c r="H211" s="555">
        <v>19.3</v>
      </c>
      <c r="I211" s="556">
        <v>6400</v>
      </c>
      <c r="K211" s="148">
        <f t="shared" si="49"/>
        <v>5700</v>
      </c>
      <c r="N211" s="461">
        <v>13.8</v>
      </c>
      <c r="O211" s="462">
        <v>14.4</v>
      </c>
    </row>
    <row r="212" spans="1:15">
      <c r="A212" s="460" t="s">
        <v>443</v>
      </c>
      <c r="B212" s="460" t="s">
        <v>447</v>
      </c>
      <c r="C212" s="460">
        <v>1998</v>
      </c>
      <c r="D212" s="460">
        <v>12100</v>
      </c>
      <c r="E212" s="460">
        <v>60500</v>
      </c>
      <c r="F212" s="460">
        <v>5800</v>
      </c>
      <c r="G212" s="460">
        <v>900</v>
      </c>
      <c r="H212" s="555">
        <v>19.600000000000001</v>
      </c>
      <c r="I212" s="556">
        <v>6700</v>
      </c>
      <c r="K212" s="148">
        <f t="shared" si="49"/>
        <v>5400</v>
      </c>
      <c r="N212" s="461">
        <v>13.6</v>
      </c>
      <c r="O212" s="462">
        <v>14.2</v>
      </c>
    </row>
    <row r="213" spans="1:15">
      <c r="A213" s="460" t="s">
        <v>443</v>
      </c>
      <c r="B213" s="460" t="s">
        <v>447</v>
      </c>
      <c r="C213" s="460">
        <v>1999</v>
      </c>
      <c r="D213" s="460">
        <v>12600</v>
      </c>
      <c r="E213" s="460">
        <v>62700</v>
      </c>
      <c r="F213" s="460">
        <v>5500</v>
      </c>
      <c r="G213" s="460">
        <v>1100</v>
      </c>
      <c r="H213" s="555">
        <v>19.7</v>
      </c>
      <c r="I213" s="556">
        <v>6900</v>
      </c>
      <c r="K213" s="148">
        <f t="shared" si="49"/>
        <v>5700</v>
      </c>
      <c r="N213" s="461">
        <v>13.3</v>
      </c>
      <c r="O213" s="462">
        <v>14</v>
      </c>
    </row>
    <row r="214" spans="1:15">
      <c r="A214" s="460" t="s">
        <v>443</v>
      </c>
      <c r="B214" s="460" t="s">
        <v>447</v>
      </c>
      <c r="C214" s="460">
        <v>2000</v>
      </c>
      <c r="D214" s="460">
        <v>12500</v>
      </c>
      <c r="E214" s="460">
        <v>63000</v>
      </c>
      <c r="F214" s="460">
        <v>5700</v>
      </c>
      <c r="G214" s="460">
        <v>1100</v>
      </c>
      <c r="H214" s="555">
        <v>20.399999999999999</v>
      </c>
      <c r="I214" s="556">
        <v>6900</v>
      </c>
      <c r="K214" s="148">
        <f t="shared" si="49"/>
        <v>5600</v>
      </c>
      <c r="N214" s="461">
        <v>13</v>
      </c>
      <c r="O214" s="462">
        <v>13.8</v>
      </c>
    </row>
    <row r="215" spans="1:15">
      <c r="A215" s="460" t="s">
        <v>443</v>
      </c>
      <c r="B215" s="460" t="s">
        <v>447</v>
      </c>
      <c r="C215" s="460">
        <v>2001</v>
      </c>
      <c r="D215" s="460">
        <v>11300</v>
      </c>
      <c r="E215" s="460">
        <v>62300</v>
      </c>
      <c r="F215" s="460">
        <v>6300</v>
      </c>
      <c r="G215" s="460">
        <v>1300</v>
      </c>
      <c r="H215" s="555">
        <v>20.5</v>
      </c>
      <c r="I215" s="556">
        <v>6900</v>
      </c>
      <c r="K215" s="148">
        <f t="shared" si="49"/>
        <v>4400</v>
      </c>
      <c r="N215" s="461">
        <v>13.6</v>
      </c>
      <c r="O215" s="462">
        <v>14.4</v>
      </c>
    </row>
    <row r="216" spans="1:15">
      <c r="A216" s="460" t="s">
        <v>443</v>
      </c>
      <c r="B216" s="460" t="s">
        <v>447</v>
      </c>
      <c r="C216" s="460">
        <v>2002</v>
      </c>
      <c r="D216" s="460">
        <v>10600</v>
      </c>
      <c r="E216" s="460">
        <v>60300</v>
      </c>
      <c r="F216" s="460">
        <v>6500</v>
      </c>
      <c r="G216" s="460">
        <v>1500</v>
      </c>
      <c r="H216" s="555">
        <v>20.9</v>
      </c>
      <c r="I216" s="556">
        <v>6600</v>
      </c>
      <c r="K216" s="148">
        <f t="shared" si="49"/>
        <v>4000</v>
      </c>
      <c r="N216" s="461">
        <v>13.8</v>
      </c>
      <c r="O216" s="462">
        <v>14.6</v>
      </c>
    </row>
    <row r="217" spans="1:15">
      <c r="A217" s="460" t="s">
        <v>443</v>
      </c>
      <c r="B217" s="460" t="s">
        <v>447</v>
      </c>
      <c r="C217" s="460">
        <v>2003</v>
      </c>
      <c r="D217" s="460">
        <v>10100</v>
      </c>
      <c r="E217" s="460">
        <v>60300</v>
      </c>
      <c r="F217" s="460">
        <v>6600</v>
      </c>
      <c r="G217" s="460">
        <v>1700</v>
      </c>
      <c r="H217" s="555">
        <v>21</v>
      </c>
      <c r="I217" s="556">
        <v>6600</v>
      </c>
      <c r="K217" s="148">
        <f t="shared" si="49"/>
        <v>3500</v>
      </c>
      <c r="N217" s="461">
        <v>13.6</v>
      </c>
      <c r="O217" s="462">
        <v>14.4</v>
      </c>
    </row>
    <row r="218" spans="1:15">
      <c r="A218" s="460" t="s">
        <v>443</v>
      </c>
      <c r="B218" s="460" t="s">
        <v>447</v>
      </c>
      <c r="C218" s="460">
        <v>2004</v>
      </c>
      <c r="D218" s="460">
        <v>10500</v>
      </c>
      <c r="E218" s="460">
        <v>62300</v>
      </c>
      <c r="F218" s="460">
        <v>6600</v>
      </c>
      <c r="G218" s="460">
        <v>1800</v>
      </c>
      <c r="H218" s="555">
        <v>21.3</v>
      </c>
      <c r="I218" s="556">
        <v>6700</v>
      </c>
      <c r="K218" s="148">
        <f t="shared" si="49"/>
        <v>3800</v>
      </c>
      <c r="N218" s="461">
        <v>13.3</v>
      </c>
      <c r="O218" s="462">
        <v>14.1</v>
      </c>
    </row>
    <row r="219" spans="1:15">
      <c r="A219" s="460" t="s">
        <v>443</v>
      </c>
      <c r="B219" s="460" t="s">
        <v>447</v>
      </c>
      <c r="C219" s="460">
        <v>2005</v>
      </c>
      <c r="D219" s="460">
        <v>10900</v>
      </c>
      <c r="E219" s="460">
        <v>63300</v>
      </c>
      <c r="F219" s="460">
        <v>6600</v>
      </c>
      <c r="G219" s="460">
        <v>1800</v>
      </c>
      <c r="H219" s="555">
        <v>21.6</v>
      </c>
      <c r="I219" s="556">
        <v>6800</v>
      </c>
      <c r="K219" s="148">
        <f t="shared" si="49"/>
        <v>4100</v>
      </c>
      <c r="N219" s="461">
        <v>12.8</v>
      </c>
      <c r="O219" s="462">
        <v>13.7</v>
      </c>
    </row>
    <row r="220" spans="1:15">
      <c r="A220" s="460" t="s">
        <v>443</v>
      </c>
      <c r="B220" s="460" t="s">
        <v>447</v>
      </c>
      <c r="C220" s="460">
        <v>2006</v>
      </c>
      <c r="D220" s="460">
        <v>11100</v>
      </c>
      <c r="E220" s="460">
        <v>63700</v>
      </c>
      <c r="F220" s="460">
        <v>7000</v>
      </c>
      <c r="G220" s="460">
        <v>1700</v>
      </c>
      <c r="H220" s="555">
        <v>22.2</v>
      </c>
      <c r="I220" s="556">
        <v>6800</v>
      </c>
      <c r="K220" s="148">
        <f t="shared" si="49"/>
        <v>4300</v>
      </c>
      <c r="N220" s="461">
        <v>12.6</v>
      </c>
      <c r="O220" s="462">
        <v>13.5</v>
      </c>
    </row>
    <row r="221" spans="1:15">
      <c r="A221" s="460" t="s">
        <v>443</v>
      </c>
      <c r="B221" s="460" t="s">
        <v>447</v>
      </c>
      <c r="C221" s="460">
        <v>2007</v>
      </c>
      <c r="D221" s="460">
        <v>11500</v>
      </c>
      <c r="E221" s="460">
        <v>66100</v>
      </c>
      <c r="F221" s="460">
        <v>7000</v>
      </c>
      <c r="G221" s="460">
        <v>1900</v>
      </c>
      <c r="H221" s="555">
        <v>22</v>
      </c>
      <c r="I221" s="556">
        <v>7100</v>
      </c>
      <c r="K221" s="148">
        <f t="shared" si="49"/>
        <v>4400</v>
      </c>
      <c r="N221" s="461">
        <v>12.5</v>
      </c>
      <c r="O221" s="462">
        <v>13.3</v>
      </c>
    </row>
    <row r="222" spans="1:15">
      <c r="A222" s="460" t="s">
        <v>443</v>
      </c>
      <c r="B222" s="460" t="s">
        <v>447</v>
      </c>
      <c r="C222" s="460">
        <v>2008</v>
      </c>
      <c r="D222" s="460">
        <v>9100</v>
      </c>
      <c r="E222" s="460">
        <v>63300</v>
      </c>
      <c r="F222" s="460">
        <v>7500</v>
      </c>
      <c r="G222" s="460">
        <v>2000</v>
      </c>
      <c r="H222" s="555">
        <v>22.2</v>
      </c>
      <c r="I222" s="556">
        <v>6800</v>
      </c>
      <c r="K222" s="148">
        <f t="shared" si="49"/>
        <v>2300</v>
      </c>
      <c r="N222" s="461">
        <v>13.1</v>
      </c>
      <c r="O222" s="462">
        <v>14</v>
      </c>
    </row>
    <row r="223" spans="1:15">
      <c r="A223" s="460" t="s">
        <v>443</v>
      </c>
      <c r="B223" s="460" t="s">
        <v>447</v>
      </c>
      <c r="C223" s="460">
        <v>2009</v>
      </c>
      <c r="D223" s="460">
        <v>8500</v>
      </c>
      <c r="E223" s="460">
        <v>60300</v>
      </c>
      <c r="F223" s="460">
        <v>9100</v>
      </c>
      <c r="G223" s="460">
        <v>2400</v>
      </c>
      <c r="H223" s="555">
        <v>22.2</v>
      </c>
      <c r="I223" s="556">
        <v>6500</v>
      </c>
      <c r="K223" s="148">
        <f t="shared" si="49"/>
        <v>2000</v>
      </c>
      <c r="N223" s="461">
        <v>13.5</v>
      </c>
      <c r="O223" s="462">
        <v>14.5</v>
      </c>
    </row>
    <row r="224" spans="1:15">
      <c r="A224" s="460" t="s">
        <v>443</v>
      </c>
      <c r="B224" s="460" t="s">
        <v>447</v>
      </c>
      <c r="C224" s="460">
        <v>2010</v>
      </c>
      <c r="D224" s="460">
        <v>8700</v>
      </c>
      <c r="E224" s="460">
        <v>59200</v>
      </c>
      <c r="F224" s="460">
        <v>9400</v>
      </c>
      <c r="G224" s="460">
        <v>2500</v>
      </c>
      <c r="H224" s="555">
        <v>22.6</v>
      </c>
      <c r="I224" s="556">
        <v>6300</v>
      </c>
      <c r="K224" s="148">
        <f t="shared" si="49"/>
        <v>2400</v>
      </c>
      <c r="N224" s="461">
        <v>13</v>
      </c>
      <c r="O224" s="462">
        <v>14.2</v>
      </c>
    </row>
    <row r="225" spans="1:15">
      <c r="A225" s="460" t="s">
        <v>443</v>
      </c>
      <c r="B225" s="460" t="s">
        <v>447</v>
      </c>
      <c r="C225" s="460">
        <v>2011</v>
      </c>
      <c r="D225" s="460">
        <v>8600</v>
      </c>
      <c r="E225" s="460">
        <v>59100</v>
      </c>
      <c r="F225" s="460">
        <v>8900</v>
      </c>
      <c r="G225" s="460">
        <v>2600</v>
      </c>
      <c r="H225" s="555">
        <v>23</v>
      </c>
      <c r="I225" s="556">
        <v>5400</v>
      </c>
      <c r="K225" s="148">
        <f t="shared" si="49"/>
        <v>3200</v>
      </c>
      <c r="N225" s="461">
        <v>13</v>
      </c>
      <c r="O225" s="462">
        <v>14.2</v>
      </c>
    </row>
    <row r="226" spans="1:15">
      <c r="A226" s="460" t="s">
        <v>443</v>
      </c>
      <c r="B226" s="460" t="s">
        <v>447</v>
      </c>
      <c r="C226" s="460">
        <v>2012</v>
      </c>
      <c r="D226" s="460">
        <v>8700</v>
      </c>
      <c r="E226" s="460">
        <v>59100</v>
      </c>
      <c r="F226" s="460">
        <v>9000</v>
      </c>
      <c r="G226" s="460">
        <v>2500</v>
      </c>
      <c r="H226" s="555">
        <v>23.2</v>
      </c>
      <c r="I226" s="556">
        <v>5400</v>
      </c>
      <c r="K226" s="148">
        <f t="shared" si="49"/>
        <v>3300</v>
      </c>
      <c r="N226" s="461">
        <v>12.4</v>
      </c>
      <c r="O226" s="462">
        <v>13.6</v>
      </c>
    </row>
    <row r="227" spans="1:15">
      <c r="A227" s="460" t="s">
        <v>443</v>
      </c>
      <c r="B227" s="460" t="s">
        <v>447</v>
      </c>
      <c r="C227" s="460">
        <v>2013</v>
      </c>
      <c r="D227" s="460">
        <v>10000</v>
      </c>
      <c r="E227" s="460">
        <v>60600</v>
      </c>
      <c r="F227" s="460">
        <v>8800</v>
      </c>
      <c r="G227" s="460">
        <v>2600</v>
      </c>
      <c r="H227" s="555">
        <v>23.3</v>
      </c>
      <c r="I227" s="556">
        <v>6400</v>
      </c>
      <c r="K227" s="148">
        <f t="shared" si="49"/>
        <v>3600</v>
      </c>
      <c r="N227" s="461">
        <v>12.9</v>
      </c>
      <c r="O227" s="462">
        <v>14.1</v>
      </c>
    </row>
    <row r="228" spans="1:15">
      <c r="A228" s="460" t="s">
        <v>443</v>
      </c>
      <c r="B228" s="460" t="s">
        <v>447</v>
      </c>
      <c r="C228" s="460">
        <v>2014</v>
      </c>
      <c r="D228" s="460">
        <v>10300</v>
      </c>
      <c r="E228" s="460">
        <v>61900</v>
      </c>
      <c r="F228" s="460">
        <v>8900</v>
      </c>
      <c r="G228" s="460">
        <v>3200</v>
      </c>
      <c r="H228" s="555">
        <v>23.4</v>
      </c>
      <c r="I228" s="556">
        <v>6500</v>
      </c>
      <c r="K228" s="148">
        <f t="shared" si="49"/>
        <v>3800</v>
      </c>
      <c r="N228" s="461">
        <v>12.6</v>
      </c>
      <c r="O228" s="462">
        <v>13.9</v>
      </c>
    </row>
    <row r="229" spans="1:15">
      <c r="A229" s="460" t="s">
        <v>443</v>
      </c>
      <c r="B229" s="460" t="s">
        <v>447</v>
      </c>
      <c r="C229" s="460">
        <v>2015</v>
      </c>
      <c r="D229" s="460">
        <v>10700</v>
      </c>
      <c r="E229" s="460">
        <v>63900</v>
      </c>
      <c r="F229" s="460">
        <v>9100</v>
      </c>
      <c r="G229" s="460">
        <v>3600</v>
      </c>
      <c r="H229" s="555">
        <v>23.9</v>
      </c>
      <c r="I229" s="556">
        <v>6700</v>
      </c>
      <c r="K229" s="148">
        <f t="shared" si="49"/>
        <v>4000</v>
      </c>
      <c r="N229" s="461">
        <v>12.6</v>
      </c>
      <c r="O229" s="462">
        <v>14</v>
      </c>
    </row>
    <row r="230" spans="1:15">
      <c r="A230" s="460" t="s">
        <v>443</v>
      </c>
      <c r="B230" s="460" t="s">
        <v>447</v>
      </c>
      <c r="C230" s="460">
        <v>2016</v>
      </c>
      <c r="D230" s="460">
        <v>10800</v>
      </c>
      <c r="E230" s="460">
        <v>64400</v>
      </c>
      <c r="F230" s="460">
        <v>9000</v>
      </c>
      <c r="G230" s="460">
        <v>3700</v>
      </c>
      <c r="H230" s="555">
        <v>23.8</v>
      </c>
      <c r="I230" s="556">
        <v>6900</v>
      </c>
      <c r="K230" s="148">
        <f t="shared" si="49"/>
        <v>3900</v>
      </c>
      <c r="N230" s="461">
        <v>12.8</v>
      </c>
      <c r="O230" s="462">
        <v>14</v>
      </c>
    </row>
    <row r="231" spans="1:15">
      <c r="A231" s="460" t="s">
        <v>443</v>
      </c>
      <c r="B231" s="460" t="s">
        <v>448</v>
      </c>
      <c r="C231" s="460">
        <v>1979</v>
      </c>
      <c r="D231" s="460">
        <v>17300</v>
      </c>
      <c r="E231" s="460">
        <v>75900</v>
      </c>
      <c r="F231" s="460">
        <v>2200</v>
      </c>
      <c r="G231" s="460">
        <v>200</v>
      </c>
      <c r="H231" s="555">
        <v>15.1</v>
      </c>
      <c r="I231" s="556">
        <v>6800</v>
      </c>
      <c r="K231" s="148">
        <f t="shared" si="49"/>
        <v>10500</v>
      </c>
      <c r="N231" s="461">
        <v>23</v>
      </c>
      <c r="O231" s="462">
        <v>21.6</v>
      </c>
    </row>
    <row r="232" spans="1:15">
      <c r="A232" s="460" t="s">
        <v>443</v>
      </c>
      <c r="B232" s="460" t="s">
        <v>448</v>
      </c>
      <c r="C232" s="460">
        <v>1980</v>
      </c>
      <c r="D232" s="460">
        <v>17000</v>
      </c>
      <c r="E232" s="460">
        <v>73600</v>
      </c>
      <c r="F232" s="460">
        <v>2400</v>
      </c>
      <c r="G232" s="460">
        <v>200</v>
      </c>
      <c r="H232" s="555">
        <v>15.3</v>
      </c>
      <c r="I232" s="556">
        <v>6700</v>
      </c>
      <c r="K232" s="148">
        <f t="shared" si="49"/>
        <v>10300</v>
      </c>
      <c r="N232" s="461">
        <v>23.1</v>
      </c>
      <c r="O232" s="462">
        <v>21.4</v>
      </c>
    </row>
    <row r="233" spans="1:15">
      <c r="A233" s="460" t="s">
        <v>443</v>
      </c>
      <c r="B233" s="460" t="s">
        <v>448</v>
      </c>
      <c r="C233" s="460">
        <v>1981</v>
      </c>
      <c r="D233" s="460">
        <v>17800</v>
      </c>
      <c r="E233" s="460">
        <v>74300</v>
      </c>
      <c r="F233" s="460">
        <v>2700</v>
      </c>
      <c r="G233" s="460">
        <v>200</v>
      </c>
      <c r="H233" s="555">
        <v>15.4</v>
      </c>
      <c r="I233" s="556">
        <v>7300</v>
      </c>
      <c r="K233" s="148">
        <f t="shared" si="49"/>
        <v>10500</v>
      </c>
      <c r="N233" s="461">
        <v>23.1</v>
      </c>
      <c r="O233" s="462">
        <v>21.3</v>
      </c>
    </row>
    <row r="234" spans="1:15">
      <c r="A234" s="460" t="s">
        <v>443</v>
      </c>
      <c r="B234" s="460" t="s">
        <v>448</v>
      </c>
      <c r="C234" s="460">
        <v>1982</v>
      </c>
      <c r="D234" s="460">
        <v>16400</v>
      </c>
      <c r="E234" s="460">
        <v>73200</v>
      </c>
      <c r="F234" s="460">
        <v>3000</v>
      </c>
      <c r="G234" s="460">
        <v>200</v>
      </c>
      <c r="H234" s="555">
        <v>15.6</v>
      </c>
      <c r="I234" s="556">
        <v>7200</v>
      </c>
      <c r="K234" s="148">
        <f t="shared" si="49"/>
        <v>9200</v>
      </c>
      <c r="N234" s="461">
        <v>23.1</v>
      </c>
      <c r="O234" s="462">
        <v>21.2</v>
      </c>
    </row>
    <row r="235" spans="1:15">
      <c r="A235" s="460" t="s">
        <v>443</v>
      </c>
      <c r="B235" s="460" t="s">
        <v>448</v>
      </c>
      <c r="C235" s="460">
        <v>1983</v>
      </c>
      <c r="D235" s="460">
        <v>15900</v>
      </c>
      <c r="E235" s="460">
        <v>72700</v>
      </c>
      <c r="F235" s="460">
        <v>3200</v>
      </c>
      <c r="G235" s="460">
        <v>200</v>
      </c>
      <c r="H235" s="555">
        <v>16.100000000000001</v>
      </c>
      <c r="I235" s="556">
        <v>7200</v>
      </c>
      <c r="K235" s="148">
        <f t="shared" si="49"/>
        <v>8700</v>
      </c>
      <c r="N235" s="461">
        <v>23</v>
      </c>
      <c r="O235" s="462">
        <v>21.2</v>
      </c>
    </row>
    <row r="236" spans="1:15">
      <c r="A236" s="460" t="s">
        <v>443</v>
      </c>
      <c r="B236" s="460" t="s">
        <v>448</v>
      </c>
      <c r="C236" s="460">
        <v>1984</v>
      </c>
      <c r="D236" s="460">
        <v>17000</v>
      </c>
      <c r="E236" s="460">
        <v>77000</v>
      </c>
      <c r="F236" s="460">
        <v>3100</v>
      </c>
      <c r="G236" s="460">
        <v>200</v>
      </c>
      <c r="H236" s="555">
        <v>16.3</v>
      </c>
      <c r="I236" s="556">
        <v>7700</v>
      </c>
      <c r="K236" s="148">
        <f t="shared" si="49"/>
        <v>9300</v>
      </c>
      <c r="N236" s="461">
        <v>22.7</v>
      </c>
      <c r="O236" s="462">
        <v>21.1</v>
      </c>
    </row>
    <row r="237" spans="1:15">
      <c r="A237" s="460" t="s">
        <v>443</v>
      </c>
      <c r="B237" s="460" t="s">
        <v>448</v>
      </c>
      <c r="C237" s="460">
        <v>1985</v>
      </c>
      <c r="D237" s="460">
        <v>17100</v>
      </c>
      <c r="E237" s="460">
        <v>77100</v>
      </c>
      <c r="F237" s="460">
        <v>3200</v>
      </c>
      <c r="G237" s="460">
        <v>200</v>
      </c>
      <c r="H237" s="555">
        <v>16.600000000000001</v>
      </c>
      <c r="I237" s="556">
        <v>8100</v>
      </c>
      <c r="K237" s="148">
        <f t="shared" si="49"/>
        <v>9000</v>
      </c>
      <c r="N237" s="461">
        <v>22.5</v>
      </c>
      <c r="O237" s="462">
        <v>20.9</v>
      </c>
    </row>
    <row r="238" spans="1:15">
      <c r="A238" s="460" t="s">
        <v>443</v>
      </c>
      <c r="B238" s="460" t="s">
        <v>448</v>
      </c>
      <c r="C238" s="460">
        <v>1986</v>
      </c>
      <c r="D238" s="460">
        <v>17900</v>
      </c>
      <c r="E238" s="460">
        <v>79800</v>
      </c>
      <c r="F238" s="460">
        <v>3100</v>
      </c>
      <c r="G238" s="460">
        <v>200</v>
      </c>
      <c r="H238" s="555">
        <v>16.8</v>
      </c>
      <c r="I238" s="556">
        <v>8500</v>
      </c>
      <c r="K238" s="148">
        <f t="shared" si="49"/>
        <v>9400</v>
      </c>
      <c r="N238" s="461">
        <v>21.7</v>
      </c>
      <c r="O238" s="462">
        <v>20.100000000000001</v>
      </c>
    </row>
    <row r="239" spans="1:15">
      <c r="A239" s="460" t="s">
        <v>443</v>
      </c>
      <c r="B239" s="460" t="s">
        <v>448</v>
      </c>
      <c r="C239" s="460">
        <v>1987</v>
      </c>
      <c r="D239" s="460">
        <v>17700</v>
      </c>
      <c r="E239" s="460">
        <v>80600</v>
      </c>
      <c r="F239" s="460">
        <v>3100</v>
      </c>
      <c r="G239" s="460">
        <v>200</v>
      </c>
      <c r="H239" s="555">
        <v>17.2</v>
      </c>
      <c r="I239" s="556">
        <v>8500</v>
      </c>
      <c r="K239" s="148">
        <f t="shared" si="49"/>
        <v>9200</v>
      </c>
      <c r="N239" s="461">
        <v>22.9</v>
      </c>
      <c r="O239" s="462">
        <v>21.5</v>
      </c>
    </row>
    <row r="240" spans="1:15">
      <c r="A240" s="460" t="s">
        <v>443</v>
      </c>
      <c r="B240" s="460" t="s">
        <v>448</v>
      </c>
      <c r="C240" s="460">
        <v>1988</v>
      </c>
      <c r="D240" s="460">
        <v>18300</v>
      </c>
      <c r="E240" s="460">
        <v>81200</v>
      </c>
      <c r="F240" s="460">
        <v>3000</v>
      </c>
      <c r="G240" s="460">
        <v>200</v>
      </c>
      <c r="H240" s="555">
        <v>17.7</v>
      </c>
      <c r="I240" s="556">
        <v>8900</v>
      </c>
      <c r="K240" s="148">
        <f t="shared" si="49"/>
        <v>9400</v>
      </c>
      <c r="N240" s="461">
        <v>22.3</v>
      </c>
      <c r="O240" s="462">
        <v>20.9</v>
      </c>
    </row>
    <row r="241" spans="1:15">
      <c r="A241" s="460" t="s">
        <v>443</v>
      </c>
      <c r="B241" s="460" t="s">
        <v>448</v>
      </c>
      <c r="C241" s="460">
        <v>1989</v>
      </c>
      <c r="D241" s="460">
        <v>18400</v>
      </c>
      <c r="E241" s="460">
        <v>82000</v>
      </c>
      <c r="F241" s="460">
        <v>3200</v>
      </c>
      <c r="G241" s="460">
        <v>200</v>
      </c>
      <c r="H241" s="555">
        <v>17.8</v>
      </c>
      <c r="I241" s="556">
        <v>9000</v>
      </c>
      <c r="K241" s="148">
        <f t="shared" si="49"/>
        <v>9400</v>
      </c>
      <c r="N241" s="461">
        <v>22.3</v>
      </c>
      <c r="O241" s="462">
        <v>20.8</v>
      </c>
    </row>
    <row r="242" spans="1:15">
      <c r="A242" s="460" t="s">
        <v>443</v>
      </c>
      <c r="B242" s="460" t="s">
        <v>448</v>
      </c>
      <c r="C242" s="460">
        <v>1990</v>
      </c>
      <c r="D242" s="460">
        <v>18300</v>
      </c>
      <c r="E242" s="460">
        <v>81300</v>
      </c>
      <c r="F242" s="460">
        <v>3300</v>
      </c>
      <c r="G242" s="460">
        <v>300</v>
      </c>
      <c r="H242" s="555">
        <v>18</v>
      </c>
      <c r="I242" s="556">
        <v>9100</v>
      </c>
      <c r="K242" s="148">
        <f t="shared" si="49"/>
        <v>9200</v>
      </c>
      <c r="N242" s="461">
        <v>22.4</v>
      </c>
      <c r="O242" s="462">
        <v>20.8</v>
      </c>
    </row>
    <row r="243" spans="1:15">
      <c r="A243" s="460" t="s">
        <v>443</v>
      </c>
      <c r="B243" s="460" t="s">
        <v>448</v>
      </c>
      <c r="C243" s="460">
        <v>1991</v>
      </c>
      <c r="D243" s="460">
        <v>18100</v>
      </c>
      <c r="E243" s="460">
        <v>80400</v>
      </c>
      <c r="F243" s="460">
        <v>3400</v>
      </c>
      <c r="G243" s="460">
        <v>300</v>
      </c>
      <c r="H243" s="555">
        <v>18.100000000000001</v>
      </c>
      <c r="I243" s="556">
        <v>9100</v>
      </c>
      <c r="K243" s="148">
        <f t="shared" si="49"/>
        <v>9000</v>
      </c>
      <c r="N243" s="461">
        <v>22.6</v>
      </c>
      <c r="O243" s="462">
        <v>20.8</v>
      </c>
    </row>
    <row r="244" spans="1:15">
      <c r="A244" s="460" t="s">
        <v>443</v>
      </c>
      <c r="B244" s="460" t="s">
        <v>448</v>
      </c>
      <c r="C244" s="460">
        <v>1992</v>
      </c>
      <c r="D244" s="460">
        <v>18100</v>
      </c>
      <c r="E244" s="460">
        <v>80800</v>
      </c>
      <c r="F244" s="460">
        <v>3700</v>
      </c>
      <c r="G244" s="460">
        <v>400</v>
      </c>
      <c r="H244" s="555">
        <v>18.2</v>
      </c>
      <c r="I244" s="556">
        <v>9100</v>
      </c>
      <c r="K244" s="148">
        <f t="shared" si="49"/>
        <v>9000</v>
      </c>
      <c r="N244" s="461">
        <v>22.3</v>
      </c>
      <c r="O244" s="462">
        <v>20.6</v>
      </c>
    </row>
    <row r="245" spans="1:15">
      <c r="A245" s="460" t="s">
        <v>443</v>
      </c>
      <c r="B245" s="460" t="s">
        <v>448</v>
      </c>
      <c r="C245" s="460">
        <v>1993</v>
      </c>
      <c r="D245" s="460">
        <v>18200</v>
      </c>
      <c r="E245" s="460">
        <v>81400</v>
      </c>
      <c r="F245" s="460">
        <v>3800</v>
      </c>
      <c r="G245" s="460">
        <v>400</v>
      </c>
      <c r="H245" s="555">
        <v>18.5</v>
      </c>
      <c r="I245" s="556">
        <v>9100</v>
      </c>
      <c r="K245" s="148">
        <f t="shared" si="49"/>
        <v>9100</v>
      </c>
      <c r="N245" s="461">
        <v>22.5</v>
      </c>
      <c r="O245" s="462">
        <v>20.8</v>
      </c>
    </row>
    <row r="246" spans="1:15">
      <c r="A246" s="460" t="s">
        <v>443</v>
      </c>
      <c r="B246" s="460" t="s">
        <v>448</v>
      </c>
      <c r="C246" s="460">
        <v>1994</v>
      </c>
      <c r="D246" s="460">
        <v>18700</v>
      </c>
      <c r="E246" s="460">
        <v>82800</v>
      </c>
      <c r="F246" s="460">
        <v>3500</v>
      </c>
      <c r="G246" s="460">
        <v>500</v>
      </c>
      <c r="H246" s="555">
        <v>18.8</v>
      </c>
      <c r="I246" s="556">
        <v>9300</v>
      </c>
      <c r="K246" s="148">
        <f t="shared" si="49"/>
        <v>9400</v>
      </c>
      <c r="N246" s="461">
        <v>22.5</v>
      </c>
      <c r="O246" s="462">
        <v>20.8</v>
      </c>
    </row>
    <row r="247" spans="1:15">
      <c r="A247" s="460" t="s">
        <v>443</v>
      </c>
      <c r="B247" s="460" t="s">
        <v>448</v>
      </c>
      <c r="C247" s="460">
        <v>1995</v>
      </c>
      <c r="D247" s="460">
        <v>19200</v>
      </c>
      <c r="E247" s="460">
        <v>84400</v>
      </c>
      <c r="F247" s="460">
        <v>3900</v>
      </c>
      <c r="G247" s="460">
        <v>400</v>
      </c>
      <c r="H247" s="555">
        <v>19</v>
      </c>
      <c r="I247" s="556">
        <v>9400</v>
      </c>
      <c r="K247" s="148">
        <f t="shared" si="49"/>
        <v>9800</v>
      </c>
      <c r="N247" s="461">
        <v>22.1</v>
      </c>
      <c r="O247" s="462">
        <v>20.5</v>
      </c>
    </row>
    <row r="248" spans="1:15">
      <c r="A248" s="460" t="s">
        <v>443</v>
      </c>
      <c r="B248" s="460" t="s">
        <v>448</v>
      </c>
      <c r="C248" s="460">
        <v>1996</v>
      </c>
      <c r="D248" s="460">
        <v>19600</v>
      </c>
      <c r="E248" s="460">
        <v>86000</v>
      </c>
      <c r="F248" s="460">
        <v>3800</v>
      </c>
      <c r="G248" s="460">
        <v>400</v>
      </c>
      <c r="H248" s="555">
        <v>19.2</v>
      </c>
      <c r="I248" s="556">
        <v>9700</v>
      </c>
      <c r="K248" s="148">
        <f t="shared" si="49"/>
        <v>9900</v>
      </c>
      <c r="N248" s="461">
        <v>21.6</v>
      </c>
      <c r="O248" s="462">
        <v>20.2</v>
      </c>
    </row>
    <row r="249" spans="1:15">
      <c r="A249" s="460" t="s">
        <v>443</v>
      </c>
      <c r="B249" s="460" t="s">
        <v>448</v>
      </c>
      <c r="C249" s="460">
        <v>1997</v>
      </c>
      <c r="D249" s="460">
        <v>20200</v>
      </c>
      <c r="E249" s="460">
        <v>88100</v>
      </c>
      <c r="F249" s="460">
        <v>4000</v>
      </c>
      <c r="G249" s="460">
        <v>500</v>
      </c>
      <c r="H249" s="555">
        <v>19.399999999999999</v>
      </c>
      <c r="I249" s="556">
        <v>9900</v>
      </c>
      <c r="K249" s="148">
        <f t="shared" si="49"/>
        <v>10300</v>
      </c>
      <c r="N249" s="461">
        <v>20.9</v>
      </c>
      <c r="O249" s="462">
        <v>19.8</v>
      </c>
    </row>
    <row r="250" spans="1:15">
      <c r="A250" s="460" t="s">
        <v>443</v>
      </c>
      <c r="B250" s="460" t="s">
        <v>448</v>
      </c>
      <c r="C250" s="460">
        <v>1998</v>
      </c>
      <c r="D250" s="460">
        <v>20700</v>
      </c>
      <c r="E250" s="460">
        <v>91700</v>
      </c>
      <c r="F250" s="460">
        <v>3900</v>
      </c>
      <c r="G250" s="460">
        <v>500</v>
      </c>
      <c r="H250" s="555">
        <v>19.8</v>
      </c>
      <c r="I250" s="556">
        <v>10300</v>
      </c>
      <c r="K250" s="148">
        <f t="shared" si="49"/>
        <v>10400</v>
      </c>
      <c r="N250" s="461">
        <v>20.7</v>
      </c>
      <c r="O250" s="462">
        <v>19.600000000000001</v>
      </c>
    </row>
    <row r="251" spans="1:15">
      <c r="A251" s="460" t="s">
        <v>443</v>
      </c>
      <c r="B251" s="460" t="s">
        <v>448</v>
      </c>
      <c r="C251" s="460">
        <v>1999</v>
      </c>
      <c r="D251" s="460">
        <v>21300</v>
      </c>
      <c r="E251" s="460">
        <v>94500</v>
      </c>
      <c r="F251" s="460">
        <v>4000</v>
      </c>
      <c r="G251" s="460">
        <v>500</v>
      </c>
      <c r="H251" s="555">
        <v>20</v>
      </c>
      <c r="I251" s="556">
        <v>10600</v>
      </c>
      <c r="K251" s="148">
        <f t="shared" si="49"/>
        <v>10700</v>
      </c>
      <c r="N251" s="461">
        <v>20.3</v>
      </c>
      <c r="O251" s="462">
        <v>19.399999999999999</v>
      </c>
    </row>
    <row r="252" spans="1:15">
      <c r="A252" s="460" t="s">
        <v>443</v>
      </c>
      <c r="B252" s="460" t="s">
        <v>448</v>
      </c>
      <c r="C252" s="460">
        <v>2000</v>
      </c>
      <c r="D252" s="460">
        <v>21600</v>
      </c>
      <c r="E252" s="460">
        <v>95900</v>
      </c>
      <c r="F252" s="460">
        <v>4000</v>
      </c>
      <c r="G252" s="460">
        <v>600</v>
      </c>
      <c r="H252" s="555">
        <v>20.6</v>
      </c>
      <c r="I252" s="556">
        <v>10700</v>
      </c>
      <c r="K252" s="148">
        <f t="shared" si="49"/>
        <v>10900</v>
      </c>
      <c r="N252" s="461">
        <v>20</v>
      </c>
      <c r="O252" s="462">
        <v>19.100000000000001</v>
      </c>
    </row>
    <row r="253" spans="1:15">
      <c r="A253" s="460" t="s">
        <v>443</v>
      </c>
      <c r="B253" s="460" t="s">
        <v>448</v>
      </c>
      <c r="C253" s="460">
        <v>2001</v>
      </c>
      <c r="D253" s="460">
        <v>20000</v>
      </c>
      <c r="E253" s="460">
        <v>94600</v>
      </c>
      <c r="F253" s="460">
        <v>4200</v>
      </c>
      <c r="G253" s="460">
        <v>600</v>
      </c>
      <c r="H253" s="555">
        <v>20.9</v>
      </c>
      <c r="I253" s="556">
        <v>10700</v>
      </c>
      <c r="K253" s="148">
        <f t="shared" si="49"/>
        <v>9300</v>
      </c>
      <c r="N253" s="461">
        <v>21.2</v>
      </c>
      <c r="O253" s="462">
        <v>20</v>
      </c>
    </row>
    <row r="254" spans="1:15">
      <c r="A254" s="460" t="s">
        <v>443</v>
      </c>
      <c r="B254" s="460" t="s">
        <v>448</v>
      </c>
      <c r="C254" s="460">
        <v>2002</v>
      </c>
      <c r="D254" s="460">
        <v>19100</v>
      </c>
      <c r="E254" s="460">
        <v>92600</v>
      </c>
      <c r="F254" s="460">
        <v>4300</v>
      </c>
      <c r="G254" s="460">
        <v>700</v>
      </c>
      <c r="H254" s="555">
        <v>21.2</v>
      </c>
      <c r="I254" s="556">
        <v>10400</v>
      </c>
      <c r="K254" s="148">
        <f t="shared" si="49"/>
        <v>8700</v>
      </c>
      <c r="N254" s="461">
        <v>21.6</v>
      </c>
      <c r="O254" s="462">
        <v>20.2</v>
      </c>
    </row>
    <row r="255" spans="1:15">
      <c r="A255" s="460" t="s">
        <v>443</v>
      </c>
      <c r="B255" s="460" t="s">
        <v>448</v>
      </c>
      <c r="C255" s="460">
        <v>2003</v>
      </c>
      <c r="D255" s="460">
        <v>18400</v>
      </c>
      <c r="E255" s="460">
        <v>93700</v>
      </c>
      <c r="F255" s="460">
        <v>4400</v>
      </c>
      <c r="G255" s="460">
        <v>800</v>
      </c>
      <c r="H255" s="555">
        <v>21.2</v>
      </c>
      <c r="I255" s="556">
        <v>10400</v>
      </c>
      <c r="K255" s="148">
        <f t="shared" si="49"/>
        <v>8000</v>
      </c>
      <c r="N255" s="461">
        <v>21.4</v>
      </c>
      <c r="O255" s="462">
        <v>20</v>
      </c>
    </row>
    <row r="256" spans="1:15">
      <c r="A256" s="460" t="s">
        <v>443</v>
      </c>
      <c r="B256" s="460" t="s">
        <v>448</v>
      </c>
      <c r="C256" s="460">
        <v>2004</v>
      </c>
      <c r="D256" s="460">
        <v>19200</v>
      </c>
      <c r="E256" s="460">
        <v>96600</v>
      </c>
      <c r="F256" s="460">
        <v>4500</v>
      </c>
      <c r="G256" s="460">
        <v>800</v>
      </c>
      <c r="H256" s="555">
        <v>21.4</v>
      </c>
      <c r="I256" s="556">
        <v>10700</v>
      </c>
      <c r="K256" s="148">
        <f t="shared" si="49"/>
        <v>8500</v>
      </c>
      <c r="N256" s="461">
        <v>20.7</v>
      </c>
      <c r="O256" s="462">
        <v>19.5</v>
      </c>
    </row>
    <row r="257" spans="1:15">
      <c r="A257" s="460" t="s">
        <v>443</v>
      </c>
      <c r="B257" s="460" t="s">
        <v>448</v>
      </c>
      <c r="C257" s="460">
        <v>2005</v>
      </c>
      <c r="D257" s="460">
        <v>19700</v>
      </c>
      <c r="E257" s="460">
        <v>98400</v>
      </c>
      <c r="F257" s="460">
        <v>4600</v>
      </c>
      <c r="G257" s="460">
        <v>800</v>
      </c>
      <c r="H257" s="555">
        <v>21.6</v>
      </c>
      <c r="I257" s="556">
        <v>10700</v>
      </c>
      <c r="K257" s="148">
        <f t="shared" si="49"/>
        <v>9000</v>
      </c>
      <c r="N257" s="461">
        <v>20</v>
      </c>
      <c r="O257" s="462">
        <v>19</v>
      </c>
    </row>
    <row r="258" spans="1:15">
      <c r="A258" s="460" t="s">
        <v>443</v>
      </c>
      <c r="B258" s="460" t="s">
        <v>448</v>
      </c>
      <c r="C258" s="460">
        <v>2006</v>
      </c>
      <c r="D258" s="460">
        <v>20200</v>
      </c>
      <c r="E258" s="460">
        <v>99900</v>
      </c>
      <c r="F258" s="460">
        <v>5000</v>
      </c>
      <c r="G258" s="460">
        <v>900</v>
      </c>
      <c r="H258" s="555">
        <v>22.1</v>
      </c>
      <c r="I258" s="556">
        <v>10800</v>
      </c>
      <c r="K258" s="148">
        <f t="shared" si="49"/>
        <v>9400</v>
      </c>
      <c r="N258" s="461">
        <v>19.7</v>
      </c>
      <c r="O258" s="462">
        <v>18.8</v>
      </c>
    </row>
    <row r="259" spans="1:15">
      <c r="A259" s="460" t="s">
        <v>443</v>
      </c>
      <c r="B259" s="460" t="s">
        <v>448</v>
      </c>
      <c r="C259" s="460">
        <v>2007</v>
      </c>
      <c r="D259" s="460">
        <v>20400</v>
      </c>
      <c r="E259" s="460">
        <v>102100</v>
      </c>
      <c r="F259" s="460">
        <v>5200</v>
      </c>
      <c r="G259" s="460">
        <v>900</v>
      </c>
      <c r="H259" s="555">
        <v>22.1</v>
      </c>
      <c r="I259" s="556">
        <v>11000</v>
      </c>
      <c r="K259" s="148">
        <f t="shared" si="49"/>
        <v>9400</v>
      </c>
      <c r="N259" s="461">
        <v>19.399999999999999</v>
      </c>
      <c r="O259" s="462">
        <v>18.5</v>
      </c>
    </row>
    <row r="260" spans="1:15">
      <c r="A260" s="460" t="s">
        <v>443</v>
      </c>
      <c r="B260" s="460" t="s">
        <v>448</v>
      </c>
      <c r="C260" s="460">
        <v>2008</v>
      </c>
      <c r="D260" s="460">
        <v>17800</v>
      </c>
      <c r="E260" s="460">
        <v>99500</v>
      </c>
      <c r="F260" s="460">
        <v>5500</v>
      </c>
      <c r="G260" s="460">
        <v>900</v>
      </c>
      <c r="H260" s="555">
        <v>22.2</v>
      </c>
      <c r="I260" s="556">
        <v>10800</v>
      </c>
      <c r="K260" s="148">
        <f t="shared" si="49"/>
        <v>7000</v>
      </c>
      <c r="N260" s="461">
        <v>20.5</v>
      </c>
      <c r="O260" s="462">
        <v>19.399999999999999</v>
      </c>
    </row>
    <row r="261" spans="1:15">
      <c r="A261" s="460" t="s">
        <v>443</v>
      </c>
      <c r="B261" s="460" t="s">
        <v>448</v>
      </c>
      <c r="C261" s="460">
        <v>2009</v>
      </c>
      <c r="D261" s="460">
        <v>17000</v>
      </c>
      <c r="E261" s="460">
        <v>95900</v>
      </c>
      <c r="F261" s="460">
        <v>6500</v>
      </c>
      <c r="G261" s="460">
        <v>1100</v>
      </c>
      <c r="H261" s="555">
        <v>22.3</v>
      </c>
      <c r="I261" s="556">
        <v>10500</v>
      </c>
      <c r="K261" s="148">
        <f t="shared" si="49"/>
        <v>6500</v>
      </c>
      <c r="N261" s="461">
        <v>21.6</v>
      </c>
      <c r="O261" s="462">
        <v>20</v>
      </c>
    </row>
    <row r="262" spans="1:15">
      <c r="A262" s="460" t="s">
        <v>443</v>
      </c>
      <c r="B262" s="460" t="s">
        <v>448</v>
      </c>
      <c r="C262" s="460">
        <v>2010</v>
      </c>
      <c r="D262" s="460">
        <v>17300</v>
      </c>
      <c r="E262" s="460">
        <v>95000</v>
      </c>
      <c r="F262" s="460">
        <v>6600</v>
      </c>
      <c r="G262" s="460">
        <v>1200</v>
      </c>
      <c r="H262" s="555">
        <v>22.8</v>
      </c>
      <c r="I262" s="556">
        <v>10300</v>
      </c>
      <c r="K262" s="148">
        <f t="shared" si="49"/>
        <v>7000</v>
      </c>
      <c r="N262" s="461">
        <v>21</v>
      </c>
      <c r="O262" s="462">
        <v>19.600000000000001</v>
      </c>
    </row>
    <row r="263" spans="1:15">
      <c r="A263" s="460" t="s">
        <v>443</v>
      </c>
      <c r="B263" s="460" t="s">
        <v>448</v>
      </c>
      <c r="C263" s="460">
        <v>2011</v>
      </c>
      <c r="D263" s="460">
        <v>17100</v>
      </c>
      <c r="E263" s="460">
        <v>95500</v>
      </c>
      <c r="F263" s="460">
        <v>6300</v>
      </c>
      <c r="G263" s="460">
        <v>1100</v>
      </c>
      <c r="H263" s="555">
        <v>23</v>
      </c>
      <c r="I263" s="556">
        <v>9000</v>
      </c>
      <c r="K263" s="148">
        <f t="shared" si="49"/>
        <v>8100</v>
      </c>
      <c r="N263" s="461">
        <v>21</v>
      </c>
      <c r="O263" s="462">
        <v>19.600000000000001</v>
      </c>
    </row>
    <row r="264" spans="1:15">
      <c r="A264" s="460" t="s">
        <v>443</v>
      </c>
      <c r="B264" s="460" t="s">
        <v>448</v>
      </c>
      <c r="C264" s="460">
        <v>2012</v>
      </c>
      <c r="D264" s="460">
        <v>17400</v>
      </c>
      <c r="E264" s="460">
        <v>95700</v>
      </c>
      <c r="F264" s="460">
        <v>6300</v>
      </c>
      <c r="G264" s="460">
        <v>1100</v>
      </c>
      <c r="H264" s="555">
        <v>23.4</v>
      </c>
      <c r="I264" s="556">
        <v>9000</v>
      </c>
      <c r="K264" s="148">
        <f t="shared" si="49"/>
        <v>8400</v>
      </c>
      <c r="N264" s="461">
        <v>20.2</v>
      </c>
      <c r="O264" s="462">
        <v>19</v>
      </c>
    </row>
    <row r="265" spans="1:15">
      <c r="A265" s="460" t="s">
        <v>443</v>
      </c>
      <c r="B265" s="460" t="s">
        <v>448</v>
      </c>
      <c r="C265" s="460">
        <v>2013</v>
      </c>
      <c r="D265" s="460">
        <v>19500</v>
      </c>
      <c r="E265" s="460">
        <v>97900</v>
      </c>
      <c r="F265" s="460">
        <v>6600</v>
      </c>
      <c r="G265" s="460">
        <v>1100</v>
      </c>
      <c r="H265" s="555">
        <v>23.3</v>
      </c>
      <c r="I265" s="556">
        <v>10500</v>
      </c>
      <c r="K265" s="148">
        <f t="shared" si="49"/>
        <v>9000</v>
      </c>
      <c r="N265" s="461">
        <v>20.8</v>
      </c>
      <c r="O265" s="462">
        <v>19.600000000000001</v>
      </c>
    </row>
    <row r="266" spans="1:15">
      <c r="A266" s="460" t="s">
        <v>443</v>
      </c>
      <c r="B266" s="460" t="s">
        <v>448</v>
      </c>
      <c r="C266" s="460">
        <v>2014</v>
      </c>
      <c r="D266" s="460">
        <v>20200</v>
      </c>
      <c r="E266" s="460">
        <v>99800</v>
      </c>
      <c r="F266" s="460">
        <v>6900</v>
      </c>
      <c r="G266" s="460">
        <v>1500</v>
      </c>
      <c r="H266" s="555">
        <v>23.5</v>
      </c>
      <c r="I266" s="556">
        <v>10700</v>
      </c>
      <c r="K266" s="148">
        <f t="shared" si="49"/>
        <v>9500</v>
      </c>
      <c r="N266" s="461">
        <v>20.3</v>
      </c>
      <c r="O266" s="462">
        <v>19.2</v>
      </c>
    </row>
    <row r="267" spans="1:15">
      <c r="A267" s="460" t="s">
        <v>443</v>
      </c>
      <c r="B267" s="460" t="s">
        <v>448</v>
      </c>
      <c r="C267" s="460">
        <v>2015</v>
      </c>
      <c r="D267" s="460">
        <v>21000</v>
      </c>
      <c r="E267" s="460">
        <v>103300</v>
      </c>
      <c r="F267" s="460">
        <v>6800</v>
      </c>
      <c r="G267" s="460">
        <v>1700</v>
      </c>
      <c r="H267" s="555">
        <v>23.7</v>
      </c>
      <c r="I267" s="556">
        <v>11100</v>
      </c>
      <c r="K267" s="148">
        <f t="shared" si="49"/>
        <v>9900</v>
      </c>
      <c r="N267" s="461">
        <v>20.3</v>
      </c>
      <c r="O267" s="462">
        <v>19.2</v>
      </c>
    </row>
    <row r="268" spans="1:15">
      <c r="A268" s="460" t="s">
        <v>443</v>
      </c>
      <c r="B268" s="460" t="s">
        <v>448</v>
      </c>
      <c r="C268" s="460">
        <v>2016</v>
      </c>
      <c r="D268" s="460">
        <v>21100</v>
      </c>
      <c r="E268" s="460">
        <v>103500</v>
      </c>
      <c r="F268" s="460">
        <v>6900</v>
      </c>
      <c r="G268" s="460">
        <v>1800</v>
      </c>
      <c r="H268" s="555">
        <v>23.8</v>
      </c>
      <c r="I268" s="556">
        <v>11200</v>
      </c>
      <c r="K268" s="148">
        <f t="shared" si="49"/>
        <v>9900</v>
      </c>
      <c r="N268" s="461">
        <v>20.5</v>
      </c>
      <c r="O268" s="462">
        <v>19.2</v>
      </c>
    </row>
    <row r="269" spans="1:15">
      <c r="A269" s="460" t="s">
        <v>443</v>
      </c>
      <c r="B269" s="460" t="s">
        <v>449</v>
      </c>
      <c r="C269" s="460">
        <v>1979</v>
      </c>
      <c r="D269" s="460">
        <v>40300</v>
      </c>
      <c r="E269" s="460">
        <v>145300</v>
      </c>
      <c r="F269" s="460">
        <v>2300</v>
      </c>
      <c r="G269" s="460">
        <v>100</v>
      </c>
      <c r="H269" s="555">
        <v>16.399999999999999</v>
      </c>
      <c r="I269" s="556">
        <v>8300</v>
      </c>
      <c r="K269" s="148">
        <f t="shared" si="49"/>
        <v>32000</v>
      </c>
      <c r="N269" s="461">
        <v>47.9</v>
      </c>
      <c r="O269" s="462">
        <v>41.3</v>
      </c>
    </row>
    <row r="270" spans="1:15">
      <c r="A270" s="460" t="s">
        <v>443</v>
      </c>
      <c r="B270" s="460" t="s">
        <v>449</v>
      </c>
      <c r="C270" s="460">
        <v>1980</v>
      </c>
      <c r="D270" s="460">
        <v>39100</v>
      </c>
      <c r="E270" s="460">
        <v>141100</v>
      </c>
      <c r="F270" s="460">
        <v>2500</v>
      </c>
      <c r="G270" s="460">
        <v>100</v>
      </c>
      <c r="H270" s="555">
        <v>16.8</v>
      </c>
      <c r="I270" s="556">
        <v>8300</v>
      </c>
      <c r="K270" s="148">
        <f t="shared" si="49"/>
        <v>30800</v>
      </c>
      <c r="N270" s="461">
        <v>48.5</v>
      </c>
      <c r="O270" s="462">
        <v>41.5</v>
      </c>
    </row>
    <row r="271" spans="1:15">
      <c r="A271" s="460" t="s">
        <v>443</v>
      </c>
      <c r="B271" s="460" t="s">
        <v>449</v>
      </c>
      <c r="C271" s="460">
        <v>1981</v>
      </c>
      <c r="D271" s="460">
        <v>38700</v>
      </c>
      <c r="E271" s="460">
        <v>140600</v>
      </c>
      <c r="F271" s="460">
        <v>2700</v>
      </c>
      <c r="G271" s="460">
        <v>100</v>
      </c>
      <c r="H271" s="555">
        <v>17.2</v>
      </c>
      <c r="I271" s="556">
        <v>9100</v>
      </c>
      <c r="K271" s="148">
        <f t="shared" si="49"/>
        <v>29600</v>
      </c>
      <c r="N271" s="461">
        <v>48.8</v>
      </c>
      <c r="O271" s="462">
        <v>41.9</v>
      </c>
    </row>
    <row r="272" spans="1:15">
      <c r="A272" s="460" t="s">
        <v>443</v>
      </c>
      <c r="B272" s="460" t="s">
        <v>449</v>
      </c>
      <c r="C272" s="460">
        <v>1982</v>
      </c>
      <c r="D272" s="460">
        <v>35600</v>
      </c>
      <c r="E272" s="460">
        <v>141300</v>
      </c>
      <c r="F272" s="460">
        <v>3100</v>
      </c>
      <c r="G272" s="460">
        <v>100</v>
      </c>
      <c r="H272" s="555">
        <v>17.399999999999999</v>
      </c>
      <c r="I272" s="556">
        <v>9500</v>
      </c>
      <c r="K272" s="148">
        <f t="shared" ref="K272:K335" si="50">D272-I272</f>
        <v>26100</v>
      </c>
      <c r="N272" s="461">
        <v>49.8</v>
      </c>
      <c r="O272" s="462">
        <v>43</v>
      </c>
    </row>
    <row r="273" spans="1:15">
      <c r="A273" s="460" t="s">
        <v>443</v>
      </c>
      <c r="B273" s="460" t="s">
        <v>449</v>
      </c>
      <c r="C273" s="460">
        <v>1983</v>
      </c>
      <c r="D273" s="460">
        <v>36000</v>
      </c>
      <c r="E273" s="460">
        <v>146900</v>
      </c>
      <c r="F273" s="460">
        <v>3100</v>
      </c>
      <c r="G273" s="460">
        <v>100</v>
      </c>
      <c r="H273" s="555">
        <v>17.600000000000001</v>
      </c>
      <c r="I273" s="556">
        <v>9900</v>
      </c>
      <c r="K273" s="148">
        <f t="shared" si="50"/>
        <v>26100</v>
      </c>
      <c r="N273" s="461">
        <v>50.8</v>
      </c>
      <c r="O273" s="462">
        <v>43.9</v>
      </c>
    </row>
    <row r="274" spans="1:15">
      <c r="A274" s="460" t="s">
        <v>443</v>
      </c>
      <c r="B274" s="460" t="s">
        <v>449</v>
      </c>
      <c r="C274" s="460">
        <v>1984</v>
      </c>
      <c r="D274" s="460">
        <v>39200</v>
      </c>
      <c r="E274" s="460">
        <v>159100</v>
      </c>
      <c r="F274" s="460">
        <v>3300</v>
      </c>
      <c r="G274" s="460">
        <v>100</v>
      </c>
      <c r="H274" s="555">
        <v>17.5</v>
      </c>
      <c r="I274" s="556">
        <v>10800</v>
      </c>
      <c r="K274" s="148">
        <f t="shared" si="50"/>
        <v>28400</v>
      </c>
      <c r="N274" s="461">
        <v>50.6</v>
      </c>
      <c r="O274" s="462">
        <v>44.3</v>
      </c>
    </row>
    <row r="275" spans="1:15">
      <c r="A275" s="460" t="s">
        <v>443</v>
      </c>
      <c r="B275" s="460" t="s">
        <v>449</v>
      </c>
      <c r="C275" s="460">
        <v>1985</v>
      </c>
      <c r="D275" s="460">
        <v>39600</v>
      </c>
      <c r="E275" s="460">
        <v>160900</v>
      </c>
      <c r="F275" s="460">
        <v>3200</v>
      </c>
      <c r="G275" s="460">
        <v>100</v>
      </c>
      <c r="H275" s="555">
        <v>18.2</v>
      </c>
      <c r="I275" s="556">
        <v>11100</v>
      </c>
      <c r="K275" s="148">
        <f t="shared" si="50"/>
        <v>28500</v>
      </c>
      <c r="N275" s="461">
        <v>51.5</v>
      </c>
      <c r="O275" s="462">
        <v>45.1</v>
      </c>
    </row>
    <row r="276" spans="1:15">
      <c r="A276" s="460" t="s">
        <v>443</v>
      </c>
      <c r="B276" s="460" t="s">
        <v>449</v>
      </c>
      <c r="C276" s="460">
        <v>1986</v>
      </c>
      <c r="D276" s="460">
        <v>44000</v>
      </c>
      <c r="E276" s="460">
        <v>181000</v>
      </c>
      <c r="F276" s="460">
        <v>3300</v>
      </c>
      <c r="G276" s="460">
        <v>100</v>
      </c>
      <c r="H276" s="555">
        <v>18.3</v>
      </c>
      <c r="I276" s="556">
        <v>11800</v>
      </c>
      <c r="K276" s="148">
        <f t="shared" si="50"/>
        <v>32200</v>
      </c>
      <c r="N276" s="461">
        <v>53.6</v>
      </c>
      <c r="O276" s="462">
        <v>47.2</v>
      </c>
    </row>
    <row r="277" spans="1:15">
      <c r="A277" s="460" t="s">
        <v>443</v>
      </c>
      <c r="B277" s="460" t="s">
        <v>449</v>
      </c>
      <c r="C277" s="460">
        <v>1987</v>
      </c>
      <c r="D277" s="460">
        <v>45000</v>
      </c>
      <c r="E277" s="460">
        <v>170900</v>
      </c>
      <c r="F277" s="460">
        <v>2800</v>
      </c>
      <c r="G277" s="460">
        <v>100</v>
      </c>
      <c r="H277" s="555">
        <v>18.399999999999999</v>
      </c>
      <c r="I277" s="556">
        <v>12100</v>
      </c>
      <c r="K277" s="148">
        <f t="shared" si="50"/>
        <v>32900</v>
      </c>
      <c r="N277" s="461">
        <v>51.9</v>
      </c>
      <c r="O277" s="462">
        <v>44.8</v>
      </c>
    </row>
    <row r="278" spans="1:15">
      <c r="A278" s="460" t="s">
        <v>443</v>
      </c>
      <c r="B278" s="460" t="s">
        <v>449</v>
      </c>
      <c r="C278" s="460">
        <v>1988</v>
      </c>
      <c r="D278" s="460">
        <v>47700</v>
      </c>
      <c r="E278" s="460">
        <v>182900</v>
      </c>
      <c r="F278" s="460">
        <v>2900</v>
      </c>
      <c r="G278" s="460">
        <v>100</v>
      </c>
      <c r="H278" s="555">
        <v>18.8</v>
      </c>
      <c r="I278" s="556">
        <v>12700</v>
      </c>
      <c r="K278" s="148">
        <f t="shared" si="50"/>
        <v>35000</v>
      </c>
      <c r="N278" s="461">
        <v>53.2</v>
      </c>
      <c r="O278" s="462">
        <v>46.3</v>
      </c>
    </row>
    <row r="279" spans="1:15">
      <c r="A279" s="460" t="s">
        <v>443</v>
      </c>
      <c r="B279" s="460" t="s">
        <v>449</v>
      </c>
      <c r="C279" s="460">
        <v>1989</v>
      </c>
      <c r="D279" s="460">
        <v>47000</v>
      </c>
      <c r="E279" s="460">
        <v>182500</v>
      </c>
      <c r="F279" s="460">
        <v>3000</v>
      </c>
      <c r="G279" s="460">
        <v>200</v>
      </c>
      <c r="H279" s="555">
        <v>18.899999999999999</v>
      </c>
      <c r="I279" s="556">
        <v>12800</v>
      </c>
      <c r="K279" s="148">
        <f t="shared" si="50"/>
        <v>34200</v>
      </c>
      <c r="N279" s="461">
        <v>52.8</v>
      </c>
      <c r="O279" s="462">
        <v>45.9</v>
      </c>
    </row>
    <row r="280" spans="1:15">
      <c r="A280" s="460" t="s">
        <v>443</v>
      </c>
      <c r="B280" s="460" t="s">
        <v>449</v>
      </c>
      <c r="C280" s="460">
        <v>1990</v>
      </c>
      <c r="D280" s="460">
        <v>45800</v>
      </c>
      <c r="E280" s="460">
        <v>177900</v>
      </c>
      <c r="F280" s="460">
        <v>3200</v>
      </c>
      <c r="G280" s="460">
        <v>200</v>
      </c>
      <c r="H280" s="555">
        <v>19.3</v>
      </c>
      <c r="I280" s="556">
        <v>13000</v>
      </c>
      <c r="K280" s="148">
        <f t="shared" si="50"/>
        <v>32800</v>
      </c>
      <c r="N280" s="461">
        <v>52.4</v>
      </c>
      <c r="O280" s="462">
        <v>45.3</v>
      </c>
    </row>
    <row r="281" spans="1:15">
      <c r="A281" s="460" t="s">
        <v>443</v>
      </c>
      <c r="B281" s="460" t="s">
        <v>449</v>
      </c>
      <c r="C281" s="460">
        <v>1991</v>
      </c>
      <c r="D281" s="460">
        <v>44800</v>
      </c>
      <c r="E281" s="460">
        <v>171900</v>
      </c>
      <c r="F281" s="460">
        <v>3200</v>
      </c>
      <c r="G281" s="460">
        <v>200</v>
      </c>
      <c r="H281" s="555">
        <v>19.5</v>
      </c>
      <c r="I281" s="556">
        <v>13600</v>
      </c>
      <c r="K281" s="148">
        <f t="shared" si="50"/>
        <v>31200</v>
      </c>
      <c r="N281" s="461">
        <v>52.2</v>
      </c>
      <c r="O281" s="462">
        <v>44.4</v>
      </c>
    </row>
    <row r="282" spans="1:15">
      <c r="A282" s="460" t="s">
        <v>443</v>
      </c>
      <c r="B282" s="460" t="s">
        <v>449</v>
      </c>
      <c r="C282" s="460">
        <v>1992</v>
      </c>
      <c r="D282" s="460">
        <v>47000</v>
      </c>
      <c r="E282" s="460">
        <v>178900</v>
      </c>
      <c r="F282" s="460">
        <v>3200</v>
      </c>
      <c r="G282" s="460">
        <v>200</v>
      </c>
      <c r="H282" s="555">
        <v>19.7</v>
      </c>
      <c r="I282" s="556">
        <v>13700</v>
      </c>
      <c r="K282" s="148">
        <f t="shared" si="50"/>
        <v>33300</v>
      </c>
      <c r="N282" s="461">
        <v>53.3</v>
      </c>
      <c r="O282" s="462">
        <v>45.1</v>
      </c>
    </row>
    <row r="283" spans="1:15">
      <c r="A283" s="460" t="s">
        <v>443</v>
      </c>
      <c r="B283" s="460" t="s">
        <v>449</v>
      </c>
      <c r="C283" s="460">
        <v>1993</v>
      </c>
      <c r="D283" s="460">
        <v>49100</v>
      </c>
      <c r="E283" s="460">
        <v>179100</v>
      </c>
      <c r="F283" s="460">
        <v>3400</v>
      </c>
      <c r="G283" s="460">
        <v>200</v>
      </c>
      <c r="H283" s="555">
        <v>19.899999999999999</v>
      </c>
      <c r="I283" s="556">
        <v>14000</v>
      </c>
      <c r="K283" s="148">
        <f t="shared" si="50"/>
        <v>35100</v>
      </c>
      <c r="N283" s="461">
        <v>53.2</v>
      </c>
      <c r="O283" s="462">
        <v>44.3</v>
      </c>
    </row>
    <row r="284" spans="1:15">
      <c r="A284" s="460" t="s">
        <v>443</v>
      </c>
      <c r="B284" s="460" t="s">
        <v>449</v>
      </c>
      <c r="C284" s="460">
        <v>1994</v>
      </c>
      <c r="D284" s="460">
        <v>51300</v>
      </c>
      <c r="E284" s="460">
        <v>182900</v>
      </c>
      <c r="F284" s="460">
        <v>3600</v>
      </c>
      <c r="G284" s="460">
        <v>300</v>
      </c>
      <c r="H284" s="555">
        <v>20</v>
      </c>
      <c r="I284" s="556">
        <v>14600</v>
      </c>
      <c r="K284" s="148">
        <f t="shared" si="50"/>
        <v>36700</v>
      </c>
      <c r="N284" s="461">
        <v>53.1</v>
      </c>
      <c r="O284" s="462">
        <v>44.2</v>
      </c>
    </row>
    <row r="285" spans="1:15">
      <c r="A285" s="460" t="s">
        <v>443</v>
      </c>
      <c r="B285" s="460" t="s">
        <v>449</v>
      </c>
      <c r="C285" s="460">
        <v>1995</v>
      </c>
      <c r="D285" s="460">
        <v>54700</v>
      </c>
      <c r="E285" s="460">
        <v>192400</v>
      </c>
      <c r="F285" s="460">
        <v>3600</v>
      </c>
      <c r="G285" s="460">
        <v>300</v>
      </c>
      <c r="H285" s="555">
        <v>20.100000000000001</v>
      </c>
      <c r="I285" s="556">
        <v>14900</v>
      </c>
      <c r="K285" s="148">
        <f t="shared" si="50"/>
        <v>39800</v>
      </c>
      <c r="N285" s="461">
        <v>53.4</v>
      </c>
      <c r="O285" s="462">
        <v>44.4</v>
      </c>
    </row>
    <row r="286" spans="1:15">
      <c r="A286" s="460" t="s">
        <v>443</v>
      </c>
      <c r="B286" s="460" t="s">
        <v>449</v>
      </c>
      <c r="C286" s="460">
        <v>1996</v>
      </c>
      <c r="D286" s="460">
        <v>58300</v>
      </c>
      <c r="E286" s="460">
        <v>203300</v>
      </c>
      <c r="F286" s="460">
        <v>4000</v>
      </c>
      <c r="G286" s="460">
        <v>300</v>
      </c>
      <c r="H286" s="555">
        <v>20.5</v>
      </c>
      <c r="I286" s="556">
        <v>15000</v>
      </c>
      <c r="K286" s="148">
        <f t="shared" si="50"/>
        <v>43300</v>
      </c>
      <c r="N286" s="461">
        <v>54.5</v>
      </c>
      <c r="O286" s="462">
        <v>45.6</v>
      </c>
    </row>
    <row r="287" spans="1:15">
      <c r="A287" s="460" t="s">
        <v>443</v>
      </c>
      <c r="B287" s="460" t="s">
        <v>449</v>
      </c>
      <c r="C287" s="460">
        <v>1997</v>
      </c>
      <c r="D287" s="460">
        <v>62000</v>
      </c>
      <c r="E287" s="460">
        <v>216500</v>
      </c>
      <c r="F287" s="460">
        <v>4000</v>
      </c>
      <c r="G287" s="460">
        <v>200</v>
      </c>
      <c r="H287" s="555">
        <v>20.9</v>
      </c>
      <c r="I287" s="556">
        <v>15500</v>
      </c>
      <c r="K287" s="148">
        <f t="shared" si="50"/>
        <v>46500</v>
      </c>
      <c r="N287" s="461">
        <v>55.5</v>
      </c>
      <c r="O287" s="462">
        <v>46.7</v>
      </c>
    </row>
    <row r="288" spans="1:15">
      <c r="A288" s="460" t="s">
        <v>443</v>
      </c>
      <c r="B288" s="460" t="s">
        <v>449</v>
      </c>
      <c r="C288" s="460">
        <v>1998</v>
      </c>
      <c r="D288" s="460">
        <v>65200</v>
      </c>
      <c r="E288" s="460">
        <v>231400</v>
      </c>
      <c r="F288" s="460">
        <v>4100</v>
      </c>
      <c r="G288" s="460">
        <v>300</v>
      </c>
      <c r="H288" s="555">
        <v>21.1</v>
      </c>
      <c r="I288" s="556">
        <v>16200</v>
      </c>
      <c r="K288" s="148">
        <f t="shared" si="50"/>
        <v>49000</v>
      </c>
      <c r="N288" s="461">
        <v>55.8</v>
      </c>
      <c r="O288" s="462">
        <v>47.3</v>
      </c>
    </row>
    <row r="289" spans="1:15">
      <c r="A289" s="460" t="s">
        <v>443</v>
      </c>
      <c r="B289" s="460" t="s">
        <v>449</v>
      </c>
      <c r="C289" s="460">
        <v>1999</v>
      </c>
      <c r="D289" s="460">
        <v>70300</v>
      </c>
      <c r="E289" s="460">
        <v>246200</v>
      </c>
      <c r="F289" s="460">
        <v>3900</v>
      </c>
      <c r="G289" s="460">
        <v>300</v>
      </c>
      <c r="H289" s="555">
        <v>21.4</v>
      </c>
      <c r="I289" s="556">
        <v>16800</v>
      </c>
      <c r="K289" s="148">
        <f t="shared" si="50"/>
        <v>53500</v>
      </c>
      <c r="N289" s="461">
        <v>56.6</v>
      </c>
      <c r="O289" s="462">
        <v>48.2</v>
      </c>
    </row>
    <row r="290" spans="1:15">
      <c r="A290" s="460" t="s">
        <v>443</v>
      </c>
      <c r="B290" s="460" t="s">
        <v>449</v>
      </c>
      <c r="C290" s="460">
        <v>2000</v>
      </c>
      <c r="D290" s="460">
        <v>73800</v>
      </c>
      <c r="E290" s="460">
        <v>258500</v>
      </c>
      <c r="F290" s="460">
        <v>4200</v>
      </c>
      <c r="G290" s="460">
        <v>300</v>
      </c>
      <c r="H290" s="555">
        <v>21.9</v>
      </c>
      <c r="I290" s="556">
        <v>17300</v>
      </c>
      <c r="K290" s="148">
        <f t="shared" si="50"/>
        <v>56500</v>
      </c>
      <c r="N290" s="461">
        <v>57.3</v>
      </c>
      <c r="O290" s="462">
        <v>48.8</v>
      </c>
    </row>
    <row r="291" spans="1:15">
      <c r="A291" s="460" t="s">
        <v>443</v>
      </c>
      <c r="B291" s="460" t="s">
        <v>449</v>
      </c>
      <c r="C291" s="460">
        <v>2001</v>
      </c>
      <c r="D291" s="460">
        <v>64500</v>
      </c>
      <c r="E291" s="460">
        <v>235300</v>
      </c>
      <c r="F291" s="460">
        <v>3900</v>
      </c>
      <c r="G291" s="460">
        <v>300</v>
      </c>
      <c r="H291" s="555">
        <v>22.1</v>
      </c>
      <c r="I291" s="556">
        <v>17800</v>
      </c>
      <c r="K291" s="148">
        <f t="shared" si="50"/>
        <v>46700</v>
      </c>
      <c r="N291" s="461">
        <v>55.5</v>
      </c>
      <c r="O291" s="462">
        <v>46.5</v>
      </c>
    </row>
    <row r="292" spans="1:15">
      <c r="A292" s="460" t="s">
        <v>443</v>
      </c>
      <c r="B292" s="460" t="s">
        <v>449</v>
      </c>
      <c r="C292" s="460">
        <v>2002</v>
      </c>
      <c r="D292" s="460">
        <v>59800</v>
      </c>
      <c r="E292" s="460">
        <v>223600</v>
      </c>
      <c r="F292" s="460">
        <v>3900</v>
      </c>
      <c r="G292" s="460">
        <v>400</v>
      </c>
      <c r="H292" s="555">
        <v>22.3</v>
      </c>
      <c r="I292" s="556">
        <v>17500</v>
      </c>
      <c r="K292" s="148">
        <f t="shared" si="50"/>
        <v>42300</v>
      </c>
      <c r="N292" s="461">
        <v>54.9</v>
      </c>
      <c r="O292" s="462">
        <v>45.5</v>
      </c>
    </row>
    <row r="293" spans="1:15">
      <c r="A293" s="460" t="s">
        <v>443</v>
      </c>
      <c r="B293" s="460" t="s">
        <v>449</v>
      </c>
      <c r="C293" s="460">
        <v>2003</v>
      </c>
      <c r="D293" s="460">
        <v>59100</v>
      </c>
      <c r="E293" s="460">
        <v>231400</v>
      </c>
      <c r="F293" s="460">
        <v>4100</v>
      </c>
      <c r="G293" s="460">
        <v>400</v>
      </c>
      <c r="H293" s="555">
        <v>22.4</v>
      </c>
      <c r="I293" s="556">
        <v>17700</v>
      </c>
      <c r="K293" s="148">
        <f t="shared" si="50"/>
        <v>41400</v>
      </c>
      <c r="N293" s="461">
        <v>55.7</v>
      </c>
      <c r="O293" s="462">
        <v>46.3</v>
      </c>
    </row>
    <row r="294" spans="1:15">
      <c r="A294" s="460" t="s">
        <v>443</v>
      </c>
      <c r="B294" s="460" t="s">
        <v>449</v>
      </c>
      <c r="C294" s="460">
        <v>2004</v>
      </c>
      <c r="D294" s="460">
        <v>65000</v>
      </c>
      <c r="E294" s="460">
        <v>252000</v>
      </c>
      <c r="F294" s="460">
        <v>4200</v>
      </c>
      <c r="G294" s="460">
        <v>400</v>
      </c>
      <c r="H294" s="555">
        <v>22.5</v>
      </c>
      <c r="I294" s="556">
        <v>17900</v>
      </c>
      <c r="K294" s="148">
        <f t="shared" si="50"/>
        <v>47100</v>
      </c>
      <c r="N294" s="461">
        <v>56.9</v>
      </c>
      <c r="O294" s="462">
        <v>47.5</v>
      </c>
    </row>
    <row r="295" spans="1:15">
      <c r="A295" s="460" t="s">
        <v>443</v>
      </c>
      <c r="B295" s="460" t="s">
        <v>449</v>
      </c>
      <c r="C295" s="460">
        <v>2005</v>
      </c>
      <c r="D295" s="460">
        <v>71700</v>
      </c>
      <c r="E295" s="460">
        <v>273200</v>
      </c>
      <c r="F295" s="460">
        <v>4700</v>
      </c>
      <c r="G295" s="460">
        <v>500</v>
      </c>
      <c r="H295" s="555">
        <v>22.8</v>
      </c>
      <c r="I295" s="556">
        <v>17800</v>
      </c>
      <c r="K295" s="148">
        <f t="shared" si="50"/>
        <v>53900</v>
      </c>
      <c r="N295" s="461">
        <v>58.4</v>
      </c>
      <c r="O295" s="462">
        <v>49.1</v>
      </c>
    </row>
    <row r="296" spans="1:15">
      <c r="A296" s="460" t="s">
        <v>443</v>
      </c>
      <c r="B296" s="460" t="s">
        <v>449</v>
      </c>
      <c r="C296" s="460">
        <v>2006</v>
      </c>
      <c r="D296" s="460">
        <v>75000</v>
      </c>
      <c r="E296" s="460">
        <v>285400</v>
      </c>
      <c r="F296" s="460">
        <v>5000</v>
      </c>
      <c r="G296" s="460">
        <v>500</v>
      </c>
      <c r="H296" s="555">
        <v>23.2</v>
      </c>
      <c r="I296" s="556">
        <v>18000</v>
      </c>
      <c r="K296" s="148">
        <f t="shared" si="50"/>
        <v>57000</v>
      </c>
      <c r="N296" s="461">
        <v>59</v>
      </c>
      <c r="O296" s="462">
        <v>49.7</v>
      </c>
    </row>
    <row r="297" spans="1:15">
      <c r="A297" s="460" t="s">
        <v>443</v>
      </c>
      <c r="B297" s="460" t="s">
        <v>449</v>
      </c>
      <c r="C297" s="460">
        <v>2007</v>
      </c>
      <c r="D297" s="460">
        <v>75800</v>
      </c>
      <c r="E297" s="460">
        <v>296500</v>
      </c>
      <c r="F297" s="460">
        <v>5300</v>
      </c>
      <c r="G297" s="460">
        <v>500</v>
      </c>
      <c r="H297" s="555">
        <v>23.2</v>
      </c>
      <c r="I297" s="556">
        <v>18400</v>
      </c>
      <c r="K297" s="148">
        <f t="shared" si="50"/>
        <v>57400</v>
      </c>
      <c r="N297" s="461">
        <v>59</v>
      </c>
      <c r="O297" s="462">
        <v>50</v>
      </c>
    </row>
    <row r="298" spans="1:15">
      <c r="A298" s="460" t="s">
        <v>443</v>
      </c>
      <c r="B298" s="460" t="s">
        <v>449</v>
      </c>
      <c r="C298" s="460">
        <v>2008</v>
      </c>
      <c r="D298" s="460">
        <v>66000</v>
      </c>
      <c r="E298" s="460">
        <v>268500</v>
      </c>
      <c r="F298" s="460">
        <v>4800</v>
      </c>
      <c r="G298" s="460">
        <v>500</v>
      </c>
      <c r="H298" s="555">
        <v>23</v>
      </c>
      <c r="I298" s="556">
        <v>18800</v>
      </c>
      <c r="K298" s="148">
        <f t="shared" si="50"/>
        <v>47200</v>
      </c>
      <c r="N298" s="461">
        <v>57.6</v>
      </c>
      <c r="O298" s="462">
        <v>47.6</v>
      </c>
    </row>
    <row r="299" spans="1:15">
      <c r="A299" s="460" t="s">
        <v>443</v>
      </c>
      <c r="B299" s="460" t="s">
        <v>449</v>
      </c>
      <c r="C299" s="460">
        <v>2009</v>
      </c>
      <c r="D299" s="460">
        <v>58700</v>
      </c>
      <c r="E299" s="460">
        <v>241900</v>
      </c>
      <c r="F299" s="460">
        <v>5300</v>
      </c>
      <c r="G299" s="460">
        <v>600</v>
      </c>
      <c r="H299" s="555">
        <v>23.2</v>
      </c>
      <c r="I299" s="556">
        <v>18800</v>
      </c>
      <c r="K299" s="148">
        <f t="shared" si="50"/>
        <v>39900</v>
      </c>
      <c r="N299" s="461">
        <v>56.7</v>
      </c>
      <c r="O299" s="462">
        <v>45.5</v>
      </c>
    </row>
    <row r="300" spans="1:15">
      <c r="A300" s="460" t="s">
        <v>443</v>
      </c>
      <c r="B300" s="460" t="s">
        <v>449</v>
      </c>
      <c r="C300" s="460">
        <v>2010</v>
      </c>
      <c r="D300" s="460">
        <v>63200</v>
      </c>
      <c r="E300" s="460">
        <v>253100</v>
      </c>
      <c r="F300" s="460">
        <v>5500</v>
      </c>
      <c r="G300" s="460">
        <v>600</v>
      </c>
      <c r="H300" s="555">
        <v>23.6</v>
      </c>
      <c r="I300" s="556">
        <v>18400</v>
      </c>
      <c r="K300" s="148">
        <f t="shared" si="50"/>
        <v>44800</v>
      </c>
      <c r="N300" s="461">
        <v>58</v>
      </c>
      <c r="O300" s="462">
        <v>46.5</v>
      </c>
    </row>
    <row r="301" spans="1:15">
      <c r="A301" s="460" t="s">
        <v>443</v>
      </c>
      <c r="B301" s="460" t="s">
        <v>449</v>
      </c>
      <c r="C301" s="460">
        <v>2011</v>
      </c>
      <c r="D301" s="460">
        <v>62600</v>
      </c>
      <c r="E301" s="460">
        <v>256000</v>
      </c>
      <c r="F301" s="460">
        <v>5500</v>
      </c>
      <c r="G301" s="460">
        <v>500</v>
      </c>
      <c r="H301" s="555">
        <v>23.6</v>
      </c>
      <c r="I301" s="556">
        <v>16300</v>
      </c>
      <c r="K301" s="148">
        <f t="shared" si="50"/>
        <v>46300</v>
      </c>
      <c r="N301" s="461">
        <v>57.9</v>
      </c>
      <c r="O301" s="462">
        <v>46.7</v>
      </c>
    </row>
    <row r="302" spans="1:15">
      <c r="A302" s="460" t="s">
        <v>443</v>
      </c>
      <c r="B302" s="460" t="s">
        <v>449</v>
      </c>
      <c r="C302" s="460">
        <v>2012</v>
      </c>
      <c r="D302" s="460">
        <v>69100</v>
      </c>
      <c r="E302" s="460">
        <v>277600</v>
      </c>
      <c r="F302" s="460">
        <v>5800</v>
      </c>
      <c r="G302" s="460">
        <v>600</v>
      </c>
      <c r="H302" s="555">
        <v>23.9</v>
      </c>
      <c r="I302" s="556">
        <v>16500</v>
      </c>
      <c r="K302" s="148">
        <f t="shared" si="50"/>
        <v>52600</v>
      </c>
      <c r="N302" s="461">
        <v>59.9</v>
      </c>
      <c r="O302" s="462">
        <v>48.7</v>
      </c>
    </row>
    <row r="303" spans="1:15">
      <c r="A303" s="460" t="s">
        <v>443</v>
      </c>
      <c r="B303" s="460" t="s">
        <v>449</v>
      </c>
      <c r="C303" s="460">
        <v>2013</v>
      </c>
      <c r="D303" s="460">
        <v>73000</v>
      </c>
      <c r="E303" s="460">
        <v>266800</v>
      </c>
      <c r="F303" s="460">
        <v>5900</v>
      </c>
      <c r="G303" s="460">
        <v>500</v>
      </c>
      <c r="H303" s="555">
        <v>24</v>
      </c>
      <c r="I303" s="556">
        <v>19300</v>
      </c>
      <c r="K303" s="148">
        <f t="shared" si="50"/>
        <v>53700</v>
      </c>
      <c r="N303" s="461">
        <v>58.4</v>
      </c>
      <c r="O303" s="462">
        <v>46.9</v>
      </c>
    </row>
    <row r="304" spans="1:15">
      <c r="A304" s="460" t="s">
        <v>443</v>
      </c>
      <c r="B304" s="460" t="s">
        <v>449</v>
      </c>
      <c r="C304" s="460">
        <v>2014</v>
      </c>
      <c r="D304" s="460">
        <v>78400</v>
      </c>
      <c r="E304" s="460">
        <v>282000</v>
      </c>
      <c r="F304" s="460">
        <v>6200</v>
      </c>
      <c r="G304" s="460">
        <v>700</v>
      </c>
      <c r="H304" s="555">
        <v>24.4</v>
      </c>
      <c r="I304" s="556">
        <v>19500</v>
      </c>
      <c r="K304" s="148">
        <f t="shared" si="50"/>
        <v>58900</v>
      </c>
      <c r="N304" s="461">
        <v>59.4</v>
      </c>
      <c r="O304" s="462">
        <v>47.6</v>
      </c>
    </row>
    <row r="305" spans="1:15">
      <c r="A305" s="460" t="s">
        <v>443</v>
      </c>
      <c r="B305" s="460" t="s">
        <v>449</v>
      </c>
      <c r="C305" s="460">
        <v>2015</v>
      </c>
      <c r="D305" s="460">
        <v>81200</v>
      </c>
      <c r="E305" s="460">
        <v>292400</v>
      </c>
      <c r="F305" s="460">
        <v>6200</v>
      </c>
      <c r="G305" s="460">
        <v>900</v>
      </c>
      <c r="H305" s="555">
        <v>24.4</v>
      </c>
      <c r="I305" s="556">
        <v>20300</v>
      </c>
      <c r="K305" s="148">
        <f t="shared" si="50"/>
        <v>60900</v>
      </c>
      <c r="N305" s="461">
        <v>59.1</v>
      </c>
      <c r="O305" s="462">
        <v>47.2</v>
      </c>
    </row>
    <row r="306" spans="1:15">
      <c r="A306" s="460" t="s">
        <v>443</v>
      </c>
      <c r="B306" s="460" t="s">
        <v>449</v>
      </c>
      <c r="C306" s="460">
        <v>2016</v>
      </c>
      <c r="D306" s="460">
        <v>79800</v>
      </c>
      <c r="E306" s="460">
        <v>288400</v>
      </c>
      <c r="F306" s="460">
        <v>6300</v>
      </c>
      <c r="G306" s="460">
        <v>1000</v>
      </c>
      <c r="H306" s="555">
        <v>24.3</v>
      </c>
      <c r="I306" s="556">
        <v>20400</v>
      </c>
      <c r="K306" s="148">
        <f t="shared" si="50"/>
        <v>59400</v>
      </c>
      <c r="N306" s="461">
        <v>58.6</v>
      </c>
      <c r="O306" s="462">
        <v>46.7</v>
      </c>
    </row>
    <row r="307" spans="1:15">
      <c r="A307" s="460" t="s">
        <v>443</v>
      </c>
      <c r="B307" s="460" t="s">
        <v>450</v>
      </c>
      <c r="C307" s="460">
        <v>1979</v>
      </c>
      <c r="D307" s="460">
        <v>24200</v>
      </c>
      <c r="E307" s="460">
        <v>99100</v>
      </c>
      <c r="F307" s="460">
        <v>1900</v>
      </c>
      <c r="G307" s="460">
        <v>100</v>
      </c>
      <c r="H307" s="555">
        <v>8</v>
      </c>
      <c r="I307" s="556">
        <v>8200</v>
      </c>
      <c r="K307" s="148">
        <f t="shared" si="50"/>
        <v>16000</v>
      </c>
      <c r="N307" s="461">
        <v>15.9</v>
      </c>
      <c r="O307" s="462">
        <v>14.4</v>
      </c>
    </row>
    <row r="308" spans="1:15">
      <c r="A308" s="460" t="s">
        <v>443</v>
      </c>
      <c r="B308" s="460" t="s">
        <v>450</v>
      </c>
      <c r="C308" s="460">
        <v>1980</v>
      </c>
      <c r="D308" s="460">
        <v>24100</v>
      </c>
      <c r="E308" s="460">
        <v>96600</v>
      </c>
      <c r="F308" s="460">
        <v>2200</v>
      </c>
      <c r="G308" s="460">
        <v>100</v>
      </c>
      <c r="H308" s="555">
        <v>8.1999999999999993</v>
      </c>
      <c r="I308" s="556">
        <v>8100</v>
      </c>
      <c r="K308" s="148">
        <f t="shared" si="50"/>
        <v>16000</v>
      </c>
      <c r="N308" s="461">
        <v>16.100000000000001</v>
      </c>
      <c r="O308" s="462">
        <v>14.4</v>
      </c>
    </row>
    <row r="309" spans="1:15">
      <c r="A309" s="460" t="s">
        <v>443</v>
      </c>
      <c r="B309" s="460" t="s">
        <v>450</v>
      </c>
      <c r="C309" s="460">
        <v>1981</v>
      </c>
      <c r="D309" s="460">
        <v>24700</v>
      </c>
      <c r="E309" s="460">
        <v>96500</v>
      </c>
      <c r="F309" s="460">
        <v>2400</v>
      </c>
      <c r="G309" s="460">
        <v>100</v>
      </c>
      <c r="H309" s="555">
        <v>8.3000000000000007</v>
      </c>
      <c r="I309" s="556">
        <v>8800</v>
      </c>
      <c r="K309" s="148">
        <f t="shared" si="50"/>
        <v>15900</v>
      </c>
      <c r="N309" s="461">
        <v>16.2</v>
      </c>
      <c r="O309" s="462">
        <v>14.4</v>
      </c>
    </row>
    <row r="310" spans="1:15">
      <c r="A310" s="460" t="s">
        <v>443</v>
      </c>
      <c r="B310" s="460" t="s">
        <v>450</v>
      </c>
      <c r="C310" s="460">
        <v>1982</v>
      </c>
      <c r="D310" s="460">
        <v>23000</v>
      </c>
      <c r="E310" s="460">
        <v>96000</v>
      </c>
      <c r="F310" s="460">
        <v>2700</v>
      </c>
      <c r="G310" s="460">
        <v>100</v>
      </c>
      <c r="H310" s="555">
        <v>8.5</v>
      </c>
      <c r="I310" s="556">
        <v>8900</v>
      </c>
      <c r="K310" s="148">
        <f t="shared" si="50"/>
        <v>14100</v>
      </c>
      <c r="N310" s="461">
        <v>16.399999999999999</v>
      </c>
      <c r="O310" s="462">
        <v>14.5</v>
      </c>
    </row>
    <row r="311" spans="1:15">
      <c r="A311" s="460" t="s">
        <v>443</v>
      </c>
      <c r="B311" s="460" t="s">
        <v>450</v>
      </c>
      <c r="C311" s="460">
        <v>1983</v>
      </c>
      <c r="D311" s="460">
        <v>22600</v>
      </c>
      <c r="E311" s="460">
        <v>97300</v>
      </c>
      <c r="F311" s="460">
        <v>2700</v>
      </c>
      <c r="G311" s="460">
        <v>100</v>
      </c>
      <c r="H311" s="555">
        <v>8.6</v>
      </c>
      <c r="I311" s="556">
        <v>9100</v>
      </c>
      <c r="K311" s="148">
        <f t="shared" si="50"/>
        <v>13500</v>
      </c>
      <c r="N311" s="461">
        <v>16.399999999999999</v>
      </c>
      <c r="O311" s="462">
        <v>14.5</v>
      </c>
    </row>
    <row r="312" spans="1:15">
      <c r="A312" s="460" t="s">
        <v>443</v>
      </c>
      <c r="B312" s="460" t="s">
        <v>450</v>
      </c>
      <c r="C312" s="460">
        <v>1984</v>
      </c>
      <c r="D312" s="460">
        <v>24300</v>
      </c>
      <c r="E312" s="460">
        <v>103700</v>
      </c>
      <c r="F312" s="460">
        <v>3000</v>
      </c>
      <c r="G312" s="460">
        <v>100</v>
      </c>
      <c r="H312" s="555">
        <v>8.6</v>
      </c>
      <c r="I312" s="556">
        <v>10000</v>
      </c>
      <c r="K312" s="148">
        <f t="shared" si="50"/>
        <v>14300</v>
      </c>
      <c r="N312" s="461">
        <v>16.2</v>
      </c>
      <c r="O312" s="462">
        <v>14.5</v>
      </c>
    </row>
    <row r="313" spans="1:15">
      <c r="A313" s="460" t="s">
        <v>443</v>
      </c>
      <c r="B313" s="460" t="s">
        <v>450</v>
      </c>
      <c r="C313" s="460">
        <v>1985</v>
      </c>
      <c r="D313" s="460">
        <v>24300</v>
      </c>
      <c r="E313" s="460">
        <v>102800</v>
      </c>
      <c r="F313" s="460">
        <v>2800</v>
      </c>
      <c r="G313" s="460">
        <v>200</v>
      </c>
      <c r="H313" s="555">
        <v>8.9</v>
      </c>
      <c r="I313" s="556">
        <v>10300</v>
      </c>
      <c r="K313" s="148">
        <f t="shared" si="50"/>
        <v>14000</v>
      </c>
      <c r="N313" s="461">
        <v>16.100000000000001</v>
      </c>
      <c r="O313" s="462">
        <v>14.4</v>
      </c>
    </row>
    <row r="314" spans="1:15">
      <c r="A314" s="460" t="s">
        <v>443</v>
      </c>
      <c r="B314" s="460" t="s">
        <v>450</v>
      </c>
      <c r="C314" s="460">
        <v>1986</v>
      </c>
      <c r="D314" s="460">
        <v>25700</v>
      </c>
      <c r="E314" s="460">
        <v>108100</v>
      </c>
      <c r="F314" s="460">
        <v>2700</v>
      </c>
      <c r="G314" s="460">
        <v>100</v>
      </c>
      <c r="H314" s="555">
        <v>8.9</v>
      </c>
      <c r="I314" s="556">
        <v>11100</v>
      </c>
      <c r="K314" s="148">
        <f t="shared" si="50"/>
        <v>14600</v>
      </c>
      <c r="N314" s="461">
        <v>15.6</v>
      </c>
      <c r="O314" s="462">
        <v>13.9</v>
      </c>
    </row>
    <row r="315" spans="1:15">
      <c r="A315" s="460" t="s">
        <v>443</v>
      </c>
      <c r="B315" s="460" t="s">
        <v>450</v>
      </c>
      <c r="C315" s="460">
        <v>1987</v>
      </c>
      <c r="D315" s="460">
        <v>26100</v>
      </c>
      <c r="E315" s="460">
        <v>109200</v>
      </c>
      <c r="F315" s="460">
        <v>2400</v>
      </c>
      <c r="G315" s="460">
        <v>100</v>
      </c>
      <c r="H315" s="555">
        <v>9.1</v>
      </c>
      <c r="I315" s="556">
        <v>11100</v>
      </c>
      <c r="K315" s="148">
        <f t="shared" si="50"/>
        <v>15000</v>
      </c>
      <c r="N315" s="461">
        <v>16.399999999999999</v>
      </c>
      <c r="O315" s="462">
        <v>14.7</v>
      </c>
    </row>
    <row r="316" spans="1:15">
      <c r="A316" s="460" t="s">
        <v>443</v>
      </c>
      <c r="B316" s="460" t="s">
        <v>450</v>
      </c>
      <c r="C316" s="460">
        <v>1988</v>
      </c>
      <c r="D316" s="460">
        <v>26600</v>
      </c>
      <c r="E316" s="460">
        <v>110400</v>
      </c>
      <c r="F316" s="460">
        <v>2600</v>
      </c>
      <c r="G316" s="460">
        <v>100</v>
      </c>
      <c r="H316" s="555">
        <v>9.3000000000000007</v>
      </c>
      <c r="I316" s="556">
        <v>11600</v>
      </c>
      <c r="K316" s="148">
        <f t="shared" si="50"/>
        <v>15000</v>
      </c>
      <c r="N316" s="461">
        <v>15.9</v>
      </c>
      <c r="O316" s="462">
        <v>14.3</v>
      </c>
    </row>
    <row r="317" spans="1:15">
      <c r="A317" s="460" t="s">
        <v>443</v>
      </c>
      <c r="B317" s="460" t="s">
        <v>450</v>
      </c>
      <c r="C317" s="460">
        <v>1989</v>
      </c>
      <c r="D317" s="460">
        <v>27100</v>
      </c>
      <c r="E317" s="460">
        <v>112100</v>
      </c>
      <c r="F317" s="460">
        <v>2600</v>
      </c>
      <c r="G317" s="460">
        <v>200</v>
      </c>
      <c r="H317" s="555">
        <v>9.3000000000000007</v>
      </c>
      <c r="I317" s="556">
        <v>11600</v>
      </c>
      <c r="K317" s="148">
        <f t="shared" si="50"/>
        <v>15500</v>
      </c>
      <c r="N317" s="461">
        <v>16</v>
      </c>
      <c r="O317" s="462">
        <v>14.3</v>
      </c>
    </row>
    <row r="318" spans="1:15">
      <c r="A318" s="460" t="s">
        <v>443</v>
      </c>
      <c r="B318" s="460" t="s">
        <v>450</v>
      </c>
      <c r="C318" s="460">
        <v>1990</v>
      </c>
      <c r="D318" s="460">
        <v>26800</v>
      </c>
      <c r="E318" s="460">
        <v>110500</v>
      </c>
      <c r="F318" s="460">
        <v>2800</v>
      </c>
      <c r="G318" s="460">
        <v>200</v>
      </c>
      <c r="H318" s="555">
        <v>9.5</v>
      </c>
      <c r="I318" s="556">
        <v>11800</v>
      </c>
      <c r="K318" s="148">
        <f t="shared" si="50"/>
        <v>15000</v>
      </c>
      <c r="N318" s="461">
        <v>16</v>
      </c>
      <c r="O318" s="462">
        <v>14.3</v>
      </c>
    </row>
    <row r="319" spans="1:15">
      <c r="A319" s="460" t="s">
        <v>443</v>
      </c>
      <c r="B319" s="460" t="s">
        <v>450</v>
      </c>
      <c r="C319" s="460">
        <v>1991</v>
      </c>
      <c r="D319" s="460">
        <v>26300</v>
      </c>
      <c r="E319" s="460">
        <v>108900</v>
      </c>
      <c r="F319" s="460">
        <v>2900</v>
      </c>
      <c r="G319" s="460">
        <v>200</v>
      </c>
      <c r="H319" s="555">
        <v>9.6</v>
      </c>
      <c r="I319" s="556">
        <v>11800</v>
      </c>
      <c r="K319" s="148">
        <f t="shared" si="50"/>
        <v>14500</v>
      </c>
      <c r="N319" s="461">
        <v>16.2</v>
      </c>
      <c r="O319" s="462">
        <v>14.3</v>
      </c>
    </row>
    <row r="320" spans="1:15">
      <c r="A320" s="460" t="s">
        <v>443</v>
      </c>
      <c r="B320" s="460" t="s">
        <v>450</v>
      </c>
      <c r="C320" s="460">
        <v>1992</v>
      </c>
      <c r="D320" s="460">
        <v>26500</v>
      </c>
      <c r="E320" s="460">
        <v>109800</v>
      </c>
      <c r="F320" s="460">
        <v>3000</v>
      </c>
      <c r="G320" s="460">
        <v>300</v>
      </c>
      <c r="H320" s="555">
        <v>9.6999999999999993</v>
      </c>
      <c r="I320" s="556">
        <v>11900</v>
      </c>
      <c r="K320" s="148">
        <f t="shared" si="50"/>
        <v>14600</v>
      </c>
      <c r="N320" s="461">
        <v>16.100000000000001</v>
      </c>
      <c r="O320" s="462">
        <v>14.1</v>
      </c>
    </row>
    <row r="321" spans="1:15">
      <c r="A321" s="460" t="s">
        <v>443</v>
      </c>
      <c r="B321" s="460" t="s">
        <v>450</v>
      </c>
      <c r="C321" s="460">
        <v>1993</v>
      </c>
      <c r="D321" s="460">
        <v>26800</v>
      </c>
      <c r="E321" s="460">
        <v>111300</v>
      </c>
      <c r="F321" s="460">
        <v>3000</v>
      </c>
      <c r="G321" s="460">
        <v>200</v>
      </c>
      <c r="H321" s="555">
        <v>9.6999999999999993</v>
      </c>
      <c r="I321" s="556">
        <v>12000</v>
      </c>
      <c r="K321" s="148">
        <f t="shared" si="50"/>
        <v>14800</v>
      </c>
      <c r="N321" s="461">
        <v>16.2</v>
      </c>
      <c r="O321" s="462">
        <v>14.3</v>
      </c>
    </row>
    <row r="322" spans="1:15">
      <c r="A322" s="460" t="s">
        <v>443</v>
      </c>
      <c r="B322" s="460" t="s">
        <v>450</v>
      </c>
      <c r="C322" s="460">
        <v>1994</v>
      </c>
      <c r="D322" s="460">
        <v>27800</v>
      </c>
      <c r="E322" s="460">
        <v>113600</v>
      </c>
      <c r="F322" s="460">
        <v>3100</v>
      </c>
      <c r="G322" s="460">
        <v>300</v>
      </c>
      <c r="H322" s="555">
        <v>9.8000000000000007</v>
      </c>
      <c r="I322" s="556">
        <v>12400</v>
      </c>
      <c r="K322" s="148">
        <f t="shared" si="50"/>
        <v>15400</v>
      </c>
      <c r="N322" s="461">
        <v>16.100000000000001</v>
      </c>
      <c r="O322" s="462">
        <v>14.3</v>
      </c>
    </row>
    <row r="323" spans="1:15">
      <c r="A323" s="460" t="s">
        <v>443</v>
      </c>
      <c r="B323" s="460" t="s">
        <v>450</v>
      </c>
      <c r="C323" s="460">
        <v>1995</v>
      </c>
      <c r="D323" s="460">
        <v>28900</v>
      </c>
      <c r="E323" s="460">
        <v>116900</v>
      </c>
      <c r="F323" s="460">
        <v>3200</v>
      </c>
      <c r="G323" s="460">
        <v>300</v>
      </c>
      <c r="H323" s="555">
        <v>9.8000000000000007</v>
      </c>
      <c r="I323" s="556">
        <v>12600</v>
      </c>
      <c r="K323" s="148">
        <f t="shared" si="50"/>
        <v>16300</v>
      </c>
      <c r="N323" s="461">
        <v>15.9</v>
      </c>
      <c r="O323" s="462">
        <v>14</v>
      </c>
    </row>
    <row r="324" spans="1:15">
      <c r="A324" s="460" t="s">
        <v>443</v>
      </c>
      <c r="B324" s="460" t="s">
        <v>450</v>
      </c>
      <c r="C324" s="460">
        <v>1996</v>
      </c>
      <c r="D324" s="460">
        <v>29300</v>
      </c>
      <c r="E324" s="460">
        <v>119100</v>
      </c>
      <c r="F324" s="460">
        <v>3600</v>
      </c>
      <c r="G324" s="460">
        <v>300</v>
      </c>
      <c r="H324" s="555">
        <v>10.1</v>
      </c>
      <c r="I324" s="556">
        <v>12700</v>
      </c>
      <c r="K324" s="148">
        <f t="shared" si="50"/>
        <v>16600</v>
      </c>
      <c r="N324" s="461">
        <v>15.7</v>
      </c>
      <c r="O324" s="462">
        <v>14</v>
      </c>
    </row>
    <row r="325" spans="1:15">
      <c r="A325" s="460" t="s">
        <v>443</v>
      </c>
      <c r="B325" s="460" t="s">
        <v>450</v>
      </c>
      <c r="C325" s="460">
        <v>1997</v>
      </c>
      <c r="D325" s="460">
        <v>30500</v>
      </c>
      <c r="E325" s="460">
        <v>122400</v>
      </c>
      <c r="F325" s="460">
        <v>3300</v>
      </c>
      <c r="G325" s="460">
        <v>300</v>
      </c>
      <c r="H325" s="555">
        <v>10.3</v>
      </c>
      <c r="I325" s="556">
        <v>13200</v>
      </c>
      <c r="K325" s="148">
        <f t="shared" si="50"/>
        <v>17300</v>
      </c>
      <c r="N325" s="461">
        <v>15.5</v>
      </c>
      <c r="O325" s="462">
        <v>13.8</v>
      </c>
    </row>
    <row r="326" spans="1:15">
      <c r="A326" s="460" t="s">
        <v>443</v>
      </c>
      <c r="B326" s="460" t="s">
        <v>450</v>
      </c>
      <c r="C326" s="460">
        <v>1998</v>
      </c>
      <c r="D326" s="460">
        <v>31500</v>
      </c>
      <c r="E326" s="460">
        <v>127400</v>
      </c>
      <c r="F326" s="460">
        <v>3400</v>
      </c>
      <c r="G326" s="460">
        <v>300</v>
      </c>
      <c r="H326" s="555">
        <v>10.5</v>
      </c>
      <c r="I326" s="556">
        <v>13800</v>
      </c>
      <c r="K326" s="148">
        <f t="shared" si="50"/>
        <v>17700</v>
      </c>
      <c r="N326" s="461">
        <v>15.2</v>
      </c>
      <c r="O326" s="462">
        <v>13.7</v>
      </c>
    </row>
    <row r="327" spans="1:15">
      <c r="A327" s="460" t="s">
        <v>443</v>
      </c>
      <c r="B327" s="460" t="s">
        <v>450</v>
      </c>
      <c r="C327" s="460">
        <v>1999</v>
      </c>
      <c r="D327" s="460">
        <v>32900</v>
      </c>
      <c r="E327" s="460">
        <v>132300</v>
      </c>
      <c r="F327" s="460">
        <v>3400</v>
      </c>
      <c r="G327" s="460">
        <v>300</v>
      </c>
      <c r="H327" s="555">
        <v>10.5</v>
      </c>
      <c r="I327" s="556">
        <v>14200</v>
      </c>
      <c r="K327" s="148">
        <f t="shared" si="50"/>
        <v>18700</v>
      </c>
      <c r="N327" s="461">
        <v>15</v>
      </c>
      <c r="O327" s="462">
        <v>13.6</v>
      </c>
    </row>
    <row r="328" spans="1:15">
      <c r="A328" s="460" t="s">
        <v>443</v>
      </c>
      <c r="B328" s="460" t="s">
        <v>450</v>
      </c>
      <c r="C328" s="460">
        <v>2000</v>
      </c>
      <c r="D328" s="460">
        <v>33700</v>
      </c>
      <c r="E328" s="460">
        <v>135400</v>
      </c>
      <c r="F328" s="460">
        <v>3500</v>
      </c>
      <c r="G328" s="460">
        <v>400</v>
      </c>
      <c r="H328" s="555">
        <v>10.8</v>
      </c>
      <c r="I328" s="556">
        <v>14400</v>
      </c>
      <c r="K328" s="148">
        <f t="shared" si="50"/>
        <v>19300</v>
      </c>
      <c r="N328" s="461">
        <v>14.7</v>
      </c>
      <c r="O328" s="462">
        <v>13.4</v>
      </c>
    </row>
    <row r="329" spans="1:15">
      <c r="A329" s="460" t="s">
        <v>443</v>
      </c>
      <c r="B329" s="460" t="s">
        <v>450</v>
      </c>
      <c r="C329" s="460">
        <v>2001</v>
      </c>
      <c r="D329" s="460">
        <v>31700</v>
      </c>
      <c r="E329" s="460">
        <v>133500</v>
      </c>
      <c r="F329" s="460">
        <v>3500</v>
      </c>
      <c r="G329" s="460">
        <v>300</v>
      </c>
      <c r="H329" s="555">
        <v>10.9</v>
      </c>
      <c r="I329" s="556">
        <v>14800</v>
      </c>
      <c r="K329" s="148">
        <f t="shared" si="50"/>
        <v>16900</v>
      </c>
      <c r="N329" s="461">
        <v>15.5</v>
      </c>
      <c r="O329" s="462">
        <v>13.8</v>
      </c>
    </row>
    <row r="330" spans="1:15">
      <c r="A330" s="460" t="s">
        <v>443</v>
      </c>
      <c r="B330" s="460" t="s">
        <v>450</v>
      </c>
      <c r="C330" s="460">
        <v>2002</v>
      </c>
      <c r="D330" s="460">
        <v>30200</v>
      </c>
      <c r="E330" s="460">
        <v>131300</v>
      </c>
      <c r="F330" s="460">
        <v>3600</v>
      </c>
      <c r="G330" s="460">
        <v>400</v>
      </c>
      <c r="H330" s="555">
        <v>10.9</v>
      </c>
      <c r="I330" s="556">
        <v>14400</v>
      </c>
      <c r="K330" s="148">
        <f t="shared" si="50"/>
        <v>15800</v>
      </c>
      <c r="N330" s="461">
        <v>15.8</v>
      </c>
      <c r="O330" s="462">
        <v>13.9</v>
      </c>
    </row>
    <row r="331" spans="1:15">
      <c r="A331" s="460" t="s">
        <v>443</v>
      </c>
      <c r="B331" s="460" t="s">
        <v>450</v>
      </c>
      <c r="C331" s="460">
        <v>2003</v>
      </c>
      <c r="D331" s="460">
        <v>29300</v>
      </c>
      <c r="E331" s="460">
        <v>133400</v>
      </c>
      <c r="F331" s="460">
        <v>3700</v>
      </c>
      <c r="G331" s="460">
        <v>400</v>
      </c>
      <c r="H331" s="555">
        <v>11</v>
      </c>
      <c r="I331" s="556">
        <v>14600</v>
      </c>
      <c r="K331" s="148">
        <f t="shared" si="50"/>
        <v>14700</v>
      </c>
      <c r="N331" s="461">
        <v>15.8</v>
      </c>
      <c r="O331" s="462">
        <v>14</v>
      </c>
    </row>
    <row r="332" spans="1:15">
      <c r="A332" s="460" t="s">
        <v>443</v>
      </c>
      <c r="B332" s="460" t="s">
        <v>450</v>
      </c>
      <c r="C332" s="460">
        <v>2004</v>
      </c>
      <c r="D332" s="460">
        <v>30400</v>
      </c>
      <c r="E332" s="460">
        <v>137800</v>
      </c>
      <c r="F332" s="460">
        <v>3900</v>
      </c>
      <c r="G332" s="460">
        <v>500</v>
      </c>
      <c r="H332" s="555">
        <v>11.1</v>
      </c>
      <c r="I332" s="556">
        <v>14700</v>
      </c>
      <c r="K332" s="148">
        <f t="shared" si="50"/>
        <v>15700</v>
      </c>
      <c r="N332" s="461">
        <v>15.4</v>
      </c>
      <c r="O332" s="462">
        <v>13.7</v>
      </c>
    </row>
    <row r="333" spans="1:15">
      <c r="A333" s="460" t="s">
        <v>443</v>
      </c>
      <c r="B333" s="460" t="s">
        <v>450</v>
      </c>
      <c r="C333" s="460">
        <v>2005</v>
      </c>
      <c r="D333" s="460">
        <v>31300</v>
      </c>
      <c r="E333" s="460">
        <v>140400</v>
      </c>
      <c r="F333" s="460">
        <v>4100</v>
      </c>
      <c r="G333" s="460">
        <v>500</v>
      </c>
      <c r="H333" s="555">
        <v>11.3</v>
      </c>
      <c r="I333" s="556">
        <v>14700</v>
      </c>
      <c r="K333" s="148">
        <f t="shared" si="50"/>
        <v>16600</v>
      </c>
      <c r="N333" s="461">
        <v>14.9</v>
      </c>
      <c r="O333" s="462">
        <v>13.4</v>
      </c>
    </row>
    <row r="334" spans="1:15">
      <c r="A334" s="460" t="s">
        <v>443</v>
      </c>
      <c r="B334" s="460" t="s">
        <v>450</v>
      </c>
      <c r="C334" s="460">
        <v>2006</v>
      </c>
      <c r="D334" s="460">
        <v>32300</v>
      </c>
      <c r="E334" s="460">
        <v>144100</v>
      </c>
      <c r="F334" s="460">
        <v>4400</v>
      </c>
      <c r="G334" s="460">
        <v>600</v>
      </c>
      <c r="H334" s="555">
        <v>11.4</v>
      </c>
      <c r="I334" s="556">
        <v>15000</v>
      </c>
      <c r="K334" s="148">
        <f t="shared" si="50"/>
        <v>17300</v>
      </c>
      <c r="N334" s="461">
        <v>14.7</v>
      </c>
      <c r="O334" s="462">
        <v>13.2</v>
      </c>
    </row>
    <row r="335" spans="1:15">
      <c r="A335" s="460" t="s">
        <v>443</v>
      </c>
      <c r="B335" s="460" t="s">
        <v>450</v>
      </c>
      <c r="C335" s="460">
        <v>2007</v>
      </c>
      <c r="D335" s="460">
        <v>32600</v>
      </c>
      <c r="E335" s="460">
        <v>146700</v>
      </c>
      <c r="F335" s="460">
        <v>4700</v>
      </c>
      <c r="G335" s="460">
        <v>600</v>
      </c>
      <c r="H335" s="555">
        <v>11.5</v>
      </c>
      <c r="I335" s="556">
        <v>15300</v>
      </c>
      <c r="K335" s="148">
        <f t="shared" si="50"/>
        <v>17300</v>
      </c>
      <c r="N335" s="461">
        <v>14.5</v>
      </c>
      <c r="O335" s="462">
        <v>13</v>
      </c>
    </row>
    <row r="336" spans="1:15">
      <c r="A336" s="460" t="s">
        <v>443</v>
      </c>
      <c r="B336" s="460" t="s">
        <v>450</v>
      </c>
      <c r="C336" s="460">
        <v>2008</v>
      </c>
      <c r="D336" s="460">
        <v>29800</v>
      </c>
      <c r="E336" s="460">
        <v>143900</v>
      </c>
      <c r="F336" s="460">
        <v>4400</v>
      </c>
      <c r="G336" s="460">
        <v>500</v>
      </c>
      <c r="H336" s="555">
        <v>11.3</v>
      </c>
      <c r="I336" s="556">
        <v>15400</v>
      </c>
      <c r="K336" s="148">
        <f t="shared" ref="K336:K399" si="51">D336-I336</f>
        <v>14400</v>
      </c>
      <c r="N336" s="461">
        <v>15.2</v>
      </c>
      <c r="O336" s="462">
        <v>13.4</v>
      </c>
    </row>
    <row r="337" spans="1:15">
      <c r="A337" s="460" t="s">
        <v>443</v>
      </c>
      <c r="B337" s="460" t="s">
        <v>450</v>
      </c>
      <c r="C337" s="460">
        <v>2009</v>
      </c>
      <c r="D337" s="460">
        <v>28500</v>
      </c>
      <c r="E337" s="460">
        <v>139500</v>
      </c>
      <c r="F337" s="460">
        <v>5000</v>
      </c>
      <c r="G337" s="460">
        <v>600</v>
      </c>
      <c r="H337" s="555">
        <v>11.5</v>
      </c>
      <c r="I337" s="556">
        <v>15100</v>
      </c>
      <c r="K337" s="148">
        <f t="shared" si="51"/>
        <v>13400</v>
      </c>
      <c r="N337" s="461">
        <v>16.2</v>
      </c>
      <c r="O337" s="462">
        <v>13.9</v>
      </c>
    </row>
    <row r="338" spans="1:15">
      <c r="A338" s="460" t="s">
        <v>443</v>
      </c>
      <c r="B338" s="460" t="s">
        <v>450</v>
      </c>
      <c r="C338" s="460">
        <v>2010</v>
      </c>
      <c r="D338" s="460">
        <v>29200</v>
      </c>
      <c r="E338" s="460">
        <v>139100</v>
      </c>
      <c r="F338" s="460">
        <v>5300</v>
      </c>
      <c r="G338" s="460">
        <v>600</v>
      </c>
      <c r="H338" s="555">
        <v>11.7</v>
      </c>
      <c r="I338" s="556">
        <v>14800</v>
      </c>
      <c r="K338" s="148">
        <f t="shared" si="51"/>
        <v>14400</v>
      </c>
      <c r="N338" s="461">
        <v>15.9</v>
      </c>
      <c r="O338" s="462">
        <v>13.7</v>
      </c>
    </row>
    <row r="339" spans="1:15">
      <c r="A339" s="460" t="s">
        <v>443</v>
      </c>
      <c r="B339" s="460" t="s">
        <v>450</v>
      </c>
      <c r="C339" s="460">
        <v>2011</v>
      </c>
      <c r="D339" s="460">
        <v>28800</v>
      </c>
      <c r="E339" s="460">
        <v>141000</v>
      </c>
      <c r="F339" s="460">
        <v>5300</v>
      </c>
      <c r="G339" s="460">
        <v>600</v>
      </c>
      <c r="H339" s="555">
        <v>11.7</v>
      </c>
      <c r="I339" s="556">
        <v>12900</v>
      </c>
      <c r="K339" s="148">
        <f t="shared" si="51"/>
        <v>15900</v>
      </c>
      <c r="N339" s="461">
        <v>15.8</v>
      </c>
      <c r="O339" s="462">
        <v>13.7</v>
      </c>
    </row>
    <row r="340" spans="1:15">
      <c r="A340" s="460" t="s">
        <v>443</v>
      </c>
      <c r="B340" s="460" t="s">
        <v>450</v>
      </c>
      <c r="C340" s="460">
        <v>2012</v>
      </c>
      <c r="D340" s="460">
        <v>29600</v>
      </c>
      <c r="E340" s="460">
        <v>142300</v>
      </c>
      <c r="F340" s="460">
        <v>5700</v>
      </c>
      <c r="G340" s="460">
        <v>600</v>
      </c>
      <c r="H340" s="555">
        <v>11.9</v>
      </c>
      <c r="I340" s="556">
        <v>13100</v>
      </c>
      <c r="K340" s="148">
        <f t="shared" si="51"/>
        <v>16500</v>
      </c>
      <c r="N340" s="461">
        <v>15.2</v>
      </c>
      <c r="O340" s="462">
        <v>13.4</v>
      </c>
    </row>
    <row r="341" spans="1:15">
      <c r="A341" s="460" t="s">
        <v>443</v>
      </c>
      <c r="B341" s="460" t="s">
        <v>450</v>
      </c>
      <c r="C341" s="460">
        <v>2013</v>
      </c>
      <c r="D341" s="460">
        <v>32700</v>
      </c>
      <c r="E341" s="460">
        <v>144500</v>
      </c>
      <c r="F341" s="460">
        <v>5700</v>
      </c>
      <c r="G341" s="460">
        <v>600</v>
      </c>
      <c r="H341" s="555">
        <v>12</v>
      </c>
      <c r="I341" s="556">
        <v>15300</v>
      </c>
      <c r="K341" s="148">
        <f t="shared" si="51"/>
        <v>17400</v>
      </c>
      <c r="N341" s="461">
        <v>15.8</v>
      </c>
      <c r="O341" s="462">
        <v>13.8</v>
      </c>
    </row>
    <row r="342" spans="1:15">
      <c r="A342" s="460" t="s">
        <v>443</v>
      </c>
      <c r="B342" s="460" t="s">
        <v>450</v>
      </c>
      <c r="C342" s="460">
        <v>2014</v>
      </c>
      <c r="D342" s="460">
        <v>33900</v>
      </c>
      <c r="E342" s="460">
        <v>147900</v>
      </c>
      <c r="F342" s="460">
        <v>5700</v>
      </c>
      <c r="G342" s="460">
        <v>800</v>
      </c>
      <c r="H342" s="555">
        <v>12.1</v>
      </c>
      <c r="I342" s="556">
        <v>15600</v>
      </c>
      <c r="K342" s="148">
        <f t="shared" si="51"/>
        <v>18300</v>
      </c>
      <c r="N342" s="461">
        <v>15.5</v>
      </c>
      <c r="O342" s="462">
        <v>13.5</v>
      </c>
    </row>
    <row r="343" spans="1:15">
      <c r="A343" s="460" t="s">
        <v>443</v>
      </c>
      <c r="B343" s="460" t="s">
        <v>450</v>
      </c>
      <c r="C343" s="460">
        <v>2015</v>
      </c>
      <c r="D343" s="460">
        <v>35500</v>
      </c>
      <c r="E343" s="460">
        <v>153800</v>
      </c>
      <c r="F343" s="460">
        <v>5700</v>
      </c>
      <c r="G343" s="460">
        <v>900</v>
      </c>
      <c r="H343" s="555">
        <v>12.1</v>
      </c>
      <c r="I343" s="556">
        <v>16200</v>
      </c>
      <c r="K343" s="148">
        <f t="shared" si="51"/>
        <v>19300</v>
      </c>
      <c r="N343" s="461">
        <v>15.4</v>
      </c>
      <c r="O343" s="462">
        <v>13.4</v>
      </c>
    </row>
    <row r="344" spans="1:15">
      <c r="A344" s="460" t="s">
        <v>443</v>
      </c>
      <c r="B344" s="460" t="s">
        <v>450</v>
      </c>
      <c r="C344" s="460">
        <v>2016</v>
      </c>
      <c r="D344" s="460">
        <v>35600</v>
      </c>
      <c r="E344" s="460">
        <v>154400</v>
      </c>
      <c r="F344" s="460">
        <v>5900</v>
      </c>
      <c r="G344" s="460">
        <v>1100</v>
      </c>
      <c r="H344" s="555">
        <v>12.1</v>
      </c>
      <c r="I344" s="556">
        <v>16300</v>
      </c>
      <c r="K344" s="148">
        <f t="shared" si="51"/>
        <v>19300</v>
      </c>
      <c r="N344" s="461">
        <v>15.6</v>
      </c>
      <c r="O344" s="462">
        <v>13.6</v>
      </c>
    </row>
    <row r="345" spans="1:15">
      <c r="A345" s="460" t="s">
        <v>443</v>
      </c>
      <c r="B345" s="460" t="s">
        <v>451</v>
      </c>
      <c r="C345" s="460">
        <v>1979</v>
      </c>
      <c r="D345" s="460">
        <v>31700</v>
      </c>
      <c r="E345" s="460">
        <v>122600</v>
      </c>
      <c r="F345" s="460">
        <v>1900</v>
      </c>
      <c r="G345" s="460">
        <v>100</v>
      </c>
      <c r="H345" s="555">
        <v>4.2</v>
      </c>
      <c r="I345" s="556">
        <v>9000</v>
      </c>
      <c r="K345" s="148">
        <f t="shared" si="51"/>
        <v>22700</v>
      </c>
      <c r="N345" s="461">
        <v>10.4</v>
      </c>
      <c r="O345" s="462">
        <v>9.1999999999999993</v>
      </c>
    </row>
    <row r="346" spans="1:15">
      <c r="A346" s="460" t="s">
        <v>443</v>
      </c>
      <c r="B346" s="460" t="s">
        <v>451</v>
      </c>
      <c r="C346" s="460">
        <v>1980</v>
      </c>
      <c r="D346" s="460">
        <v>31800</v>
      </c>
      <c r="E346" s="460">
        <v>120500</v>
      </c>
      <c r="F346" s="460">
        <v>2200</v>
      </c>
      <c r="G346" s="460">
        <v>100</v>
      </c>
      <c r="H346" s="555">
        <v>4.3</v>
      </c>
      <c r="I346" s="556">
        <v>8900</v>
      </c>
      <c r="K346" s="148">
        <f t="shared" si="51"/>
        <v>22900</v>
      </c>
      <c r="N346" s="461">
        <v>10.5</v>
      </c>
      <c r="O346" s="462">
        <v>9.1999999999999993</v>
      </c>
    </row>
    <row r="347" spans="1:15">
      <c r="A347" s="460" t="s">
        <v>443</v>
      </c>
      <c r="B347" s="460" t="s">
        <v>451</v>
      </c>
      <c r="C347" s="460">
        <v>1981</v>
      </c>
      <c r="D347" s="460">
        <v>32300</v>
      </c>
      <c r="E347" s="460">
        <v>120000</v>
      </c>
      <c r="F347" s="460">
        <v>2400</v>
      </c>
      <c r="G347" s="460">
        <v>100</v>
      </c>
      <c r="H347" s="555">
        <v>4.4000000000000004</v>
      </c>
      <c r="I347" s="556">
        <v>9800</v>
      </c>
      <c r="K347" s="148">
        <f t="shared" si="51"/>
        <v>22500</v>
      </c>
      <c r="N347" s="461">
        <v>10.6</v>
      </c>
      <c r="O347" s="462">
        <v>9.1999999999999993</v>
      </c>
    </row>
    <row r="348" spans="1:15">
      <c r="A348" s="460" t="s">
        <v>443</v>
      </c>
      <c r="B348" s="460" t="s">
        <v>451</v>
      </c>
      <c r="C348" s="460">
        <v>1982</v>
      </c>
      <c r="D348" s="460">
        <v>29600</v>
      </c>
      <c r="E348" s="460">
        <v>119100</v>
      </c>
      <c r="F348" s="460">
        <v>2600</v>
      </c>
      <c r="G348" s="460">
        <v>100</v>
      </c>
      <c r="H348" s="555">
        <v>4.5</v>
      </c>
      <c r="I348" s="556">
        <v>10200</v>
      </c>
      <c r="K348" s="148">
        <f t="shared" si="51"/>
        <v>19400</v>
      </c>
      <c r="N348" s="461">
        <v>10.7</v>
      </c>
      <c r="O348" s="462">
        <v>9.3000000000000007</v>
      </c>
    </row>
    <row r="349" spans="1:15">
      <c r="A349" s="460" t="s">
        <v>443</v>
      </c>
      <c r="B349" s="460" t="s">
        <v>451</v>
      </c>
      <c r="C349" s="460">
        <v>1983</v>
      </c>
      <c r="D349" s="460">
        <v>29400</v>
      </c>
      <c r="E349" s="460">
        <v>122300</v>
      </c>
      <c r="F349" s="460">
        <v>2600</v>
      </c>
      <c r="G349" s="460">
        <v>100</v>
      </c>
      <c r="H349" s="555">
        <v>4.5</v>
      </c>
      <c r="I349" s="556">
        <v>10500</v>
      </c>
      <c r="K349" s="148">
        <f t="shared" si="51"/>
        <v>18900</v>
      </c>
      <c r="N349" s="461">
        <v>10.8</v>
      </c>
      <c r="O349" s="462">
        <v>9.4</v>
      </c>
    </row>
    <row r="350" spans="1:15">
      <c r="A350" s="460" t="s">
        <v>443</v>
      </c>
      <c r="B350" s="460" t="s">
        <v>451</v>
      </c>
      <c r="C350" s="460">
        <v>1984</v>
      </c>
      <c r="D350" s="460">
        <v>31700</v>
      </c>
      <c r="E350" s="460">
        <v>131800</v>
      </c>
      <c r="F350" s="460">
        <v>3000</v>
      </c>
      <c r="G350" s="460">
        <v>100</v>
      </c>
      <c r="H350" s="555">
        <v>4.4000000000000004</v>
      </c>
      <c r="I350" s="556">
        <v>11600</v>
      </c>
      <c r="K350" s="148">
        <f t="shared" si="51"/>
        <v>20100</v>
      </c>
      <c r="N350" s="461">
        <v>10.6</v>
      </c>
      <c r="O350" s="462">
        <v>9.4</v>
      </c>
    </row>
    <row r="351" spans="1:15">
      <c r="A351" s="460" t="s">
        <v>443</v>
      </c>
      <c r="B351" s="460" t="s">
        <v>451</v>
      </c>
      <c r="C351" s="460">
        <v>1985</v>
      </c>
      <c r="D351" s="460">
        <v>31900</v>
      </c>
      <c r="E351" s="460">
        <v>131400</v>
      </c>
      <c r="F351" s="460">
        <v>2700</v>
      </c>
      <c r="G351" s="460">
        <v>100</v>
      </c>
      <c r="H351" s="555">
        <v>4.5999999999999996</v>
      </c>
      <c r="I351" s="556">
        <v>11900</v>
      </c>
      <c r="K351" s="148">
        <f t="shared" si="51"/>
        <v>20000</v>
      </c>
      <c r="N351" s="461">
        <v>10.6</v>
      </c>
      <c r="O351" s="462">
        <v>9.3000000000000007</v>
      </c>
    </row>
    <row r="352" spans="1:15">
      <c r="A352" s="460" t="s">
        <v>443</v>
      </c>
      <c r="B352" s="460" t="s">
        <v>451</v>
      </c>
      <c r="C352" s="460">
        <v>1986</v>
      </c>
      <c r="D352" s="460">
        <v>33400</v>
      </c>
      <c r="E352" s="460">
        <v>137100</v>
      </c>
      <c r="F352" s="460">
        <v>3000</v>
      </c>
      <c r="G352" s="460">
        <v>100</v>
      </c>
      <c r="H352" s="555">
        <v>4.7</v>
      </c>
      <c r="I352" s="556">
        <v>12500</v>
      </c>
      <c r="K352" s="148">
        <f t="shared" si="51"/>
        <v>20900</v>
      </c>
      <c r="N352" s="461">
        <v>10.5</v>
      </c>
      <c r="O352" s="462">
        <v>9.1999999999999993</v>
      </c>
    </row>
    <row r="353" spans="1:15">
      <c r="A353" s="460" t="s">
        <v>443</v>
      </c>
      <c r="B353" s="460" t="s">
        <v>451</v>
      </c>
      <c r="C353" s="460">
        <v>1987</v>
      </c>
      <c r="D353" s="460">
        <v>35600</v>
      </c>
      <c r="E353" s="460">
        <v>140900</v>
      </c>
      <c r="F353" s="460">
        <v>2600</v>
      </c>
      <c r="G353" s="460">
        <v>100</v>
      </c>
      <c r="H353" s="555">
        <v>4.5999999999999996</v>
      </c>
      <c r="I353" s="556">
        <v>12900</v>
      </c>
      <c r="K353" s="148">
        <f t="shared" si="51"/>
        <v>22700</v>
      </c>
      <c r="N353" s="461">
        <v>10.7</v>
      </c>
      <c r="O353" s="462">
        <v>9.4</v>
      </c>
    </row>
    <row r="354" spans="1:15">
      <c r="A354" s="460" t="s">
        <v>443</v>
      </c>
      <c r="B354" s="460" t="s">
        <v>451</v>
      </c>
      <c r="C354" s="460">
        <v>1988</v>
      </c>
      <c r="D354" s="460">
        <v>36100</v>
      </c>
      <c r="E354" s="460">
        <v>142600</v>
      </c>
      <c r="F354" s="460">
        <v>2400</v>
      </c>
      <c r="G354" s="460">
        <v>100</v>
      </c>
      <c r="H354" s="555">
        <v>4.7</v>
      </c>
      <c r="I354" s="556">
        <v>13700</v>
      </c>
      <c r="K354" s="148">
        <f t="shared" si="51"/>
        <v>22400</v>
      </c>
      <c r="N354" s="461">
        <v>10.5</v>
      </c>
      <c r="O354" s="462">
        <v>9.1999999999999993</v>
      </c>
    </row>
    <row r="355" spans="1:15">
      <c r="A355" s="460" t="s">
        <v>443</v>
      </c>
      <c r="B355" s="460" t="s">
        <v>451</v>
      </c>
      <c r="C355" s="460">
        <v>1989</v>
      </c>
      <c r="D355" s="460">
        <v>36500</v>
      </c>
      <c r="E355" s="460">
        <v>145700</v>
      </c>
      <c r="F355" s="460">
        <v>2800</v>
      </c>
      <c r="G355" s="460">
        <v>200</v>
      </c>
      <c r="H355" s="555">
        <v>4.7</v>
      </c>
      <c r="I355" s="556">
        <v>13700</v>
      </c>
      <c r="K355" s="148">
        <f t="shared" si="51"/>
        <v>22800</v>
      </c>
      <c r="N355" s="461">
        <v>10.6</v>
      </c>
      <c r="O355" s="462">
        <v>9.3000000000000007</v>
      </c>
    </row>
    <row r="356" spans="1:15">
      <c r="A356" s="460" t="s">
        <v>443</v>
      </c>
      <c r="B356" s="460" t="s">
        <v>451</v>
      </c>
      <c r="C356" s="460">
        <v>1990</v>
      </c>
      <c r="D356" s="460">
        <v>35700</v>
      </c>
      <c r="E356" s="460">
        <v>142200</v>
      </c>
      <c r="F356" s="460">
        <v>3000</v>
      </c>
      <c r="G356" s="460">
        <v>100</v>
      </c>
      <c r="H356" s="555">
        <v>4.9000000000000004</v>
      </c>
      <c r="I356" s="556">
        <v>13800</v>
      </c>
      <c r="K356" s="148">
        <f t="shared" si="51"/>
        <v>21900</v>
      </c>
      <c r="N356" s="461">
        <v>10.6</v>
      </c>
      <c r="O356" s="462">
        <v>9.3000000000000007</v>
      </c>
    </row>
    <row r="357" spans="1:15">
      <c r="A357" s="460" t="s">
        <v>443</v>
      </c>
      <c r="B357" s="460" t="s">
        <v>451</v>
      </c>
      <c r="C357" s="460">
        <v>1991</v>
      </c>
      <c r="D357" s="460">
        <v>35600</v>
      </c>
      <c r="E357" s="460">
        <v>140900</v>
      </c>
      <c r="F357" s="460">
        <v>2800</v>
      </c>
      <c r="G357" s="460">
        <v>100</v>
      </c>
      <c r="H357" s="555">
        <v>4.9000000000000004</v>
      </c>
      <c r="I357" s="556">
        <v>14300</v>
      </c>
      <c r="K357" s="148">
        <f t="shared" si="51"/>
        <v>21300</v>
      </c>
      <c r="N357" s="461">
        <v>10.8</v>
      </c>
      <c r="O357" s="462">
        <v>9.3000000000000007</v>
      </c>
    </row>
    <row r="358" spans="1:15">
      <c r="A358" s="460" t="s">
        <v>443</v>
      </c>
      <c r="B358" s="460" t="s">
        <v>451</v>
      </c>
      <c r="C358" s="460">
        <v>1992</v>
      </c>
      <c r="D358" s="460">
        <v>35800</v>
      </c>
      <c r="E358" s="460">
        <v>142700</v>
      </c>
      <c r="F358" s="460">
        <v>2900</v>
      </c>
      <c r="G358" s="460">
        <v>200</v>
      </c>
      <c r="H358" s="555">
        <v>5</v>
      </c>
      <c r="I358" s="556">
        <v>14200</v>
      </c>
      <c r="K358" s="148">
        <f t="shared" si="51"/>
        <v>21600</v>
      </c>
      <c r="N358" s="461">
        <v>10.8</v>
      </c>
      <c r="O358" s="462">
        <v>9.3000000000000007</v>
      </c>
    </row>
    <row r="359" spans="1:15">
      <c r="A359" s="460" t="s">
        <v>443</v>
      </c>
      <c r="B359" s="460" t="s">
        <v>451</v>
      </c>
      <c r="C359" s="460">
        <v>1993</v>
      </c>
      <c r="D359" s="460">
        <v>36900</v>
      </c>
      <c r="E359" s="460">
        <v>144200</v>
      </c>
      <c r="F359" s="460">
        <v>3100</v>
      </c>
      <c r="G359" s="460">
        <v>200</v>
      </c>
      <c r="H359" s="555">
        <v>5.0999999999999996</v>
      </c>
      <c r="I359" s="556">
        <v>14400</v>
      </c>
      <c r="K359" s="148">
        <f t="shared" si="51"/>
        <v>22500</v>
      </c>
      <c r="N359" s="461">
        <v>10.9</v>
      </c>
      <c r="O359" s="462">
        <v>9.3000000000000007</v>
      </c>
    </row>
    <row r="360" spans="1:15">
      <c r="A360" s="460" t="s">
        <v>443</v>
      </c>
      <c r="B360" s="460" t="s">
        <v>451</v>
      </c>
      <c r="C360" s="460">
        <v>1994</v>
      </c>
      <c r="D360" s="460">
        <v>37800</v>
      </c>
      <c r="E360" s="460">
        <v>146300</v>
      </c>
      <c r="F360" s="460">
        <v>3500</v>
      </c>
      <c r="G360" s="460">
        <v>300</v>
      </c>
      <c r="H360" s="555">
        <v>5.0999999999999996</v>
      </c>
      <c r="I360" s="556">
        <v>14700</v>
      </c>
      <c r="K360" s="148">
        <f t="shared" si="51"/>
        <v>23100</v>
      </c>
      <c r="N360" s="461">
        <v>10.8</v>
      </c>
      <c r="O360" s="462">
        <v>9.4</v>
      </c>
    </row>
    <row r="361" spans="1:15">
      <c r="A361" s="460" t="s">
        <v>443</v>
      </c>
      <c r="B361" s="460" t="s">
        <v>451</v>
      </c>
      <c r="C361" s="460">
        <v>1995</v>
      </c>
      <c r="D361" s="460">
        <v>39600</v>
      </c>
      <c r="E361" s="460">
        <v>151300</v>
      </c>
      <c r="F361" s="460">
        <v>3400</v>
      </c>
      <c r="G361" s="460">
        <v>200</v>
      </c>
      <c r="H361" s="555">
        <v>5.2</v>
      </c>
      <c r="I361" s="556">
        <v>15200</v>
      </c>
      <c r="K361" s="148">
        <f t="shared" si="51"/>
        <v>24400</v>
      </c>
      <c r="N361" s="461">
        <v>10.8</v>
      </c>
      <c r="O361" s="462">
        <v>9.3000000000000007</v>
      </c>
    </row>
    <row r="362" spans="1:15">
      <c r="A362" s="460" t="s">
        <v>443</v>
      </c>
      <c r="B362" s="460" t="s">
        <v>451</v>
      </c>
      <c r="C362" s="460">
        <v>1996</v>
      </c>
      <c r="D362" s="460">
        <v>41200</v>
      </c>
      <c r="E362" s="460">
        <v>157200</v>
      </c>
      <c r="F362" s="460">
        <v>3700</v>
      </c>
      <c r="G362" s="460">
        <v>200</v>
      </c>
      <c r="H362" s="555">
        <v>5.2</v>
      </c>
      <c r="I362" s="556">
        <v>15500</v>
      </c>
      <c r="K362" s="148">
        <f t="shared" si="51"/>
        <v>25700</v>
      </c>
      <c r="N362" s="461">
        <v>10.6</v>
      </c>
      <c r="O362" s="462">
        <v>9.1999999999999993</v>
      </c>
    </row>
    <row r="363" spans="1:15">
      <c r="A363" s="460" t="s">
        <v>443</v>
      </c>
      <c r="B363" s="460" t="s">
        <v>451</v>
      </c>
      <c r="C363" s="460">
        <v>1997</v>
      </c>
      <c r="D363" s="460">
        <v>42900</v>
      </c>
      <c r="E363" s="460">
        <v>162700</v>
      </c>
      <c r="F363" s="460">
        <v>4100</v>
      </c>
      <c r="G363" s="460">
        <v>200</v>
      </c>
      <c r="H363" s="555">
        <v>5.3</v>
      </c>
      <c r="I363" s="556">
        <v>15600</v>
      </c>
      <c r="K363" s="148">
        <f t="shared" si="51"/>
        <v>27300</v>
      </c>
      <c r="N363" s="461">
        <v>10.6</v>
      </c>
      <c r="O363" s="462">
        <v>9.3000000000000007</v>
      </c>
    </row>
    <row r="364" spans="1:15">
      <c r="A364" s="460" t="s">
        <v>443</v>
      </c>
      <c r="B364" s="460" t="s">
        <v>451</v>
      </c>
      <c r="C364" s="460">
        <v>1998</v>
      </c>
      <c r="D364" s="460">
        <v>44500</v>
      </c>
      <c r="E364" s="460">
        <v>169900</v>
      </c>
      <c r="F364" s="460">
        <v>4000</v>
      </c>
      <c r="G364" s="460">
        <v>200</v>
      </c>
      <c r="H364" s="555">
        <v>5.4</v>
      </c>
      <c r="I364" s="556">
        <v>16400</v>
      </c>
      <c r="K364" s="148">
        <f t="shared" si="51"/>
        <v>28100</v>
      </c>
      <c r="N364" s="461">
        <v>10.4</v>
      </c>
      <c r="O364" s="462">
        <v>9.1999999999999993</v>
      </c>
    </row>
    <row r="365" spans="1:15">
      <c r="A365" s="460" t="s">
        <v>443</v>
      </c>
      <c r="B365" s="460" t="s">
        <v>451</v>
      </c>
      <c r="C365" s="460">
        <v>1999</v>
      </c>
      <c r="D365" s="460">
        <v>46900</v>
      </c>
      <c r="E365" s="460">
        <v>176800</v>
      </c>
      <c r="F365" s="460">
        <v>3800</v>
      </c>
      <c r="G365" s="460">
        <v>300</v>
      </c>
      <c r="H365" s="555">
        <v>5.4</v>
      </c>
      <c r="I365" s="556">
        <v>17000</v>
      </c>
      <c r="K365" s="148">
        <f t="shared" si="51"/>
        <v>29900</v>
      </c>
      <c r="N365" s="461">
        <v>10.3</v>
      </c>
      <c r="O365" s="462">
        <v>9.1</v>
      </c>
    </row>
    <row r="366" spans="1:15">
      <c r="A366" s="460" t="s">
        <v>443</v>
      </c>
      <c r="B366" s="460" t="s">
        <v>451</v>
      </c>
      <c r="C366" s="460">
        <v>2000</v>
      </c>
      <c r="D366" s="460">
        <v>48100</v>
      </c>
      <c r="E366" s="460">
        <v>182000</v>
      </c>
      <c r="F366" s="460">
        <v>4200</v>
      </c>
      <c r="G366" s="460">
        <v>300</v>
      </c>
      <c r="H366" s="555">
        <v>5.6</v>
      </c>
      <c r="I366" s="556">
        <v>17200</v>
      </c>
      <c r="K366" s="148">
        <f t="shared" si="51"/>
        <v>30900</v>
      </c>
      <c r="N366" s="461">
        <v>10.199999999999999</v>
      </c>
      <c r="O366" s="462">
        <v>9.1</v>
      </c>
    </row>
    <row r="367" spans="1:15">
      <c r="A367" s="460" t="s">
        <v>443</v>
      </c>
      <c r="B367" s="460" t="s">
        <v>451</v>
      </c>
      <c r="C367" s="460">
        <v>2001</v>
      </c>
      <c r="D367" s="460">
        <v>45300</v>
      </c>
      <c r="E367" s="460">
        <v>177600</v>
      </c>
      <c r="F367" s="460">
        <v>3600</v>
      </c>
      <c r="G367" s="460">
        <v>300</v>
      </c>
      <c r="H367" s="555">
        <v>5.6</v>
      </c>
      <c r="I367" s="556">
        <v>18100</v>
      </c>
      <c r="K367" s="148">
        <f t="shared" si="51"/>
        <v>27200</v>
      </c>
      <c r="N367" s="461">
        <v>10.6</v>
      </c>
      <c r="O367" s="462">
        <v>9.1999999999999993</v>
      </c>
    </row>
    <row r="368" spans="1:15">
      <c r="A368" s="460" t="s">
        <v>443</v>
      </c>
      <c r="B368" s="460" t="s">
        <v>451</v>
      </c>
      <c r="C368" s="460">
        <v>2002</v>
      </c>
      <c r="D368" s="460">
        <v>43200</v>
      </c>
      <c r="E368" s="460">
        <v>174000</v>
      </c>
      <c r="F368" s="460">
        <v>3500</v>
      </c>
      <c r="G368" s="460">
        <v>300</v>
      </c>
      <c r="H368" s="555">
        <v>5.7</v>
      </c>
      <c r="I368" s="556">
        <v>17800</v>
      </c>
      <c r="K368" s="148">
        <f t="shared" si="51"/>
        <v>25400</v>
      </c>
      <c r="N368" s="461">
        <v>10.8</v>
      </c>
      <c r="O368" s="462">
        <v>9.1999999999999993</v>
      </c>
    </row>
    <row r="369" spans="1:15">
      <c r="A369" s="460" t="s">
        <v>443</v>
      </c>
      <c r="B369" s="460" t="s">
        <v>451</v>
      </c>
      <c r="C369" s="460">
        <v>2003</v>
      </c>
      <c r="D369" s="460">
        <v>41900</v>
      </c>
      <c r="E369" s="460">
        <v>177100</v>
      </c>
      <c r="F369" s="460">
        <v>3900</v>
      </c>
      <c r="G369" s="460">
        <v>400</v>
      </c>
      <c r="H369" s="555">
        <v>5.7</v>
      </c>
      <c r="I369" s="556">
        <v>18100</v>
      </c>
      <c r="K369" s="148">
        <f t="shared" si="51"/>
        <v>23800</v>
      </c>
      <c r="N369" s="461">
        <v>10.8</v>
      </c>
      <c r="O369" s="462">
        <v>9.3000000000000007</v>
      </c>
    </row>
    <row r="370" spans="1:15">
      <c r="A370" s="460" t="s">
        <v>443</v>
      </c>
      <c r="B370" s="460" t="s">
        <v>451</v>
      </c>
      <c r="C370" s="460">
        <v>2004</v>
      </c>
      <c r="D370" s="460">
        <v>43900</v>
      </c>
      <c r="E370" s="460">
        <v>184600</v>
      </c>
      <c r="F370" s="460">
        <v>3600</v>
      </c>
      <c r="G370" s="460">
        <v>400</v>
      </c>
      <c r="H370" s="555">
        <v>5.7</v>
      </c>
      <c r="I370" s="556">
        <v>18400</v>
      </c>
      <c r="K370" s="148">
        <f t="shared" si="51"/>
        <v>25500</v>
      </c>
      <c r="N370" s="461">
        <v>10.5</v>
      </c>
      <c r="O370" s="462">
        <v>9.1</v>
      </c>
    </row>
    <row r="371" spans="1:15">
      <c r="A371" s="460" t="s">
        <v>443</v>
      </c>
      <c r="B371" s="460" t="s">
        <v>451</v>
      </c>
      <c r="C371" s="460">
        <v>2005</v>
      </c>
      <c r="D371" s="460">
        <v>45900</v>
      </c>
      <c r="E371" s="460">
        <v>191200</v>
      </c>
      <c r="F371" s="460">
        <v>4400</v>
      </c>
      <c r="G371" s="460">
        <v>400</v>
      </c>
      <c r="H371" s="555">
        <v>5.8</v>
      </c>
      <c r="I371" s="556">
        <v>18400</v>
      </c>
      <c r="K371" s="148">
        <f t="shared" si="51"/>
        <v>27500</v>
      </c>
      <c r="N371" s="461">
        <v>10.4</v>
      </c>
      <c r="O371" s="462">
        <v>9</v>
      </c>
    </row>
    <row r="372" spans="1:15">
      <c r="A372" s="460" t="s">
        <v>443</v>
      </c>
      <c r="B372" s="460" t="s">
        <v>451</v>
      </c>
      <c r="C372" s="460">
        <v>2006</v>
      </c>
      <c r="D372" s="460">
        <v>47200</v>
      </c>
      <c r="E372" s="460">
        <v>195700</v>
      </c>
      <c r="F372" s="460">
        <v>4700</v>
      </c>
      <c r="G372" s="460">
        <v>400</v>
      </c>
      <c r="H372" s="555">
        <v>5.9</v>
      </c>
      <c r="I372" s="556">
        <v>18400</v>
      </c>
      <c r="K372" s="148">
        <f t="shared" si="51"/>
        <v>28800</v>
      </c>
      <c r="N372" s="461">
        <v>10.3</v>
      </c>
      <c r="O372" s="462">
        <v>9</v>
      </c>
    </row>
    <row r="373" spans="1:15">
      <c r="A373" s="460" t="s">
        <v>443</v>
      </c>
      <c r="B373" s="460" t="s">
        <v>451</v>
      </c>
      <c r="C373" s="460">
        <v>2007</v>
      </c>
      <c r="D373" s="460">
        <v>47800</v>
      </c>
      <c r="E373" s="460">
        <v>200800</v>
      </c>
      <c r="F373" s="460">
        <v>5100</v>
      </c>
      <c r="G373" s="460">
        <v>500</v>
      </c>
      <c r="H373" s="555">
        <v>5.9</v>
      </c>
      <c r="I373" s="556">
        <v>18800</v>
      </c>
      <c r="K373" s="148">
        <f t="shared" si="51"/>
        <v>29000</v>
      </c>
      <c r="N373" s="461">
        <v>10.1</v>
      </c>
      <c r="O373" s="462">
        <v>8.9</v>
      </c>
    </row>
    <row r="374" spans="1:15">
      <c r="A374" s="460" t="s">
        <v>443</v>
      </c>
      <c r="B374" s="460" t="s">
        <v>451</v>
      </c>
      <c r="C374" s="460">
        <v>2008</v>
      </c>
      <c r="D374" s="460">
        <v>44500</v>
      </c>
      <c r="E374" s="460">
        <v>194300</v>
      </c>
      <c r="F374" s="460">
        <v>4700</v>
      </c>
      <c r="G374" s="460">
        <v>500</v>
      </c>
      <c r="H374" s="555">
        <v>5.9</v>
      </c>
      <c r="I374" s="556">
        <v>19200</v>
      </c>
      <c r="K374" s="148">
        <f t="shared" si="51"/>
        <v>25300</v>
      </c>
      <c r="N374" s="461">
        <v>10.6</v>
      </c>
      <c r="O374" s="462">
        <v>9.1</v>
      </c>
    </row>
    <row r="375" spans="1:15">
      <c r="A375" s="460" t="s">
        <v>443</v>
      </c>
      <c r="B375" s="460" t="s">
        <v>451</v>
      </c>
      <c r="C375" s="460">
        <v>2009</v>
      </c>
      <c r="D375" s="460">
        <v>42300</v>
      </c>
      <c r="E375" s="460">
        <v>187900</v>
      </c>
      <c r="F375" s="460">
        <v>5200</v>
      </c>
      <c r="G375" s="460">
        <v>500</v>
      </c>
      <c r="H375" s="555">
        <v>5.9</v>
      </c>
      <c r="I375" s="556">
        <v>19100</v>
      </c>
      <c r="K375" s="148">
        <f t="shared" si="51"/>
        <v>23200</v>
      </c>
      <c r="N375" s="461">
        <v>11.2</v>
      </c>
      <c r="O375" s="462">
        <v>9.1999999999999993</v>
      </c>
    </row>
    <row r="376" spans="1:15">
      <c r="A376" s="460" t="s">
        <v>443</v>
      </c>
      <c r="B376" s="460" t="s">
        <v>451</v>
      </c>
      <c r="C376" s="460">
        <v>2010</v>
      </c>
      <c r="D376" s="460">
        <v>43700</v>
      </c>
      <c r="E376" s="460">
        <v>190100</v>
      </c>
      <c r="F376" s="460">
        <v>5200</v>
      </c>
      <c r="G376" s="460">
        <v>500</v>
      </c>
      <c r="H376" s="555">
        <v>5.9</v>
      </c>
      <c r="I376" s="556">
        <v>18900</v>
      </c>
      <c r="K376" s="148">
        <f t="shared" si="51"/>
        <v>24800</v>
      </c>
      <c r="N376" s="461">
        <v>11</v>
      </c>
      <c r="O376" s="462">
        <v>9.1</v>
      </c>
    </row>
    <row r="377" spans="1:15">
      <c r="A377" s="460" t="s">
        <v>443</v>
      </c>
      <c r="B377" s="460" t="s">
        <v>451</v>
      </c>
      <c r="C377" s="460">
        <v>2011</v>
      </c>
      <c r="D377" s="460">
        <v>43000</v>
      </c>
      <c r="E377" s="460">
        <v>192400</v>
      </c>
      <c r="F377" s="460">
        <v>5200</v>
      </c>
      <c r="G377" s="460">
        <v>400</v>
      </c>
      <c r="H377" s="555">
        <v>6</v>
      </c>
      <c r="I377" s="556">
        <v>16600</v>
      </c>
      <c r="K377" s="148">
        <f t="shared" si="51"/>
        <v>26400</v>
      </c>
      <c r="N377" s="461">
        <v>11</v>
      </c>
      <c r="O377" s="462">
        <v>9.1999999999999993</v>
      </c>
    </row>
    <row r="378" spans="1:15">
      <c r="A378" s="460" t="s">
        <v>443</v>
      </c>
      <c r="B378" s="460" t="s">
        <v>451</v>
      </c>
      <c r="C378" s="460">
        <v>2012</v>
      </c>
      <c r="D378" s="460">
        <v>44400</v>
      </c>
      <c r="E378" s="460">
        <v>195100</v>
      </c>
      <c r="F378" s="460">
        <v>5600</v>
      </c>
      <c r="G378" s="460">
        <v>500</v>
      </c>
      <c r="H378" s="555">
        <v>6.1</v>
      </c>
      <c r="I378" s="556">
        <v>16700</v>
      </c>
      <c r="K378" s="148">
        <f t="shared" si="51"/>
        <v>27700</v>
      </c>
      <c r="N378" s="461">
        <v>10.7</v>
      </c>
      <c r="O378" s="462">
        <v>9.1</v>
      </c>
    </row>
    <row r="379" spans="1:15">
      <c r="A379" s="460" t="s">
        <v>443</v>
      </c>
      <c r="B379" s="460" t="s">
        <v>451</v>
      </c>
      <c r="C379" s="460">
        <v>2013</v>
      </c>
      <c r="D379" s="460">
        <v>49200</v>
      </c>
      <c r="E379" s="460">
        <v>201300</v>
      </c>
      <c r="F379" s="460">
        <v>5300</v>
      </c>
      <c r="G379" s="460">
        <v>500</v>
      </c>
      <c r="H379" s="555">
        <v>6</v>
      </c>
      <c r="I379" s="556">
        <v>19800</v>
      </c>
      <c r="K379" s="148">
        <f t="shared" si="51"/>
        <v>29400</v>
      </c>
      <c r="N379" s="461">
        <v>11</v>
      </c>
      <c r="O379" s="462">
        <v>9.1999999999999993</v>
      </c>
    </row>
    <row r="380" spans="1:15">
      <c r="A380" s="460" t="s">
        <v>443</v>
      </c>
      <c r="B380" s="460" t="s">
        <v>451</v>
      </c>
      <c r="C380" s="460">
        <v>2014</v>
      </c>
      <c r="D380" s="460">
        <v>50800</v>
      </c>
      <c r="E380" s="460">
        <v>204700</v>
      </c>
      <c r="F380" s="460">
        <v>6000</v>
      </c>
      <c r="G380" s="460">
        <v>600</v>
      </c>
      <c r="H380" s="555">
        <v>6.2</v>
      </c>
      <c r="I380" s="556">
        <v>19800</v>
      </c>
      <c r="K380" s="148">
        <f t="shared" si="51"/>
        <v>31000</v>
      </c>
      <c r="N380" s="461">
        <v>10.9</v>
      </c>
      <c r="O380" s="462">
        <v>9.1999999999999993</v>
      </c>
    </row>
    <row r="381" spans="1:15">
      <c r="A381" s="460" t="s">
        <v>443</v>
      </c>
      <c r="B381" s="460" t="s">
        <v>451</v>
      </c>
      <c r="C381" s="460">
        <v>2015</v>
      </c>
      <c r="D381" s="460">
        <v>52700</v>
      </c>
      <c r="E381" s="460">
        <v>211700</v>
      </c>
      <c r="F381" s="460">
        <v>5900</v>
      </c>
      <c r="G381" s="460">
        <v>800</v>
      </c>
      <c r="H381" s="555">
        <v>6.2</v>
      </c>
      <c r="I381" s="556">
        <v>20400</v>
      </c>
      <c r="K381" s="148">
        <f t="shared" si="51"/>
        <v>32300</v>
      </c>
      <c r="N381" s="461">
        <v>10.9</v>
      </c>
      <c r="O381" s="462">
        <v>9.1999999999999993</v>
      </c>
    </row>
    <row r="382" spans="1:15">
      <c r="A382" s="460" t="s">
        <v>443</v>
      </c>
      <c r="B382" s="460" t="s">
        <v>451</v>
      </c>
      <c r="C382" s="460">
        <v>2016</v>
      </c>
      <c r="D382" s="460">
        <v>53200</v>
      </c>
      <c r="E382" s="460">
        <v>213700</v>
      </c>
      <c r="F382" s="460">
        <v>6000</v>
      </c>
      <c r="G382" s="460">
        <v>900</v>
      </c>
      <c r="H382" s="555">
        <v>6.2</v>
      </c>
      <c r="I382" s="556">
        <v>20700</v>
      </c>
      <c r="K382" s="148">
        <f t="shared" si="51"/>
        <v>32500</v>
      </c>
      <c r="N382" s="461">
        <v>11</v>
      </c>
      <c r="O382" s="462">
        <v>9.1999999999999993</v>
      </c>
    </row>
    <row r="383" spans="1:15">
      <c r="A383" s="460" t="s">
        <v>443</v>
      </c>
      <c r="B383" s="460" t="s">
        <v>452</v>
      </c>
      <c r="C383" s="460">
        <v>1979</v>
      </c>
      <c r="D383" s="460">
        <v>49400</v>
      </c>
      <c r="E383" s="460">
        <v>177800</v>
      </c>
      <c r="F383" s="460">
        <v>2900</v>
      </c>
      <c r="G383" s="460">
        <v>100</v>
      </c>
      <c r="H383" s="555">
        <v>3.4</v>
      </c>
      <c r="I383" s="556">
        <v>8300</v>
      </c>
      <c r="K383" s="148">
        <f t="shared" si="51"/>
        <v>41100</v>
      </c>
      <c r="N383" s="461">
        <v>12</v>
      </c>
      <c r="O383" s="462">
        <v>10.4</v>
      </c>
    </row>
    <row r="384" spans="1:15">
      <c r="A384" s="460" t="s">
        <v>443</v>
      </c>
      <c r="B384" s="460" t="s">
        <v>452</v>
      </c>
      <c r="C384" s="460">
        <v>1980</v>
      </c>
      <c r="D384" s="460">
        <v>48100</v>
      </c>
      <c r="E384" s="460">
        <v>171000</v>
      </c>
      <c r="F384" s="460">
        <v>3100</v>
      </c>
      <c r="G384" s="460">
        <v>100</v>
      </c>
      <c r="H384" s="555">
        <v>3.5</v>
      </c>
      <c r="I384" s="556">
        <v>8400</v>
      </c>
      <c r="K384" s="148">
        <f t="shared" si="51"/>
        <v>39700</v>
      </c>
      <c r="N384" s="461">
        <v>12.3</v>
      </c>
      <c r="O384" s="462">
        <v>10.5</v>
      </c>
    </row>
    <row r="385" spans="1:15">
      <c r="A385" s="460" t="s">
        <v>443</v>
      </c>
      <c r="B385" s="460" t="s">
        <v>452</v>
      </c>
      <c r="C385" s="460">
        <v>1981</v>
      </c>
      <c r="D385" s="460">
        <v>47500</v>
      </c>
      <c r="E385" s="460">
        <v>169500</v>
      </c>
      <c r="F385" s="460">
        <v>3300</v>
      </c>
      <c r="G385" s="460">
        <v>100</v>
      </c>
      <c r="H385" s="555">
        <v>3.6</v>
      </c>
      <c r="I385" s="556">
        <v>9300</v>
      </c>
      <c r="K385" s="148">
        <f t="shared" si="51"/>
        <v>38200</v>
      </c>
      <c r="N385" s="461">
        <v>12.4</v>
      </c>
      <c r="O385" s="462">
        <v>10.5</v>
      </c>
    </row>
    <row r="386" spans="1:15">
      <c r="A386" s="460" t="s">
        <v>443</v>
      </c>
      <c r="B386" s="460" t="s">
        <v>452</v>
      </c>
      <c r="C386" s="460">
        <v>1982</v>
      </c>
      <c r="D386" s="460">
        <v>43200</v>
      </c>
      <c r="E386" s="460">
        <v>169400</v>
      </c>
      <c r="F386" s="460">
        <v>3700</v>
      </c>
      <c r="G386" s="460">
        <v>100</v>
      </c>
      <c r="H386" s="555">
        <v>3.6</v>
      </c>
      <c r="I386" s="556">
        <v>10100</v>
      </c>
      <c r="K386" s="148">
        <f t="shared" si="51"/>
        <v>33100</v>
      </c>
      <c r="N386" s="461">
        <v>12.4</v>
      </c>
      <c r="O386" s="462">
        <v>10.6</v>
      </c>
    </row>
    <row r="387" spans="1:15">
      <c r="A387" s="460" t="s">
        <v>443</v>
      </c>
      <c r="B387" s="460" t="s">
        <v>452</v>
      </c>
      <c r="C387" s="460">
        <v>1983</v>
      </c>
      <c r="D387" s="460">
        <v>42800</v>
      </c>
      <c r="E387" s="460">
        <v>175800</v>
      </c>
      <c r="F387" s="460">
        <v>3700</v>
      </c>
      <c r="G387" s="460">
        <v>100</v>
      </c>
      <c r="H387" s="555">
        <v>3.6</v>
      </c>
      <c r="I387" s="556">
        <v>10700</v>
      </c>
      <c r="K387" s="148">
        <f t="shared" si="51"/>
        <v>32100</v>
      </c>
      <c r="N387" s="461">
        <v>12.6</v>
      </c>
      <c r="O387" s="462">
        <v>10.9</v>
      </c>
    </row>
    <row r="388" spans="1:15">
      <c r="A388" s="460" t="s">
        <v>443</v>
      </c>
      <c r="B388" s="460" t="s">
        <v>452</v>
      </c>
      <c r="C388" s="460">
        <v>1984</v>
      </c>
      <c r="D388" s="460">
        <v>46200</v>
      </c>
      <c r="E388" s="460">
        <v>190700</v>
      </c>
      <c r="F388" s="460">
        <v>3700</v>
      </c>
      <c r="G388" s="460">
        <v>100</v>
      </c>
      <c r="H388" s="555">
        <v>3.6</v>
      </c>
      <c r="I388" s="556">
        <v>11700</v>
      </c>
      <c r="K388" s="148">
        <f t="shared" si="51"/>
        <v>34500</v>
      </c>
      <c r="N388" s="461">
        <v>12.4</v>
      </c>
      <c r="O388" s="462">
        <v>10.9</v>
      </c>
    </row>
    <row r="389" spans="1:15">
      <c r="A389" s="460" t="s">
        <v>443</v>
      </c>
      <c r="B389" s="460" t="s">
        <v>452</v>
      </c>
      <c r="C389" s="460">
        <v>1985</v>
      </c>
      <c r="D389" s="460">
        <v>46900</v>
      </c>
      <c r="E389" s="460">
        <v>192200</v>
      </c>
      <c r="F389" s="460">
        <v>3800</v>
      </c>
      <c r="G389" s="460">
        <v>100</v>
      </c>
      <c r="H389" s="555">
        <v>3.7</v>
      </c>
      <c r="I389" s="556">
        <v>12200</v>
      </c>
      <c r="K389" s="148">
        <f t="shared" si="51"/>
        <v>34700</v>
      </c>
      <c r="N389" s="461">
        <v>12.6</v>
      </c>
      <c r="O389" s="462">
        <v>11.1</v>
      </c>
    </row>
    <row r="390" spans="1:15">
      <c r="A390" s="460" t="s">
        <v>443</v>
      </c>
      <c r="B390" s="460" t="s">
        <v>452</v>
      </c>
      <c r="C390" s="460">
        <v>1986</v>
      </c>
      <c r="D390" s="460">
        <v>51100</v>
      </c>
      <c r="E390" s="460">
        <v>211100</v>
      </c>
      <c r="F390" s="460">
        <v>3900</v>
      </c>
      <c r="G390" s="460">
        <v>100</v>
      </c>
      <c r="H390" s="555">
        <v>3.7</v>
      </c>
      <c r="I390" s="556">
        <v>12800</v>
      </c>
      <c r="K390" s="148">
        <f t="shared" si="51"/>
        <v>38300</v>
      </c>
      <c r="N390" s="461">
        <v>12.8</v>
      </c>
      <c r="O390" s="462">
        <v>11.3</v>
      </c>
    </row>
    <row r="391" spans="1:15">
      <c r="A391" s="460" t="s">
        <v>443</v>
      </c>
      <c r="B391" s="460" t="s">
        <v>452</v>
      </c>
      <c r="C391" s="460">
        <v>1987</v>
      </c>
      <c r="D391" s="460">
        <v>55300</v>
      </c>
      <c r="E391" s="460">
        <v>207600</v>
      </c>
      <c r="F391" s="460">
        <v>3600</v>
      </c>
      <c r="G391" s="460">
        <v>200</v>
      </c>
      <c r="H391" s="555">
        <v>3.8</v>
      </c>
      <c r="I391" s="556">
        <v>13400</v>
      </c>
      <c r="K391" s="148">
        <f t="shared" si="51"/>
        <v>41900</v>
      </c>
      <c r="N391" s="461">
        <v>12.9</v>
      </c>
      <c r="O391" s="462">
        <v>11.1</v>
      </c>
    </row>
    <row r="392" spans="1:15">
      <c r="A392" s="460" t="s">
        <v>443</v>
      </c>
      <c r="B392" s="460" t="s">
        <v>452</v>
      </c>
      <c r="C392" s="460">
        <v>1988</v>
      </c>
      <c r="D392" s="460">
        <v>56100</v>
      </c>
      <c r="E392" s="460">
        <v>214900</v>
      </c>
      <c r="F392" s="460">
        <v>3600</v>
      </c>
      <c r="G392" s="460">
        <v>100</v>
      </c>
      <c r="H392" s="555">
        <v>3.8</v>
      </c>
      <c r="I392" s="556">
        <v>14000</v>
      </c>
      <c r="K392" s="148">
        <f t="shared" si="51"/>
        <v>42100</v>
      </c>
      <c r="N392" s="461">
        <v>12.8</v>
      </c>
      <c r="O392" s="462">
        <v>11.1</v>
      </c>
    </row>
    <row r="393" spans="1:15">
      <c r="A393" s="460" t="s">
        <v>443</v>
      </c>
      <c r="B393" s="460" t="s">
        <v>452</v>
      </c>
      <c r="C393" s="460">
        <v>1989</v>
      </c>
      <c r="D393" s="460">
        <v>56800</v>
      </c>
      <c r="E393" s="460">
        <v>218800</v>
      </c>
      <c r="F393" s="460">
        <v>3700</v>
      </c>
      <c r="G393" s="460">
        <v>100</v>
      </c>
      <c r="H393" s="555">
        <v>3.9</v>
      </c>
      <c r="I393" s="556">
        <v>14100</v>
      </c>
      <c r="K393" s="148">
        <f t="shared" si="51"/>
        <v>42700</v>
      </c>
      <c r="N393" s="461">
        <v>13</v>
      </c>
      <c r="O393" s="462">
        <v>11.2</v>
      </c>
    </row>
    <row r="394" spans="1:15">
      <c r="A394" s="460" t="s">
        <v>443</v>
      </c>
      <c r="B394" s="460" t="s">
        <v>452</v>
      </c>
      <c r="C394" s="460">
        <v>1990</v>
      </c>
      <c r="D394" s="460">
        <v>55300</v>
      </c>
      <c r="E394" s="460">
        <v>213300</v>
      </c>
      <c r="F394" s="460">
        <v>3600</v>
      </c>
      <c r="G394" s="460">
        <v>200</v>
      </c>
      <c r="H394" s="555">
        <v>4</v>
      </c>
      <c r="I394" s="556">
        <v>14700</v>
      </c>
      <c r="K394" s="148">
        <f t="shared" si="51"/>
        <v>40600</v>
      </c>
      <c r="N394" s="461">
        <v>12.9</v>
      </c>
      <c r="O394" s="462">
        <v>11.1</v>
      </c>
    </row>
    <row r="395" spans="1:15">
      <c r="A395" s="460" t="s">
        <v>443</v>
      </c>
      <c r="B395" s="460" t="s">
        <v>452</v>
      </c>
      <c r="C395" s="460">
        <v>1991</v>
      </c>
      <c r="D395" s="460">
        <v>54800</v>
      </c>
      <c r="E395" s="460">
        <v>208900</v>
      </c>
      <c r="F395" s="460">
        <v>3500</v>
      </c>
      <c r="G395" s="460">
        <v>200</v>
      </c>
      <c r="H395" s="555">
        <v>4.0999999999999996</v>
      </c>
      <c r="I395" s="556">
        <v>15900</v>
      </c>
      <c r="K395" s="148">
        <f t="shared" si="51"/>
        <v>38900</v>
      </c>
      <c r="N395" s="461">
        <v>13.2</v>
      </c>
      <c r="O395" s="462">
        <v>11.2</v>
      </c>
    </row>
    <row r="396" spans="1:15">
      <c r="A396" s="460" t="s">
        <v>443</v>
      </c>
      <c r="B396" s="460" t="s">
        <v>452</v>
      </c>
      <c r="C396" s="460">
        <v>1992</v>
      </c>
      <c r="D396" s="460">
        <v>57200</v>
      </c>
      <c r="E396" s="460">
        <v>217200</v>
      </c>
      <c r="F396" s="460">
        <v>3700</v>
      </c>
      <c r="G396" s="460">
        <v>100</v>
      </c>
      <c r="H396" s="555">
        <v>4</v>
      </c>
      <c r="I396" s="556">
        <v>16200</v>
      </c>
      <c r="K396" s="148">
        <f t="shared" si="51"/>
        <v>41000</v>
      </c>
      <c r="N396" s="461">
        <v>13.2</v>
      </c>
      <c r="O396" s="462">
        <v>11.2</v>
      </c>
    </row>
    <row r="397" spans="1:15">
      <c r="A397" s="460" t="s">
        <v>443</v>
      </c>
      <c r="B397" s="460" t="s">
        <v>452</v>
      </c>
      <c r="C397" s="460">
        <v>1993</v>
      </c>
      <c r="D397" s="460">
        <v>59300</v>
      </c>
      <c r="E397" s="460">
        <v>218200</v>
      </c>
      <c r="F397" s="460">
        <v>3800</v>
      </c>
      <c r="G397" s="460">
        <v>200</v>
      </c>
      <c r="H397" s="555">
        <v>4.0999999999999996</v>
      </c>
      <c r="I397" s="556">
        <v>16900</v>
      </c>
      <c r="K397" s="148">
        <f t="shared" si="51"/>
        <v>42400</v>
      </c>
      <c r="N397" s="461">
        <v>13.3</v>
      </c>
      <c r="O397" s="462">
        <v>11.1</v>
      </c>
    </row>
    <row r="398" spans="1:15">
      <c r="A398" s="460" t="s">
        <v>443</v>
      </c>
      <c r="B398" s="460" t="s">
        <v>452</v>
      </c>
      <c r="C398" s="460">
        <v>1994</v>
      </c>
      <c r="D398" s="460">
        <v>61700</v>
      </c>
      <c r="E398" s="460">
        <v>223200</v>
      </c>
      <c r="F398" s="460">
        <v>4100</v>
      </c>
      <c r="G398" s="460">
        <v>300</v>
      </c>
      <c r="H398" s="555">
        <v>4.0999999999999996</v>
      </c>
      <c r="I398" s="556">
        <v>17400</v>
      </c>
      <c r="K398" s="148">
        <f t="shared" si="51"/>
        <v>44300</v>
      </c>
      <c r="N398" s="461">
        <v>13.2</v>
      </c>
      <c r="O398" s="462">
        <v>11.1</v>
      </c>
    </row>
    <row r="399" spans="1:15">
      <c r="A399" s="460" t="s">
        <v>443</v>
      </c>
      <c r="B399" s="460" t="s">
        <v>452</v>
      </c>
      <c r="C399" s="460">
        <v>1995</v>
      </c>
      <c r="D399" s="460">
        <v>65800</v>
      </c>
      <c r="E399" s="460">
        <v>235100</v>
      </c>
      <c r="F399" s="460">
        <v>4200</v>
      </c>
      <c r="G399" s="460">
        <v>300</v>
      </c>
      <c r="H399" s="555">
        <v>4.0999999999999996</v>
      </c>
      <c r="I399" s="556">
        <v>17500</v>
      </c>
      <c r="K399" s="148">
        <f t="shared" si="51"/>
        <v>48300</v>
      </c>
      <c r="N399" s="461">
        <v>13.4</v>
      </c>
      <c r="O399" s="462">
        <v>11.2</v>
      </c>
    </row>
    <row r="400" spans="1:15">
      <c r="A400" s="460" t="s">
        <v>443</v>
      </c>
      <c r="B400" s="460" t="s">
        <v>452</v>
      </c>
      <c r="C400" s="460">
        <v>1996</v>
      </c>
      <c r="D400" s="460">
        <v>69000</v>
      </c>
      <c r="E400" s="460">
        <v>244100</v>
      </c>
      <c r="F400" s="460">
        <v>4500</v>
      </c>
      <c r="G400" s="460">
        <v>200</v>
      </c>
      <c r="H400" s="555">
        <v>4.2</v>
      </c>
      <c r="I400" s="556">
        <v>17500</v>
      </c>
      <c r="K400" s="148">
        <f t="shared" ref="K400:K458" si="52">D400-I400</f>
        <v>51500</v>
      </c>
      <c r="N400" s="461">
        <v>13.5</v>
      </c>
      <c r="O400" s="462">
        <v>11.3</v>
      </c>
    </row>
    <row r="401" spans="1:15">
      <c r="A401" s="460" t="s">
        <v>443</v>
      </c>
      <c r="B401" s="460" t="s">
        <v>452</v>
      </c>
      <c r="C401" s="460">
        <v>1997</v>
      </c>
      <c r="D401" s="460">
        <v>73900</v>
      </c>
      <c r="E401" s="460">
        <v>260100</v>
      </c>
      <c r="F401" s="460">
        <v>5200</v>
      </c>
      <c r="G401" s="460">
        <v>200</v>
      </c>
      <c r="H401" s="555">
        <v>4.2</v>
      </c>
      <c r="I401" s="556">
        <v>18100</v>
      </c>
      <c r="K401" s="148">
        <f t="shared" si="52"/>
        <v>55800</v>
      </c>
      <c r="N401" s="461">
        <v>13.5</v>
      </c>
      <c r="O401" s="462">
        <v>11.5</v>
      </c>
    </row>
    <row r="402" spans="1:15">
      <c r="A402" s="460" t="s">
        <v>443</v>
      </c>
      <c r="B402" s="460" t="s">
        <v>452</v>
      </c>
      <c r="C402" s="460">
        <v>1998</v>
      </c>
      <c r="D402" s="460">
        <v>77900</v>
      </c>
      <c r="E402" s="460">
        <v>276500</v>
      </c>
      <c r="F402" s="460">
        <v>5100</v>
      </c>
      <c r="G402" s="460">
        <v>300</v>
      </c>
      <c r="H402" s="555">
        <v>4.3</v>
      </c>
      <c r="I402" s="556">
        <v>18900</v>
      </c>
      <c r="K402" s="148">
        <f t="shared" si="52"/>
        <v>59000</v>
      </c>
      <c r="N402" s="461">
        <v>13.4</v>
      </c>
      <c r="O402" s="462">
        <v>11.4</v>
      </c>
    </row>
    <row r="403" spans="1:15">
      <c r="A403" s="460" t="s">
        <v>443</v>
      </c>
      <c r="B403" s="460" t="s">
        <v>452</v>
      </c>
      <c r="C403" s="460">
        <v>1999</v>
      </c>
      <c r="D403" s="460">
        <v>83000</v>
      </c>
      <c r="E403" s="460">
        <v>289800</v>
      </c>
      <c r="F403" s="460">
        <v>4800</v>
      </c>
      <c r="G403" s="460">
        <v>300</v>
      </c>
      <c r="H403" s="555">
        <v>4.4000000000000004</v>
      </c>
      <c r="I403" s="556">
        <v>19500</v>
      </c>
      <c r="K403" s="148">
        <f t="shared" si="52"/>
        <v>63500</v>
      </c>
      <c r="N403" s="461">
        <v>13.6</v>
      </c>
      <c r="O403" s="462">
        <v>11.6</v>
      </c>
    </row>
    <row r="404" spans="1:15">
      <c r="A404" s="460" t="s">
        <v>443</v>
      </c>
      <c r="B404" s="460" t="s">
        <v>452</v>
      </c>
      <c r="C404" s="460">
        <v>2000</v>
      </c>
      <c r="D404" s="460">
        <v>85600</v>
      </c>
      <c r="E404" s="460">
        <v>297800</v>
      </c>
      <c r="F404" s="460">
        <v>5300</v>
      </c>
      <c r="G404" s="460">
        <v>300</v>
      </c>
      <c r="H404" s="555">
        <v>4.5</v>
      </c>
      <c r="I404" s="556">
        <v>20300</v>
      </c>
      <c r="K404" s="148">
        <f t="shared" si="52"/>
        <v>65300</v>
      </c>
      <c r="N404" s="461">
        <v>13.5</v>
      </c>
      <c r="O404" s="462">
        <v>11.5</v>
      </c>
    </row>
    <row r="405" spans="1:15">
      <c r="A405" s="460" t="s">
        <v>443</v>
      </c>
      <c r="B405" s="460" t="s">
        <v>452</v>
      </c>
      <c r="C405" s="460">
        <v>2001</v>
      </c>
      <c r="D405" s="460">
        <v>77000</v>
      </c>
      <c r="E405" s="460">
        <v>280700</v>
      </c>
      <c r="F405" s="460">
        <v>4800</v>
      </c>
      <c r="G405" s="460">
        <v>300</v>
      </c>
      <c r="H405" s="555">
        <v>4.5</v>
      </c>
      <c r="I405" s="556">
        <v>20900</v>
      </c>
      <c r="K405" s="148">
        <f t="shared" si="52"/>
        <v>56100</v>
      </c>
      <c r="N405" s="461">
        <v>13.5</v>
      </c>
      <c r="O405" s="462">
        <v>11.4</v>
      </c>
    </row>
    <row r="406" spans="1:15">
      <c r="A406" s="460" t="s">
        <v>443</v>
      </c>
      <c r="B406" s="460" t="s">
        <v>452</v>
      </c>
      <c r="C406" s="460">
        <v>2002</v>
      </c>
      <c r="D406" s="460">
        <v>72400</v>
      </c>
      <c r="E406" s="460">
        <v>270300</v>
      </c>
      <c r="F406" s="460">
        <v>4400</v>
      </c>
      <c r="G406" s="460">
        <v>300</v>
      </c>
      <c r="H406" s="555">
        <v>4.5999999999999996</v>
      </c>
      <c r="I406" s="556">
        <v>21200</v>
      </c>
      <c r="K406" s="148">
        <f t="shared" si="52"/>
        <v>51200</v>
      </c>
      <c r="N406" s="461">
        <v>13.8</v>
      </c>
      <c r="O406" s="462">
        <v>11.4</v>
      </c>
    </row>
    <row r="407" spans="1:15">
      <c r="A407" s="460" t="s">
        <v>443</v>
      </c>
      <c r="B407" s="460" t="s">
        <v>452</v>
      </c>
      <c r="C407" s="460">
        <v>2003</v>
      </c>
      <c r="D407" s="460">
        <v>71800</v>
      </c>
      <c r="E407" s="460">
        <v>279500</v>
      </c>
      <c r="F407" s="460">
        <v>4700</v>
      </c>
      <c r="G407" s="460">
        <v>400</v>
      </c>
      <c r="H407" s="555">
        <v>4.5</v>
      </c>
      <c r="I407" s="556">
        <v>21700</v>
      </c>
      <c r="K407" s="148">
        <f t="shared" si="52"/>
        <v>50100</v>
      </c>
      <c r="N407" s="461">
        <v>13.7</v>
      </c>
      <c r="O407" s="462">
        <v>11.3</v>
      </c>
    </row>
    <row r="408" spans="1:15">
      <c r="A408" s="460" t="s">
        <v>443</v>
      </c>
      <c r="B408" s="460" t="s">
        <v>452</v>
      </c>
      <c r="C408" s="460">
        <v>2004</v>
      </c>
      <c r="D408" s="460">
        <v>77000</v>
      </c>
      <c r="E408" s="460">
        <v>295900</v>
      </c>
      <c r="F408" s="460">
        <v>4900</v>
      </c>
      <c r="G408" s="460">
        <v>300</v>
      </c>
      <c r="H408" s="555">
        <v>4.5999999999999996</v>
      </c>
      <c r="I408" s="556">
        <v>21400</v>
      </c>
      <c r="K408" s="148">
        <f t="shared" si="52"/>
        <v>55600</v>
      </c>
      <c r="N408" s="461">
        <v>13.6</v>
      </c>
      <c r="O408" s="462">
        <v>11.3</v>
      </c>
    </row>
    <row r="409" spans="1:15">
      <c r="A409" s="460" t="s">
        <v>443</v>
      </c>
      <c r="B409" s="460" t="s">
        <v>452</v>
      </c>
      <c r="C409" s="460">
        <v>2005</v>
      </c>
      <c r="D409" s="460">
        <v>85000</v>
      </c>
      <c r="E409" s="460">
        <v>320100</v>
      </c>
      <c r="F409" s="460">
        <v>5500</v>
      </c>
      <c r="G409" s="460">
        <v>500</v>
      </c>
      <c r="H409" s="555">
        <v>4.5999999999999996</v>
      </c>
      <c r="I409" s="556">
        <v>21100</v>
      </c>
      <c r="K409" s="148">
        <f t="shared" si="52"/>
        <v>63900</v>
      </c>
      <c r="N409" s="461">
        <v>13.8</v>
      </c>
      <c r="O409" s="462">
        <v>11.6</v>
      </c>
    </row>
    <row r="410" spans="1:15">
      <c r="A410" s="460" t="s">
        <v>443</v>
      </c>
      <c r="B410" s="460" t="s">
        <v>452</v>
      </c>
      <c r="C410" s="460">
        <v>2006</v>
      </c>
      <c r="D410" s="460">
        <v>88000</v>
      </c>
      <c r="E410" s="460">
        <v>330300</v>
      </c>
      <c r="F410" s="460">
        <v>5900</v>
      </c>
      <c r="G410" s="460">
        <v>400</v>
      </c>
      <c r="H410" s="555">
        <v>4.7</v>
      </c>
      <c r="I410" s="556">
        <v>21400</v>
      </c>
      <c r="K410" s="148">
        <f t="shared" si="52"/>
        <v>66600</v>
      </c>
      <c r="N410" s="461">
        <v>13.9</v>
      </c>
      <c r="O410" s="462">
        <v>11.6</v>
      </c>
    </row>
    <row r="411" spans="1:15">
      <c r="A411" s="460" t="s">
        <v>443</v>
      </c>
      <c r="B411" s="460" t="s">
        <v>452</v>
      </c>
      <c r="C411" s="460">
        <v>2007</v>
      </c>
      <c r="D411" s="460">
        <v>89200</v>
      </c>
      <c r="E411" s="460">
        <v>341100</v>
      </c>
      <c r="F411" s="460">
        <v>6500</v>
      </c>
      <c r="G411" s="460">
        <v>500</v>
      </c>
      <c r="H411" s="555">
        <v>4.7</v>
      </c>
      <c r="I411" s="556">
        <v>21800</v>
      </c>
      <c r="K411" s="148">
        <f t="shared" si="52"/>
        <v>67400</v>
      </c>
      <c r="N411" s="461">
        <v>13.7</v>
      </c>
      <c r="O411" s="462">
        <v>11.6</v>
      </c>
    </row>
    <row r="412" spans="1:15">
      <c r="A412" s="460" t="s">
        <v>443</v>
      </c>
      <c r="B412" s="460" t="s">
        <v>452</v>
      </c>
      <c r="C412" s="460">
        <v>2008</v>
      </c>
      <c r="D412" s="460">
        <v>80200</v>
      </c>
      <c r="E412" s="460">
        <v>316300</v>
      </c>
      <c r="F412" s="460">
        <v>5000</v>
      </c>
      <c r="G412" s="460">
        <v>500</v>
      </c>
      <c r="H412" s="555">
        <v>4.7</v>
      </c>
      <c r="I412" s="556">
        <v>22700</v>
      </c>
      <c r="K412" s="148">
        <f t="shared" si="52"/>
        <v>57500</v>
      </c>
      <c r="N412" s="461">
        <v>13.8</v>
      </c>
      <c r="O412" s="462">
        <v>11.3</v>
      </c>
    </row>
    <row r="413" spans="1:15">
      <c r="A413" s="460" t="s">
        <v>443</v>
      </c>
      <c r="B413" s="460" t="s">
        <v>452</v>
      </c>
      <c r="C413" s="460">
        <v>2009</v>
      </c>
      <c r="D413" s="460">
        <v>73900</v>
      </c>
      <c r="E413" s="460">
        <v>295500</v>
      </c>
      <c r="F413" s="460">
        <v>5400</v>
      </c>
      <c r="G413" s="460">
        <v>500</v>
      </c>
      <c r="H413" s="555">
        <v>4.7</v>
      </c>
      <c r="I413" s="556">
        <v>23500</v>
      </c>
      <c r="K413" s="148">
        <f t="shared" si="52"/>
        <v>50400</v>
      </c>
      <c r="N413" s="461">
        <v>14</v>
      </c>
      <c r="O413" s="462">
        <v>11.1</v>
      </c>
    </row>
    <row r="414" spans="1:15">
      <c r="A414" s="460" t="s">
        <v>443</v>
      </c>
      <c r="B414" s="460" t="s">
        <v>452</v>
      </c>
      <c r="C414" s="460">
        <v>2010</v>
      </c>
      <c r="D414" s="460">
        <v>77800</v>
      </c>
      <c r="E414" s="460">
        <v>304000</v>
      </c>
      <c r="F414" s="460">
        <v>5500</v>
      </c>
      <c r="G414" s="460">
        <v>400</v>
      </c>
      <c r="H414" s="555">
        <v>4.8</v>
      </c>
      <c r="I414" s="556">
        <v>23100</v>
      </c>
      <c r="K414" s="148">
        <f t="shared" si="52"/>
        <v>54700</v>
      </c>
      <c r="N414" s="461">
        <v>14.1</v>
      </c>
      <c r="O414" s="462">
        <v>11.1</v>
      </c>
    </row>
    <row r="415" spans="1:15">
      <c r="A415" s="460" t="s">
        <v>443</v>
      </c>
      <c r="B415" s="460" t="s">
        <v>452</v>
      </c>
      <c r="C415" s="460">
        <v>2011</v>
      </c>
      <c r="D415" s="460">
        <v>77800</v>
      </c>
      <c r="E415" s="460">
        <v>310800</v>
      </c>
      <c r="F415" s="460">
        <v>5700</v>
      </c>
      <c r="G415" s="460">
        <v>500</v>
      </c>
      <c r="H415" s="555">
        <v>4.8</v>
      </c>
      <c r="I415" s="556">
        <v>20400</v>
      </c>
      <c r="K415" s="148">
        <f t="shared" si="52"/>
        <v>57400</v>
      </c>
      <c r="N415" s="461">
        <v>14.2</v>
      </c>
      <c r="O415" s="462">
        <v>11.3</v>
      </c>
    </row>
    <row r="416" spans="1:15">
      <c r="A416" s="460" t="s">
        <v>443</v>
      </c>
      <c r="B416" s="460" t="s">
        <v>452</v>
      </c>
      <c r="C416" s="460">
        <v>2012</v>
      </c>
      <c r="D416" s="460">
        <v>83500</v>
      </c>
      <c r="E416" s="460">
        <v>326900</v>
      </c>
      <c r="F416" s="460">
        <v>5800</v>
      </c>
      <c r="G416" s="460">
        <v>400</v>
      </c>
      <c r="H416" s="555">
        <v>4.8</v>
      </c>
      <c r="I416" s="556">
        <v>20600</v>
      </c>
      <c r="K416" s="148">
        <f t="shared" si="52"/>
        <v>62900</v>
      </c>
      <c r="N416" s="461">
        <v>14.2</v>
      </c>
      <c r="O416" s="462">
        <v>11.4</v>
      </c>
    </row>
    <row r="417" spans="1:15">
      <c r="A417" s="460" t="s">
        <v>443</v>
      </c>
      <c r="B417" s="460" t="s">
        <v>452</v>
      </c>
      <c r="C417" s="460">
        <v>2013</v>
      </c>
      <c r="D417" s="460">
        <v>89400</v>
      </c>
      <c r="E417" s="460">
        <v>329600</v>
      </c>
      <c r="F417" s="460">
        <v>6600</v>
      </c>
      <c r="G417" s="460">
        <v>400</v>
      </c>
      <c r="H417" s="555">
        <v>4.8</v>
      </c>
      <c r="I417" s="556">
        <v>24000</v>
      </c>
      <c r="K417" s="148">
        <f t="shared" si="52"/>
        <v>65400</v>
      </c>
      <c r="N417" s="461">
        <v>14.4</v>
      </c>
      <c r="O417" s="462">
        <v>11.6</v>
      </c>
    </row>
    <row r="418" spans="1:15">
      <c r="A418" s="460" t="s">
        <v>443</v>
      </c>
      <c r="B418" s="460" t="s">
        <v>452</v>
      </c>
      <c r="C418" s="460">
        <v>2014</v>
      </c>
      <c r="D418" s="460">
        <v>94400</v>
      </c>
      <c r="E418" s="460">
        <v>342100</v>
      </c>
      <c r="F418" s="460">
        <v>7000</v>
      </c>
      <c r="G418" s="460">
        <v>600</v>
      </c>
      <c r="H418" s="555">
        <v>4.9000000000000004</v>
      </c>
      <c r="I418" s="556">
        <v>24100</v>
      </c>
      <c r="K418" s="148">
        <f t="shared" si="52"/>
        <v>70300</v>
      </c>
      <c r="N418" s="461">
        <v>14.5</v>
      </c>
      <c r="O418" s="462">
        <v>11.6</v>
      </c>
    </row>
    <row r="419" spans="1:15">
      <c r="A419" s="460" t="s">
        <v>443</v>
      </c>
      <c r="B419" s="460" t="s">
        <v>452</v>
      </c>
      <c r="C419" s="460">
        <v>2015</v>
      </c>
      <c r="D419" s="460">
        <v>98200</v>
      </c>
      <c r="E419" s="460">
        <v>355600</v>
      </c>
      <c r="F419" s="460">
        <v>6800</v>
      </c>
      <c r="G419" s="460">
        <v>800</v>
      </c>
      <c r="H419" s="555">
        <v>4.9000000000000004</v>
      </c>
      <c r="I419" s="556">
        <v>25000</v>
      </c>
      <c r="K419" s="148">
        <f t="shared" si="52"/>
        <v>73200</v>
      </c>
      <c r="N419" s="461">
        <v>14.4</v>
      </c>
      <c r="O419" s="462">
        <v>11.5</v>
      </c>
    </row>
    <row r="420" spans="1:15">
      <c r="A420" s="460" t="s">
        <v>443</v>
      </c>
      <c r="B420" s="460" t="s">
        <v>452</v>
      </c>
      <c r="C420" s="460">
        <v>2016</v>
      </c>
      <c r="D420" s="460">
        <v>98300</v>
      </c>
      <c r="E420" s="460">
        <v>355600</v>
      </c>
      <c r="F420" s="460">
        <v>7000</v>
      </c>
      <c r="G420" s="460">
        <v>800</v>
      </c>
      <c r="H420" s="555">
        <v>4.9000000000000004</v>
      </c>
      <c r="I420" s="556">
        <v>25200</v>
      </c>
      <c r="K420" s="148">
        <f t="shared" si="52"/>
        <v>73100</v>
      </c>
      <c r="N420" s="461">
        <v>14.4</v>
      </c>
      <c r="O420" s="462">
        <v>11.4</v>
      </c>
    </row>
    <row r="421" spans="1:15">
      <c r="A421" s="460" t="s">
        <v>443</v>
      </c>
      <c r="B421" s="460" t="s">
        <v>453</v>
      </c>
      <c r="C421" s="460">
        <v>1979</v>
      </c>
      <c r="D421" s="460">
        <v>199400</v>
      </c>
      <c r="E421" s="460">
        <v>563300</v>
      </c>
      <c r="F421" s="460">
        <v>5000</v>
      </c>
      <c r="G421" s="460">
        <v>200</v>
      </c>
      <c r="H421" s="555">
        <v>0.8</v>
      </c>
      <c r="I421" s="556">
        <v>5800</v>
      </c>
      <c r="K421" s="148">
        <f t="shared" si="52"/>
        <v>193600</v>
      </c>
      <c r="N421" s="461">
        <v>9.6</v>
      </c>
      <c r="O421" s="462">
        <v>7.3</v>
      </c>
    </row>
    <row r="422" spans="1:15">
      <c r="A422" s="460" t="s">
        <v>443</v>
      </c>
      <c r="B422" s="460" t="s">
        <v>453</v>
      </c>
      <c r="C422" s="460">
        <v>1980</v>
      </c>
      <c r="D422" s="460">
        <v>180100</v>
      </c>
      <c r="E422" s="460">
        <v>539700</v>
      </c>
      <c r="F422" s="460">
        <v>5000</v>
      </c>
      <c r="G422" s="460">
        <v>200</v>
      </c>
      <c r="H422" s="555">
        <v>0.9</v>
      </c>
      <c r="I422" s="556">
        <v>6200</v>
      </c>
      <c r="K422" s="148">
        <f t="shared" si="52"/>
        <v>173900</v>
      </c>
      <c r="N422" s="461">
        <v>9.6</v>
      </c>
      <c r="O422" s="462">
        <v>7.5</v>
      </c>
    </row>
    <row r="423" spans="1:15">
      <c r="A423" s="460" t="s">
        <v>443</v>
      </c>
      <c r="B423" s="460" t="s">
        <v>453</v>
      </c>
      <c r="C423" s="460">
        <v>1981</v>
      </c>
      <c r="D423" s="460">
        <v>165400</v>
      </c>
      <c r="E423" s="460">
        <v>537000</v>
      </c>
      <c r="F423" s="460">
        <v>5200</v>
      </c>
      <c r="G423" s="460">
        <v>200</v>
      </c>
      <c r="H423" s="555">
        <v>0.9</v>
      </c>
      <c r="I423" s="556">
        <v>7300</v>
      </c>
      <c r="K423" s="148">
        <f t="shared" si="52"/>
        <v>158100</v>
      </c>
      <c r="N423" s="461">
        <v>9.6</v>
      </c>
      <c r="O423" s="462">
        <v>7.8</v>
      </c>
    </row>
    <row r="424" spans="1:15">
      <c r="A424" s="460" t="s">
        <v>443</v>
      </c>
      <c r="B424" s="460" t="s">
        <v>453</v>
      </c>
      <c r="C424" s="460">
        <v>1982</v>
      </c>
      <c r="D424" s="460">
        <v>153400</v>
      </c>
      <c r="E424" s="460">
        <v>565800</v>
      </c>
      <c r="F424" s="460">
        <v>6000</v>
      </c>
      <c r="G424" s="460">
        <v>200</v>
      </c>
      <c r="H424" s="555">
        <v>0.9</v>
      </c>
      <c r="I424" s="556">
        <v>9200</v>
      </c>
      <c r="K424" s="148">
        <f t="shared" si="52"/>
        <v>144200</v>
      </c>
      <c r="N424" s="461">
        <v>10.3</v>
      </c>
      <c r="O424" s="462">
        <v>8.5</v>
      </c>
    </row>
    <row r="425" spans="1:15">
      <c r="A425" s="460" t="s">
        <v>443</v>
      </c>
      <c r="B425" s="460" t="s">
        <v>453</v>
      </c>
      <c r="C425" s="460">
        <v>1983</v>
      </c>
      <c r="D425" s="460">
        <v>167800</v>
      </c>
      <c r="E425" s="460">
        <v>619700</v>
      </c>
      <c r="F425" s="460">
        <v>6200</v>
      </c>
      <c r="G425" s="460">
        <v>200</v>
      </c>
      <c r="H425" s="555">
        <v>0.9</v>
      </c>
      <c r="I425" s="556">
        <v>9800</v>
      </c>
      <c r="K425" s="148">
        <f t="shared" si="52"/>
        <v>158000</v>
      </c>
      <c r="N425" s="461">
        <v>11.1</v>
      </c>
      <c r="O425" s="462">
        <v>9.1</v>
      </c>
    </row>
    <row r="426" spans="1:15">
      <c r="A426" s="460" t="s">
        <v>443</v>
      </c>
      <c r="B426" s="460" t="s">
        <v>453</v>
      </c>
      <c r="C426" s="460">
        <v>1984</v>
      </c>
      <c r="D426" s="460">
        <v>188300</v>
      </c>
      <c r="E426" s="460">
        <v>689300</v>
      </c>
      <c r="F426" s="460">
        <v>6800</v>
      </c>
      <c r="G426" s="460">
        <v>200</v>
      </c>
      <c r="H426" s="555">
        <v>0.9</v>
      </c>
      <c r="I426" s="556">
        <v>10100</v>
      </c>
      <c r="K426" s="148">
        <f t="shared" si="52"/>
        <v>178200</v>
      </c>
      <c r="N426" s="461">
        <v>11.4</v>
      </c>
      <c r="O426" s="462">
        <v>9.5</v>
      </c>
    </row>
    <row r="427" spans="1:15">
      <c r="A427" s="460" t="s">
        <v>443</v>
      </c>
      <c r="B427" s="460" t="s">
        <v>453</v>
      </c>
      <c r="C427" s="460">
        <v>1985</v>
      </c>
      <c r="D427" s="460">
        <v>193200</v>
      </c>
      <c r="E427" s="460">
        <v>734100</v>
      </c>
      <c r="F427" s="460">
        <v>6800</v>
      </c>
      <c r="G427" s="460">
        <v>200</v>
      </c>
      <c r="H427" s="555">
        <v>0.9</v>
      </c>
      <c r="I427" s="556">
        <v>10500</v>
      </c>
      <c r="K427" s="148">
        <f t="shared" si="52"/>
        <v>182700</v>
      </c>
      <c r="N427" s="461">
        <v>12.1</v>
      </c>
      <c r="O427" s="462">
        <v>10.199999999999999</v>
      </c>
    </row>
    <row r="428" spans="1:15">
      <c r="A428" s="460" t="s">
        <v>443</v>
      </c>
      <c r="B428" s="460" t="s">
        <v>453</v>
      </c>
      <c r="C428" s="460">
        <v>1986</v>
      </c>
      <c r="D428" s="460">
        <v>239500</v>
      </c>
      <c r="E428" s="460">
        <v>963200</v>
      </c>
      <c r="F428" s="460">
        <v>7000</v>
      </c>
      <c r="G428" s="460">
        <v>200</v>
      </c>
      <c r="H428" s="555">
        <v>1</v>
      </c>
      <c r="I428" s="556">
        <v>10600</v>
      </c>
      <c r="K428" s="148">
        <f t="shared" si="52"/>
        <v>228900</v>
      </c>
      <c r="N428" s="461">
        <v>14.8</v>
      </c>
      <c r="O428" s="462">
        <v>12.8</v>
      </c>
    </row>
    <row r="429" spans="1:15">
      <c r="A429" s="460" t="s">
        <v>443</v>
      </c>
      <c r="B429" s="460" t="s">
        <v>453</v>
      </c>
      <c r="C429" s="460">
        <v>1987</v>
      </c>
      <c r="D429" s="460">
        <v>234000</v>
      </c>
      <c r="E429" s="460">
        <v>772400</v>
      </c>
      <c r="F429" s="460">
        <v>5600</v>
      </c>
      <c r="G429" s="460">
        <v>300</v>
      </c>
      <c r="H429" s="555">
        <v>0.9</v>
      </c>
      <c r="I429" s="556">
        <v>12400</v>
      </c>
      <c r="K429" s="148">
        <f t="shared" si="52"/>
        <v>221600</v>
      </c>
      <c r="N429" s="461">
        <v>11.9</v>
      </c>
      <c r="O429" s="462">
        <v>9.6</v>
      </c>
    </row>
    <row r="430" spans="1:15">
      <c r="A430" s="460" t="s">
        <v>443</v>
      </c>
      <c r="B430" s="460" t="s">
        <v>453</v>
      </c>
      <c r="C430" s="460">
        <v>1988</v>
      </c>
      <c r="D430" s="460">
        <v>278400</v>
      </c>
      <c r="E430" s="460">
        <v>966100</v>
      </c>
      <c r="F430" s="460">
        <v>5900</v>
      </c>
      <c r="G430" s="460">
        <v>200</v>
      </c>
      <c r="H430" s="555">
        <v>0.9</v>
      </c>
      <c r="I430" s="556">
        <v>13200</v>
      </c>
      <c r="K430" s="148">
        <f t="shared" si="52"/>
        <v>265200</v>
      </c>
      <c r="N430" s="461">
        <v>14.2</v>
      </c>
      <c r="O430" s="462">
        <v>11.7</v>
      </c>
    </row>
    <row r="431" spans="1:15">
      <c r="A431" s="460" t="s">
        <v>443</v>
      </c>
      <c r="B431" s="460" t="s">
        <v>453</v>
      </c>
      <c r="C431" s="460">
        <v>1989</v>
      </c>
      <c r="D431" s="460">
        <v>253100</v>
      </c>
      <c r="E431" s="460">
        <v>900900</v>
      </c>
      <c r="F431" s="460">
        <v>5500</v>
      </c>
      <c r="G431" s="460">
        <v>200</v>
      </c>
      <c r="H431" s="555">
        <v>1</v>
      </c>
      <c r="I431" s="556">
        <v>13700</v>
      </c>
      <c r="K431" s="148">
        <f t="shared" si="52"/>
        <v>239400</v>
      </c>
      <c r="N431" s="461">
        <v>13.2</v>
      </c>
      <c r="O431" s="462">
        <v>11</v>
      </c>
    </row>
    <row r="432" spans="1:15">
      <c r="A432" s="460" t="s">
        <v>443</v>
      </c>
      <c r="B432" s="460" t="s">
        <v>453</v>
      </c>
      <c r="C432" s="460">
        <v>1990</v>
      </c>
      <c r="D432" s="460">
        <v>243600</v>
      </c>
      <c r="E432" s="460">
        <v>871500</v>
      </c>
      <c r="F432" s="460">
        <v>6100</v>
      </c>
      <c r="G432" s="460">
        <v>200</v>
      </c>
      <c r="H432" s="555">
        <v>1</v>
      </c>
      <c r="I432" s="556">
        <v>14100</v>
      </c>
      <c r="K432" s="148">
        <f t="shared" si="52"/>
        <v>229500</v>
      </c>
      <c r="N432" s="461">
        <v>12.9</v>
      </c>
      <c r="O432" s="462">
        <v>10.7</v>
      </c>
    </row>
    <row r="433" spans="1:15">
      <c r="A433" s="460" t="s">
        <v>443</v>
      </c>
      <c r="B433" s="460" t="s">
        <v>453</v>
      </c>
      <c r="C433" s="460">
        <v>1991</v>
      </c>
      <c r="D433" s="460">
        <v>227800</v>
      </c>
      <c r="E433" s="460">
        <v>780400</v>
      </c>
      <c r="F433" s="460">
        <v>6200</v>
      </c>
      <c r="G433" s="460">
        <v>300</v>
      </c>
      <c r="H433" s="555">
        <v>1</v>
      </c>
      <c r="I433" s="556">
        <v>17700</v>
      </c>
      <c r="K433" s="148">
        <f t="shared" si="52"/>
        <v>210100</v>
      </c>
      <c r="N433" s="461">
        <v>12.1</v>
      </c>
      <c r="O433" s="462">
        <v>9.6999999999999993</v>
      </c>
    </row>
    <row r="434" spans="1:15">
      <c r="A434" s="460" t="s">
        <v>443</v>
      </c>
      <c r="B434" s="460" t="s">
        <v>453</v>
      </c>
      <c r="C434" s="460">
        <v>1992</v>
      </c>
      <c r="D434" s="460">
        <v>264500</v>
      </c>
      <c r="E434" s="460">
        <v>885800</v>
      </c>
      <c r="F434" s="460">
        <v>6000</v>
      </c>
      <c r="G434" s="460">
        <v>200</v>
      </c>
      <c r="H434" s="555">
        <v>1</v>
      </c>
      <c r="I434" s="556">
        <v>17700</v>
      </c>
      <c r="K434" s="148">
        <f t="shared" si="52"/>
        <v>246800</v>
      </c>
      <c r="N434" s="461">
        <v>13.2</v>
      </c>
      <c r="O434" s="462">
        <v>10.4</v>
      </c>
    </row>
    <row r="435" spans="1:15">
      <c r="A435" s="460" t="s">
        <v>443</v>
      </c>
      <c r="B435" s="460" t="s">
        <v>453</v>
      </c>
      <c r="C435" s="460">
        <v>1993</v>
      </c>
      <c r="D435" s="460">
        <v>284300</v>
      </c>
      <c r="E435" s="460">
        <v>848800</v>
      </c>
      <c r="F435" s="460">
        <v>6000</v>
      </c>
      <c r="G435" s="460">
        <v>300</v>
      </c>
      <c r="H435" s="555">
        <v>1</v>
      </c>
      <c r="I435" s="556">
        <v>18300</v>
      </c>
      <c r="K435" s="148">
        <f t="shared" si="52"/>
        <v>266000</v>
      </c>
      <c r="N435" s="461">
        <v>12.8</v>
      </c>
      <c r="O435" s="462">
        <v>9.6</v>
      </c>
    </row>
    <row r="436" spans="1:15">
      <c r="A436" s="460" t="s">
        <v>443</v>
      </c>
      <c r="B436" s="460" t="s">
        <v>453</v>
      </c>
      <c r="C436" s="460">
        <v>1994</v>
      </c>
      <c r="D436" s="460">
        <v>304700</v>
      </c>
      <c r="E436" s="460">
        <v>876700</v>
      </c>
      <c r="F436" s="460">
        <v>6200</v>
      </c>
      <c r="G436" s="460">
        <v>300</v>
      </c>
      <c r="H436" s="555">
        <v>1</v>
      </c>
      <c r="I436" s="556">
        <v>24300</v>
      </c>
      <c r="K436" s="148">
        <f t="shared" si="52"/>
        <v>280400</v>
      </c>
      <c r="N436" s="461">
        <v>12.9</v>
      </c>
      <c r="O436" s="462">
        <v>9.5</v>
      </c>
    </row>
    <row r="437" spans="1:15">
      <c r="A437" s="460" t="s">
        <v>443</v>
      </c>
      <c r="B437" s="460" t="s">
        <v>453</v>
      </c>
      <c r="C437" s="460">
        <v>1995</v>
      </c>
      <c r="D437" s="460">
        <v>342700</v>
      </c>
      <c r="E437" s="460">
        <v>974700</v>
      </c>
      <c r="F437" s="460">
        <v>6200</v>
      </c>
      <c r="G437" s="460">
        <v>400</v>
      </c>
      <c r="H437" s="555">
        <v>1</v>
      </c>
      <c r="I437" s="556">
        <v>24200</v>
      </c>
      <c r="K437" s="148">
        <f t="shared" si="52"/>
        <v>318500</v>
      </c>
      <c r="N437" s="461">
        <v>13.4</v>
      </c>
      <c r="O437" s="462">
        <v>9.9</v>
      </c>
    </row>
    <row r="438" spans="1:15">
      <c r="A438" s="460" t="s">
        <v>443</v>
      </c>
      <c r="B438" s="460" t="s">
        <v>453</v>
      </c>
      <c r="C438" s="460">
        <v>1996</v>
      </c>
      <c r="D438" s="460">
        <v>377400</v>
      </c>
      <c r="E438" s="460">
        <v>1076100</v>
      </c>
      <c r="F438" s="460">
        <v>6500</v>
      </c>
      <c r="G438" s="460">
        <v>300</v>
      </c>
      <c r="H438" s="555">
        <v>1</v>
      </c>
      <c r="I438" s="556">
        <v>24800</v>
      </c>
      <c r="K438" s="148">
        <f t="shared" si="52"/>
        <v>352600</v>
      </c>
      <c r="N438" s="461">
        <v>14.8</v>
      </c>
      <c r="O438" s="462">
        <v>11</v>
      </c>
    </row>
    <row r="439" spans="1:15">
      <c r="A439" s="460" t="s">
        <v>443</v>
      </c>
      <c r="B439" s="460" t="s">
        <v>453</v>
      </c>
      <c r="C439" s="460">
        <v>1997</v>
      </c>
      <c r="D439" s="460">
        <v>424300</v>
      </c>
      <c r="E439" s="460">
        <v>1247100</v>
      </c>
      <c r="F439" s="460">
        <v>7000</v>
      </c>
      <c r="G439" s="460">
        <v>200</v>
      </c>
      <c r="H439" s="555">
        <v>1</v>
      </c>
      <c r="I439" s="556">
        <v>26600</v>
      </c>
      <c r="K439" s="148">
        <f t="shared" si="52"/>
        <v>397700</v>
      </c>
      <c r="N439" s="461">
        <v>15.9</v>
      </c>
      <c r="O439" s="462">
        <v>12.1</v>
      </c>
    </row>
    <row r="440" spans="1:15">
      <c r="A440" s="460" t="s">
        <v>443</v>
      </c>
      <c r="B440" s="460" t="s">
        <v>453</v>
      </c>
      <c r="C440" s="460">
        <v>1998</v>
      </c>
      <c r="D440" s="460">
        <v>459800</v>
      </c>
      <c r="E440" s="460">
        <v>1410500</v>
      </c>
      <c r="F440" s="460">
        <v>6600</v>
      </c>
      <c r="G440" s="460">
        <v>300</v>
      </c>
      <c r="H440" s="555">
        <v>1</v>
      </c>
      <c r="I440" s="556">
        <v>28300</v>
      </c>
      <c r="K440" s="148">
        <f t="shared" si="52"/>
        <v>431500</v>
      </c>
      <c r="N440" s="461">
        <v>16.7</v>
      </c>
      <c r="O440" s="462">
        <v>13.1</v>
      </c>
    </row>
    <row r="441" spans="1:15">
      <c r="A441" s="460" t="s">
        <v>443</v>
      </c>
      <c r="B441" s="460" t="s">
        <v>453</v>
      </c>
      <c r="C441" s="460">
        <v>1999</v>
      </c>
      <c r="D441" s="460">
        <v>506200</v>
      </c>
      <c r="E441" s="460">
        <v>1544300</v>
      </c>
      <c r="F441" s="460">
        <v>6400</v>
      </c>
      <c r="G441" s="460">
        <v>300</v>
      </c>
      <c r="H441" s="555">
        <v>1.1000000000000001</v>
      </c>
      <c r="I441" s="556">
        <v>31000</v>
      </c>
      <c r="K441" s="148">
        <f t="shared" si="52"/>
        <v>475200</v>
      </c>
      <c r="N441" s="461">
        <v>17.7</v>
      </c>
      <c r="O441" s="462">
        <v>13.9</v>
      </c>
    </row>
    <row r="442" spans="1:15">
      <c r="A442" s="460" t="s">
        <v>443</v>
      </c>
      <c r="B442" s="460" t="s">
        <v>453</v>
      </c>
      <c r="C442" s="460">
        <v>2000</v>
      </c>
      <c r="D442" s="460">
        <v>550800</v>
      </c>
      <c r="E442" s="460">
        <v>1698100</v>
      </c>
      <c r="F442" s="460">
        <v>7100</v>
      </c>
      <c r="G442" s="460">
        <v>300</v>
      </c>
      <c r="H442" s="555">
        <v>1.1000000000000001</v>
      </c>
      <c r="I442" s="556">
        <v>33600</v>
      </c>
      <c r="K442" s="148">
        <f t="shared" si="52"/>
        <v>517200</v>
      </c>
      <c r="N442" s="461">
        <v>18.8</v>
      </c>
      <c r="O442" s="462">
        <v>14.9</v>
      </c>
    </row>
    <row r="443" spans="1:15">
      <c r="A443" s="460" t="s">
        <v>443</v>
      </c>
      <c r="B443" s="460" t="s">
        <v>453</v>
      </c>
      <c r="C443" s="460">
        <v>2001</v>
      </c>
      <c r="D443" s="460">
        <v>436900</v>
      </c>
      <c r="E443" s="460">
        <v>1356400</v>
      </c>
      <c r="F443" s="460">
        <v>6300</v>
      </c>
      <c r="G443" s="460">
        <v>400</v>
      </c>
      <c r="H443" s="555">
        <v>1.1000000000000001</v>
      </c>
      <c r="I443" s="556">
        <v>32500</v>
      </c>
      <c r="K443" s="148">
        <f t="shared" si="52"/>
        <v>404400</v>
      </c>
      <c r="N443" s="461">
        <v>15.8</v>
      </c>
      <c r="O443" s="462">
        <v>12.2</v>
      </c>
    </row>
    <row r="444" spans="1:15">
      <c r="A444" s="460" t="s">
        <v>443</v>
      </c>
      <c r="B444" s="460" t="s">
        <v>453</v>
      </c>
      <c r="C444" s="460">
        <v>2002</v>
      </c>
      <c r="D444" s="460">
        <v>385900</v>
      </c>
      <c r="E444" s="460">
        <v>1201300</v>
      </c>
      <c r="F444" s="460">
        <v>6700</v>
      </c>
      <c r="G444" s="460">
        <v>500</v>
      </c>
      <c r="H444" s="555">
        <v>1.1000000000000001</v>
      </c>
      <c r="I444" s="556">
        <v>30800</v>
      </c>
      <c r="K444" s="148">
        <f t="shared" si="52"/>
        <v>355100</v>
      </c>
      <c r="N444" s="461">
        <v>14.5</v>
      </c>
      <c r="O444" s="462">
        <v>10.9</v>
      </c>
    </row>
    <row r="445" spans="1:15">
      <c r="A445" s="460" t="s">
        <v>443</v>
      </c>
      <c r="B445" s="460" t="s">
        <v>453</v>
      </c>
      <c r="C445" s="460">
        <v>2003</v>
      </c>
      <c r="D445" s="460">
        <v>389800</v>
      </c>
      <c r="E445" s="460">
        <v>1277600</v>
      </c>
      <c r="F445" s="460">
        <v>6700</v>
      </c>
      <c r="G445" s="460">
        <v>400</v>
      </c>
      <c r="H445" s="555">
        <v>1.1000000000000001</v>
      </c>
      <c r="I445" s="556">
        <v>30600</v>
      </c>
      <c r="K445" s="148">
        <f t="shared" si="52"/>
        <v>359200</v>
      </c>
      <c r="N445" s="461">
        <v>15.4</v>
      </c>
      <c r="O445" s="462">
        <v>11.7</v>
      </c>
    </row>
    <row r="446" spans="1:15">
      <c r="A446" s="460" t="s">
        <v>443</v>
      </c>
      <c r="B446" s="460" t="s">
        <v>453</v>
      </c>
      <c r="C446" s="460">
        <v>2004</v>
      </c>
      <c r="D446" s="460">
        <v>460000</v>
      </c>
      <c r="E446" s="460">
        <v>1526400</v>
      </c>
      <c r="F446" s="460">
        <v>7200</v>
      </c>
      <c r="G446" s="460">
        <v>400</v>
      </c>
      <c r="H446" s="555">
        <v>1.1000000000000001</v>
      </c>
      <c r="I446" s="556">
        <v>31200</v>
      </c>
      <c r="K446" s="148">
        <f t="shared" si="52"/>
        <v>428800</v>
      </c>
      <c r="N446" s="461">
        <v>17.399999999999999</v>
      </c>
      <c r="O446" s="462">
        <v>13.4</v>
      </c>
    </row>
    <row r="447" spans="1:15">
      <c r="A447" s="460" t="s">
        <v>443</v>
      </c>
      <c r="B447" s="460" t="s">
        <v>453</v>
      </c>
      <c r="C447" s="460">
        <v>2005</v>
      </c>
      <c r="D447" s="460">
        <v>559400</v>
      </c>
      <c r="E447" s="460">
        <v>1844300</v>
      </c>
      <c r="F447" s="460">
        <v>8200</v>
      </c>
      <c r="G447" s="460">
        <v>400</v>
      </c>
      <c r="H447" s="555">
        <v>1.1000000000000001</v>
      </c>
      <c r="I447" s="556">
        <v>32000</v>
      </c>
      <c r="K447" s="148">
        <f t="shared" si="52"/>
        <v>527400</v>
      </c>
      <c r="N447" s="461">
        <v>19.3</v>
      </c>
      <c r="O447" s="462">
        <v>15.1</v>
      </c>
    </row>
    <row r="448" spans="1:15">
      <c r="A448" s="460" t="s">
        <v>443</v>
      </c>
      <c r="B448" s="460" t="s">
        <v>453</v>
      </c>
      <c r="C448" s="460">
        <v>2006</v>
      </c>
      <c r="D448" s="460">
        <v>598500</v>
      </c>
      <c r="E448" s="460">
        <v>1997800</v>
      </c>
      <c r="F448" s="460">
        <v>8400</v>
      </c>
      <c r="G448" s="460">
        <v>500</v>
      </c>
      <c r="H448" s="555">
        <v>1.1000000000000001</v>
      </c>
      <c r="I448" s="556">
        <v>32800</v>
      </c>
      <c r="K448" s="148">
        <f t="shared" si="52"/>
        <v>565700</v>
      </c>
      <c r="N448" s="461">
        <v>20.100000000000001</v>
      </c>
      <c r="O448" s="462">
        <v>15.8</v>
      </c>
    </row>
    <row r="449" spans="1:15">
      <c r="A449" s="460" t="s">
        <v>443</v>
      </c>
      <c r="B449" s="460" t="s">
        <v>453</v>
      </c>
      <c r="C449" s="460">
        <v>2007</v>
      </c>
      <c r="D449" s="460">
        <v>596800</v>
      </c>
      <c r="E449" s="460">
        <v>2104700</v>
      </c>
      <c r="F449" s="460">
        <v>8300</v>
      </c>
      <c r="G449" s="460">
        <v>500</v>
      </c>
      <c r="H449" s="555">
        <v>1.1000000000000001</v>
      </c>
      <c r="I449" s="556">
        <v>34200</v>
      </c>
      <c r="K449" s="148">
        <f t="shared" si="52"/>
        <v>562600</v>
      </c>
      <c r="N449" s="461">
        <v>20.7</v>
      </c>
      <c r="O449" s="462">
        <v>16.600000000000001</v>
      </c>
    </row>
    <row r="450" spans="1:15">
      <c r="A450" s="460" t="s">
        <v>443</v>
      </c>
      <c r="B450" s="460" t="s">
        <v>453</v>
      </c>
      <c r="C450" s="460">
        <v>2008</v>
      </c>
      <c r="D450" s="460">
        <v>484200</v>
      </c>
      <c r="E450" s="460">
        <v>1716700</v>
      </c>
      <c r="F450" s="460">
        <v>7700</v>
      </c>
      <c r="G450" s="460">
        <v>600</v>
      </c>
      <c r="H450" s="555">
        <v>1.1000000000000001</v>
      </c>
      <c r="I450" s="556">
        <v>35100</v>
      </c>
      <c r="K450" s="148">
        <f t="shared" si="52"/>
        <v>449100</v>
      </c>
      <c r="N450" s="461">
        <v>18</v>
      </c>
      <c r="O450" s="462">
        <v>13.8</v>
      </c>
    </row>
    <row r="451" spans="1:15">
      <c r="A451" s="460" t="s">
        <v>443</v>
      </c>
      <c r="B451" s="460" t="s">
        <v>453</v>
      </c>
      <c r="C451" s="460">
        <v>2009</v>
      </c>
      <c r="D451" s="460">
        <v>387900</v>
      </c>
      <c r="E451" s="460">
        <v>1339200</v>
      </c>
      <c r="F451" s="460">
        <v>7900</v>
      </c>
      <c r="G451" s="460">
        <v>600</v>
      </c>
      <c r="H451" s="555">
        <v>1.1000000000000001</v>
      </c>
      <c r="I451" s="556">
        <v>34200</v>
      </c>
      <c r="K451" s="148">
        <f t="shared" si="52"/>
        <v>353700</v>
      </c>
      <c r="N451" s="461">
        <v>15.3</v>
      </c>
      <c r="O451" s="462">
        <v>11.3</v>
      </c>
    </row>
    <row r="452" spans="1:15">
      <c r="A452" s="460" t="s">
        <v>443</v>
      </c>
      <c r="B452" s="460" t="s">
        <v>453</v>
      </c>
      <c r="C452" s="460">
        <v>2010</v>
      </c>
      <c r="D452" s="460">
        <v>453400</v>
      </c>
      <c r="E452" s="460">
        <v>1540400</v>
      </c>
      <c r="F452" s="460">
        <v>8000</v>
      </c>
      <c r="G452" s="460">
        <v>800</v>
      </c>
      <c r="H452" s="555">
        <v>1.1000000000000001</v>
      </c>
      <c r="I452" s="556">
        <v>34400</v>
      </c>
      <c r="K452" s="148">
        <f t="shared" si="52"/>
        <v>419000</v>
      </c>
      <c r="N452" s="461">
        <v>17.100000000000001</v>
      </c>
      <c r="O452" s="462">
        <v>12.6</v>
      </c>
    </row>
    <row r="453" spans="1:15">
      <c r="A453" s="460" t="s">
        <v>443</v>
      </c>
      <c r="B453" s="460" t="s">
        <v>453</v>
      </c>
      <c r="C453" s="460">
        <v>2011</v>
      </c>
      <c r="D453" s="460">
        <v>447900</v>
      </c>
      <c r="E453" s="460">
        <v>1534100</v>
      </c>
      <c r="F453" s="460">
        <v>7900</v>
      </c>
      <c r="G453" s="460">
        <v>800</v>
      </c>
      <c r="H453" s="555">
        <v>1.1000000000000001</v>
      </c>
      <c r="I453" s="556">
        <v>32200</v>
      </c>
      <c r="K453" s="148">
        <f t="shared" si="52"/>
        <v>415700</v>
      </c>
      <c r="N453" s="461">
        <v>16.8</v>
      </c>
      <c r="O453" s="462">
        <v>12.4</v>
      </c>
    </row>
    <row r="454" spans="1:15">
      <c r="A454" s="460" t="s">
        <v>443</v>
      </c>
      <c r="B454" s="460" t="s">
        <v>453</v>
      </c>
      <c r="C454" s="460">
        <v>2012</v>
      </c>
      <c r="D454" s="460">
        <v>545100</v>
      </c>
      <c r="E454" s="460">
        <v>1899300</v>
      </c>
      <c r="F454" s="460">
        <v>8800</v>
      </c>
      <c r="G454" s="460">
        <v>700</v>
      </c>
      <c r="H454" s="555">
        <v>1.2</v>
      </c>
      <c r="I454" s="556">
        <v>33100</v>
      </c>
      <c r="K454" s="148">
        <f t="shared" si="52"/>
        <v>512000</v>
      </c>
      <c r="N454" s="461">
        <v>19.8</v>
      </c>
      <c r="O454" s="462">
        <v>14.9</v>
      </c>
    </row>
    <row r="455" spans="1:15">
      <c r="A455" s="460" t="s">
        <v>443</v>
      </c>
      <c r="B455" s="460" t="s">
        <v>453</v>
      </c>
      <c r="C455" s="460">
        <v>2013</v>
      </c>
      <c r="D455" s="460">
        <v>542100</v>
      </c>
      <c r="E455" s="460">
        <v>1601100</v>
      </c>
      <c r="F455" s="460">
        <v>8500</v>
      </c>
      <c r="G455" s="460">
        <v>600</v>
      </c>
      <c r="H455" s="555">
        <v>1.2</v>
      </c>
      <c r="I455" s="556">
        <v>39200</v>
      </c>
      <c r="K455" s="148">
        <f t="shared" si="52"/>
        <v>502900</v>
      </c>
      <c r="N455" s="461">
        <v>17.100000000000001</v>
      </c>
      <c r="O455" s="462">
        <v>12.2</v>
      </c>
    </row>
    <row r="456" spans="1:15">
      <c r="A456" s="460" t="s">
        <v>443</v>
      </c>
      <c r="B456" s="460" t="s">
        <v>453</v>
      </c>
      <c r="C456" s="460">
        <v>2014</v>
      </c>
      <c r="D456" s="460">
        <v>608400</v>
      </c>
      <c r="E456" s="460">
        <v>1799900</v>
      </c>
      <c r="F456" s="460">
        <v>8400</v>
      </c>
      <c r="G456" s="460">
        <v>900</v>
      </c>
      <c r="H456" s="555">
        <v>1.2</v>
      </c>
      <c r="I456" s="556">
        <v>39000</v>
      </c>
      <c r="K456" s="148">
        <f t="shared" si="52"/>
        <v>569400</v>
      </c>
      <c r="N456" s="461">
        <v>18.5</v>
      </c>
      <c r="O456" s="462">
        <v>13.2</v>
      </c>
    </row>
    <row r="457" spans="1:15">
      <c r="A457" s="460" t="s">
        <v>443</v>
      </c>
      <c r="B457" s="460" t="s">
        <v>453</v>
      </c>
      <c r="C457" s="460">
        <v>2015</v>
      </c>
      <c r="D457" s="460">
        <v>628900</v>
      </c>
      <c r="E457" s="460">
        <v>1875500</v>
      </c>
      <c r="F457" s="460">
        <v>9400</v>
      </c>
      <c r="G457" s="460">
        <v>1000</v>
      </c>
      <c r="H457" s="555">
        <v>1.2</v>
      </c>
      <c r="I457" s="556">
        <v>42400</v>
      </c>
      <c r="K457" s="148">
        <f t="shared" si="52"/>
        <v>586500</v>
      </c>
      <c r="N457" s="461">
        <v>18.399999999999999</v>
      </c>
      <c r="O457" s="462">
        <v>13.2</v>
      </c>
    </row>
    <row r="458" spans="1:15">
      <c r="A458" s="460" t="s">
        <v>443</v>
      </c>
      <c r="B458" s="460" t="s">
        <v>453</v>
      </c>
      <c r="C458" s="460">
        <v>2016</v>
      </c>
      <c r="D458" s="460">
        <v>600000</v>
      </c>
      <c r="E458" s="460">
        <v>1791200</v>
      </c>
      <c r="F458" s="460">
        <v>8700</v>
      </c>
      <c r="G458" s="460">
        <v>1100</v>
      </c>
      <c r="H458" s="555">
        <v>1.2</v>
      </c>
      <c r="I458" s="556">
        <v>41900</v>
      </c>
      <c r="K458" s="148">
        <f t="shared" si="52"/>
        <v>558100</v>
      </c>
      <c r="N458" s="461">
        <v>17.5</v>
      </c>
      <c r="O458" s="462">
        <v>12.5</v>
      </c>
    </row>
  </sheetData>
  <mergeCells count="6">
    <mergeCell ref="AC29:AJ29"/>
    <mergeCell ref="B29:I29"/>
    <mergeCell ref="AL29:AS29"/>
    <mergeCell ref="AU29:AX29"/>
    <mergeCell ref="K29:R29"/>
    <mergeCell ref="T29:AA29"/>
  </mergeCells>
  <hyperlinks>
    <hyperlink ref="T1" location="Index!A1" display="index" xr:uid="{6042EBA3-D7BE-48E3-B4D7-5EC50170EAF7}"/>
  </hyperlinks>
  <pageMargins left="0.7" right="0.7" top="0.75" bottom="0.75" header="0.3" footer="0.3"/>
  <pageSetup orientation="portrait" horizontalDpi="1200" verticalDpi="12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A3466-7FC7-49E3-9EF3-0B0E642BD157}">
  <sheetPr>
    <tabColor theme="8" tint="0.79998168889431442"/>
  </sheetPr>
  <dimension ref="A1:H1"/>
  <sheetViews>
    <sheetView workbookViewId="0"/>
  </sheetViews>
  <sheetFormatPr defaultRowHeight="15"/>
  <sheetData>
    <row r="1" spans="1:8">
      <c r="A1" s="9" t="s">
        <v>504</v>
      </c>
      <c r="H1" s="641" t="s">
        <v>762</v>
      </c>
    </row>
  </sheetData>
  <hyperlinks>
    <hyperlink ref="H1" location="Index!A1" display="index" xr:uid="{DFD6D74E-AB78-4DB4-ABD5-33EDEAE5B9DC}"/>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F9890-6B24-494F-9456-D01ECF865E43}">
  <sheetPr>
    <tabColor theme="8" tint="0.79998168889431442"/>
  </sheetPr>
  <dimension ref="A1:H1"/>
  <sheetViews>
    <sheetView workbookViewId="0"/>
  </sheetViews>
  <sheetFormatPr defaultRowHeight="15"/>
  <sheetData>
    <row r="1" spans="1:8">
      <c r="A1" s="9" t="s">
        <v>505</v>
      </c>
      <c r="H1" s="641" t="s">
        <v>762</v>
      </c>
    </row>
  </sheetData>
  <hyperlinks>
    <hyperlink ref="H1" location="Index!A1" display="index" xr:uid="{5DEB9ABC-D2E0-4BAD-AAB6-F399878CA762}"/>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7ADE1-A125-4FA2-AB60-53A20EEF383C}">
  <sheetPr>
    <tabColor theme="4" tint="0.79998168889431442"/>
  </sheetPr>
  <dimension ref="A1:R49"/>
  <sheetViews>
    <sheetView zoomScaleNormal="100" workbookViewId="0"/>
  </sheetViews>
  <sheetFormatPr defaultRowHeight="15"/>
  <cols>
    <col min="1" max="1" width="5" style="140" customWidth="1"/>
    <col min="2" max="2" width="9.140625" style="140"/>
    <col min="3" max="3" width="7.85546875" style="140" customWidth="1"/>
    <col min="4" max="4" width="10.42578125" style="140" customWidth="1"/>
    <col min="5" max="5" width="8.7109375" style="140" customWidth="1"/>
    <col min="6" max="6" width="2.5703125" style="140" customWidth="1"/>
    <col min="7" max="8" width="9.140625" style="140"/>
    <col min="9" max="9" width="10" style="140" customWidth="1"/>
    <col min="10" max="10" width="9.140625" style="140"/>
    <col min="11" max="11" width="2.42578125" style="140" customWidth="1"/>
    <col min="12" max="14" width="9.140625" style="140"/>
    <col min="15" max="15" width="2" style="140" customWidth="1"/>
    <col min="16" max="16384" width="9.140625" style="140"/>
  </cols>
  <sheetData>
    <row r="1" spans="1:10" s="465" customFormat="1" ht="15.75">
      <c r="A1" s="190" t="s">
        <v>667</v>
      </c>
      <c r="J1" s="641" t="s">
        <v>762</v>
      </c>
    </row>
    <row r="2" spans="1:10" s="465" customFormat="1" ht="15.75">
      <c r="A2" s="190"/>
    </row>
    <row r="3" spans="1:10" s="465" customFormat="1" ht="15.75">
      <c r="A3" s="707" t="s">
        <v>508</v>
      </c>
      <c r="B3" s="708"/>
      <c r="C3" s="545"/>
      <c r="D3" s="545"/>
      <c r="E3" s="545"/>
    </row>
    <row r="4" spans="1:10" s="465" customFormat="1" ht="15.75">
      <c r="A4" s="707" t="s">
        <v>509</v>
      </c>
      <c r="B4" s="708"/>
      <c r="C4" s="545"/>
      <c r="D4" s="545"/>
      <c r="E4" s="545"/>
    </row>
    <row r="5" spans="1:10" s="465" customFormat="1" ht="15.75">
      <c r="A5" s="707" t="s">
        <v>510</v>
      </c>
      <c r="B5" s="708"/>
      <c r="C5" s="545"/>
      <c r="D5" s="545"/>
      <c r="E5" s="545"/>
    </row>
    <row r="6" spans="1:10" s="465" customFormat="1"/>
    <row r="7" spans="1:10" ht="15.75">
      <c r="A7" s="546" t="s">
        <v>318</v>
      </c>
      <c r="B7" s="547"/>
      <c r="C7" s="547"/>
      <c r="D7" s="547"/>
      <c r="E7" s="547"/>
    </row>
    <row r="8" spans="1:10" ht="15.75">
      <c r="A8" s="546" t="s">
        <v>319</v>
      </c>
      <c r="B8" s="547"/>
      <c r="C8" s="547"/>
      <c r="D8" s="547"/>
      <c r="E8" s="547"/>
    </row>
    <row r="9" spans="1:10" ht="15.75">
      <c r="A9" s="546" t="s">
        <v>320</v>
      </c>
      <c r="B9" s="547"/>
      <c r="C9" s="547"/>
      <c r="D9" s="547"/>
      <c r="E9" s="547"/>
    </row>
    <row r="10" spans="1:10" ht="14.25" customHeight="1">
      <c r="A10" s="284"/>
    </row>
    <row r="35" spans="1:18">
      <c r="A35" s="604" t="s">
        <v>588</v>
      </c>
    </row>
    <row r="37" spans="1:18">
      <c r="A37" s="706"/>
      <c r="B37" s="749" t="s">
        <v>325</v>
      </c>
      <c r="C37" s="749"/>
      <c r="D37" s="749"/>
      <c r="E37" s="749"/>
      <c r="F37" s="706"/>
      <c r="G37" s="749" t="s">
        <v>324</v>
      </c>
      <c r="H37" s="749"/>
      <c r="I37" s="749"/>
      <c r="J37" s="749"/>
      <c r="K37" s="706"/>
      <c r="L37" s="749" t="s">
        <v>326</v>
      </c>
      <c r="M37" s="749"/>
      <c r="N37" s="749"/>
      <c r="O37" s="706"/>
      <c r="P37" s="749" t="s">
        <v>327</v>
      </c>
      <c r="Q37" s="749"/>
      <c r="R37" s="749"/>
    </row>
    <row r="38" spans="1:18" ht="31.5" customHeight="1">
      <c r="A38" s="191"/>
      <c r="B38" s="203" t="s">
        <v>321</v>
      </c>
      <c r="C38" s="203" t="s">
        <v>322</v>
      </c>
      <c r="D38" s="203" t="s">
        <v>323</v>
      </c>
      <c r="E38" s="203" t="s">
        <v>331</v>
      </c>
      <c r="F38" s="285"/>
      <c r="G38" s="203" t="s">
        <v>321</v>
      </c>
      <c r="H38" s="203" t="s">
        <v>322</v>
      </c>
      <c r="I38" s="203" t="s">
        <v>323</v>
      </c>
      <c r="J38" s="203" t="s">
        <v>331</v>
      </c>
      <c r="K38" s="203"/>
      <c r="L38" s="203" t="s">
        <v>329</v>
      </c>
      <c r="M38" s="203" t="s">
        <v>311</v>
      </c>
      <c r="N38" s="203" t="s">
        <v>330</v>
      </c>
      <c r="O38" s="203"/>
      <c r="P38" s="203" t="s">
        <v>329</v>
      </c>
      <c r="Q38" s="203" t="s">
        <v>311</v>
      </c>
      <c r="R38" s="203" t="s">
        <v>330</v>
      </c>
    </row>
    <row r="39" spans="1:18">
      <c r="A39" s="46" t="s">
        <v>314</v>
      </c>
      <c r="B39" s="3">
        <v>10000</v>
      </c>
      <c r="C39" s="3">
        <v>1000</v>
      </c>
      <c r="D39" s="3">
        <f>B39-C39</f>
        <v>9000</v>
      </c>
      <c r="E39" s="46">
        <f>1-C39/B39</f>
        <v>0.9</v>
      </c>
      <c r="G39" s="127">
        <f>LN(B39)</f>
        <v>9.2103403719761836</v>
      </c>
      <c r="H39" s="127">
        <f t="shared" ref="H39:J40" si="0">LN(C39)</f>
        <v>6.9077552789821368</v>
      </c>
      <c r="I39" s="127">
        <f t="shared" si="0"/>
        <v>9.1049798563183568</v>
      </c>
      <c r="J39" s="127">
        <f>LN(E39)</f>
        <v>-0.10536051565782628</v>
      </c>
    </row>
    <row r="40" spans="1:18">
      <c r="A40" s="46" t="s">
        <v>315</v>
      </c>
      <c r="B40" s="3">
        <v>100000</v>
      </c>
      <c r="C40" s="3">
        <v>30000</v>
      </c>
      <c r="D40" s="3">
        <f>B40-C40</f>
        <v>70000</v>
      </c>
      <c r="E40" s="46">
        <f>1-C40/B40</f>
        <v>0.7</v>
      </c>
      <c r="G40" s="127">
        <f>LN(B40)</f>
        <v>11.512925464970229</v>
      </c>
      <c r="H40" s="127">
        <f t="shared" si="0"/>
        <v>10.308952660644293</v>
      </c>
      <c r="I40" s="127">
        <f t="shared" si="0"/>
        <v>11.156250521031495</v>
      </c>
      <c r="J40" s="127">
        <f t="shared" si="0"/>
        <v>-0.35667494393873245</v>
      </c>
    </row>
    <row r="41" spans="1:18">
      <c r="A41" s="46" t="s">
        <v>48</v>
      </c>
      <c r="B41" s="3"/>
      <c r="C41" s="3"/>
      <c r="D41" s="3"/>
      <c r="L41" s="45">
        <f>(H40-H39)/($G40-$G39)</f>
        <v>1.477121254719663</v>
      </c>
      <c r="M41" s="45">
        <f>(I40-I39)/($G40-$G39)</f>
        <v>0.89085553057493172</v>
      </c>
      <c r="N41" s="45">
        <f>(J40-J39)/($G40-$G39)</f>
        <v>-0.10914446942506811</v>
      </c>
      <c r="O41" s="141"/>
      <c r="P41" s="45">
        <f>INTERCEPT(H39:H40,$G39:$G40)</f>
        <v>-6.6970342476664886</v>
      </c>
      <c r="Q41" s="45">
        <f>INTERCEPT(I39:I40,$G39:$G40)</f>
        <v>0.89989719746580299</v>
      </c>
      <c r="R41" s="45">
        <f>INTERCEPT(J39:J40,$G39:$G40)</f>
        <v>0.89989719746579855</v>
      </c>
    </row>
    <row r="42" spans="1:18" ht="7.5" customHeight="1">
      <c r="B42" s="3"/>
      <c r="C42" s="3"/>
      <c r="D42" s="3"/>
      <c r="P42" s="127"/>
      <c r="Q42" s="127"/>
      <c r="R42" s="127"/>
    </row>
    <row r="43" spans="1:18">
      <c r="A43" s="283" t="s">
        <v>313</v>
      </c>
      <c r="B43" s="3"/>
      <c r="C43" s="3"/>
      <c r="D43" s="3"/>
      <c r="P43" s="127"/>
      <c r="Q43" s="127"/>
      <c r="R43" s="127"/>
    </row>
    <row r="44" spans="1:18">
      <c r="A44" s="46" t="s">
        <v>316</v>
      </c>
      <c r="B44" s="3">
        <f>B39</f>
        <v>10000</v>
      </c>
      <c r="C44" s="3">
        <f>C39*2</f>
        <v>2000</v>
      </c>
      <c r="D44" s="3">
        <f>B44-C44</f>
        <v>8000</v>
      </c>
      <c r="E44" s="46">
        <f>1-C44/B44</f>
        <v>0.8</v>
      </c>
      <c r="G44" s="127">
        <f>LN(B44)</f>
        <v>9.2103403719761836</v>
      </c>
      <c r="H44" s="127">
        <f t="shared" ref="H44:J45" si="1">LN(C44)</f>
        <v>7.6009024595420822</v>
      </c>
      <c r="I44" s="127">
        <f t="shared" si="1"/>
        <v>8.987196820661973</v>
      </c>
      <c r="J44" s="127">
        <f t="shared" si="1"/>
        <v>-0.22314355131420971</v>
      </c>
      <c r="P44" s="127"/>
      <c r="Q44" s="127"/>
      <c r="R44" s="127"/>
    </row>
    <row r="45" spans="1:18">
      <c r="A45" s="46" t="s">
        <v>317</v>
      </c>
      <c r="B45" s="3">
        <f>B40</f>
        <v>100000</v>
      </c>
      <c r="C45" s="3">
        <f>C40*2</f>
        <v>60000</v>
      </c>
      <c r="D45" s="3">
        <f>B45-C45</f>
        <v>40000</v>
      </c>
      <c r="E45" s="46">
        <f>1-C45/B45</f>
        <v>0.4</v>
      </c>
      <c r="G45" s="127">
        <f>LN(B45)</f>
        <v>11.512925464970229</v>
      </c>
      <c r="H45" s="127">
        <f t="shared" si="1"/>
        <v>11.002099841204238</v>
      </c>
      <c r="I45" s="127">
        <f t="shared" si="1"/>
        <v>10.596634733096073</v>
      </c>
      <c r="J45" s="127">
        <f t="shared" si="1"/>
        <v>-0.916290731874155</v>
      </c>
      <c r="P45" s="127"/>
      <c r="Q45" s="127"/>
      <c r="R45" s="127"/>
    </row>
    <row r="46" spans="1:18">
      <c r="A46" s="46" t="s">
        <v>48</v>
      </c>
      <c r="B46" s="3"/>
      <c r="C46" s="3"/>
      <c r="D46" s="3"/>
      <c r="G46" s="127"/>
      <c r="H46" s="127"/>
      <c r="I46" s="127"/>
      <c r="J46" s="127"/>
      <c r="L46" s="45">
        <f>(H45-H44)/($G45-$G44)</f>
        <v>1.477121254719663</v>
      </c>
      <c r="M46" s="45">
        <f>(I45-I44)/($G45-$G44)</f>
        <v>0.69897000433601864</v>
      </c>
      <c r="N46" s="45">
        <f>(J45-J44)/($G45-$G44)</f>
        <v>-0.30102999566398125</v>
      </c>
      <c r="O46" s="141"/>
      <c r="P46" s="45">
        <f>INTERCEPT(H44:H45,$G44:$G45)</f>
        <v>-6.003887067106545</v>
      </c>
      <c r="Q46" s="45">
        <f>INTERCEPT(I44:I45,$G44:$G45)</f>
        <v>2.5494451709255719</v>
      </c>
      <c r="R46" s="45">
        <f>INTERCEPT(J44:J45,$G44:$G45)</f>
        <v>2.5494451709255719</v>
      </c>
    </row>
    <row r="47" spans="1:18" ht="9.75" customHeight="1">
      <c r="P47" s="127"/>
      <c r="Q47" s="127"/>
      <c r="R47" s="127"/>
    </row>
    <row r="48" spans="1:18">
      <c r="A48" s="9" t="s">
        <v>328</v>
      </c>
      <c r="L48" s="141">
        <f>L46-L41</f>
        <v>0</v>
      </c>
      <c r="M48" s="141">
        <f>M46-M41</f>
        <v>-0.19188552623891308</v>
      </c>
      <c r="N48" s="141">
        <f>N46-N41</f>
        <v>-0.19188552623891314</v>
      </c>
      <c r="O48" s="141"/>
      <c r="P48" s="45">
        <f>P46-P41</f>
        <v>0.69314718055994362</v>
      </c>
      <c r="Q48" s="45">
        <f>Q46-Q41</f>
        <v>1.6495479734597689</v>
      </c>
      <c r="R48" s="45">
        <f>R46-R41</f>
        <v>1.6495479734597733</v>
      </c>
    </row>
    <row r="49" spans="1:18">
      <c r="A49" s="192" t="s">
        <v>312</v>
      </c>
      <c r="B49" s="191"/>
      <c r="C49" s="191"/>
      <c r="D49" s="191"/>
      <c r="E49" s="191"/>
      <c r="F49" s="191"/>
      <c r="G49" s="191"/>
      <c r="H49" s="191"/>
      <c r="I49" s="191"/>
      <c r="J49" s="191"/>
      <c r="K49" s="191"/>
      <c r="L49" s="286">
        <f>L48/L41</f>
        <v>0</v>
      </c>
      <c r="M49" s="287">
        <f>M48/M41</f>
        <v>-0.21539466238153773</v>
      </c>
      <c r="N49" s="287">
        <f>N48/N41</f>
        <v>1.7580874894503926</v>
      </c>
      <c r="O49" s="287"/>
      <c r="P49" s="287">
        <f>P48/P41</f>
        <v>-0.10350061757582672</v>
      </c>
      <c r="Q49" s="287">
        <f>Q48/Q41</f>
        <v>1.8330404607382427</v>
      </c>
      <c r="R49" s="287">
        <f>R48/R41</f>
        <v>1.8330404607382567</v>
      </c>
    </row>
  </sheetData>
  <mergeCells count="4">
    <mergeCell ref="B37:E37"/>
    <mergeCell ref="G37:J37"/>
    <mergeCell ref="L37:N37"/>
    <mergeCell ref="P37:R37"/>
  </mergeCells>
  <hyperlinks>
    <hyperlink ref="J1" location="Index!A1" display="index" xr:uid="{8572E1AD-2273-49F5-A39A-24687566F3E7}"/>
  </hyperlink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4B50C-2831-4516-88F1-2899BBC5C103}">
  <sheetPr>
    <tabColor theme="8" tint="0.79998168889431442"/>
  </sheetPr>
  <dimension ref="A1:O41"/>
  <sheetViews>
    <sheetView zoomScale="85" zoomScaleNormal="85" workbookViewId="0"/>
  </sheetViews>
  <sheetFormatPr defaultRowHeight="15"/>
  <cols>
    <col min="1" max="1" width="19" style="423" customWidth="1"/>
    <col min="2" max="2" width="8.5703125" style="423" customWidth="1"/>
    <col min="3" max="3" width="11.140625" style="423" customWidth="1"/>
    <col min="4" max="4" width="9.140625" style="423"/>
    <col min="5" max="5" width="12.7109375" style="423" customWidth="1"/>
    <col min="6" max="7" width="8.85546875" style="423" customWidth="1"/>
    <col min="8" max="12" width="7.28515625" style="423" customWidth="1"/>
    <col min="13" max="13" width="7.85546875" style="423" customWidth="1"/>
    <col min="14" max="14" width="8.7109375" style="46" customWidth="1"/>
    <col min="15" max="16384" width="9.140625" style="423"/>
  </cols>
  <sheetData>
    <row r="1" spans="1:7">
      <c r="A1" s="9" t="s">
        <v>424</v>
      </c>
      <c r="G1" s="641" t="s">
        <v>762</v>
      </c>
    </row>
    <row r="2" spans="1:7">
      <c r="A2" s="9"/>
    </row>
    <row r="3" spans="1:7">
      <c r="A3" s="9"/>
    </row>
    <row r="4" spans="1:7">
      <c r="A4" s="9"/>
    </row>
    <row r="5" spans="1:7">
      <c r="A5" s="9"/>
    </row>
    <row r="6" spans="1:7">
      <c r="A6" s="9"/>
    </row>
    <row r="7" spans="1:7">
      <c r="A7" s="9"/>
    </row>
    <row r="8" spans="1:7">
      <c r="A8" s="9"/>
    </row>
    <row r="9" spans="1:7">
      <c r="A9" s="9"/>
    </row>
    <row r="10" spans="1:7">
      <c r="A10" s="9"/>
    </row>
    <row r="11" spans="1:7">
      <c r="A11" s="9"/>
    </row>
    <row r="12" spans="1:7">
      <c r="A12" s="9"/>
    </row>
    <row r="13" spans="1:7">
      <c r="A13" s="9"/>
    </row>
    <row r="14" spans="1:7">
      <c r="A14" s="9"/>
    </row>
    <row r="15" spans="1:7">
      <c r="A15" s="9"/>
    </row>
    <row r="16" spans="1:7">
      <c r="A16" s="9"/>
    </row>
    <row r="17" spans="1:14">
      <c r="A17" s="9"/>
    </row>
    <row r="18" spans="1:14">
      <c r="A18" s="9"/>
    </row>
    <row r="19" spans="1:14">
      <c r="A19" s="9"/>
    </row>
    <row r="20" spans="1:14">
      <c r="A20" s="9"/>
    </row>
    <row r="21" spans="1:14">
      <c r="A21" s="9"/>
    </row>
    <row r="22" spans="1:14">
      <c r="A22" s="9"/>
    </row>
    <row r="23" spans="1:14">
      <c r="A23" s="9"/>
    </row>
    <row r="24" spans="1:14">
      <c r="A24" s="9"/>
    </row>
    <row r="25" spans="1:14">
      <c r="A25" s="9"/>
    </row>
    <row r="26" spans="1:14">
      <c r="A26" s="9"/>
    </row>
    <row r="27" spans="1:14">
      <c r="A27" s="718" t="s">
        <v>425</v>
      </c>
      <c r="B27" s="718"/>
      <c r="C27" s="718"/>
      <c r="D27" s="718"/>
      <c r="E27" s="718"/>
      <c r="F27" s="718"/>
      <c r="G27" s="718"/>
      <c r="H27" s="718"/>
      <c r="I27" s="718"/>
      <c r="J27" s="718"/>
      <c r="K27" s="718"/>
      <c r="L27" s="718"/>
      <c r="M27" s="718"/>
    </row>
    <row r="28" spans="1:14" ht="14.25" customHeight="1">
      <c r="A28" s="718" t="s">
        <v>514</v>
      </c>
      <c r="B28" s="718"/>
      <c r="C28" s="718"/>
      <c r="D28" s="718"/>
      <c r="E28" s="718"/>
      <c r="F28" s="718"/>
      <c r="G28" s="718"/>
      <c r="H28" s="718"/>
      <c r="I28" s="718"/>
      <c r="J28" s="718"/>
      <c r="K28" s="718"/>
      <c r="L28" s="718"/>
      <c r="M28" s="718"/>
    </row>
    <row r="29" spans="1:14">
      <c r="A29" s="9"/>
    </row>
    <row r="30" spans="1:14">
      <c r="A30" s="9"/>
    </row>
    <row r="31" spans="1:14">
      <c r="A31" s="191"/>
      <c r="B31" s="191"/>
      <c r="C31" s="191"/>
      <c r="D31" s="191"/>
      <c r="E31" s="191"/>
      <c r="F31" s="191"/>
      <c r="G31" s="191"/>
      <c r="H31" s="191"/>
      <c r="I31" s="191"/>
      <c r="J31" s="191"/>
      <c r="K31" s="191"/>
      <c r="L31" s="191"/>
      <c r="M31" s="191"/>
      <c r="N31" s="205"/>
    </row>
    <row r="32" spans="1:14">
      <c r="A32" s="9"/>
      <c r="B32" s="9"/>
      <c r="C32" s="719" t="s">
        <v>76</v>
      </c>
      <c r="D32" s="719" t="s">
        <v>77</v>
      </c>
      <c r="E32" s="719" t="s">
        <v>78</v>
      </c>
      <c r="F32" s="399"/>
      <c r="G32" s="399"/>
      <c r="H32" s="399"/>
      <c r="I32" s="399"/>
      <c r="J32" s="399"/>
      <c r="K32" s="399"/>
      <c r="L32" s="399"/>
      <c r="M32" s="400"/>
      <c r="N32" s="399"/>
    </row>
    <row r="33" spans="1:15">
      <c r="A33" s="415" t="s">
        <v>69</v>
      </c>
      <c r="B33" s="415" t="s">
        <v>3</v>
      </c>
      <c r="C33" s="720"/>
      <c r="D33" s="720"/>
      <c r="E33" s="720"/>
      <c r="F33" s="415" t="s">
        <v>24</v>
      </c>
      <c r="G33" s="415" t="s">
        <v>25</v>
      </c>
      <c r="H33" s="415" t="s">
        <v>26</v>
      </c>
      <c r="I33" s="415" t="s">
        <v>27</v>
      </c>
      <c r="J33" s="415" t="s">
        <v>33</v>
      </c>
      <c r="K33" s="415" t="s">
        <v>51</v>
      </c>
      <c r="L33" s="415" t="s">
        <v>52</v>
      </c>
      <c r="M33" s="428" t="s">
        <v>28</v>
      </c>
      <c r="N33" s="399"/>
      <c r="O33" s="9" t="s">
        <v>69</v>
      </c>
    </row>
    <row r="34" spans="1:15">
      <c r="A34" s="423" t="s">
        <v>23</v>
      </c>
      <c r="B34" s="46">
        <v>2010</v>
      </c>
      <c r="C34" s="46" t="s">
        <v>72</v>
      </c>
      <c r="D34" s="46" t="s">
        <v>79</v>
      </c>
      <c r="E34" s="226"/>
      <c r="F34" s="403">
        <v>0</v>
      </c>
      <c r="G34" s="403">
        <v>7.6</v>
      </c>
      <c r="H34" s="403">
        <v>12.1</v>
      </c>
      <c r="I34" s="403">
        <v>15.9</v>
      </c>
      <c r="J34" s="403">
        <v>19.399999999999999</v>
      </c>
      <c r="K34" s="403">
        <v>21.6</v>
      </c>
      <c r="L34" s="403">
        <v>24.8</v>
      </c>
      <c r="M34" s="401">
        <v>29.3</v>
      </c>
      <c r="N34" s="403"/>
      <c r="O34" s="8" t="s">
        <v>92</v>
      </c>
    </row>
    <row r="35" spans="1:15">
      <c r="A35" s="225" t="s">
        <v>228</v>
      </c>
      <c r="B35" s="226">
        <v>2010</v>
      </c>
      <c r="C35" s="226" t="s">
        <v>73</v>
      </c>
      <c r="D35" s="226" t="s">
        <v>73</v>
      </c>
      <c r="E35" s="226"/>
      <c r="F35" s="403">
        <v>11.1</v>
      </c>
      <c r="G35" s="403">
        <v>10.1</v>
      </c>
      <c r="H35" s="403">
        <v>9.8000000000000007</v>
      </c>
      <c r="I35" s="403">
        <v>9.3000000000000007</v>
      </c>
      <c r="J35" s="403">
        <v>8.9</v>
      </c>
      <c r="K35" s="403">
        <f>J35</f>
        <v>8.9</v>
      </c>
      <c r="L35" s="403">
        <v>8.1999999999999993</v>
      </c>
      <c r="M35" s="403">
        <v>7.4</v>
      </c>
      <c r="N35" s="403"/>
      <c r="O35" s="296" t="s">
        <v>409</v>
      </c>
    </row>
    <row r="36" spans="1:15">
      <c r="A36" s="225" t="s">
        <v>335</v>
      </c>
      <c r="B36" s="226">
        <v>2010</v>
      </c>
      <c r="C36" s="226" t="s">
        <v>336</v>
      </c>
      <c r="D36" s="226" t="s">
        <v>336</v>
      </c>
      <c r="E36" s="226"/>
      <c r="F36" s="402">
        <f t="shared" ref="F36:M36" si="0">F34+F35</f>
        <v>11.1</v>
      </c>
      <c r="G36" s="402">
        <f t="shared" si="0"/>
        <v>17.7</v>
      </c>
      <c r="H36" s="402">
        <f t="shared" si="0"/>
        <v>21.9</v>
      </c>
      <c r="I36" s="402">
        <f t="shared" si="0"/>
        <v>25.200000000000003</v>
      </c>
      <c r="J36" s="402">
        <f t="shared" si="0"/>
        <v>28.299999999999997</v>
      </c>
      <c r="K36" s="402">
        <f t="shared" si="0"/>
        <v>30.5</v>
      </c>
      <c r="L36" s="402">
        <f t="shared" si="0"/>
        <v>33</v>
      </c>
      <c r="M36" s="402">
        <f t="shared" si="0"/>
        <v>36.700000000000003</v>
      </c>
      <c r="N36" s="403"/>
      <c r="O36" s="296"/>
    </row>
    <row r="37" spans="1:15">
      <c r="F37" s="403"/>
      <c r="G37" s="403"/>
      <c r="H37" s="403"/>
      <c r="I37" s="403"/>
      <c r="J37" s="403"/>
      <c r="K37" s="403"/>
      <c r="L37" s="403"/>
      <c r="M37" s="429"/>
      <c r="N37" s="403"/>
    </row>
    <row r="38" spans="1:15">
      <c r="A38" s="9" t="s">
        <v>81</v>
      </c>
      <c r="F38" s="415" t="s">
        <v>82</v>
      </c>
      <c r="G38" s="415" t="s">
        <v>83</v>
      </c>
      <c r="H38" s="415" t="s">
        <v>84</v>
      </c>
      <c r="I38" s="415" t="s">
        <v>85</v>
      </c>
      <c r="J38" s="415" t="s">
        <v>86</v>
      </c>
      <c r="K38" s="415" t="s">
        <v>87</v>
      </c>
      <c r="L38" s="415" t="s">
        <v>88</v>
      </c>
      <c r="M38" s="428" t="s">
        <v>28</v>
      </c>
    </row>
    <row r="39" spans="1:15">
      <c r="A39" s="62" t="s">
        <v>23</v>
      </c>
      <c r="B39" s="62"/>
      <c r="C39" s="62"/>
      <c r="D39" s="62"/>
      <c r="E39" s="62"/>
      <c r="F39" s="417">
        <v>10</v>
      </c>
      <c r="G39" s="417">
        <v>30</v>
      </c>
      <c r="H39" s="417">
        <v>50</v>
      </c>
      <c r="I39" s="417">
        <v>70</v>
      </c>
      <c r="J39" s="417">
        <v>85</v>
      </c>
      <c r="K39" s="417">
        <v>92.5</v>
      </c>
      <c r="L39" s="417">
        <v>97</v>
      </c>
      <c r="M39" s="482">
        <v>99.5</v>
      </c>
    </row>
    <row r="40" spans="1:15" s="46" customFormat="1">
      <c r="A40" s="62"/>
      <c r="B40" s="62"/>
      <c r="C40" s="62"/>
      <c r="D40" s="62"/>
      <c r="E40" s="62"/>
      <c r="F40" s="417"/>
      <c r="G40" s="417"/>
      <c r="H40" s="417"/>
      <c r="I40" s="417"/>
      <c r="J40" s="417"/>
      <c r="K40" s="417"/>
      <c r="L40" s="417"/>
      <c r="M40" s="417"/>
      <c r="O40" s="423"/>
    </row>
    <row r="41" spans="1:15" s="46" customFormat="1">
      <c r="A41" s="62"/>
      <c r="B41" s="62"/>
      <c r="C41" s="62"/>
      <c r="D41" s="62"/>
      <c r="E41" s="62"/>
      <c r="F41" s="417"/>
      <c r="G41" s="417"/>
      <c r="H41" s="417"/>
      <c r="I41" s="417"/>
      <c r="J41" s="417"/>
      <c r="K41" s="417"/>
      <c r="L41" s="417"/>
      <c r="M41" s="417"/>
      <c r="O41" s="423"/>
    </row>
  </sheetData>
  <mergeCells count="5">
    <mergeCell ref="A27:M27"/>
    <mergeCell ref="A28:M28"/>
    <mergeCell ref="C32:C33"/>
    <mergeCell ref="D32:D33"/>
    <mergeCell ref="E32:E33"/>
  </mergeCells>
  <hyperlinks>
    <hyperlink ref="O34" r:id="rId1" xr:uid="{22728644-7394-4DFA-AD9D-0E9C87018BD8}"/>
    <hyperlink ref="G1" location="Index!A1" display="index" xr:uid="{19E0E43C-A9A7-468B-91C6-6863A142F2B2}"/>
  </hyperlinks>
  <pageMargins left="0.7" right="0.7" top="0.75" bottom="0.75" header="0.3" footer="0.3"/>
  <pageSetup orientation="portrait" horizontalDpi="1200" verticalDpi="1200"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0984DB-A2E5-401D-A6F9-112E58260869}">
  <sheetPr>
    <tabColor theme="8" tint="0.79998168889431442"/>
  </sheetPr>
  <dimension ref="A1:AH84"/>
  <sheetViews>
    <sheetView zoomScale="85" zoomScaleNormal="85" workbookViewId="0"/>
  </sheetViews>
  <sheetFormatPr defaultRowHeight="15"/>
  <cols>
    <col min="1" max="1" width="38" style="140" customWidth="1"/>
    <col min="2" max="2" width="8.5703125" style="140" customWidth="1"/>
    <col min="3" max="3" width="11.140625" style="140" customWidth="1"/>
    <col min="4" max="4" width="9.140625" style="140"/>
    <col min="5" max="5" width="12.7109375" style="140" customWidth="1"/>
    <col min="6" max="7" width="8.85546875" style="140" customWidth="1"/>
    <col min="8" max="12" width="7.28515625" style="140" customWidth="1"/>
    <col min="13" max="14" width="7.85546875" style="140" customWidth="1"/>
    <col min="15" max="15" width="35.28515625" style="46" customWidth="1"/>
    <col min="16" max="23" width="8" style="140" customWidth="1"/>
    <col min="24" max="24" width="2.5703125" style="140" customWidth="1"/>
    <col min="25" max="32" width="7.5703125" style="140" customWidth="1"/>
    <col min="33" max="16384" width="9.140625" style="140"/>
  </cols>
  <sheetData>
    <row r="1" spans="1:6">
      <c r="A1" s="9" t="s">
        <v>426</v>
      </c>
      <c r="F1" s="641" t="s">
        <v>762</v>
      </c>
    </row>
    <row r="2" spans="1:6">
      <c r="A2" s="9"/>
    </row>
    <row r="3" spans="1:6">
      <c r="A3" s="9"/>
    </row>
    <row r="4" spans="1:6">
      <c r="A4" s="9"/>
    </row>
    <row r="5" spans="1:6">
      <c r="A5" s="9"/>
    </row>
    <row r="6" spans="1:6">
      <c r="A6" s="9"/>
    </row>
    <row r="7" spans="1:6">
      <c r="A7" s="9"/>
    </row>
    <row r="8" spans="1:6">
      <c r="A8" s="9"/>
    </row>
    <row r="9" spans="1:6">
      <c r="A9" s="9"/>
    </row>
    <row r="10" spans="1:6">
      <c r="A10" s="9"/>
    </row>
    <row r="11" spans="1:6">
      <c r="A11" s="9"/>
    </row>
    <row r="12" spans="1:6">
      <c r="A12" s="9"/>
    </row>
    <row r="13" spans="1:6">
      <c r="A13" s="9"/>
    </row>
    <row r="14" spans="1:6">
      <c r="A14" s="9"/>
    </row>
    <row r="15" spans="1:6">
      <c r="A15" s="9"/>
    </row>
    <row r="16" spans="1:6">
      <c r="A16" s="9"/>
    </row>
    <row r="17" spans="1:15">
      <c r="A17" s="9"/>
    </row>
    <row r="18" spans="1:15">
      <c r="A18" s="9"/>
    </row>
    <row r="19" spans="1:15">
      <c r="A19" s="9"/>
    </row>
    <row r="20" spans="1:15">
      <c r="A20" s="9"/>
    </row>
    <row r="21" spans="1:15">
      <c r="A21" s="9"/>
    </row>
    <row r="22" spans="1:15">
      <c r="A22" s="9"/>
    </row>
    <row r="23" spans="1:15">
      <c r="A23" s="9"/>
    </row>
    <row r="24" spans="1:15">
      <c r="A24" s="9"/>
    </row>
    <row r="25" spans="1:15">
      <c r="A25" s="9"/>
    </row>
    <row r="26" spans="1:15">
      <c r="A26" s="9"/>
    </row>
    <row r="27" spans="1:15" s="465" customFormat="1">
      <c r="A27" s="9"/>
      <c r="O27" s="46"/>
    </row>
    <row r="28" spans="1:15" s="465" customFormat="1">
      <c r="A28" s="9"/>
      <c r="O28" s="46"/>
    </row>
    <row r="29" spans="1:15" s="465" customFormat="1">
      <c r="A29" s="9"/>
      <c r="O29" s="46"/>
    </row>
    <row r="30" spans="1:15" s="465" customFormat="1">
      <c r="A30" s="9"/>
      <c r="O30" s="46"/>
    </row>
    <row r="31" spans="1:15" s="465" customFormat="1">
      <c r="A31" s="9"/>
      <c r="O31" s="46"/>
    </row>
    <row r="32" spans="1:15" s="465" customFormat="1">
      <c r="A32" s="9"/>
      <c r="O32" s="46"/>
    </row>
    <row r="33" spans="1:15" s="465" customFormat="1">
      <c r="A33" s="9"/>
      <c r="O33" s="46"/>
    </row>
    <row r="34" spans="1:15" s="465" customFormat="1">
      <c r="A34" s="9"/>
      <c r="O34" s="46"/>
    </row>
    <row r="35" spans="1:15" s="465" customFormat="1">
      <c r="A35" s="9"/>
      <c r="O35" s="46"/>
    </row>
    <row r="36" spans="1:15" s="465" customFormat="1">
      <c r="A36" s="9"/>
      <c r="O36" s="46"/>
    </row>
    <row r="37" spans="1:15" s="465" customFormat="1">
      <c r="A37" s="9"/>
      <c r="O37" s="46"/>
    </row>
    <row r="38" spans="1:15" s="465" customFormat="1">
      <c r="A38" s="9"/>
      <c r="O38" s="46"/>
    </row>
    <row r="39" spans="1:15" s="465" customFormat="1">
      <c r="A39" s="9"/>
      <c r="O39" s="46"/>
    </row>
    <row r="40" spans="1:15" s="465" customFormat="1">
      <c r="A40" s="9"/>
      <c r="O40" s="46"/>
    </row>
    <row r="41" spans="1:15" s="465" customFormat="1">
      <c r="A41" s="9"/>
      <c r="O41" s="46"/>
    </row>
    <row r="42" spans="1:15" s="465" customFormat="1">
      <c r="A42" s="9"/>
      <c r="O42" s="46"/>
    </row>
    <row r="43" spans="1:15" s="465" customFormat="1">
      <c r="A43" s="9"/>
      <c r="O43" s="46"/>
    </row>
    <row r="44" spans="1:15" s="465" customFormat="1">
      <c r="A44" s="9"/>
      <c r="O44" s="46"/>
    </row>
    <row r="45" spans="1:15" s="465" customFormat="1">
      <c r="A45" s="9"/>
      <c r="O45" s="46"/>
    </row>
    <row r="46" spans="1:15">
      <c r="A46" s="223"/>
      <c r="B46" s="223"/>
      <c r="C46" s="223"/>
      <c r="D46" s="223"/>
      <c r="E46" s="223"/>
      <c r="F46" s="223"/>
      <c r="G46" s="223"/>
      <c r="H46" s="223"/>
      <c r="I46" s="223"/>
      <c r="J46" s="223"/>
      <c r="K46" s="223"/>
      <c r="L46" s="223"/>
      <c r="M46" s="223"/>
      <c r="N46" s="223"/>
    </row>
    <row r="47" spans="1:15" ht="16.5" customHeight="1">
      <c r="A47" s="223"/>
      <c r="B47" s="223"/>
      <c r="C47" s="223"/>
      <c r="D47" s="223"/>
      <c r="E47" s="223"/>
      <c r="F47" s="223"/>
      <c r="G47" s="223"/>
      <c r="H47" s="223"/>
      <c r="I47" s="223"/>
      <c r="J47" s="223"/>
      <c r="K47" s="223"/>
      <c r="L47" s="223"/>
      <c r="M47" s="223"/>
      <c r="N47" s="223"/>
    </row>
    <row r="48" spans="1:15">
      <c r="A48" s="9"/>
    </row>
    <row r="49" spans="1:32">
      <c r="A49" s="9"/>
    </row>
    <row r="50" spans="1:32">
      <c r="A50" s="191" t="s">
        <v>389</v>
      </c>
      <c r="B50" s="191"/>
      <c r="C50" s="191"/>
      <c r="D50" s="191"/>
      <c r="E50" s="191"/>
      <c r="F50" s="191"/>
      <c r="G50" s="191"/>
      <c r="H50" s="191"/>
      <c r="I50" s="191"/>
      <c r="J50" s="191"/>
      <c r="K50" s="191"/>
      <c r="L50" s="191"/>
      <c r="M50" s="191"/>
      <c r="N50" s="4"/>
      <c r="O50" s="205"/>
      <c r="P50" s="204"/>
      <c r="Y50" s="295"/>
      <c r="Z50" s="295"/>
      <c r="AA50" s="295"/>
      <c r="AB50" s="295"/>
      <c r="AC50" s="295"/>
      <c r="AD50" s="295"/>
      <c r="AE50" s="295"/>
      <c r="AF50" s="295"/>
    </row>
    <row r="51" spans="1:32">
      <c r="A51" s="9"/>
      <c r="B51" s="9"/>
      <c r="C51" s="719" t="s">
        <v>76</v>
      </c>
      <c r="D51" s="719" t="s">
        <v>77</v>
      </c>
      <c r="E51" s="719" t="s">
        <v>78</v>
      </c>
      <c r="F51" s="125"/>
      <c r="G51" s="125"/>
      <c r="H51" s="125"/>
      <c r="I51" s="125"/>
      <c r="J51" s="125"/>
      <c r="K51" s="125"/>
      <c r="L51" s="125"/>
      <c r="M51" s="130"/>
      <c r="N51" s="121"/>
      <c r="O51" s="125"/>
      <c r="P51" s="724" t="s">
        <v>390</v>
      </c>
      <c r="Q51" s="724"/>
      <c r="R51" s="724"/>
      <c r="S51" s="724"/>
      <c r="T51" s="724"/>
      <c r="U51" s="724"/>
      <c r="V51" s="724"/>
      <c r="W51" s="724"/>
      <c r="Y51" s="295"/>
      <c r="Z51" s="295"/>
      <c r="AA51" s="295"/>
      <c r="AB51" s="295"/>
      <c r="AC51" s="295"/>
      <c r="AD51" s="295"/>
      <c r="AE51" s="295"/>
      <c r="AF51" s="295"/>
    </row>
    <row r="52" spans="1:32">
      <c r="A52" s="236" t="s">
        <v>69</v>
      </c>
      <c r="B52" s="236" t="s">
        <v>3</v>
      </c>
      <c r="C52" s="720"/>
      <c r="D52" s="720"/>
      <c r="E52" s="720"/>
      <c r="F52" s="236" t="s">
        <v>24</v>
      </c>
      <c r="G52" s="236" t="s">
        <v>25</v>
      </c>
      <c r="H52" s="236" t="s">
        <v>26</v>
      </c>
      <c r="I52" s="236" t="s">
        <v>27</v>
      </c>
      <c r="J52" s="236" t="s">
        <v>33</v>
      </c>
      <c r="K52" s="236" t="s">
        <v>51</v>
      </c>
      <c r="L52" s="236" t="s">
        <v>52</v>
      </c>
      <c r="M52" s="193" t="s">
        <v>230</v>
      </c>
      <c r="N52" s="151"/>
      <c r="O52" s="125"/>
      <c r="P52" s="236" t="s">
        <v>24</v>
      </c>
      <c r="Q52" s="236" t="s">
        <v>25</v>
      </c>
      <c r="R52" s="236" t="s">
        <v>26</v>
      </c>
      <c r="S52" s="236" t="s">
        <v>27</v>
      </c>
      <c r="T52" s="236" t="s">
        <v>33</v>
      </c>
      <c r="U52" s="236" t="s">
        <v>51</v>
      </c>
      <c r="V52" s="236" t="s">
        <v>52</v>
      </c>
      <c r="W52" s="193" t="s">
        <v>230</v>
      </c>
      <c r="Y52" s="426"/>
      <c r="Z52" s="426"/>
      <c r="AA52" s="426"/>
      <c r="AB52" s="426"/>
      <c r="AC52" s="426"/>
      <c r="AD52" s="426"/>
      <c r="AE52" s="426"/>
      <c r="AF52" s="424"/>
    </row>
    <row r="53" spans="1:32">
      <c r="A53" s="121"/>
      <c r="B53" s="121"/>
      <c r="C53" s="124"/>
      <c r="D53" s="124"/>
      <c r="E53" s="124"/>
      <c r="F53" s="571"/>
      <c r="G53" s="571"/>
      <c r="H53" s="571"/>
      <c r="I53" s="571"/>
      <c r="J53" s="571"/>
      <c r="K53" s="571"/>
      <c r="L53" s="571"/>
      <c r="M53" s="571"/>
      <c r="N53" s="151"/>
      <c r="O53" s="61" t="s">
        <v>388</v>
      </c>
      <c r="P53" s="41">
        <f>SUM('SZ data'!$R$10:$R$29)/SUM('SZ data'!$B$10:$B$29)*1000000000</f>
        <v>3008.5661217855709</v>
      </c>
      <c r="Q53" s="41">
        <f>SUM('SZ data'!$R$30:$R$49)/SUM('SZ data'!$B$30:$B$49)*1000000000</f>
        <v>5612.2207740335252</v>
      </c>
      <c r="R53" s="41">
        <f>SUM('SZ data'!$R$50:$R$69)/SUM('SZ data'!$B$50:$B$69)*1000000000</f>
        <v>9576.4866575627166</v>
      </c>
      <c r="S53" s="41">
        <f>SUM('SZ data'!$R$70:$R$89)/SUM('SZ data'!$B$70:$B$89)*1000000000</f>
        <v>16342.402777059307</v>
      </c>
      <c r="T53" s="41">
        <f>SUM('SZ data'!$R$90:$R$99)/SUM('SZ data'!$B$90:$B$99)*1000000000</f>
        <v>26404.912853792957</v>
      </c>
      <c r="U53" s="41">
        <f>SUM('SZ data'!$R$100:$R$104)/SUM('SZ data'!$B$100:$B$104)*1000000000</f>
        <v>37583.631890594195</v>
      </c>
      <c r="V53" s="41">
        <f>SUM('SZ data'!$R$105:$R$108)/SUM('SZ data'!$B$105:$B$108)*1000000000</f>
        <v>65560.960432286753</v>
      </c>
      <c r="W53" s="41">
        <f>SUM('SZ data'!$R$109:$R$136)/SUM('SZ data'!$B$109:$B$136)*1000000000</f>
        <v>351458.66382870125</v>
      </c>
      <c r="Y53" s="121"/>
      <c r="Z53" s="121"/>
      <c r="AA53" s="121"/>
      <c r="AB53" s="121"/>
      <c r="AC53" s="121"/>
      <c r="AD53" s="121"/>
      <c r="AE53" s="121"/>
      <c r="AF53" s="151"/>
    </row>
    <row r="54" spans="1:32">
      <c r="A54" s="140" t="s">
        <v>355</v>
      </c>
      <c r="B54" s="46">
        <v>2010</v>
      </c>
      <c r="C54" s="46"/>
      <c r="D54" s="46"/>
      <c r="E54" s="60"/>
      <c r="F54" s="39">
        <f>P$53/(P$54)*100</f>
        <v>24.24644565207128</v>
      </c>
      <c r="G54" s="39">
        <f t="shared" ref="G54:M54" si="0">Q$53/(Q$54)*100</f>
        <v>23.641279437271081</v>
      </c>
      <c r="H54" s="39">
        <f t="shared" si="0"/>
        <v>24.715139372084405</v>
      </c>
      <c r="I54" s="39">
        <f t="shared" si="0"/>
        <v>27.0643973054969</v>
      </c>
      <c r="J54" s="39">
        <f t="shared" si="0"/>
        <v>29.116964240297005</v>
      </c>
      <c r="K54" s="39">
        <f t="shared" si="0"/>
        <v>28.991529025565232</v>
      </c>
      <c r="L54" s="39">
        <f t="shared" si="0"/>
        <v>28.322637586991707</v>
      </c>
      <c r="M54" s="39">
        <f t="shared" si="0"/>
        <v>28.674583424013722</v>
      </c>
      <c r="N54" s="39"/>
      <c r="O54" s="39" t="s">
        <v>383</v>
      </c>
      <c r="P54" s="41">
        <f>SUM('SZ data'!Q$10:Q$29)/SUM('SZ data'!B$10:B$29)*1000000000</f>
        <v>12408.276928328094</v>
      </c>
      <c r="Q54" s="41">
        <f>SUM('SZ data'!$Q$30:$Q$49)/SUM('SZ data'!$B$30:$B$49)*1000000000</f>
        <v>23739.073804887717</v>
      </c>
      <c r="R54" s="41">
        <f>SUM('SZ data'!$Q$50:$Q$69)/SUM('SZ data'!$B$50:$B$69)*1000000000</f>
        <v>38747.451565574818</v>
      </c>
      <c r="S54" s="41">
        <f>SUM('SZ data'!$Q$70:$Q$89)/SUM('SZ data'!$B$70:$B$89)*1000000000</f>
        <v>60383.398132202608</v>
      </c>
      <c r="T54" s="41">
        <f>SUM('SZ data'!$Q$90:$Q$99)/SUM('SZ data'!$B$90:$B$99)*1000000000</f>
        <v>90685.665702914703</v>
      </c>
      <c r="U54" s="41">
        <f>SUM('SZ data'!$Q$100:$Q$104)/SUM('SZ data'!$B$100:$B$104)*1000000000</f>
        <v>129636.59784019082</v>
      </c>
      <c r="V54" s="41">
        <f>SUM('SZ data'!$Q$105:$Q$108)/SUM('SZ data'!$B$105:$B$108)*1000000000</f>
        <v>231479.00766981611</v>
      </c>
      <c r="W54" s="41">
        <f>SUM('SZ data'!$Q$109:$Q$136)/SUM('SZ data'!$B$109:$B$136)*1000000000</f>
        <v>1225680.1036362043</v>
      </c>
    </row>
    <row r="55" spans="1:32">
      <c r="A55" s="140" t="s">
        <v>401</v>
      </c>
      <c r="B55" s="46">
        <v>2010</v>
      </c>
      <c r="C55" s="46"/>
      <c r="D55" s="46"/>
      <c r="E55" s="46"/>
      <c r="F55" s="39">
        <f>(P$53)/(P$54+P$55)*100</f>
        <v>21.852487948050193</v>
      </c>
      <c r="G55" s="39">
        <f t="shared" ref="G55:L55" si="1">(Q$53)/(Q$54+Q$55)*100</f>
        <v>21.297917771373559</v>
      </c>
      <c r="H55" s="39">
        <f t="shared" si="1"/>
        <v>22.396476713559395</v>
      </c>
      <c r="I55" s="39">
        <f t="shared" si="1"/>
        <v>24.526550010393517</v>
      </c>
      <c r="J55" s="39">
        <f t="shared" si="1"/>
        <v>26.565614990737096</v>
      </c>
      <c r="K55" s="39">
        <f t="shared" si="1"/>
        <v>26.864560736362762</v>
      </c>
      <c r="L55" s="39">
        <f t="shared" si="1"/>
        <v>26.91124083661936</v>
      </c>
      <c r="M55" s="39">
        <f>(W$53)/(W$54+W$55)*100</f>
        <v>28.199048929651326</v>
      </c>
      <c r="N55" s="55"/>
      <c r="O55" s="39" t="s">
        <v>393</v>
      </c>
      <c r="P55" s="41">
        <f>SUM('SZ data'!S$10:S$29)/SUM('SZ data'!B$10:B$29)*1000000000</f>
        <v>1359.3367591285451</v>
      </c>
      <c r="Q55" s="41">
        <f>SUM('SZ data'!$S$30:$S$49)/SUM('SZ data'!$B$30:$B$49)*1000000000</f>
        <v>2611.9565365707672</v>
      </c>
      <c r="R55" s="41">
        <f>SUM('SZ data'!$S$50:$S$69)/SUM('SZ data'!$B$50:$B$69)*1000000000</f>
        <v>4011.4465416657208</v>
      </c>
      <c r="S55" s="41">
        <f>SUM('SZ data'!$S$70:$S$89)/SUM('SZ data'!$B$70:$B$89)*1000000000</f>
        <v>6248.0798789076134</v>
      </c>
      <c r="T55" s="41">
        <f>SUM('SZ data'!$S$90:$S$99)/SUM('SZ data'!$B$90:$B$99)*1000000000</f>
        <v>8709.40895656457</v>
      </c>
      <c r="U55" s="41">
        <f>SUM('SZ data'!$S$100:$S$104)/SUM('SZ data'!$B$100:$B$104)*1000000000</f>
        <v>10263.816908532544</v>
      </c>
      <c r="V55" s="41">
        <f>SUM('SZ data'!$S$105:$S$108)/SUM('SZ data'!$B$105:$B$108)*1000000000</f>
        <v>12140.232447402657</v>
      </c>
      <c r="W55" s="41">
        <f>SUM('SZ data'!$S$109:$S$136)/SUM('SZ data'!$B$109:$B$136)*1000000000</f>
        <v>20669.249157542246</v>
      </c>
    </row>
    <row r="56" spans="1:32">
      <c r="A56" s="12" t="s">
        <v>398</v>
      </c>
      <c r="B56" s="46">
        <v>2010</v>
      </c>
      <c r="C56" s="37"/>
      <c r="D56" s="37"/>
      <c r="E56" s="37"/>
      <c r="F56" s="39">
        <f>(P$53)/(P$54+P$55+P$56)*100</f>
        <v>19.325801514522908</v>
      </c>
      <c r="G56" s="39">
        <f t="shared" ref="G56:L56" si="2">(Q$53)/(Q$54+Q$55+Q$56)*100</f>
        <v>18.369988544764745</v>
      </c>
      <c r="H56" s="39">
        <f t="shared" si="2"/>
        <v>20.263880541250927</v>
      </c>
      <c r="I56" s="39">
        <f t="shared" si="2"/>
        <v>23.104851243872364</v>
      </c>
      <c r="J56" s="39">
        <f t="shared" si="2"/>
        <v>25.711956431549904</v>
      </c>
      <c r="K56" s="39">
        <f t="shared" si="2"/>
        <v>26.282183836064522</v>
      </c>
      <c r="L56" s="39">
        <f t="shared" si="2"/>
        <v>26.616256367585212</v>
      </c>
      <c r="M56" s="39">
        <f>(W$53)/(W$54+W$55+W$56)*100</f>
        <v>28.129084467717391</v>
      </c>
      <c r="N56" s="55"/>
      <c r="O56" s="39" t="s">
        <v>392</v>
      </c>
      <c r="P56" s="41">
        <f>Inc!$V81</f>
        <v>1800</v>
      </c>
      <c r="Q56" s="41">
        <f>Inc!$V121</f>
        <v>4200</v>
      </c>
      <c r="R56" s="41">
        <f>Inc!$V161</f>
        <v>4500</v>
      </c>
      <c r="S56" s="41">
        <f>Inc!$V201</f>
        <v>4100</v>
      </c>
      <c r="T56" s="41">
        <f>Inc!$V281</f>
        <v>3300</v>
      </c>
      <c r="U56" s="41">
        <f>Inc!$V321</f>
        <v>3100</v>
      </c>
      <c r="V56" s="41">
        <f>Inc!$V361</f>
        <v>2700</v>
      </c>
      <c r="W56" s="41">
        <f>Inc!$V401</f>
        <v>3100</v>
      </c>
    </row>
    <row r="57" spans="1:32">
      <c r="A57" s="225" t="s">
        <v>399</v>
      </c>
      <c r="B57" s="46">
        <v>2010</v>
      </c>
      <c r="C57" s="226"/>
      <c r="D57" s="226"/>
      <c r="E57" s="226"/>
      <c r="F57" s="39">
        <f>(P$53)/(P$54+P$55+P$56-P$57)*100</f>
        <v>19.378640162136687</v>
      </c>
      <c r="G57" s="39">
        <f t="shared" ref="G57:M57" si="3">(Q$53)/(Q$54+Q$55+Q$56-Q$57)*100</f>
        <v>18.516183730118108</v>
      </c>
      <c r="H57" s="39">
        <f t="shared" si="3"/>
        <v>20.719019127358312</v>
      </c>
      <c r="I57" s="39">
        <f t="shared" si="3"/>
        <v>24.488213614456857</v>
      </c>
      <c r="J57" s="39">
        <f t="shared" si="3"/>
        <v>27.542172349788263</v>
      </c>
      <c r="K57" s="39">
        <f t="shared" si="3"/>
        <v>29.089026719246174</v>
      </c>
      <c r="L57" s="39">
        <f t="shared" si="3"/>
        <v>30.427102776369924</v>
      </c>
      <c r="M57" s="39">
        <f t="shared" si="3"/>
        <v>30.352074029648406</v>
      </c>
      <c r="N57" s="227"/>
      <c r="O57" s="39" t="s">
        <v>384</v>
      </c>
      <c r="P57" s="41">
        <f>P64*P54</f>
        <v>42.447336187508583</v>
      </c>
      <c r="Q57" s="41">
        <f t="shared" ref="Q57:W57" si="4">Q64*Q54</f>
        <v>241.21674361227693</v>
      </c>
      <c r="R57" s="41">
        <f t="shared" si="4"/>
        <v>1038.1450942878198</v>
      </c>
      <c r="S57" s="41">
        <f t="shared" si="4"/>
        <v>3995.688155816697</v>
      </c>
      <c r="T57" s="41">
        <f t="shared" si="4"/>
        <v>6824.2315086631361</v>
      </c>
      <c r="U57" s="41">
        <f t="shared" si="4"/>
        <v>13798.319906107887</v>
      </c>
      <c r="V57" s="41">
        <f t="shared" si="4"/>
        <v>30850.284975021583</v>
      </c>
      <c r="W57" s="41">
        <f t="shared" si="4"/>
        <v>91509.821263246966</v>
      </c>
    </row>
    <row r="58" spans="1:32">
      <c r="A58" s="225" t="s">
        <v>356</v>
      </c>
      <c r="B58" s="46">
        <v>2010</v>
      </c>
      <c r="C58" s="226"/>
      <c r="D58" s="226"/>
      <c r="E58" s="226"/>
      <c r="F58" s="39">
        <f>(P$53)/(P$54+P$55+P$56-P$57-P$58)*100</f>
        <v>19.605460417711384</v>
      </c>
      <c r="G58" s="39">
        <f t="shared" ref="G58:M58" si="5">(Q$53)/(Q$54+Q$55+Q$56-Q$57-Q$58)*100</f>
        <v>19.085777961887025</v>
      </c>
      <c r="H58" s="39">
        <f t="shared" si="5"/>
        <v>21.121135186890228</v>
      </c>
      <c r="I58" s="39">
        <f t="shared" si="5"/>
        <v>24.920212313431271</v>
      </c>
      <c r="J58" s="39">
        <f t="shared" si="5"/>
        <v>28.136892300987448</v>
      </c>
      <c r="K58" s="39">
        <f t="shared" si="5"/>
        <v>29.961499487302103</v>
      </c>
      <c r="L58" s="39">
        <f t="shared" si="5"/>
        <v>32.307091260475786</v>
      </c>
      <c r="M58" s="39">
        <f t="shared" si="5"/>
        <v>34.287257616963885</v>
      </c>
      <c r="N58" s="227"/>
      <c r="O58" s="39" t="s">
        <v>385</v>
      </c>
      <c r="P58" s="41">
        <f t="shared" ref="P58:W58" si="6">P65*P54</f>
        <v>179.61435868414213</v>
      </c>
      <c r="Q58" s="41">
        <f t="shared" si="6"/>
        <v>904.56333641730225</v>
      </c>
      <c r="R58" s="41">
        <f t="shared" si="6"/>
        <v>879.97671080211262</v>
      </c>
      <c r="S58" s="41">
        <f t="shared" si="6"/>
        <v>1156.8831769935684</v>
      </c>
      <c r="T58" s="41">
        <f t="shared" si="6"/>
        <v>2026.3895013763495</v>
      </c>
      <c r="U58" s="41">
        <f t="shared" si="6"/>
        <v>3762.3387098411076</v>
      </c>
      <c r="V58" s="41">
        <f t="shared" si="6"/>
        <v>12538.39756367122</v>
      </c>
      <c r="W58" s="41">
        <f t="shared" si="6"/>
        <v>132897.90307779319</v>
      </c>
    </row>
    <row r="59" spans="1:32">
      <c r="A59" s="140" t="s">
        <v>400</v>
      </c>
      <c r="B59" s="46">
        <v>2010</v>
      </c>
      <c r="C59" s="226"/>
      <c r="D59" s="226"/>
      <c r="E59" s="226"/>
      <c r="F59" s="39">
        <f>(P$53+P$59)/(P$54+P$55+P$56-P$57-P$58)*100</f>
        <v>2.662440047663265</v>
      </c>
      <c r="G59" s="39">
        <f t="shared" ref="G59:M59" si="7">(Q$53+Q$59)/(Q$54+Q$55+Q$56-Q$57-Q$58)*100</f>
        <v>15.344949401611588</v>
      </c>
      <c r="H59" s="39">
        <f t="shared" si="7"/>
        <v>21.121135186890228</v>
      </c>
      <c r="I59" s="39">
        <f t="shared" si="7"/>
        <v>24.920212313431271</v>
      </c>
      <c r="J59" s="39">
        <f t="shared" si="7"/>
        <v>28.136892300987448</v>
      </c>
      <c r="K59" s="39">
        <f t="shared" si="7"/>
        <v>29.961499487302103</v>
      </c>
      <c r="L59" s="39">
        <f t="shared" si="7"/>
        <v>32.307091260475786</v>
      </c>
      <c r="M59" s="39">
        <f t="shared" si="7"/>
        <v>34.287257616963885</v>
      </c>
      <c r="N59" s="227"/>
      <c r="O59" s="46" t="s">
        <v>397</v>
      </c>
      <c r="P59" s="140">
        <f>Tax!$C81</f>
        <v>-2600</v>
      </c>
      <c r="Q59" s="140">
        <f>Tax!$C121</f>
        <v>-1100</v>
      </c>
      <c r="R59" s="41">
        <v>0</v>
      </c>
      <c r="S59" s="41">
        <v>0</v>
      </c>
      <c r="T59" s="41">
        <v>0</v>
      </c>
      <c r="U59" s="41">
        <v>0</v>
      </c>
      <c r="V59" s="41">
        <v>0</v>
      </c>
      <c r="W59" s="41">
        <v>0</v>
      </c>
    </row>
    <row r="60" spans="1:32">
      <c r="A60" s="140" t="s">
        <v>408</v>
      </c>
      <c r="B60" s="226"/>
      <c r="C60" s="226"/>
      <c r="D60" s="226"/>
      <c r="E60" s="226"/>
      <c r="F60" s="227"/>
      <c r="G60" s="227"/>
      <c r="H60" s="227"/>
      <c r="I60" s="227"/>
      <c r="J60" s="227"/>
      <c r="K60" s="227"/>
      <c r="L60" s="227"/>
      <c r="M60" s="227"/>
      <c r="N60" s="227"/>
      <c r="O60" s="39"/>
      <c r="P60" s="106"/>
      <c r="Q60" s="8"/>
    </row>
    <row r="61" spans="1:32">
      <c r="A61" s="225" t="s">
        <v>335</v>
      </c>
      <c r="B61" s="226">
        <v>2010</v>
      </c>
      <c r="C61" s="226"/>
      <c r="D61" s="226"/>
      <c r="E61" s="226"/>
      <c r="F61" s="227">
        <f>'B6-SL'!F36</f>
        <v>11.1</v>
      </c>
      <c r="G61" s="402">
        <f>'B6-SL'!G36</f>
        <v>17.7</v>
      </c>
      <c r="H61" s="402">
        <f>'B6-SL'!H36</f>
        <v>21.9</v>
      </c>
      <c r="I61" s="402">
        <f>'B6-SL'!I36</f>
        <v>25.200000000000003</v>
      </c>
      <c r="J61" s="402">
        <f>'B6-SL'!J36</f>
        <v>28.299999999999997</v>
      </c>
      <c r="K61" s="402">
        <f>'B6-SL'!K36</f>
        <v>30.5</v>
      </c>
      <c r="L61" s="402">
        <f>'B6-SL'!L36</f>
        <v>33</v>
      </c>
      <c r="M61" s="402">
        <f>'B6-SL'!M36</f>
        <v>36.700000000000003</v>
      </c>
      <c r="N61" s="227"/>
      <c r="O61" s="39"/>
      <c r="P61" s="106"/>
    </row>
    <row r="62" spans="1:32">
      <c r="A62" s="225"/>
      <c r="B62" s="226"/>
      <c r="C62" s="226"/>
      <c r="D62" s="226"/>
      <c r="E62" s="226"/>
      <c r="F62" s="227"/>
      <c r="G62" s="227"/>
      <c r="H62" s="227"/>
      <c r="I62" s="227"/>
      <c r="J62" s="227"/>
      <c r="K62" s="227"/>
      <c r="L62" s="227"/>
      <c r="M62" s="227"/>
      <c r="N62" s="227"/>
      <c r="O62" s="39"/>
      <c r="P62" s="59"/>
      <c r="Q62" s="48"/>
    </row>
    <row r="63" spans="1:32">
      <c r="A63" s="9" t="s">
        <v>81</v>
      </c>
      <c r="F63" s="236" t="s">
        <v>82</v>
      </c>
      <c r="G63" s="236" t="s">
        <v>83</v>
      </c>
      <c r="H63" s="236" t="s">
        <v>84</v>
      </c>
      <c r="I63" s="236" t="s">
        <v>85</v>
      </c>
      <c r="J63" s="236" t="s">
        <v>86</v>
      </c>
      <c r="K63" s="236" t="s">
        <v>87</v>
      </c>
      <c r="L63" s="236" t="s">
        <v>88</v>
      </c>
      <c r="M63" s="193" t="s">
        <v>89</v>
      </c>
      <c r="N63" s="151"/>
      <c r="O63" s="147" t="s">
        <v>410</v>
      </c>
    </row>
    <row r="64" spans="1:32">
      <c r="A64" s="62" t="s">
        <v>23</v>
      </c>
      <c r="B64" s="62"/>
      <c r="C64" s="62"/>
      <c r="D64" s="62"/>
      <c r="E64" s="62"/>
      <c r="F64" s="122">
        <v>10</v>
      </c>
      <c r="G64" s="122">
        <v>30</v>
      </c>
      <c r="H64" s="122">
        <v>50</v>
      </c>
      <c r="I64" s="122">
        <v>70</v>
      </c>
      <c r="J64" s="122">
        <v>85</v>
      </c>
      <c r="K64" s="122">
        <v>92.5</v>
      </c>
      <c r="L64" s="122">
        <v>97</v>
      </c>
      <c r="M64" s="123">
        <v>99.5</v>
      </c>
      <c r="N64" s="123"/>
      <c r="O64" s="39" t="s">
        <v>384</v>
      </c>
      <c r="P64" s="127">
        <f>(P69-P70-P71)/P72</f>
        <v>3.4208888496517452E-3</v>
      </c>
      <c r="Q64" s="127">
        <f t="shared" ref="Q64:W64" si="8">(Q69-Q70-Q71)/Q72</f>
        <v>1.0161169116994447E-2</v>
      </c>
      <c r="R64" s="127">
        <f t="shared" si="8"/>
        <v>2.679260318658376E-2</v>
      </c>
      <c r="S64" s="127">
        <f t="shared" si="8"/>
        <v>6.6171965795442489E-2</v>
      </c>
      <c r="T64" s="127">
        <f t="shared" si="8"/>
        <v>7.5251490472807991E-2</v>
      </c>
      <c r="U64" s="127">
        <f t="shared" si="8"/>
        <v>0.10643846055816529</v>
      </c>
      <c r="V64" s="127">
        <f t="shared" si="8"/>
        <v>0.13327465538052904</v>
      </c>
      <c r="W64" s="127">
        <f t="shared" si="8"/>
        <v>7.4660444427356157E-2</v>
      </c>
    </row>
    <row r="65" spans="1:34" s="46" customFormat="1">
      <c r="A65" s="62"/>
      <c r="B65" s="62"/>
      <c r="C65" s="62"/>
      <c r="D65" s="62"/>
      <c r="E65" s="62"/>
      <c r="F65" s="122"/>
      <c r="G65" s="122"/>
      <c r="H65" s="122"/>
      <c r="I65" s="122"/>
      <c r="J65" s="122"/>
      <c r="K65" s="122"/>
      <c r="L65" s="122"/>
      <c r="M65" s="122"/>
      <c r="N65" s="122"/>
      <c r="O65" s="39" t="s">
        <v>385</v>
      </c>
      <c r="P65" s="127">
        <f>P76/P77</f>
        <v>1.4475366702534064E-2</v>
      </c>
      <c r="Q65" s="127">
        <f t="shared" ref="Q65:W65" si="9">Q76/Q77</f>
        <v>3.8104407267610357E-2</v>
      </c>
      <c r="R65" s="127">
        <f t="shared" si="9"/>
        <v>2.2710569992270876E-2</v>
      </c>
      <c r="S65" s="127">
        <f t="shared" si="9"/>
        <v>1.9158961118099112E-2</v>
      </c>
      <c r="T65" s="127">
        <f t="shared" si="9"/>
        <v>2.2345201809674975E-2</v>
      </c>
      <c r="U65" s="127">
        <f t="shared" si="9"/>
        <v>2.9022195680259374E-2</v>
      </c>
      <c r="V65" s="127">
        <f t="shared" si="9"/>
        <v>5.4166456344741688E-2</v>
      </c>
      <c r="W65" s="127">
        <f t="shared" si="9"/>
        <v>0.10842788643099227</v>
      </c>
    </row>
    <row r="66" spans="1:34" s="46" customFormat="1">
      <c r="A66" s="62"/>
      <c r="B66" s="62"/>
      <c r="C66" s="62"/>
      <c r="D66" s="62"/>
      <c r="E66" s="62"/>
      <c r="F66" s="417"/>
      <c r="G66" s="417"/>
      <c r="H66" s="417"/>
      <c r="I66" s="417"/>
      <c r="J66" s="417"/>
      <c r="K66" s="417"/>
      <c r="L66" s="417"/>
      <c r="M66" s="417"/>
      <c r="N66" s="417"/>
      <c r="O66" s="403"/>
      <c r="P66" s="127"/>
      <c r="Q66" s="127"/>
      <c r="R66" s="127"/>
      <c r="S66" s="127"/>
      <c r="T66" s="127"/>
      <c r="U66" s="127"/>
      <c r="V66" s="127"/>
      <c r="W66" s="127"/>
    </row>
    <row r="67" spans="1:34">
      <c r="A67" s="437"/>
      <c r="B67" s="46"/>
      <c r="C67" s="46"/>
      <c r="D67" s="46"/>
      <c r="F67" s="403"/>
      <c r="G67" s="403"/>
      <c r="H67" s="403"/>
      <c r="I67" s="403"/>
      <c r="J67" s="403"/>
      <c r="K67" s="403"/>
      <c r="L67" s="403"/>
      <c r="M67" s="401"/>
      <c r="O67" s="147" t="s">
        <v>512</v>
      </c>
    </row>
    <row r="68" spans="1:34">
      <c r="A68" s="225"/>
      <c r="B68" s="226"/>
      <c r="C68" s="226"/>
      <c r="D68" s="226"/>
      <c r="E68" s="226"/>
      <c r="F68" s="403"/>
      <c r="G68" s="403"/>
      <c r="H68" s="403"/>
      <c r="I68" s="403"/>
      <c r="J68" s="403"/>
      <c r="K68" s="403"/>
      <c r="L68" s="403"/>
      <c r="M68" s="403"/>
      <c r="P68" s="140">
        <v>0.02</v>
      </c>
      <c r="Q68" s="140">
        <v>0.1</v>
      </c>
      <c r="R68" s="127">
        <v>0.2</v>
      </c>
      <c r="S68" s="127">
        <v>0.38</v>
      </c>
      <c r="T68" s="127">
        <f>1-SUM(P68:S68)</f>
        <v>0.30000000000000004</v>
      </c>
      <c r="Z68" s="140" t="s">
        <v>422</v>
      </c>
    </row>
    <row r="69" spans="1:34">
      <c r="M69" s="46"/>
      <c r="O69" s="398" t="s">
        <v>415</v>
      </c>
      <c r="P69" s="41">
        <f>P68*$AH69</f>
        <v>20.400000000000002</v>
      </c>
      <c r="Q69" s="41">
        <f>Q68*$AH69</f>
        <v>102</v>
      </c>
      <c r="R69" s="41">
        <f>R68*$AH69</f>
        <v>204</v>
      </c>
      <c r="S69" s="41">
        <f>S68*$AH69</f>
        <v>387.6</v>
      </c>
      <c r="T69" s="41">
        <f>T68*$AH69</f>
        <v>306.00000000000006</v>
      </c>
      <c r="U69" s="41">
        <v>257.71029371682562</v>
      </c>
      <c r="V69" s="41">
        <v>385.95003232225508</v>
      </c>
      <c r="W69" s="41">
        <v>227.20095822575257</v>
      </c>
      <c r="Y69" s="41">
        <f>SUM(P69:W69)</f>
        <v>1890.8612842648333</v>
      </c>
      <c r="Z69" s="140" t="s">
        <v>411</v>
      </c>
      <c r="AF69" s="140" t="s">
        <v>412</v>
      </c>
      <c r="AH69" s="140">
        <v>1020</v>
      </c>
    </row>
    <row r="70" spans="1:34" s="423" customFormat="1">
      <c r="M70" s="46"/>
      <c r="O70" s="423" t="s">
        <v>413</v>
      </c>
      <c r="P70" s="41">
        <f>P73*Dem!$B$81/1000</f>
        <v>2.23</v>
      </c>
      <c r="Q70" s="41">
        <f>Q73*Dem!$B$121/1000</f>
        <v>4.9800000000000004</v>
      </c>
      <c r="R70" s="41">
        <f>R73*Dem!$B$161/1000</f>
        <v>17.010000000000002</v>
      </c>
      <c r="S70" s="41">
        <f>S73*Dem!$B$201/1000</f>
        <v>45.41</v>
      </c>
      <c r="T70" s="41">
        <f>T73*Dem!$B$281/1000</f>
        <v>50.4</v>
      </c>
      <c r="U70" s="41">
        <f>U73*Dem!$B$321/1000</f>
        <v>44.53</v>
      </c>
      <c r="V70" s="41">
        <f>V73*Dem!$B$361/1000</f>
        <v>54.24</v>
      </c>
      <c r="W70" s="41">
        <f>W73*Dem!$B$401/1000</f>
        <v>13.8</v>
      </c>
      <c r="Y70" s="41"/>
    </row>
    <row r="71" spans="1:34" s="423" customFormat="1">
      <c r="M71" s="46"/>
      <c r="O71" s="423" t="s">
        <v>420</v>
      </c>
      <c r="P71" s="41">
        <v>16.493626503000002</v>
      </c>
      <c r="Q71" s="41">
        <v>87.493772356999997</v>
      </c>
      <c r="R71" s="41">
        <v>145.990798442</v>
      </c>
      <c r="S71" s="41">
        <v>184.38512707300001</v>
      </c>
      <c r="T71" s="41">
        <v>120.84574926499999</v>
      </c>
      <c r="U71" s="41">
        <v>76.946900998000004</v>
      </c>
      <c r="V71" s="41">
        <v>88.023137700000007</v>
      </c>
      <c r="W71" s="41">
        <v>32.679218820999999</v>
      </c>
      <c r="Y71" s="41">
        <f>SUM(P71:W71)</f>
        <v>752.85833115900004</v>
      </c>
      <c r="Z71" s="398" t="s">
        <v>423</v>
      </c>
    </row>
    <row r="72" spans="1:34" s="398" customFormat="1">
      <c r="M72" s="46"/>
      <c r="O72" s="398" t="s">
        <v>416</v>
      </c>
      <c r="P72" s="41">
        <f>SUM('SZ data'!Q$10:Q$29)</f>
        <v>490.04032889599995</v>
      </c>
      <c r="Q72" s="41">
        <f>SUM('SZ data'!$Q$30:$Q$49)</f>
        <v>937.51295085400011</v>
      </c>
      <c r="R72" s="41">
        <f>SUM('SZ data'!$Q$50:$Q$69)</f>
        <v>1530.243301574</v>
      </c>
      <c r="S72" s="41">
        <f>SUM('SZ data'!$Q$70:$Q$89)</f>
        <v>2384.7693057030001</v>
      </c>
      <c r="T72" s="41">
        <f>SUM('SZ data'!$Q$90:$Q$99)</f>
        <v>1790.7186939200001</v>
      </c>
      <c r="U72" s="41">
        <f>SUM('SZ data'!$Q$100:$Q$104)</f>
        <v>1279.9263725200001</v>
      </c>
      <c r="V72" s="41">
        <f>SUM('SZ data'!$Q$105:$Q$108)</f>
        <v>1828.4563852480001</v>
      </c>
      <c r="W72" s="41">
        <f>SUM('SZ data'!$Q$109:$Q$136)</f>
        <v>2420.58215419</v>
      </c>
    </row>
    <row r="73" spans="1:34">
      <c r="M73" s="46"/>
      <c r="N73" s="423"/>
      <c r="O73" s="422" t="s">
        <v>421</v>
      </c>
      <c r="P73" s="140">
        <f>Inc!$F81</f>
        <v>100</v>
      </c>
      <c r="Q73" s="398">
        <f>Inc!$F121</f>
        <v>200</v>
      </c>
      <c r="R73" s="398">
        <f>Inc!$F161</f>
        <v>700</v>
      </c>
      <c r="S73" s="398">
        <f>Inc!$F201</f>
        <v>1900</v>
      </c>
      <c r="T73" s="398">
        <f>Inc!$F281</f>
        <v>4200</v>
      </c>
      <c r="U73" s="398">
        <f>Inc!$F321</f>
        <v>7300</v>
      </c>
      <c r="V73" s="398">
        <f>Inc!$F361</f>
        <v>11300</v>
      </c>
      <c r="W73" s="398">
        <f>Inc!$F401</f>
        <v>11500</v>
      </c>
      <c r="Z73" s="140" t="s">
        <v>414</v>
      </c>
    </row>
    <row r="74" spans="1:34">
      <c r="M74" s="46"/>
      <c r="O74" s="140"/>
    </row>
    <row r="75" spans="1:34">
      <c r="M75" s="46"/>
      <c r="O75" s="422" t="s">
        <v>417</v>
      </c>
      <c r="P75" s="41">
        <v>11.822522433</v>
      </c>
      <c r="Q75" s="41">
        <v>59.538958829999999</v>
      </c>
      <c r="R75" s="41">
        <v>57.921162676000002</v>
      </c>
      <c r="S75" s="41">
        <v>76.149504006000001</v>
      </c>
      <c r="T75" s="41">
        <v>66.689950999999994</v>
      </c>
      <c r="U75" s="41">
        <v>61.910456066000002</v>
      </c>
      <c r="V75" s="41">
        <v>165.068338283</v>
      </c>
      <c r="W75" s="41">
        <v>437.43101151899998</v>
      </c>
      <c r="Y75" s="41">
        <f>SUM(P75:W75)</f>
        <v>936.53190481299998</v>
      </c>
      <c r="Z75" s="398" t="s">
        <v>511</v>
      </c>
    </row>
    <row r="76" spans="1:34">
      <c r="M76" s="46"/>
      <c r="O76" s="46" t="s">
        <v>418</v>
      </c>
      <c r="P76" s="41">
        <f>$Y76*P75/$Y75</f>
        <v>7.0935134597999987</v>
      </c>
      <c r="Q76" s="41">
        <f t="shared" ref="Q76:W76" si="10">$Y76*Q75/$Y75</f>
        <v>35.723375297999993</v>
      </c>
      <c r="R76" s="41">
        <f t="shared" si="10"/>
        <v>34.752697605599998</v>
      </c>
      <c r="S76" s="41">
        <f t="shared" si="10"/>
        <v>45.689702403599995</v>
      </c>
      <c r="T76" s="41">
        <f t="shared" si="10"/>
        <v>40.013970599999993</v>
      </c>
      <c r="U76" s="41">
        <f t="shared" si="10"/>
        <v>37.146273639599997</v>
      </c>
      <c r="V76" s="41">
        <f t="shared" si="10"/>
        <v>99.04100296979999</v>
      </c>
      <c r="W76" s="41">
        <f t="shared" si="10"/>
        <v>262.45860691139995</v>
      </c>
      <c r="Y76" s="41">
        <f>Y75*0.6</f>
        <v>561.91914288779992</v>
      </c>
      <c r="Z76" s="140" t="s">
        <v>419</v>
      </c>
    </row>
    <row r="77" spans="1:34">
      <c r="M77" s="46"/>
      <c r="O77" s="398" t="s">
        <v>416</v>
      </c>
      <c r="P77" s="41">
        <f>SUM('SZ data'!Q$10:Q$29)</f>
        <v>490.04032889599995</v>
      </c>
      <c r="Q77" s="41">
        <f>SUM('SZ data'!$Q$30:$Q$49)</f>
        <v>937.51295085400011</v>
      </c>
      <c r="R77" s="41">
        <f>SUM('SZ data'!$Q$50:$Q$69)</f>
        <v>1530.243301574</v>
      </c>
      <c r="S77" s="41">
        <f>SUM('SZ data'!$Q$70:$Q$89)</f>
        <v>2384.7693057030001</v>
      </c>
      <c r="T77" s="41">
        <f>SUM('SZ data'!$Q$90:$Q$99)</f>
        <v>1790.7186939200001</v>
      </c>
      <c r="U77" s="41">
        <f>SUM('SZ data'!$Q$100:$Q$104)</f>
        <v>1279.9263725200001</v>
      </c>
      <c r="V77" s="41">
        <f>SUM('SZ data'!$Q$105:$Q$108)</f>
        <v>1828.4563852480001</v>
      </c>
      <c r="W77" s="41">
        <f>SUM('SZ data'!$Q$109:$Q$136)</f>
        <v>2420.58215419</v>
      </c>
    </row>
    <row r="78" spans="1:34">
      <c r="M78" s="46"/>
      <c r="P78" s="127"/>
      <c r="Q78" s="127"/>
      <c r="R78" s="127"/>
      <c r="S78" s="127"/>
      <c r="T78" s="127"/>
      <c r="U78" s="127"/>
      <c r="V78" s="127"/>
      <c r="W78" s="127"/>
    </row>
    <row r="79" spans="1:34">
      <c r="N79" s="429"/>
      <c r="O79" s="429"/>
      <c r="P79" s="429"/>
    </row>
    <row r="80" spans="1:34">
      <c r="P80" s="423"/>
      <c r="Q80" s="423"/>
      <c r="R80" s="423"/>
      <c r="S80" s="423"/>
      <c r="T80" s="423"/>
      <c r="U80" s="423"/>
      <c r="V80" s="423"/>
      <c r="W80" s="423"/>
    </row>
    <row r="81" spans="16:25">
      <c r="P81" s="127"/>
      <c r="Q81" s="127"/>
      <c r="R81" s="127"/>
      <c r="S81" s="127"/>
      <c r="T81" s="127"/>
      <c r="U81" s="127"/>
      <c r="V81" s="127"/>
      <c r="W81" s="127"/>
      <c r="Y81" s="41"/>
    </row>
    <row r="83" spans="16:25">
      <c r="P83" s="423"/>
      <c r="Q83" s="423"/>
      <c r="R83" s="423"/>
      <c r="S83" s="423"/>
      <c r="T83" s="423"/>
      <c r="U83" s="423"/>
      <c r="V83" s="423"/>
      <c r="W83" s="423"/>
    </row>
    <row r="84" spans="16:25">
      <c r="P84" s="127"/>
      <c r="Q84" s="127"/>
      <c r="R84" s="127"/>
      <c r="S84" s="127"/>
      <c r="T84" s="127"/>
      <c r="U84" s="127"/>
      <c r="V84" s="127"/>
      <c r="W84" s="127"/>
    </row>
  </sheetData>
  <mergeCells count="4">
    <mergeCell ref="P51:W51"/>
    <mergeCell ref="C51:C52"/>
    <mergeCell ref="D51:D52"/>
    <mergeCell ref="E51:E52"/>
  </mergeCells>
  <hyperlinks>
    <hyperlink ref="F1" location="Index!A1" display="index" xr:uid="{E9FD7779-7CD8-4690-AF94-E4F2ADFA3B72}"/>
  </hyperlinks>
  <pageMargins left="0.7" right="0.7" top="0.75" bottom="0.75" header="0.3" footer="0.3"/>
  <pageSetup orientation="portrait" horizontalDpi="1200" verticalDpi="12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9C639A-2FFE-4D0B-8757-635B7C923128}">
  <sheetPr>
    <tabColor theme="9" tint="0.79998168889431442"/>
  </sheetPr>
  <dimension ref="A1:T19"/>
  <sheetViews>
    <sheetView workbookViewId="0">
      <selection activeCell="M10" sqref="M10"/>
    </sheetView>
  </sheetViews>
  <sheetFormatPr defaultRowHeight="15"/>
  <cols>
    <col min="1" max="1" width="8.42578125" style="131" customWidth="1"/>
    <col min="2" max="2" width="6.5703125" style="131" customWidth="1"/>
    <col min="3" max="3" width="1.7109375" style="131" customWidth="1"/>
    <col min="4" max="4" width="7.85546875" customWidth="1"/>
    <col min="5" max="5" width="7.85546875" style="131" customWidth="1"/>
    <col min="6" max="6" width="1" style="131" customWidth="1"/>
    <col min="7" max="7" width="15.5703125" style="556" customWidth="1"/>
    <col min="8" max="8" width="9.7109375" customWidth="1"/>
    <col min="9" max="9" width="1.28515625" customWidth="1"/>
    <col min="10" max="10" width="8.140625" customWidth="1"/>
    <col min="11" max="11" width="8.85546875" style="131" customWidth="1"/>
    <col min="12" max="12" width="1.140625" style="131" customWidth="1"/>
    <col min="13" max="13" width="7.7109375" style="556" customWidth="1"/>
    <col min="14" max="14" width="11.28515625" customWidth="1"/>
  </cols>
  <sheetData>
    <row r="1" spans="1:20">
      <c r="A1" s="9" t="s">
        <v>648</v>
      </c>
      <c r="T1" s="641" t="s">
        <v>762</v>
      </c>
    </row>
    <row r="2" spans="1:20">
      <c r="A2" s="191"/>
      <c r="B2" s="191"/>
    </row>
    <row r="3" spans="1:20" ht="14.25" customHeight="1">
      <c r="A3" s="750" t="s">
        <v>126</v>
      </c>
      <c r="B3" s="750"/>
      <c r="C3" s="272"/>
      <c r="D3" s="751" t="s">
        <v>280</v>
      </c>
      <c r="E3" s="751"/>
      <c r="F3" s="272"/>
      <c r="G3" s="751" t="s">
        <v>604</v>
      </c>
      <c r="H3" s="751"/>
      <c r="I3" s="272"/>
      <c r="J3" s="752" t="s">
        <v>310</v>
      </c>
      <c r="K3" s="752"/>
      <c r="L3" s="272"/>
      <c r="M3" s="751" t="s">
        <v>604</v>
      </c>
      <c r="N3" s="751"/>
    </row>
    <row r="4" spans="1:20" ht="29.25" customHeight="1">
      <c r="A4" s="233" t="s">
        <v>275</v>
      </c>
      <c r="B4" s="233" t="s">
        <v>276</v>
      </c>
      <c r="C4" s="224"/>
      <c r="D4" s="233" t="s">
        <v>258</v>
      </c>
      <c r="E4" s="233" t="s">
        <v>257</v>
      </c>
      <c r="F4" s="233"/>
      <c r="G4" s="466" t="s">
        <v>605</v>
      </c>
      <c r="H4" s="466" t="s">
        <v>598</v>
      </c>
      <c r="I4" s="224"/>
      <c r="J4" s="233" t="s">
        <v>258</v>
      </c>
      <c r="K4" s="233" t="s">
        <v>257</v>
      </c>
      <c r="L4" s="224"/>
      <c r="M4" s="554" t="s">
        <v>606</v>
      </c>
      <c r="N4" s="550" t="s">
        <v>607</v>
      </c>
    </row>
    <row r="5" spans="1:20" s="131" customFormat="1" ht="5.25" customHeight="1">
      <c r="A5" s="262"/>
      <c r="B5" s="262"/>
      <c r="C5" s="262"/>
      <c r="D5" s="173"/>
      <c r="E5" s="173"/>
      <c r="F5" s="173"/>
      <c r="G5" s="427"/>
      <c r="H5" s="173"/>
      <c r="I5" s="4"/>
      <c r="J5" s="173"/>
      <c r="K5" s="173"/>
      <c r="L5" s="173"/>
      <c r="M5" s="427"/>
      <c r="N5" s="173"/>
    </row>
    <row r="6" spans="1:20" s="465" customFormat="1" ht="13.5" customHeight="1">
      <c r="A6" s="262" t="s">
        <v>503</v>
      </c>
      <c r="B6" s="262"/>
      <c r="C6" s="262"/>
      <c r="D6" s="427"/>
      <c r="E6" s="427"/>
      <c r="F6" s="427"/>
      <c r="G6" s="427"/>
      <c r="H6" s="427"/>
      <c r="I6" s="4"/>
      <c r="J6" s="427"/>
      <c r="K6" s="427"/>
      <c r="L6" s="427"/>
      <c r="M6" s="427"/>
      <c r="N6" s="427"/>
    </row>
    <row r="7" spans="1:20" s="131" customFormat="1" ht="16.5" customHeight="1">
      <c r="A7" s="263">
        <v>21.2</v>
      </c>
      <c r="B7" s="267" t="s">
        <v>277</v>
      </c>
      <c r="C7" s="245"/>
      <c r="D7" s="261">
        <f>'3-Kak'!B52</f>
        <v>0.21686575108417627</v>
      </c>
      <c r="E7" s="261">
        <f>'B1-Elast'!$B$69</f>
        <v>0.93515832898767015</v>
      </c>
      <c r="F7" s="261"/>
      <c r="G7" s="261">
        <f>'C3-EDI'!B6</f>
        <v>0.1010144985079674</v>
      </c>
      <c r="H7" s="261">
        <f>'C2-NetEl'!$B$6</f>
        <v>0.10101449850796698</v>
      </c>
      <c r="I7" s="4"/>
      <c r="J7" s="267" t="s">
        <v>277</v>
      </c>
      <c r="K7" s="267" t="s">
        <v>277</v>
      </c>
      <c r="L7" s="267"/>
      <c r="M7" s="267" t="s">
        <v>277</v>
      </c>
      <c r="N7" s="267" t="s">
        <v>277</v>
      </c>
    </row>
    <row r="8" spans="1:20" s="131" customFormat="1" ht="9.75" customHeight="1">
      <c r="A8" s="263"/>
      <c r="B8" s="267"/>
      <c r="C8" s="262"/>
      <c r="D8" s="141"/>
      <c r="E8" s="141"/>
      <c r="F8" s="141"/>
      <c r="G8" s="141"/>
      <c r="H8" s="141"/>
      <c r="I8" s="4"/>
      <c r="J8" s="267"/>
      <c r="K8" s="267"/>
      <c r="L8" s="267"/>
      <c r="M8" s="267"/>
      <c r="N8" s="267"/>
    </row>
    <row r="9" spans="1:20">
      <c r="A9" s="262" t="s">
        <v>627</v>
      </c>
      <c r="B9" s="264"/>
      <c r="C9" s="262"/>
      <c r="D9" s="266"/>
      <c r="E9" s="266"/>
      <c r="F9" s="266"/>
      <c r="G9" s="266"/>
      <c r="H9" s="266"/>
      <c r="I9" s="12"/>
      <c r="J9" s="12"/>
      <c r="K9" s="12"/>
      <c r="L9" s="12"/>
      <c r="M9" s="12"/>
      <c r="N9" s="12"/>
    </row>
    <row r="10" spans="1:20" ht="18" customHeight="1">
      <c r="A10" s="551">
        <v>21.2</v>
      </c>
      <c r="B10" s="551">
        <f>A10*1.1</f>
        <v>23.32</v>
      </c>
      <c r="C10" s="549"/>
      <c r="D10" s="261">
        <f>'3-Kak'!B55</f>
        <v>0.21686575108417627</v>
      </c>
      <c r="E10" s="261">
        <f>'B1-Elast'!B139</f>
        <v>0.93515832898767015</v>
      </c>
      <c r="F10" s="261"/>
      <c r="G10" s="261">
        <f>'C3-EDI'!B18</f>
        <v>0.11309357697186739</v>
      </c>
      <c r="H10" s="261">
        <f>'C2-NetEl'!B18</f>
        <v>0.11309357697186755</v>
      </c>
      <c r="I10" s="548"/>
      <c r="J10" s="582">
        <f>(D10-D$7)/D$7*100</f>
        <v>0</v>
      </c>
      <c r="K10" s="582">
        <f>(E10-E$7)/E$7*100</f>
        <v>0</v>
      </c>
      <c r="L10" s="552"/>
      <c r="M10" s="580">
        <f>(G10-G$7)/G$7*100</f>
        <v>11.957767095133647</v>
      </c>
      <c r="N10" s="580">
        <f>(H10-H$7)/H$7*100</f>
        <v>11.95776709513426</v>
      </c>
    </row>
    <row r="11" spans="1:20" ht="9.75" customHeight="1">
      <c r="A11" s="265"/>
      <c r="B11" s="265"/>
      <c r="D11" s="113"/>
      <c r="E11" s="113"/>
      <c r="F11" s="113"/>
      <c r="G11" s="113"/>
      <c r="H11" s="113"/>
      <c r="L11" s="12"/>
      <c r="M11" s="12"/>
      <c r="N11" s="12"/>
    </row>
    <row r="12" spans="1:20">
      <c r="A12" s="262" t="s">
        <v>628</v>
      </c>
      <c r="B12" s="264"/>
      <c r="C12" s="262"/>
      <c r="D12" s="266"/>
      <c r="E12" s="266"/>
      <c r="F12" s="266"/>
      <c r="G12" s="266"/>
      <c r="H12" s="266"/>
      <c r="I12" s="12"/>
      <c r="J12" s="12"/>
      <c r="K12" s="12"/>
      <c r="L12" s="12"/>
      <c r="M12" s="12"/>
      <c r="N12" s="12"/>
    </row>
    <row r="13" spans="1:20" ht="16.5" customHeight="1">
      <c r="A13" s="551">
        <v>21.2</v>
      </c>
      <c r="B13" s="551">
        <f>A13*0.9</f>
        <v>19.079999999999998</v>
      </c>
      <c r="C13" s="549"/>
      <c r="D13" s="260">
        <f>'3-Kak'!B59</f>
        <v>0.21686575108417627</v>
      </c>
      <c r="E13" s="260">
        <f>'B1-Elast'!B148</f>
        <v>0.93515832898766926</v>
      </c>
      <c r="F13" s="260"/>
      <c r="G13" s="260">
        <f>'C3-EDI'!B27</f>
        <v>8.9368320107538035E-2</v>
      </c>
      <c r="H13" s="260">
        <f>'C2-NetEl'!B27</f>
        <v>8.9368320107536842E-2</v>
      </c>
      <c r="I13" s="548"/>
      <c r="J13" s="583">
        <f>(D13-D$7)/D$7*100</f>
        <v>0</v>
      </c>
      <c r="K13" s="583">
        <f>(E13-E$7)/E$7*100</f>
        <v>-9.4976261470247319E-14</v>
      </c>
      <c r="L13" s="230"/>
      <c r="M13" s="581">
        <f>(G13-G$7)/G$7*100</f>
        <v>-11.529214689424791</v>
      </c>
      <c r="N13" s="581">
        <f>(H13-H$7)/H$7*100</f>
        <v>-11.529214689425608</v>
      </c>
    </row>
    <row r="14" spans="1:20" ht="9.75" customHeight="1">
      <c r="L14" s="12"/>
      <c r="M14" s="12"/>
    </row>
    <row r="15" spans="1:20">
      <c r="A15" s="584" t="s">
        <v>629</v>
      </c>
      <c r="B15" s="585"/>
      <c r="C15" s="584"/>
      <c r="D15" s="586"/>
      <c r="E15" s="586"/>
      <c r="F15" s="586"/>
      <c r="G15" s="586"/>
      <c r="H15" s="586"/>
      <c r="I15" s="587"/>
      <c r="J15" s="587"/>
      <c r="K15" s="587"/>
      <c r="L15" s="587"/>
      <c r="M15" s="587"/>
      <c r="N15" s="587"/>
    </row>
    <row r="16" spans="1:20">
      <c r="A16" s="588">
        <v>21.2</v>
      </c>
      <c r="B16" s="588">
        <f>A16/0.9</f>
        <v>23.555555555555554</v>
      </c>
      <c r="C16" s="589"/>
      <c r="D16" s="590">
        <f>'3-Kak'!B63</f>
        <v>0.21686575108417627</v>
      </c>
      <c r="E16" s="590">
        <f>'B1-Elast'!B157</f>
        <v>0.93515832898766926</v>
      </c>
      <c r="F16" s="590"/>
      <c r="G16" s="590">
        <f>'C3-EDI'!B36</f>
        <v>0.10101449850796673</v>
      </c>
      <c r="H16" s="590">
        <f>'C2-NetEl'!B36</f>
        <v>0.10101449850796704</v>
      </c>
      <c r="I16" s="591"/>
      <c r="J16" s="592">
        <f>(D16-D$7)/D$7*100</f>
        <v>0</v>
      </c>
      <c r="K16" s="592">
        <f>(E16-E$7)/E$7*100</f>
        <v>-9.4976261470247319E-14</v>
      </c>
      <c r="L16" s="592"/>
      <c r="M16" s="593">
        <f>(G16-G$7)/G$7*100</f>
        <v>-6.5944376759198917E-13</v>
      </c>
      <c r="N16" s="593">
        <f>(H16-H$7)/H$7*100</f>
        <v>5.495364729933266E-14</v>
      </c>
    </row>
    <row r="17" spans="1:14">
      <c r="A17" s="594"/>
      <c r="B17" s="594"/>
      <c r="C17" s="587"/>
      <c r="D17" s="586"/>
      <c r="E17" s="586"/>
      <c r="F17" s="586"/>
      <c r="G17" s="586"/>
      <c r="H17" s="586"/>
      <c r="I17" s="587"/>
      <c r="J17" s="587"/>
      <c r="K17" s="587"/>
      <c r="L17" s="587"/>
      <c r="M17" s="587"/>
      <c r="N17" s="587"/>
    </row>
    <row r="18" spans="1:14">
      <c r="A18" s="584" t="s">
        <v>632</v>
      </c>
      <c r="B18" s="585"/>
      <c r="C18" s="584"/>
      <c r="D18" s="586"/>
      <c r="E18" s="586"/>
      <c r="F18" s="586"/>
      <c r="G18" s="586"/>
      <c r="H18" s="586"/>
      <c r="I18" s="587"/>
      <c r="J18" s="587"/>
      <c r="K18" s="587"/>
      <c r="L18" s="587"/>
      <c r="M18" s="587"/>
      <c r="N18" s="587"/>
    </row>
    <row r="19" spans="1:14">
      <c r="A19" s="595">
        <v>21.2</v>
      </c>
      <c r="B19" s="595">
        <f>A19/1.1</f>
        <v>19.27272727272727</v>
      </c>
      <c r="C19" s="596"/>
      <c r="D19" s="597">
        <f>'3-Kak'!B67</f>
        <v>0.21686575108417627</v>
      </c>
      <c r="E19" s="597">
        <f>'B1-Elast'!B166</f>
        <v>0.93515832898767082</v>
      </c>
      <c r="F19" s="597"/>
      <c r="G19" s="597">
        <f>'C3-EDI'!B45</f>
        <v>0.1010144985079674</v>
      </c>
      <c r="H19" s="597">
        <f>'C2-NetEl'!B45</f>
        <v>0.10101449850796711</v>
      </c>
      <c r="I19" s="598"/>
      <c r="J19" s="599">
        <f>(D19-D$7)/D$7*100</f>
        <v>0</v>
      </c>
      <c r="K19" s="599">
        <f>(E19-E$7)/E$7*100</f>
        <v>7.123219610268548E-14</v>
      </c>
      <c r="L19" s="599"/>
      <c r="M19" s="600">
        <f>(G19-G$7)/G$7*100</f>
        <v>0</v>
      </c>
      <c r="N19" s="600">
        <f>(H19-H$7)/H$7*100</f>
        <v>1.2364570642349849E-13</v>
      </c>
    </row>
  </sheetData>
  <mergeCells count="5">
    <mergeCell ref="A3:B3"/>
    <mergeCell ref="D3:E3"/>
    <mergeCell ref="J3:K3"/>
    <mergeCell ref="G3:H3"/>
    <mergeCell ref="M3:N3"/>
  </mergeCells>
  <phoneticPr fontId="46" type="noConversion"/>
  <hyperlinks>
    <hyperlink ref="T1" location="Index!A1" display="index" xr:uid="{2B68DC89-C1CA-44AE-B857-DD4459490DDB}"/>
  </hyperlinks>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A2E70-34FC-46D3-8A88-2AD1373CC694}">
  <sheetPr>
    <tabColor theme="9" tint="0.79998168889431442"/>
  </sheetPr>
  <dimension ref="A1:BI73"/>
  <sheetViews>
    <sheetView zoomScale="85" zoomScaleNormal="85" workbookViewId="0">
      <selection activeCell="R31" sqref="R31"/>
    </sheetView>
  </sheetViews>
  <sheetFormatPr defaultRowHeight="15"/>
  <cols>
    <col min="1" max="1" width="9.140625" style="140"/>
    <col min="2" max="9" width="7.140625" style="140" customWidth="1"/>
    <col min="10" max="10" width="2.28515625" style="140" customWidth="1"/>
    <col min="11" max="12" width="6.28515625" style="140" customWidth="1"/>
    <col min="13" max="14" width="7" style="140" customWidth="1"/>
    <col min="15" max="15" width="7.7109375" style="140" customWidth="1"/>
    <col min="16" max="18" width="7.85546875" style="140" customWidth="1"/>
    <col min="19" max="19" width="2.28515625" style="140" customWidth="1"/>
    <col min="20" max="27" width="7" style="140" customWidth="1"/>
    <col min="28" max="28" width="1.42578125" style="140" customWidth="1"/>
    <col min="29" max="32" width="7.140625" style="140" customWidth="1"/>
    <col min="33" max="33" width="8" style="140" customWidth="1"/>
    <col min="34" max="35" width="8.28515625" style="140" customWidth="1"/>
    <col min="36" max="36" width="9.140625" style="140" customWidth="1"/>
    <col min="37" max="37" width="3" style="140" customWidth="1"/>
    <col min="38" max="42" width="7.28515625" style="140" customWidth="1"/>
    <col min="43" max="43" width="8.5703125" style="140" customWidth="1"/>
    <col min="44" max="44" width="8.7109375" style="140" customWidth="1"/>
    <col min="45" max="45" width="9.28515625" style="140" customWidth="1"/>
    <col min="46" max="46" width="1.5703125" style="140" customWidth="1"/>
    <col min="47" max="53" width="7.85546875" style="140" customWidth="1"/>
    <col min="54" max="54" width="9.28515625" style="140" customWidth="1"/>
    <col min="55" max="55" width="2.7109375" style="140" customWidth="1"/>
    <col min="56" max="56" width="9.140625" style="140"/>
    <col min="57" max="57" width="15.85546875" style="140" customWidth="1"/>
    <col min="58" max="58" width="20.140625" style="140" customWidth="1"/>
    <col min="59" max="16384" width="9.140625" style="140"/>
  </cols>
  <sheetData>
    <row r="1" spans="1:15">
      <c r="A1" s="9" t="s">
        <v>461</v>
      </c>
      <c r="O1" s="641" t="s">
        <v>762</v>
      </c>
    </row>
    <row r="25" spans="1:61">
      <c r="L25" s="437"/>
    </row>
    <row r="28" spans="1:61">
      <c r="A28" s="191"/>
      <c r="B28" s="191"/>
      <c r="C28" s="191"/>
      <c r="D28" s="191"/>
      <c r="E28" s="191"/>
      <c r="F28" s="191"/>
      <c r="G28" s="191"/>
      <c r="H28" s="191"/>
      <c r="I28" s="191"/>
      <c r="J28" s="191"/>
      <c r="K28" s="191"/>
      <c r="L28" s="191"/>
      <c r="M28" s="191"/>
      <c r="N28" s="191"/>
      <c r="O28" s="191"/>
      <c r="P28" s="191"/>
      <c r="Q28" s="191"/>
      <c r="R28" s="191"/>
      <c r="S28" s="191"/>
      <c r="T28" s="191"/>
      <c r="U28" s="191"/>
      <c r="V28" s="191"/>
      <c r="W28" s="191"/>
      <c r="X28" s="191"/>
      <c r="Y28" s="191"/>
      <c r="Z28" s="191"/>
      <c r="AA28" s="191"/>
      <c r="AB28" s="191"/>
      <c r="AC28" s="191"/>
      <c r="AD28" s="191"/>
      <c r="AE28" s="191"/>
      <c r="AF28" s="191"/>
      <c r="AG28" s="191"/>
      <c r="AH28" s="191"/>
      <c r="AI28" s="191"/>
      <c r="AJ28" s="191"/>
      <c r="AK28" s="191"/>
      <c r="AL28" s="191"/>
      <c r="AM28" s="191"/>
      <c r="AN28" s="191"/>
      <c r="AO28" s="191"/>
      <c r="AP28" s="191"/>
      <c r="AQ28" s="191"/>
      <c r="AR28" s="191"/>
      <c r="AS28" s="191"/>
      <c r="AT28" s="191"/>
      <c r="AU28" s="191"/>
      <c r="AV28" s="191"/>
      <c r="AW28" s="191"/>
      <c r="AX28" s="191"/>
      <c r="AY28" s="191"/>
      <c r="AZ28" s="191"/>
      <c r="BA28" s="191"/>
      <c r="BB28" s="191"/>
      <c r="BC28" s="191"/>
      <c r="BD28" s="191"/>
      <c r="BE28" s="191"/>
      <c r="BF28" s="191"/>
    </row>
    <row r="29" spans="1:61">
      <c r="B29" s="747" t="s">
        <v>460</v>
      </c>
      <c r="C29" s="747"/>
      <c r="D29" s="747"/>
      <c r="E29" s="747"/>
      <c r="F29" s="747"/>
      <c r="G29" s="747"/>
      <c r="H29" s="747"/>
      <c r="I29" s="747"/>
      <c r="K29" s="748" t="s">
        <v>253</v>
      </c>
      <c r="L29" s="748"/>
      <c r="M29" s="748"/>
      <c r="N29" s="748"/>
      <c r="O29" s="748"/>
      <c r="P29" s="748"/>
      <c r="Q29" s="748"/>
      <c r="R29" s="748"/>
      <c r="T29" s="747" t="s">
        <v>468</v>
      </c>
      <c r="U29" s="747"/>
      <c r="V29" s="747"/>
      <c r="W29" s="747"/>
      <c r="X29" s="747"/>
      <c r="Y29" s="747"/>
      <c r="Z29" s="747"/>
      <c r="AA29" s="747"/>
      <c r="AC29" s="747" t="s">
        <v>307</v>
      </c>
      <c r="AD29" s="747"/>
      <c r="AE29" s="747"/>
      <c r="AF29" s="747"/>
      <c r="AG29" s="747"/>
      <c r="AH29" s="747"/>
      <c r="AI29" s="747"/>
      <c r="AJ29" s="747"/>
      <c r="AK29" s="151"/>
      <c r="AL29" s="747" t="s">
        <v>308</v>
      </c>
      <c r="AM29" s="747"/>
      <c r="AN29" s="747"/>
      <c r="AO29" s="747"/>
      <c r="AP29" s="747"/>
      <c r="AQ29" s="747"/>
      <c r="AR29" s="747"/>
      <c r="AS29" s="747"/>
      <c r="AU29" s="748" t="s">
        <v>252</v>
      </c>
      <c r="AV29" s="748"/>
      <c r="AW29" s="748"/>
      <c r="AX29" s="748"/>
      <c r="AY29" s="748"/>
      <c r="AZ29" s="748"/>
      <c r="BA29" s="748"/>
      <c r="BB29" s="748"/>
      <c r="BD29" s="748" t="s">
        <v>254</v>
      </c>
      <c r="BE29" s="748"/>
      <c r="BF29" s="748"/>
      <c r="BH29" s="9" t="s">
        <v>309</v>
      </c>
    </row>
    <row r="30" spans="1:61" ht="26.25" customHeight="1">
      <c r="A30" s="192"/>
      <c r="B30" s="236" t="s">
        <v>158</v>
      </c>
      <c r="C30" s="236" t="s">
        <v>159</v>
      </c>
      <c r="D30" s="236" t="s">
        <v>160</v>
      </c>
      <c r="E30" s="236" t="s">
        <v>161</v>
      </c>
      <c r="F30" s="195" t="s">
        <v>33</v>
      </c>
      <c r="G30" s="195" t="s">
        <v>51</v>
      </c>
      <c r="H30" s="195" t="s">
        <v>52</v>
      </c>
      <c r="I30" s="195" t="s">
        <v>28</v>
      </c>
      <c r="J30" s="191"/>
      <c r="K30" s="236" t="s">
        <v>158</v>
      </c>
      <c r="L30" s="236" t="s">
        <v>159</v>
      </c>
      <c r="M30" s="236" t="s">
        <v>160</v>
      </c>
      <c r="N30" s="236" t="s">
        <v>161</v>
      </c>
      <c r="O30" s="195" t="s">
        <v>33</v>
      </c>
      <c r="P30" s="195" t="s">
        <v>51</v>
      </c>
      <c r="Q30" s="195" t="s">
        <v>52</v>
      </c>
      <c r="R30" s="195" t="s">
        <v>28</v>
      </c>
      <c r="S30" s="191"/>
      <c r="T30" s="236" t="s">
        <v>158</v>
      </c>
      <c r="U30" s="236" t="s">
        <v>159</v>
      </c>
      <c r="V30" s="236" t="s">
        <v>160</v>
      </c>
      <c r="W30" s="236" t="s">
        <v>161</v>
      </c>
      <c r="X30" s="195" t="s">
        <v>33</v>
      </c>
      <c r="Y30" s="195" t="s">
        <v>51</v>
      </c>
      <c r="Z30" s="195" t="s">
        <v>52</v>
      </c>
      <c r="AA30" s="195" t="s">
        <v>28</v>
      </c>
      <c r="AB30" s="191"/>
      <c r="AC30" s="236" t="s">
        <v>158</v>
      </c>
      <c r="AD30" s="236" t="s">
        <v>159</v>
      </c>
      <c r="AE30" s="236" t="s">
        <v>160</v>
      </c>
      <c r="AF30" s="236" t="s">
        <v>161</v>
      </c>
      <c r="AG30" s="195" t="s">
        <v>33</v>
      </c>
      <c r="AH30" s="195" t="s">
        <v>51</v>
      </c>
      <c r="AI30" s="195" t="s">
        <v>52</v>
      </c>
      <c r="AJ30" s="195" t="s">
        <v>28</v>
      </c>
      <c r="AK30" s="195"/>
      <c r="AL30" s="236" t="s">
        <v>158</v>
      </c>
      <c r="AM30" s="236" t="s">
        <v>159</v>
      </c>
      <c r="AN30" s="236" t="s">
        <v>160</v>
      </c>
      <c r="AO30" s="236" t="s">
        <v>161</v>
      </c>
      <c r="AP30" s="195" t="s">
        <v>33</v>
      </c>
      <c r="AQ30" s="195" t="s">
        <v>51</v>
      </c>
      <c r="AR30" s="195" t="s">
        <v>52</v>
      </c>
      <c r="AS30" s="195" t="s">
        <v>28</v>
      </c>
      <c r="AT30" s="191"/>
      <c r="AU30" s="236" t="s">
        <v>158</v>
      </c>
      <c r="AV30" s="236" t="s">
        <v>159</v>
      </c>
      <c r="AW30" s="236" t="s">
        <v>160</v>
      </c>
      <c r="AX30" s="236" t="s">
        <v>161</v>
      </c>
      <c r="AY30" s="195" t="s">
        <v>33</v>
      </c>
      <c r="AZ30" s="195" t="s">
        <v>51</v>
      </c>
      <c r="BA30" s="195" t="s">
        <v>52</v>
      </c>
      <c r="BB30" s="195" t="s">
        <v>28</v>
      </c>
      <c r="BC30" s="191"/>
      <c r="BD30" s="237" t="s">
        <v>153</v>
      </c>
      <c r="BE30" s="435" t="s">
        <v>462</v>
      </c>
      <c r="BF30" s="435" t="s">
        <v>463</v>
      </c>
      <c r="BH30" s="280" t="s">
        <v>464</v>
      </c>
    </row>
    <row r="31" spans="1:61">
      <c r="A31" s="215">
        <v>1979</v>
      </c>
      <c r="B31" s="39">
        <f t="shared" ref="B31:B68" si="0">(K31-T31)/AL31*100</f>
        <v>-22.58064516129032</v>
      </c>
      <c r="C31" s="39">
        <f t="shared" ref="C31:C68" si="1">(L31-U31)/AM31*100</f>
        <v>12.668463611859837</v>
      </c>
      <c r="D31" s="39">
        <f t="shared" ref="D31:D68" si="2">(M31-V31)/AN31*100</f>
        <v>18.277680140597539</v>
      </c>
      <c r="E31" s="39">
        <f t="shared" ref="E31:E68" si="3">(N31-W31)/AO31*100</f>
        <v>21.216041397153944</v>
      </c>
      <c r="F31" s="39">
        <f t="shared" ref="F31:F68" si="4">(O31-X31)/AP31*100</f>
        <v>23.383084577114428</v>
      </c>
      <c r="G31" s="39">
        <f t="shared" ref="G31:G68" si="5">(P31-Y31)/AQ31*100</f>
        <v>25.120772946859905</v>
      </c>
      <c r="H31" s="39">
        <f t="shared" ref="H31:H68" si="6">(Q31-Z31)/AR31*100</f>
        <v>27.085650723025584</v>
      </c>
      <c r="I31" s="39">
        <f t="shared" ref="I31:I68" si="7">(R31-AA31)/AS31*100</f>
        <v>35.031960227272727</v>
      </c>
      <c r="K31" s="235">
        <f>Tax!B50</f>
        <v>1400</v>
      </c>
      <c r="L31" s="235">
        <f>Tax!B90</f>
        <v>5600</v>
      </c>
      <c r="M31" s="235">
        <f>Tax!B130</f>
        <v>10900</v>
      </c>
      <c r="N31" s="235">
        <f>Tax!B170</f>
        <v>16700</v>
      </c>
      <c r="O31" s="235">
        <f>Tax!B250</f>
        <v>23700</v>
      </c>
      <c r="P31" s="235">
        <f>Tax!B290</f>
        <v>31300</v>
      </c>
      <c r="Q31" s="235">
        <f>Tax!B330</f>
        <v>48800</v>
      </c>
      <c r="R31" s="235">
        <f>Tax!B370</f>
        <v>197500</v>
      </c>
      <c r="S31" s="235"/>
      <c r="T31" s="235">
        <f>Trans!B50</f>
        <v>4900</v>
      </c>
      <c r="U31" s="235">
        <f>Trans!B90</f>
        <v>900</v>
      </c>
      <c r="V31" s="235">
        <f>Trans!B130</f>
        <v>500</v>
      </c>
      <c r="W31" s="235">
        <f>Trans!B170</f>
        <v>300</v>
      </c>
      <c r="X31" s="235">
        <f>Trans!B250</f>
        <v>200</v>
      </c>
      <c r="Y31" s="235">
        <f>Trans!B290</f>
        <v>100</v>
      </c>
      <c r="Z31" s="235">
        <f>Trans!B330</f>
        <v>100</v>
      </c>
      <c r="AA31" s="235">
        <f>Trans!B370</f>
        <v>200</v>
      </c>
      <c r="AC31" s="235">
        <f>Inc!$B50+Trans!$B50</f>
        <v>20400</v>
      </c>
      <c r="AD31" s="235">
        <f>Inc!$B90+Trans!$B90</f>
        <v>38000</v>
      </c>
      <c r="AE31" s="235">
        <f>Inc!$B130+Trans!$B130</f>
        <v>57400</v>
      </c>
      <c r="AF31" s="235">
        <f>Inc!$B170+Trans!$B170</f>
        <v>77600</v>
      </c>
      <c r="AG31" s="235">
        <f>Inc!$B250+Trans!$B250</f>
        <v>100700</v>
      </c>
      <c r="AH31" s="235">
        <f>Inc!$B290+Trans!$B290</f>
        <v>124300</v>
      </c>
      <c r="AI31" s="235">
        <f>Inc!$B330+Trans!$B330</f>
        <v>179900</v>
      </c>
      <c r="AJ31" s="235">
        <f>Inc!$B370+Trans!$B370</f>
        <v>563400</v>
      </c>
      <c r="AK31" s="235"/>
      <c r="AL31" s="235">
        <f>Inc!B50</f>
        <v>15500</v>
      </c>
      <c r="AM31" s="235">
        <f>Inc!B90</f>
        <v>37100</v>
      </c>
      <c r="AN31" s="235">
        <f>Inc!B130</f>
        <v>56900</v>
      </c>
      <c r="AO31" s="235">
        <f>Inc!B170</f>
        <v>77300</v>
      </c>
      <c r="AP31" s="235">
        <f>Inc!B250</f>
        <v>100500</v>
      </c>
      <c r="AQ31" s="235">
        <f>Inc!B290</f>
        <v>124200</v>
      </c>
      <c r="AR31" s="235">
        <f>Inc!B330</f>
        <v>179800</v>
      </c>
      <c r="AS31" s="235">
        <f>Inc!B370</f>
        <v>563200</v>
      </c>
      <c r="AU31" s="235">
        <f>Inc!$D50</f>
        <v>10000</v>
      </c>
      <c r="AV31" s="235">
        <f>Inc!$D90</f>
        <v>30800</v>
      </c>
      <c r="AW31" s="235">
        <f>Inc!$D130</f>
        <v>52600</v>
      </c>
      <c r="AX31" s="235">
        <f>Inc!$D170</f>
        <v>73800</v>
      </c>
      <c r="AY31" s="235">
        <f>Inc!$D250</f>
        <v>97300</v>
      </c>
      <c r="AZ31" s="235">
        <f>Inc!$D290</f>
        <v>121100</v>
      </c>
      <c r="BA31" s="235">
        <f>Inc!$D330</f>
        <v>175800</v>
      </c>
      <c r="BB31" s="235">
        <f>Inc!$D370</f>
        <v>557700</v>
      </c>
      <c r="BD31" s="235">
        <f>Tax!B210</f>
        <v>39700</v>
      </c>
      <c r="BE31" s="235">
        <f>Trans!B210</f>
        <v>100</v>
      </c>
      <c r="BF31" s="235">
        <f>Inc!B210</f>
        <v>146600</v>
      </c>
      <c r="BH31" s="39">
        <f>(BD31-BE31)/BF31*100</f>
        <v>27.012278308321964</v>
      </c>
      <c r="BI31" s="44"/>
    </row>
    <row r="32" spans="1:61">
      <c r="A32" s="215">
        <v>1980</v>
      </c>
      <c r="B32" s="39">
        <f t="shared" si="0"/>
        <v>-26.845637583892618</v>
      </c>
      <c r="C32" s="39">
        <f t="shared" si="1"/>
        <v>11.797752808988763</v>
      </c>
      <c r="D32" s="39">
        <f t="shared" si="2"/>
        <v>18.363636363636363</v>
      </c>
      <c r="E32" s="39">
        <f t="shared" si="3"/>
        <v>21.571238348868178</v>
      </c>
      <c r="F32" s="39">
        <f t="shared" si="4"/>
        <v>23.804679552390638</v>
      </c>
      <c r="G32" s="39">
        <f t="shared" si="5"/>
        <v>25.451559934318556</v>
      </c>
      <c r="H32" s="39">
        <f t="shared" si="6"/>
        <v>27.27272727272727</v>
      </c>
      <c r="I32" s="39">
        <f t="shared" si="7"/>
        <v>33.018693318526743</v>
      </c>
      <c r="K32" s="235">
        <f>Tax!B51</f>
        <v>1300</v>
      </c>
      <c r="L32" s="235">
        <f>Tax!B91</f>
        <v>5200</v>
      </c>
      <c r="M32" s="235">
        <f>Tax!B131</f>
        <v>10500</v>
      </c>
      <c r="N32" s="235">
        <f>Tax!B171</f>
        <v>16400</v>
      </c>
      <c r="O32" s="235">
        <f>Tax!B251</f>
        <v>23500</v>
      </c>
      <c r="P32" s="235">
        <f>Tax!B291</f>
        <v>31100</v>
      </c>
      <c r="Q32" s="235">
        <f>Tax!B331</f>
        <v>47500</v>
      </c>
      <c r="R32" s="235">
        <f>Tax!B371</f>
        <v>178600</v>
      </c>
      <c r="S32" s="235"/>
      <c r="T32" s="235">
        <f>Trans!B51</f>
        <v>5300</v>
      </c>
      <c r="U32" s="235">
        <f>Trans!B91</f>
        <v>1000</v>
      </c>
      <c r="V32" s="235">
        <f>Trans!B131</f>
        <v>400</v>
      </c>
      <c r="W32" s="235">
        <f>Trans!B171</f>
        <v>200</v>
      </c>
      <c r="X32" s="235">
        <f>Trans!B251</f>
        <v>100</v>
      </c>
      <c r="Y32" s="235">
        <f>Trans!B291</f>
        <v>100</v>
      </c>
      <c r="Z32" s="235">
        <f>Trans!B331</f>
        <v>100</v>
      </c>
      <c r="AA32" s="235">
        <f>Trans!B371</f>
        <v>200</v>
      </c>
      <c r="AC32" s="235">
        <f>Inc!$B51+Trans!$B51</f>
        <v>20200</v>
      </c>
      <c r="AD32" s="235">
        <f>Inc!$B91+Trans!$B91</f>
        <v>36600</v>
      </c>
      <c r="AE32" s="235">
        <f>Inc!$B131+Trans!$B131</f>
        <v>55400</v>
      </c>
      <c r="AF32" s="235">
        <f>Inc!$B171+Trans!$B171</f>
        <v>75300</v>
      </c>
      <c r="AG32" s="235">
        <f>Inc!$B251+Trans!$B251</f>
        <v>98400</v>
      </c>
      <c r="AH32" s="235">
        <f>Inc!$B291+Trans!$B291</f>
        <v>121900</v>
      </c>
      <c r="AI32" s="235">
        <f>Inc!$B331+Trans!$B331</f>
        <v>173900</v>
      </c>
      <c r="AJ32" s="235">
        <f>Inc!$B371+Trans!$B371</f>
        <v>540500</v>
      </c>
      <c r="AK32" s="235"/>
      <c r="AL32" s="235">
        <f>Inc!B51</f>
        <v>14900</v>
      </c>
      <c r="AM32" s="235">
        <f>Inc!B91</f>
        <v>35600</v>
      </c>
      <c r="AN32" s="235">
        <f>Inc!B131</f>
        <v>55000</v>
      </c>
      <c r="AO32" s="235">
        <f>Inc!B171</f>
        <v>75100</v>
      </c>
      <c r="AP32" s="235">
        <f>Inc!B251</f>
        <v>98300</v>
      </c>
      <c r="AQ32" s="235">
        <f>Inc!B291</f>
        <v>121800</v>
      </c>
      <c r="AR32" s="235">
        <f>Inc!B331</f>
        <v>173800</v>
      </c>
      <c r="AS32" s="235">
        <f>Inc!B371</f>
        <v>540300</v>
      </c>
      <c r="AU32" s="235">
        <f>Inc!$D51</f>
        <v>9500</v>
      </c>
      <c r="AV32" s="235">
        <f>Inc!$D91</f>
        <v>28800</v>
      </c>
      <c r="AW32" s="235">
        <f>Inc!$D131</f>
        <v>50200</v>
      </c>
      <c r="AX32" s="235">
        <f>Inc!$D171</f>
        <v>71100</v>
      </c>
      <c r="AY32" s="235">
        <f>Inc!$D251</f>
        <v>94700</v>
      </c>
      <c r="AZ32" s="235">
        <f>Inc!$D291</f>
        <v>118200</v>
      </c>
      <c r="BA32" s="235">
        <f>Inc!$D331</f>
        <v>169300</v>
      </c>
      <c r="BB32" s="235">
        <f>Inc!$D371</f>
        <v>534600</v>
      </c>
      <c r="BD32" s="235">
        <f>Tax!B211</f>
        <v>38400</v>
      </c>
      <c r="BE32" s="235">
        <f>Trans!B211</f>
        <v>100</v>
      </c>
      <c r="BF32" s="235">
        <f>Inc!B211</f>
        <v>142700</v>
      </c>
      <c r="BH32" s="39">
        <f t="shared" ref="BH32:BH68" si="8">(BD32-BE32)/BF32*100</f>
        <v>26.839523475823405</v>
      </c>
    </row>
    <row r="33" spans="1:60">
      <c r="A33" s="215">
        <v>1981</v>
      </c>
      <c r="B33" s="39">
        <f t="shared" si="0"/>
        <v>-27.210884353741498</v>
      </c>
      <c r="C33" s="39">
        <f t="shared" si="1"/>
        <v>12.181303116147308</v>
      </c>
      <c r="D33" s="39">
        <f t="shared" si="2"/>
        <v>18.647166361974406</v>
      </c>
      <c r="E33" s="39">
        <f t="shared" si="3"/>
        <v>21.973684210526315</v>
      </c>
      <c r="F33" s="39">
        <f t="shared" si="4"/>
        <v>24.260958205912335</v>
      </c>
      <c r="G33" s="39">
        <f t="shared" si="5"/>
        <v>25.73770491803279</v>
      </c>
      <c r="H33" s="39">
        <f t="shared" si="6"/>
        <v>27.135386403253918</v>
      </c>
      <c r="I33" s="39">
        <f t="shared" si="7"/>
        <v>30.451756832124932</v>
      </c>
      <c r="K33" s="235">
        <f>Tax!B52</f>
        <v>1400</v>
      </c>
      <c r="L33" s="235">
        <f>Tax!B92</f>
        <v>5400</v>
      </c>
      <c r="M33" s="235">
        <f>Tax!B132</f>
        <v>10600</v>
      </c>
      <c r="N33" s="235">
        <f>Tax!B172</f>
        <v>16900</v>
      </c>
      <c r="O33" s="235">
        <f>Tax!B252</f>
        <v>24000</v>
      </c>
      <c r="P33" s="235">
        <f>Tax!B292</f>
        <v>31500</v>
      </c>
      <c r="Q33" s="235">
        <f>Tax!B332</f>
        <v>46800</v>
      </c>
      <c r="R33" s="235">
        <f>Tax!B372</f>
        <v>164000</v>
      </c>
      <c r="S33" s="235"/>
      <c r="T33" s="235">
        <f>Trans!B52</f>
        <v>5400</v>
      </c>
      <c r="U33" s="235">
        <f>Trans!B92</f>
        <v>1100</v>
      </c>
      <c r="V33" s="235">
        <f>Trans!B132</f>
        <v>400</v>
      </c>
      <c r="W33" s="235">
        <f>Trans!B172</f>
        <v>200</v>
      </c>
      <c r="X33" s="235">
        <f>Trans!B252</f>
        <v>200</v>
      </c>
      <c r="Y33" s="235">
        <f>Trans!B292</f>
        <v>100</v>
      </c>
      <c r="Z33" s="235">
        <f>Trans!B332</f>
        <v>100</v>
      </c>
      <c r="AA33" s="235">
        <f>Trans!B372</f>
        <v>200</v>
      </c>
      <c r="AC33" s="235">
        <f>Inc!$B52+Trans!$B52</f>
        <v>20100</v>
      </c>
      <c r="AD33" s="235">
        <f>Inc!$B92+Trans!$B92</f>
        <v>36400</v>
      </c>
      <c r="AE33" s="235">
        <f>Inc!$B132+Trans!$B132</f>
        <v>55100</v>
      </c>
      <c r="AF33" s="235">
        <f>Inc!$B172+Trans!$B172</f>
        <v>76200</v>
      </c>
      <c r="AG33" s="235">
        <f>Inc!$B252+Trans!$B252</f>
        <v>98300</v>
      </c>
      <c r="AH33" s="235">
        <f>Inc!$B292+Trans!$B292</f>
        <v>122100</v>
      </c>
      <c r="AI33" s="235">
        <f>Inc!$B332+Trans!$B332</f>
        <v>172200</v>
      </c>
      <c r="AJ33" s="235">
        <f>Inc!$B372+Trans!$B372</f>
        <v>538100</v>
      </c>
      <c r="AK33" s="235"/>
      <c r="AL33" s="235">
        <f>Inc!B52</f>
        <v>14700</v>
      </c>
      <c r="AM33" s="235">
        <f>Inc!B92</f>
        <v>35300</v>
      </c>
      <c r="AN33" s="235">
        <f>Inc!B132</f>
        <v>54700</v>
      </c>
      <c r="AO33" s="235">
        <f>Inc!B172</f>
        <v>76000</v>
      </c>
      <c r="AP33" s="235">
        <f>Inc!B252</f>
        <v>98100</v>
      </c>
      <c r="AQ33" s="235">
        <f>Inc!B292</f>
        <v>122000</v>
      </c>
      <c r="AR33" s="235">
        <f>Inc!B332</f>
        <v>172100</v>
      </c>
      <c r="AS33" s="235">
        <f>Inc!B372</f>
        <v>537900</v>
      </c>
      <c r="AU33" s="235">
        <f>Inc!$D52</f>
        <v>9600</v>
      </c>
      <c r="AV33" s="235">
        <f>Inc!$D92</f>
        <v>28400</v>
      </c>
      <c r="AW33" s="235">
        <f>Inc!$D132</f>
        <v>49500</v>
      </c>
      <c r="AX33" s="235">
        <f>Inc!$D172</f>
        <v>71500</v>
      </c>
      <c r="AY33" s="235">
        <f>Inc!$D252</f>
        <v>94300</v>
      </c>
      <c r="AZ33" s="235">
        <f>Inc!$D292</f>
        <v>117800</v>
      </c>
      <c r="BA33" s="235">
        <f>Inc!$D332</f>
        <v>167300</v>
      </c>
      <c r="BB33" s="235">
        <f>Inc!$D372</f>
        <v>531800</v>
      </c>
      <c r="BD33" s="235">
        <f>Tax!B212</f>
        <v>37900</v>
      </c>
      <c r="BE33" s="235">
        <f>Trans!B212</f>
        <v>100</v>
      </c>
      <c r="BF33" s="235">
        <f>Inc!B212</f>
        <v>142200</v>
      </c>
      <c r="BH33" s="39">
        <f t="shared" si="8"/>
        <v>26.582278481012654</v>
      </c>
    </row>
    <row r="34" spans="1:60">
      <c r="A34" s="215">
        <v>1982</v>
      </c>
      <c r="B34" s="39">
        <f t="shared" si="0"/>
        <v>-30.281690140845068</v>
      </c>
      <c r="C34" s="39">
        <f t="shared" si="1"/>
        <v>11.014492753623188</v>
      </c>
      <c r="D34" s="39">
        <f t="shared" si="2"/>
        <v>17.625231910946194</v>
      </c>
      <c r="E34" s="39">
        <f t="shared" si="3"/>
        <v>20.345744680851062</v>
      </c>
      <c r="F34" s="39">
        <f t="shared" si="4"/>
        <v>22.551020408163268</v>
      </c>
      <c r="G34" s="39">
        <f t="shared" si="5"/>
        <v>23.616845582163499</v>
      </c>
      <c r="H34" s="39">
        <f t="shared" si="6"/>
        <v>24.507531865585168</v>
      </c>
      <c r="I34" s="39">
        <f t="shared" si="7"/>
        <v>26.729004940014111</v>
      </c>
      <c r="K34" s="235">
        <f>Tax!B53</f>
        <v>1400</v>
      </c>
      <c r="L34" s="235">
        <f>Tax!B93</f>
        <v>4800</v>
      </c>
      <c r="M34" s="235">
        <f>Tax!B133</f>
        <v>9800</v>
      </c>
      <c r="N34" s="235">
        <f>Tax!B173</f>
        <v>15500</v>
      </c>
      <c r="O34" s="235">
        <f>Tax!B253</f>
        <v>22200</v>
      </c>
      <c r="P34" s="235">
        <f>Tax!B293</f>
        <v>28700</v>
      </c>
      <c r="Q34" s="235">
        <f>Tax!B333</f>
        <v>42400</v>
      </c>
      <c r="R34" s="235">
        <f>Tax!B373</f>
        <v>151700</v>
      </c>
      <c r="S34" s="235"/>
      <c r="T34" s="235">
        <f>Trans!B53</f>
        <v>5700</v>
      </c>
      <c r="U34" s="235">
        <f>Trans!B93</f>
        <v>1000</v>
      </c>
      <c r="V34" s="235">
        <f>Trans!B133</f>
        <v>300</v>
      </c>
      <c r="W34" s="235">
        <f>Trans!B173</f>
        <v>200</v>
      </c>
      <c r="X34" s="235">
        <f>Trans!B253</f>
        <v>100</v>
      </c>
      <c r="Y34" s="235">
        <f>Trans!B293</f>
        <v>100</v>
      </c>
      <c r="Z34" s="235">
        <f>Trans!B333</f>
        <v>100</v>
      </c>
      <c r="AA34" s="235">
        <f>Trans!B373</f>
        <v>200</v>
      </c>
      <c r="AC34" s="235">
        <f>Inc!$B53+Trans!$B53</f>
        <v>19900</v>
      </c>
      <c r="AD34" s="235">
        <f>Inc!$B93+Trans!$B93</f>
        <v>35500</v>
      </c>
      <c r="AE34" s="235">
        <f>Inc!$B133+Trans!$B133</f>
        <v>54200</v>
      </c>
      <c r="AF34" s="235">
        <f>Inc!$B173+Trans!$B173</f>
        <v>75400</v>
      </c>
      <c r="AG34" s="235">
        <f>Inc!$B253+Trans!$B253</f>
        <v>98100</v>
      </c>
      <c r="AH34" s="235">
        <f>Inc!$B293+Trans!$B293</f>
        <v>121200</v>
      </c>
      <c r="AI34" s="235">
        <f>Inc!$B333+Trans!$B333</f>
        <v>172700</v>
      </c>
      <c r="AJ34" s="235">
        <f>Inc!$B373+Trans!$B373</f>
        <v>567000</v>
      </c>
      <c r="AK34" s="235"/>
      <c r="AL34" s="235">
        <f>Inc!B53</f>
        <v>14200</v>
      </c>
      <c r="AM34" s="235">
        <f>Inc!B93</f>
        <v>34500</v>
      </c>
      <c r="AN34" s="235">
        <f>Inc!B133</f>
        <v>53900</v>
      </c>
      <c r="AO34" s="235">
        <f>Inc!B173</f>
        <v>75200</v>
      </c>
      <c r="AP34" s="235">
        <f>Inc!B253</f>
        <v>98000</v>
      </c>
      <c r="AQ34" s="235">
        <f>Inc!B293</f>
        <v>121100</v>
      </c>
      <c r="AR34" s="235">
        <f>Inc!B333</f>
        <v>172600</v>
      </c>
      <c r="AS34" s="235">
        <f>Inc!B373</f>
        <v>566800</v>
      </c>
      <c r="AU34" s="235">
        <f>Inc!$D53</f>
        <v>9500</v>
      </c>
      <c r="AV34" s="235">
        <f>Inc!$D93</f>
        <v>26900</v>
      </c>
      <c r="AW34" s="235">
        <f>Inc!$D133</f>
        <v>48100</v>
      </c>
      <c r="AX34" s="235">
        <f>Inc!$D173</f>
        <v>69900</v>
      </c>
      <c r="AY34" s="235">
        <f>Inc!$D253</f>
        <v>93400</v>
      </c>
      <c r="AZ34" s="235">
        <f>Inc!$D293</f>
        <v>116500</v>
      </c>
      <c r="BA34" s="235">
        <f>Inc!$D333</f>
        <v>167000</v>
      </c>
      <c r="BB34" s="235">
        <f>Inc!$D373</f>
        <v>559700</v>
      </c>
      <c r="BD34" s="235">
        <f>Tax!B213</f>
        <v>34600</v>
      </c>
      <c r="BE34" s="235">
        <f>Trans!B213</f>
        <v>100</v>
      </c>
      <c r="BF34" s="235">
        <f>Inc!B213</f>
        <v>143200</v>
      </c>
      <c r="BH34" s="39">
        <f t="shared" si="8"/>
        <v>24.092178770949722</v>
      </c>
    </row>
    <row r="35" spans="1:60">
      <c r="A35" s="215">
        <v>1983</v>
      </c>
      <c r="B35" s="39">
        <f t="shared" si="0"/>
        <v>-33.82352941176471</v>
      </c>
      <c r="C35" s="39">
        <f t="shared" si="1"/>
        <v>11.275964391691394</v>
      </c>
      <c r="D35" s="39">
        <f t="shared" si="2"/>
        <v>16.729323308270676</v>
      </c>
      <c r="E35" s="39">
        <f t="shared" si="3"/>
        <v>19.893190921228303</v>
      </c>
      <c r="F35" s="39">
        <f t="shared" si="4"/>
        <v>21.875</v>
      </c>
      <c r="G35" s="39">
        <f t="shared" si="5"/>
        <v>22.7491961414791</v>
      </c>
      <c r="H35" s="39">
        <f t="shared" si="6"/>
        <v>23.496346261944911</v>
      </c>
      <c r="I35" s="39">
        <f t="shared" si="7"/>
        <v>26.746057289990343</v>
      </c>
      <c r="K35" s="235">
        <f>Tax!B54</f>
        <v>1500</v>
      </c>
      <c r="L35" s="235">
        <f>Tax!B94</f>
        <v>4700</v>
      </c>
      <c r="M35" s="235">
        <f>Tax!B134</f>
        <v>9300</v>
      </c>
      <c r="N35" s="235">
        <f>Tax!B174</f>
        <v>15100</v>
      </c>
      <c r="O35" s="235">
        <f>Tax!B254</f>
        <v>21800</v>
      </c>
      <c r="P35" s="235">
        <f>Tax!B294</f>
        <v>28400</v>
      </c>
      <c r="Q35" s="235">
        <f>Tax!B334</f>
        <v>41900</v>
      </c>
      <c r="R35" s="235">
        <f>Tax!B374</f>
        <v>166400</v>
      </c>
      <c r="S35" s="235"/>
      <c r="T35" s="235">
        <f>Trans!B54</f>
        <v>6100</v>
      </c>
      <c r="U35" s="235">
        <f>Trans!B94</f>
        <v>900</v>
      </c>
      <c r="V35" s="235">
        <f>Trans!B134</f>
        <v>400</v>
      </c>
      <c r="W35" s="235">
        <f>Trans!B174</f>
        <v>200</v>
      </c>
      <c r="X35" s="235">
        <f>Trans!B254</f>
        <v>100</v>
      </c>
      <c r="Y35" s="235">
        <f>Trans!B294</f>
        <v>100</v>
      </c>
      <c r="Z35" s="235">
        <f>Trans!B334</f>
        <v>100</v>
      </c>
      <c r="AA35" s="235">
        <f>Trans!B374</f>
        <v>200</v>
      </c>
      <c r="AC35" s="235">
        <f>Inc!$B54+Trans!$B54</f>
        <v>19700</v>
      </c>
      <c r="AD35" s="235">
        <f>Inc!$B94+Trans!$B94</f>
        <v>34600</v>
      </c>
      <c r="AE35" s="235">
        <f>Inc!$B134+Trans!$B134</f>
        <v>53600</v>
      </c>
      <c r="AF35" s="235">
        <f>Inc!$B174+Trans!$B174</f>
        <v>75100</v>
      </c>
      <c r="AG35" s="235">
        <f>Inc!$B254+Trans!$B254</f>
        <v>99300</v>
      </c>
      <c r="AH35" s="235">
        <f>Inc!$B294+Trans!$B294</f>
        <v>124500</v>
      </c>
      <c r="AI35" s="235">
        <f>Inc!$B334+Trans!$B334</f>
        <v>178000</v>
      </c>
      <c r="AJ35" s="235">
        <f>Inc!$B374+Trans!$B374</f>
        <v>621600</v>
      </c>
      <c r="AK35" s="235"/>
      <c r="AL35" s="235">
        <f>Inc!B54</f>
        <v>13600</v>
      </c>
      <c r="AM35" s="235">
        <f>Inc!B94</f>
        <v>33700</v>
      </c>
      <c r="AN35" s="235">
        <f>Inc!B134</f>
        <v>53200</v>
      </c>
      <c r="AO35" s="235">
        <f>Inc!B174</f>
        <v>74900</v>
      </c>
      <c r="AP35" s="235">
        <f>Inc!B254</f>
        <v>99200</v>
      </c>
      <c r="AQ35" s="235">
        <f>Inc!B294</f>
        <v>124400</v>
      </c>
      <c r="AR35" s="235">
        <f>Inc!B334</f>
        <v>177900</v>
      </c>
      <c r="AS35" s="235">
        <f>Inc!B374</f>
        <v>621400</v>
      </c>
      <c r="AU35" s="235">
        <f>Inc!$D54</f>
        <v>9400</v>
      </c>
      <c r="AV35" s="235">
        <f>Inc!$D94</f>
        <v>26100</v>
      </c>
      <c r="AW35" s="235">
        <f>Inc!$D134</f>
        <v>46900</v>
      </c>
      <c r="AX35" s="235">
        <f>Inc!$D174</f>
        <v>69300</v>
      </c>
      <c r="AY35" s="235">
        <f>Inc!$D254</f>
        <v>94200</v>
      </c>
      <c r="AZ35" s="235">
        <f>Inc!$D294</f>
        <v>119400</v>
      </c>
      <c r="BA35" s="235">
        <f>Inc!$D334</f>
        <v>172400</v>
      </c>
      <c r="BB35" s="235">
        <f>Inc!$D374</f>
        <v>614300</v>
      </c>
      <c r="BD35" s="235">
        <f>Tax!B214</f>
        <v>35000</v>
      </c>
      <c r="BE35" s="235">
        <f>Trans!B214</f>
        <v>100</v>
      </c>
      <c r="BF35" s="235">
        <f>Inc!B214</f>
        <v>148400</v>
      </c>
      <c r="BH35" s="39">
        <f t="shared" si="8"/>
        <v>23.517520215633422</v>
      </c>
    </row>
    <row r="36" spans="1:60">
      <c r="A36" s="215">
        <v>1984</v>
      </c>
      <c r="B36" s="39">
        <f t="shared" si="0"/>
        <v>-26.027397260273972</v>
      </c>
      <c r="C36" s="39">
        <f t="shared" si="1"/>
        <v>12.011173184357542</v>
      </c>
      <c r="D36" s="39">
        <f t="shared" si="2"/>
        <v>17.229129662522201</v>
      </c>
      <c r="E36" s="39">
        <f t="shared" si="3"/>
        <v>20.025348542458808</v>
      </c>
      <c r="F36" s="39">
        <f t="shared" si="4"/>
        <v>22.075471698113208</v>
      </c>
      <c r="G36" s="39">
        <f t="shared" si="5"/>
        <v>22.910447761194032</v>
      </c>
      <c r="H36" s="39">
        <f t="shared" si="6"/>
        <v>23.419689119170982</v>
      </c>
      <c r="I36" s="39">
        <f t="shared" si="7"/>
        <v>27.0081490104773</v>
      </c>
      <c r="K36" s="235">
        <f>Tax!B55</f>
        <v>1800</v>
      </c>
      <c r="L36" s="235">
        <f>Tax!B95</f>
        <v>5300</v>
      </c>
      <c r="M36" s="235">
        <f>Tax!B135</f>
        <v>10100</v>
      </c>
      <c r="N36" s="235">
        <f>Tax!B175</f>
        <v>16000</v>
      </c>
      <c r="O36" s="235">
        <f>Tax!B255</f>
        <v>23500</v>
      </c>
      <c r="P36" s="235">
        <f>Tax!B295</f>
        <v>30800</v>
      </c>
      <c r="Q36" s="235">
        <f>Tax!B335</f>
        <v>45300</v>
      </c>
      <c r="R36" s="235">
        <f>Tax!B375</f>
        <v>185800</v>
      </c>
      <c r="S36" s="235"/>
      <c r="T36" s="235">
        <f>Trans!B55</f>
        <v>5600</v>
      </c>
      <c r="U36" s="235">
        <f>Trans!B95</f>
        <v>1000</v>
      </c>
      <c r="V36" s="235">
        <f>Trans!B135</f>
        <v>400</v>
      </c>
      <c r="W36" s="235">
        <f>Trans!B175</f>
        <v>200</v>
      </c>
      <c r="X36" s="235">
        <f>Trans!B255</f>
        <v>100</v>
      </c>
      <c r="Y36" s="235">
        <f>Trans!B295</f>
        <v>100</v>
      </c>
      <c r="Z36" s="235">
        <f>Trans!B335</f>
        <v>100</v>
      </c>
      <c r="AA36" s="235">
        <f>Trans!B375</f>
        <v>200</v>
      </c>
      <c r="AC36" s="235">
        <f>Inc!$B55+Trans!$B55</f>
        <v>20200</v>
      </c>
      <c r="AD36" s="235">
        <f>Inc!$B95+Trans!$B95</f>
        <v>36800</v>
      </c>
      <c r="AE36" s="235">
        <f>Inc!$B135+Trans!$B135</f>
        <v>56700</v>
      </c>
      <c r="AF36" s="235">
        <f>Inc!$B175+Trans!$B175</f>
        <v>79100</v>
      </c>
      <c r="AG36" s="235">
        <f>Inc!$B255+Trans!$B255</f>
        <v>106100</v>
      </c>
      <c r="AH36" s="235">
        <f>Inc!$B295+Trans!$B295</f>
        <v>134100</v>
      </c>
      <c r="AI36" s="235">
        <f>Inc!$B335+Trans!$B335</f>
        <v>193100</v>
      </c>
      <c r="AJ36" s="235">
        <f>Inc!$B375+Trans!$B375</f>
        <v>687400</v>
      </c>
      <c r="AK36" s="235"/>
      <c r="AL36" s="235">
        <f>Inc!B55</f>
        <v>14600</v>
      </c>
      <c r="AM36" s="235">
        <f>Inc!B95</f>
        <v>35800</v>
      </c>
      <c r="AN36" s="235">
        <f>Inc!B135</f>
        <v>56300</v>
      </c>
      <c r="AO36" s="235">
        <f>Inc!B175</f>
        <v>78900</v>
      </c>
      <c r="AP36" s="235">
        <f>Inc!B255</f>
        <v>106000</v>
      </c>
      <c r="AQ36" s="235">
        <f>Inc!B295</f>
        <v>134000</v>
      </c>
      <c r="AR36" s="235">
        <f>Inc!B335</f>
        <v>193000</v>
      </c>
      <c r="AS36" s="235">
        <f>Inc!B375</f>
        <v>687200</v>
      </c>
      <c r="AU36" s="235">
        <f>Inc!$D55</f>
        <v>10300</v>
      </c>
      <c r="AV36" s="235">
        <f>Inc!$D95</f>
        <v>28700</v>
      </c>
      <c r="AW36" s="235">
        <f>Inc!$D135</f>
        <v>50300</v>
      </c>
      <c r="AX36" s="235">
        <f>Inc!$D175</f>
        <v>73400</v>
      </c>
      <c r="AY36" s="235">
        <f>Inc!$D255</f>
        <v>101100</v>
      </c>
      <c r="AZ36" s="235">
        <f>Inc!$D295</f>
        <v>128800</v>
      </c>
      <c r="BA36" s="235">
        <f>Inc!$D335</f>
        <v>187200</v>
      </c>
      <c r="BB36" s="235">
        <f>Inc!$D375</f>
        <v>679500</v>
      </c>
      <c r="BD36" s="235">
        <f>Tax!B215</f>
        <v>38200</v>
      </c>
      <c r="BE36" s="235">
        <f>Trans!B215</f>
        <v>100</v>
      </c>
      <c r="BF36" s="235">
        <f>Inc!B215</f>
        <v>161000</v>
      </c>
      <c r="BH36" s="39">
        <f t="shared" si="8"/>
        <v>23.664596273291927</v>
      </c>
    </row>
    <row r="37" spans="1:60">
      <c r="A37" s="215">
        <v>1985</v>
      </c>
      <c r="B37" s="39">
        <f t="shared" si="0"/>
        <v>-29.655172413793103</v>
      </c>
      <c r="C37" s="39">
        <f t="shared" si="1"/>
        <v>12.290502793296088</v>
      </c>
      <c r="D37" s="39">
        <f t="shared" si="2"/>
        <v>17.375886524822697</v>
      </c>
      <c r="E37" s="39">
        <f t="shared" si="3"/>
        <v>20.202020202020201</v>
      </c>
      <c r="F37" s="39">
        <f t="shared" si="4"/>
        <v>22.116301239275501</v>
      </c>
      <c r="G37" s="39">
        <f t="shared" si="5"/>
        <v>23.163418290854572</v>
      </c>
      <c r="H37" s="39">
        <f t="shared" si="6"/>
        <v>23.577652485904665</v>
      </c>
      <c r="I37" s="39">
        <f t="shared" si="7"/>
        <v>26.029072136937913</v>
      </c>
      <c r="K37" s="235">
        <f>Tax!B56</f>
        <v>1700</v>
      </c>
      <c r="L37" s="235">
        <f>Tax!B96</f>
        <v>5400</v>
      </c>
      <c r="M37" s="235">
        <f>Tax!B136</f>
        <v>10200</v>
      </c>
      <c r="N37" s="235">
        <f>Tax!B176</f>
        <v>16200</v>
      </c>
      <c r="O37" s="235">
        <f>Tax!B256</f>
        <v>23400</v>
      </c>
      <c r="P37" s="235">
        <f>Tax!B296</f>
        <v>31000</v>
      </c>
      <c r="Q37" s="235">
        <f>Tax!B336</f>
        <v>46100</v>
      </c>
      <c r="R37" s="235">
        <f>Tax!B376</f>
        <v>191800</v>
      </c>
      <c r="S37" s="235"/>
      <c r="T37" s="235">
        <f>Trans!B56</f>
        <v>6000</v>
      </c>
      <c r="U37" s="235">
        <f>Trans!B96</f>
        <v>1000</v>
      </c>
      <c r="V37" s="235">
        <f>Trans!B136</f>
        <v>400</v>
      </c>
      <c r="W37" s="235">
        <f>Trans!B176</f>
        <v>200</v>
      </c>
      <c r="X37" s="235">
        <f>Trans!B256</f>
        <v>200</v>
      </c>
      <c r="Y37" s="235">
        <f>Trans!B296</f>
        <v>100</v>
      </c>
      <c r="Z37" s="235">
        <f>Trans!B336</f>
        <v>100</v>
      </c>
      <c r="AA37" s="235">
        <f>Trans!B376</f>
        <v>200</v>
      </c>
      <c r="AC37" s="235">
        <f>Inc!$B56+Trans!$B56</f>
        <v>20500</v>
      </c>
      <c r="AD37" s="235">
        <f>Inc!$B96+Trans!$B96</f>
        <v>36800</v>
      </c>
      <c r="AE37" s="235">
        <f>Inc!$B136+Trans!$B136</f>
        <v>56800</v>
      </c>
      <c r="AF37" s="235">
        <f>Inc!$B176+Trans!$B176</f>
        <v>79400</v>
      </c>
      <c r="AG37" s="235">
        <f>Inc!$B256+Trans!$B256</f>
        <v>105100</v>
      </c>
      <c r="AH37" s="235">
        <f>Inc!$B296+Trans!$B296</f>
        <v>133500</v>
      </c>
      <c r="AI37" s="235">
        <f>Inc!$B336+Trans!$B336</f>
        <v>195200</v>
      </c>
      <c r="AJ37" s="235">
        <f>Inc!$B376+Trans!$B376</f>
        <v>736300</v>
      </c>
      <c r="AK37" s="235"/>
      <c r="AL37" s="235">
        <f>Inc!B56</f>
        <v>14500</v>
      </c>
      <c r="AM37" s="235">
        <f>Inc!B96</f>
        <v>35800</v>
      </c>
      <c r="AN37" s="235">
        <f>Inc!B136</f>
        <v>56400</v>
      </c>
      <c r="AO37" s="235">
        <f>Inc!B176</f>
        <v>79200</v>
      </c>
      <c r="AP37" s="235">
        <f>Inc!B256</f>
        <v>104900</v>
      </c>
      <c r="AQ37" s="235">
        <f>Inc!B296</f>
        <v>133400</v>
      </c>
      <c r="AR37" s="235">
        <f>Inc!B336</f>
        <v>195100</v>
      </c>
      <c r="AS37" s="235">
        <f>Inc!B376</f>
        <v>736100</v>
      </c>
      <c r="AU37" s="235">
        <f>Inc!$D56</f>
        <v>10000</v>
      </c>
      <c r="AV37" s="235">
        <f>Inc!$D96</f>
        <v>28700</v>
      </c>
      <c r="AW37" s="235">
        <f>Inc!$D136</f>
        <v>50200</v>
      </c>
      <c r="AX37" s="235">
        <f>Inc!$D176</f>
        <v>73700</v>
      </c>
      <c r="AY37" s="235">
        <f>Inc!$D256</f>
        <v>100000</v>
      </c>
      <c r="AZ37" s="235">
        <f>Inc!$D296</f>
        <v>128300</v>
      </c>
      <c r="BA37" s="235">
        <f>Inc!$D336</f>
        <v>189400</v>
      </c>
      <c r="BB37" s="235">
        <f>Inc!$D376</f>
        <v>728600</v>
      </c>
      <c r="BD37" s="235">
        <f>Tax!B216</f>
        <v>38500</v>
      </c>
      <c r="BE37" s="235">
        <f>Trans!B216</f>
        <v>100</v>
      </c>
      <c r="BF37" s="235">
        <f>Inc!B216</f>
        <v>162700</v>
      </c>
      <c r="BH37" s="39">
        <f t="shared" si="8"/>
        <v>23.601720958819914</v>
      </c>
    </row>
    <row r="38" spans="1:60">
      <c r="A38" s="215">
        <v>1986</v>
      </c>
      <c r="B38" s="39">
        <f t="shared" si="0"/>
        <v>-30.555555555555557</v>
      </c>
      <c r="C38" s="39">
        <f t="shared" si="1"/>
        <v>11.84573002754821</v>
      </c>
      <c r="D38" s="39">
        <f t="shared" si="2"/>
        <v>17.391304347826086</v>
      </c>
      <c r="E38" s="39">
        <f t="shared" si="3"/>
        <v>20.365853658536583</v>
      </c>
      <c r="F38" s="39">
        <f t="shared" si="4"/>
        <v>22.383985441310283</v>
      </c>
      <c r="G38" s="39">
        <f t="shared" si="5"/>
        <v>23.302358827734096</v>
      </c>
      <c r="H38" s="39">
        <f t="shared" si="6"/>
        <v>23.471307619943556</v>
      </c>
      <c r="I38" s="39">
        <f t="shared" si="7"/>
        <v>24.639634968370839</v>
      </c>
      <c r="K38" s="235">
        <f>Tax!B57</f>
        <v>1700</v>
      </c>
      <c r="L38" s="235">
        <f>Tax!B97</f>
        <v>5400</v>
      </c>
      <c r="M38" s="235">
        <f>Tax!B137</f>
        <v>10400</v>
      </c>
      <c r="N38" s="235">
        <f>Tax!B177</f>
        <v>16900</v>
      </c>
      <c r="O38" s="235">
        <f>Tax!B257</f>
        <v>24700</v>
      </c>
      <c r="P38" s="235">
        <f>Tax!B297</f>
        <v>32700</v>
      </c>
      <c r="Q38" s="235">
        <f>Tax!B337</f>
        <v>50000</v>
      </c>
      <c r="R38" s="235">
        <f>Tax!B377</f>
        <v>237800</v>
      </c>
      <c r="S38" s="235"/>
      <c r="T38" s="235">
        <f>Trans!B57</f>
        <v>6100</v>
      </c>
      <c r="U38" s="235">
        <f>Trans!B97</f>
        <v>1100</v>
      </c>
      <c r="V38" s="235">
        <f>Trans!B137</f>
        <v>400</v>
      </c>
      <c r="W38" s="235">
        <f>Trans!B177</f>
        <v>200</v>
      </c>
      <c r="X38" s="235">
        <f>Trans!B257</f>
        <v>100</v>
      </c>
      <c r="Y38" s="235">
        <f>Trans!B297</f>
        <v>100</v>
      </c>
      <c r="Z38" s="235">
        <f>Trans!B337</f>
        <v>100</v>
      </c>
      <c r="AA38" s="235">
        <f>Trans!B377</f>
        <v>200</v>
      </c>
      <c r="AC38" s="235">
        <f>Inc!$B57+Trans!$B57</f>
        <v>20500</v>
      </c>
      <c r="AD38" s="235">
        <f>Inc!$B97+Trans!$B97</f>
        <v>37400</v>
      </c>
      <c r="AE38" s="235">
        <f>Inc!$B137+Trans!$B137</f>
        <v>57900</v>
      </c>
      <c r="AF38" s="235">
        <f>Inc!$B177+Trans!$B177</f>
        <v>82200</v>
      </c>
      <c r="AG38" s="235">
        <f>Inc!$B257+Trans!$B257</f>
        <v>110000</v>
      </c>
      <c r="AH38" s="235">
        <f>Inc!$B297+Trans!$B297</f>
        <v>140000</v>
      </c>
      <c r="AI38" s="235">
        <f>Inc!$B337+Trans!$B337</f>
        <v>212700</v>
      </c>
      <c r="AJ38" s="235">
        <f>Inc!$B377+Trans!$B377</f>
        <v>964500</v>
      </c>
      <c r="AK38" s="235"/>
      <c r="AL38" s="235">
        <f>Inc!B57</f>
        <v>14400</v>
      </c>
      <c r="AM38" s="235">
        <f>Inc!B97</f>
        <v>36300</v>
      </c>
      <c r="AN38" s="235">
        <f>Inc!B137</f>
        <v>57500</v>
      </c>
      <c r="AO38" s="235">
        <f>Inc!B177</f>
        <v>82000</v>
      </c>
      <c r="AP38" s="235">
        <f>Inc!B257</f>
        <v>109900</v>
      </c>
      <c r="AQ38" s="235">
        <f>Inc!B297</f>
        <v>139900</v>
      </c>
      <c r="AR38" s="235">
        <f>Inc!B337</f>
        <v>212600</v>
      </c>
      <c r="AS38" s="235">
        <f>Inc!B377</f>
        <v>964300</v>
      </c>
      <c r="AU38" s="235">
        <f>Inc!$D57</f>
        <v>10100</v>
      </c>
      <c r="AV38" s="235">
        <f>Inc!$D97</f>
        <v>28700</v>
      </c>
      <c r="AW38" s="235">
        <f>Inc!$D137</f>
        <v>50900</v>
      </c>
      <c r="AX38" s="235">
        <f>Inc!$D177</f>
        <v>76100</v>
      </c>
      <c r="AY38" s="235">
        <f>Inc!$D257</f>
        <v>105000</v>
      </c>
      <c r="AZ38" s="235">
        <f>Inc!$D297</f>
        <v>135000</v>
      </c>
      <c r="BA38" s="235">
        <f>Inc!$D337</f>
        <v>206800</v>
      </c>
      <c r="BB38" s="235">
        <f>Inc!$D377</f>
        <v>956300</v>
      </c>
      <c r="BD38" s="235">
        <f>Tax!B217</f>
        <v>42900</v>
      </c>
      <c r="BE38" s="235">
        <f>Trans!B217</f>
        <v>100</v>
      </c>
      <c r="BF38" s="235">
        <f>Inc!B217</f>
        <v>182400</v>
      </c>
      <c r="BH38" s="39">
        <f t="shared" si="8"/>
        <v>23.464912280701753</v>
      </c>
    </row>
    <row r="39" spans="1:60">
      <c r="A39" s="215">
        <v>1987</v>
      </c>
      <c r="B39" s="39">
        <f t="shared" si="0"/>
        <v>-35.507246376811594</v>
      </c>
      <c r="C39" s="39">
        <f t="shared" si="1"/>
        <v>11.581920903954803</v>
      </c>
      <c r="D39" s="39">
        <f t="shared" si="2"/>
        <v>17.132867132867133</v>
      </c>
      <c r="E39" s="39">
        <f t="shared" si="3"/>
        <v>20.242424242424242</v>
      </c>
      <c r="F39" s="39">
        <f t="shared" si="4"/>
        <v>22.723174030658249</v>
      </c>
      <c r="G39" s="39">
        <f t="shared" si="5"/>
        <v>24.438202247191011</v>
      </c>
      <c r="H39" s="39">
        <f t="shared" si="6"/>
        <v>25.866160417655433</v>
      </c>
      <c r="I39" s="39">
        <f t="shared" si="7"/>
        <v>30.020703933747413</v>
      </c>
      <c r="K39" s="235">
        <f>Tax!B58</f>
        <v>1500</v>
      </c>
      <c r="L39" s="235">
        <f>Tax!B98</f>
        <v>5100</v>
      </c>
      <c r="M39" s="235">
        <f>Tax!B138</f>
        <v>10200</v>
      </c>
      <c r="N39" s="235">
        <f>Tax!B178</f>
        <v>16900</v>
      </c>
      <c r="O39" s="235">
        <f>Tax!B258</f>
        <v>25300</v>
      </c>
      <c r="P39" s="235">
        <f>Tax!B298</f>
        <v>34900</v>
      </c>
      <c r="Q39" s="235">
        <f>Tax!B338</f>
        <v>54700</v>
      </c>
      <c r="R39" s="235">
        <f>Tax!B378</f>
        <v>232200</v>
      </c>
      <c r="S39" s="235"/>
      <c r="T39" s="235">
        <f>Trans!B58</f>
        <v>6400</v>
      </c>
      <c r="U39" s="235">
        <f>Trans!B98</f>
        <v>1000</v>
      </c>
      <c r="V39" s="235">
        <f>Trans!B138</f>
        <v>400</v>
      </c>
      <c r="W39" s="235">
        <f>Trans!B178</f>
        <v>200</v>
      </c>
      <c r="X39" s="235">
        <f>Trans!B258</f>
        <v>100</v>
      </c>
      <c r="Y39" s="235">
        <f>Trans!B298</f>
        <v>100</v>
      </c>
      <c r="Z39" s="235">
        <f>Trans!B338</f>
        <v>200</v>
      </c>
      <c r="AA39" s="235">
        <f>Trans!B378</f>
        <v>200</v>
      </c>
      <c r="AC39" s="235">
        <f>Inc!$B58+Trans!$B58</f>
        <v>20200</v>
      </c>
      <c r="AD39" s="235">
        <f>Inc!$B98+Trans!$B98</f>
        <v>36400</v>
      </c>
      <c r="AE39" s="235">
        <f>Inc!$B138+Trans!$B138</f>
        <v>57600</v>
      </c>
      <c r="AF39" s="235">
        <f>Inc!$B178+Trans!$B178</f>
        <v>82700</v>
      </c>
      <c r="AG39" s="235">
        <f>Inc!$B258+Trans!$B258</f>
        <v>111000</v>
      </c>
      <c r="AH39" s="235">
        <f>Inc!$B298+Trans!$B298</f>
        <v>142500</v>
      </c>
      <c r="AI39" s="235">
        <f>Inc!$B338+Trans!$B338</f>
        <v>210900</v>
      </c>
      <c r="AJ39" s="235">
        <f>Inc!$B378+Trans!$B378</f>
        <v>773000</v>
      </c>
      <c r="AK39" s="235"/>
      <c r="AL39" s="235">
        <f>Inc!B58</f>
        <v>13800</v>
      </c>
      <c r="AM39" s="235">
        <f>Inc!B98</f>
        <v>35400</v>
      </c>
      <c r="AN39" s="235">
        <f>Inc!B138</f>
        <v>57200</v>
      </c>
      <c r="AO39" s="235">
        <f>Inc!B178</f>
        <v>82500</v>
      </c>
      <c r="AP39" s="235">
        <f>Inc!B258</f>
        <v>110900</v>
      </c>
      <c r="AQ39" s="235">
        <f>Inc!B298</f>
        <v>142400</v>
      </c>
      <c r="AR39" s="235">
        <f>Inc!B338</f>
        <v>210700</v>
      </c>
      <c r="AS39" s="235">
        <f>Inc!B378</f>
        <v>772800</v>
      </c>
      <c r="AU39" s="235">
        <f>Inc!$D58</f>
        <v>9500</v>
      </c>
      <c r="AV39" s="235">
        <f>Inc!$D98</f>
        <v>27600</v>
      </c>
      <c r="AW39" s="235">
        <f>Inc!$D138</f>
        <v>50500</v>
      </c>
      <c r="AX39" s="235">
        <f>Inc!$D178</f>
        <v>77100</v>
      </c>
      <c r="AY39" s="235">
        <f>Inc!$D258</f>
        <v>106600</v>
      </c>
      <c r="AZ39" s="235">
        <f>Inc!$D298</f>
        <v>138300</v>
      </c>
      <c r="BA39" s="235">
        <f>Inc!$D338</f>
        <v>205400</v>
      </c>
      <c r="BB39" s="235">
        <f>Inc!$D378</f>
        <v>766400</v>
      </c>
      <c r="BD39" s="235">
        <f>Tax!B218</f>
        <v>44100</v>
      </c>
      <c r="BE39" s="235">
        <f>Trans!B218</f>
        <v>100</v>
      </c>
      <c r="BF39" s="235">
        <f>Inc!B218</f>
        <v>172300</v>
      </c>
      <c r="BH39" s="39">
        <f t="shared" si="8"/>
        <v>25.536854323853742</v>
      </c>
    </row>
    <row r="40" spans="1:60">
      <c r="A40" s="215">
        <v>1988</v>
      </c>
      <c r="B40" s="39">
        <f t="shared" si="0"/>
        <v>-34.265734265734267</v>
      </c>
      <c r="C40" s="39">
        <f t="shared" si="1"/>
        <v>11.944444444444445</v>
      </c>
      <c r="D40" s="39">
        <f t="shared" si="2"/>
        <v>17.555938037865747</v>
      </c>
      <c r="E40" s="39">
        <f t="shared" si="3"/>
        <v>20.577617328519857</v>
      </c>
      <c r="F40" s="39">
        <f t="shared" si="4"/>
        <v>22.953736654804271</v>
      </c>
      <c r="G40" s="39">
        <f t="shared" si="5"/>
        <v>24.259131633356308</v>
      </c>
      <c r="H40" s="39">
        <f t="shared" si="6"/>
        <v>25.425287356321842</v>
      </c>
      <c r="I40" s="39">
        <f t="shared" si="7"/>
        <v>28.602417105670902</v>
      </c>
      <c r="K40" s="235">
        <f>Tax!B59</f>
        <v>1500</v>
      </c>
      <c r="L40" s="235">
        <f>Tax!B99</f>
        <v>5300</v>
      </c>
      <c r="M40" s="235">
        <f>Tax!B139</f>
        <v>10600</v>
      </c>
      <c r="N40" s="235">
        <f>Tax!B179</f>
        <v>17300</v>
      </c>
      <c r="O40" s="235">
        <f>Tax!B259</f>
        <v>25900</v>
      </c>
      <c r="P40" s="235">
        <f>Tax!B299</f>
        <v>35300</v>
      </c>
      <c r="Q40" s="235">
        <f>Tax!B339</f>
        <v>55400</v>
      </c>
      <c r="R40" s="235">
        <f>Tax!B379</f>
        <v>277100</v>
      </c>
      <c r="S40" s="235"/>
      <c r="T40" s="235">
        <f>Trans!B59</f>
        <v>6400</v>
      </c>
      <c r="U40" s="235">
        <f>Trans!B99</f>
        <v>1000</v>
      </c>
      <c r="V40" s="235">
        <f>Trans!B139</f>
        <v>400</v>
      </c>
      <c r="W40" s="235">
        <f>Trans!B179</f>
        <v>200</v>
      </c>
      <c r="X40" s="235">
        <f>Trans!B259</f>
        <v>100</v>
      </c>
      <c r="Y40" s="235">
        <f>Trans!B299</f>
        <v>100</v>
      </c>
      <c r="Z40" s="235">
        <f>Trans!B339</f>
        <v>100</v>
      </c>
      <c r="AA40" s="235">
        <f>Trans!B379</f>
        <v>200</v>
      </c>
      <c r="AC40" s="235">
        <f>Inc!$B59+Trans!$B59</f>
        <v>20700</v>
      </c>
      <c r="AD40" s="235">
        <f>Inc!$B99+Trans!$B99</f>
        <v>37000</v>
      </c>
      <c r="AE40" s="235">
        <f>Inc!$B139+Trans!$B139</f>
        <v>58500</v>
      </c>
      <c r="AF40" s="235">
        <f>Inc!$B179+Trans!$B179</f>
        <v>83300</v>
      </c>
      <c r="AG40" s="235">
        <f>Inc!$B259+Trans!$B259</f>
        <v>112500</v>
      </c>
      <c r="AH40" s="235">
        <f>Inc!$B299+Trans!$B299</f>
        <v>145200</v>
      </c>
      <c r="AI40" s="235">
        <f>Inc!$B339+Trans!$B339</f>
        <v>217600</v>
      </c>
      <c r="AJ40" s="235">
        <f>Inc!$B379+Trans!$B379</f>
        <v>968300</v>
      </c>
      <c r="AK40" s="235"/>
      <c r="AL40" s="235">
        <f>Inc!B59</f>
        <v>14300</v>
      </c>
      <c r="AM40" s="235">
        <f>Inc!B99</f>
        <v>36000</v>
      </c>
      <c r="AN40" s="235">
        <f>Inc!B139</f>
        <v>58100</v>
      </c>
      <c r="AO40" s="235">
        <f>Inc!B179</f>
        <v>83100</v>
      </c>
      <c r="AP40" s="235">
        <f>Inc!B259</f>
        <v>112400</v>
      </c>
      <c r="AQ40" s="235">
        <f>Inc!B299</f>
        <v>145100</v>
      </c>
      <c r="AR40" s="235">
        <f>Inc!B339</f>
        <v>217500</v>
      </c>
      <c r="AS40" s="235">
        <f>Inc!B379</f>
        <v>968100</v>
      </c>
      <c r="AU40" s="235">
        <f>Inc!$D59</f>
        <v>9700</v>
      </c>
      <c r="AV40" s="235">
        <f>Inc!$D99</f>
        <v>28300</v>
      </c>
      <c r="AW40" s="235">
        <f>Inc!$D139</f>
        <v>51600</v>
      </c>
      <c r="AX40" s="235">
        <f>Inc!$D179</f>
        <v>77700</v>
      </c>
      <c r="AY40" s="235">
        <f>Inc!$D259</f>
        <v>107700</v>
      </c>
      <c r="AZ40" s="235">
        <f>Inc!$D299</f>
        <v>140600</v>
      </c>
      <c r="BA40" s="235">
        <f>Inc!$D339</f>
        <v>212300</v>
      </c>
      <c r="BB40" s="235">
        <f>Inc!$D379</f>
        <v>961500</v>
      </c>
      <c r="BD40" s="235">
        <f>Tax!B219</f>
        <v>46800</v>
      </c>
      <c r="BE40" s="235">
        <f>Trans!B219</f>
        <v>100</v>
      </c>
      <c r="BF40" s="235">
        <f>Inc!B219</f>
        <v>184400</v>
      </c>
      <c r="BH40" s="39">
        <f t="shared" si="8"/>
        <v>25.32537960954447</v>
      </c>
    </row>
    <row r="41" spans="1:60">
      <c r="A41" s="215">
        <v>1989</v>
      </c>
      <c r="B41" s="39">
        <f t="shared" si="0"/>
        <v>-36</v>
      </c>
      <c r="C41" s="39">
        <f t="shared" si="1"/>
        <v>11.294765840220386</v>
      </c>
      <c r="D41" s="39">
        <f t="shared" si="2"/>
        <v>17.37649063032368</v>
      </c>
      <c r="E41" s="39">
        <f t="shared" si="3"/>
        <v>20.451843043995243</v>
      </c>
      <c r="F41" s="39">
        <f t="shared" si="4"/>
        <v>22.874671340929009</v>
      </c>
      <c r="G41" s="39">
        <f t="shared" si="5"/>
        <v>24.135593220338983</v>
      </c>
      <c r="H41" s="39">
        <f t="shared" si="6"/>
        <v>25.259359494812809</v>
      </c>
      <c r="I41" s="39">
        <f t="shared" si="7"/>
        <v>27.883227883227885</v>
      </c>
      <c r="K41" s="235">
        <f>Tax!B60</f>
        <v>1400</v>
      </c>
      <c r="L41" s="235">
        <f>Tax!B100</f>
        <v>5200</v>
      </c>
      <c r="M41" s="235">
        <f>Tax!B140</f>
        <v>10600</v>
      </c>
      <c r="N41" s="235">
        <f>Tax!B180</f>
        <v>17500</v>
      </c>
      <c r="O41" s="235">
        <f>Tax!B260</f>
        <v>26300</v>
      </c>
      <c r="P41" s="235">
        <f>Tax!B300</f>
        <v>35700</v>
      </c>
      <c r="Q41" s="235">
        <f>Tax!B340</f>
        <v>56200</v>
      </c>
      <c r="R41" s="235">
        <f>Tax!B380</f>
        <v>251400</v>
      </c>
      <c r="S41" s="235"/>
      <c r="T41" s="235">
        <f>Trans!B60</f>
        <v>6800</v>
      </c>
      <c r="U41" s="235">
        <f>Trans!B100</f>
        <v>1100</v>
      </c>
      <c r="V41" s="235">
        <f>Trans!B140</f>
        <v>400</v>
      </c>
      <c r="W41" s="235">
        <f>Trans!B180</f>
        <v>300</v>
      </c>
      <c r="X41" s="235">
        <f>Trans!B260</f>
        <v>200</v>
      </c>
      <c r="Y41" s="235">
        <f>Trans!B300</f>
        <v>100</v>
      </c>
      <c r="Z41" s="235">
        <f>Trans!B340</f>
        <v>200</v>
      </c>
      <c r="AA41" s="235">
        <f>Trans!B380</f>
        <v>200</v>
      </c>
      <c r="AC41" s="235">
        <f>Inc!$B60+Trans!$B60</f>
        <v>21800</v>
      </c>
      <c r="AD41" s="235">
        <f>Inc!$B100+Trans!$B100</f>
        <v>37400</v>
      </c>
      <c r="AE41" s="235">
        <f>Inc!$B140+Trans!$B140</f>
        <v>59100</v>
      </c>
      <c r="AF41" s="235">
        <f>Inc!$B180+Trans!$B180</f>
        <v>84400</v>
      </c>
      <c r="AG41" s="235">
        <f>Inc!$B260+Trans!$B260</f>
        <v>114300</v>
      </c>
      <c r="AH41" s="235">
        <f>Inc!$B300+Trans!$B300</f>
        <v>147600</v>
      </c>
      <c r="AI41" s="235">
        <f>Inc!$B340+Trans!$B340</f>
        <v>221900</v>
      </c>
      <c r="AJ41" s="235">
        <f>Inc!$B380+Trans!$B380</f>
        <v>901100</v>
      </c>
      <c r="AK41" s="235"/>
      <c r="AL41" s="235">
        <f>Inc!B60</f>
        <v>15000</v>
      </c>
      <c r="AM41" s="235">
        <f>Inc!B100</f>
        <v>36300</v>
      </c>
      <c r="AN41" s="235">
        <f>Inc!B140</f>
        <v>58700</v>
      </c>
      <c r="AO41" s="235">
        <f>Inc!B180</f>
        <v>84100</v>
      </c>
      <c r="AP41" s="235">
        <f>Inc!B260</f>
        <v>114100</v>
      </c>
      <c r="AQ41" s="235">
        <f>Inc!B300</f>
        <v>147500</v>
      </c>
      <c r="AR41" s="235">
        <f>Inc!B340</f>
        <v>221700</v>
      </c>
      <c r="AS41" s="235">
        <f>Inc!B380</f>
        <v>900900</v>
      </c>
      <c r="AU41" s="235">
        <f>Inc!$D60</f>
        <v>10500</v>
      </c>
      <c r="AV41" s="235">
        <f>Inc!$D100</f>
        <v>28700</v>
      </c>
      <c r="AW41" s="235">
        <f>Inc!$D140</f>
        <v>52000</v>
      </c>
      <c r="AX41" s="235">
        <f>Inc!$D180</f>
        <v>78500</v>
      </c>
      <c r="AY41" s="235">
        <f>Inc!$D260</f>
        <v>109300</v>
      </c>
      <c r="AZ41" s="235">
        <f>Inc!$D300</f>
        <v>142700</v>
      </c>
      <c r="BA41" s="235">
        <f>Inc!$D340</f>
        <v>216300</v>
      </c>
      <c r="BB41" s="235">
        <f>Inc!$D380</f>
        <v>894500</v>
      </c>
      <c r="BD41" s="235">
        <f>Tax!B220</f>
        <v>46000</v>
      </c>
      <c r="BE41" s="235">
        <f>Trans!B220</f>
        <v>200</v>
      </c>
      <c r="BF41" s="235">
        <f>Inc!B220</f>
        <v>184000</v>
      </c>
      <c r="BH41" s="39">
        <f t="shared" si="8"/>
        <v>24.891304347826086</v>
      </c>
    </row>
    <row r="42" spans="1:60">
      <c r="A42" s="215">
        <v>1990</v>
      </c>
      <c r="B42" s="39">
        <f t="shared" si="0"/>
        <v>-37.012987012987011</v>
      </c>
      <c r="C42" s="39">
        <f t="shared" si="1"/>
        <v>11.466666666666667</v>
      </c>
      <c r="D42" s="39">
        <f t="shared" si="2"/>
        <v>17.258883248730964</v>
      </c>
      <c r="E42" s="39">
        <f t="shared" si="3"/>
        <v>20.359281437125748</v>
      </c>
      <c r="F42" s="39">
        <f t="shared" si="4"/>
        <v>22.892635314995562</v>
      </c>
      <c r="G42" s="39">
        <f t="shared" si="5"/>
        <v>23.941707147814018</v>
      </c>
      <c r="H42" s="39">
        <f t="shared" si="6"/>
        <v>25.139146567717997</v>
      </c>
      <c r="I42" s="39">
        <f t="shared" si="7"/>
        <v>27.724248680890113</v>
      </c>
      <c r="K42" s="235">
        <f>Tax!B61</f>
        <v>1600</v>
      </c>
      <c r="L42" s="235">
        <f>Tax!B101</f>
        <v>5600</v>
      </c>
      <c r="M42" s="235">
        <f>Tax!B141</f>
        <v>10700</v>
      </c>
      <c r="N42" s="235">
        <f>Tax!B181</f>
        <v>17300</v>
      </c>
      <c r="O42" s="235">
        <f>Tax!B261</f>
        <v>26000</v>
      </c>
      <c r="P42" s="235">
        <f>Tax!B301</f>
        <v>34700</v>
      </c>
      <c r="Q42" s="235">
        <f>Tax!B341</f>
        <v>54400</v>
      </c>
      <c r="R42" s="235">
        <f>Tax!B381</f>
        <v>241900</v>
      </c>
      <c r="S42" s="235"/>
      <c r="T42" s="235">
        <f>Trans!B61</f>
        <v>7300</v>
      </c>
      <c r="U42" s="235">
        <f>Trans!B101</f>
        <v>1300</v>
      </c>
      <c r="V42" s="235">
        <f>Trans!B141</f>
        <v>500</v>
      </c>
      <c r="W42" s="235">
        <f>Trans!B181</f>
        <v>300</v>
      </c>
      <c r="X42" s="235">
        <f>Trans!B261</f>
        <v>200</v>
      </c>
      <c r="Y42" s="235">
        <f>Trans!B301</f>
        <v>200</v>
      </c>
      <c r="Z42" s="235">
        <f>Trans!B341</f>
        <v>200</v>
      </c>
      <c r="AA42" s="235">
        <f>Trans!B381</f>
        <v>200</v>
      </c>
      <c r="AC42" s="235">
        <f>Inc!$B61+Trans!$B61</f>
        <v>22700</v>
      </c>
      <c r="AD42" s="235">
        <f>Inc!$B101+Trans!$B101</f>
        <v>38800</v>
      </c>
      <c r="AE42" s="235">
        <f>Inc!$B141+Trans!$B141</f>
        <v>59600</v>
      </c>
      <c r="AF42" s="235">
        <f>Inc!$B181+Trans!$B181</f>
        <v>83800</v>
      </c>
      <c r="AG42" s="235">
        <f>Inc!$B261+Trans!$B261</f>
        <v>112900</v>
      </c>
      <c r="AH42" s="235">
        <f>Inc!$B301+Trans!$B301</f>
        <v>144300</v>
      </c>
      <c r="AI42" s="235">
        <f>Inc!$B341+Trans!$B341</f>
        <v>215800</v>
      </c>
      <c r="AJ42" s="235">
        <f>Inc!$B381+Trans!$B381</f>
        <v>872000</v>
      </c>
      <c r="AK42" s="235"/>
      <c r="AL42" s="235">
        <f>Inc!B61</f>
        <v>15400</v>
      </c>
      <c r="AM42" s="235">
        <f>Inc!B101</f>
        <v>37500</v>
      </c>
      <c r="AN42" s="235">
        <f>Inc!B141</f>
        <v>59100</v>
      </c>
      <c r="AO42" s="235">
        <f>Inc!B181</f>
        <v>83500</v>
      </c>
      <c r="AP42" s="235">
        <f>Inc!B261</f>
        <v>112700</v>
      </c>
      <c r="AQ42" s="235">
        <f>Inc!B301</f>
        <v>144100</v>
      </c>
      <c r="AR42" s="235">
        <f>Inc!B341</f>
        <v>215600</v>
      </c>
      <c r="AS42" s="235">
        <f>Inc!B381</f>
        <v>871800</v>
      </c>
      <c r="AU42" s="235">
        <f>Inc!$D61</f>
        <v>10800</v>
      </c>
      <c r="AV42" s="235">
        <f>Inc!$D101</f>
        <v>29700</v>
      </c>
      <c r="AW42" s="235">
        <f>Inc!$D141</f>
        <v>52100</v>
      </c>
      <c r="AX42" s="235">
        <f>Inc!$D181</f>
        <v>77400</v>
      </c>
      <c r="AY42" s="235">
        <f>Inc!$D261</f>
        <v>107800</v>
      </c>
      <c r="AZ42" s="235">
        <f>Inc!$D301</f>
        <v>138800</v>
      </c>
      <c r="BA42" s="235">
        <f>Inc!$D341</f>
        <v>210000</v>
      </c>
      <c r="BB42" s="235">
        <f>Inc!$D381</f>
        <v>864600</v>
      </c>
      <c r="BD42" s="235">
        <f>Tax!B221</f>
        <v>44800</v>
      </c>
      <c r="BE42" s="235">
        <f>Trans!B221</f>
        <v>200</v>
      </c>
      <c r="BF42" s="235">
        <f>Inc!B221</f>
        <v>179500</v>
      </c>
      <c r="BH42" s="39">
        <f t="shared" si="8"/>
        <v>24.846796657381613</v>
      </c>
    </row>
    <row r="43" spans="1:60">
      <c r="A43" s="215">
        <v>1991</v>
      </c>
      <c r="B43" s="39">
        <f t="shared" si="0"/>
        <v>-41.29032258064516</v>
      </c>
      <c r="C43" s="39">
        <f t="shared" si="1"/>
        <v>10.10928961748634</v>
      </c>
      <c r="D43" s="39">
        <f t="shared" si="2"/>
        <v>16.724137931034484</v>
      </c>
      <c r="E43" s="39">
        <f t="shared" si="3"/>
        <v>20.19347037484885</v>
      </c>
      <c r="F43" s="39">
        <f t="shared" si="4"/>
        <v>22.702702702702705</v>
      </c>
      <c r="G43" s="39">
        <f t="shared" si="5"/>
        <v>24.178895877009086</v>
      </c>
      <c r="H43" s="39">
        <f t="shared" si="6"/>
        <v>25.401322001888577</v>
      </c>
      <c r="I43" s="39">
        <f t="shared" si="7"/>
        <v>28.892005610098177</v>
      </c>
      <c r="K43" s="235">
        <f>Tax!B62</f>
        <v>1600</v>
      </c>
      <c r="L43" s="235">
        <f>Tax!B102</f>
        <v>5300</v>
      </c>
      <c r="M43" s="235">
        <f>Tax!B142</f>
        <v>10300</v>
      </c>
      <c r="N43" s="235">
        <f>Tax!B182</f>
        <v>17000</v>
      </c>
      <c r="O43" s="235">
        <f>Tax!B262</f>
        <v>25400</v>
      </c>
      <c r="P43" s="235">
        <f>Tax!B302</f>
        <v>34700</v>
      </c>
      <c r="Q43" s="235">
        <f>Tax!B342</f>
        <v>54000</v>
      </c>
      <c r="R43" s="235">
        <f>Tax!B382</f>
        <v>226900</v>
      </c>
      <c r="S43" s="235"/>
      <c r="T43" s="235">
        <f>Trans!B62</f>
        <v>8000</v>
      </c>
      <c r="U43" s="235">
        <f>Trans!B102</f>
        <v>1600</v>
      </c>
      <c r="V43" s="235">
        <f>Trans!B142</f>
        <v>600</v>
      </c>
      <c r="W43" s="235">
        <f>Trans!B182</f>
        <v>300</v>
      </c>
      <c r="X43" s="235">
        <f>Trans!B262</f>
        <v>200</v>
      </c>
      <c r="Y43" s="235">
        <f>Trans!B302</f>
        <v>100</v>
      </c>
      <c r="Z43" s="235">
        <f>Trans!B342</f>
        <v>200</v>
      </c>
      <c r="AA43" s="235">
        <f>Trans!B382</f>
        <v>300</v>
      </c>
      <c r="AC43" s="235">
        <f>Inc!$B62+Trans!$B62</f>
        <v>23500</v>
      </c>
      <c r="AD43" s="235">
        <f>Inc!$B102+Trans!$B102</f>
        <v>38200</v>
      </c>
      <c r="AE43" s="235">
        <f>Inc!$B142+Trans!$B142</f>
        <v>58600</v>
      </c>
      <c r="AF43" s="235">
        <f>Inc!$B182+Trans!$B182</f>
        <v>83000</v>
      </c>
      <c r="AG43" s="235">
        <f>Inc!$B262+Trans!$B262</f>
        <v>111200</v>
      </c>
      <c r="AH43" s="235">
        <f>Inc!$B302+Trans!$B302</f>
        <v>143200</v>
      </c>
      <c r="AI43" s="235">
        <f>Inc!$B342+Trans!$B342</f>
        <v>212000</v>
      </c>
      <c r="AJ43" s="235">
        <f>Inc!$B382+Trans!$B382</f>
        <v>784600</v>
      </c>
      <c r="AK43" s="235"/>
      <c r="AL43" s="235">
        <f>Inc!B62</f>
        <v>15500</v>
      </c>
      <c r="AM43" s="235">
        <f>Inc!B102</f>
        <v>36600</v>
      </c>
      <c r="AN43" s="235">
        <f>Inc!B142</f>
        <v>58000</v>
      </c>
      <c r="AO43" s="235">
        <f>Inc!B182</f>
        <v>82700</v>
      </c>
      <c r="AP43" s="235">
        <f>Inc!B262</f>
        <v>111000</v>
      </c>
      <c r="AQ43" s="235">
        <f>Inc!B302</f>
        <v>143100</v>
      </c>
      <c r="AR43" s="235">
        <f>Inc!B342</f>
        <v>211800</v>
      </c>
      <c r="AS43" s="235">
        <f>Inc!B382</f>
        <v>784300</v>
      </c>
      <c r="AU43" s="235">
        <f>Inc!$D62</f>
        <v>11100</v>
      </c>
      <c r="AV43" s="235">
        <f>Inc!$D102</f>
        <v>28400</v>
      </c>
      <c r="AW43" s="235">
        <f>Inc!$D142</f>
        <v>50300</v>
      </c>
      <c r="AX43" s="235">
        <f>Inc!$D182</f>
        <v>76200</v>
      </c>
      <c r="AY43" s="235">
        <f>Inc!$D262</f>
        <v>105600</v>
      </c>
      <c r="AZ43" s="235">
        <f>Inc!$D302</f>
        <v>137700</v>
      </c>
      <c r="BA43" s="235">
        <f>Inc!$D342</f>
        <v>206300</v>
      </c>
      <c r="BB43" s="235">
        <f>Inc!$D382</f>
        <v>777400</v>
      </c>
      <c r="BD43" s="235">
        <f>Tax!B222</f>
        <v>43700</v>
      </c>
      <c r="BE43" s="235">
        <f>Trans!B222</f>
        <v>200</v>
      </c>
      <c r="BF43" s="235">
        <f>Inc!B222</f>
        <v>173600</v>
      </c>
      <c r="BH43" s="39">
        <f t="shared" si="8"/>
        <v>25.057603686635943</v>
      </c>
    </row>
    <row r="44" spans="1:60">
      <c r="A44" s="215">
        <v>1992</v>
      </c>
      <c r="B44" s="39">
        <f t="shared" si="0"/>
        <v>-45.512820512820511</v>
      </c>
      <c r="C44" s="39">
        <f t="shared" si="1"/>
        <v>8.5399449035812669</v>
      </c>
      <c r="D44" s="39">
        <f t="shared" si="2"/>
        <v>16.466552315608922</v>
      </c>
      <c r="E44" s="39">
        <f t="shared" si="3"/>
        <v>19.760479041916167</v>
      </c>
      <c r="F44" s="39">
        <f t="shared" si="4"/>
        <v>22.439893143365982</v>
      </c>
      <c r="G44" s="39">
        <f t="shared" si="5"/>
        <v>24.03846153846154</v>
      </c>
      <c r="H44" s="39">
        <f t="shared" si="6"/>
        <v>25.502742230347348</v>
      </c>
      <c r="I44" s="39">
        <f t="shared" si="7"/>
        <v>29.594029175619134</v>
      </c>
      <c r="K44" s="235">
        <f>Tax!B63</f>
        <v>1600</v>
      </c>
      <c r="L44" s="235">
        <f>Tax!B103</f>
        <v>5100</v>
      </c>
      <c r="M44" s="235">
        <f>Tax!B143</f>
        <v>10300</v>
      </c>
      <c r="N44" s="235">
        <f>Tax!B183</f>
        <v>16900</v>
      </c>
      <c r="O44" s="235">
        <f>Tax!B263</f>
        <v>25500</v>
      </c>
      <c r="P44" s="235">
        <f>Tax!B303</f>
        <v>35200</v>
      </c>
      <c r="Q44" s="235">
        <f>Tax!B343</f>
        <v>56000</v>
      </c>
      <c r="R44" s="235">
        <f>Tax!B383</f>
        <v>261900</v>
      </c>
      <c r="S44" s="235"/>
      <c r="T44" s="235">
        <f>Trans!B63</f>
        <v>8700</v>
      </c>
      <c r="U44" s="235">
        <f>Trans!B103</f>
        <v>2000</v>
      </c>
      <c r="V44" s="235">
        <f>Trans!B143</f>
        <v>700</v>
      </c>
      <c r="W44" s="235">
        <f>Trans!B183</f>
        <v>400</v>
      </c>
      <c r="X44" s="235">
        <f>Trans!B263</f>
        <v>300</v>
      </c>
      <c r="Y44" s="235">
        <f>Trans!B303</f>
        <v>200</v>
      </c>
      <c r="Z44" s="235">
        <f>Trans!B343</f>
        <v>200</v>
      </c>
      <c r="AA44" s="235">
        <f>Trans!B383</f>
        <v>200</v>
      </c>
      <c r="AC44" s="235">
        <f>Inc!$B63+Trans!$B63</f>
        <v>24300</v>
      </c>
      <c r="AD44" s="235">
        <f>Inc!$B103+Trans!$B103</f>
        <v>38300</v>
      </c>
      <c r="AE44" s="235">
        <f>Inc!$B143+Trans!$B143</f>
        <v>59000</v>
      </c>
      <c r="AF44" s="235">
        <f>Inc!$B183+Trans!$B183</f>
        <v>83900</v>
      </c>
      <c r="AG44" s="235">
        <f>Inc!$B263+Trans!$B263</f>
        <v>112600</v>
      </c>
      <c r="AH44" s="235">
        <f>Inc!$B303+Trans!$B303</f>
        <v>145800</v>
      </c>
      <c r="AI44" s="235">
        <f>Inc!$B343+Trans!$B343</f>
        <v>219000</v>
      </c>
      <c r="AJ44" s="235">
        <f>Inc!$B383+Trans!$B383</f>
        <v>884500</v>
      </c>
      <c r="AK44" s="235"/>
      <c r="AL44" s="235">
        <f>Inc!B63</f>
        <v>15600</v>
      </c>
      <c r="AM44" s="235">
        <f>Inc!B103</f>
        <v>36300</v>
      </c>
      <c r="AN44" s="235">
        <f>Inc!B143</f>
        <v>58300</v>
      </c>
      <c r="AO44" s="235">
        <f>Inc!B183</f>
        <v>83500</v>
      </c>
      <c r="AP44" s="235">
        <f>Inc!B263</f>
        <v>112300</v>
      </c>
      <c r="AQ44" s="235">
        <f>Inc!B303</f>
        <v>145600</v>
      </c>
      <c r="AR44" s="235">
        <f>Inc!B343</f>
        <v>218800</v>
      </c>
      <c r="AS44" s="235">
        <f>Inc!B383</f>
        <v>884300</v>
      </c>
      <c r="AU44" s="235">
        <f>Inc!$D63</f>
        <v>11200</v>
      </c>
      <c r="AV44" s="235">
        <f>Inc!$D103</f>
        <v>27500</v>
      </c>
      <c r="AW44" s="235">
        <f>Inc!$D143</f>
        <v>50300</v>
      </c>
      <c r="AX44" s="235">
        <f>Inc!$D183</f>
        <v>76500</v>
      </c>
      <c r="AY44" s="235">
        <f>Inc!$D263</f>
        <v>106700</v>
      </c>
      <c r="AZ44" s="235">
        <f>Inc!$D303</f>
        <v>140400</v>
      </c>
      <c r="BA44" s="235">
        <f>Inc!$D343</f>
        <v>213200</v>
      </c>
      <c r="BB44" s="235">
        <f>Inc!$D383</f>
        <v>877300</v>
      </c>
      <c r="BD44" s="235">
        <f>Tax!B223</f>
        <v>46000</v>
      </c>
      <c r="BE44" s="235">
        <f>Trans!B223</f>
        <v>200</v>
      </c>
      <c r="BF44" s="235">
        <f>Inc!B223</f>
        <v>180900</v>
      </c>
      <c r="BH44" s="39">
        <f t="shared" si="8"/>
        <v>25.31785516860144</v>
      </c>
    </row>
    <row r="45" spans="1:60">
      <c r="A45" s="215">
        <v>1993</v>
      </c>
      <c r="B45" s="39">
        <f t="shared" si="0"/>
        <v>-50</v>
      </c>
      <c r="C45" s="39">
        <f t="shared" si="1"/>
        <v>7.6923076923076925</v>
      </c>
      <c r="D45" s="39">
        <f t="shared" si="2"/>
        <v>16.239316239316238</v>
      </c>
      <c r="E45" s="39">
        <f t="shared" si="3"/>
        <v>19.833729216152019</v>
      </c>
      <c r="F45" s="39">
        <f t="shared" si="4"/>
        <v>22.407732864674866</v>
      </c>
      <c r="G45" s="39">
        <f t="shared" si="5"/>
        <v>24.201223657375934</v>
      </c>
      <c r="H45" s="39">
        <f t="shared" si="6"/>
        <v>26.346763241285647</v>
      </c>
      <c r="I45" s="39">
        <f t="shared" si="7"/>
        <v>33.164705882352941</v>
      </c>
      <c r="K45" s="235">
        <f>Tax!B64</f>
        <v>1600</v>
      </c>
      <c r="L45" s="235">
        <f>Tax!B104</f>
        <v>5000</v>
      </c>
      <c r="M45" s="235">
        <f>Tax!B144</f>
        <v>10300</v>
      </c>
      <c r="N45" s="235">
        <f>Tax!B184</f>
        <v>17100</v>
      </c>
      <c r="O45" s="235">
        <f>Tax!B264</f>
        <v>25800</v>
      </c>
      <c r="P45" s="235">
        <f>Tax!B304</f>
        <v>35800</v>
      </c>
      <c r="Q45" s="235">
        <f>Tax!B344</f>
        <v>58400</v>
      </c>
      <c r="R45" s="235">
        <f>Tax!B384</f>
        <v>282200</v>
      </c>
      <c r="S45" s="235"/>
      <c r="T45" s="235">
        <f>Trans!B64</f>
        <v>9400</v>
      </c>
      <c r="U45" s="235">
        <f>Trans!B104</f>
        <v>2200</v>
      </c>
      <c r="V45" s="235">
        <f>Trans!B144</f>
        <v>800</v>
      </c>
      <c r="W45" s="235">
        <f>Trans!B184</f>
        <v>400</v>
      </c>
      <c r="X45" s="235">
        <f>Trans!B264</f>
        <v>300</v>
      </c>
      <c r="Y45" s="235">
        <f>Trans!B304</f>
        <v>200</v>
      </c>
      <c r="Z45" s="235">
        <f>Trans!B344</f>
        <v>200</v>
      </c>
      <c r="AA45" s="235">
        <f>Trans!B384</f>
        <v>300</v>
      </c>
      <c r="AC45" s="235">
        <f>Inc!$B64+Trans!$B64</f>
        <v>25000</v>
      </c>
      <c r="AD45" s="235">
        <f>Inc!$B104+Trans!$B104</f>
        <v>38600</v>
      </c>
      <c r="AE45" s="235">
        <f>Inc!$B144+Trans!$B144</f>
        <v>59300</v>
      </c>
      <c r="AF45" s="235">
        <f>Inc!$B184+Trans!$B184</f>
        <v>84600</v>
      </c>
      <c r="AG45" s="235">
        <f>Inc!$B264+Trans!$B264</f>
        <v>114100</v>
      </c>
      <c r="AH45" s="235">
        <f>Inc!$B304+Trans!$B304</f>
        <v>147300</v>
      </c>
      <c r="AI45" s="235">
        <f>Inc!$B344+Trans!$B344</f>
        <v>221100</v>
      </c>
      <c r="AJ45" s="235">
        <f>Inc!$B384+Trans!$B384</f>
        <v>850300</v>
      </c>
      <c r="AK45" s="235"/>
      <c r="AL45" s="235">
        <f>Inc!B64</f>
        <v>15600</v>
      </c>
      <c r="AM45" s="235">
        <f>Inc!B104</f>
        <v>36400</v>
      </c>
      <c r="AN45" s="235">
        <f>Inc!B144</f>
        <v>58500</v>
      </c>
      <c r="AO45" s="235">
        <f>Inc!B184</f>
        <v>84200</v>
      </c>
      <c r="AP45" s="235">
        <f>Inc!B264</f>
        <v>113800</v>
      </c>
      <c r="AQ45" s="235">
        <f>Inc!B304</f>
        <v>147100</v>
      </c>
      <c r="AR45" s="235">
        <f>Inc!B344</f>
        <v>220900</v>
      </c>
      <c r="AS45" s="235">
        <f>Inc!B384</f>
        <v>850000</v>
      </c>
      <c r="AU45" s="235">
        <f>Inc!$D64</f>
        <v>11500</v>
      </c>
      <c r="AV45" s="235">
        <f>Inc!$D104</f>
        <v>27200</v>
      </c>
      <c r="AW45" s="235">
        <f>Inc!$D144</f>
        <v>50200</v>
      </c>
      <c r="AX45" s="235">
        <f>Inc!$D184</f>
        <v>77100</v>
      </c>
      <c r="AY45" s="235">
        <f>Inc!$D264</f>
        <v>107800</v>
      </c>
      <c r="AZ45" s="235">
        <f>Inc!$D304</f>
        <v>141000</v>
      </c>
      <c r="BA45" s="235">
        <f>Inc!$D344</f>
        <v>214700</v>
      </c>
      <c r="BB45" s="235">
        <f>Inc!$D384</f>
        <v>842700</v>
      </c>
      <c r="BD45" s="235">
        <f>Tax!B224</f>
        <v>47900</v>
      </c>
      <c r="BE45" s="235">
        <f>Trans!B224</f>
        <v>300</v>
      </c>
      <c r="BF45" s="235">
        <f>Inc!B224</f>
        <v>181100</v>
      </c>
      <c r="BH45" s="39">
        <f t="shared" si="8"/>
        <v>26.283821093318611</v>
      </c>
    </row>
    <row r="46" spans="1:60">
      <c r="A46" s="215">
        <v>1994</v>
      </c>
      <c r="B46" s="39">
        <f t="shared" si="0"/>
        <v>-52.258064516129032</v>
      </c>
      <c r="C46" s="39">
        <f t="shared" si="1"/>
        <v>7.6294277929155312</v>
      </c>
      <c r="D46" s="39">
        <f t="shared" si="2"/>
        <v>16.354344122657579</v>
      </c>
      <c r="E46" s="39">
        <f t="shared" si="3"/>
        <v>20.046893317702228</v>
      </c>
      <c r="F46" s="39">
        <f t="shared" si="4"/>
        <v>22.891566265060241</v>
      </c>
      <c r="G46" s="39">
        <f t="shared" si="5"/>
        <v>24.582498329993317</v>
      </c>
      <c r="H46" s="39">
        <f t="shared" si="6"/>
        <v>26.578366445916114</v>
      </c>
      <c r="I46" s="39">
        <f t="shared" si="7"/>
        <v>34.410320812878183</v>
      </c>
      <c r="K46" s="235">
        <f>Tax!B65</f>
        <v>1300</v>
      </c>
      <c r="L46" s="235">
        <f>Tax!B105</f>
        <v>5000</v>
      </c>
      <c r="M46" s="235">
        <f>Tax!B145</f>
        <v>10400</v>
      </c>
      <c r="N46" s="235">
        <f>Tax!B185</f>
        <v>17600</v>
      </c>
      <c r="O46" s="235">
        <f>Tax!B265</f>
        <v>26900</v>
      </c>
      <c r="P46" s="235">
        <f>Tax!B305</f>
        <v>37100</v>
      </c>
      <c r="Q46" s="235">
        <f>Tax!B345</f>
        <v>60500</v>
      </c>
      <c r="R46" s="235">
        <f>Tax!B385</f>
        <v>301700</v>
      </c>
      <c r="S46" s="235"/>
      <c r="T46" s="235">
        <f>Trans!B65</f>
        <v>9400</v>
      </c>
      <c r="U46" s="235">
        <f>Trans!B105</f>
        <v>2200</v>
      </c>
      <c r="V46" s="235">
        <f>Trans!B145</f>
        <v>800</v>
      </c>
      <c r="W46" s="235">
        <f>Trans!B185</f>
        <v>500</v>
      </c>
      <c r="X46" s="235">
        <f>Trans!B265</f>
        <v>300</v>
      </c>
      <c r="Y46" s="235">
        <f>Trans!B305</f>
        <v>300</v>
      </c>
      <c r="Z46" s="235">
        <f>Trans!B345</f>
        <v>300</v>
      </c>
      <c r="AA46" s="235">
        <f>Trans!B385</f>
        <v>300</v>
      </c>
      <c r="AC46" s="235">
        <f>Inc!$B65+Trans!$B65</f>
        <v>24900</v>
      </c>
      <c r="AD46" s="235">
        <f>Inc!$B105+Trans!$B105</f>
        <v>38900</v>
      </c>
      <c r="AE46" s="235">
        <f>Inc!$B145+Trans!$B145</f>
        <v>59500</v>
      </c>
      <c r="AF46" s="235">
        <f>Inc!$B185+Trans!$B185</f>
        <v>85800</v>
      </c>
      <c r="AG46" s="235">
        <f>Inc!$B265+Trans!$B265</f>
        <v>116500</v>
      </c>
      <c r="AH46" s="235">
        <f>Inc!$B305+Trans!$B305</f>
        <v>150000</v>
      </c>
      <c r="AI46" s="235">
        <f>Inc!$B345+Trans!$B345</f>
        <v>226800</v>
      </c>
      <c r="AJ46" s="235">
        <f>Inc!$B385+Trans!$B385</f>
        <v>876200</v>
      </c>
      <c r="AK46" s="235"/>
      <c r="AL46" s="235">
        <f>Inc!B65</f>
        <v>15500</v>
      </c>
      <c r="AM46" s="235">
        <f>Inc!B105</f>
        <v>36700</v>
      </c>
      <c r="AN46" s="235">
        <f>Inc!B145</f>
        <v>58700</v>
      </c>
      <c r="AO46" s="235">
        <f>Inc!B185</f>
        <v>85300</v>
      </c>
      <c r="AP46" s="235">
        <f>Inc!B265</f>
        <v>116200</v>
      </c>
      <c r="AQ46" s="235">
        <f>Inc!B305</f>
        <v>149700</v>
      </c>
      <c r="AR46" s="235">
        <f>Inc!B345</f>
        <v>226500</v>
      </c>
      <c r="AS46" s="235">
        <f>Inc!B385</f>
        <v>875900</v>
      </c>
      <c r="AU46" s="235">
        <f>Inc!$D65</f>
        <v>11300</v>
      </c>
      <c r="AV46" s="235">
        <f>Inc!$D105</f>
        <v>27400</v>
      </c>
      <c r="AW46" s="235">
        <f>Inc!$D145</f>
        <v>50700</v>
      </c>
      <c r="AX46" s="235">
        <f>Inc!$D185</f>
        <v>78600</v>
      </c>
      <c r="AY46" s="235">
        <f>Inc!$D265</f>
        <v>110400</v>
      </c>
      <c r="AZ46" s="235">
        <f>Inc!$D305</f>
        <v>143800</v>
      </c>
      <c r="BA46" s="235">
        <f>Inc!$D345</f>
        <v>218700</v>
      </c>
      <c r="BB46" s="235">
        <f>Inc!$D385</f>
        <v>868200</v>
      </c>
      <c r="BD46" s="235">
        <f>Tax!B225</f>
        <v>50200</v>
      </c>
      <c r="BE46" s="235">
        <f>Trans!B225</f>
        <v>300</v>
      </c>
      <c r="BF46" s="235">
        <f>Inc!B225</f>
        <v>185400</v>
      </c>
      <c r="BH46" s="39">
        <f t="shared" si="8"/>
        <v>26.914778856526429</v>
      </c>
    </row>
    <row r="47" spans="1:60">
      <c r="A47" s="215">
        <v>1995</v>
      </c>
      <c r="B47" s="39">
        <f t="shared" si="0"/>
        <v>-47.305389221556887</v>
      </c>
      <c r="C47" s="39">
        <f t="shared" si="1"/>
        <v>7.5129533678756477</v>
      </c>
      <c r="D47" s="39">
        <f t="shared" si="2"/>
        <v>16.282894736842106</v>
      </c>
      <c r="E47" s="39">
        <f t="shared" si="3"/>
        <v>20.091848450057405</v>
      </c>
      <c r="F47" s="39">
        <f t="shared" si="4"/>
        <v>23.115577889447238</v>
      </c>
      <c r="G47" s="39">
        <f t="shared" si="5"/>
        <v>24.951267056530213</v>
      </c>
      <c r="H47" s="39">
        <f t="shared" si="6"/>
        <v>27.066722618548049</v>
      </c>
      <c r="I47" s="39">
        <f t="shared" si="7"/>
        <v>34.841628959276015</v>
      </c>
      <c r="K47" s="235">
        <f>Tax!B66</f>
        <v>1300</v>
      </c>
      <c r="L47" s="235">
        <f>Tax!B106</f>
        <v>5300</v>
      </c>
      <c r="M47" s="235">
        <f>Tax!B146</f>
        <v>10900</v>
      </c>
      <c r="N47" s="235">
        <f>Tax!B186</f>
        <v>18000</v>
      </c>
      <c r="O47" s="235">
        <f>Tax!B266</f>
        <v>27900</v>
      </c>
      <c r="P47" s="235">
        <f>Tax!B306</f>
        <v>38700</v>
      </c>
      <c r="Q47" s="235">
        <f>Tax!B346</f>
        <v>64800</v>
      </c>
      <c r="R47" s="235">
        <f>Tax!B386</f>
        <v>339200</v>
      </c>
      <c r="S47" s="235"/>
      <c r="T47" s="235">
        <f>Trans!B66</f>
        <v>9200</v>
      </c>
      <c r="U47" s="235">
        <f>Trans!B106</f>
        <v>2400</v>
      </c>
      <c r="V47" s="235">
        <f>Trans!B146</f>
        <v>1000</v>
      </c>
      <c r="W47" s="235">
        <f>Trans!B186</f>
        <v>500</v>
      </c>
      <c r="X47" s="235">
        <f>Trans!B266</f>
        <v>300</v>
      </c>
      <c r="Y47" s="235">
        <f>Trans!B306</f>
        <v>300</v>
      </c>
      <c r="Z47" s="235">
        <f>Trans!B346</f>
        <v>300</v>
      </c>
      <c r="AA47" s="235">
        <f>Trans!B386</f>
        <v>400</v>
      </c>
      <c r="AC47" s="235">
        <f>Inc!$B66+Trans!$B66</f>
        <v>25900</v>
      </c>
      <c r="AD47" s="235">
        <f>Inc!$B106+Trans!$B106</f>
        <v>41000</v>
      </c>
      <c r="AE47" s="235">
        <f>Inc!$B146+Trans!$B146</f>
        <v>61800</v>
      </c>
      <c r="AF47" s="235">
        <f>Inc!$B186+Trans!$B186</f>
        <v>87600</v>
      </c>
      <c r="AG47" s="235">
        <f>Inc!$B266+Trans!$B266</f>
        <v>119700</v>
      </c>
      <c r="AH47" s="235">
        <f>Inc!$B306+Trans!$B306</f>
        <v>154200</v>
      </c>
      <c r="AI47" s="235">
        <f>Inc!$B346+Trans!$B346</f>
        <v>238600</v>
      </c>
      <c r="AJ47" s="235">
        <f>Inc!$B386+Trans!$B386</f>
        <v>972800</v>
      </c>
      <c r="AK47" s="235"/>
      <c r="AL47" s="235">
        <f>Inc!B66</f>
        <v>16700</v>
      </c>
      <c r="AM47" s="235">
        <f>Inc!B106</f>
        <v>38600</v>
      </c>
      <c r="AN47" s="235">
        <f>Inc!B146</f>
        <v>60800</v>
      </c>
      <c r="AO47" s="235">
        <f>Inc!B186</f>
        <v>87100</v>
      </c>
      <c r="AP47" s="235">
        <f>Inc!B266</f>
        <v>119400</v>
      </c>
      <c r="AQ47" s="235">
        <f>Inc!B306</f>
        <v>153900</v>
      </c>
      <c r="AR47" s="235">
        <f>Inc!B346</f>
        <v>238300</v>
      </c>
      <c r="AS47" s="235">
        <f>Inc!B386</f>
        <v>972400</v>
      </c>
      <c r="AU47" s="235">
        <f>Inc!$D66</f>
        <v>12300</v>
      </c>
      <c r="AV47" s="235">
        <f>Inc!$D106</f>
        <v>29300</v>
      </c>
      <c r="AW47" s="235">
        <f>Inc!$D146</f>
        <v>52600</v>
      </c>
      <c r="AX47" s="235">
        <f>Inc!$D186</f>
        <v>80000</v>
      </c>
      <c r="AY47" s="235">
        <f>Inc!$D266</f>
        <v>113200</v>
      </c>
      <c r="AZ47" s="235">
        <f>Inc!$D306</f>
        <v>147900</v>
      </c>
      <c r="BA47" s="235">
        <f>Inc!$D346</f>
        <v>231200</v>
      </c>
      <c r="BB47" s="235">
        <f>Inc!$D386</f>
        <v>965000</v>
      </c>
      <c r="BD47" s="235">
        <f>Tax!B226</f>
        <v>53400</v>
      </c>
      <c r="BE47" s="235">
        <f>Trans!B226</f>
        <v>300</v>
      </c>
      <c r="BF47" s="235">
        <f>Inc!B226</f>
        <v>194200</v>
      </c>
      <c r="BH47" s="39">
        <f t="shared" si="8"/>
        <v>27.342945417095777</v>
      </c>
    </row>
    <row r="48" spans="1:60">
      <c r="A48" s="215">
        <v>1996</v>
      </c>
      <c r="B48" s="39">
        <f t="shared" si="0"/>
        <v>-47.305389221556887</v>
      </c>
      <c r="C48" s="39">
        <f t="shared" si="1"/>
        <v>7.7720207253886011</v>
      </c>
      <c r="D48" s="39">
        <f t="shared" si="2"/>
        <v>16.369529983792543</v>
      </c>
      <c r="E48" s="39">
        <f t="shared" si="3"/>
        <v>20.134983127109109</v>
      </c>
      <c r="F48" s="39">
        <f t="shared" si="4"/>
        <v>22.868852459016392</v>
      </c>
      <c r="G48" s="39">
        <f t="shared" si="5"/>
        <v>24.984345648090169</v>
      </c>
      <c r="H48" s="39">
        <f t="shared" si="6"/>
        <v>27.338709677419352</v>
      </c>
      <c r="I48" s="39">
        <f t="shared" si="7"/>
        <v>34.806014479302021</v>
      </c>
      <c r="K48" s="235">
        <f>Tax!B67</f>
        <v>1100</v>
      </c>
      <c r="L48" s="235">
        <f>Tax!B107</f>
        <v>5300</v>
      </c>
      <c r="M48" s="235">
        <f>Tax!B147</f>
        <v>11000</v>
      </c>
      <c r="N48" s="235">
        <f>Tax!B187</f>
        <v>18400</v>
      </c>
      <c r="O48" s="235">
        <f>Tax!B267</f>
        <v>28300</v>
      </c>
      <c r="P48" s="235">
        <f>Tax!B307</f>
        <v>40100</v>
      </c>
      <c r="Q48" s="235">
        <f>Tax!B347</f>
        <v>68000</v>
      </c>
      <c r="R48" s="235">
        <f>Tax!B387</f>
        <v>375300</v>
      </c>
      <c r="S48" s="235"/>
      <c r="T48" s="235">
        <f>Trans!B67</f>
        <v>9000</v>
      </c>
      <c r="U48" s="235">
        <f>Trans!B107</f>
        <v>2300</v>
      </c>
      <c r="V48" s="235">
        <f>Trans!B147</f>
        <v>900</v>
      </c>
      <c r="W48" s="235">
        <f>Trans!B187</f>
        <v>500</v>
      </c>
      <c r="X48" s="235">
        <f>Trans!B267</f>
        <v>400</v>
      </c>
      <c r="Y48" s="235">
        <f>Trans!B307</f>
        <v>200</v>
      </c>
      <c r="Z48" s="235">
        <f>Trans!B347</f>
        <v>200</v>
      </c>
      <c r="AA48" s="235">
        <f>Trans!B387</f>
        <v>300</v>
      </c>
      <c r="AC48" s="235">
        <f>Inc!$B67+Trans!$B67</f>
        <v>25700</v>
      </c>
      <c r="AD48" s="235">
        <f>Inc!$B107+Trans!$B107</f>
        <v>40900</v>
      </c>
      <c r="AE48" s="235">
        <f>Inc!$B147+Trans!$B147</f>
        <v>62600</v>
      </c>
      <c r="AF48" s="235">
        <f>Inc!$B187+Trans!$B187</f>
        <v>89400</v>
      </c>
      <c r="AG48" s="235">
        <f>Inc!$B267+Trans!$B267</f>
        <v>122400</v>
      </c>
      <c r="AH48" s="235">
        <f>Inc!$B307+Trans!$B307</f>
        <v>159900</v>
      </c>
      <c r="AI48" s="235">
        <f>Inc!$B347+Trans!$B347</f>
        <v>248200</v>
      </c>
      <c r="AJ48" s="235">
        <f>Inc!$B387+Trans!$B387</f>
        <v>1077700</v>
      </c>
      <c r="AK48" s="235"/>
      <c r="AL48" s="235">
        <f>Inc!B67</f>
        <v>16700</v>
      </c>
      <c r="AM48" s="235">
        <f>Inc!B107</f>
        <v>38600</v>
      </c>
      <c r="AN48" s="235">
        <f>Inc!B147</f>
        <v>61700</v>
      </c>
      <c r="AO48" s="235">
        <f>Inc!B187</f>
        <v>88900</v>
      </c>
      <c r="AP48" s="235">
        <f>Inc!B267</f>
        <v>122000</v>
      </c>
      <c r="AQ48" s="235">
        <f>Inc!B307</f>
        <v>159700</v>
      </c>
      <c r="AR48" s="235">
        <f>Inc!B347</f>
        <v>248000</v>
      </c>
      <c r="AS48" s="235">
        <f>Inc!B387</f>
        <v>1077400</v>
      </c>
      <c r="AU48" s="235">
        <f>Inc!$D67</f>
        <v>12500</v>
      </c>
      <c r="AV48" s="235">
        <f>Inc!$D107</f>
        <v>29600</v>
      </c>
      <c r="AW48" s="235">
        <f>Inc!$D147</f>
        <v>53400</v>
      </c>
      <c r="AX48" s="235">
        <f>Inc!$D187</f>
        <v>81400</v>
      </c>
      <c r="AY48" s="235">
        <f>Inc!$D267</f>
        <v>115400</v>
      </c>
      <c r="AZ48" s="235">
        <f>Inc!$D307</f>
        <v>152900</v>
      </c>
      <c r="BA48" s="235">
        <f>Inc!$D347</f>
        <v>240400</v>
      </c>
      <c r="BB48" s="235">
        <f>Inc!$D387</f>
        <v>1070200</v>
      </c>
      <c r="BD48" s="235">
        <f>Tax!B227</f>
        <v>56900</v>
      </c>
      <c r="BE48" s="235">
        <f>Trans!B227</f>
        <v>300</v>
      </c>
      <c r="BF48" s="235">
        <f>Inc!B227</f>
        <v>205400</v>
      </c>
      <c r="BH48" s="39">
        <f t="shared" si="8"/>
        <v>27.55598831548199</v>
      </c>
    </row>
    <row r="49" spans="1:60">
      <c r="A49" s="215">
        <v>1997</v>
      </c>
      <c r="B49" s="39">
        <f t="shared" si="0"/>
        <v>-40.909090909090914</v>
      </c>
      <c r="C49" s="39">
        <f t="shared" si="1"/>
        <v>8.25</v>
      </c>
      <c r="D49" s="39">
        <f t="shared" si="2"/>
        <v>16.825396825396826</v>
      </c>
      <c r="E49" s="39">
        <f t="shared" si="3"/>
        <v>20.219780219780219</v>
      </c>
      <c r="F49" s="39">
        <f t="shared" si="4"/>
        <v>23.218574859887912</v>
      </c>
      <c r="G49" s="39">
        <f t="shared" si="5"/>
        <v>25.075346594333936</v>
      </c>
      <c r="H49" s="39">
        <f t="shared" si="6"/>
        <v>27.458396369137674</v>
      </c>
      <c r="I49" s="39">
        <f t="shared" si="7"/>
        <v>33.783457921388951</v>
      </c>
      <c r="K49" s="235">
        <f>Tax!B68</f>
        <v>1200</v>
      </c>
      <c r="L49" s="235">
        <f>Tax!B108</f>
        <v>5600</v>
      </c>
      <c r="M49" s="235">
        <f>Tax!B148</f>
        <v>11400</v>
      </c>
      <c r="N49" s="235">
        <f>Tax!B188</f>
        <v>18900</v>
      </c>
      <c r="O49" s="235">
        <f>Tax!B268</f>
        <v>29300</v>
      </c>
      <c r="P49" s="235">
        <f>Tax!B308</f>
        <v>41800</v>
      </c>
      <c r="Q49" s="235">
        <f>Tax!B348</f>
        <v>72900</v>
      </c>
      <c r="R49" s="235">
        <f>Tax!B388</f>
        <v>420500</v>
      </c>
      <c r="S49" s="235"/>
      <c r="T49" s="235">
        <f>Trans!B68</f>
        <v>8400</v>
      </c>
      <c r="U49" s="235">
        <f>Trans!B108</f>
        <v>2300</v>
      </c>
      <c r="V49" s="235">
        <f>Trans!B148</f>
        <v>800</v>
      </c>
      <c r="W49" s="235">
        <f>Trans!B188</f>
        <v>500</v>
      </c>
      <c r="X49" s="235">
        <f>Trans!B268</f>
        <v>300</v>
      </c>
      <c r="Y49" s="235">
        <f>Trans!B308</f>
        <v>200</v>
      </c>
      <c r="Z49" s="235">
        <f>Trans!B348</f>
        <v>300</v>
      </c>
      <c r="AA49" s="235">
        <f>Trans!B388</f>
        <v>200</v>
      </c>
      <c r="AC49" s="235">
        <f>Inc!$B68+Trans!$B68</f>
        <v>26000</v>
      </c>
      <c r="AD49" s="235">
        <f>Inc!$B108+Trans!$B108</f>
        <v>42300</v>
      </c>
      <c r="AE49" s="235">
        <f>Inc!$B148+Trans!$B148</f>
        <v>63800</v>
      </c>
      <c r="AF49" s="235">
        <f>Inc!$B188+Trans!$B188</f>
        <v>91500</v>
      </c>
      <c r="AG49" s="235">
        <f>Inc!$B268+Trans!$B268</f>
        <v>125200</v>
      </c>
      <c r="AH49" s="235">
        <f>Inc!$B308+Trans!$B308</f>
        <v>166100</v>
      </c>
      <c r="AI49" s="235">
        <f>Inc!$B348+Trans!$B348</f>
        <v>264700</v>
      </c>
      <c r="AJ49" s="235">
        <f>Inc!$B388+Trans!$B388</f>
        <v>1244300</v>
      </c>
      <c r="AK49" s="235"/>
      <c r="AL49" s="235">
        <f>Inc!B68</f>
        <v>17600</v>
      </c>
      <c r="AM49" s="235">
        <f>Inc!B108</f>
        <v>40000</v>
      </c>
      <c r="AN49" s="235">
        <f>Inc!B148</f>
        <v>63000</v>
      </c>
      <c r="AO49" s="235">
        <f>Inc!B188</f>
        <v>91000</v>
      </c>
      <c r="AP49" s="235">
        <f>Inc!B268</f>
        <v>124900</v>
      </c>
      <c r="AQ49" s="235">
        <f>Inc!B308</f>
        <v>165900</v>
      </c>
      <c r="AR49" s="235">
        <f>Inc!B348</f>
        <v>264400</v>
      </c>
      <c r="AS49" s="235">
        <f>Inc!B388</f>
        <v>1244100</v>
      </c>
      <c r="AU49" s="235">
        <f>Inc!$D68</f>
        <v>13200</v>
      </c>
      <c r="AV49" s="235">
        <f>Inc!$D108</f>
        <v>30900</v>
      </c>
      <c r="AW49" s="235">
        <f>Inc!$D148</f>
        <v>54900</v>
      </c>
      <c r="AX49" s="235">
        <f>Inc!$D188</f>
        <v>83300</v>
      </c>
      <c r="AY49" s="235">
        <f>Inc!$D268</f>
        <v>118000</v>
      </c>
      <c r="AZ49" s="235">
        <f>Inc!$D308</f>
        <v>158900</v>
      </c>
      <c r="BA49" s="235">
        <f>Inc!$D348</f>
        <v>256300</v>
      </c>
      <c r="BB49" s="235">
        <f>Inc!$D388</f>
        <v>1236100</v>
      </c>
      <c r="BD49" s="235">
        <f>Tax!B228</f>
        <v>60400</v>
      </c>
      <c r="BE49" s="235">
        <f>Trans!B228</f>
        <v>300</v>
      </c>
      <c r="BF49" s="235">
        <f>Inc!B228</f>
        <v>218200</v>
      </c>
      <c r="BH49" s="39">
        <f t="shared" si="8"/>
        <v>27.543538038496791</v>
      </c>
    </row>
    <row r="50" spans="1:60">
      <c r="A50" s="215">
        <v>1998</v>
      </c>
      <c r="B50" s="39">
        <f t="shared" si="0"/>
        <v>-38.829787234042549</v>
      </c>
      <c r="C50" s="39">
        <f t="shared" si="1"/>
        <v>7.3985680190930783</v>
      </c>
      <c r="D50" s="39">
        <f t="shared" si="2"/>
        <v>16.104294478527606</v>
      </c>
      <c r="E50" s="39">
        <f t="shared" si="3"/>
        <v>20</v>
      </c>
      <c r="F50" s="39">
        <f t="shared" si="4"/>
        <v>23.118279569892472</v>
      </c>
      <c r="G50" s="39">
        <f t="shared" si="5"/>
        <v>25.014475969889983</v>
      </c>
      <c r="H50" s="39">
        <f t="shared" si="6"/>
        <v>27.292263610315189</v>
      </c>
      <c r="I50" s="39">
        <f t="shared" si="7"/>
        <v>32.406227883934889</v>
      </c>
      <c r="K50" s="235">
        <f>Tax!B69</f>
        <v>1300</v>
      </c>
      <c r="L50" s="235">
        <f>Tax!B109</f>
        <v>5600</v>
      </c>
      <c r="M50" s="235">
        <f>Tax!B149</f>
        <v>11400</v>
      </c>
      <c r="N50" s="235">
        <f>Tax!B189</f>
        <v>19400</v>
      </c>
      <c r="O50" s="235">
        <f>Tax!B269</f>
        <v>30500</v>
      </c>
      <c r="P50" s="235">
        <f>Tax!B309</f>
        <v>43500</v>
      </c>
      <c r="Q50" s="235">
        <f>Tax!B349</f>
        <v>76500</v>
      </c>
      <c r="R50" s="235">
        <f>Tax!B389</f>
        <v>458200</v>
      </c>
      <c r="S50" s="235"/>
      <c r="T50" s="235">
        <f>Trans!B69</f>
        <v>8600</v>
      </c>
      <c r="U50" s="235">
        <f>Trans!B109</f>
        <v>2500</v>
      </c>
      <c r="V50" s="235">
        <f>Trans!B149</f>
        <v>900</v>
      </c>
      <c r="W50" s="235">
        <f>Trans!B189</f>
        <v>500</v>
      </c>
      <c r="X50" s="235">
        <f>Trans!B269</f>
        <v>400</v>
      </c>
      <c r="Y50" s="235">
        <f>Trans!B309</f>
        <v>300</v>
      </c>
      <c r="Z50" s="235">
        <f>Trans!B349</f>
        <v>300</v>
      </c>
      <c r="AA50" s="235">
        <f>Trans!B389</f>
        <v>300</v>
      </c>
      <c r="AC50" s="235">
        <f>Inc!$B69+Trans!$B69</f>
        <v>27400</v>
      </c>
      <c r="AD50" s="235">
        <f>Inc!$B109+Trans!$B109</f>
        <v>44400</v>
      </c>
      <c r="AE50" s="235">
        <f>Inc!$B149+Trans!$B149</f>
        <v>66100</v>
      </c>
      <c r="AF50" s="235">
        <f>Inc!$B189+Trans!$B189</f>
        <v>95000</v>
      </c>
      <c r="AG50" s="235">
        <f>Inc!$B269+Trans!$B269</f>
        <v>130600</v>
      </c>
      <c r="AH50" s="235">
        <f>Inc!$B309+Trans!$B309</f>
        <v>173000</v>
      </c>
      <c r="AI50" s="235">
        <f>Inc!$B349+Trans!$B349</f>
        <v>279500</v>
      </c>
      <c r="AJ50" s="235">
        <f>Inc!$B389+Trans!$B389</f>
        <v>1413300</v>
      </c>
      <c r="AK50" s="235"/>
      <c r="AL50" s="235">
        <f>Inc!B69</f>
        <v>18800</v>
      </c>
      <c r="AM50" s="235">
        <f>Inc!B109</f>
        <v>41900</v>
      </c>
      <c r="AN50" s="235">
        <f>Inc!B149</f>
        <v>65200</v>
      </c>
      <c r="AO50" s="235">
        <f>Inc!B189</f>
        <v>94500</v>
      </c>
      <c r="AP50" s="235">
        <f>Inc!B269</f>
        <v>130200</v>
      </c>
      <c r="AQ50" s="235">
        <f>Inc!B309</f>
        <v>172700</v>
      </c>
      <c r="AR50" s="235">
        <f>Inc!B349</f>
        <v>279200</v>
      </c>
      <c r="AS50" s="235">
        <f>Inc!B389</f>
        <v>1413000</v>
      </c>
      <c r="AU50" s="235">
        <f>Inc!$D69</f>
        <v>14300</v>
      </c>
      <c r="AV50" s="235">
        <f>Inc!$D109</f>
        <v>32800</v>
      </c>
      <c r="AW50" s="235">
        <f>Inc!$D149</f>
        <v>56800</v>
      </c>
      <c r="AX50" s="235">
        <f>Inc!$D189</f>
        <v>87100</v>
      </c>
      <c r="AY50" s="235">
        <f>Inc!$D269</f>
        <v>123500</v>
      </c>
      <c r="AZ50" s="235">
        <f>Inc!$D309</f>
        <v>166100</v>
      </c>
      <c r="BA50" s="235">
        <f>Inc!$D349</f>
        <v>271600</v>
      </c>
      <c r="BB50" s="235">
        <f>Inc!$D389</f>
        <v>1405700</v>
      </c>
      <c r="BD50" s="235">
        <f>Tax!B229</f>
        <v>63700</v>
      </c>
      <c r="BE50" s="235">
        <f>Trans!B229</f>
        <v>300</v>
      </c>
      <c r="BF50" s="235">
        <f>Inc!B229</f>
        <v>233000</v>
      </c>
      <c r="BH50" s="39">
        <f t="shared" si="8"/>
        <v>27.210300429184546</v>
      </c>
    </row>
    <row r="51" spans="1:60">
      <c r="A51" s="215">
        <v>1999</v>
      </c>
      <c r="B51" s="39">
        <f t="shared" si="0"/>
        <v>-35.897435897435898</v>
      </c>
      <c r="C51" s="39">
        <f t="shared" si="1"/>
        <v>7.6036866359447011</v>
      </c>
      <c r="D51" s="39">
        <f t="shared" si="2"/>
        <v>15.946348733233979</v>
      </c>
      <c r="E51" s="39">
        <f t="shared" si="3"/>
        <v>20.206185567010309</v>
      </c>
      <c r="F51" s="39">
        <f t="shared" si="4"/>
        <v>23.412112259970456</v>
      </c>
      <c r="G51" s="39">
        <f t="shared" si="5"/>
        <v>25.361512791991103</v>
      </c>
      <c r="H51" s="39">
        <f t="shared" si="6"/>
        <v>27.853725222146274</v>
      </c>
      <c r="I51" s="39">
        <f t="shared" si="7"/>
        <v>32.602775256127607</v>
      </c>
      <c r="K51" s="235">
        <f>Tax!B70</f>
        <v>1400</v>
      </c>
      <c r="L51" s="235">
        <f>Tax!B110</f>
        <v>5900</v>
      </c>
      <c r="M51" s="235">
        <f>Tax!B150</f>
        <v>11800</v>
      </c>
      <c r="N51" s="235">
        <f>Tax!B190</f>
        <v>20100</v>
      </c>
      <c r="O51" s="235">
        <f>Tax!B270</f>
        <v>32100</v>
      </c>
      <c r="P51" s="235">
        <f>Tax!B310</f>
        <v>45900</v>
      </c>
      <c r="Q51" s="235">
        <f>Tax!B350</f>
        <v>81800</v>
      </c>
      <c r="R51" s="235">
        <f>Tax!B390</f>
        <v>503100</v>
      </c>
      <c r="S51" s="235"/>
      <c r="T51" s="235">
        <f>Trans!B70</f>
        <v>8400</v>
      </c>
      <c r="U51" s="235">
        <f>Trans!B110</f>
        <v>2600</v>
      </c>
      <c r="V51" s="235">
        <f>Trans!B150</f>
        <v>1100</v>
      </c>
      <c r="W51" s="235">
        <f>Trans!B190</f>
        <v>500</v>
      </c>
      <c r="X51" s="235">
        <f>Trans!B270</f>
        <v>400</v>
      </c>
      <c r="Y51" s="235">
        <f>Trans!B310</f>
        <v>300</v>
      </c>
      <c r="Z51" s="235">
        <f>Trans!B350</f>
        <v>300</v>
      </c>
      <c r="AA51" s="235">
        <f>Trans!B390</f>
        <v>300</v>
      </c>
      <c r="AC51" s="235">
        <f>Inc!$B70+Trans!$B70</f>
        <v>27900</v>
      </c>
      <c r="AD51" s="235">
        <f>Inc!$B110+Trans!$B110</f>
        <v>46000</v>
      </c>
      <c r="AE51" s="235">
        <f>Inc!$B150+Trans!$B150</f>
        <v>68200</v>
      </c>
      <c r="AF51" s="235">
        <f>Inc!$B190+Trans!$B190</f>
        <v>97500</v>
      </c>
      <c r="AG51" s="235">
        <f>Inc!$B270+Trans!$B270</f>
        <v>135800</v>
      </c>
      <c r="AH51" s="235">
        <f>Inc!$B310+Trans!$B310</f>
        <v>180100</v>
      </c>
      <c r="AI51" s="235">
        <f>Inc!$B350+Trans!$B350</f>
        <v>292900</v>
      </c>
      <c r="AJ51" s="235">
        <f>Inc!$B390+Trans!$B390</f>
        <v>1542500</v>
      </c>
      <c r="AK51" s="235"/>
      <c r="AL51" s="235">
        <f>Inc!B70</f>
        <v>19500</v>
      </c>
      <c r="AM51" s="235">
        <f>Inc!B110</f>
        <v>43400</v>
      </c>
      <c r="AN51" s="235">
        <f>Inc!B150</f>
        <v>67100</v>
      </c>
      <c r="AO51" s="235">
        <f>Inc!B190</f>
        <v>97000</v>
      </c>
      <c r="AP51" s="235">
        <f>Inc!B270</f>
        <v>135400</v>
      </c>
      <c r="AQ51" s="235">
        <f>Inc!B310</f>
        <v>179800</v>
      </c>
      <c r="AR51" s="235">
        <f>Inc!B350</f>
        <v>292600</v>
      </c>
      <c r="AS51" s="235">
        <f>Inc!B390</f>
        <v>1542200</v>
      </c>
      <c r="AU51" s="235">
        <f>Inc!$D70</f>
        <v>14600</v>
      </c>
      <c r="AV51" s="235">
        <f>Inc!$D110</f>
        <v>34600</v>
      </c>
      <c r="AW51" s="235">
        <f>Inc!$D150</f>
        <v>58800</v>
      </c>
      <c r="AX51" s="235">
        <f>Inc!$D190</f>
        <v>89900</v>
      </c>
      <c r="AY51" s="235">
        <f>Inc!$D270</f>
        <v>129300</v>
      </c>
      <c r="AZ51" s="235">
        <f>Inc!$D310</f>
        <v>173200</v>
      </c>
      <c r="BA51" s="235">
        <f>Inc!$D350</f>
        <v>285800</v>
      </c>
      <c r="BB51" s="235">
        <f>Inc!$D390</f>
        <v>1535000</v>
      </c>
      <c r="BD51" s="235">
        <f>Tax!B230</f>
        <v>69000</v>
      </c>
      <c r="BE51" s="235">
        <f>Trans!B230</f>
        <v>300</v>
      </c>
      <c r="BF51" s="235">
        <f>Inc!B230</f>
        <v>248200</v>
      </c>
      <c r="BH51" s="39">
        <f t="shared" si="8"/>
        <v>27.679290894439966</v>
      </c>
    </row>
    <row r="52" spans="1:60">
      <c r="A52" s="215">
        <v>2000</v>
      </c>
      <c r="B52" s="39">
        <f t="shared" si="0"/>
        <v>-37.305699481865283</v>
      </c>
      <c r="C52" s="39">
        <f t="shared" si="1"/>
        <v>7.1264367816091951</v>
      </c>
      <c r="D52" s="39">
        <f t="shared" si="2"/>
        <v>15.555555555555555</v>
      </c>
      <c r="E52" s="39">
        <f t="shared" si="3"/>
        <v>20.060790273556233</v>
      </c>
      <c r="F52" s="39">
        <f t="shared" si="4"/>
        <v>23.38884866039102</v>
      </c>
      <c r="G52" s="39">
        <f t="shared" si="5"/>
        <v>25.350593311758363</v>
      </c>
      <c r="H52" s="39">
        <f t="shared" si="6"/>
        <v>27.860696517412936</v>
      </c>
      <c r="I52" s="39">
        <f t="shared" si="7"/>
        <v>32.255781028787162</v>
      </c>
      <c r="K52" s="235">
        <f>Tax!B71</f>
        <v>1300</v>
      </c>
      <c r="L52" s="235">
        <f>Tax!B111</f>
        <v>5900</v>
      </c>
      <c r="M52" s="235">
        <f>Tax!B151</f>
        <v>11700</v>
      </c>
      <c r="N52" s="235">
        <f>Tax!B191</f>
        <v>20400</v>
      </c>
      <c r="O52" s="235">
        <f>Tax!B271</f>
        <v>32700</v>
      </c>
      <c r="P52" s="235">
        <f>Tax!B311</f>
        <v>47300</v>
      </c>
      <c r="Q52" s="235">
        <f>Tax!B351</f>
        <v>84300</v>
      </c>
      <c r="R52" s="235">
        <f>Tax!B391</f>
        <v>547200</v>
      </c>
      <c r="S52" s="235"/>
      <c r="T52" s="235">
        <f>Trans!B71</f>
        <v>8500</v>
      </c>
      <c r="U52" s="235">
        <f>Trans!B111</f>
        <v>2800</v>
      </c>
      <c r="V52" s="235">
        <f>Trans!B151</f>
        <v>1200</v>
      </c>
      <c r="W52" s="235">
        <f>Trans!B191</f>
        <v>600</v>
      </c>
      <c r="X52" s="235">
        <f>Trans!B271</f>
        <v>400</v>
      </c>
      <c r="Y52" s="235">
        <f>Trans!B311</f>
        <v>300</v>
      </c>
      <c r="Z52" s="235">
        <f>Trans!B351</f>
        <v>300</v>
      </c>
      <c r="AA52" s="235">
        <f>Trans!B391</f>
        <v>400</v>
      </c>
      <c r="AC52" s="235">
        <f>Inc!$B71+Trans!$B71</f>
        <v>27800</v>
      </c>
      <c r="AD52" s="235">
        <f>Inc!$B111+Trans!$B111</f>
        <v>46300</v>
      </c>
      <c r="AE52" s="235">
        <f>Inc!$B151+Trans!$B151</f>
        <v>68700</v>
      </c>
      <c r="AF52" s="235">
        <f>Inc!$B191+Trans!$B191</f>
        <v>99300</v>
      </c>
      <c r="AG52" s="235">
        <f>Inc!$B271+Trans!$B271</f>
        <v>138500</v>
      </c>
      <c r="AH52" s="235">
        <f>Inc!$B311+Trans!$B311</f>
        <v>185700</v>
      </c>
      <c r="AI52" s="235">
        <f>Inc!$B351+Trans!$B351</f>
        <v>301800</v>
      </c>
      <c r="AJ52" s="235">
        <f>Inc!$B391+Trans!$B391</f>
        <v>1695600</v>
      </c>
      <c r="AK52" s="235"/>
      <c r="AL52" s="235">
        <f>Inc!B71</f>
        <v>19300</v>
      </c>
      <c r="AM52" s="235">
        <f>Inc!B111</f>
        <v>43500</v>
      </c>
      <c r="AN52" s="235">
        <f>Inc!B151</f>
        <v>67500</v>
      </c>
      <c r="AO52" s="235">
        <f>Inc!B191</f>
        <v>98700</v>
      </c>
      <c r="AP52" s="235">
        <f>Inc!B271</f>
        <v>138100</v>
      </c>
      <c r="AQ52" s="235">
        <f>Inc!B311</f>
        <v>185400</v>
      </c>
      <c r="AR52" s="235">
        <f>Inc!B351</f>
        <v>301500</v>
      </c>
      <c r="AS52" s="235">
        <f>Inc!B391</f>
        <v>1695200</v>
      </c>
      <c r="AU52" s="235">
        <f>Inc!$D71</f>
        <v>14400</v>
      </c>
      <c r="AV52" s="235">
        <f>Inc!$D111</f>
        <v>34900</v>
      </c>
      <c r="AW52" s="235">
        <f>Inc!$D151</f>
        <v>59000</v>
      </c>
      <c r="AX52" s="235">
        <f>Inc!$D191</f>
        <v>91500</v>
      </c>
      <c r="AY52" s="235">
        <f>Inc!$D271</f>
        <v>131500</v>
      </c>
      <c r="AZ52" s="235">
        <f>Inc!$D311</f>
        <v>179100</v>
      </c>
      <c r="BA52" s="235">
        <f>Inc!$D351</f>
        <v>293800</v>
      </c>
      <c r="BB52" s="235">
        <f>Inc!$D391</f>
        <v>1687300</v>
      </c>
      <c r="BD52" s="235">
        <f>Tax!B231</f>
        <v>72300</v>
      </c>
      <c r="BE52" s="235">
        <f>Trans!B231</f>
        <v>400</v>
      </c>
      <c r="BF52" s="235">
        <f>Inc!B231</f>
        <v>260300</v>
      </c>
      <c r="BH52" s="39">
        <f t="shared" si="8"/>
        <v>27.621974644640801</v>
      </c>
    </row>
    <row r="53" spans="1:60">
      <c r="A53" s="215">
        <v>2001</v>
      </c>
      <c r="B53" s="39">
        <f t="shared" si="0"/>
        <v>-41.578947368421055</v>
      </c>
      <c r="C53" s="39">
        <f t="shared" si="1"/>
        <v>4.4289044289044286</v>
      </c>
      <c r="D53" s="39">
        <f t="shared" si="2"/>
        <v>13.988095238095239</v>
      </c>
      <c r="E53" s="39">
        <f t="shared" si="3"/>
        <v>18.666666666666668</v>
      </c>
      <c r="F53" s="39">
        <f t="shared" si="4"/>
        <v>22.238478419897586</v>
      </c>
      <c r="G53" s="39">
        <f t="shared" si="5"/>
        <v>24.346859366314618</v>
      </c>
      <c r="H53" s="39">
        <f t="shared" si="6"/>
        <v>26.608084358523726</v>
      </c>
      <c r="I53" s="39">
        <f t="shared" si="7"/>
        <v>32.002656434474616</v>
      </c>
      <c r="K53" s="235">
        <f>Tax!B72</f>
        <v>1200</v>
      </c>
      <c r="L53" s="235">
        <f>Tax!B112</f>
        <v>5000</v>
      </c>
      <c r="M53" s="235">
        <f>Tax!B152</f>
        <v>10600</v>
      </c>
      <c r="N53" s="235">
        <f>Tax!B192</f>
        <v>18800</v>
      </c>
      <c r="O53" s="235">
        <f>Tax!B272</f>
        <v>30800</v>
      </c>
      <c r="P53" s="235">
        <f>Tax!B312</f>
        <v>44200</v>
      </c>
      <c r="Q53" s="235">
        <f>Tax!B352</f>
        <v>76100</v>
      </c>
      <c r="R53" s="235">
        <f>Tax!B392</f>
        <v>434100</v>
      </c>
      <c r="S53" s="235"/>
      <c r="T53" s="235">
        <f>Trans!B72</f>
        <v>9100</v>
      </c>
      <c r="U53" s="235">
        <f>Trans!B112</f>
        <v>3100</v>
      </c>
      <c r="V53" s="235">
        <f>Trans!B152</f>
        <v>1200</v>
      </c>
      <c r="W53" s="235">
        <f>Trans!B192</f>
        <v>600</v>
      </c>
      <c r="X53" s="235">
        <f>Trans!B272</f>
        <v>400</v>
      </c>
      <c r="Y53" s="235">
        <f>Trans!B312</f>
        <v>400</v>
      </c>
      <c r="Z53" s="235">
        <f>Trans!B352</f>
        <v>400</v>
      </c>
      <c r="AA53" s="235">
        <f>Trans!B392</f>
        <v>400</v>
      </c>
      <c r="AC53" s="235">
        <f>Inc!$B72+Trans!$B72</f>
        <v>28100</v>
      </c>
      <c r="AD53" s="235">
        <f>Inc!$B112+Trans!$B112</f>
        <v>46000</v>
      </c>
      <c r="AE53" s="235">
        <f>Inc!$B152+Trans!$B152</f>
        <v>68400</v>
      </c>
      <c r="AF53" s="235">
        <f>Inc!$B192+Trans!$B192</f>
        <v>98100</v>
      </c>
      <c r="AG53" s="235">
        <f>Inc!$B272+Trans!$B272</f>
        <v>137100</v>
      </c>
      <c r="AH53" s="235">
        <f>Inc!$B312+Trans!$B312</f>
        <v>180300</v>
      </c>
      <c r="AI53" s="235">
        <f>Inc!$B352+Trans!$B352</f>
        <v>284900</v>
      </c>
      <c r="AJ53" s="235">
        <f>Inc!$B392+Trans!$B392</f>
        <v>1355600</v>
      </c>
      <c r="AK53" s="235"/>
      <c r="AL53" s="235">
        <f>Inc!B72</f>
        <v>19000</v>
      </c>
      <c r="AM53" s="235">
        <f>Inc!B112</f>
        <v>42900</v>
      </c>
      <c r="AN53" s="235">
        <f>Inc!B152</f>
        <v>67200</v>
      </c>
      <c r="AO53" s="235">
        <f>Inc!B192</f>
        <v>97500</v>
      </c>
      <c r="AP53" s="235">
        <f>Inc!B272</f>
        <v>136700</v>
      </c>
      <c r="AQ53" s="235">
        <f>Inc!B312</f>
        <v>179900</v>
      </c>
      <c r="AR53" s="235">
        <f>Inc!B352</f>
        <v>284500</v>
      </c>
      <c r="AS53" s="235">
        <f>Inc!B392</f>
        <v>1355200</v>
      </c>
      <c r="AU53" s="235">
        <f>Inc!$D72</f>
        <v>14000</v>
      </c>
      <c r="AV53" s="235">
        <f>Inc!$D112</f>
        <v>33400</v>
      </c>
      <c r="AW53" s="235">
        <f>Inc!$D152</f>
        <v>58200</v>
      </c>
      <c r="AX53" s="235">
        <f>Inc!$D192</f>
        <v>89800</v>
      </c>
      <c r="AY53" s="235">
        <f>Inc!$D272</f>
        <v>130100</v>
      </c>
      <c r="AZ53" s="235">
        <f>Inc!$D312</f>
        <v>173400</v>
      </c>
      <c r="BA53" s="235">
        <f>Inc!$D352</f>
        <v>277700</v>
      </c>
      <c r="BB53" s="235">
        <f>Inc!$D392</f>
        <v>1348200</v>
      </c>
      <c r="BD53" s="235">
        <f>Tax!B232</f>
        <v>63200</v>
      </c>
      <c r="BE53" s="235">
        <f>Trans!B232</f>
        <v>400</v>
      </c>
      <c r="BF53" s="235">
        <f>Inc!B232</f>
        <v>237400</v>
      </c>
      <c r="BH53" s="39">
        <f t="shared" si="8"/>
        <v>26.453243470935128</v>
      </c>
    </row>
    <row r="54" spans="1:60">
      <c r="A54" s="215">
        <v>2002</v>
      </c>
      <c r="B54" s="39">
        <f t="shared" si="0"/>
        <v>-45.212765957446813</v>
      </c>
      <c r="C54" s="39">
        <f t="shared" si="1"/>
        <v>2.6315789473684208</v>
      </c>
      <c r="D54" s="39">
        <f t="shared" si="2"/>
        <v>12.917933130699089</v>
      </c>
      <c r="E54" s="39">
        <f t="shared" si="3"/>
        <v>17.745302713987474</v>
      </c>
      <c r="F54" s="39">
        <f t="shared" si="4"/>
        <v>21.428571428571427</v>
      </c>
      <c r="G54" s="39">
        <f t="shared" si="5"/>
        <v>23.562570462232244</v>
      </c>
      <c r="H54" s="39">
        <f t="shared" si="6"/>
        <v>25.988286969253295</v>
      </c>
      <c r="I54" s="39">
        <f t="shared" si="7"/>
        <v>31.876092930302274</v>
      </c>
      <c r="K54" s="235">
        <f>Tax!B73</f>
        <v>1100</v>
      </c>
      <c r="L54" s="235">
        <f>Tax!B113</f>
        <v>4600</v>
      </c>
      <c r="M54" s="235">
        <f>Tax!B153</f>
        <v>9900</v>
      </c>
      <c r="N54" s="235">
        <f>Tax!B193</f>
        <v>17700</v>
      </c>
      <c r="O54" s="235">
        <f>Tax!B273</f>
        <v>29300</v>
      </c>
      <c r="P54" s="235">
        <f>Tax!B313</f>
        <v>42200</v>
      </c>
      <c r="Q54" s="235">
        <f>Tax!B353</f>
        <v>71300</v>
      </c>
      <c r="R54" s="235">
        <f>Tax!B393</f>
        <v>383300</v>
      </c>
      <c r="S54" s="235"/>
      <c r="T54" s="235">
        <f>Trans!B73</f>
        <v>9600</v>
      </c>
      <c r="U54" s="235">
        <f>Trans!B113</f>
        <v>3500</v>
      </c>
      <c r="V54" s="235">
        <f>Trans!B153</f>
        <v>1400</v>
      </c>
      <c r="W54" s="235">
        <f>Trans!B193</f>
        <v>700</v>
      </c>
      <c r="X54" s="235">
        <f>Trans!B273</f>
        <v>500</v>
      </c>
      <c r="Y54" s="235">
        <f>Trans!B313</f>
        <v>400</v>
      </c>
      <c r="Z54" s="235">
        <f>Trans!B353</f>
        <v>300</v>
      </c>
      <c r="AA54" s="235">
        <f>Trans!B393</f>
        <v>500</v>
      </c>
      <c r="AC54" s="235">
        <f>Inc!$B73+Trans!$B73</f>
        <v>28400</v>
      </c>
      <c r="AD54" s="235">
        <f>Inc!$B113+Trans!$B113</f>
        <v>45300</v>
      </c>
      <c r="AE54" s="235">
        <f>Inc!$B153+Trans!$B153</f>
        <v>67200</v>
      </c>
      <c r="AF54" s="235">
        <f>Inc!$B193+Trans!$B193</f>
        <v>96500</v>
      </c>
      <c r="AG54" s="235">
        <f>Inc!$B273+Trans!$B273</f>
        <v>134900</v>
      </c>
      <c r="AH54" s="235">
        <f>Inc!$B313+Trans!$B313</f>
        <v>177800</v>
      </c>
      <c r="AI54" s="235">
        <f>Inc!$B353+Trans!$B353</f>
        <v>273500</v>
      </c>
      <c r="AJ54" s="235">
        <f>Inc!$B393+Trans!$B393</f>
        <v>1201400</v>
      </c>
      <c r="AK54" s="235"/>
      <c r="AL54" s="235">
        <f>Inc!B73</f>
        <v>18800</v>
      </c>
      <c r="AM54" s="235">
        <f>Inc!B113</f>
        <v>41800</v>
      </c>
      <c r="AN54" s="235">
        <f>Inc!B153</f>
        <v>65800</v>
      </c>
      <c r="AO54" s="235">
        <f>Inc!B193</f>
        <v>95800</v>
      </c>
      <c r="AP54" s="235">
        <f>Inc!B273</f>
        <v>134400</v>
      </c>
      <c r="AQ54" s="235">
        <f>Inc!B313</f>
        <v>177400</v>
      </c>
      <c r="AR54" s="235">
        <f>Inc!B353</f>
        <v>273200</v>
      </c>
      <c r="AS54" s="235">
        <f>Inc!B393</f>
        <v>1200900</v>
      </c>
      <c r="AU54" s="235">
        <f>Inc!$D73</f>
        <v>14000</v>
      </c>
      <c r="AV54" s="235">
        <f>Inc!$D113</f>
        <v>32000</v>
      </c>
      <c r="AW54" s="235">
        <f>Inc!$D153</f>
        <v>55900</v>
      </c>
      <c r="AX54" s="235">
        <f>Inc!$D193</f>
        <v>87200</v>
      </c>
      <c r="AY54" s="235">
        <f>Inc!$D273</f>
        <v>127600</v>
      </c>
      <c r="AZ54" s="235">
        <f>Inc!$D313</f>
        <v>170700</v>
      </c>
      <c r="BA54" s="235">
        <f>Inc!$D353</f>
        <v>266400</v>
      </c>
      <c r="BB54" s="235">
        <f>Inc!$D393</f>
        <v>1193400</v>
      </c>
      <c r="BD54" s="235">
        <f>Tax!B233</f>
        <v>58400</v>
      </c>
      <c r="BE54" s="235">
        <f>Trans!B233</f>
        <v>400</v>
      </c>
      <c r="BF54" s="235">
        <f>Inc!B233</f>
        <v>225800</v>
      </c>
      <c r="BH54" s="39">
        <f t="shared" si="8"/>
        <v>25.686448184233836</v>
      </c>
    </row>
    <row r="55" spans="1:60">
      <c r="A55" s="215">
        <v>2003</v>
      </c>
      <c r="B55" s="39">
        <f t="shared" si="0"/>
        <v>-49.189189189189193</v>
      </c>
      <c r="C55" s="39">
        <f t="shared" si="1"/>
        <v>0.96618357487922701</v>
      </c>
      <c r="D55" s="39">
        <f t="shared" si="2"/>
        <v>11.87214611872146</v>
      </c>
      <c r="E55" s="39">
        <f t="shared" si="3"/>
        <v>16.992790937178167</v>
      </c>
      <c r="F55" s="39">
        <f t="shared" si="4"/>
        <v>20.396184886280263</v>
      </c>
      <c r="G55" s="39">
        <f t="shared" si="5"/>
        <v>22.486187845303867</v>
      </c>
      <c r="H55" s="39">
        <f t="shared" si="6"/>
        <v>24.902585901523203</v>
      </c>
      <c r="I55" s="39">
        <f t="shared" si="7"/>
        <v>30.287859824780977</v>
      </c>
      <c r="K55" s="235">
        <f>Tax!B74</f>
        <v>1000</v>
      </c>
      <c r="L55" s="235">
        <f>Tax!B114</f>
        <v>4200</v>
      </c>
      <c r="M55" s="235">
        <f>Tax!B154</f>
        <v>9400</v>
      </c>
      <c r="N55" s="235">
        <f>Tax!B194</f>
        <v>17300</v>
      </c>
      <c r="O55" s="235">
        <f>Tax!B274</f>
        <v>28300</v>
      </c>
      <c r="P55" s="235">
        <f>Tax!B314</f>
        <v>41100</v>
      </c>
      <c r="Q55" s="235">
        <f>Tax!B354</f>
        <v>70700</v>
      </c>
      <c r="R55" s="235">
        <f>Tax!B394</f>
        <v>387600</v>
      </c>
      <c r="S55" s="235"/>
      <c r="T55" s="235">
        <f>Trans!B74</f>
        <v>10100</v>
      </c>
      <c r="U55" s="235">
        <f>Trans!B114</f>
        <v>3800</v>
      </c>
      <c r="V55" s="235">
        <f>Trans!B154</f>
        <v>1600</v>
      </c>
      <c r="W55" s="235">
        <f>Trans!B194</f>
        <v>800</v>
      </c>
      <c r="X55" s="235">
        <f>Trans!B274</f>
        <v>500</v>
      </c>
      <c r="Y55" s="235">
        <f>Trans!B314</f>
        <v>400</v>
      </c>
      <c r="Z55" s="235">
        <f>Trans!B354</f>
        <v>400</v>
      </c>
      <c r="AA55" s="235">
        <f>Trans!B394</f>
        <v>400</v>
      </c>
      <c r="AC55" s="235">
        <f>Inc!$B74+Trans!$B74</f>
        <v>28600</v>
      </c>
      <c r="AD55" s="235">
        <f>Inc!$B114+Trans!$B114</f>
        <v>45200</v>
      </c>
      <c r="AE55" s="235">
        <f>Inc!$B154+Trans!$B154</f>
        <v>67300</v>
      </c>
      <c r="AF55" s="235">
        <f>Inc!$B194+Trans!$B194</f>
        <v>97900</v>
      </c>
      <c r="AG55" s="235">
        <f>Inc!$B274+Trans!$B274</f>
        <v>136800</v>
      </c>
      <c r="AH55" s="235">
        <f>Inc!$B314+Trans!$B314</f>
        <v>181400</v>
      </c>
      <c r="AI55" s="235">
        <f>Inc!$B354+Trans!$B354</f>
        <v>282700</v>
      </c>
      <c r="AJ55" s="235">
        <f>Inc!$B394+Trans!$B394</f>
        <v>1278800</v>
      </c>
      <c r="AK55" s="235"/>
      <c r="AL55" s="235">
        <f>Inc!B74</f>
        <v>18500</v>
      </c>
      <c r="AM55" s="235">
        <f>Inc!B114</f>
        <v>41400</v>
      </c>
      <c r="AN55" s="235">
        <f>Inc!B154</f>
        <v>65700</v>
      </c>
      <c r="AO55" s="235">
        <f>Inc!B194</f>
        <v>97100</v>
      </c>
      <c r="AP55" s="235">
        <f>Inc!B274</f>
        <v>136300</v>
      </c>
      <c r="AQ55" s="235">
        <f>Inc!B314</f>
        <v>181000</v>
      </c>
      <c r="AR55" s="235">
        <f>Inc!B354</f>
        <v>282300</v>
      </c>
      <c r="AS55" s="235">
        <f>Inc!B394</f>
        <v>1278400</v>
      </c>
      <c r="AU55" s="235">
        <f>Inc!$D74</f>
        <v>13800</v>
      </c>
      <c r="AV55" s="235">
        <f>Inc!$D114</f>
        <v>31000</v>
      </c>
      <c r="AW55" s="235">
        <f>Inc!$D154</f>
        <v>55700</v>
      </c>
      <c r="AX55" s="235">
        <f>Inc!$D194</f>
        <v>88600</v>
      </c>
      <c r="AY55" s="235">
        <f>Inc!$D274</f>
        <v>129500</v>
      </c>
      <c r="AZ55" s="235">
        <f>Inc!$D314</f>
        <v>174200</v>
      </c>
      <c r="BA55" s="235">
        <f>Inc!$D354</f>
        <v>275300</v>
      </c>
      <c r="BB55" s="235">
        <f>Inc!$D394</f>
        <v>1270800</v>
      </c>
      <c r="BD55" s="235">
        <f>Tax!B234</f>
        <v>57900</v>
      </c>
      <c r="BE55" s="235">
        <f>Trans!B234</f>
        <v>400</v>
      </c>
      <c r="BF55" s="235">
        <f>Inc!B234</f>
        <v>233600</v>
      </c>
      <c r="BH55" s="39">
        <f t="shared" si="8"/>
        <v>24.614726027397261</v>
      </c>
    </row>
    <row r="56" spans="1:60">
      <c r="A56" s="215">
        <v>2004</v>
      </c>
      <c r="B56" s="39">
        <f t="shared" si="0"/>
        <v>-50</v>
      </c>
      <c r="C56" s="39">
        <f t="shared" si="1"/>
        <v>0.47169811320754718</v>
      </c>
      <c r="D56" s="39">
        <f t="shared" si="2"/>
        <v>11.946902654867257</v>
      </c>
      <c r="E56" s="39">
        <f t="shared" si="3"/>
        <v>17.065868263473057</v>
      </c>
      <c r="F56" s="39">
        <f t="shared" si="4"/>
        <v>20.452937013446569</v>
      </c>
      <c r="G56" s="39">
        <f t="shared" si="5"/>
        <v>22.66167824692678</v>
      </c>
      <c r="H56" s="39">
        <f t="shared" si="6"/>
        <v>25.258591925258596</v>
      </c>
      <c r="I56" s="39">
        <f t="shared" si="7"/>
        <v>29.944244014430961</v>
      </c>
      <c r="K56" s="235">
        <f>Tax!B75</f>
        <v>1000</v>
      </c>
      <c r="L56" s="235">
        <f>Tax!B115</f>
        <v>4300</v>
      </c>
      <c r="M56" s="235">
        <f>Tax!B155</f>
        <v>9900</v>
      </c>
      <c r="N56" s="235">
        <f>Tax!B195</f>
        <v>18000</v>
      </c>
      <c r="O56" s="235">
        <f>Tax!B275</f>
        <v>29500</v>
      </c>
      <c r="P56" s="235">
        <f>Tax!B315</f>
        <v>42800</v>
      </c>
      <c r="Q56" s="235">
        <f>Tax!B355</f>
        <v>76100</v>
      </c>
      <c r="R56" s="235">
        <f>Tax!B395</f>
        <v>456900</v>
      </c>
      <c r="S56" s="235"/>
      <c r="T56" s="235">
        <f>Trans!B75</f>
        <v>10400</v>
      </c>
      <c r="U56" s="235">
        <f>Trans!B115</f>
        <v>4100</v>
      </c>
      <c r="V56" s="235">
        <f>Trans!B155</f>
        <v>1800</v>
      </c>
      <c r="W56" s="235">
        <f>Trans!B195</f>
        <v>900</v>
      </c>
      <c r="X56" s="235">
        <f>Trans!B275</f>
        <v>600</v>
      </c>
      <c r="Y56" s="235">
        <f>Trans!B315</f>
        <v>400</v>
      </c>
      <c r="Z56" s="235">
        <f>Trans!B355</f>
        <v>400</v>
      </c>
      <c r="AA56" s="235">
        <f>Trans!B395</f>
        <v>400</v>
      </c>
      <c r="AC56" s="235">
        <f>Inc!$B75+Trans!$B75</f>
        <v>29200</v>
      </c>
      <c r="AD56" s="235">
        <f>Inc!$B115+Trans!$B115</f>
        <v>46500</v>
      </c>
      <c r="AE56" s="235">
        <f>Inc!$B155+Trans!$B155</f>
        <v>69600</v>
      </c>
      <c r="AF56" s="235">
        <f>Inc!$B195+Trans!$B195</f>
        <v>101100</v>
      </c>
      <c r="AG56" s="235">
        <f>Inc!$B275+Trans!$B275</f>
        <v>141900</v>
      </c>
      <c r="AH56" s="235">
        <f>Inc!$B315+Trans!$B315</f>
        <v>187500</v>
      </c>
      <c r="AI56" s="235">
        <f>Inc!$B355+Trans!$B355</f>
        <v>300100</v>
      </c>
      <c r="AJ56" s="235">
        <f>Inc!$B395+Trans!$B395</f>
        <v>1524900</v>
      </c>
      <c r="AK56" s="235"/>
      <c r="AL56" s="235">
        <f>Inc!B75</f>
        <v>18800</v>
      </c>
      <c r="AM56" s="235">
        <f>Inc!B115</f>
        <v>42400</v>
      </c>
      <c r="AN56" s="235">
        <f>Inc!B155</f>
        <v>67800</v>
      </c>
      <c r="AO56" s="235">
        <f>Inc!B195</f>
        <v>100200</v>
      </c>
      <c r="AP56" s="235">
        <f>Inc!B275</f>
        <v>141300</v>
      </c>
      <c r="AQ56" s="235">
        <f>Inc!B315</f>
        <v>187100</v>
      </c>
      <c r="AR56" s="235">
        <f>Inc!B355</f>
        <v>299700</v>
      </c>
      <c r="AS56" s="235">
        <f>Inc!B395</f>
        <v>1524500</v>
      </c>
      <c r="AU56" s="235">
        <f>Inc!$D75</f>
        <v>14100</v>
      </c>
      <c r="AV56" s="235">
        <f>Inc!$D115</f>
        <v>32000</v>
      </c>
      <c r="AW56" s="235">
        <f>Inc!$D155</f>
        <v>57900</v>
      </c>
      <c r="AX56" s="235">
        <f>Inc!$D195</f>
        <v>91500</v>
      </c>
      <c r="AY56" s="235">
        <f>Inc!$D275</f>
        <v>134200</v>
      </c>
      <c r="AZ56" s="235">
        <f>Inc!$D315</f>
        <v>180500</v>
      </c>
      <c r="BA56" s="235">
        <f>Inc!$D355</f>
        <v>292800</v>
      </c>
      <c r="BB56" s="235">
        <f>Inc!$D395</f>
        <v>1516400</v>
      </c>
      <c r="BD56" s="235">
        <f>Tax!B235</f>
        <v>63700</v>
      </c>
      <c r="BE56" s="235">
        <f>Trans!B235</f>
        <v>500</v>
      </c>
      <c r="BF56" s="235">
        <f>Inc!B235</f>
        <v>254100</v>
      </c>
      <c r="BH56" s="39">
        <f t="shared" si="8"/>
        <v>24.872097599370328</v>
      </c>
    </row>
    <row r="57" spans="1:60">
      <c r="A57" s="215">
        <v>2005</v>
      </c>
      <c r="B57" s="39">
        <f t="shared" si="0"/>
        <v>-48.186528497409327</v>
      </c>
      <c r="C57" s="39">
        <f t="shared" si="1"/>
        <v>1.1682242990654206</v>
      </c>
      <c r="D57" s="39">
        <f t="shared" si="2"/>
        <v>12.173913043478262</v>
      </c>
      <c r="E57" s="39">
        <f t="shared" si="3"/>
        <v>17.369970559371932</v>
      </c>
      <c r="F57" s="39">
        <f t="shared" si="4"/>
        <v>20.59639389736477</v>
      </c>
      <c r="G57" s="39">
        <f t="shared" si="5"/>
        <v>22.724935732647815</v>
      </c>
      <c r="H57" s="39">
        <f t="shared" si="6"/>
        <v>25.7346118156511</v>
      </c>
      <c r="I57" s="39">
        <f t="shared" si="7"/>
        <v>30.162866449511398</v>
      </c>
      <c r="K57" s="235">
        <f>Tax!B76</f>
        <v>1100</v>
      </c>
      <c r="L57" s="235">
        <f>Tax!B116</f>
        <v>4500</v>
      </c>
      <c r="M57" s="235">
        <f>Tax!B156</f>
        <v>10200</v>
      </c>
      <c r="N57" s="235">
        <f>Tax!B196</f>
        <v>18600</v>
      </c>
      <c r="O57" s="235">
        <f>Tax!B276</f>
        <v>30300</v>
      </c>
      <c r="P57" s="235">
        <f>Tax!B316</f>
        <v>44700</v>
      </c>
      <c r="Q57" s="235">
        <f>Tax!B356</f>
        <v>83700</v>
      </c>
      <c r="R57" s="235">
        <f>Tax!B396</f>
        <v>556000</v>
      </c>
      <c r="S57" s="235"/>
      <c r="T57" s="235">
        <f>Trans!B76</f>
        <v>10400</v>
      </c>
      <c r="U57" s="235">
        <f>Trans!B116</f>
        <v>4000</v>
      </c>
      <c r="V57" s="235">
        <f>Trans!B156</f>
        <v>1800</v>
      </c>
      <c r="W57" s="235">
        <f>Trans!B196</f>
        <v>900</v>
      </c>
      <c r="X57" s="235">
        <f>Trans!B276</f>
        <v>600</v>
      </c>
      <c r="Y57" s="235">
        <f>Trans!B316</f>
        <v>500</v>
      </c>
      <c r="Z57" s="235">
        <f>Trans!B356</f>
        <v>500</v>
      </c>
      <c r="AA57" s="235">
        <f>Trans!B396</f>
        <v>400</v>
      </c>
      <c r="AC57" s="235">
        <f>Inc!$B76+Trans!$B76</f>
        <v>29700</v>
      </c>
      <c r="AD57" s="235">
        <f>Inc!$B116+Trans!$B116</f>
        <v>46800</v>
      </c>
      <c r="AE57" s="235">
        <f>Inc!$B156+Trans!$B156</f>
        <v>70800</v>
      </c>
      <c r="AF57" s="235">
        <f>Inc!$B196+Trans!$B196</f>
        <v>102800</v>
      </c>
      <c r="AG57" s="235">
        <f>Inc!$B276+Trans!$B276</f>
        <v>144800</v>
      </c>
      <c r="AH57" s="235">
        <f>Inc!$B316+Trans!$B316</f>
        <v>195000</v>
      </c>
      <c r="AI57" s="235">
        <f>Inc!$B356+Trans!$B356</f>
        <v>323800</v>
      </c>
      <c r="AJ57" s="235">
        <f>Inc!$B396+Trans!$B396</f>
        <v>1842400</v>
      </c>
      <c r="AK57" s="235"/>
      <c r="AL57" s="235">
        <f>Inc!B76</f>
        <v>19300</v>
      </c>
      <c r="AM57" s="235">
        <f>Inc!B116</f>
        <v>42800</v>
      </c>
      <c r="AN57" s="235">
        <f>Inc!B156</f>
        <v>69000</v>
      </c>
      <c r="AO57" s="235">
        <f>Inc!B196</f>
        <v>101900</v>
      </c>
      <c r="AP57" s="235">
        <f>Inc!B276</f>
        <v>144200</v>
      </c>
      <c r="AQ57" s="235">
        <f>Inc!B316</f>
        <v>194500</v>
      </c>
      <c r="AR57" s="235">
        <f>Inc!B356</f>
        <v>323300</v>
      </c>
      <c r="AS57" s="235">
        <f>Inc!B396</f>
        <v>1842000</v>
      </c>
      <c r="AU57" s="235">
        <f>Inc!$D76</f>
        <v>14600</v>
      </c>
      <c r="AV57" s="235">
        <f>Inc!$D116</f>
        <v>32600</v>
      </c>
      <c r="AW57" s="235">
        <f>Inc!$D156</f>
        <v>59200</v>
      </c>
      <c r="AX57" s="235">
        <f>Inc!$D196</f>
        <v>93200</v>
      </c>
      <c r="AY57" s="235">
        <f>Inc!$D276</f>
        <v>136700</v>
      </c>
      <c r="AZ57" s="235">
        <f>Inc!$D316</f>
        <v>186900</v>
      </c>
      <c r="BA57" s="235">
        <f>Inc!$D356</f>
        <v>315600</v>
      </c>
      <c r="BB57" s="235">
        <f>Inc!$D396</f>
        <v>1833000</v>
      </c>
      <c r="BD57" s="235">
        <f>Tax!B236</f>
        <v>70300</v>
      </c>
      <c r="BE57" s="235">
        <f>Trans!B236</f>
        <v>500</v>
      </c>
      <c r="BF57" s="235">
        <f>Inc!B236</f>
        <v>275600</v>
      </c>
      <c r="BH57" s="39">
        <f t="shared" si="8"/>
        <v>25.326560232220608</v>
      </c>
    </row>
    <row r="58" spans="1:60">
      <c r="A58" s="215">
        <v>2006</v>
      </c>
      <c r="B58" s="39">
        <f t="shared" si="0"/>
        <v>-44.827586206896555</v>
      </c>
      <c r="C58" s="39">
        <f t="shared" si="1"/>
        <v>0.91324200913242004</v>
      </c>
      <c r="D58" s="39">
        <f t="shared" si="2"/>
        <v>12.48206599713056</v>
      </c>
      <c r="E58" s="39">
        <f t="shared" si="3"/>
        <v>17.324350336862366</v>
      </c>
      <c r="F58" s="39">
        <f t="shared" si="4"/>
        <v>20.785375761679077</v>
      </c>
      <c r="G58" s="39">
        <f t="shared" si="5"/>
        <v>22.861430715357677</v>
      </c>
      <c r="H58" s="39">
        <f t="shared" si="6"/>
        <v>25.809352517985612</v>
      </c>
      <c r="I58" s="39">
        <f t="shared" si="7"/>
        <v>29.791290387316877</v>
      </c>
      <c r="K58" s="235">
        <f>Tax!B77</f>
        <v>1200</v>
      </c>
      <c r="L58" s="235">
        <f>Tax!B117</f>
        <v>4600</v>
      </c>
      <c r="M58" s="235">
        <f>Tax!B157</f>
        <v>10400</v>
      </c>
      <c r="N58" s="235">
        <f>Tax!B197</f>
        <v>19000</v>
      </c>
      <c r="O58" s="235">
        <f>Tax!B277</f>
        <v>31300</v>
      </c>
      <c r="P58" s="235">
        <f>Tax!B317</f>
        <v>46200</v>
      </c>
      <c r="Q58" s="235">
        <f>Tax!B357</f>
        <v>86500</v>
      </c>
      <c r="R58" s="235">
        <f>Tax!B397</f>
        <v>594300</v>
      </c>
      <c r="S58" s="235"/>
      <c r="T58" s="235">
        <f>Trans!B77</f>
        <v>10300</v>
      </c>
      <c r="U58" s="235">
        <f>Trans!B117</f>
        <v>4200</v>
      </c>
      <c r="V58" s="235">
        <f>Trans!B157</f>
        <v>1700</v>
      </c>
      <c r="W58" s="235">
        <f>Trans!B197</f>
        <v>1000</v>
      </c>
      <c r="X58" s="235">
        <f>Trans!B277</f>
        <v>600</v>
      </c>
      <c r="Y58" s="235">
        <f>Trans!B317</f>
        <v>500</v>
      </c>
      <c r="Z58" s="235">
        <f>Trans!B357</f>
        <v>400</v>
      </c>
      <c r="AA58" s="235">
        <f>Trans!B397</f>
        <v>500</v>
      </c>
      <c r="AC58" s="235">
        <f>Inc!$B77+Trans!$B77</f>
        <v>30600</v>
      </c>
      <c r="AD58" s="235">
        <f>Inc!$B117+Trans!$B117</f>
        <v>48000</v>
      </c>
      <c r="AE58" s="235">
        <f>Inc!$B157+Trans!$B157</f>
        <v>71400</v>
      </c>
      <c r="AF58" s="235">
        <f>Inc!$B197+Trans!$B197</f>
        <v>104900</v>
      </c>
      <c r="AG58" s="235">
        <f>Inc!$B277+Trans!$B277</f>
        <v>148300</v>
      </c>
      <c r="AH58" s="235">
        <f>Inc!$B317+Trans!$B317</f>
        <v>200400</v>
      </c>
      <c r="AI58" s="235">
        <f>Inc!$B357+Trans!$B357</f>
        <v>334000</v>
      </c>
      <c r="AJ58" s="235">
        <f>Inc!$B397+Trans!$B397</f>
        <v>1993700</v>
      </c>
      <c r="AK58" s="235"/>
      <c r="AL58" s="235">
        <f>Inc!B77</f>
        <v>20300</v>
      </c>
      <c r="AM58" s="235">
        <f>Inc!B117</f>
        <v>43800</v>
      </c>
      <c r="AN58" s="235">
        <f>Inc!B157</f>
        <v>69700</v>
      </c>
      <c r="AO58" s="235">
        <f>Inc!B197</f>
        <v>103900</v>
      </c>
      <c r="AP58" s="235">
        <f>Inc!B277</f>
        <v>147700</v>
      </c>
      <c r="AQ58" s="235">
        <f>Inc!B317</f>
        <v>199900</v>
      </c>
      <c r="AR58" s="235">
        <f>Inc!B357</f>
        <v>333600</v>
      </c>
      <c r="AS58" s="235">
        <f>Inc!B397</f>
        <v>1993200</v>
      </c>
      <c r="AU58" s="235">
        <f>Inc!$D77</f>
        <v>15900</v>
      </c>
      <c r="AV58" s="235">
        <f>Inc!$D117</f>
        <v>33300</v>
      </c>
      <c r="AW58" s="235">
        <f>Inc!$D157</f>
        <v>59300</v>
      </c>
      <c r="AX58" s="235">
        <f>Inc!$D197</f>
        <v>94500</v>
      </c>
      <c r="AY58" s="235">
        <f>Inc!$D277</f>
        <v>139500</v>
      </c>
      <c r="AZ58" s="235">
        <f>Inc!$D317</f>
        <v>191800</v>
      </c>
      <c r="BA58" s="235">
        <f>Inc!$D357</f>
        <v>325000</v>
      </c>
      <c r="BB58" s="235">
        <f>Inc!$D397</f>
        <v>1983900</v>
      </c>
      <c r="BD58" s="235">
        <f>Tax!B237</f>
        <v>73400</v>
      </c>
      <c r="BE58" s="235">
        <f>Trans!B237</f>
        <v>600</v>
      </c>
      <c r="BF58" s="235">
        <f>Inc!B237</f>
        <v>287500</v>
      </c>
      <c r="BH58" s="39">
        <f t="shared" si="8"/>
        <v>25.321739130434786</v>
      </c>
    </row>
    <row r="59" spans="1:60">
      <c r="A59" s="215">
        <v>2007</v>
      </c>
      <c r="B59" s="39">
        <f t="shared" si="0"/>
        <v>-41.666666666666671</v>
      </c>
      <c r="C59" s="39">
        <f t="shared" si="1"/>
        <v>1.9607843137254901</v>
      </c>
      <c r="D59" s="39">
        <f t="shared" si="2"/>
        <v>12.18836565096953</v>
      </c>
      <c r="E59" s="39">
        <f t="shared" si="3"/>
        <v>17.150890346766634</v>
      </c>
      <c r="F59" s="39">
        <f t="shared" si="4"/>
        <v>20.437956204379564</v>
      </c>
      <c r="G59" s="39">
        <f t="shared" si="5"/>
        <v>22.428083861530961</v>
      </c>
      <c r="H59" s="39">
        <f t="shared" si="6"/>
        <v>25.253991291727139</v>
      </c>
      <c r="I59" s="39">
        <f t="shared" si="7"/>
        <v>28.201342921091481</v>
      </c>
      <c r="K59" s="235">
        <f>Tax!B78</f>
        <v>1100</v>
      </c>
      <c r="L59" s="235">
        <f>Tax!B118</f>
        <v>5000</v>
      </c>
      <c r="M59" s="235">
        <f>Tax!B158</f>
        <v>10700</v>
      </c>
      <c r="N59" s="235">
        <f>Tax!B198</f>
        <v>19300</v>
      </c>
      <c r="O59" s="235">
        <f>Tax!B278</f>
        <v>31500</v>
      </c>
      <c r="P59" s="235">
        <f>Tax!B318</f>
        <v>46600</v>
      </c>
      <c r="Q59" s="235">
        <f>Tax!B358</f>
        <v>87500</v>
      </c>
      <c r="R59" s="235">
        <f>Tax!B398</f>
        <v>592700</v>
      </c>
      <c r="S59" s="235"/>
      <c r="T59" s="235">
        <f>Trans!B78</f>
        <v>10100</v>
      </c>
      <c r="U59" s="235">
        <f>Trans!B118</f>
        <v>4100</v>
      </c>
      <c r="V59" s="235">
        <f>Trans!B158</f>
        <v>1900</v>
      </c>
      <c r="W59" s="235">
        <f>Trans!B198</f>
        <v>1000</v>
      </c>
      <c r="X59" s="235">
        <f>Trans!B278</f>
        <v>700</v>
      </c>
      <c r="Y59" s="235">
        <f>Trans!B318</f>
        <v>600</v>
      </c>
      <c r="Z59" s="235">
        <f>Trans!B358</f>
        <v>500</v>
      </c>
      <c r="AA59" s="235">
        <f>Trans!B398</f>
        <v>500</v>
      </c>
      <c r="AC59" s="235">
        <f>Inc!$B78+Trans!$B78</f>
        <v>31700</v>
      </c>
      <c r="AD59" s="235">
        <f>Inc!$B118+Trans!$B118</f>
        <v>50000</v>
      </c>
      <c r="AE59" s="235">
        <f>Inc!$B158+Trans!$B158</f>
        <v>74100</v>
      </c>
      <c r="AF59" s="235">
        <f>Inc!$B198+Trans!$B198</f>
        <v>107700</v>
      </c>
      <c r="AG59" s="235">
        <f>Inc!$B278+Trans!$B278</f>
        <v>151400</v>
      </c>
      <c r="AH59" s="235">
        <f>Inc!$B318+Trans!$B318</f>
        <v>205700</v>
      </c>
      <c r="AI59" s="235">
        <f>Inc!$B358+Trans!$B358</f>
        <v>345000</v>
      </c>
      <c r="AJ59" s="235">
        <f>Inc!$B398+Trans!$B398</f>
        <v>2100400</v>
      </c>
      <c r="AK59" s="235"/>
      <c r="AL59" s="235">
        <f>Inc!B78</f>
        <v>21600</v>
      </c>
      <c r="AM59" s="235">
        <f>Inc!B118</f>
        <v>45900</v>
      </c>
      <c r="AN59" s="235">
        <f>Inc!B158</f>
        <v>72200</v>
      </c>
      <c r="AO59" s="235">
        <f>Inc!B198</f>
        <v>106700</v>
      </c>
      <c r="AP59" s="235">
        <f>Inc!B278</f>
        <v>150700</v>
      </c>
      <c r="AQ59" s="235">
        <f>Inc!B318</f>
        <v>205100</v>
      </c>
      <c r="AR59" s="235">
        <f>Inc!B358</f>
        <v>344500</v>
      </c>
      <c r="AS59" s="235">
        <f>Inc!B398</f>
        <v>2099900</v>
      </c>
      <c r="AU59" s="235">
        <f>Inc!$D78</f>
        <v>17000</v>
      </c>
      <c r="AV59" s="235">
        <f>Inc!$D118</f>
        <v>35800</v>
      </c>
      <c r="AW59" s="235">
        <f>Inc!$D158</f>
        <v>61800</v>
      </c>
      <c r="AX59" s="235">
        <f>Inc!$D198</f>
        <v>96700</v>
      </c>
      <c r="AY59" s="235">
        <f>Inc!$D278</f>
        <v>142000</v>
      </c>
      <c r="AZ59" s="235">
        <f>Inc!$D318</f>
        <v>196200</v>
      </c>
      <c r="BA59" s="235">
        <f>Inc!$D358</f>
        <v>335400</v>
      </c>
      <c r="BB59" s="235">
        <f>Inc!$D398</f>
        <v>2090800</v>
      </c>
      <c r="BD59" s="235">
        <f>Tax!B238</f>
        <v>74000</v>
      </c>
      <c r="BE59" s="235">
        <f>Trans!B238</f>
        <v>600</v>
      </c>
      <c r="BF59" s="235">
        <f>Inc!B238</f>
        <v>298600</v>
      </c>
      <c r="BH59" s="39">
        <f t="shared" si="8"/>
        <v>24.581379772270594</v>
      </c>
    </row>
    <row r="60" spans="1:60">
      <c r="A60" s="215">
        <v>2008</v>
      </c>
      <c r="B60" s="39">
        <f t="shared" si="0"/>
        <v>-48.584905660377359</v>
      </c>
      <c r="C60" s="39">
        <f t="shared" si="1"/>
        <v>-2.9411764705882351</v>
      </c>
      <c r="D60" s="39">
        <f t="shared" si="2"/>
        <v>9.4285714285714288</v>
      </c>
      <c r="E60" s="39">
        <f t="shared" si="3"/>
        <v>15.081652257444764</v>
      </c>
      <c r="F60" s="39">
        <f t="shared" si="4"/>
        <v>18.957345971563981</v>
      </c>
      <c r="G60" s="39">
        <f t="shared" si="5"/>
        <v>21.533030761472517</v>
      </c>
      <c r="H60" s="39">
        <f t="shared" si="6"/>
        <v>24.498117942283564</v>
      </c>
      <c r="I60" s="39">
        <f t="shared" si="7"/>
        <v>28.015859133578218</v>
      </c>
      <c r="K60" s="235">
        <f>Tax!B79</f>
        <v>200</v>
      </c>
      <c r="L60" s="235">
        <f>Tax!B119</f>
        <v>3400</v>
      </c>
      <c r="M60" s="235">
        <f>Tax!B159</f>
        <v>8600</v>
      </c>
      <c r="N60" s="235">
        <f>Tax!B199</f>
        <v>16700</v>
      </c>
      <c r="O60" s="235">
        <f>Tax!B279</f>
        <v>28600</v>
      </c>
      <c r="P60" s="235">
        <f>Tax!B319</f>
        <v>43300</v>
      </c>
      <c r="Q60" s="235">
        <f>Tax!B359</f>
        <v>78600</v>
      </c>
      <c r="R60" s="235">
        <f>Tax!B399</f>
        <v>481100</v>
      </c>
      <c r="S60" s="235"/>
      <c r="T60" s="235">
        <f>Trans!B79</f>
        <v>10500</v>
      </c>
      <c r="U60" s="235">
        <f>Trans!B119</f>
        <v>4700</v>
      </c>
      <c r="V60" s="235">
        <f>Trans!B159</f>
        <v>2000</v>
      </c>
      <c r="W60" s="235">
        <f>Trans!B199</f>
        <v>1000</v>
      </c>
      <c r="X60" s="235">
        <f>Trans!B279</f>
        <v>600</v>
      </c>
      <c r="Y60" s="235">
        <f>Trans!B319</f>
        <v>600</v>
      </c>
      <c r="Z60" s="235">
        <f>Trans!B359</f>
        <v>500</v>
      </c>
      <c r="AA60" s="235">
        <f>Trans!B399</f>
        <v>600</v>
      </c>
      <c r="AC60" s="235">
        <f>Inc!$B79+Trans!$B79</f>
        <v>31700</v>
      </c>
      <c r="AD60" s="235">
        <f>Inc!$B119+Trans!$B119</f>
        <v>48900</v>
      </c>
      <c r="AE60" s="235">
        <f>Inc!$B159+Trans!$B159</f>
        <v>72000</v>
      </c>
      <c r="AF60" s="235">
        <f>Inc!$B199+Trans!$B199</f>
        <v>105100</v>
      </c>
      <c r="AG60" s="235">
        <f>Inc!$B279+Trans!$B279</f>
        <v>148300</v>
      </c>
      <c r="AH60" s="235">
        <f>Inc!$B319+Trans!$B319</f>
        <v>198900</v>
      </c>
      <c r="AI60" s="235">
        <f>Inc!$B359+Trans!$B359</f>
        <v>319300</v>
      </c>
      <c r="AJ60" s="235">
        <f>Inc!$B399+Trans!$B399</f>
        <v>1715700</v>
      </c>
      <c r="AK60" s="235"/>
      <c r="AL60" s="235">
        <f>Inc!B79</f>
        <v>21200</v>
      </c>
      <c r="AM60" s="235">
        <f>Inc!B119</f>
        <v>44200</v>
      </c>
      <c r="AN60" s="235">
        <f>Inc!B159</f>
        <v>70000</v>
      </c>
      <c r="AO60" s="235">
        <f>Inc!B199</f>
        <v>104100</v>
      </c>
      <c r="AP60" s="235">
        <f>Inc!B279</f>
        <v>147700</v>
      </c>
      <c r="AQ60" s="235">
        <f>Inc!B319</f>
        <v>198300</v>
      </c>
      <c r="AR60" s="235">
        <f>Inc!B359</f>
        <v>318800</v>
      </c>
      <c r="AS60" s="235">
        <f>Inc!B399</f>
        <v>1715100</v>
      </c>
      <c r="AU60" s="235">
        <f>Inc!$D79</f>
        <v>16400</v>
      </c>
      <c r="AV60" s="235">
        <f>Inc!$D119</f>
        <v>33500</v>
      </c>
      <c r="AW60" s="235">
        <f>Inc!$D159</f>
        <v>58800</v>
      </c>
      <c r="AX60" s="235">
        <f>Inc!$D199</f>
        <v>93700</v>
      </c>
      <c r="AY60" s="235">
        <f>Inc!$D279</f>
        <v>138800</v>
      </c>
      <c r="AZ60" s="235">
        <f>Inc!$D319</f>
        <v>190000</v>
      </c>
      <c r="BA60" s="235">
        <f>Inc!$D359</f>
        <v>310700</v>
      </c>
      <c r="BB60" s="235">
        <f>Inc!$D399</f>
        <v>1706400</v>
      </c>
      <c r="BD60" s="235">
        <f>Tax!B239</f>
        <v>64200</v>
      </c>
      <c r="BE60" s="235">
        <f>Trans!B239</f>
        <v>600</v>
      </c>
      <c r="BF60" s="235">
        <f>Inc!B239</f>
        <v>270600</v>
      </c>
      <c r="BH60" s="39">
        <f t="shared" si="8"/>
        <v>23.503325942350333</v>
      </c>
    </row>
    <row r="61" spans="1:60">
      <c r="A61" s="215">
        <v>2009</v>
      </c>
      <c r="B61" s="39">
        <f t="shared" si="0"/>
        <v>-59.11330049261084</v>
      </c>
      <c r="C61" s="39">
        <f t="shared" si="1"/>
        <v>-5.3613053613053614</v>
      </c>
      <c r="D61" s="39">
        <f t="shared" si="2"/>
        <v>8.3333333333333321</v>
      </c>
      <c r="E61" s="39">
        <f t="shared" si="3"/>
        <v>14.355948869223207</v>
      </c>
      <c r="F61" s="39">
        <f t="shared" si="4"/>
        <v>18.307905686546462</v>
      </c>
      <c r="G61" s="39">
        <f t="shared" si="5"/>
        <v>20.913336792942395</v>
      </c>
      <c r="H61" s="39">
        <f t="shared" si="6"/>
        <v>23.981295925183701</v>
      </c>
      <c r="I61" s="39">
        <f t="shared" si="7"/>
        <v>28.70162856715972</v>
      </c>
      <c r="K61" s="235">
        <f>Tax!B80</f>
        <v>-100</v>
      </c>
      <c r="L61" s="235">
        <f>Tax!B120</f>
        <v>3100</v>
      </c>
      <c r="M61" s="235">
        <f>Tax!B160</f>
        <v>8100</v>
      </c>
      <c r="N61" s="235">
        <f>Tax!B200</f>
        <v>15700</v>
      </c>
      <c r="O61" s="235">
        <f>Tax!B280</f>
        <v>27200</v>
      </c>
      <c r="P61" s="235">
        <f>Tax!B320</f>
        <v>40900</v>
      </c>
      <c r="Q61" s="235">
        <f>Tax!B360</f>
        <v>72400</v>
      </c>
      <c r="R61" s="235">
        <f>Tax!B400</f>
        <v>384800</v>
      </c>
      <c r="S61" s="235"/>
      <c r="T61" s="235">
        <f>Trans!B80</f>
        <v>11900</v>
      </c>
      <c r="U61" s="235">
        <f>Trans!B120</f>
        <v>5400</v>
      </c>
      <c r="V61" s="235">
        <f>Trans!B160</f>
        <v>2400</v>
      </c>
      <c r="W61" s="235">
        <f>Trans!B200</f>
        <v>1100</v>
      </c>
      <c r="X61" s="235">
        <f>Trans!B280</f>
        <v>800</v>
      </c>
      <c r="Y61" s="235">
        <f>Trans!B320</f>
        <v>600</v>
      </c>
      <c r="Z61" s="235">
        <f>Trans!B360</f>
        <v>600</v>
      </c>
      <c r="AA61" s="235">
        <f>Trans!B400</f>
        <v>600</v>
      </c>
      <c r="AC61" s="235">
        <f>Inc!$B80+Trans!$B80</f>
        <v>32200</v>
      </c>
      <c r="AD61" s="235">
        <f>Inc!$B120+Trans!$B120</f>
        <v>48300</v>
      </c>
      <c r="AE61" s="235">
        <f>Inc!$B160+Trans!$B160</f>
        <v>70800</v>
      </c>
      <c r="AF61" s="235">
        <f>Inc!$B200+Trans!$B200</f>
        <v>102800</v>
      </c>
      <c r="AG61" s="235">
        <f>Inc!$B280+Trans!$B280</f>
        <v>145000</v>
      </c>
      <c r="AH61" s="235">
        <f>Inc!$B320+Trans!$B320</f>
        <v>193300</v>
      </c>
      <c r="AI61" s="235">
        <f>Inc!$B360+Trans!$B360</f>
        <v>300000</v>
      </c>
      <c r="AJ61" s="235">
        <f>Inc!$B400+Trans!$B400</f>
        <v>1339200</v>
      </c>
      <c r="AK61" s="235"/>
      <c r="AL61" s="235">
        <f>Inc!B80</f>
        <v>20300</v>
      </c>
      <c r="AM61" s="235">
        <f>Inc!B120</f>
        <v>42900</v>
      </c>
      <c r="AN61" s="235">
        <f>Inc!B160</f>
        <v>68400</v>
      </c>
      <c r="AO61" s="235">
        <f>Inc!B200</f>
        <v>101700</v>
      </c>
      <c r="AP61" s="235">
        <f>Inc!B280</f>
        <v>144200</v>
      </c>
      <c r="AQ61" s="235">
        <f>Inc!B320</f>
        <v>192700</v>
      </c>
      <c r="AR61" s="235">
        <f>Inc!B360</f>
        <v>299400</v>
      </c>
      <c r="AS61" s="235">
        <f>Inc!B400</f>
        <v>1338600</v>
      </c>
      <c r="AU61" s="235">
        <f>Inc!$D80</f>
        <v>15500</v>
      </c>
      <c r="AV61" s="235">
        <f>Inc!$D120</f>
        <v>31000</v>
      </c>
      <c r="AW61" s="235">
        <f>Inc!$D160</f>
        <v>55400</v>
      </c>
      <c r="AX61" s="235">
        <f>Inc!$D200</f>
        <v>89000</v>
      </c>
      <c r="AY61" s="235">
        <f>Inc!$D280</f>
        <v>133500</v>
      </c>
      <c r="AZ61" s="235">
        <f>Inc!$D320</f>
        <v>182600</v>
      </c>
      <c r="BA61" s="235">
        <f>Inc!$D360</f>
        <v>290400</v>
      </c>
      <c r="BB61" s="235">
        <f>Inc!$D400</f>
        <v>1329200</v>
      </c>
      <c r="BD61" s="235">
        <f>Tax!B240</f>
        <v>56900</v>
      </c>
      <c r="BE61" s="235">
        <f>Trans!B240</f>
        <v>700</v>
      </c>
      <c r="BF61" s="235">
        <f>Inc!B240</f>
        <v>245100</v>
      </c>
      <c r="BH61" s="39">
        <f t="shared" si="8"/>
        <v>22.929416564667481</v>
      </c>
    </row>
    <row r="62" spans="1:60">
      <c r="A62" s="215">
        <v>2010</v>
      </c>
      <c r="B62" s="39">
        <f t="shared" si="0"/>
        <v>-63.131313131313128</v>
      </c>
      <c r="C62" s="39">
        <f t="shared" si="1"/>
        <v>-5.6737588652482271</v>
      </c>
      <c r="D62" s="39">
        <f t="shared" si="2"/>
        <v>8.5672082717872975</v>
      </c>
      <c r="E62" s="39">
        <f t="shared" si="3"/>
        <v>14.723320158102768</v>
      </c>
      <c r="F62" s="39">
        <f t="shared" si="4"/>
        <v>18.849618849618849</v>
      </c>
      <c r="G62" s="39">
        <f t="shared" si="5"/>
        <v>21.369721936148302</v>
      </c>
      <c r="H62" s="39">
        <f t="shared" si="6"/>
        <v>24.642857142857146</v>
      </c>
      <c r="I62" s="39">
        <f t="shared" si="7"/>
        <v>29.195133060055955</v>
      </c>
      <c r="K62" s="235">
        <f>Tax!B81</f>
        <v>0</v>
      </c>
      <c r="L62" s="235">
        <f>Tax!B121</f>
        <v>3200</v>
      </c>
      <c r="M62" s="235">
        <f>Tax!B161</f>
        <v>8200</v>
      </c>
      <c r="N62" s="235">
        <f>Tax!B201</f>
        <v>16100</v>
      </c>
      <c r="O62" s="235">
        <f>Tax!B281</f>
        <v>28000</v>
      </c>
      <c r="P62" s="235">
        <f>Tax!B321</f>
        <v>42000</v>
      </c>
      <c r="Q62" s="235">
        <f>Tax!B361</f>
        <v>76400</v>
      </c>
      <c r="R62" s="235">
        <f>Tax!B401</f>
        <v>449500</v>
      </c>
      <c r="S62" s="235"/>
      <c r="T62" s="235">
        <f>Trans!B81</f>
        <v>12500</v>
      </c>
      <c r="U62" s="235">
        <f>Trans!B121</f>
        <v>5600</v>
      </c>
      <c r="V62" s="235">
        <f>Trans!B161</f>
        <v>2400</v>
      </c>
      <c r="W62" s="235">
        <f>Trans!B201</f>
        <v>1200</v>
      </c>
      <c r="X62" s="235">
        <f>Trans!B281</f>
        <v>800</v>
      </c>
      <c r="Y62" s="235">
        <f>Trans!B321</f>
        <v>500</v>
      </c>
      <c r="Z62" s="235">
        <f>Trans!B361</f>
        <v>500</v>
      </c>
      <c r="AA62" s="235">
        <f>Trans!B401</f>
        <v>800</v>
      </c>
      <c r="AC62" s="235">
        <f>Inc!$B81+Trans!$B81</f>
        <v>32300</v>
      </c>
      <c r="AD62" s="235">
        <f>Inc!$B121+Trans!$B121</f>
        <v>47900</v>
      </c>
      <c r="AE62" s="235">
        <f>Inc!$B161+Trans!$B161</f>
        <v>70100</v>
      </c>
      <c r="AF62" s="235">
        <f>Inc!$B201+Trans!$B201</f>
        <v>102400</v>
      </c>
      <c r="AG62" s="235">
        <f>Inc!$B281+Trans!$B281</f>
        <v>145100</v>
      </c>
      <c r="AH62" s="235">
        <f>Inc!$B321+Trans!$B321</f>
        <v>194700</v>
      </c>
      <c r="AI62" s="235">
        <f>Inc!$B361+Trans!$B361</f>
        <v>308500</v>
      </c>
      <c r="AJ62" s="235">
        <f>Inc!$B401+Trans!$B401</f>
        <v>1537700</v>
      </c>
      <c r="AK62" s="235"/>
      <c r="AL62" s="235">
        <f>Inc!B81</f>
        <v>19800</v>
      </c>
      <c r="AM62" s="235">
        <f>Inc!B121</f>
        <v>42300</v>
      </c>
      <c r="AN62" s="235">
        <f>Inc!B161</f>
        <v>67700</v>
      </c>
      <c r="AO62" s="235">
        <f>Inc!B201</f>
        <v>101200</v>
      </c>
      <c r="AP62" s="235">
        <f>Inc!B281</f>
        <v>144300</v>
      </c>
      <c r="AQ62" s="235">
        <f>Inc!B321</f>
        <v>194200</v>
      </c>
      <c r="AR62" s="235">
        <f>Inc!B361</f>
        <v>308000</v>
      </c>
      <c r="AS62" s="235">
        <f>Inc!B401</f>
        <v>1536900</v>
      </c>
      <c r="AU62" s="235">
        <f>Inc!$D81</f>
        <v>15200</v>
      </c>
      <c r="AV62" s="235">
        <f>Inc!$D121</f>
        <v>30400</v>
      </c>
      <c r="AW62" s="235">
        <f>Inc!$D161</f>
        <v>54000</v>
      </c>
      <c r="AX62" s="235">
        <f>Inc!$D201</f>
        <v>88600</v>
      </c>
      <c r="AY62" s="235">
        <f>Inc!$D281</f>
        <v>133800</v>
      </c>
      <c r="AZ62" s="235">
        <f>Inc!$D321</f>
        <v>184400</v>
      </c>
      <c r="BA62" s="235">
        <f>Inc!$D361</f>
        <v>299400</v>
      </c>
      <c r="BB62" s="235">
        <f>Inc!$D401</f>
        <v>1527800</v>
      </c>
      <c r="BD62" s="235">
        <f>Tax!B241</f>
        <v>61400</v>
      </c>
      <c r="BE62" s="235">
        <f>Trans!B241</f>
        <v>700</v>
      </c>
      <c r="BF62" s="235">
        <f>Inc!B241</f>
        <v>256400</v>
      </c>
      <c r="BH62" s="39">
        <f t="shared" si="8"/>
        <v>23.673946957878314</v>
      </c>
    </row>
    <row r="63" spans="1:60">
      <c r="A63" s="215">
        <v>2011</v>
      </c>
      <c r="B63" s="39">
        <f t="shared" si="0"/>
        <v>-59.203980099502488</v>
      </c>
      <c r="C63" s="39">
        <f t="shared" si="1"/>
        <v>-5.938242280285035</v>
      </c>
      <c r="D63" s="39">
        <f t="shared" si="2"/>
        <v>8.49478390461997</v>
      </c>
      <c r="E63" s="39">
        <f t="shared" si="3"/>
        <v>14.540059347181009</v>
      </c>
      <c r="F63" s="39">
        <f t="shared" si="4"/>
        <v>18.393960192175705</v>
      </c>
      <c r="G63" s="39">
        <f t="shared" si="5"/>
        <v>20.913705583756347</v>
      </c>
      <c r="H63" s="39">
        <f t="shared" si="6"/>
        <v>24.151063154554109</v>
      </c>
      <c r="I63" s="39">
        <f t="shared" si="7"/>
        <v>28.979565273981517</v>
      </c>
      <c r="K63" s="235">
        <f>Tax!B82</f>
        <v>100</v>
      </c>
      <c r="L63" s="235">
        <f>Tax!B122</f>
        <v>3200</v>
      </c>
      <c r="M63" s="235">
        <f>Tax!B162</f>
        <v>8100</v>
      </c>
      <c r="N63" s="235">
        <f>Tax!B202</f>
        <v>15900</v>
      </c>
      <c r="O63" s="235">
        <f>Tax!B282</f>
        <v>27500</v>
      </c>
      <c r="P63" s="235">
        <f>Tax!B322</f>
        <v>41700</v>
      </c>
      <c r="Q63" s="235">
        <f>Tax!B362</f>
        <v>76600</v>
      </c>
      <c r="R63" s="235">
        <f>Tax!B402</f>
        <v>446100</v>
      </c>
      <c r="S63" s="235"/>
      <c r="T63" s="235">
        <f>Trans!B82</f>
        <v>12000</v>
      </c>
      <c r="U63" s="235">
        <f>Trans!B122</f>
        <v>5700</v>
      </c>
      <c r="V63" s="235">
        <f>Trans!B162</f>
        <v>2400</v>
      </c>
      <c r="W63" s="235">
        <f>Trans!B202</f>
        <v>1200</v>
      </c>
      <c r="X63" s="235">
        <f>Trans!B282</f>
        <v>700</v>
      </c>
      <c r="Y63" s="235">
        <f>Trans!B322</f>
        <v>500</v>
      </c>
      <c r="Z63" s="235">
        <f>Trans!B362</f>
        <v>500</v>
      </c>
      <c r="AA63" s="235">
        <f>Trans!B402</f>
        <v>800</v>
      </c>
      <c r="AC63" s="235">
        <f>Inc!$B82+Trans!$B82</f>
        <v>32100</v>
      </c>
      <c r="AD63" s="235">
        <f>Inc!$B122+Trans!$B122</f>
        <v>47800</v>
      </c>
      <c r="AE63" s="235">
        <f>Inc!$B162+Trans!$B162</f>
        <v>69500</v>
      </c>
      <c r="AF63" s="235">
        <f>Inc!$B202+Trans!$B202</f>
        <v>102300</v>
      </c>
      <c r="AG63" s="235">
        <f>Inc!$B282+Trans!$B282</f>
        <v>146400</v>
      </c>
      <c r="AH63" s="235">
        <f>Inc!$B322+Trans!$B322</f>
        <v>197500</v>
      </c>
      <c r="AI63" s="235">
        <f>Inc!$B362+Trans!$B362</f>
        <v>315600</v>
      </c>
      <c r="AJ63" s="235">
        <f>Inc!$B402+Trans!$B402</f>
        <v>1537400</v>
      </c>
      <c r="AK63" s="235"/>
      <c r="AL63" s="235">
        <f>Inc!B82</f>
        <v>20100</v>
      </c>
      <c r="AM63" s="235">
        <f>Inc!B122</f>
        <v>42100</v>
      </c>
      <c r="AN63" s="235">
        <f>Inc!B162</f>
        <v>67100</v>
      </c>
      <c r="AO63" s="235">
        <f>Inc!B202</f>
        <v>101100</v>
      </c>
      <c r="AP63" s="235">
        <f>Inc!B282</f>
        <v>145700</v>
      </c>
      <c r="AQ63" s="235">
        <f>Inc!B322</f>
        <v>197000</v>
      </c>
      <c r="AR63" s="235">
        <f>Inc!B362</f>
        <v>315100</v>
      </c>
      <c r="AS63" s="235">
        <f>Inc!B402</f>
        <v>1536600</v>
      </c>
      <c r="AU63" s="235">
        <f>Inc!$D82</f>
        <v>15400</v>
      </c>
      <c r="AV63" s="235">
        <f>Inc!$D122</f>
        <v>30300</v>
      </c>
      <c r="AW63" s="235">
        <f>Inc!$D162</f>
        <v>54100</v>
      </c>
      <c r="AX63" s="235">
        <f>Inc!$D202</f>
        <v>89200</v>
      </c>
      <c r="AY63" s="235">
        <f>Inc!$D282</f>
        <v>135600</v>
      </c>
      <c r="AZ63" s="235">
        <f>Inc!$D322</f>
        <v>187400</v>
      </c>
      <c r="BA63" s="235">
        <f>Inc!$D362</f>
        <v>306400</v>
      </c>
      <c r="BB63" s="235">
        <f>Inc!$D402</f>
        <v>1527800</v>
      </c>
      <c r="BD63" s="235">
        <f>Tax!B242</f>
        <v>60900</v>
      </c>
      <c r="BE63" s="235">
        <f>Trans!B242</f>
        <v>600</v>
      </c>
      <c r="BF63" s="235">
        <f>Inc!B242</f>
        <v>259000</v>
      </c>
      <c r="BH63" s="39">
        <f t="shared" si="8"/>
        <v>23.28185328185328</v>
      </c>
    </row>
    <row r="64" spans="1:60">
      <c r="A64" s="215">
        <v>2012</v>
      </c>
      <c r="B64" s="39">
        <f t="shared" si="0"/>
        <v>-61.979166666666664</v>
      </c>
      <c r="C64" s="39">
        <f t="shared" si="1"/>
        <v>-5.9808612440191391</v>
      </c>
      <c r="D64" s="39">
        <f t="shared" si="2"/>
        <v>8.6438152011922504</v>
      </c>
      <c r="E64" s="39">
        <f t="shared" si="3"/>
        <v>14.833005893909625</v>
      </c>
      <c r="F64" s="39">
        <f t="shared" si="4"/>
        <v>18.732970027247955</v>
      </c>
      <c r="G64" s="39">
        <f t="shared" si="5"/>
        <v>21.3</v>
      </c>
      <c r="H64" s="39">
        <f t="shared" si="6"/>
        <v>24.674143679903001</v>
      </c>
      <c r="I64" s="39">
        <f t="shared" si="7"/>
        <v>28.511961218252711</v>
      </c>
      <c r="K64" s="235">
        <f>Tax!B83</f>
        <v>200</v>
      </c>
      <c r="L64" s="235">
        <f>Tax!B123</f>
        <v>3200</v>
      </c>
      <c r="M64" s="235">
        <f>Tax!B163</f>
        <v>8200</v>
      </c>
      <c r="N64" s="235">
        <f>Tax!B203</f>
        <v>16200</v>
      </c>
      <c r="O64" s="235">
        <f>Tax!B283</f>
        <v>28200</v>
      </c>
      <c r="P64" s="235">
        <f>Tax!B323</f>
        <v>43100</v>
      </c>
      <c r="Q64" s="235">
        <f>Tax!B363</f>
        <v>81800</v>
      </c>
      <c r="R64" s="235">
        <f>Tax!B403</f>
        <v>541800</v>
      </c>
      <c r="S64" s="235"/>
      <c r="T64" s="235">
        <f>Trans!B83</f>
        <v>12100</v>
      </c>
      <c r="U64" s="235">
        <f>Trans!B123</f>
        <v>5700</v>
      </c>
      <c r="V64" s="235">
        <f>Trans!B163</f>
        <v>2400</v>
      </c>
      <c r="W64" s="235">
        <f>Trans!B203</f>
        <v>1100</v>
      </c>
      <c r="X64" s="235">
        <f>Trans!B283</f>
        <v>700</v>
      </c>
      <c r="Y64" s="235">
        <f>Trans!B323</f>
        <v>500</v>
      </c>
      <c r="Z64" s="235">
        <f>Trans!B363</f>
        <v>400</v>
      </c>
      <c r="AA64" s="235">
        <f>Trans!B403</f>
        <v>700</v>
      </c>
      <c r="AC64" s="235">
        <f>Inc!$B83+Trans!$B83</f>
        <v>31300</v>
      </c>
      <c r="AD64" s="235">
        <f>Inc!$B123+Trans!$B123</f>
        <v>47500</v>
      </c>
      <c r="AE64" s="235">
        <f>Inc!$B163+Trans!$B163</f>
        <v>69500</v>
      </c>
      <c r="AF64" s="235">
        <f>Inc!$B203+Trans!$B203</f>
        <v>102900</v>
      </c>
      <c r="AG64" s="235">
        <f>Inc!$B283+Trans!$B283</f>
        <v>147500</v>
      </c>
      <c r="AH64" s="235">
        <f>Inc!$B323+Trans!$B323</f>
        <v>200500</v>
      </c>
      <c r="AI64" s="235">
        <f>Inc!$B363+Trans!$B363</f>
        <v>330300</v>
      </c>
      <c r="AJ64" s="235">
        <f>Inc!$B403+Trans!$B403</f>
        <v>1898500</v>
      </c>
      <c r="AK64" s="235"/>
      <c r="AL64" s="235">
        <f>Inc!B83</f>
        <v>19200</v>
      </c>
      <c r="AM64" s="235">
        <f>Inc!B123</f>
        <v>41800</v>
      </c>
      <c r="AN64" s="235">
        <f>Inc!B163</f>
        <v>67100</v>
      </c>
      <c r="AO64" s="235">
        <f>Inc!B203</f>
        <v>101800</v>
      </c>
      <c r="AP64" s="235">
        <f>Inc!B283</f>
        <v>146800</v>
      </c>
      <c r="AQ64" s="235">
        <f>Inc!B323</f>
        <v>200000</v>
      </c>
      <c r="AR64" s="235">
        <f>Inc!B363</f>
        <v>329900</v>
      </c>
      <c r="AS64" s="235">
        <f>Inc!B403</f>
        <v>1897800</v>
      </c>
      <c r="AU64" s="235">
        <f>Inc!$D83</f>
        <v>14800</v>
      </c>
      <c r="AV64" s="235">
        <f>Inc!$D123</f>
        <v>30100</v>
      </c>
      <c r="AW64" s="235">
        <f>Inc!$D163</f>
        <v>54100</v>
      </c>
      <c r="AX64" s="235">
        <f>Inc!$D203</f>
        <v>89400</v>
      </c>
      <c r="AY64" s="235">
        <f>Inc!$D283</f>
        <v>136300</v>
      </c>
      <c r="AZ64" s="235">
        <f>Inc!$D323</f>
        <v>189900</v>
      </c>
      <c r="BA64" s="235">
        <f>Inc!$D363</f>
        <v>321100</v>
      </c>
      <c r="BB64" s="235">
        <f>Inc!$D403</f>
        <v>1888100</v>
      </c>
      <c r="BD64" s="235">
        <f>Tax!B243</f>
        <v>67000</v>
      </c>
      <c r="BE64" s="235">
        <f>Trans!B243</f>
        <v>600</v>
      </c>
      <c r="BF64" s="235">
        <f>Inc!B243</f>
        <v>279600</v>
      </c>
      <c r="BH64" s="39">
        <f t="shared" si="8"/>
        <v>23.74821173104435</v>
      </c>
    </row>
    <row r="65" spans="1:60">
      <c r="A65" s="215">
        <v>2013</v>
      </c>
      <c r="B65" s="39">
        <f t="shared" si="0"/>
        <v>-60.301507537688437</v>
      </c>
      <c r="C65" s="39">
        <f t="shared" si="1"/>
        <v>-4.225352112676056</v>
      </c>
      <c r="D65" s="39">
        <f t="shared" si="2"/>
        <v>10.102489019033674</v>
      </c>
      <c r="E65" s="39">
        <f t="shared" si="3"/>
        <v>16.330451488952928</v>
      </c>
      <c r="F65" s="39">
        <f t="shared" si="4"/>
        <v>20.468227424749163</v>
      </c>
      <c r="G65" s="39">
        <f t="shared" si="5"/>
        <v>22.919708029197082</v>
      </c>
      <c r="H65" s="39">
        <f t="shared" si="6"/>
        <v>26.191189691339527</v>
      </c>
      <c r="I65" s="39">
        <f t="shared" si="7"/>
        <v>33.602554470323064</v>
      </c>
      <c r="K65" s="235">
        <f>Tax!B84</f>
        <v>500</v>
      </c>
      <c r="L65" s="235">
        <f>Tax!B124</f>
        <v>3900</v>
      </c>
      <c r="M65" s="235">
        <f>Tax!B164</f>
        <v>9400</v>
      </c>
      <c r="N65" s="235">
        <f>Tax!B204</f>
        <v>18100</v>
      </c>
      <c r="O65" s="235">
        <f>Tax!B284</f>
        <v>31200</v>
      </c>
      <c r="P65" s="235">
        <f>Tax!B324</f>
        <v>47600</v>
      </c>
      <c r="Q65" s="235">
        <f>Tax!B364</f>
        <v>87800</v>
      </c>
      <c r="R65" s="235">
        <f>Tax!B404</f>
        <v>537400</v>
      </c>
      <c r="S65" s="235"/>
      <c r="T65" s="235">
        <f>Trans!B84</f>
        <v>12500</v>
      </c>
      <c r="U65" s="235">
        <f>Trans!B124</f>
        <v>5700</v>
      </c>
      <c r="V65" s="235">
        <f>Trans!B164</f>
        <v>2500</v>
      </c>
      <c r="W65" s="235">
        <f>Trans!B204</f>
        <v>1100</v>
      </c>
      <c r="X65" s="235">
        <f>Trans!B284</f>
        <v>600</v>
      </c>
      <c r="Y65" s="235">
        <f>Trans!B324</f>
        <v>500</v>
      </c>
      <c r="Z65" s="235">
        <f>Trans!B364</f>
        <v>400</v>
      </c>
      <c r="AA65" s="235">
        <f>Trans!B404</f>
        <v>700</v>
      </c>
      <c r="AC65" s="235">
        <f>Inc!$B84+Trans!$B84</f>
        <v>32400</v>
      </c>
      <c r="AD65" s="235">
        <f>Inc!$B124+Trans!$B124</f>
        <v>48300</v>
      </c>
      <c r="AE65" s="235">
        <f>Inc!$B164+Trans!$B164</f>
        <v>70800</v>
      </c>
      <c r="AF65" s="235">
        <f>Inc!$B204+Trans!$B204</f>
        <v>105200</v>
      </c>
      <c r="AG65" s="235">
        <f>Inc!$B284+Trans!$B284</f>
        <v>150100</v>
      </c>
      <c r="AH65" s="235">
        <f>Inc!$B324+Trans!$B324</f>
        <v>206000</v>
      </c>
      <c r="AI65" s="235">
        <f>Inc!$B364+Trans!$B364</f>
        <v>334100</v>
      </c>
      <c r="AJ65" s="235">
        <f>Inc!$B404+Trans!$B404</f>
        <v>1597900</v>
      </c>
      <c r="AK65" s="235"/>
      <c r="AL65" s="235">
        <f>Inc!B84</f>
        <v>19900</v>
      </c>
      <c r="AM65" s="235">
        <f>Inc!B124</f>
        <v>42600</v>
      </c>
      <c r="AN65" s="235">
        <f>Inc!B164</f>
        <v>68300</v>
      </c>
      <c r="AO65" s="235">
        <f>Inc!B204</f>
        <v>104100</v>
      </c>
      <c r="AP65" s="235">
        <f>Inc!B284</f>
        <v>149500</v>
      </c>
      <c r="AQ65" s="235">
        <f>Inc!B324</f>
        <v>205500</v>
      </c>
      <c r="AR65" s="235">
        <f>Inc!B364</f>
        <v>333700</v>
      </c>
      <c r="AS65" s="235">
        <f>Inc!B404</f>
        <v>1597200</v>
      </c>
      <c r="AU65" s="235">
        <f>Inc!$D84</f>
        <v>15700</v>
      </c>
      <c r="AV65" s="235">
        <f>Inc!$D124</f>
        <v>30700</v>
      </c>
      <c r="AW65" s="235">
        <f>Inc!$D164</f>
        <v>55700</v>
      </c>
      <c r="AX65" s="235">
        <f>Inc!$D204</f>
        <v>91600</v>
      </c>
      <c r="AY65" s="235">
        <f>Inc!$D284</f>
        <v>138600</v>
      </c>
      <c r="AZ65" s="235">
        <f>Inc!$D324</f>
        <v>195900</v>
      </c>
      <c r="BA65" s="235">
        <f>Inc!$D364</f>
        <v>324000</v>
      </c>
      <c r="BB65" s="235">
        <f>Inc!$D404</f>
        <v>1587500</v>
      </c>
      <c r="BD65" s="235">
        <f>Tax!B244</f>
        <v>70900</v>
      </c>
      <c r="BE65" s="235">
        <f>Trans!B244</f>
        <v>500</v>
      </c>
      <c r="BF65" s="235">
        <f>Inc!B244</f>
        <v>269700</v>
      </c>
      <c r="BH65" s="39">
        <f t="shared" si="8"/>
        <v>26.103077493511307</v>
      </c>
    </row>
    <row r="66" spans="1:60">
      <c r="A66" s="215">
        <v>2014</v>
      </c>
      <c r="B66" s="39">
        <f t="shared" si="0"/>
        <v>-70.103092783505147</v>
      </c>
      <c r="C66" s="39">
        <f t="shared" si="1"/>
        <v>-6.0889929742388755</v>
      </c>
      <c r="D66" s="39">
        <f t="shared" si="2"/>
        <v>9.7701149425287355</v>
      </c>
      <c r="E66" s="39">
        <f t="shared" si="3"/>
        <v>16.351606805293006</v>
      </c>
      <c r="F66" s="39">
        <f t="shared" si="4"/>
        <v>20.56135770234987</v>
      </c>
      <c r="G66" s="39">
        <f t="shared" si="5"/>
        <v>23.087954110898661</v>
      </c>
      <c r="H66" s="39">
        <f t="shared" si="6"/>
        <v>26.543566070398157</v>
      </c>
      <c r="I66" s="39">
        <f t="shared" si="7"/>
        <v>33.570713252475798</v>
      </c>
      <c r="K66" s="235">
        <f>Tax!B85</f>
        <v>400</v>
      </c>
      <c r="L66" s="235">
        <f>Tax!B125</f>
        <v>3900</v>
      </c>
      <c r="M66" s="235">
        <f>Tax!B165</f>
        <v>9700</v>
      </c>
      <c r="N66" s="235">
        <f>Tax!B205</f>
        <v>18800</v>
      </c>
      <c r="O66" s="235">
        <f>Tax!B285</f>
        <v>32400</v>
      </c>
      <c r="P66" s="235">
        <f>Tax!B325</f>
        <v>49000</v>
      </c>
      <c r="Q66" s="235">
        <f>Tax!B365</f>
        <v>92600</v>
      </c>
      <c r="R66" s="235">
        <f>Tax!B405</f>
        <v>604300</v>
      </c>
      <c r="S66" s="235"/>
      <c r="T66" s="235">
        <f>Trans!B85</f>
        <v>14000</v>
      </c>
      <c r="U66" s="235">
        <f>Trans!B125</f>
        <v>6500</v>
      </c>
      <c r="V66" s="235">
        <f>Trans!B165</f>
        <v>2900</v>
      </c>
      <c r="W66" s="235">
        <f>Trans!B205</f>
        <v>1500</v>
      </c>
      <c r="X66" s="235">
        <f>Trans!B285</f>
        <v>900</v>
      </c>
      <c r="Y66" s="235">
        <f>Trans!B325</f>
        <v>700</v>
      </c>
      <c r="Z66" s="235">
        <f>Trans!B365</f>
        <v>600</v>
      </c>
      <c r="AA66" s="235">
        <f>Trans!B405</f>
        <v>900</v>
      </c>
      <c r="AC66" s="235">
        <f>Inc!$B85+Trans!$B85</f>
        <v>33400</v>
      </c>
      <c r="AD66" s="235">
        <f>Inc!$B125+Trans!$B125</f>
        <v>49200</v>
      </c>
      <c r="AE66" s="235">
        <f>Inc!$B165+Trans!$B165</f>
        <v>72500</v>
      </c>
      <c r="AF66" s="235">
        <f>Inc!$B205+Trans!$B205</f>
        <v>107300</v>
      </c>
      <c r="AG66" s="235">
        <f>Inc!$B285+Trans!$B285</f>
        <v>154100</v>
      </c>
      <c r="AH66" s="235">
        <f>Inc!$B325+Trans!$B325</f>
        <v>209900</v>
      </c>
      <c r="AI66" s="235">
        <f>Inc!$B365+Trans!$B365</f>
        <v>347200</v>
      </c>
      <c r="AJ66" s="235">
        <f>Inc!$B405+Trans!$B405</f>
        <v>1798300</v>
      </c>
      <c r="AK66" s="235"/>
      <c r="AL66" s="235">
        <f>Inc!B85</f>
        <v>19400</v>
      </c>
      <c r="AM66" s="235">
        <f>Inc!B125</f>
        <v>42700</v>
      </c>
      <c r="AN66" s="235">
        <f>Inc!B165</f>
        <v>69600</v>
      </c>
      <c r="AO66" s="235">
        <f>Inc!B205</f>
        <v>105800</v>
      </c>
      <c r="AP66" s="235">
        <f>Inc!B285</f>
        <v>153200</v>
      </c>
      <c r="AQ66" s="235">
        <f>Inc!B325</f>
        <v>209200</v>
      </c>
      <c r="AR66" s="235">
        <f>Inc!B365</f>
        <v>346600</v>
      </c>
      <c r="AS66" s="235">
        <f>Inc!B405</f>
        <v>1797400</v>
      </c>
      <c r="AU66" s="235">
        <f>Inc!$D85</f>
        <v>15000</v>
      </c>
      <c r="AV66" s="235">
        <f>Inc!$D125</f>
        <v>31100</v>
      </c>
      <c r="AW66" s="235">
        <f>Inc!$D165</f>
        <v>57200</v>
      </c>
      <c r="AX66" s="235">
        <f>Inc!$D205</f>
        <v>93400</v>
      </c>
      <c r="AY66" s="235">
        <f>Inc!$D285</f>
        <v>142300</v>
      </c>
      <c r="AZ66" s="235">
        <f>Inc!$D325</f>
        <v>198400</v>
      </c>
      <c r="BA66" s="235">
        <f>Inc!$D365</f>
        <v>336400</v>
      </c>
      <c r="BB66" s="235">
        <f>Inc!$D405</f>
        <v>1787900</v>
      </c>
      <c r="BD66" s="235">
        <f>Tax!B245</f>
        <v>76100</v>
      </c>
      <c r="BE66" s="235">
        <f>Trans!B245</f>
        <v>800</v>
      </c>
      <c r="BF66" s="235">
        <f>Inc!B245</f>
        <v>285100</v>
      </c>
      <c r="BH66" s="39">
        <f t="shared" si="8"/>
        <v>26.411785338477728</v>
      </c>
    </row>
    <row r="67" spans="1:60">
      <c r="A67" s="215">
        <v>2015</v>
      </c>
      <c r="B67" s="39">
        <f t="shared" si="0"/>
        <v>-70.243902439024382</v>
      </c>
      <c r="C67" s="39">
        <f t="shared" si="1"/>
        <v>-6.2780269058295968</v>
      </c>
      <c r="D67" s="39">
        <f t="shared" si="2"/>
        <v>9.4444444444444446</v>
      </c>
      <c r="E67" s="39">
        <f t="shared" si="3"/>
        <v>16.468435498627631</v>
      </c>
      <c r="F67" s="39">
        <f t="shared" si="4"/>
        <v>20.667926906112161</v>
      </c>
      <c r="G67" s="39">
        <f t="shared" si="5"/>
        <v>23.257960313797877</v>
      </c>
      <c r="H67" s="39">
        <f t="shared" si="6"/>
        <v>26.522101751459548</v>
      </c>
      <c r="I67" s="39">
        <f t="shared" si="7"/>
        <v>33.290700772715162</v>
      </c>
      <c r="K67" s="235">
        <f>Tax!B86</f>
        <v>300</v>
      </c>
      <c r="L67" s="235">
        <f>Tax!B126</f>
        <v>4100</v>
      </c>
      <c r="M67" s="235">
        <f>Tax!B166</f>
        <v>10100</v>
      </c>
      <c r="N67" s="235">
        <f>Tax!B206</f>
        <v>19600</v>
      </c>
      <c r="O67" s="235">
        <f>Tax!B286</f>
        <v>33800</v>
      </c>
      <c r="P67" s="235">
        <f>Tax!B326</f>
        <v>51200</v>
      </c>
      <c r="Q67" s="235">
        <f>Tax!B366</f>
        <v>96200</v>
      </c>
      <c r="R67" s="235">
        <f>Tax!B406</f>
        <v>625700</v>
      </c>
      <c r="S67" s="235"/>
      <c r="T67" s="235">
        <f>Trans!B86</f>
        <v>14700</v>
      </c>
      <c r="U67" s="235">
        <f>Trans!B126</f>
        <v>6900</v>
      </c>
      <c r="V67" s="235">
        <f>Trans!B166</f>
        <v>3300</v>
      </c>
      <c r="W67" s="235">
        <f>Trans!B206</f>
        <v>1600</v>
      </c>
      <c r="X67" s="235">
        <f>Trans!B286</f>
        <v>1000</v>
      </c>
      <c r="Y67" s="235">
        <f>Trans!B326</f>
        <v>800</v>
      </c>
      <c r="Z67" s="235">
        <f>Trans!B366</f>
        <v>800</v>
      </c>
      <c r="AA67" s="235">
        <f>Trans!B406</f>
        <v>1000</v>
      </c>
      <c r="AC67" s="235">
        <f>Inc!$B86+Trans!$B86</f>
        <v>35200</v>
      </c>
      <c r="AD67" s="235">
        <f>Inc!$B126+Trans!$B126</f>
        <v>51500</v>
      </c>
      <c r="AE67" s="235">
        <f>Inc!$B166+Trans!$B166</f>
        <v>75300</v>
      </c>
      <c r="AF67" s="235">
        <f>Inc!$B206+Trans!$B206</f>
        <v>110900</v>
      </c>
      <c r="AG67" s="235">
        <f>Inc!$B286+Trans!$B286</f>
        <v>159700</v>
      </c>
      <c r="AH67" s="235">
        <f>Inc!$B326+Trans!$B326</f>
        <v>217500</v>
      </c>
      <c r="AI67" s="235">
        <f>Inc!$B366+Trans!$B366</f>
        <v>360500</v>
      </c>
      <c r="AJ67" s="235">
        <f>Inc!$B406+Trans!$B406</f>
        <v>1877500</v>
      </c>
      <c r="AK67" s="235"/>
      <c r="AL67" s="235">
        <f>Inc!B86</f>
        <v>20500</v>
      </c>
      <c r="AM67" s="235">
        <f>Inc!B126</f>
        <v>44600</v>
      </c>
      <c r="AN67" s="235">
        <f>Inc!B166</f>
        <v>72000</v>
      </c>
      <c r="AO67" s="235">
        <f>Inc!B206</f>
        <v>109300</v>
      </c>
      <c r="AP67" s="235">
        <f>Inc!B286</f>
        <v>158700</v>
      </c>
      <c r="AQ67" s="235">
        <f>Inc!B326</f>
        <v>216700</v>
      </c>
      <c r="AR67" s="235">
        <f>Inc!B366</f>
        <v>359700</v>
      </c>
      <c r="AS67" s="235">
        <f>Inc!B406</f>
        <v>1876500</v>
      </c>
      <c r="AU67" s="235">
        <f>Inc!$D86</f>
        <v>15800</v>
      </c>
      <c r="AV67" s="235">
        <f>Inc!$D126</f>
        <v>32500</v>
      </c>
      <c r="AW67" s="235">
        <f>Inc!$D166</f>
        <v>59200</v>
      </c>
      <c r="AX67" s="235">
        <f>Inc!$D206</f>
        <v>96600</v>
      </c>
      <c r="AY67" s="235">
        <f>Inc!$D286</f>
        <v>147400</v>
      </c>
      <c r="AZ67" s="235">
        <f>Inc!$D326</f>
        <v>206500</v>
      </c>
      <c r="BA67" s="235">
        <f>Inc!$D366</f>
        <v>349600</v>
      </c>
      <c r="BB67" s="235">
        <f>Inc!$D406</f>
        <v>1866100</v>
      </c>
      <c r="BD67" s="235">
        <f>Tax!B246</f>
        <v>78800</v>
      </c>
      <c r="BE67" s="235">
        <f>Trans!B246</f>
        <v>900</v>
      </c>
      <c r="BF67" s="235">
        <f>Inc!B246</f>
        <v>295100</v>
      </c>
      <c r="BH67" s="39">
        <f t="shared" si="8"/>
        <v>26.39783124364622</v>
      </c>
    </row>
    <row r="68" spans="1:60">
      <c r="A68" s="215">
        <v>2016</v>
      </c>
      <c r="B68" s="39">
        <f t="shared" si="0"/>
        <v>-70.388349514563103</v>
      </c>
      <c r="C68" s="39">
        <f t="shared" si="1"/>
        <v>-5.9602649006622519</v>
      </c>
      <c r="D68" s="39">
        <f t="shared" si="2"/>
        <v>9.2413793103448274</v>
      </c>
      <c r="E68" s="39">
        <f t="shared" si="3"/>
        <v>16.332116788321169</v>
      </c>
      <c r="F68" s="39">
        <f t="shared" si="4"/>
        <v>20.488721804511279</v>
      </c>
      <c r="G68" s="39">
        <f t="shared" si="5"/>
        <v>23.224919835089327</v>
      </c>
      <c r="H68" s="39">
        <f t="shared" si="6"/>
        <v>26.564673157162726</v>
      </c>
      <c r="I68" s="39">
        <f t="shared" si="7"/>
        <v>33.256932021466909</v>
      </c>
      <c r="K68" s="235">
        <f>Tax!B87</f>
        <v>300</v>
      </c>
      <c r="L68" s="235">
        <f>Tax!B127</f>
        <v>4200</v>
      </c>
      <c r="M68" s="235">
        <f>Tax!B167</f>
        <v>10100</v>
      </c>
      <c r="N68" s="235">
        <f>Tax!B207</f>
        <v>19600</v>
      </c>
      <c r="O68" s="235">
        <f>Tax!B287</f>
        <v>33800</v>
      </c>
      <c r="P68" s="235">
        <f>Tax!B327</f>
        <v>51600</v>
      </c>
      <c r="Q68" s="235">
        <f>Tax!B367</f>
        <v>96300</v>
      </c>
      <c r="R68" s="235">
        <f>Tax!B407</f>
        <v>595900</v>
      </c>
      <c r="S68" s="235"/>
      <c r="T68" s="235">
        <f>Trans!B87</f>
        <v>14800</v>
      </c>
      <c r="U68" s="235">
        <f>Trans!B127</f>
        <v>6900</v>
      </c>
      <c r="V68" s="235">
        <f>Trans!B167</f>
        <v>3400</v>
      </c>
      <c r="W68" s="235">
        <f>Trans!B207</f>
        <v>1700</v>
      </c>
      <c r="X68" s="235">
        <f>Trans!B287</f>
        <v>1100</v>
      </c>
      <c r="Y68" s="235">
        <f>Trans!B327</f>
        <v>900</v>
      </c>
      <c r="Z68" s="235">
        <f>Trans!B367</f>
        <v>800</v>
      </c>
      <c r="AA68" s="235">
        <f>Trans!B407</f>
        <v>1000</v>
      </c>
      <c r="AC68" s="235">
        <f>Inc!$B87+Trans!$B87</f>
        <v>35400</v>
      </c>
      <c r="AD68" s="235">
        <f>Inc!$B127+Trans!$B127</f>
        <v>52200</v>
      </c>
      <c r="AE68" s="235">
        <f>Inc!$B167+Trans!$B167</f>
        <v>75900</v>
      </c>
      <c r="AF68" s="235">
        <f>Inc!$B207+Trans!$B207</f>
        <v>111300</v>
      </c>
      <c r="AG68" s="235">
        <f>Inc!$B287+Trans!$B287</f>
        <v>160700</v>
      </c>
      <c r="AH68" s="235">
        <f>Inc!$B327+Trans!$B327</f>
        <v>219200</v>
      </c>
      <c r="AI68" s="235">
        <f>Inc!$B367+Trans!$B367</f>
        <v>360300</v>
      </c>
      <c r="AJ68" s="235">
        <f>Inc!$B407+Trans!$B407</f>
        <v>1789800</v>
      </c>
      <c r="AK68" s="235"/>
      <c r="AL68" s="235">
        <f>Inc!B87</f>
        <v>20600</v>
      </c>
      <c r="AM68" s="235">
        <f>Inc!B127</f>
        <v>45300</v>
      </c>
      <c r="AN68" s="235">
        <f>Inc!B167</f>
        <v>72500</v>
      </c>
      <c r="AO68" s="235">
        <f>Inc!B207</f>
        <v>109600</v>
      </c>
      <c r="AP68" s="235">
        <f>Inc!B287</f>
        <v>159600</v>
      </c>
      <c r="AQ68" s="235">
        <f>Inc!B327</f>
        <v>218300</v>
      </c>
      <c r="AR68" s="235">
        <f>Inc!B367</f>
        <v>359500</v>
      </c>
      <c r="AS68" s="235">
        <f>Inc!B407</f>
        <v>1788800</v>
      </c>
      <c r="AU68" s="235">
        <f>Inc!$D87</f>
        <v>15600</v>
      </c>
      <c r="AV68" s="235">
        <f>Inc!$D127</f>
        <v>33300</v>
      </c>
      <c r="AW68" s="235">
        <f>Inc!$D167</f>
        <v>59300</v>
      </c>
      <c r="AX68" s="235">
        <f>Inc!$D207</f>
        <v>96500</v>
      </c>
      <c r="AY68" s="235">
        <f>Inc!$D287</f>
        <v>148100</v>
      </c>
      <c r="AZ68" s="235">
        <f>Inc!$D327</f>
        <v>208000</v>
      </c>
      <c r="BA68" s="235">
        <f>Inc!$D367</f>
        <v>349300</v>
      </c>
      <c r="BB68" s="235">
        <f>Inc!$D407</f>
        <v>1779200</v>
      </c>
      <c r="BD68" s="235">
        <f>Tax!B247</f>
        <v>77300</v>
      </c>
      <c r="BE68" s="235">
        <f>Trans!B247</f>
        <v>1000</v>
      </c>
      <c r="BF68" s="235">
        <f>Inc!B247</f>
        <v>291200</v>
      </c>
      <c r="BH68" s="39">
        <f t="shared" si="8"/>
        <v>26.201923076923077</v>
      </c>
    </row>
    <row r="69" spans="1:60">
      <c r="A69" s="215">
        <v>2017</v>
      </c>
      <c r="B69" s="39"/>
      <c r="C69" s="39"/>
      <c r="D69" s="39"/>
      <c r="E69" s="39"/>
      <c r="F69" s="39"/>
      <c r="G69" s="39"/>
      <c r="H69" s="39"/>
      <c r="I69" s="39"/>
      <c r="K69" s="235"/>
      <c r="L69" s="235"/>
      <c r="M69" s="235"/>
      <c r="N69" s="235"/>
      <c r="O69" s="235"/>
      <c r="P69" s="235"/>
      <c r="Q69" s="235"/>
      <c r="R69" s="235"/>
      <c r="S69" s="235"/>
      <c r="T69" s="235"/>
      <c r="U69" s="235"/>
      <c r="V69" s="235"/>
      <c r="W69" s="235"/>
      <c r="X69" s="235"/>
      <c r="Y69" s="235"/>
      <c r="Z69" s="235"/>
      <c r="AA69" s="235"/>
      <c r="AC69" s="235"/>
      <c r="AD69" s="235"/>
      <c r="AE69" s="235"/>
      <c r="AF69" s="235"/>
      <c r="AG69" s="235"/>
      <c r="AH69" s="235"/>
      <c r="AI69" s="235"/>
      <c r="AJ69" s="235"/>
      <c r="AK69" s="235"/>
      <c r="AL69" s="235"/>
      <c r="AM69" s="235"/>
      <c r="AN69" s="235"/>
      <c r="AO69" s="235"/>
      <c r="AP69" s="235"/>
      <c r="AQ69" s="235"/>
      <c r="AR69" s="235"/>
      <c r="AS69" s="235"/>
      <c r="AU69" s="235"/>
      <c r="AV69" s="235"/>
      <c r="AW69" s="235"/>
      <c r="AX69" s="235"/>
      <c r="AY69" s="235"/>
      <c r="AZ69" s="235"/>
      <c r="BA69" s="235"/>
      <c r="BB69" s="235"/>
      <c r="BD69" s="235"/>
      <c r="BE69" s="235"/>
      <c r="BF69" s="235"/>
    </row>
    <row r="70" spans="1:60">
      <c r="A70" s="215">
        <v>2018</v>
      </c>
      <c r="B70" s="39"/>
      <c r="C70" s="39"/>
      <c r="D70" s="39"/>
      <c r="E70" s="39"/>
      <c r="F70" s="39"/>
      <c r="G70" s="39"/>
      <c r="H70" s="39"/>
      <c r="I70" s="39"/>
      <c r="K70" s="235"/>
      <c r="L70" s="235"/>
      <c r="M70" s="235"/>
      <c r="N70" s="235"/>
      <c r="O70" s="235"/>
      <c r="P70" s="235"/>
      <c r="Q70" s="235"/>
      <c r="R70" s="235"/>
      <c r="S70" s="235"/>
      <c r="T70" s="235"/>
      <c r="U70" s="235"/>
      <c r="V70" s="235"/>
      <c r="W70" s="235"/>
      <c r="X70" s="235"/>
      <c r="Y70" s="235"/>
      <c r="Z70" s="235"/>
      <c r="AA70" s="235"/>
      <c r="AC70" s="235"/>
      <c r="AD70" s="235"/>
      <c r="AE70" s="235"/>
      <c r="AF70" s="235"/>
      <c r="AG70" s="235"/>
      <c r="AH70" s="235"/>
      <c r="AI70" s="235"/>
      <c r="AJ70" s="235"/>
      <c r="AK70" s="235"/>
      <c r="AL70" s="235"/>
      <c r="AM70" s="235"/>
      <c r="AN70" s="235"/>
      <c r="AO70" s="235"/>
      <c r="AP70" s="235"/>
      <c r="AQ70" s="235"/>
      <c r="AR70" s="235"/>
      <c r="AS70" s="235"/>
      <c r="AU70" s="235"/>
      <c r="AV70" s="235"/>
      <c r="AW70" s="235"/>
      <c r="AX70" s="235"/>
      <c r="AY70" s="235"/>
      <c r="AZ70" s="235"/>
      <c r="BA70" s="235"/>
      <c r="BB70" s="235"/>
      <c r="BD70" s="235"/>
      <c r="BE70" s="235"/>
      <c r="BF70" s="235"/>
    </row>
    <row r="71" spans="1:60">
      <c r="A71" s="215">
        <v>2019</v>
      </c>
      <c r="B71" s="39"/>
      <c r="C71" s="39"/>
      <c r="D71" s="39"/>
      <c r="E71" s="39"/>
      <c r="F71" s="39"/>
      <c r="G71" s="39"/>
      <c r="H71" s="39"/>
      <c r="I71" s="39"/>
      <c r="K71" s="235"/>
      <c r="L71" s="235"/>
      <c r="M71" s="235"/>
      <c r="N71" s="235"/>
      <c r="O71" s="235"/>
      <c r="P71" s="235"/>
      <c r="Q71" s="235"/>
      <c r="R71" s="235"/>
      <c r="S71" s="235"/>
      <c r="T71" s="235"/>
      <c r="U71" s="235"/>
      <c r="V71" s="235"/>
      <c r="W71" s="235"/>
      <c r="X71" s="235"/>
      <c r="Y71" s="235"/>
      <c r="Z71" s="235"/>
      <c r="AA71" s="235"/>
      <c r="AC71" s="235"/>
      <c r="AD71" s="235"/>
      <c r="AE71" s="235"/>
      <c r="AF71" s="235"/>
      <c r="AG71" s="235"/>
      <c r="AH71" s="235"/>
      <c r="AI71" s="235"/>
      <c r="AJ71" s="235"/>
      <c r="AK71" s="235"/>
      <c r="AL71" s="235"/>
      <c r="AM71" s="235"/>
      <c r="AN71" s="235"/>
      <c r="AO71" s="235"/>
      <c r="AP71" s="235"/>
      <c r="AQ71" s="235"/>
      <c r="AR71" s="235"/>
      <c r="AS71" s="235"/>
      <c r="AU71" s="235"/>
      <c r="AV71" s="235"/>
      <c r="AW71" s="235"/>
      <c r="AX71" s="235"/>
      <c r="AY71" s="235"/>
      <c r="AZ71" s="235"/>
      <c r="BA71" s="235"/>
      <c r="BB71" s="235"/>
      <c r="BD71" s="235"/>
      <c r="BE71" s="235"/>
      <c r="BF71" s="235"/>
    </row>
    <row r="73" spans="1:60">
      <c r="A73" s="140" t="s">
        <v>154</v>
      </c>
      <c r="B73" s="450">
        <f>B68-B31</f>
        <v>-47.807704353272783</v>
      </c>
      <c r="C73" s="450">
        <f t="shared" ref="C73:I73" si="9">C68-C31</f>
        <v>-18.628728512522088</v>
      </c>
      <c r="D73" s="450">
        <f t="shared" si="9"/>
        <v>-9.0363008302527117</v>
      </c>
      <c r="E73" s="450">
        <f t="shared" si="9"/>
        <v>-4.8839246088327748</v>
      </c>
      <c r="F73" s="450">
        <f t="shared" si="9"/>
        <v>-2.8943627726031487</v>
      </c>
      <c r="G73" s="450">
        <f t="shared" si="9"/>
        <v>-1.8958531117705775</v>
      </c>
      <c r="H73" s="450">
        <f t="shared" si="9"/>
        <v>-0.52097756586285726</v>
      </c>
      <c r="I73" s="450">
        <f t="shared" si="9"/>
        <v>-1.7750282058058175</v>
      </c>
      <c r="BG73" s="140" t="s">
        <v>154</v>
      </c>
      <c r="BH73" s="450">
        <f>BH68-BH31</f>
        <v>-0.8103552313988871</v>
      </c>
    </row>
  </sheetData>
  <mergeCells count="7">
    <mergeCell ref="AC29:AJ29"/>
    <mergeCell ref="AL29:AS29"/>
    <mergeCell ref="AU29:BB29"/>
    <mergeCell ref="BD29:BF29"/>
    <mergeCell ref="B29:I29"/>
    <mergeCell ref="K29:R29"/>
    <mergeCell ref="T29:AA29"/>
  </mergeCells>
  <hyperlinks>
    <hyperlink ref="O1" location="Index!A1" display="index" xr:uid="{FC54FDDA-2D6F-49B0-A90A-0C717A53FBF8}"/>
  </hyperlinks>
  <pageMargins left="0.7" right="0.7" top="0.75" bottom="0.75" header="0.3" footer="0.3"/>
  <pageSetup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150FB0-46AF-41CB-ACD4-2C5CE0FFB2A4}">
  <dimension ref="A1:S71"/>
  <sheetViews>
    <sheetView zoomScaleNormal="100" workbookViewId="0">
      <selection activeCell="S3" sqref="S3"/>
    </sheetView>
  </sheetViews>
  <sheetFormatPr defaultRowHeight="15"/>
  <cols>
    <col min="1" max="1" width="19" style="556" customWidth="1"/>
    <col min="2" max="2" width="8.5703125" style="556" customWidth="1"/>
    <col min="3" max="3" width="11.140625" style="556" customWidth="1"/>
    <col min="4" max="4" width="9.140625" style="556"/>
    <col min="5" max="5" width="12.7109375" style="556" customWidth="1"/>
    <col min="6" max="7" width="8.85546875" style="556" customWidth="1"/>
    <col min="8" max="12" width="7.28515625" style="556" customWidth="1"/>
    <col min="13" max="13" width="7.85546875" style="556" customWidth="1"/>
    <col min="14" max="14" width="8.28515625" style="556" customWidth="1"/>
    <col min="15" max="15" width="8.7109375" style="556" customWidth="1"/>
    <col min="16" max="16" width="9.140625" style="556"/>
    <col min="17" max="17" width="8.7109375" style="46" customWidth="1"/>
    <col min="18" max="18" width="28.5703125" style="556" customWidth="1"/>
    <col min="19" max="16384" width="9.140625" style="556"/>
  </cols>
  <sheetData>
    <row r="1" spans="1:9">
      <c r="A1" s="9" t="s">
        <v>656</v>
      </c>
      <c r="I1" s="641" t="s">
        <v>762</v>
      </c>
    </row>
    <row r="2" spans="1:9">
      <c r="A2" s="9"/>
    </row>
    <row r="3" spans="1:9">
      <c r="A3" s="9"/>
    </row>
    <row r="4" spans="1:9">
      <c r="A4" s="9"/>
    </row>
    <row r="5" spans="1:9">
      <c r="A5" s="9"/>
    </row>
    <row r="6" spans="1:9">
      <c r="A6" s="9"/>
    </row>
    <row r="7" spans="1:9">
      <c r="A7" s="9"/>
    </row>
    <row r="8" spans="1:9">
      <c r="A8" s="9"/>
    </row>
    <row r="9" spans="1:9">
      <c r="A9" s="9"/>
    </row>
    <row r="10" spans="1:9">
      <c r="A10" s="9"/>
    </row>
    <row r="11" spans="1:9">
      <c r="A11" s="9"/>
    </row>
    <row r="12" spans="1:9">
      <c r="A12" s="9"/>
    </row>
    <row r="13" spans="1:9">
      <c r="A13" s="9"/>
    </row>
    <row r="14" spans="1:9">
      <c r="A14" s="9"/>
    </row>
    <row r="15" spans="1:9">
      <c r="A15" s="9"/>
    </row>
    <row r="16" spans="1:9">
      <c r="A16" s="9"/>
    </row>
    <row r="17" spans="1:18">
      <c r="A17" s="9"/>
    </row>
    <row r="18" spans="1:18">
      <c r="A18" s="9"/>
    </row>
    <row r="19" spans="1:18">
      <c r="A19" s="9"/>
    </row>
    <row r="20" spans="1:18">
      <c r="A20" s="9"/>
    </row>
    <row r="21" spans="1:18">
      <c r="A21" s="9"/>
    </row>
    <row r="22" spans="1:18">
      <c r="A22" s="9"/>
    </row>
    <row r="23" spans="1:18">
      <c r="A23" s="9"/>
    </row>
    <row r="24" spans="1:18">
      <c r="A24" s="9"/>
    </row>
    <row r="25" spans="1:18">
      <c r="A25" s="9"/>
    </row>
    <row r="26" spans="1:18">
      <c r="A26" s="9"/>
    </row>
    <row r="27" spans="1:18">
      <c r="A27" s="718" t="s">
        <v>761</v>
      </c>
      <c r="B27" s="718"/>
      <c r="C27" s="718"/>
      <c r="D27" s="718"/>
      <c r="E27" s="718"/>
      <c r="F27" s="718"/>
      <c r="G27" s="718"/>
      <c r="H27" s="718"/>
      <c r="I27" s="718"/>
      <c r="J27" s="718"/>
      <c r="K27" s="718"/>
      <c r="L27" s="718"/>
      <c r="M27" s="718"/>
    </row>
    <row r="28" spans="1:18" ht="67.5" customHeight="1">
      <c r="A28" s="718" t="s">
        <v>792</v>
      </c>
      <c r="B28" s="718"/>
      <c r="C28" s="718"/>
      <c r="D28" s="718"/>
      <c r="E28" s="718"/>
      <c r="F28" s="718"/>
      <c r="G28" s="718"/>
      <c r="H28" s="718"/>
      <c r="I28" s="718"/>
      <c r="J28" s="718"/>
      <c r="K28" s="718"/>
      <c r="L28" s="718"/>
      <c r="M28" s="718"/>
    </row>
    <row r="29" spans="1:18">
      <c r="A29" s="9"/>
    </row>
    <row r="30" spans="1:18">
      <c r="A30" s="9"/>
      <c r="H30" s="44"/>
      <c r="I30" s="44"/>
      <c r="J30" s="44"/>
      <c r="K30" s="44"/>
      <c r="L30" s="44"/>
      <c r="M30" s="44"/>
    </row>
    <row r="31" spans="1:18">
      <c r="A31" s="191"/>
      <c r="B31" s="191"/>
      <c r="C31" s="191"/>
      <c r="D31" s="191"/>
      <c r="E31" s="191"/>
      <c r="F31" s="191"/>
      <c r="G31" s="191"/>
      <c r="H31" s="191"/>
      <c r="I31" s="191"/>
      <c r="J31" s="191"/>
      <c r="K31" s="191"/>
      <c r="L31" s="191"/>
      <c r="M31" s="191"/>
      <c r="N31" s="191"/>
      <c r="O31" s="191"/>
      <c r="P31" s="206"/>
      <c r="Q31" s="205"/>
      <c r="R31" s="204"/>
    </row>
    <row r="32" spans="1:18">
      <c r="A32" s="9"/>
      <c r="B32" s="9"/>
      <c r="C32" s="719" t="s">
        <v>76</v>
      </c>
      <c r="D32" s="719" t="s">
        <v>77</v>
      </c>
      <c r="E32" s="719" t="s">
        <v>78</v>
      </c>
      <c r="F32" s="481"/>
      <c r="G32" s="481"/>
      <c r="H32" s="481"/>
      <c r="I32" s="481"/>
      <c r="J32" s="481"/>
      <c r="K32" s="481"/>
      <c r="L32" s="481"/>
      <c r="M32" s="721" t="s">
        <v>332</v>
      </c>
      <c r="N32" s="721"/>
      <c r="O32" s="721"/>
      <c r="P32" s="721"/>
      <c r="Q32" s="481"/>
      <c r="R32" s="481"/>
    </row>
    <row r="33" spans="1:19">
      <c r="A33" s="492" t="s">
        <v>69</v>
      </c>
      <c r="B33" s="492" t="s">
        <v>3</v>
      </c>
      <c r="C33" s="720"/>
      <c r="D33" s="720"/>
      <c r="E33" s="720"/>
      <c r="F33" s="492" t="s">
        <v>24</v>
      </c>
      <c r="G33" s="492" t="s">
        <v>25</v>
      </c>
      <c r="H33" s="492" t="s">
        <v>26</v>
      </c>
      <c r="I33" s="492" t="s">
        <v>27</v>
      </c>
      <c r="J33" s="492" t="s">
        <v>33</v>
      </c>
      <c r="K33" s="492" t="s">
        <v>51</v>
      </c>
      <c r="L33" s="492" t="s">
        <v>52</v>
      </c>
      <c r="M33" s="491" t="s">
        <v>62</v>
      </c>
      <c r="N33" s="195" t="s">
        <v>63</v>
      </c>
      <c r="O33" s="194" t="s">
        <v>64</v>
      </c>
      <c r="P33" s="491" t="s">
        <v>66</v>
      </c>
      <c r="Q33" s="481"/>
      <c r="R33" s="9" t="s">
        <v>75</v>
      </c>
      <c r="S33" s="9" t="s">
        <v>69</v>
      </c>
    </row>
    <row r="34" spans="1:19">
      <c r="A34" s="556" t="s">
        <v>70</v>
      </c>
      <c r="B34" s="46">
        <v>2004</v>
      </c>
      <c r="C34" s="46" t="s">
        <v>73</v>
      </c>
      <c r="D34" s="46" t="s">
        <v>73</v>
      </c>
      <c r="E34" s="60" t="s">
        <v>80</v>
      </c>
      <c r="F34" s="403"/>
      <c r="G34" s="403">
        <v>9.4</v>
      </c>
      <c r="H34" s="403">
        <v>16.100000000000001</v>
      </c>
      <c r="I34" s="403">
        <v>20.5</v>
      </c>
      <c r="J34" s="403">
        <v>22.7</v>
      </c>
      <c r="K34" s="403">
        <v>24.9</v>
      </c>
      <c r="L34" s="403">
        <v>27.2</v>
      </c>
      <c r="M34" s="403">
        <v>31.3</v>
      </c>
      <c r="N34" s="403">
        <v>33</v>
      </c>
      <c r="O34" s="403">
        <v>34.1</v>
      </c>
      <c r="P34" s="403">
        <v>34.700000000000003</v>
      </c>
      <c r="Q34" s="403"/>
      <c r="R34" s="44"/>
      <c r="S34" s="494" t="s">
        <v>149</v>
      </c>
    </row>
    <row r="35" spans="1:19">
      <c r="A35" s="556" t="s">
        <v>23</v>
      </c>
      <c r="B35" s="46">
        <v>2014</v>
      </c>
      <c r="C35" s="46" t="s">
        <v>72</v>
      </c>
      <c r="D35" s="46" t="s">
        <v>79</v>
      </c>
      <c r="E35" s="226"/>
      <c r="F35" s="403">
        <v>1.9</v>
      </c>
      <c r="G35" s="403">
        <v>9</v>
      </c>
      <c r="H35" s="403">
        <v>14</v>
      </c>
      <c r="I35" s="403">
        <v>17.8</v>
      </c>
      <c r="J35" s="403">
        <v>21.2</v>
      </c>
      <c r="K35" s="403">
        <v>23.4</v>
      </c>
      <c r="L35" s="403">
        <v>26.7</v>
      </c>
      <c r="M35" s="722">
        <v>32.633771227170797</v>
      </c>
      <c r="N35" s="722"/>
      <c r="O35" s="722"/>
      <c r="P35" s="722"/>
      <c r="Q35" s="403"/>
      <c r="R35" s="44" t="s">
        <v>334</v>
      </c>
      <c r="S35" s="494" t="s">
        <v>92</v>
      </c>
    </row>
    <row r="36" spans="1:19">
      <c r="A36" s="556" t="s">
        <v>71</v>
      </c>
      <c r="B36" s="46">
        <v>2014</v>
      </c>
      <c r="C36" s="46" t="s">
        <v>73</v>
      </c>
      <c r="D36" s="46" t="s">
        <v>79</v>
      </c>
      <c r="E36" s="46" t="s">
        <v>74</v>
      </c>
      <c r="F36" s="403">
        <v>-0.6</v>
      </c>
      <c r="G36" s="403">
        <v>6</v>
      </c>
      <c r="H36" s="403">
        <v>12</v>
      </c>
      <c r="I36" s="403">
        <v>16.2</v>
      </c>
      <c r="J36" s="403">
        <v>18.7</v>
      </c>
      <c r="K36" s="403">
        <v>20.9</v>
      </c>
      <c r="L36" s="403">
        <v>23.5</v>
      </c>
      <c r="M36" s="722">
        <v>33.200000000000003</v>
      </c>
      <c r="N36" s="722"/>
      <c r="O36" s="722">
        <v>35.700000000000003</v>
      </c>
      <c r="P36" s="722"/>
      <c r="Q36" s="403"/>
      <c r="R36" s="106" t="s">
        <v>616</v>
      </c>
      <c r="S36" s="494" t="s">
        <v>615</v>
      </c>
    </row>
    <row r="37" spans="1:19" s="564" customFormat="1">
      <c r="A37" s="564" t="s">
        <v>759</v>
      </c>
      <c r="B37" s="46">
        <v>2015</v>
      </c>
      <c r="C37" s="46" t="s">
        <v>73</v>
      </c>
      <c r="D37" s="46" t="s">
        <v>79</v>
      </c>
      <c r="E37" s="46" t="s">
        <v>74</v>
      </c>
      <c r="F37" s="403">
        <v>-5</v>
      </c>
      <c r="G37" s="403">
        <v>3.788748564867968</v>
      </c>
      <c r="H37" s="403">
        <v>11.383337346496509</v>
      </c>
      <c r="I37" s="403">
        <v>16.551450997335635</v>
      </c>
      <c r="J37" s="403">
        <v>20.841609312208416</v>
      </c>
      <c r="K37" s="403">
        <v>23.225388601036272</v>
      </c>
      <c r="L37" s="403">
        <v>25.325086446208537</v>
      </c>
      <c r="M37" s="722">
        <v>32.633771227170776</v>
      </c>
      <c r="N37" s="722"/>
      <c r="O37" s="722">
        <v>38.992521982085599</v>
      </c>
      <c r="P37" s="722"/>
      <c r="Q37" s="403"/>
      <c r="R37" s="106" t="s">
        <v>760</v>
      </c>
      <c r="S37" s="565" t="s">
        <v>718</v>
      </c>
    </row>
    <row r="38" spans="1:19">
      <c r="A38" s="225" t="s">
        <v>128</v>
      </c>
      <c r="B38" s="226">
        <v>2015</v>
      </c>
      <c r="C38" s="226" t="s">
        <v>73</v>
      </c>
      <c r="D38" s="226" t="s">
        <v>73</v>
      </c>
      <c r="E38" s="226" t="s">
        <v>146</v>
      </c>
      <c r="F38" s="480"/>
      <c r="G38" s="480">
        <v>7.5876563957800043</v>
      </c>
      <c r="H38" s="480">
        <v>14.462509150498795</v>
      </c>
      <c r="I38" s="480">
        <v>18.671001052606393</v>
      </c>
      <c r="J38" s="480">
        <v>22.1</v>
      </c>
      <c r="K38" s="480">
        <v>24.538890313628858</v>
      </c>
      <c r="L38" s="480">
        <v>27.337901246381669</v>
      </c>
      <c r="M38" s="723">
        <v>31.7</v>
      </c>
      <c r="N38" s="723"/>
      <c r="O38" s="723"/>
      <c r="P38" s="723"/>
      <c r="Q38" s="403"/>
      <c r="R38" s="106" t="s">
        <v>333</v>
      </c>
      <c r="S38" s="494" t="s">
        <v>129</v>
      </c>
    </row>
    <row r="39" spans="1:19">
      <c r="A39" s="225"/>
      <c r="B39" s="226"/>
      <c r="C39" s="226"/>
      <c r="D39" s="226"/>
      <c r="E39" s="226"/>
      <c r="G39" s="480"/>
      <c r="H39" s="480"/>
      <c r="I39" s="480"/>
      <c r="J39" s="480"/>
      <c r="K39" s="480"/>
      <c r="L39" s="480"/>
      <c r="M39" s="480"/>
      <c r="N39" s="480"/>
      <c r="O39" s="480"/>
      <c r="P39" s="480"/>
      <c r="Q39" s="403"/>
      <c r="R39" s="59"/>
      <c r="S39" s="48"/>
    </row>
    <row r="40" spans="1:19">
      <c r="A40" s="48"/>
      <c r="B40" s="54"/>
      <c r="C40" s="54"/>
      <c r="D40" s="54"/>
      <c r="E40" s="54"/>
      <c r="F40" s="481"/>
      <c r="G40" s="295"/>
      <c r="H40" s="481" t="s">
        <v>67</v>
      </c>
      <c r="I40" s="724" t="s">
        <v>68</v>
      </c>
      <c r="J40" s="724"/>
      <c r="K40" s="481" t="s">
        <v>51</v>
      </c>
      <c r="L40" s="481" t="s">
        <v>52</v>
      </c>
      <c r="M40" s="200" t="s">
        <v>62</v>
      </c>
      <c r="N40" s="202" t="s">
        <v>63</v>
      </c>
      <c r="O40" s="201" t="s">
        <v>64</v>
      </c>
      <c r="P40" s="200" t="s">
        <v>66</v>
      </c>
      <c r="Q40" s="403"/>
      <c r="R40" s="59"/>
      <c r="S40" s="48"/>
    </row>
    <row r="41" spans="1:19">
      <c r="A41" s="191" t="s">
        <v>65</v>
      </c>
      <c r="B41" s="199">
        <v>2014</v>
      </c>
      <c r="C41" s="199" t="s">
        <v>73</v>
      </c>
      <c r="D41" s="199" t="s">
        <v>79</v>
      </c>
      <c r="E41" s="198"/>
      <c r="F41" s="222"/>
      <c r="G41" s="291"/>
      <c r="H41" s="222">
        <v>4.9000000000000004</v>
      </c>
      <c r="I41" s="293">
        <f>AVERAGE(H41,J41)</f>
        <v>10.15</v>
      </c>
      <c r="J41" s="222">
        <v>15.4</v>
      </c>
      <c r="K41" s="197">
        <v>19</v>
      </c>
      <c r="L41" s="197">
        <v>21.9</v>
      </c>
      <c r="M41" s="197">
        <v>26</v>
      </c>
      <c r="N41" s="197">
        <v>28.7</v>
      </c>
      <c r="O41" s="197">
        <v>34.6</v>
      </c>
      <c r="P41" s="197">
        <v>37.4</v>
      </c>
      <c r="Q41" s="403"/>
      <c r="R41" s="103" t="s">
        <v>125</v>
      </c>
      <c r="S41" s="494" t="s">
        <v>127</v>
      </c>
    </row>
    <row r="42" spans="1:19">
      <c r="F42" s="403"/>
      <c r="G42" s="403"/>
      <c r="H42" s="403"/>
      <c r="I42" s="403"/>
      <c r="J42" s="403"/>
      <c r="K42" s="403"/>
      <c r="L42" s="403"/>
      <c r="M42" s="403"/>
      <c r="N42" s="44"/>
      <c r="O42" s="44"/>
      <c r="P42" s="44"/>
      <c r="Q42" s="403"/>
      <c r="R42" s="44" t="s">
        <v>1068</v>
      </c>
    </row>
    <row r="43" spans="1:19">
      <c r="A43" s="9" t="s">
        <v>81</v>
      </c>
      <c r="F43" s="492" t="s">
        <v>82</v>
      </c>
      <c r="G43" s="492" t="s">
        <v>83</v>
      </c>
      <c r="H43" s="492" t="s">
        <v>84</v>
      </c>
      <c r="I43" s="492" t="s">
        <v>85</v>
      </c>
      <c r="J43" s="492" t="s">
        <v>86</v>
      </c>
      <c r="K43" s="492" t="s">
        <v>87</v>
      </c>
      <c r="L43" s="492" t="s">
        <v>88</v>
      </c>
      <c r="M43" s="491" t="s">
        <v>89</v>
      </c>
      <c r="N43" s="195" t="s">
        <v>90</v>
      </c>
      <c r="O43" s="194" t="s">
        <v>91</v>
      </c>
      <c r="P43" s="491" t="s">
        <v>66</v>
      </c>
    </row>
    <row r="44" spans="1:19">
      <c r="A44" s="62" t="s">
        <v>70</v>
      </c>
      <c r="B44" s="62"/>
      <c r="C44" s="62"/>
      <c r="D44" s="62"/>
      <c r="E44" s="62"/>
      <c r="F44" s="417">
        <v>10</v>
      </c>
      <c r="G44" s="417">
        <v>30</v>
      </c>
      <c r="H44" s="417">
        <v>50</v>
      </c>
      <c r="I44" s="417">
        <v>70</v>
      </c>
      <c r="J44" s="417">
        <v>85</v>
      </c>
      <c r="K44" s="417">
        <v>92.5</v>
      </c>
      <c r="L44" s="417">
        <v>97</v>
      </c>
      <c r="M44" s="417">
        <v>99.25</v>
      </c>
      <c r="N44" s="417">
        <v>99.7</v>
      </c>
      <c r="O44" s="417">
        <v>99.944999999999993</v>
      </c>
      <c r="P44" s="417">
        <v>99.995000000000005</v>
      </c>
    </row>
    <row r="45" spans="1:19">
      <c r="A45" s="62" t="s">
        <v>23</v>
      </c>
      <c r="B45" s="62"/>
      <c r="C45" s="62"/>
      <c r="D45" s="62"/>
      <c r="E45" s="62"/>
      <c r="F45" s="417">
        <v>10</v>
      </c>
      <c r="G45" s="417">
        <v>30</v>
      </c>
      <c r="H45" s="417">
        <v>50</v>
      </c>
      <c r="I45" s="417">
        <v>70</v>
      </c>
      <c r="J45" s="417">
        <v>85</v>
      </c>
      <c r="K45" s="417">
        <v>92.5</v>
      </c>
      <c r="L45" s="417">
        <v>97</v>
      </c>
      <c r="M45" s="725">
        <v>99.5</v>
      </c>
      <c r="N45" s="725"/>
      <c r="O45" s="725"/>
      <c r="P45" s="725"/>
    </row>
    <row r="46" spans="1:19">
      <c r="A46" s="62" t="s">
        <v>71</v>
      </c>
      <c r="B46" s="62"/>
      <c r="C46" s="62"/>
      <c r="D46" s="62"/>
      <c r="E46" s="62"/>
      <c r="F46" s="417">
        <v>10</v>
      </c>
      <c r="G46" s="417">
        <v>30</v>
      </c>
      <c r="H46" s="417">
        <v>50</v>
      </c>
      <c r="I46" s="417">
        <v>70</v>
      </c>
      <c r="J46" s="417">
        <v>85</v>
      </c>
      <c r="K46" s="417">
        <v>92.5</v>
      </c>
      <c r="L46" s="417">
        <v>97</v>
      </c>
      <c r="M46" s="725">
        <v>99.5</v>
      </c>
      <c r="N46" s="725"/>
      <c r="O46" s="726">
        <v>99.95</v>
      </c>
      <c r="P46" s="726"/>
    </row>
    <row r="47" spans="1:19" s="564" customFormat="1">
      <c r="A47" s="62" t="s">
        <v>759</v>
      </c>
      <c r="B47" s="62"/>
      <c r="C47" s="62"/>
      <c r="D47" s="62"/>
      <c r="E47" s="62"/>
      <c r="F47" s="417">
        <v>10</v>
      </c>
      <c r="G47" s="417">
        <v>30</v>
      </c>
      <c r="H47" s="417">
        <v>50</v>
      </c>
      <c r="I47" s="417">
        <v>70</v>
      </c>
      <c r="J47" s="417">
        <v>85</v>
      </c>
      <c r="K47" s="417">
        <v>92.5</v>
      </c>
      <c r="L47" s="417">
        <v>97</v>
      </c>
      <c r="M47" s="725">
        <v>99.5</v>
      </c>
      <c r="N47" s="725"/>
      <c r="O47" s="726">
        <v>99.95</v>
      </c>
      <c r="P47" s="726"/>
      <c r="Q47" s="46"/>
    </row>
    <row r="48" spans="1:19">
      <c r="A48" s="62" t="s">
        <v>128</v>
      </c>
      <c r="B48" s="62"/>
      <c r="C48" s="62"/>
      <c r="D48" s="62"/>
      <c r="E48" s="62"/>
      <c r="F48" s="417">
        <v>10</v>
      </c>
      <c r="G48" s="417">
        <v>30</v>
      </c>
      <c r="H48" s="417">
        <v>50</v>
      </c>
      <c r="I48" s="417">
        <v>70</v>
      </c>
      <c r="J48" s="417">
        <v>85</v>
      </c>
      <c r="K48" s="417">
        <v>92.5</v>
      </c>
      <c r="L48" s="417">
        <v>97</v>
      </c>
      <c r="M48" s="726">
        <v>99.75</v>
      </c>
      <c r="N48" s="726"/>
      <c r="O48" s="726"/>
      <c r="P48" s="726"/>
    </row>
    <row r="49" spans="1:19" s="46" customFormat="1">
      <c r="A49" s="62" t="s">
        <v>65</v>
      </c>
      <c r="B49" s="62"/>
      <c r="C49" s="62"/>
      <c r="D49" s="62"/>
      <c r="E49" s="62"/>
      <c r="F49" s="292"/>
      <c r="G49" s="292"/>
      <c r="H49" s="417">
        <v>30</v>
      </c>
      <c r="I49" s="294">
        <f>AVERAGE(H49,J49)</f>
        <v>50</v>
      </c>
      <c r="J49" s="417">
        <v>70</v>
      </c>
      <c r="K49" s="417">
        <v>92.5</v>
      </c>
      <c r="L49" s="417">
        <v>97</v>
      </c>
      <c r="M49" s="417">
        <v>99.25</v>
      </c>
      <c r="N49" s="417">
        <v>99.7</v>
      </c>
      <c r="O49" s="417">
        <v>99.944999999999993</v>
      </c>
      <c r="P49" s="417">
        <v>99.995000000000005</v>
      </c>
      <c r="R49" s="556"/>
      <c r="S49" s="556"/>
    </row>
    <row r="50" spans="1:19" s="46" customFormat="1">
      <c r="A50" s="62"/>
      <c r="B50" s="62"/>
      <c r="C50" s="62"/>
      <c r="D50" s="62"/>
      <c r="E50" s="62"/>
      <c r="F50" s="417"/>
      <c r="G50" s="417"/>
      <c r="H50" s="417"/>
      <c r="I50" s="417"/>
      <c r="J50" s="417"/>
      <c r="K50" s="417"/>
      <c r="L50" s="417"/>
      <c r="M50" s="417"/>
      <c r="N50" s="417"/>
      <c r="O50" s="417"/>
      <c r="P50" s="417"/>
      <c r="R50" s="556"/>
      <c r="S50" s="556"/>
    </row>
    <row r="51" spans="1:19" s="46" customFormat="1">
      <c r="A51" s="62"/>
      <c r="B51" s="62"/>
      <c r="C51" s="62"/>
      <c r="D51" s="62"/>
      <c r="E51" s="62"/>
      <c r="F51" s="417"/>
      <c r="G51" s="417"/>
      <c r="H51" s="417"/>
      <c r="I51" s="417"/>
      <c r="J51" s="417"/>
      <c r="K51" s="417"/>
      <c r="L51" s="417"/>
      <c r="M51" s="417"/>
      <c r="N51" s="417"/>
      <c r="O51" s="417"/>
      <c r="P51" s="417"/>
      <c r="R51" s="556"/>
      <c r="S51" s="556"/>
    </row>
    <row r="59" spans="1:19">
      <c r="N59" s="42"/>
    </row>
    <row r="61" spans="1:19">
      <c r="L61" s="110"/>
    </row>
    <row r="62" spans="1:19">
      <c r="L62" s="110"/>
    </row>
    <row r="63" spans="1:19">
      <c r="L63" s="110"/>
    </row>
    <row r="64" spans="1:19">
      <c r="L64" s="110"/>
    </row>
    <row r="65" spans="12:12">
      <c r="L65" s="110"/>
    </row>
    <row r="66" spans="12:12">
      <c r="L66" s="110"/>
    </row>
    <row r="67" spans="12:12">
      <c r="L67" s="110"/>
    </row>
    <row r="68" spans="12:12">
      <c r="L68" s="110"/>
    </row>
    <row r="69" spans="12:12">
      <c r="L69" s="110"/>
    </row>
    <row r="70" spans="12:12">
      <c r="L70" s="110"/>
    </row>
    <row r="71" spans="12:12">
      <c r="L71" s="110"/>
    </row>
  </sheetData>
  <mergeCells count="19">
    <mergeCell ref="M48:P48"/>
    <mergeCell ref="M46:N46"/>
    <mergeCell ref="O46:P46"/>
    <mergeCell ref="M47:N47"/>
    <mergeCell ref="O47:P47"/>
    <mergeCell ref="M35:P35"/>
    <mergeCell ref="M38:P38"/>
    <mergeCell ref="I40:J40"/>
    <mergeCell ref="M45:P45"/>
    <mergeCell ref="O36:P36"/>
    <mergeCell ref="M36:N36"/>
    <mergeCell ref="O37:P37"/>
    <mergeCell ref="M37:N37"/>
    <mergeCell ref="A27:M27"/>
    <mergeCell ref="A28:M28"/>
    <mergeCell ref="C32:C33"/>
    <mergeCell ref="D32:D33"/>
    <mergeCell ref="E32:E33"/>
    <mergeCell ref="M32:P32"/>
  </mergeCells>
  <hyperlinks>
    <hyperlink ref="S35" r:id="rId1" xr:uid="{50591FA6-E14D-47A4-9649-5C239FAD8E36}"/>
    <hyperlink ref="S34" r:id="rId2" xr:uid="{26710532-1525-43A2-A747-B576F030D441}"/>
    <hyperlink ref="S41" r:id="rId3" xr:uid="{0776C700-40C9-4C12-80DE-201C3B046C42}"/>
    <hyperlink ref="S38" r:id="rId4" xr:uid="{ADFCE055-EFA8-439D-906D-E7EF64C20169}"/>
    <hyperlink ref="S36" r:id="rId5" display="https://www.taxpolicycenter.org/model-estimates/individual-income-tax-expenditures/average-effective-federal-tax-rates-filing-1" xr:uid="{27631E0D-7E1D-49AB-80CC-A7CDA59DA694}"/>
    <hyperlink ref="S37" r:id="rId6" xr:uid="{1B2C5B96-AA88-41BB-98B3-3B8DBAB33959}"/>
    <hyperlink ref="I1" location="Index!A1" display="index" xr:uid="{E05F42EA-352A-4CC8-AB3C-78E167AD76F7}"/>
  </hyperlinks>
  <pageMargins left="0.7" right="0.7" top="0.75" bottom="0.75" header="0.3" footer="0.3"/>
  <pageSetup orientation="portrait" horizontalDpi="1200" verticalDpi="1200" r:id="rId7"/>
  <drawing r:id="rId8"/>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6AB535-D15D-4688-A921-361D6CDE7A9C}">
  <sheetPr codeName="Sheet32">
    <tabColor theme="9" tint="0.79998168889431442"/>
  </sheetPr>
  <dimension ref="A1:GW49"/>
  <sheetViews>
    <sheetView workbookViewId="0"/>
  </sheetViews>
  <sheetFormatPr defaultRowHeight="15"/>
  <cols>
    <col min="1" max="1" width="8.28515625" style="46" customWidth="1"/>
    <col min="2" max="3" width="10.28515625" style="131" customWidth="1"/>
    <col min="4" max="4" width="1.85546875" style="131" customWidth="1"/>
    <col min="5" max="12" width="6.5703125" style="131" customWidth="1"/>
    <col min="13" max="13" width="2.140625" style="131" customWidth="1"/>
    <col min="14" max="17" width="5.5703125" style="131" customWidth="1"/>
    <col min="18" max="19" width="6.7109375" style="131" customWidth="1"/>
    <col min="20" max="20" width="7.140625" style="131" customWidth="1"/>
    <col min="21" max="21" width="7.28515625" style="131" customWidth="1"/>
    <col min="22" max="22" width="2.5703125" style="131" customWidth="1"/>
    <col min="23" max="30" width="6.5703125" style="131" customWidth="1"/>
    <col min="31" max="31" width="2.140625" style="131" customWidth="1"/>
    <col min="32" max="34" width="5.7109375" style="131" customWidth="1"/>
    <col min="35" max="35" width="6.42578125" style="131" customWidth="1"/>
    <col min="36" max="36" width="7.28515625" style="131" customWidth="1"/>
    <col min="37" max="39" width="7" style="131" customWidth="1"/>
    <col min="40" max="40" width="2" style="131" customWidth="1"/>
    <col min="41" max="44" width="5.5703125" style="131" customWidth="1"/>
    <col min="45" max="48" width="6.28515625" style="131" customWidth="1"/>
    <col min="49" max="16384" width="9.140625" style="131"/>
  </cols>
  <sheetData>
    <row r="1" spans="1:205">
      <c r="A1" s="147" t="s">
        <v>1057</v>
      </c>
      <c r="L1" s="641" t="s">
        <v>762</v>
      </c>
    </row>
    <row r="2" spans="1:205">
      <c r="A2" s="103" t="s">
        <v>599</v>
      </c>
    </row>
    <row r="4" spans="1:205" ht="23.25" customHeight="1">
      <c r="A4" s="144"/>
      <c r="B4" s="729" t="s">
        <v>1058</v>
      </c>
      <c r="C4" s="729" t="s">
        <v>255</v>
      </c>
      <c r="D4" s="120"/>
      <c r="E4" s="753" t="s">
        <v>626</v>
      </c>
      <c r="F4" s="731"/>
      <c r="G4" s="731"/>
      <c r="H4" s="731"/>
      <c r="I4" s="731"/>
      <c r="J4" s="731"/>
      <c r="K4" s="731"/>
      <c r="L4" s="731"/>
      <c r="M4" s="134"/>
      <c r="N4" s="736" t="s">
        <v>205</v>
      </c>
      <c r="O4" s="736"/>
      <c r="P4" s="736"/>
      <c r="Q4" s="736"/>
      <c r="R4" s="736"/>
      <c r="S4" s="736"/>
      <c r="T4" s="736"/>
      <c r="U4" s="736"/>
      <c r="V4" s="134"/>
      <c r="W4" s="736" t="s">
        <v>625</v>
      </c>
      <c r="X4" s="736"/>
      <c r="Y4" s="736"/>
      <c r="Z4" s="736"/>
      <c r="AA4" s="736"/>
      <c r="AB4" s="736"/>
      <c r="AC4" s="736"/>
      <c r="AD4" s="736"/>
      <c r="AE4" s="120"/>
      <c r="AF4" s="736" t="s">
        <v>206</v>
      </c>
      <c r="AG4" s="736"/>
      <c r="AH4" s="736"/>
      <c r="AI4" s="736"/>
      <c r="AJ4" s="736"/>
      <c r="AK4" s="736"/>
      <c r="AL4" s="736"/>
      <c r="AM4" s="736"/>
      <c r="AN4" s="120"/>
      <c r="AO4" s="731" t="s">
        <v>207</v>
      </c>
      <c r="AP4" s="731"/>
      <c r="AQ4" s="731"/>
      <c r="AR4" s="731"/>
      <c r="AS4" s="731"/>
      <c r="AT4" s="731"/>
      <c r="AU4" s="731"/>
      <c r="AV4" s="731"/>
    </row>
    <row r="5" spans="1:205">
      <c r="A5" s="53"/>
      <c r="B5" s="730"/>
      <c r="C5" s="730"/>
      <c r="D5" s="6"/>
      <c r="E5" s="6" t="s">
        <v>158</v>
      </c>
      <c r="F5" s="6" t="s">
        <v>159</v>
      </c>
      <c r="G5" s="6" t="s">
        <v>160</v>
      </c>
      <c r="H5" s="6" t="s">
        <v>161</v>
      </c>
      <c r="I5" s="51" t="s">
        <v>33</v>
      </c>
      <c r="J5" s="51" t="s">
        <v>51</v>
      </c>
      <c r="K5" s="51" t="s">
        <v>52</v>
      </c>
      <c r="L5" s="51" t="s">
        <v>28</v>
      </c>
      <c r="M5" s="5"/>
      <c r="N5" s="6" t="s">
        <v>158</v>
      </c>
      <c r="O5" s="6" t="s">
        <v>159</v>
      </c>
      <c r="P5" s="6" t="s">
        <v>160</v>
      </c>
      <c r="Q5" s="6" t="s">
        <v>161</v>
      </c>
      <c r="R5" s="51" t="s">
        <v>33</v>
      </c>
      <c r="S5" s="51" t="s">
        <v>51</v>
      </c>
      <c r="T5" s="51" t="s">
        <v>52</v>
      </c>
      <c r="U5" s="51" t="s">
        <v>28</v>
      </c>
      <c r="V5" s="5"/>
      <c r="W5" s="6" t="s">
        <v>158</v>
      </c>
      <c r="X5" s="6" t="s">
        <v>159</v>
      </c>
      <c r="Y5" s="6" t="s">
        <v>160</v>
      </c>
      <c r="Z5" s="6" t="s">
        <v>161</v>
      </c>
      <c r="AA5" s="51" t="s">
        <v>33</v>
      </c>
      <c r="AB5" s="51" t="s">
        <v>51</v>
      </c>
      <c r="AC5" s="51" t="s">
        <v>52</v>
      </c>
      <c r="AD5" s="51" t="s">
        <v>28</v>
      </c>
      <c r="AE5" s="6"/>
      <c r="AF5" s="6" t="s">
        <v>158</v>
      </c>
      <c r="AG5" s="6" t="s">
        <v>159</v>
      </c>
      <c r="AH5" s="6" t="s">
        <v>160</v>
      </c>
      <c r="AI5" s="6" t="s">
        <v>161</v>
      </c>
      <c r="AJ5" s="51" t="s">
        <v>33</v>
      </c>
      <c r="AK5" s="51" t="s">
        <v>51</v>
      </c>
      <c r="AL5" s="51" t="s">
        <v>52</v>
      </c>
      <c r="AM5" s="51" t="s">
        <v>28</v>
      </c>
      <c r="AN5" s="6"/>
      <c r="AO5" s="6" t="s">
        <v>158</v>
      </c>
      <c r="AP5" s="6" t="s">
        <v>159</v>
      </c>
      <c r="AQ5" s="6" t="s">
        <v>160</v>
      </c>
      <c r="AR5" s="6" t="s">
        <v>161</v>
      </c>
      <c r="AS5" s="51" t="s">
        <v>33</v>
      </c>
      <c r="AT5" s="51" t="s">
        <v>51</v>
      </c>
      <c r="AU5" s="51" t="s">
        <v>52</v>
      </c>
      <c r="AV5" s="51" t="s">
        <v>28</v>
      </c>
    </row>
    <row r="6" spans="1:205">
      <c r="A6" s="46">
        <v>2014</v>
      </c>
      <c r="B6" s="141">
        <f>B12</f>
        <v>0.10101449850796698</v>
      </c>
      <c r="C6" s="141">
        <f>C12</f>
        <v>0.99108366685410387</v>
      </c>
      <c r="D6" s="46"/>
      <c r="E6" s="143">
        <f t="shared" ref="E6:L6" si="0">LN(1-W6/100)*-1</f>
        <v>1.9182819416773987E-2</v>
      </c>
      <c r="F6" s="143">
        <f t="shared" si="0"/>
        <v>9.431067947124129E-2</v>
      </c>
      <c r="G6" s="143">
        <f t="shared" si="0"/>
        <v>0.15082288973458366</v>
      </c>
      <c r="H6" s="143">
        <f t="shared" si="0"/>
        <v>0.1960148839259572</v>
      </c>
      <c r="I6" s="143">
        <f t="shared" si="0"/>
        <v>0.23825718912425789</v>
      </c>
      <c r="J6" s="143">
        <f t="shared" si="0"/>
        <v>0.26657310924154576</v>
      </c>
      <c r="K6" s="143">
        <f t="shared" si="0"/>
        <v>0.31060957709548559</v>
      </c>
      <c r="L6" s="143">
        <f t="shared" si="0"/>
        <v>0.4094731295057033</v>
      </c>
      <c r="M6" s="46"/>
      <c r="N6" s="143">
        <f t="shared" ref="N6:U6" si="1">LN(AF6)</f>
        <v>9.87302834505142</v>
      </c>
      <c r="O6" s="143">
        <f t="shared" si="1"/>
        <v>10.661954199216716</v>
      </c>
      <c r="P6" s="143">
        <f t="shared" si="1"/>
        <v>11.150519846322512</v>
      </c>
      <c r="Q6" s="143">
        <f t="shared" si="1"/>
        <v>11.569305798406337</v>
      </c>
      <c r="R6" s="143">
        <f t="shared" si="1"/>
        <v>11.939499536288627</v>
      </c>
      <c r="S6" s="143">
        <f t="shared" si="1"/>
        <v>12.251046011172905</v>
      </c>
      <c r="T6" s="143">
        <f t="shared" si="1"/>
        <v>12.755926656263643</v>
      </c>
      <c r="U6" s="143">
        <f t="shared" si="1"/>
        <v>14.40185173420641</v>
      </c>
      <c r="W6" s="146">
        <f>TxRt!B88</f>
        <v>1.9</v>
      </c>
      <c r="X6" s="146">
        <f>TxRt!B131</f>
        <v>9</v>
      </c>
      <c r="Y6" s="146">
        <f>TxRt!B171</f>
        <v>14</v>
      </c>
      <c r="Z6" s="146">
        <f>TxRt!B211</f>
        <v>17.8</v>
      </c>
      <c r="AA6" s="146">
        <f>TxRt!B291</f>
        <v>21.2</v>
      </c>
      <c r="AB6" s="146">
        <f>TxRt!B331</f>
        <v>23.4</v>
      </c>
      <c r="AC6" s="146">
        <f>TxRt!B371</f>
        <v>26.7</v>
      </c>
      <c r="AD6" s="146">
        <f>TxRt!B411</f>
        <v>33.6</v>
      </c>
      <c r="AE6" s="46"/>
      <c r="AF6" s="60">
        <f>Inc!B85</f>
        <v>19400</v>
      </c>
      <c r="AG6" s="60">
        <f>Inc!B125</f>
        <v>42700</v>
      </c>
      <c r="AH6" s="60">
        <f>Inc!B165</f>
        <v>69600</v>
      </c>
      <c r="AI6" s="60">
        <f>Inc!B205</f>
        <v>105800</v>
      </c>
      <c r="AJ6" s="60">
        <f>Inc!B285</f>
        <v>153200</v>
      </c>
      <c r="AK6" s="60">
        <f>Inc!B325</f>
        <v>209200</v>
      </c>
      <c r="AL6" s="60">
        <f>Inc!B365</f>
        <v>346600</v>
      </c>
      <c r="AM6" s="60">
        <f>Inc!B405</f>
        <v>1797400</v>
      </c>
      <c r="AO6" s="60">
        <f t="shared" ref="AO6:AV6" si="2">W6*AF6/100</f>
        <v>368.6</v>
      </c>
      <c r="AP6" s="60">
        <f t="shared" si="2"/>
        <v>3843</v>
      </c>
      <c r="AQ6" s="60">
        <f t="shared" si="2"/>
        <v>9744</v>
      </c>
      <c r="AR6" s="60">
        <f t="shared" si="2"/>
        <v>18832.400000000001</v>
      </c>
      <c r="AS6" s="60">
        <f t="shared" si="2"/>
        <v>32478.400000000001</v>
      </c>
      <c r="AT6" s="60">
        <f t="shared" si="2"/>
        <v>48952.800000000003</v>
      </c>
      <c r="AU6" s="60">
        <f t="shared" si="2"/>
        <v>92542.2</v>
      </c>
      <c r="AV6" s="60">
        <f t="shared" si="2"/>
        <v>603926.4</v>
      </c>
    </row>
    <row r="7" spans="1:205">
      <c r="B7" s="16"/>
    </row>
    <row r="9" spans="1:205">
      <c r="A9" s="256" t="s">
        <v>261</v>
      </c>
    </row>
    <row r="10" spans="1:205">
      <c r="A10" s="256"/>
      <c r="E10" s="745" t="s">
        <v>158</v>
      </c>
      <c r="F10" s="745"/>
      <c r="G10" s="745"/>
      <c r="H10" s="745"/>
      <c r="I10" s="745"/>
      <c r="J10" s="745"/>
      <c r="K10" s="745"/>
      <c r="L10" s="745"/>
      <c r="M10" s="745"/>
      <c r="N10" s="745"/>
      <c r="O10" s="745"/>
      <c r="P10" s="745"/>
      <c r="Q10" s="745"/>
      <c r="R10" s="745"/>
      <c r="S10" s="745"/>
      <c r="T10" s="745"/>
      <c r="U10" s="745"/>
      <c r="V10" s="745"/>
      <c r="W10" s="745"/>
      <c r="X10" s="745"/>
      <c r="Y10" s="745" t="s">
        <v>159</v>
      </c>
      <c r="Z10" s="745"/>
      <c r="AA10" s="745"/>
      <c r="AB10" s="745"/>
      <c r="AC10" s="745"/>
      <c r="AD10" s="745"/>
      <c r="AE10" s="745"/>
      <c r="AF10" s="745"/>
      <c r="AG10" s="745"/>
      <c r="AH10" s="745"/>
      <c r="AI10" s="745"/>
      <c r="AJ10" s="745"/>
      <c r="AK10" s="745"/>
      <c r="AL10" s="745"/>
      <c r="AM10" s="745"/>
      <c r="AN10" s="745"/>
      <c r="AO10" s="745"/>
      <c r="AP10" s="745"/>
      <c r="AQ10" s="745"/>
      <c r="AR10" s="745"/>
      <c r="AS10" s="745" t="s">
        <v>160</v>
      </c>
      <c r="AT10" s="745"/>
      <c r="AU10" s="745"/>
      <c r="AV10" s="745"/>
      <c r="AW10" s="745"/>
      <c r="AX10" s="745"/>
      <c r="AY10" s="745"/>
      <c r="AZ10" s="745"/>
      <c r="BA10" s="745"/>
      <c r="BB10" s="745"/>
      <c r="BC10" s="745"/>
      <c r="BD10" s="745"/>
      <c r="BE10" s="745"/>
      <c r="BF10" s="745"/>
      <c r="BG10" s="745"/>
      <c r="BH10" s="745"/>
      <c r="BI10" s="745"/>
      <c r="BJ10" s="745"/>
      <c r="BK10" s="745"/>
      <c r="BL10" s="745"/>
      <c r="BM10" s="745" t="s">
        <v>161</v>
      </c>
      <c r="BN10" s="745"/>
      <c r="BO10" s="745"/>
      <c r="BP10" s="745"/>
      <c r="BQ10" s="745"/>
      <c r="BR10" s="745"/>
      <c r="BS10" s="745"/>
      <c r="BT10" s="745"/>
      <c r="BU10" s="745"/>
      <c r="BV10" s="745"/>
      <c r="BW10" s="745"/>
      <c r="BX10" s="745"/>
      <c r="BY10" s="745"/>
      <c r="BZ10" s="745"/>
      <c r="CA10" s="745"/>
      <c r="CB10" s="745"/>
      <c r="CC10" s="745"/>
      <c r="CD10" s="745"/>
      <c r="CE10" s="745"/>
      <c r="CF10" s="745"/>
      <c r="CG10" s="746" t="s">
        <v>33</v>
      </c>
      <c r="CH10" s="746"/>
      <c r="CI10" s="746"/>
      <c r="CJ10" s="746"/>
      <c r="CK10" s="746"/>
      <c r="CL10" s="746"/>
      <c r="CM10" s="746"/>
      <c r="CN10" s="746"/>
      <c r="CO10" s="746"/>
      <c r="CP10" s="746"/>
      <c r="CQ10" s="746" t="s">
        <v>51</v>
      </c>
      <c r="CR10" s="746"/>
      <c r="CS10" s="746"/>
      <c r="CT10" s="746"/>
      <c r="CU10" s="746"/>
      <c r="CV10" s="746" t="s">
        <v>52</v>
      </c>
      <c r="CW10" s="746"/>
      <c r="CX10" s="746"/>
      <c r="CY10" s="746"/>
      <c r="CZ10" s="251" t="s">
        <v>28</v>
      </c>
      <c r="DB10" s="745" t="s">
        <v>158</v>
      </c>
      <c r="DC10" s="745"/>
      <c r="DD10" s="745"/>
      <c r="DE10" s="745"/>
      <c r="DF10" s="745"/>
      <c r="DG10" s="745"/>
      <c r="DH10" s="745"/>
      <c r="DI10" s="745"/>
      <c r="DJ10" s="745"/>
      <c r="DK10" s="745"/>
      <c r="DL10" s="745"/>
      <c r="DM10" s="745"/>
      <c r="DN10" s="745"/>
      <c r="DO10" s="745"/>
      <c r="DP10" s="745"/>
      <c r="DQ10" s="745"/>
      <c r="DR10" s="745"/>
      <c r="DS10" s="745"/>
      <c r="DT10" s="745"/>
      <c r="DU10" s="745"/>
      <c r="DV10" s="745" t="s">
        <v>159</v>
      </c>
      <c r="DW10" s="745"/>
      <c r="DX10" s="745"/>
      <c r="DY10" s="745"/>
      <c r="DZ10" s="745"/>
      <c r="EA10" s="745"/>
      <c r="EB10" s="745"/>
      <c r="EC10" s="745"/>
      <c r="ED10" s="745"/>
      <c r="EE10" s="745"/>
      <c r="EF10" s="745"/>
      <c r="EG10" s="745"/>
      <c r="EH10" s="745"/>
      <c r="EI10" s="745"/>
      <c r="EJ10" s="745"/>
      <c r="EK10" s="745"/>
      <c r="EL10" s="745"/>
      <c r="EM10" s="745"/>
      <c r="EN10" s="745"/>
      <c r="EO10" s="745"/>
      <c r="EP10" s="745" t="s">
        <v>160</v>
      </c>
      <c r="EQ10" s="745"/>
      <c r="ER10" s="745"/>
      <c r="ES10" s="745"/>
      <c r="ET10" s="745"/>
      <c r="EU10" s="745"/>
      <c r="EV10" s="745"/>
      <c r="EW10" s="745"/>
      <c r="EX10" s="745"/>
      <c r="EY10" s="745"/>
      <c r="EZ10" s="745"/>
      <c r="FA10" s="745"/>
      <c r="FB10" s="745"/>
      <c r="FC10" s="745"/>
      <c r="FD10" s="745"/>
      <c r="FE10" s="745"/>
      <c r="FF10" s="745"/>
      <c r="FG10" s="745"/>
      <c r="FH10" s="745"/>
      <c r="FI10" s="745"/>
      <c r="FJ10" s="745" t="s">
        <v>161</v>
      </c>
      <c r="FK10" s="745"/>
      <c r="FL10" s="745"/>
      <c r="FM10" s="745"/>
      <c r="FN10" s="745"/>
      <c r="FO10" s="745"/>
      <c r="FP10" s="745"/>
      <c r="FQ10" s="745"/>
      <c r="FR10" s="745"/>
      <c r="FS10" s="745"/>
      <c r="FT10" s="745"/>
      <c r="FU10" s="745"/>
      <c r="FV10" s="745"/>
      <c r="FW10" s="745"/>
      <c r="FX10" s="745"/>
      <c r="FY10" s="745"/>
      <c r="FZ10" s="745"/>
      <c r="GA10" s="745"/>
      <c r="GB10" s="745"/>
      <c r="GC10" s="745"/>
      <c r="GD10" s="746" t="s">
        <v>33</v>
      </c>
      <c r="GE10" s="746"/>
      <c r="GF10" s="746"/>
      <c r="GG10" s="746"/>
      <c r="GH10" s="746"/>
      <c r="GI10" s="746"/>
      <c r="GJ10" s="746"/>
      <c r="GK10" s="746"/>
      <c r="GL10" s="746"/>
      <c r="GM10" s="746"/>
      <c r="GN10" s="746" t="s">
        <v>51</v>
      </c>
      <c r="GO10" s="746"/>
      <c r="GP10" s="746"/>
      <c r="GQ10" s="746"/>
      <c r="GR10" s="746"/>
      <c r="GS10" s="746" t="s">
        <v>52</v>
      </c>
      <c r="GT10" s="746"/>
      <c r="GU10" s="746"/>
      <c r="GV10" s="746"/>
      <c r="GW10" s="251" t="s">
        <v>28</v>
      </c>
    </row>
    <row r="11" spans="1:205" s="46" customFormat="1">
      <c r="A11" s="15"/>
      <c r="E11" s="255">
        <v>1</v>
      </c>
      <c r="F11" s="255">
        <f>E11+1</f>
        <v>2</v>
      </c>
      <c r="G11" s="255">
        <f t="shared" ref="G11:BR11" si="3">F11+1</f>
        <v>3</v>
      </c>
      <c r="H11" s="255">
        <f t="shared" si="3"/>
        <v>4</v>
      </c>
      <c r="I11" s="255">
        <f t="shared" si="3"/>
        <v>5</v>
      </c>
      <c r="J11" s="255">
        <f t="shared" si="3"/>
        <v>6</v>
      </c>
      <c r="K11" s="255">
        <f t="shared" si="3"/>
        <v>7</v>
      </c>
      <c r="L11" s="255">
        <f t="shared" si="3"/>
        <v>8</v>
      </c>
      <c r="M11" s="255">
        <f t="shared" si="3"/>
        <v>9</v>
      </c>
      <c r="N11" s="255">
        <f t="shared" si="3"/>
        <v>10</v>
      </c>
      <c r="O11" s="255">
        <f t="shared" si="3"/>
        <v>11</v>
      </c>
      <c r="P11" s="255">
        <f t="shared" si="3"/>
        <v>12</v>
      </c>
      <c r="Q11" s="255">
        <f t="shared" si="3"/>
        <v>13</v>
      </c>
      <c r="R11" s="255">
        <f t="shared" si="3"/>
        <v>14</v>
      </c>
      <c r="S11" s="255">
        <f t="shared" si="3"/>
        <v>15</v>
      </c>
      <c r="T11" s="255">
        <f t="shared" si="3"/>
        <v>16</v>
      </c>
      <c r="U11" s="255">
        <f t="shared" si="3"/>
        <v>17</v>
      </c>
      <c r="V11" s="255">
        <f t="shared" si="3"/>
        <v>18</v>
      </c>
      <c r="W11" s="255">
        <f t="shared" si="3"/>
        <v>19</v>
      </c>
      <c r="X11" s="255">
        <f t="shared" si="3"/>
        <v>20</v>
      </c>
      <c r="Y11" s="255">
        <f t="shared" si="3"/>
        <v>21</v>
      </c>
      <c r="Z11" s="255">
        <f t="shared" si="3"/>
        <v>22</v>
      </c>
      <c r="AA11" s="255">
        <f t="shared" si="3"/>
        <v>23</v>
      </c>
      <c r="AB11" s="255">
        <f t="shared" si="3"/>
        <v>24</v>
      </c>
      <c r="AC11" s="255">
        <f t="shared" si="3"/>
        <v>25</v>
      </c>
      <c r="AD11" s="255">
        <f t="shared" si="3"/>
        <v>26</v>
      </c>
      <c r="AE11" s="255">
        <f t="shared" si="3"/>
        <v>27</v>
      </c>
      <c r="AF11" s="255">
        <f t="shared" si="3"/>
        <v>28</v>
      </c>
      <c r="AG11" s="255">
        <f t="shared" si="3"/>
        <v>29</v>
      </c>
      <c r="AH11" s="255">
        <f t="shared" si="3"/>
        <v>30</v>
      </c>
      <c r="AI11" s="255">
        <f t="shared" si="3"/>
        <v>31</v>
      </c>
      <c r="AJ11" s="255">
        <f t="shared" si="3"/>
        <v>32</v>
      </c>
      <c r="AK11" s="255">
        <f t="shared" si="3"/>
        <v>33</v>
      </c>
      <c r="AL11" s="255">
        <f t="shared" si="3"/>
        <v>34</v>
      </c>
      <c r="AM11" s="255">
        <f t="shared" si="3"/>
        <v>35</v>
      </c>
      <c r="AN11" s="255">
        <f t="shared" si="3"/>
        <v>36</v>
      </c>
      <c r="AO11" s="255">
        <f t="shared" si="3"/>
        <v>37</v>
      </c>
      <c r="AP11" s="255">
        <f t="shared" si="3"/>
        <v>38</v>
      </c>
      <c r="AQ11" s="255">
        <f t="shared" si="3"/>
        <v>39</v>
      </c>
      <c r="AR11" s="255">
        <f t="shared" si="3"/>
        <v>40</v>
      </c>
      <c r="AS11" s="255">
        <f t="shared" si="3"/>
        <v>41</v>
      </c>
      <c r="AT11" s="255">
        <f t="shared" si="3"/>
        <v>42</v>
      </c>
      <c r="AU11" s="255">
        <f t="shared" si="3"/>
        <v>43</v>
      </c>
      <c r="AV11" s="255">
        <f t="shared" si="3"/>
        <v>44</v>
      </c>
      <c r="AW11" s="255">
        <f t="shared" si="3"/>
        <v>45</v>
      </c>
      <c r="AX11" s="255">
        <f t="shared" si="3"/>
        <v>46</v>
      </c>
      <c r="AY11" s="255">
        <f t="shared" si="3"/>
        <v>47</v>
      </c>
      <c r="AZ11" s="255">
        <f t="shared" si="3"/>
        <v>48</v>
      </c>
      <c r="BA11" s="255">
        <f t="shared" si="3"/>
        <v>49</v>
      </c>
      <c r="BB11" s="255">
        <f t="shared" si="3"/>
        <v>50</v>
      </c>
      <c r="BC11" s="255">
        <f t="shared" si="3"/>
        <v>51</v>
      </c>
      <c r="BD11" s="255">
        <f t="shared" si="3"/>
        <v>52</v>
      </c>
      <c r="BE11" s="255">
        <f t="shared" si="3"/>
        <v>53</v>
      </c>
      <c r="BF11" s="255">
        <f t="shared" si="3"/>
        <v>54</v>
      </c>
      <c r="BG11" s="255">
        <f t="shared" si="3"/>
        <v>55</v>
      </c>
      <c r="BH11" s="255">
        <f t="shared" si="3"/>
        <v>56</v>
      </c>
      <c r="BI11" s="255">
        <f t="shared" si="3"/>
        <v>57</v>
      </c>
      <c r="BJ11" s="255">
        <f t="shared" si="3"/>
        <v>58</v>
      </c>
      <c r="BK11" s="255">
        <f t="shared" si="3"/>
        <v>59</v>
      </c>
      <c r="BL11" s="255">
        <f t="shared" si="3"/>
        <v>60</v>
      </c>
      <c r="BM11" s="255">
        <f t="shared" si="3"/>
        <v>61</v>
      </c>
      <c r="BN11" s="255">
        <f t="shared" si="3"/>
        <v>62</v>
      </c>
      <c r="BO11" s="255">
        <f t="shared" si="3"/>
        <v>63</v>
      </c>
      <c r="BP11" s="255">
        <f t="shared" si="3"/>
        <v>64</v>
      </c>
      <c r="BQ11" s="255">
        <f t="shared" si="3"/>
        <v>65</v>
      </c>
      <c r="BR11" s="255">
        <f t="shared" si="3"/>
        <v>66</v>
      </c>
      <c r="BS11" s="255">
        <f t="shared" ref="BS11:CZ11" si="4">BR11+1</f>
        <v>67</v>
      </c>
      <c r="BT11" s="255">
        <f t="shared" si="4"/>
        <v>68</v>
      </c>
      <c r="BU11" s="255">
        <f t="shared" si="4"/>
        <v>69</v>
      </c>
      <c r="BV11" s="255">
        <f t="shared" si="4"/>
        <v>70</v>
      </c>
      <c r="BW11" s="255">
        <f t="shared" si="4"/>
        <v>71</v>
      </c>
      <c r="BX11" s="255">
        <f t="shared" si="4"/>
        <v>72</v>
      </c>
      <c r="BY11" s="255">
        <f t="shared" si="4"/>
        <v>73</v>
      </c>
      <c r="BZ11" s="255">
        <f t="shared" si="4"/>
        <v>74</v>
      </c>
      <c r="CA11" s="255">
        <f t="shared" si="4"/>
        <v>75</v>
      </c>
      <c r="CB11" s="255">
        <f t="shared" si="4"/>
        <v>76</v>
      </c>
      <c r="CC11" s="255">
        <f t="shared" si="4"/>
        <v>77</v>
      </c>
      <c r="CD11" s="255">
        <f t="shared" si="4"/>
        <v>78</v>
      </c>
      <c r="CE11" s="255">
        <f t="shared" si="4"/>
        <v>79</v>
      </c>
      <c r="CF11" s="255">
        <f t="shared" si="4"/>
        <v>80</v>
      </c>
      <c r="CG11" s="255">
        <f t="shared" si="4"/>
        <v>81</v>
      </c>
      <c r="CH11" s="255">
        <f t="shared" si="4"/>
        <v>82</v>
      </c>
      <c r="CI11" s="255">
        <f t="shared" si="4"/>
        <v>83</v>
      </c>
      <c r="CJ11" s="255">
        <f t="shared" si="4"/>
        <v>84</v>
      </c>
      <c r="CK11" s="255">
        <f t="shared" si="4"/>
        <v>85</v>
      </c>
      <c r="CL11" s="255">
        <f t="shared" si="4"/>
        <v>86</v>
      </c>
      <c r="CM11" s="255">
        <f t="shared" si="4"/>
        <v>87</v>
      </c>
      <c r="CN11" s="255">
        <f t="shared" si="4"/>
        <v>88</v>
      </c>
      <c r="CO11" s="255">
        <f t="shared" si="4"/>
        <v>89</v>
      </c>
      <c r="CP11" s="255">
        <f t="shared" si="4"/>
        <v>90</v>
      </c>
      <c r="CQ11" s="255">
        <f t="shared" si="4"/>
        <v>91</v>
      </c>
      <c r="CR11" s="255">
        <f t="shared" si="4"/>
        <v>92</v>
      </c>
      <c r="CS11" s="255">
        <f t="shared" si="4"/>
        <v>93</v>
      </c>
      <c r="CT11" s="255">
        <f t="shared" si="4"/>
        <v>94</v>
      </c>
      <c r="CU11" s="255">
        <f t="shared" si="4"/>
        <v>95</v>
      </c>
      <c r="CV11" s="255">
        <f t="shared" si="4"/>
        <v>96</v>
      </c>
      <c r="CW11" s="255">
        <f t="shared" si="4"/>
        <v>97</v>
      </c>
      <c r="CX11" s="255">
        <f t="shared" si="4"/>
        <v>98</v>
      </c>
      <c r="CY11" s="255">
        <f t="shared" si="4"/>
        <v>99</v>
      </c>
      <c r="CZ11" s="255">
        <f t="shared" si="4"/>
        <v>100</v>
      </c>
      <c r="DB11" s="255">
        <v>1</v>
      </c>
      <c r="DC11" s="255">
        <f>DB11+1</f>
        <v>2</v>
      </c>
      <c r="DD11" s="255">
        <f t="shared" ref="DD11:FO11" si="5">DC11+1</f>
        <v>3</v>
      </c>
      <c r="DE11" s="255">
        <f t="shared" si="5"/>
        <v>4</v>
      </c>
      <c r="DF11" s="255">
        <f t="shared" si="5"/>
        <v>5</v>
      </c>
      <c r="DG11" s="255">
        <f t="shared" si="5"/>
        <v>6</v>
      </c>
      <c r="DH11" s="255">
        <f t="shared" si="5"/>
        <v>7</v>
      </c>
      <c r="DI11" s="255">
        <f t="shared" si="5"/>
        <v>8</v>
      </c>
      <c r="DJ11" s="255">
        <f t="shared" si="5"/>
        <v>9</v>
      </c>
      <c r="DK11" s="255">
        <f t="shared" si="5"/>
        <v>10</v>
      </c>
      <c r="DL11" s="255">
        <f t="shared" si="5"/>
        <v>11</v>
      </c>
      <c r="DM11" s="255">
        <f t="shared" si="5"/>
        <v>12</v>
      </c>
      <c r="DN11" s="255">
        <f t="shared" si="5"/>
        <v>13</v>
      </c>
      <c r="DO11" s="255">
        <f t="shared" si="5"/>
        <v>14</v>
      </c>
      <c r="DP11" s="255">
        <f t="shared" si="5"/>
        <v>15</v>
      </c>
      <c r="DQ11" s="255">
        <f t="shared" si="5"/>
        <v>16</v>
      </c>
      <c r="DR11" s="255">
        <f t="shared" si="5"/>
        <v>17</v>
      </c>
      <c r="DS11" s="255">
        <f t="shared" si="5"/>
        <v>18</v>
      </c>
      <c r="DT11" s="255">
        <f t="shared" si="5"/>
        <v>19</v>
      </c>
      <c r="DU11" s="255">
        <f t="shared" si="5"/>
        <v>20</v>
      </c>
      <c r="DV11" s="255">
        <f t="shared" si="5"/>
        <v>21</v>
      </c>
      <c r="DW11" s="255">
        <f t="shared" si="5"/>
        <v>22</v>
      </c>
      <c r="DX11" s="255">
        <f t="shared" si="5"/>
        <v>23</v>
      </c>
      <c r="DY11" s="255">
        <f t="shared" si="5"/>
        <v>24</v>
      </c>
      <c r="DZ11" s="255">
        <f t="shared" si="5"/>
        <v>25</v>
      </c>
      <c r="EA11" s="255">
        <f t="shared" si="5"/>
        <v>26</v>
      </c>
      <c r="EB11" s="255">
        <f t="shared" si="5"/>
        <v>27</v>
      </c>
      <c r="EC11" s="255">
        <f t="shared" si="5"/>
        <v>28</v>
      </c>
      <c r="ED11" s="255">
        <f t="shared" si="5"/>
        <v>29</v>
      </c>
      <c r="EE11" s="255">
        <f t="shared" si="5"/>
        <v>30</v>
      </c>
      <c r="EF11" s="255">
        <f t="shared" si="5"/>
        <v>31</v>
      </c>
      <c r="EG11" s="255">
        <f t="shared" si="5"/>
        <v>32</v>
      </c>
      <c r="EH11" s="255">
        <f t="shared" si="5"/>
        <v>33</v>
      </c>
      <c r="EI11" s="255">
        <f t="shared" si="5"/>
        <v>34</v>
      </c>
      <c r="EJ11" s="255">
        <f t="shared" si="5"/>
        <v>35</v>
      </c>
      <c r="EK11" s="255">
        <f t="shared" si="5"/>
        <v>36</v>
      </c>
      <c r="EL11" s="255">
        <f t="shared" si="5"/>
        <v>37</v>
      </c>
      <c r="EM11" s="255">
        <f t="shared" si="5"/>
        <v>38</v>
      </c>
      <c r="EN11" s="255">
        <f t="shared" si="5"/>
        <v>39</v>
      </c>
      <c r="EO11" s="255">
        <f t="shared" si="5"/>
        <v>40</v>
      </c>
      <c r="EP11" s="255">
        <f t="shared" si="5"/>
        <v>41</v>
      </c>
      <c r="EQ11" s="255">
        <f t="shared" si="5"/>
        <v>42</v>
      </c>
      <c r="ER11" s="255">
        <f t="shared" si="5"/>
        <v>43</v>
      </c>
      <c r="ES11" s="255">
        <f t="shared" si="5"/>
        <v>44</v>
      </c>
      <c r="ET11" s="255">
        <f t="shared" si="5"/>
        <v>45</v>
      </c>
      <c r="EU11" s="255">
        <f t="shared" si="5"/>
        <v>46</v>
      </c>
      <c r="EV11" s="255">
        <f t="shared" si="5"/>
        <v>47</v>
      </c>
      <c r="EW11" s="255">
        <f t="shared" si="5"/>
        <v>48</v>
      </c>
      <c r="EX11" s="255">
        <f t="shared" si="5"/>
        <v>49</v>
      </c>
      <c r="EY11" s="255">
        <f t="shared" si="5"/>
        <v>50</v>
      </c>
      <c r="EZ11" s="255">
        <f t="shared" si="5"/>
        <v>51</v>
      </c>
      <c r="FA11" s="255">
        <f t="shared" si="5"/>
        <v>52</v>
      </c>
      <c r="FB11" s="255">
        <f t="shared" si="5"/>
        <v>53</v>
      </c>
      <c r="FC11" s="255">
        <f t="shared" si="5"/>
        <v>54</v>
      </c>
      <c r="FD11" s="255">
        <f t="shared" si="5"/>
        <v>55</v>
      </c>
      <c r="FE11" s="255">
        <f t="shared" si="5"/>
        <v>56</v>
      </c>
      <c r="FF11" s="255">
        <f t="shared" si="5"/>
        <v>57</v>
      </c>
      <c r="FG11" s="255">
        <f t="shared" si="5"/>
        <v>58</v>
      </c>
      <c r="FH11" s="255">
        <f t="shared" si="5"/>
        <v>59</v>
      </c>
      <c r="FI11" s="255">
        <f t="shared" si="5"/>
        <v>60</v>
      </c>
      <c r="FJ11" s="255">
        <f t="shared" si="5"/>
        <v>61</v>
      </c>
      <c r="FK11" s="255">
        <f t="shared" si="5"/>
        <v>62</v>
      </c>
      <c r="FL11" s="255">
        <f t="shared" si="5"/>
        <v>63</v>
      </c>
      <c r="FM11" s="255">
        <f t="shared" si="5"/>
        <v>64</v>
      </c>
      <c r="FN11" s="255">
        <f t="shared" si="5"/>
        <v>65</v>
      </c>
      <c r="FO11" s="255">
        <f t="shared" si="5"/>
        <v>66</v>
      </c>
      <c r="FP11" s="255">
        <f t="shared" ref="FP11:GW11" si="6">FO11+1</f>
        <v>67</v>
      </c>
      <c r="FQ11" s="255">
        <f t="shared" si="6"/>
        <v>68</v>
      </c>
      <c r="FR11" s="255">
        <f t="shared" si="6"/>
        <v>69</v>
      </c>
      <c r="FS11" s="255">
        <f t="shared" si="6"/>
        <v>70</v>
      </c>
      <c r="FT11" s="255">
        <f t="shared" si="6"/>
        <v>71</v>
      </c>
      <c r="FU11" s="255">
        <f t="shared" si="6"/>
        <v>72</v>
      </c>
      <c r="FV11" s="255">
        <f t="shared" si="6"/>
        <v>73</v>
      </c>
      <c r="FW11" s="255">
        <f t="shared" si="6"/>
        <v>74</v>
      </c>
      <c r="FX11" s="255">
        <f t="shared" si="6"/>
        <v>75</v>
      </c>
      <c r="FY11" s="255">
        <f t="shared" si="6"/>
        <v>76</v>
      </c>
      <c r="FZ11" s="255">
        <f t="shared" si="6"/>
        <v>77</v>
      </c>
      <c r="GA11" s="255">
        <f t="shared" si="6"/>
        <v>78</v>
      </c>
      <c r="GB11" s="255">
        <f t="shared" si="6"/>
        <v>79</v>
      </c>
      <c r="GC11" s="255">
        <f t="shared" si="6"/>
        <v>80</v>
      </c>
      <c r="GD11" s="255">
        <f t="shared" si="6"/>
        <v>81</v>
      </c>
      <c r="GE11" s="255">
        <f t="shared" si="6"/>
        <v>82</v>
      </c>
      <c r="GF11" s="255">
        <f t="shared" si="6"/>
        <v>83</v>
      </c>
      <c r="GG11" s="255">
        <f t="shared" si="6"/>
        <v>84</v>
      </c>
      <c r="GH11" s="255">
        <f t="shared" si="6"/>
        <v>85</v>
      </c>
      <c r="GI11" s="255">
        <f t="shared" si="6"/>
        <v>86</v>
      </c>
      <c r="GJ11" s="255">
        <f t="shared" si="6"/>
        <v>87</v>
      </c>
      <c r="GK11" s="255">
        <f t="shared" si="6"/>
        <v>88</v>
      </c>
      <c r="GL11" s="255">
        <f t="shared" si="6"/>
        <v>89</v>
      </c>
      <c r="GM11" s="255">
        <f t="shared" si="6"/>
        <v>90</v>
      </c>
      <c r="GN11" s="255">
        <f t="shared" si="6"/>
        <v>91</v>
      </c>
      <c r="GO11" s="255">
        <f t="shared" si="6"/>
        <v>92</v>
      </c>
      <c r="GP11" s="255">
        <f t="shared" si="6"/>
        <v>93</v>
      </c>
      <c r="GQ11" s="255">
        <f t="shared" si="6"/>
        <v>94</v>
      </c>
      <c r="GR11" s="255">
        <f t="shared" si="6"/>
        <v>95</v>
      </c>
      <c r="GS11" s="255">
        <f t="shared" si="6"/>
        <v>96</v>
      </c>
      <c r="GT11" s="255">
        <f t="shared" si="6"/>
        <v>97</v>
      </c>
      <c r="GU11" s="255">
        <f t="shared" si="6"/>
        <v>98</v>
      </c>
      <c r="GV11" s="255">
        <f t="shared" si="6"/>
        <v>99</v>
      </c>
      <c r="GW11" s="255">
        <f t="shared" si="6"/>
        <v>100</v>
      </c>
    </row>
    <row r="12" spans="1:205" s="46" customFormat="1" ht="9.75" customHeight="1">
      <c r="A12" s="60">
        <v>2014</v>
      </c>
      <c r="B12" s="142">
        <f>LINEST(E12:CZ12, DB12:GW12, TRUE, FALSE)</f>
        <v>0.10101449850796698</v>
      </c>
      <c r="C12" s="143">
        <f>RSQ(E12:CZ12, DB12:GW12)</f>
        <v>0.99108366685410387</v>
      </c>
      <c r="D12" s="60"/>
      <c r="E12" s="143">
        <f>E6</f>
        <v>1.9182819416773987E-2</v>
      </c>
      <c r="F12" s="143">
        <f t="shared" ref="F12:X12" si="7">E12</f>
        <v>1.9182819416773987E-2</v>
      </c>
      <c r="G12" s="143">
        <f t="shared" si="7"/>
        <v>1.9182819416773987E-2</v>
      </c>
      <c r="H12" s="143">
        <f t="shared" si="7"/>
        <v>1.9182819416773987E-2</v>
      </c>
      <c r="I12" s="143">
        <f t="shared" si="7"/>
        <v>1.9182819416773987E-2</v>
      </c>
      <c r="J12" s="143">
        <f t="shared" si="7"/>
        <v>1.9182819416773987E-2</v>
      </c>
      <c r="K12" s="143">
        <f t="shared" si="7"/>
        <v>1.9182819416773987E-2</v>
      </c>
      <c r="L12" s="143">
        <f t="shared" si="7"/>
        <v>1.9182819416773987E-2</v>
      </c>
      <c r="M12" s="143">
        <f t="shared" si="7"/>
        <v>1.9182819416773987E-2</v>
      </c>
      <c r="N12" s="143">
        <f t="shared" si="7"/>
        <v>1.9182819416773987E-2</v>
      </c>
      <c r="O12" s="143">
        <f t="shared" si="7"/>
        <v>1.9182819416773987E-2</v>
      </c>
      <c r="P12" s="143">
        <f t="shared" si="7"/>
        <v>1.9182819416773987E-2</v>
      </c>
      <c r="Q12" s="143">
        <f t="shared" si="7"/>
        <v>1.9182819416773987E-2</v>
      </c>
      <c r="R12" s="143">
        <f t="shared" si="7"/>
        <v>1.9182819416773987E-2</v>
      </c>
      <c r="S12" s="143">
        <f t="shared" si="7"/>
        <v>1.9182819416773987E-2</v>
      </c>
      <c r="T12" s="143">
        <f t="shared" si="7"/>
        <v>1.9182819416773987E-2</v>
      </c>
      <c r="U12" s="143">
        <f t="shared" si="7"/>
        <v>1.9182819416773987E-2</v>
      </c>
      <c r="V12" s="143">
        <f t="shared" si="7"/>
        <v>1.9182819416773987E-2</v>
      </c>
      <c r="W12" s="143">
        <f t="shared" si="7"/>
        <v>1.9182819416773987E-2</v>
      </c>
      <c r="X12" s="143">
        <f t="shared" si="7"/>
        <v>1.9182819416773987E-2</v>
      </c>
      <c r="Y12" s="143">
        <f>F6</f>
        <v>9.431067947124129E-2</v>
      </c>
      <c r="Z12" s="143">
        <f t="shared" ref="Z12:AR12" si="8">Y12</f>
        <v>9.431067947124129E-2</v>
      </c>
      <c r="AA12" s="143">
        <f t="shared" si="8"/>
        <v>9.431067947124129E-2</v>
      </c>
      <c r="AB12" s="143">
        <f t="shared" si="8"/>
        <v>9.431067947124129E-2</v>
      </c>
      <c r="AC12" s="143">
        <f t="shared" si="8"/>
        <v>9.431067947124129E-2</v>
      </c>
      <c r="AD12" s="143">
        <f t="shared" si="8"/>
        <v>9.431067947124129E-2</v>
      </c>
      <c r="AE12" s="143">
        <f t="shared" si="8"/>
        <v>9.431067947124129E-2</v>
      </c>
      <c r="AF12" s="143">
        <f t="shared" si="8"/>
        <v>9.431067947124129E-2</v>
      </c>
      <c r="AG12" s="143">
        <f t="shared" si="8"/>
        <v>9.431067947124129E-2</v>
      </c>
      <c r="AH12" s="143">
        <f t="shared" si="8"/>
        <v>9.431067947124129E-2</v>
      </c>
      <c r="AI12" s="143">
        <f t="shared" si="8"/>
        <v>9.431067947124129E-2</v>
      </c>
      <c r="AJ12" s="143">
        <f t="shared" si="8"/>
        <v>9.431067947124129E-2</v>
      </c>
      <c r="AK12" s="143">
        <f t="shared" si="8"/>
        <v>9.431067947124129E-2</v>
      </c>
      <c r="AL12" s="143">
        <f t="shared" si="8"/>
        <v>9.431067947124129E-2</v>
      </c>
      <c r="AM12" s="143">
        <f t="shared" si="8"/>
        <v>9.431067947124129E-2</v>
      </c>
      <c r="AN12" s="143">
        <f t="shared" si="8"/>
        <v>9.431067947124129E-2</v>
      </c>
      <c r="AO12" s="143">
        <f t="shared" si="8"/>
        <v>9.431067947124129E-2</v>
      </c>
      <c r="AP12" s="143">
        <f t="shared" si="8"/>
        <v>9.431067947124129E-2</v>
      </c>
      <c r="AQ12" s="143">
        <f t="shared" si="8"/>
        <v>9.431067947124129E-2</v>
      </c>
      <c r="AR12" s="143">
        <f t="shared" si="8"/>
        <v>9.431067947124129E-2</v>
      </c>
      <c r="AS12" s="143">
        <f>G6</f>
        <v>0.15082288973458366</v>
      </c>
      <c r="AT12" s="143">
        <f t="shared" ref="AT12:BL12" si="9">AS12</f>
        <v>0.15082288973458366</v>
      </c>
      <c r="AU12" s="143">
        <f t="shared" si="9"/>
        <v>0.15082288973458366</v>
      </c>
      <c r="AV12" s="143">
        <f t="shared" si="9"/>
        <v>0.15082288973458366</v>
      </c>
      <c r="AW12" s="143">
        <f t="shared" si="9"/>
        <v>0.15082288973458366</v>
      </c>
      <c r="AX12" s="143">
        <f t="shared" si="9"/>
        <v>0.15082288973458366</v>
      </c>
      <c r="AY12" s="143">
        <f t="shared" si="9"/>
        <v>0.15082288973458366</v>
      </c>
      <c r="AZ12" s="143">
        <f t="shared" si="9"/>
        <v>0.15082288973458366</v>
      </c>
      <c r="BA12" s="143">
        <f t="shared" si="9"/>
        <v>0.15082288973458366</v>
      </c>
      <c r="BB12" s="143">
        <f t="shared" si="9"/>
        <v>0.15082288973458366</v>
      </c>
      <c r="BC12" s="143">
        <f t="shared" si="9"/>
        <v>0.15082288973458366</v>
      </c>
      <c r="BD12" s="143">
        <f t="shared" si="9"/>
        <v>0.15082288973458366</v>
      </c>
      <c r="BE12" s="143">
        <f t="shared" si="9"/>
        <v>0.15082288973458366</v>
      </c>
      <c r="BF12" s="143">
        <f t="shared" si="9"/>
        <v>0.15082288973458366</v>
      </c>
      <c r="BG12" s="143">
        <f t="shared" si="9"/>
        <v>0.15082288973458366</v>
      </c>
      <c r="BH12" s="143">
        <f t="shared" si="9"/>
        <v>0.15082288973458366</v>
      </c>
      <c r="BI12" s="143">
        <f t="shared" si="9"/>
        <v>0.15082288973458366</v>
      </c>
      <c r="BJ12" s="143">
        <f t="shared" si="9"/>
        <v>0.15082288973458366</v>
      </c>
      <c r="BK12" s="143">
        <f t="shared" si="9"/>
        <v>0.15082288973458366</v>
      </c>
      <c r="BL12" s="143">
        <f t="shared" si="9"/>
        <v>0.15082288973458366</v>
      </c>
      <c r="BM12" s="143">
        <f>H6</f>
        <v>0.1960148839259572</v>
      </c>
      <c r="BN12" s="143">
        <f t="shared" ref="BN12:CF12" si="10">BM12</f>
        <v>0.1960148839259572</v>
      </c>
      <c r="BO12" s="143">
        <f t="shared" si="10"/>
        <v>0.1960148839259572</v>
      </c>
      <c r="BP12" s="143">
        <f t="shared" si="10"/>
        <v>0.1960148839259572</v>
      </c>
      <c r="BQ12" s="143">
        <f t="shared" si="10"/>
        <v>0.1960148839259572</v>
      </c>
      <c r="BR12" s="143">
        <f t="shared" si="10"/>
        <v>0.1960148839259572</v>
      </c>
      <c r="BS12" s="143">
        <f t="shared" si="10"/>
        <v>0.1960148839259572</v>
      </c>
      <c r="BT12" s="143">
        <f t="shared" si="10"/>
        <v>0.1960148839259572</v>
      </c>
      <c r="BU12" s="143">
        <f t="shared" si="10"/>
        <v>0.1960148839259572</v>
      </c>
      <c r="BV12" s="143">
        <f t="shared" si="10"/>
        <v>0.1960148839259572</v>
      </c>
      <c r="BW12" s="143">
        <f t="shared" si="10"/>
        <v>0.1960148839259572</v>
      </c>
      <c r="BX12" s="143">
        <f t="shared" si="10"/>
        <v>0.1960148839259572</v>
      </c>
      <c r="BY12" s="143">
        <f t="shared" si="10"/>
        <v>0.1960148839259572</v>
      </c>
      <c r="BZ12" s="143">
        <f t="shared" si="10"/>
        <v>0.1960148839259572</v>
      </c>
      <c r="CA12" s="143">
        <f t="shared" si="10"/>
        <v>0.1960148839259572</v>
      </c>
      <c r="CB12" s="143">
        <f t="shared" si="10"/>
        <v>0.1960148839259572</v>
      </c>
      <c r="CC12" s="143">
        <f t="shared" si="10"/>
        <v>0.1960148839259572</v>
      </c>
      <c r="CD12" s="143">
        <f t="shared" si="10"/>
        <v>0.1960148839259572</v>
      </c>
      <c r="CE12" s="143">
        <f t="shared" si="10"/>
        <v>0.1960148839259572</v>
      </c>
      <c r="CF12" s="143">
        <f t="shared" si="10"/>
        <v>0.1960148839259572</v>
      </c>
      <c r="CG12" s="143">
        <f>I6</f>
        <v>0.23825718912425789</v>
      </c>
      <c r="CH12" s="143">
        <f t="shared" ref="CH12:CP12" si="11">CG12</f>
        <v>0.23825718912425789</v>
      </c>
      <c r="CI12" s="143">
        <f t="shared" si="11"/>
        <v>0.23825718912425789</v>
      </c>
      <c r="CJ12" s="143">
        <f t="shared" si="11"/>
        <v>0.23825718912425789</v>
      </c>
      <c r="CK12" s="143">
        <f t="shared" si="11"/>
        <v>0.23825718912425789</v>
      </c>
      <c r="CL12" s="143">
        <f t="shared" si="11"/>
        <v>0.23825718912425789</v>
      </c>
      <c r="CM12" s="143">
        <f t="shared" si="11"/>
        <v>0.23825718912425789</v>
      </c>
      <c r="CN12" s="143">
        <f t="shared" si="11"/>
        <v>0.23825718912425789</v>
      </c>
      <c r="CO12" s="143">
        <f t="shared" si="11"/>
        <v>0.23825718912425789</v>
      </c>
      <c r="CP12" s="143">
        <f t="shared" si="11"/>
        <v>0.23825718912425789</v>
      </c>
      <c r="CQ12" s="143">
        <f>J6</f>
        <v>0.26657310924154576</v>
      </c>
      <c r="CR12" s="143">
        <f>CQ12</f>
        <v>0.26657310924154576</v>
      </c>
      <c r="CS12" s="143">
        <f>CR12</f>
        <v>0.26657310924154576</v>
      </c>
      <c r="CT12" s="143">
        <f>CS12</f>
        <v>0.26657310924154576</v>
      </c>
      <c r="CU12" s="143">
        <f>CT12</f>
        <v>0.26657310924154576</v>
      </c>
      <c r="CV12" s="143">
        <f>K6</f>
        <v>0.31060957709548559</v>
      </c>
      <c r="CW12" s="143">
        <f>CV12</f>
        <v>0.31060957709548559</v>
      </c>
      <c r="CX12" s="143">
        <f>CW12</f>
        <v>0.31060957709548559</v>
      </c>
      <c r="CY12" s="143">
        <f>CX12</f>
        <v>0.31060957709548559</v>
      </c>
      <c r="CZ12" s="143">
        <f>L6</f>
        <v>0.4094731295057033</v>
      </c>
      <c r="DA12" s="60"/>
      <c r="DB12" s="143">
        <f>N6</f>
        <v>9.87302834505142</v>
      </c>
      <c r="DC12" s="143">
        <f t="shared" ref="DC12:DU12" si="12">DB12</f>
        <v>9.87302834505142</v>
      </c>
      <c r="DD12" s="143">
        <f t="shared" si="12"/>
        <v>9.87302834505142</v>
      </c>
      <c r="DE12" s="143">
        <f t="shared" si="12"/>
        <v>9.87302834505142</v>
      </c>
      <c r="DF12" s="143">
        <f t="shared" si="12"/>
        <v>9.87302834505142</v>
      </c>
      <c r="DG12" s="143">
        <f t="shared" si="12"/>
        <v>9.87302834505142</v>
      </c>
      <c r="DH12" s="143">
        <f t="shared" si="12"/>
        <v>9.87302834505142</v>
      </c>
      <c r="DI12" s="143">
        <f t="shared" si="12"/>
        <v>9.87302834505142</v>
      </c>
      <c r="DJ12" s="143">
        <f t="shared" si="12"/>
        <v>9.87302834505142</v>
      </c>
      <c r="DK12" s="143">
        <f t="shared" si="12"/>
        <v>9.87302834505142</v>
      </c>
      <c r="DL12" s="143">
        <f t="shared" si="12"/>
        <v>9.87302834505142</v>
      </c>
      <c r="DM12" s="143">
        <f t="shared" si="12"/>
        <v>9.87302834505142</v>
      </c>
      <c r="DN12" s="143">
        <f t="shared" si="12"/>
        <v>9.87302834505142</v>
      </c>
      <c r="DO12" s="143">
        <f t="shared" si="12"/>
        <v>9.87302834505142</v>
      </c>
      <c r="DP12" s="143">
        <f t="shared" si="12"/>
        <v>9.87302834505142</v>
      </c>
      <c r="DQ12" s="143">
        <f t="shared" si="12"/>
        <v>9.87302834505142</v>
      </c>
      <c r="DR12" s="143">
        <f t="shared" si="12"/>
        <v>9.87302834505142</v>
      </c>
      <c r="DS12" s="143">
        <f t="shared" si="12"/>
        <v>9.87302834505142</v>
      </c>
      <c r="DT12" s="143">
        <f t="shared" si="12"/>
        <v>9.87302834505142</v>
      </c>
      <c r="DU12" s="143">
        <f t="shared" si="12"/>
        <v>9.87302834505142</v>
      </c>
      <c r="DV12" s="143">
        <f>O6</f>
        <v>10.661954199216716</v>
      </c>
      <c r="DW12" s="143">
        <f t="shared" ref="DW12:EO12" si="13">DV12</f>
        <v>10.661954199216716</v>
      </c>
      <c r="DX12" s="143">
        <f t="shared" si="13"/>
        <v>10.661954199216716</v>
      </c>
      <c r="DY12" s="143">
        <f t="shared" si="13"/>
        <v>10.661954199216716</v>
      </c>
      <c r="DZ12" s="143">
        <f t="shared" si="13"/>
        <v>10.661954199216716</v>
      </c>
      <c r="EA12" s="143">
        <f t="shared" si="13"/>
        <v>10.661954199216716</v>
      </c>
      <c r="EB12" s="143">
        <f t="shared" si="13"/>
        <v>10.661954199216716</v>
      </c>
      <c r="EC12" s="143">
        <f t="shared" si="13"/>
        <v>10.661954199216716</v>
      </c>
      <c r="ED12" s="143">
        <f t="shared" si="13"/>
        <v>10.661954199216716</v>
      </c>
      <c r="EE12" s="143">
        <f t="shared" si="13"/>
        <v>10.661954199216716</v>
      </c>
      <c r="EF12" s="143">
        <f t="shared" si="13"/>
        <v>10.661954199216716</v>
      </c>
      <c r="EG12" s="143">
        <f t="shared" si="13"/>
        <v>10.661954199216716</v>
      </c>
      <c r="EH12" s="143">
        <f t="shared" si="13"/>
        <v>10.661954199216716</v>
      </c>
      <c r="EI12" s="143">
        <f t="shared" si="13"/>
        <v>10.661954199216716</v>
      </c>
      <c r="EJ12" s="143">
        <f t="shared" si="13"/>
        <v>10.661954199216716</v>
      </c>
      <c r="EK12" s="143">
        <f t="shared" si="13"/>
        <v>10.661954199216716</v>
      </c>
      <c r="EL12" s="143">
        <f t="shared" si="13"/>
        <v>10.661954199216716</v>
      </c>
      <c r="EM12" s="143">
        <f t="shared" si="13"/>
        <v>10.661954199216716</v>
      </c>
      <c r="EN12" s="143">
        <f t="shared" si="13"/>
        <v>10.661954199216716</v>
      </c>
      <c r="EO12" s="143">
        <f t="shared" si="13"/>
        <v>10.661954199216716</v>
      </c>
      <c r="EP12" s="143">
        <f>P6</f>
        <v>11.150519846322512</v>
      </c>
      <c r="EQ12" s="143">
        <f t="shared" ref="EQ12:FI12" si="14">EP12</f>
        <v>11.150519846322512</v>
      </c>
      <c r="ER12" s="143">
        <f t="shared" si="14"/>
        <v>11.150519846322512</v>
      </c>
      <c r="ES12" s="143">
        <f t="shared" si="14"/>
        <v>11.150519846322512</v>
      </c>
      <c r="ET12" s="143">
        <f t="shared" si="14"/>
        <v>11.150519846322512</v>
      </c>
      <c r="EU12" s="143">
        <f t="shared" si="14"/>
        <v>11.150519846322512</v>
      </c>
      <c r="EV12" s="143">
        <f t="shared" si="14"/>
        <v>11.150519846322512</v>
      </c>
      <c r="EW12" s="143">
        <f t="shared" si="14"/>
        <v>11.150519846322512</v>
      </c>
      <c r="EX12" s="143">
        <f t="shared" si="14"/>
        <v>11.150519846322512</v>
      </c>
      <c r="EY12" s="143">
        <f t="shared" si="14"/>
        <v>11.150519846322512</v>
      </c>
      <c r="EZ12" s="143">
        <f t="shared" si="14"/>
        <v>11.150519846322512</v>
      </c>
      <c r="FA12" s="143">
        <f t="shared" si="14"/>
        <v>11.150519846322512</v>
      </c>
      <c r="FB12" s="143">
        <f t="shared" si="14"/>
        <v>11.150519846322512</v>
      </c>
      <c r="FC12" s="143">
        <f t="shared" si="14"/>
        <v>11.150519846322512</v>
      </c>
      <c r="FD12" s="143">
        <f t="shared" si="14"/>
        <v>11.150519846322512</v>
      </c>
      <c r="FE12" s="143">
        <f t="shared" si="14"/>
        <v>11.150519846322512</v>
      </c>
      <c r="FF12" s="143">
        <f t="shared" si="14"/>
        <v>11.150519846322512</v>
      </c>
      <c r="FG12" s="143">
        <f t="shared" si="14"/>
        <v>11.150519846322512</v>
      </c>
      <c r="FH12" s="143">
        <f t="shared" si="14"/>
        <v>11.150519846322512</v>
      </c>
      <c r="FI12" s="143">
        <f t="shared" si="14"/>
        <v>11.150519846322512</v>
      </c>
      <c r="FJ12" s="143">
        <f>Q6</f>
        <v>11.569305798406337</v>
      </c>
      <c r="FK12" s="143">
        <f t="shared" ref="FK12:GC12" si="15">FJ12</f>
        <v>11.569305798406337</v>
      </c>
      <c r="FL12" s="143">
        <f t="shared" si="15"/>
        <v>11.569305798406337</v>
      </c>
      <c r="FM12" s="143">
        <f t="shared" si="15"/>
        <v>11.569305798406337</v>
      </c>
      <c r="FN12" s="143">
        <f t="shared" si="15"/>
        <v>11.569305798406337</v>
      </c>
      <c r="FO12" s="143">
        <f t="shared" si="15"/>
        <v>11.569305798406337</v>
      </c>
      <c r="FP12" s="143">
        <f t="shared" si="15"/>
        <v>11.569305798406337</v>
      </c>
      <c r="FQ12" s="143">
        <f t="shared" si="15"/>
        <v>11.569305798406337</v>
      </c>
      <c r="FR12" s="143">
        <f t="shared" si="15"/>
        <v>11.569305798406337</v>
      </c>
      <c r="FS12" s="143">
        <f t="shared" si="15"/>
        <v>11.569305798406337</v>
      </c>
      <c r="FT12" s="143">
        <f t="shared" si="15"/>
        <v>11.569305798406337</v>
      </c>
      <c r="FU12" s="143">
        <f t="shared" si="15"/>
        <v>11.569305798406337</v>
      </c>
      <c r="FV12" s="143">
        <f t="shared" si="15"/>
        <v>11.569305798406337</v>
      </c>
      <c r="FW12" s="143">
        <f t="shared" si="15"/>
        <v>11.569305798406337</v>
      </c>
      <c r="FX12" s="143">
        <f t="shared" si="15"/>
        <v>11.569305798406337</v>
      </c>
      <c r="FY12" s="143">
        <f t="shared" si="15"/>
        <v>11.569305798406337</v>
      </c>
      <c r="FZ12" s="143">
        <f t="shared" si="15"/>
        <v>11.569305798406337</v>
      </c>
      <c r="GA12" s="143">
        <f t="shared" si="15"/>
        <v>11.569305798406337</v>
      </c>
      <c r="GB12" s="143">
        <f t="shared" si="15"/>
        <v>11.569305798406337</v>
      </c>
      <c r="GC12" s="143">
        <f t="shared" si="15"/>
        <v>11.569305798406337</v>
      </c>
      <c r="GD12" s="143">
        <f>R6</f>
        <v>11.939499536288627</v>
      </c>
      <c r="GE12" s="143">
        <f t="shared" ref="GE12:GM12" si="16">GD12</f>
        <v>11.939499536288627</v>
      </c>
      <c r="GF12" s="143">
        <f t="shared" si="16"/>
        <v>11.939499536288627</v>
      </c>
      <c r="GG12" s="143">
        <f t="shared" si="16"/>
        <v>11.939499536288627</v>
      </c>
      <c r="GH12" s="143">
        <f t="shared" si="16"/>
        <v>11.939499536288627</v>
      </c>
      <c r="GI12" s="143">
        <f t="shared" si="16"/>
        <v>11.939499536288627</v>
      </c>
      <c r="GJ12" s="143">
        <f t="shared" si="16"/>
        <v>11.939499536288627</v>
      </c>
      <c r="GK12" s="143">
        <f t="shared" si="16"/>
        <v>11.939499536288627</v>
      </c>
      <c r="GL12" s="143">
        <f t="shared" si="16"/>
        <v>11.939499536288627</v>
      </c>
      <c r="GM12" s="143">
        <f t="shared" si="16"/>
        <v>11.939499536288627</v>
      </c>
      <c r="GN12" s="143">
        <f>S6</f>
        <v>12.251046011172905</v>
      </c>
      <c r="GO12" s="143">
        <f>GN12</f>
        <v>12.251046011172905</v>
      </c>
      <c r="GP12" s="143">
        <f>GO12</f>
        <v>12.251046011172905</v>
      </c>
      <c r="GQ12" s="143">
        <f>GP12</f>
        <v>12.251046011172905</v>
      </c>
      <c r="GR12" s="143">
        <f>GQ12</f>
        <v>12.251046011172905</v>
      </c>
      <c r="GS12" s="143">
        <f>T6</f>
        <v>12.755926656263643</v>
      </c>
      <c r="GT12" s="143">
        <f>GS12</f>
        <v>12.755926656263643</v>
      </c>
      <c r="GU12" s="143">
        <f>GT12</f>
        <v>12.755926656263643</v>
      </c>
      <c r="GV12" s="143">
        <f>GU12</f>
        <v>12.755926656263643</v>
      </c>
      <c r="GW12" s="143">
        <f>U6</f>
        <v>14.40185173420641</v>
      </c>
    </row>
    <row r="15" spans="1:205" s="149" customFormat="1" ht="13.5" customHeight="1">
      <c r="A15" s="244" t="s">
        <v>278</v>
      </c>
      <c r="B15" s="109"/>
      <c r="C15" s="109"/>
      <c r="D15" s="109"/>
      <c r="E15" s="109"/>
      <c r="F15" s="109"/>
      <c r="G15" s="109"/>
      <c r="H15" s="109"/>
      <c r="I15" s="109"/>
      <c r="J15" s="109"/>
      <c r="K15" s="109"/>
      <c r="L15" s="109"/>
      <c r="M15" s="131"/>
      <c r="N15" s="143"/>
      <c r="O15" s="143"/>
      <c r="P15" s="143"/>
      <c r="Q15" s="143"/>
      <c r="R15" s="143"/>
      <c r="T15" s="143"/>
      <c r="U15" s="143"/>
    </row>
    <row r="16" spans="1:205" ht="15" customHeight="1">
      <c r="A16" s="144"/>
      <c r="B16" s="729" t="s">
        <v>1058</v>
      </c>
      <c r="C16" s="729" t="s">
        <v>255</v>
      </c>
      <c r="D16" s="120"/>
      <c r="E16" s="753" t="s">
        <v>626</v>
      </c>
      <c r="F16" s="731"/>
      <c r="G16" s="731"/>
      <c r="H16" s="731"/>
      <c r="I16" s="731"/>
      <c r="J16" s="731"/>
      <c r="K16" s="731"/>
      <c r="L16" s="731"/>
      <c r="M16" s="134"/>
      <c r="N16" s="736" t="s">
        <v>205</v>
      </c>
      <c r="O16" s="736"/>
      <c r="P16" s="736"/>
      <c r="Q16" s="736"/>
      <c r="R16" s="736"/>
      <c r="S16" s="736"/>
      <c r="T16" s="736"/>
      <c r="U16" s="736"/>
      <c r="V16" s="134"/>
      <c r="W16" s="736" t="s">
        <v>625</v>
      </c>
      <c r="X16" s="736"/>
      <c r="Y16" s="736"/>
      <c r="Z16" s="736"/>
      <c r="AA16" s="736"/>
      <c r="AB16" s="736"/>
      <c r="AC16" s="736"/>
      <c r="AD16" s="736"/>
      <c r="AE16" s="120"/>
      <c r="AF16" s="736" t="s">
        <v>206</v>
      </c>
      <c r="AG16" s="736"/>
      <c r="AH16" s="736"/>
      <c r="AI16" s="736"/>
      <c r="AJ16" s="736"/>
      <c r="AK16" s="736"/>
      <c r="AL16" s="736"/>
      <c r="AM16" s="736"/>
      <c r="AN16" s="120"/>
      <c r="AO16" s="731" t="s">
        <v>207</v>
      </c>
      <c r="AP16" s="731"/>
      <c r="AQ16" s="731"/>
      <c r="AR16" s="731"/>
      <c r="AS16" s="731"/>
      <c r="AT16" s="731"/>
      <c r="AU16" s="731"/>
      <c r="AV16" s="731"/>
    </row>
    <row r="17" spans="1:205">
      <c r="A17" s="53"/>
      <c r="B17" s="730"/>
      <c r="C17" s="730"/>
      <c r="D17" s="6"/>
      <c r="E17" s="6" t="s">
        <v>158</v>
      </c>
      <c r="F17" s="6" t="s">
        <v>159</v>
      </c>
      <c r="G17" s="6" t="s">
        <v>160</v>
      </c>
      <c r="H17" s="6" t="s">
        <v>161</v>
      </c>
      <c r="I17" s="51" t="s">
        <v>33</v>
      </c>
      <c r="J17" s="51" t="s">
        <v>51</v>
      </c>
      <c r="K17" s="51" t="s">
        <v>52</v>
      </c>
      <c r="L17" s="51" t="s">
        <v>28</v>
      </c>
      <c r="M17" s="5"/>
      <c r="N17" s="6" t="s">
        <v>158</v>
      </c>
      <c r="O17" s="6" t="s">
        <v>159</v>
      </c>
      <c r="P17" s="6" t="s">
        <v>160</v>
      </c>
      <c r="Q17" s="6" t="s">
        <v>161</v>
      </c>
      <c r="R17" s="51" t="s">
        <v>33</v>
      </c>
      <c r="S17" s="51" t="s">
        <v>51</v>
      </c>
      <c r="T17" s="51" t="s">
        <v>52</v>
      </c>
      <c r="U17" s="51" t="s">
        <v>28</v>
      </c>
      <c r="V17" s="5"/>
      <c r="W17" s="6" t="s">
        <v>158</v>
      </c>
      <c r="X17" s="6" t="s">
        <v>159</v>
      </c>
      <c r="Y17" s="6" t="s">
        <v>160</v>
      </c>
      <c r="Z17" s="6" t="s">
        <v>161</v>
      </c>
      <c r="AA17" s="51" t="s">
        <v>33</v>
      </c>
      <c r="AB17" s="51" t="s">
        <v>51</v>
      </c>
      <c r="AC17" s="51" t="s">
        <v>52</v>
      </c>
      <c r="AD17" s="51" t="s">
        <v>28</v>
      </c>
      <c r="AF17" s="6" t="s">
        <v>158</v>
      </c>
      <c r="AG17" s="6" t="s">
        <v>159</v>
      </c>
      <c r="AH17" s="6" t="s">
        <v>160</v>
      </c>
      <c r="AI17" s="6" t="s">
        <v>161</v>
      </c>
      <c r="AJ17" s="51" t="s">
        <v>33</v>
      </c>
      <c r="AK17" s="51" t="s">
        <v>51</v>
      </c>
      <c r="AL17" s="51" t="s">
        <v>52</v>
      </c>
      <c r="AM17" s="51" t="s">
        <v>28</v>
      </c>
      <c r="AN17" s="6"/>
      <c r="AO17" s="6" t="s">
        <v>158</v>
      </c>
      <c r="AP17" s="6" t="s">
        <v>159</v>
      </c>
      <c r="AQ17" s="6" t="s">
        <v>160</v>
      </c>
      <c r="AR17" s="6" t="s">
        <v>161</v>
      </c>
      <c r="AS17" s="51" t="s">
        <v>33</v>
      </c>
      <c r="AT17" s="51" t="s">
        <v>51</v>
      </c>
      <c r="AU17" s="51" t="s">
        <v>52</v>
      </c>
      <c r="AV17" s="51" t="s">
        <v>28</v>
      </c>
      <c r="AX17" s="103"/>
    </row>
    <row r="18" spans="1:205" s="149" customFormat="1" ht="10.5" customHeight="1">
      <c r="A18" s="259" t="s">
        <v>48</v>
      </c>
      <c r="B18" s="157">
        <f>B22</f>
        <v>0.11309357697186755</v>
      </c>
      <c r="C18" s="158">
        <f>C22</f>
        <v>0.99180348759657389</v>
      </c>
      <c r="D18" s="131"/>
      <c r="E18" s="143">
        <f t="shared" ref="E18:L18" si="17">LN(1-W18/100)*-1</f>
        <v>2.1121496622111418E-2</v>
      </c>
      <c r="F18" s="143">
        <f t="shared" si="17"/>
        <v>0.10425002137379911</v>
      </c>
      <c r="G18" s="143">
        <f t="shared" si="17"/>
        <v>0.16723591937591381</v>
      </c>
      <c r="H18" s="143">
        <f t="shared" si="17"/>
        <v>0.21790728451896338</v>
      </c>
      <c r="I18" s="143">
        <f t="shared" si="17"/>
        <v>0.26552926781064756</v>
      </c>
      <c r="J18" s="143">
        <f t="shared" si="17"/>
        <v>0.29759773723915744</v>
      </c>
      <c r="K18" s="143">
        <f t="shared" si="17"/>
        <v>0.34771520256726057</v>
      </c>
      <c r="L18" s="143">
        <f t="shared" si="17"/>
        <v>0.4614007404384679</v>
      </c>
      <c r="M18" s="46"/>
      <c r="N18" s="143">
        <f t="shared" ref="N18:U18" si="18">LN(AF18)</f>
        <v>9.87302834505142</v>
      </c>
      <c r="O18" s="143">
        <f t="shared" si="18"/>
        <v>10.661954199216716</v>
      </c>
      <c r="P18" s="143">
        <f t="shared" si="18"/>
        <v>11.150519846322512</v>
      </c>
      <c r="Q18" s="143">
        <f t="shared" si="18"/>
        <v>11.569305798406337</v>
      </c>
      <c r="R18" s="143">
        <f t="shared" si="18"/>
        <v>11.939499536288627</v>
      </c>
      <c r="S18" s="143">
        <f t="shared" si="18"/>
        <v>12.251046011172905</v>
      </c>
      <c r="T18" s="143">
        <f t="shared" si="18"/>
        <v>12.755926656263643</v>
      </c>
      <c r="U18" s="143">
        <f t="shared" si="18"/>
        <v>14.40185173420641</v>
      </c>
      <c r="V18" s="131"/>
      <c r="W18" s="246">
        <f t="shared" ref="W18:AD18" si="19">W$6*1.1</f>
        <v>2.09</v>
      </c>
      <c r="X18" s="246">
        <f t="shared" si="19"/>
        <v>9.9</v>
      </c>
      <c r="Y18" s="246">
        <f t="shared" si="19"/>
        <v>15.400000000000002</v>
      </c>
      <c r="Z18" s="246">
        <f t="shared" si="19"/>
        <v>19.580000000000002</v>
      </c>
      <c r="AA18" s="246">
        <f t="shared" si="19"/>
        <v>23.32</v>
      </c>
      <c r="AB18" s="246">
        <f t="shared" si="19"/>
        <v>25.740000000000002</v>
      </c>
      <c r="AC18" s="246">
        <f t="shared" si="19"/>
        <v>29.37</v>
      </c>
      <c r="AD18" s="246">
        <f t="shared" si="19"/>
        <v>36.960000000000008</v>
      </c>
      <c r="AE18" s="131"/>
      <c r="AF18" s="60">
        <f t="shared" ref="AF18:AM18" si="20">AF$6</f>
        <v>19400</v>
      </c>
      <c r="AG18" s="60">
        <f t="shared" si="20"/>
        <v>42700</v>
      </c>
      <c r="AH18" s="60">
        <f t="shared" si="20"/>
        <v>69600</v>
      </c>
      <c r="AI18" s="60">
        <f t="shared" si="20"/>
        <v>105800</v>
      </c>
      <c r="AJ18" s="60">
        <f t="shared" si="20"/>
        <v>153200</v>
      </c>
      <c r="AK18" s="60">
        <f t="shared" si="20"/>
        <v>209200</v>
      </c>
      <c r="AL18" s="60">
        <f t="shared" si="20"/>
        <v>346600</v>
      </c>
      <c r="AM18" s="60">
        <f t="shared" si="20"/>
        <v>1797400</v>
      </c>
      <c r="AN18" s="131"/>
      <c r="AO18" s="60">
        <f t="shared" ref="AO18:AV18" si="21">W18*AF18/100</f>
        <v>405.46</v>
      </c>
      <c r="AP18" s="60">
        <f t="shared" si="21"/>
        <v>4227.3</v>
      </c>
      <c r="AQ18" s="60">
        <f t="shared" si="21"/>
        <v>10718.400000000001</v>
      </c>
      <c r="AR18" s="60">
        <f t="shared" si="21"/>
        <v>20715.640000000003</v>
      </c>
      <c r="AS18" s="60">
        <f t="shared" si="21"/>
        <v>35726.239999999998</v>
      </c>
      <c r="AT18" s="60">
        <f t="shared" si="21"/>
        <v>53848.08</v>
      </c>
      <c r="AU18" s="60">
        <f t="shared" si="21"/>
        <v>101796.42</v>
      </c>
      <c r="AV18" s="60">
        <f t="shared" si="21"/>
        <v>664319.04000000015</v>
      </c>
    </row>
    <row r="19" spans="1:205" s="149" customFormat="1" ht="9" customHeight="1">
      <c r="A19" s="259"/>
      <c r="E19" s="143"/>
      <c r="F19" s="143"/>
      <c r="G19" s="143"/>
      <c r="H19" s="143"/>
      <c r="I19" s="143"/>
      <c r="J19" s="143"/>
      <c r="K19" s="143"/>
      <c r="L19" s="143"/>
      <c r="M19" s="143"/>
      <c r="N19" s="143"/>
      <c r="O19" s="143"/>
      <c r="P19" s="143"/>
      <c r="Q19" s="143"/>
      <c r="R19" s="143"/>
      <c r="S19" s="143"/>
      <c r="T19" s="143"/>
      <c r="U19" s="143"/>
    </row>
    <row r="20" spans="1:205">
      <c r="A20" s="256"/>
      <c r="E20" s="745" t="s">
        <v>158</v>
      </c>
      <c r="F20" s="745"/>
      <c r="G20" s="745"/>
      <c r="H20" s="745"/>
      <c r="I20" s="745"/>
      <c r="J20" s="745"/>
      <c r="K20" s="745"/>
      <c r="L20" s="745"/>
      <c r="M20" s="745"/>
      <c r="N20" s="745"/>
      <c r="O20" s="745"/>
      <c r="P20" s="745"/>
      <c r="Q20" s="745"/>
      <c r="R20" s="745"/>
      <c r="S20" s="745"/>
      <c r="T20" s="745"/>
      <c r="U20" s="745"/>
      <c r="V20" s="745"/>
      <c r="W20" s="745"/>
      <c r="X20" s="745"/>
      <c r="Y20" s="745" t="s">
        <v>159</v>
      </c>
      <c r="Z20" s="745"/>
      <c r="AA20" s="745"/>
      <c r="AB20" s="745"/>
      <c r="AC20" s="745"/>
      <c r="AD20" s="745"/>
      <c r="AE20" s="745"/>
      <c r="AF20" s="745"/>
      <c r="AG20" s="745"/>
      <c r="AH20" s="745"/>
      <c r="AI20" s="745"/>
      <c r="AJ20" s="745"/>
      <c r="AK20" s="745"/>
      <c r="AL20" s="745"/>
      <c r="AM20" s="745"/>
      <c r="AN20" s="745"/>
      <c r="AO20" s="745"/>
      <c r="AP20" s="745"/>
      <c r="AQ20" s="745"/>
      <c r="AR20" s="745"/>
      <c r="AS20" s="745" t="s">
        <v>160</v>
      </c>
      <c r="AT20" s="745"/>
      <c r="AU20" s="745"/>
      <c r="AV20" s="745"/>
      <c r="AW20" s="745"/>
      <c r="AX20" s="745"/>
      <c r="AY20" s="745"/>
      <c r="AZ20" s="745"/>
      <c r="BA20" s="745"/>
      <c r="BB20" s="745"/>
      <c r="BC20" s="745"/>
      <c r="BD20" s="745"/>
      <c r="BE20" s="745"/>
      <c r="BF20" s="745"/>
      <c r="BG20" s="745"/>
      <c r="BH20" s="745"/>
      <c r="BI20" s="745"/>
      <c r="BJ20" s="745"/>
      <c r="BK20" s="745"/>
      <c r="BL20" s="745"/>
      <c r="BM20" s="745" t="s">
        <v>161</v>
      </c>
      <c r="BN20" s="745"/>
      <c r="BO20" s="745"/>
      <c r="BP20" s="745"/>
      <c r="BQ20" s="745"/>
      <c r="BR20" s="745"/>
      <c r="BS20" s="745"/>
      <c r="BT20" s="745"/>
      <c r="BU20" s="745"/>
      <c r="BV20" s="745"/>
      <c r="BW20" s="745"/>
      <c r="BX20" s="745"/>
      <c r="BY20" s="745"/>
      <c r="BZ20" s="745"/>
      <c r="CA20" s="745"/>
      <c r="CB20" s="745"/>
      <c r="CC20" s="745"/>
      <c r="CD20" s="745"/>
      <c r="CE20" s="745"/>
      <c r="CF20" s="745"/>
      <c r="CG20" s="746" t="s">
        <v>33</v>
      </c>
      <c r="CH20" s="746"/>
      <c r="CI20" s="746"/>
      <c r="CJ20" s="746"/>
      <c r="CK20" s="746"/>
      <c r="CL20" s="746"/>
      <c r="CM20" s="746"/>
      <c r="CN20" s="746"/>
      <c r="CO20" s="746"/>
      <c r="CP20" s="746"/>
      <c r="CQ20" s="746" t="s">
        <v>51</v>
      </c>
      <c r="CR20" s="746"/>
      <c r="CS20" s="746"/>
      <c r="CT20" s="746"/>
      <c r="CU20" s="746"/>
      <c r="CV20" s="746" t="s">
        <v>52</v>
      </c>
      <c r="CW20" s="746"/>
      <c r="CX20" s="746"/>
      <c r="CY20" s="746"/>
      <c r="CZ20" s="251" t="s">
        <v>28</v>
      </c>
      <c r="DB20" s="745" t="s">
        <v>158</v>
      </c>
      <c r="DC20" s="745"/>
      <c r="DD20" s="745"/>
      <c r="DE20" s="745"/>
      <c r="DF20" s="745"/>
      <c r="DG20" s="745"/>
      <c r="DH20" s="745"/>
      <c r="DI20" s="745"/>
      <c r="DJ20" s="745"/>
      <c r="DK20" s="745"/>
      <c r="DL20" s="745"/>
      <c r="DM20" s="745"/>
      <c r="DN20" s="745"/>
      <c r="DO20" s="745"/>
      <c r="DP20" s="745"/>
      <c r="DQ20" s="745"/>
      <c r="DR20" s="745"/>
      <c r="DS20" s="745"/>
      <c r="DT20" s="745"/>
      <c r="DU20" s="745"/>
      <c r="DV20" s="745" t="s">
        <v>159</v>
      </c>
      <c r="DW20" s="745"/>
      <c r="DX20" s="745"/>
      <c r="DY20" s="745"/>
      <c r="DZ20" s="745"/>
      <c r="EA20" s="745"/>
      <c r="EB20" s="745"/>
      <c r="EC20" s="745"/>
      <c r="ED20" s="745"/>
      <c r="EE20" s="745"/>
      <c r="EF20" s="745"/>
      <c r="EG20" s="745"/>
      <c r="EH20" s="745"/>
      <c r="EI20" s="745"/>
      <c r="EJ20" s="745"/>
      <c r="EK20" s="745"/>
      <c r="EL20" s="745"/>
      <c r="EM20" s="745"/>
      <c r="EN20" s="745"/>
      <c r="EO20" s="745"/>
      <c r="EP20" s="745" t="s">
        <v>160</v>
      </c>
      <c r="EQ20" s="745"/>
      <c r="ER20" s="745"/>
      <c r="ES20" s="745"/>
      <c r="ET20" s="745"/>
      <c r="EU20" s="745"/>
      <c r="EV20" s="745"/>
      <c r="EW20" s="745"/>
      <c r="EX20" s="745"/>
      <c r="EY20" s="745"/>
      <c r="EZ20" s="745"/>
      <c r="FA20" s="745"/>
      <c r="FB20" s="745"/>
      <c r="FC20" s="745"/>
      <c r="FD20" s="745"/>
      <c r="FE20" s="745"/>
      <c r="FF20" s="745"/>
      <c r="FG20" s="745"/>
      <c r="FH20" s="745"/>
      <c r="FI20" s="745"/>
      <c r="FJ20" s="745" t="s">
        <v>161</v>
      </c>
      <c r="FK20" s="745"/>
      <c r="FL20" s="745"/>
      <c r="FM20" s="745"/>
      <c r="FN20" s="745"/>
      <c r="FO20" s="745"/>
      <c r="FP20" s="745"/>
      <c r="FQ20" s="745"/>
      <c r="FR20" s="745"/>
      <c r="FS20" s="745"/>
      <c r="FT20" s="745"/>
      <c r="FU20" s="745"/>
      <c r="FV20" s="745"/>
      <c r="FW20" s="745"/>
      <c r="FX20" s="745"/>
      <c r="FY20" s="745"/>
      <c r="FZ20" s="745"/>
      <c r="GA20" s="745"/>
      <c r="GB20" s="745"/>
      <c r="GC20" s="745"/>
      <c r="GD20" s="746" t="s">
        <v>33</v>
      </c>
      <c r="GE20" s="746"/>
      <c r="GF20" s="746"/>
      <c r="GG20" s="746"/>
      <c r="GH20" s="746"/>
      <c r="GI20" s="746"/>
      <c r="GJ20" s="746"/>
      <c r="GK20" s="746"/>
      <c r="GL20" s="746"/>
      <c r="GM20" s="746"/>
      <c r="GN20" s="746" t="s">
        <v>51</v>
      </c>
      <c r="GO20" s="746"/>
      <c r="GP20" s="746"/>
      <c r="GQ20" s="746"/>
      <c r="GR20" s="746"/>
      <c r="GS20" s="746" t="s">
        <v>52</v>
      </c>
      <c r="GT20" s="746"/>
      <c r="GU20" s="746"/>
      <c r="GV20" s="746"/>
      <c r="GW20" s="251" t="s">
        <v>28</v>
      </c>
    </row>
    <row r="21" spans="1:205" s="46" customFormat="1">
      <c r="A21" s="15"/>
      <c r="E21" s="255">
        <v>1</v>
      </c>
      <c r="F21" s="255">
        <f>E21+1</f>
        <v>2</v>
      </c>
      <c r="G21" s="255">
        <f t="shared" ref="G21:BR21" si="22">F21+1</f>
        <v>3</v>
      </c>
      <c r="H21" s="255">
        <f t="shared" si="22"/>
        <v>4</v>
      </c>
      <c r="I21" s="255">
        <f t="shared" si="22"/>
        <v>5</v>
      </c>
      <c r="J21" s="255">
        <f t="shared" si="22"/>
        <v>6</v>
      </c>
      <c r="K21" s="255">
        <f t="shared" si="22"/>
        <v>7</v>
      </c>
      <c r="L21" s="255">
        <f t="shared" si="22"/>
        <v>8</v>
      </c>
      <c r="M21" s="255">
        <f t="shared" si="22"/>
        <v>9</v>
      </c>
      <c r="N21" s="255">
        <f t="shared" si="22"/>
        <v>10</v>
      </c>
      <c r="O21" s="255">
        <f t="shared" si="22"/>
        <v>11</v>
      </c>
      <c r="P21" s="255">
        <f t="shared" si="22"/>
        <v>12</v>
      </c>
      <c r="Q21" s="255">
        <f t="shared" si="22"/>
        <v>13</v>
      </c>
      <c r="R21" s="255">
        <f t="shared" si="22"/>
        <v>14</v>
      </c>
      <c r="S21" s="255">
        <f t="shared" si="22"/>
        <v>15</v>
      </c>
      <c r="T21" s="255">
        <f t="shared" si="22"/>
        <v>16</v>
      </c>
      <c r="U21" s="255">
        <f t="shared" si="22"/>
        <v>17</v>
      </c>
      <c r="V21" s="255">
        <f t="shared" si="22"/>
        <v>18</v>
      </c>
      <c r="W21" s="255">
        <f t="shared" si="22"/>
        <v>19</v>
      </c>
      <c r="X21" s="255">
        <f t="shared" si="22"/>
        <v>20</v>
      </c>
      <c r="Y21" s="255">
        <f t="shared" si="22"/>
        <v>21</v>
      </c>
      <c r="Z21" s="255">
        <f t="shared" si="22"/>
        <v>22</v>
      </c>
      <c r="AA21" s="255">
        <f t="shared" si="22"/>
        <v>23</v>
      </c>
      <c r="AB21" s="255">
        <f t="shared" si="22"/>
        <v>24</v>
      </c>
      <c r="AC21" s="255">
        <f t="shared" si="22"/>
        <v>25</v>
      </c>
      <c r="AD21" s="255">
        <f t="shared" si="22"/>
        <v>26</v>
      </c>
      <c r="AE21" s="255">
        <f t="shared" si="22"/>
        <v>27</v>
      </c>
      <c r="AF21" s="255">
        <f t="shared" si="22"/>
        <v>28</v>
      </c>
      <c r="AG21" s="255">
        <f t="shared" si="22"/>
        <v>29</v>
      </c>
      <c r="AH21" s="255">
        <f t="shared" si="22"/>
        <v>30</v>
      </c>
      <c r="AI21" s="255">
        <f t="shared" si="22"/>
        <v>31</v>
      </c>
      <c r="AJ21" s="255">
        <f t="shared" si="22"/>
        <v>32</v>
      </c>
      <c r="AK21" s="255">
        <f t="shared" si="22"/>
        <v>33</v>
      </c>
      <c r="AL21" s="255">
        <f t="shared" si="22"/>
        <v>34</v>
      </c>
      <c r="AM21" s="255">
        <f t="shared" si="22"/>
        <v>35</v>
      </c>
      <c r="AN21" s="255">
        <f t="shared" si="22"/>
        <v>36</v>
      </c>
      <c r="AO21" s="255">
        <f t="shared" si="22"/>
        <v>37</v>
      </c>
      <c r="AP21" s="255">
        <f t="shared" si="22"/>
        <v>38</v>
      </c>
      <c r="AQ21" s="255">
        <f t="shared" si="22"/>
        <v>39</v>
      </c>
      <c r="AR21" s="255">
        <f t="shared" si="22"/>
        <v>40</v>
      </c>
      <c r="AS21" s="255">
        <f t="shared" si="22"/>
        <v>41</v>
      </c>
      <c r="AT21" s="255">
        <f t="shared" si="22"/>
        <v>42</v>
      </c>
      <c r="AU21" s="255">
        <f t="shared" si="22"/>
        <v>43</v>
      </c>
      <c r="AV21" s="255">
        <f t="shared" si="22"/>
        <v>44</v>
      </c>
      <c r="AW21" s="255">
        <f t="shared" si="22"/>
        <v>45</v>
      </c>
      <c r="AX21" s="255">
        <f t="shared" si="22"/>
        <v>46</v>
      </c>
      <c r="AY21" s="255">
        <f t="shared" si="22"/>
        <v>47</v>
      </c>
      <c r="AZ21" s="255">
        <f t="shared" si="22"/>
        <v>48</v>
      </c>
      <c r="BA21" s="255">
        <f t="shared" si="22"/>
        <v>49</v>
      </c>
      <c r="BB21" s="255">
        <f t="shared" si="22"/>
        <v>50</v>
      </c>
      <c r="BC21" s="255">
        <f t="shared" si="22"/>
        <v>51</v>
      </c>
      <c r="BD21" s="255">
        <f t="shared" si="22"/>
        <v>52</v>
      </c>
      <c r="BE21" s="255">
        <f t="shared" si="22"/>
        <v>53</v>
      </c>
      <c r="BF21" s="255">
        <f t="shared" si="22"/>
        <v>54</v>
      </c>
      <c r="BG21" s="255">
        <f t="shared" si="22"/>
        <v>55</v>
      </c>
      <c r="BH21" s="255">
        <f t="shared" si="22"/>
        <v>56</v>
      </c>
      <c r="BI21" s="255">
        <f t="shared" si="22"/>
        <v>57</v>
      </c>
      <c r="BJ21" s="255">
        <f t="shared" si="22"/>
        <v>58</v>
      </c>
      <c r="BK21" s="255">
        <f t="shared" si="22"/>
        <v>59</v>
      </c>
      <c r="BL21" s="255">
        <f t="shared" si="22"/>
        <v>60</v>
      </c>
      <c r="BM21" s="255">
        <f t="shared" si="22"/>
        <v>61</v>
      </c>
      <c r="BN21" s="255">
        <f t="shared" si="22"/>
        <v>62</v>
      </c>
      <c r="BO21" s="255">
        <f t="shared" si="22"/>
        <v>63</v>
      </c>
      <c r="BP21" s="255">
        <f t="shared" si="22"/>
        <v>64</v>
      </c>
      <c r="BQ21" s="255">
        <f t="shared" si="22"/>
        <v>65</v>
      </c>
      <c r="BR21" s="255">
        <f t="shared" si="22"/>
        <v>66</v>
      </c>
      <c r="BS21" s="255">
        <f t="shared" ref="BS21:CZ21" si="23">BR21+1</f>
        <v>67</v>
      </c>
      <c r="BT21" s="255">
        <f t="shared" si="23"/>
        <v>68</v>
      </c>
      <c r="BU21" s="255">
        <f t="shared" si="23"/>
        <v>69</v>
      </c>
      <c r="BV21" s="255">
        <f t="shared" si="23"/>
        <v>70</v>
      </c>
      <c r="BW21" s="255">
        <f t="shared" si="23"/>
        <v>71</v>
      </c>
      <c r="BX21" s="255">
        <f t="shared" si="23"/>
        <v>72</v>
      </c>
      <c r="BY21" s="255">
        <f t="shared" si="23"/>
        <v>73</v>
      </c>
      <c r="BZ21" s="255">
        <f t="shared" si="23"/>
        <v>74</v>
      </c>
      <c r="CA21" s="255">
        <f t="shared" si="23"/>
        <v>75</v>
      </c>
      <c r="CB21" s="255">
        <f t="shared" si="23"/>
        <v>76</v>
      </c>
      <c r="CC21" s="255">
        <f t="shared" si="23"/>
        <v>77</v>
      </c>
      <c r="CD21" s="255">
        <f t="shared" si="23"/>
        <v>78</v>
      </c>
      <c r="CE21" s="255">
        <f t="shared" si="23"/>
        <v>79</v>
      </c>
      <c r="CF21" s="255">
        <f t="shared" si="23"/>
        <v>80</v>
      </c>
      <c r="CG21" s="255">
        <f t="shared" si="23"/>
        <v>81</v>
      </c>
      <c r="CH21" s="255">
        <f t="shared" si="23"/>
        <v>82</v>
      </c>
      <c r="CI21" s="255">
        <f t="shared" si="23"/>
        <v>83</v>
      </c>
      <c r="CJ21" s="255">
        <f t="shared" si="23"/>
        <v>84</v>
      </c>
      <c r="CK21" s="255">
        <f t="shared" si="23"/>
        <v>85</v>
      </c>
      <c r="CL21" s="255">
        <f t="shared" si="23"/>
        <v>86</v>
      </c>
      <c r="CM21" s="255">
        <f t="shared" si="23"/>
        <v>87</v>
      </c>
      <c r="CN21" s="255">
        <f t="shared" si="23"/>
        <v>88</v>
      </c>
      <c r="CO21" s="255">
        <f t="shared" si="23"/>
        <v>89</v>
      </c>
      <c r="CP21" s="255">
        <f t="shared" si="23"/>
        <v>90</v>
      </c>
      <c r="CQ21" s="255">
        <f t="shared" si="23"/>
        <v>91</v>
      </c>
      <c r="CR21" s="255">
        <f t="shared" si="23"/>
        <v>92</v>
      </c>
      <c r="CS21" s="255">
        <f t="shared" si="23"/>
        <v>93</v>
      </c>
      <c r="CT21" s="255">
        <f t="shared" si="23"/>
        <v>94</v>
      </c>
      <c r="CU21" s="255">
        <f t="shared" si="23"/>
        <v>95</v>
      </c>
      <c r="CV21" s="255">
        <f t="shared" si="23"/>
        <v>96</v>
      </c>
      <c r="CW21" s="255">
        <f t="shared" si="23"/>
        <v>97</v>
      </c>
      <c r="CX21" s="255">
        <f t="shared" si="23"/>
        <v>98</v>
      </c>
      <c r="CY21" s="255">
        <f t="shared" si="23"/>
        <v>99</v>
      </c>
      <c r="CZ21" s="255">
        <f t="shared" si="23"/>
        <v>100</v>
      </c>
      <c r="DB21" s="255">
        <v>1</v>
      </c>
      <c r="DC21" s="255">
        <f>DB21+1</f>
        <v>2</v>
      </c>
      <c r="DD21" s="255">
        <f t="shared" ref="DD21:FO21" si="24">DC21+1</f>
        <v>3</v>
      </c>
      <c r="DE21" s="255">
        <f t="shared" si="24"/>
        <v>4</v>
      </c>
      <c r="DF21" s="255">
        <f t="shared" si="24"/>
        <v>5</v>
      </c>
      <c r="DG21" s="255">
        <f t="shared" si="24"/>
        <v>6</v>
      </c>
      <c r="DH21" s="255">
        <f t="shared" si="24"/>
        <v>7</v>
      </c>
      <c r="DI21" s="255">
        <f t="shared" si="24"/>
        <v>8</v>
      </c>
      <c r="DJ21" s="255">
        <f t="shared" si="24"/>
        <v>9</v>
      </c>
      <c r="DK21" s="255">
        <f t="shared" si="24"/>
        <v>10</v>
      </c>
      <c r="DL21" s="255">
        <f t="shared" si="24"/>
        <v>11</v>
      </c>
      <c r="DM21" s="255">
        <f t="shared" si="24"/>
        <v>12</v>
      </c>
      <c r="DN21" s="255">
        <f t="shared" si="24"/>
        <v>13</v>
      </c>
      <c r="DO21" s="255">
        <f t="shared" si="24"/>
        <v>14</v>
      </c>
      <c r="DP21" s="255">
        <f t="shared" si="24"/>
        <v>15</v>
      </c>
      <c r="DQ21" s="255">
        <f t="shared" si="24"/>
        <v>16</v>
      </c>
      <c r="DR21" s="255">
        <f t="shared" si="24"/>
        <v>17</v>
      </c>
      <c r="DS21" s="255">
        <f t="shared" si="24"/>
        <v>18</v>
      </c>
      <c r="DT21" s="255">
        <f t="shared" si="24"/>
        <v>19</v>
      </c>
      <c r="DU21" s="255">
        <f t="shared" si="24"/>
        <v>20</v>
      </c>
      <c r="DV21" s="255">
        <f t="shared" si="24"/>
        <v>21</v>
      </c>
      <c r="DW21" s="255">
        <f t="shared" si="24"/>
        <v>22</v>
      </c>
      <c r="DX21" s="255">
        <f t="shared" si="24"/>
        <v>23</v>
      </c>
      <c r="DY21" s="255">
        <f t="shared" si="24"/>
        <v>24</v>
      </c>
      <c r="DZ21" s="255">
        <f t="shared" si="24"/>
        <v>25</v>
      </c>
      <c r="EA21" s="255">
        <f t="shared" si="24"/>
        <v>26</v>
      </c>
      <c r="EB21" s="255">
        <f t="shared" si="24"/>
        <v>27</v>
      </c>
      <c r="EC21" s="255">
        <f t="shared" si="24"/>
        <v>28</v>
      </c>
      <c r="ED21" s="255">
        <f t="shared" si="24"/>
        <v>29</v>
      </c>
      <c r="EE21" s="255">
        <f t="shared" si="24"/>
        <v>30</v>
      </c>
      <c r="EF21" s="255">
        <f t="shared" si="24"/>
        <v>31</v>
      </c>
      <c r="EG21" s="255">
        <f t="shared" si="24"/>
        <v>32</v>
      </c>
      <c r="EH21" s="255">
        <f t="shared" si="24"/>
        <v>33</v>
      </c>
      <c r="EI21" s="255">
        <f t="shared" si="24"/>
        <v>34</v>
      </c>
      <c r="EJ21" s="255">
        <f t="shared" si="24"/>
        <v>35</v>
      </c>
      <c r="EK21" s="255">
        <f t="shared" si="24"/>
        <v>36</v>
      </c>
      <c r="EL21" s="255">
        <f t="shared" si="24"/>
        <v>37</v>
      </c>
      <c r="EM21" s="255">
        <f t="shared" si="24"/>
        <v>38</v>
      </c>
      <c r="EN21" s="255">
        <f t="shared" si="24"/>
        <v>39</v>
      </c>
      <c r="EO21" s="255">
        <f t="shared" si="24"/>
        <v>40</v>
      </c>
      <c r="EP21" s="255">
        <f t="shared" si="24"/>
        <v>41</v>
      </c>
      <c r="EQ21" s="255">
        <f t="shared" si="24"/>
        <v>42</v>
      </c>
      <c r="ER21" s="255">
        <f t="shared" si="24"/>
        <v>43</v>
      </c>
      <c r="ES21" s="255">
        <f t="shared" si="24"/>
        <v>44</v>
      </c>
      <c r="ET21" s="255">
        <f t="shared" si="24"/>
        <v>45</v>
      </c>
      <c r="EU21" s="255">
        <f t="shared" si="24"/>
        <v>46</v>
      </c>
      <c r="EV21" s="255">
        <f t="shared" si="24"/>
        <v>47</v>
      </c>
      <c r="EW21" s="255">
        <f t="shared" si="24"/>
        <v>48</v>
      </c>
      <c r="EX21" s="255">
        <f t="shared" si="24"/>
        <v>49</v>
      </c>
      <c r="EY21" s="255">
        <f t="shared" si="24"/>
        <v>50</v>
      </c>
      <c r="EZ21" s="255">
        <f t="shared" si="24"/>
        <v>51</v>
      </c>
      <c r="FA21" s="255">
        <f t="shared" si="24"/>
        <v>52</v>
      </c>
      <c r="FB21" s="255">
        <f t="shared" si="24"/>
        <v>53</v>
      </c>
      <c r="FC21" s="255">
        <f t="shared" si="24"/>
        <v>54</v>
      </c>
      <c r="FD21" s="255">
        <f t="shared" si="24"/>
        <v>55</v>
      </c>
      <c r="FE21" s="255">
        <f t="shared" si="24"/>
        <v>56</v>
      </c>
      <c r="FF21" s="255">
        <f t="shared" si="24"/>
        <v>57</v>
      </c>
      <c r="FG21" s="255">
        <f t="shared" si="24"/>
        <v>58</v>
      </c>
      <c r="FH21" s="255">
        <f t="shared" si="24"/>
        <v>59</v>
      </c>
      <c r="FI21" s="255">
        <f t="shared" si="24"/>
        <v>60</v>
      </c>
      <c r="FJ21" s="255">
        <f t="shared" si="24"/>
        <v>61</v>
      </c>
      <c r="FK21" s="255">
        <f t="shared" si="24"/>
        <v>62</v>
      </c>
      <c r="FL21" s="255">
        <f t="shared" si="24"/>
        <v>63</v>
      </c>
      <c r="FM21" s="255">
        <f t="shared" si="24"/>
        <v>64</v>
      </c>
      <c r="FN21" s="255">
        <f t="shared" si="24"/>
        <v>65</v>
      </c>
      <c r="FO21" s="255">
        <f t="shared" si="24"/>
        <v>66</v>
      </c>
      <c r="FP21" s="255">
        <f t="shared" ref="FP21:GW21" si="25">FO21+1</f>
        <v>67</v>
      </c>
      <c r="FQ21" s="255">
        <f t="shared" si="25"/>
        <v>68</v>
      </c>
      <c r="FR21" s="255">
        <f t="shared" si="25"/>
        <v>69</v>
      </c>
      <c r="FS21" s="255">
        <f t="shared" si="25"/>
        <v>70</v>
      </c>
      <c r="FT21" s="255">
        <f t="shared" si="25"/>
        <v>71</v>
      </c>
      <c r="FU21" s="255">
        <f t="shared" si="25"/>
        <v>72</v>
      </c>
      <c r="FV21" s="255">
        <f t="shared" si="25"/>
        <v>73</v>
      </c>
      <c r="FW21" s="255">
        <f t="shared" si="25"/>
        <v>74</v>
      </c>
      <c r="FX21" s="255">
        <f t="shared" si="25"/>
        <v>75</v>
      </c>
      <c r="FY21" s="255">
        <f t="shared" si="25"/>
        <v>76</v>
      </c>
      <c r="FZ21" s="255">
        <f t="shared" si="25"/>
        <v>77</v>
      </c>
      <c r="GA21" s="255">
        <f t="shared" si="25"/>
        <v>78</v>
      </c>
      <c r="GB21" s="255">
        <f t="shared" si="25"/>
        <v>79</v>
      </c>
      <c r="GC21" s="255">
        <f t="shared" si="25"/>
        <v>80</v>
      </c>
      <c r="GD21" s="255">
        <f t="shared" si="25"/>
        <v>81</v>
      </c>
      <c r="GE21" s="255">
        <f t="shared" si="25"/>
        <v>82</v>
      </c>
      <c r="GF21" s="255">
        <f t="shared" si="25"/>
        <v>83</v>
      </c>
      <c r="GG21" s="255">
        <f t="shared" si="25"/>
        <v>84</v>
      </c>
      <c r="GH21" s="255">
        <f t="shared" si="25"/>
        <v>85</v>
      </c>
      <c r="GI21" s="255">
        <f t="shared" si="25"/>
        <v>86</v>
      </c>
      <c r="GJ21" s="255">
        <f t="shared" si="25"/>
        <v>87</v>
      </c>
      <c r="GK21" s="255">
        <f t="shared" si="25"/>
        <v>88</v>
      </c>
      <c r="GL21" s="255">
        <f t="shared" si="25"/>
        <v>89</v>
      </c>
      <c r="GM21" s="255">
        <f t="shared" si="25"/>
        <v>90</v>
      </c>
      <c r="GN21" s="255">
        <f t="shared" si="25"/>
        <v>91</v>
      </c>
      <c r="GO21" s="255">
        <f t="shared" si="25"/>
        <v>92</v>
      </c>
      <c r="GP21" s="255">
        <f t="shared" si="25"/>
        <v>93</v>
      </c>
      <c r="GQ21" s="255">
        <f t="shared" si="25"/>
        <v>94</v>
      </c>
      <c r="GR21" s="255">
        <f t="shared" si="25"/>
        <v>95</v>
      </c>
      <c r="GS21" s="255">
        <f t="shared" si="25"/>
        <v>96</v>
      </c>
      <c r="GT21" s="255">
        <f t="shared" si="25"/>
        <v>97</v>
      </c>
      <c r="GU21" s="255">
        <f t="shared" si="25"/>
        <v>98</v>
      </c>
      <c r="GV21" s="255">
        <f t="shared" si="25"/>
        <v>99</v>
      </c>
      <c r="GW21" s="255">
        <f t="shared" si="25"/>
        <v>100</v>
      </c>
    </row>
    <row r="22" spans="1:205" ht="9" customHeight="1">
      <c r="A22" s="259" t="s">
        <v>48</v>
      </c>
      <c r="B22" s="143">
        <f>LINEST(E22:CZ22, DB22:GW22, TRUE, FALSE)</f>
        <v>0.11309357697186755</v>
      </c>
      <c r="C22" s="143">
        <f>RSQ(E22:CZ22, DB22:GW22)</f>
        <v>0.99180348759657389</v>
      </c>
      <c r="D22" s="60"/>
      <c r="E22" s="143">
        <f>E18</f>
        <v>2.1121496622111418E-2</v>
      </c>
      <c r="F22" s="143">
        <f t="shared" ref="F22:X22" si="26">E22</f>
        <v>2.1121496622111418E-2</v>
      </c>
      <c r="G22" s="143">
        <f t="shared" si="26"/>
        <v>2.1121496622111418E-2</v>
      </c>
      <c r="H22" s="143">
        <f t="shared" si="26"/>
        <v>2.1121496622111418E-2</v>
      </c>
      <c r="I22" s="143">
        <f t="shared" si="26"/>
        <v>2.1121496622111418E-2</v>
      </c>
      <c r="J22" s="143">
        <f t="shared" si="26"/>
        <v>2.1121496622111418E-2</v>
      </c>
      <c r="K22" s="143">
        <f t="shared" si="26"/>
        <v>2.1121496622111418E-2</v>
      </c>
      <c r="L22" s="143">
        <f t="shared" si="26"/>
        <v>2.1121496622111418E-2</v>
      </c>
      <c r="M22" s="143">
        <f t="shared" si="26"/>
        <v>2.1121496622111418E-2</v>
      </c>
      <c r="N22" s="143">
        <f t="shared" si="26"/>
        <v>2.1121496622111418E-2</v>
      </c>
      <c r="O22" s="143">
        <f t="shared" si="26"/>
        <v>2.1121496622111418E-2</v>
      </c>
      <c r="P22" s="143">
        <f t="shared" si="26"/>
        <v>2.1121496622111418E-2</v>
      </c>
      <c r="Q22" s="143">
        <f t="shared" si="26"/>
        <v>2.1121496622111418E-2</v>
      </c>
      <c r="R22" s="143">
        <f t="shared" si="26"/>
        <v>2.1121496622111418E-2</v>
      </c>
      <c r="S22" s="143">
        <f t="shared" si="26"/>
        <v>2.1121496622111418E-2</v>
      </c>
      <c r="T22" s="143">
        <f t="shared" si="26"/>
        <v>2.1121496622111418E-2</v>
      </c>
      <c r="U22" s="143">
        <f t="shared" si="26"/>
        <v>2.1121496622111418E-2</v>
      </c>
      <c r="V22" s="143">
        <f t="shared" si="26"/>
        <v>2.1121496622111418E-2</v>
      </c>
      <c r="W22" s="143">
        <f t="shared" si="26"/>
        <v>2.1121496622111418E-2</v>
      </c>
      <c r="X22" s="143">
        <f t="shared" si="26"/>
        <v>2.1121496622111418E-2</v>
      </c>
      <c r="Y22" s="143">
        <f>F18</f>
        <v>0.10425002137379911</v>
      </c>
      <c r="Z22" s="143">
        <f t="shared" ref="Z22:AR22" si="27">Y22</f>
        <v>0.10425002137379911</v>
      </c>
      <c r="AA22" s="143">
        <f t="shared" si="27"/>
        <v>0.10425002137379911</v>
      </c>
      <c r="AB22" s="143">
        <f t="shared" si="27"/>
        <v>0.10425002137379911</v>
      </c>
      <c r="AC22" s="143">
        <f t="shared" si="27"/>
        <v>0.10425002137379911</v>
      </c>
      <c r="AD22" s="143">
        <f t="shared" si="27"/>
        <v>0.10425002137379911</v>
      </c>
      <c r="AE22" s="143">
        <f t="shared" si="27"/>
        <v>0.10425002137379911</v>
      </c>
      <c r="AF22" s="143">
        <f t="shared" si="27"/>
        <v>0.10425002137379911</v>
      </c>
      <c r="AG22" s="143">
        <f t="shared" si="27"/>
        <v>0.10425002137379911</v>
      </c>
      <c r="AH22" s="143">
        <f t="shared" si="27"/>
        <v>0.10425002137379911</v>
      </c>
      <c r="AI22" s="143">
        <f t="shared" si="27"/>
        <v>0.10425002137379911</v>
      </c>
      <c r="AJ22" s="143">
        <f t="shared" si="27"/>
        <v>0.10425002137379911</v>
      </c>
      <c r="AK22" s="143">
        <f t="shared" si="27"/>
        <v>0.10425002137379911</v>
      </c>
      <c r="AL22" s="143">
        <f t="shared" si="27"/>
        <v>0.10425002137379911</v>
      </c>
      <c r="AM22" s="143">
        <f t="shared" si="27"/>
        <v>0.10425002137379911</v>
      </c>
      <c r="AN22" s="143">
        <f t="shared" si="27"/>
        <v>0.10425002137379911</v>
      </c>
      <c r="AO22" s="143">
        <f t="shared" si="27"/>
        <v>0.10425002137379911</v>
      </c>
      <c r="AP22" s="143">
        <f t="shared" si="27"/>
        <v>0.10425002137379911</v>
      </c>
      <c r="AQ22" s="143">
        <f t="shared" si="27"/>
        <v>0.10425002137379911</v>
      </c>
      <c r="AR22" s="143">
        <f t="shared" si="27"/>
        <v>0.10425002137379911</v>
      </c>
      <c r="AS22" s="143">
        <f>G18</f>
        <v>0.16723591937591381</v>
      </c>
      <c r="AT22" s="143">
        <f t="shared" ref="AT22:BL22" si="28">AS22</f>
        <v>0.16723591937591381</v>
      </c>
      <c r="AU22" s="143">
        <f t="shared" si="28"/>
        <v>0.16723591937591381</v>
      </c>
      <c r="AV22" s="143">
        <f t="shared" si="28"/>
        <v>0.16723591937591381</v>
      </c>
      <c r="AW22" s="143">
        <f t="shared" si="28"/>
        <v>0.16723591937591381</v>
      </c>
      <c r="AX22" s="143">
        <f t="shared" si="28"/>
        <v>0.16723591937591381</v>
      </c>
      <c r="AY22" s="143">
        <f t="shared" si="28"/>
        <v>0.16723591937591381</v>
      </c>
      <c r="AZ22" s="143">
        <f t="shared" si="28"/>
        <v>0.16723591937591381</v>
      </c>
      <c r="BA22" s="143">
        <f t="shared" si="28"/>
        <v>0.16723591937591381</v>
      </c>
      <c r="BB22" s="143">
        <f t="shared" si="28"/>
        <v>0.16723591937591381</v>
      </c>
      <c r="BC22" s="143">
        <f t="shared" si="28"/>
        <v>0.16723591937591381</v>
      </c>
      <c r="BD22" s="143">
        <f t="shared" si="28"/>
        <v>0.16723591937591381</v>
      </c>
      <c r="BE22" s="143">
        <f t="shared" si="28"/>
        <v>0.16723591937591381</v>
      </c>
      <c r="BF22" s="143">
        <f t="shared" si="28"/>
        <v>0.16723591937591381</v>
      </c>
      <c r="BG22" s="143">
        <f t="shared" si="28"/>
        <v>0.16723591937591381</v>
      </c>
      <c r="BH22" s="143">
        <f t="shared" si="28"/>
        <v>0.16723591937591381</v>
      </c>
      <c r="BI22" s="143">
        <f t="shared" si="28"/>
        <v>0.16723591937591381</v>
      </c>
      <c r="BJ22" s="143">
        <f t="shared" si="28"/>
        <v>0.16723591937591381</v>
      </c>
      <c r="BK22" s="143">
        <f t="shared" si="28"/>
        <v>0.16723591937591381</v>
      </c>
      <c r="BL22" s="143">
        <f t="shared" si="28"/>
        <v>0.16723591937591381</v>
      </c>
      <c r="BM22" s="143">
        <f>H18</f>
        <v>0.21790728451896338</v>
      </c>
      <c r="BN22" s="143">
        <f t="shared" ref="BN22:CF22" si="29">BM22</f>
        <v>0.21790728451896338</v>
      </c>
      <c r="BO22" s="143">
        <f t="shared" si="29"/>
        <v>0.21790728451896338</v>
      </c>
      <c r="BP22" s="143">
        <f t="shared" si="29"/>
        <v>0.21790728451896338</v>
      </c>
      <c r="BQ22" s="143">
        <f t="shared" si="29"/>
        <v>0.21790728451896338</v>
      </c>
      <c r="BR22" s="143">
        <f t="shared" si="29"/>
        <v>0.21790728451896338</v>
      </c>
      <c r="BS22" s="143">
        <f t="shared" si="29"/>
        <v>0.21790728451896338</v>
      </c>
      <c r="BT22" s="143">
        <f t="shared" si="29"/>
        <v>0.21790728451896338</v>
      </c>
      <c r="BU22" s="143">
        <f t="shared" si="29"/>
        <v>0.21790728451896338</v>
      </c>
      <c r="BV22" s="143">
        <f t="shared" si="29"/>
        <v>0.21790728451896338</v>
      </c>
      <c r="BW22" s="143">
        <f t="shared" si="29"/>
        <v>0.21790728451896338</v>
      </c>
      <c r="BX22" s="143">
        <f t="shared" si="29"/>
        <v>0.21790728451896338</v>
      </c>
      <c r="BY22" s="143">
        <f t="shared" si="29"/>
        <v>0.21790728451896338</v>
      </c>
      <c r="BZ22" s="143">
        <f t="shared" si="29"/>
        <v>0.21790728451896338</v>
      </c>
      <c r="CA22" s="143">
        <f t="shared" si="29"/>
        <v>0.21790728451896338</v>
      </c>
      <c r="CB22" s="143">
        <f t="shared" si="29"/>
        <v>0.21790728451896338</v>
      </c>
      <c r="CC22" s="143">
        <f t="shared" si="29"/>
        <v>0.21790728451896338</v>
      </c>
      <c r="CD22" s="143">
        <f t="shared" si="29"/>
        <v>0.21790728451896338</v>
      </c>
      <c r="CE22" s="143">
        <f t="shared" si="29"/>
        <v>0.21790728451896338</v>
      </c>
      <c r="CF22" s="143">
        <f t="shared" si="29"/>
        <v>0.21790728451896338</v>
      </c>
      <c r="CG22" s="143">
        <f>I18</f>
        <v>0.26552926781064756</v>
      </c>
      <c r="CH22" s="143">
        <f t="shared" ref="CH22:CP22" si="30">CG22</f>
        <v>0.26552926781064756</v>
      </c>
      <c r="CI22" s="143">
        <f t="shared" si="30"/>
        <v>0.26552926781064756</v>
      </c>
      <c r="CJ22" s="143">
        <f t="shared" si="30"/>
        <v>0.26552926781064756</v>
      </c>
      <c r="CK22" s="143">
        <f t="shared" si="30"/>
        <v>0.26552926781064756</v>
      </c>
      <c r="CL22" s="143">
        <f t="shared" si="30"/>
        <v>0.26552926781064756</v>
      </c>
      <c r="CM22" s="143">
        <f t="shared" si="30"/>
        <v>0.26552926781064756</v>
      </c>
      <c r="CN22" s="143">
        <f t="shared" si="30"/>
        <v>0.26552926781064756</v>
      </c>
      <c r="CO22" s="143">
        <f t="shared" si="30"/>
        <v>0.26552926781064756</v>
      </c>
      <c r="CP22" s="143">
        <f t="shared" si="30"/>
        <v>0.26552926781064756</v>
      </c>
      <c r="CQ22" s="143">
        <f>J18</f>
        <v>0.29759773723915744</v>
      </c>
      <c r="CR22" s="143">
        <f>CQ22</f>
        <v>0.29759773723915744</v>
      </c>
      <c r="CS22" s="143">
        <f>CR22</f>
        <v>0.29759773723915744</v>
      </c>
      <c r="CT22" s="143">
        <f>CS22</f>
        <v>0.29759773723915744</v>
      </c>
      <c r="CU22" s="143">
        <f>CT22</f>
        <v>0.29759773723915744</v>
      </c>
      <c r="CV22" s="143">
        <f>K18</f>
        <v>0.34771520256726057</v>
      </c>
      <c r="CW22" s="143">
        <f>CV22</f>
        <v>0.34771520256726057</v>
      </c>
      <c r="CX22" s="143">
        <f>CW22</f>
        <v>0.34771520256726057</v>
      </c>
      <c r="CY22" s="143">
        <f>CX22</f>
        <v>0.34771520256726057</v>
      </c>
      <c r="CZ22" s="143">
        <f>L18</f>
        <v>0.4614007404384679</v>
      </c>
      <c r="DA22" s="60"/>
      <c r="DB22" s="143">
        <f>N18</f>
        <v>9.87302834505142</v>
      </c>
      <c r="DC22" s="143">
        <f t="shared" ref="DC22:DU22" si="31">DB22</f>
        <v>9.87302834505142</v>
      </c>
      <c r="DD22" s="143">
        <f t="shared" si="31"/>
        <v>9.87302834505142</v>
      </c>
      <c r="DE22" s="143">
        <f t="shared" si="31"/>
        <v>9.87302834505142</v>
      </c>
      <c r="DF22" s="143">
        <f t="shared" si="31"/>
        <v>9.87302834505142</v>
      </c>
      <c r="DG22" s="143">
        <f t="shared" si="31"/>
        <v>9.87302834505142</v>
      </c>
      <c r="DH22" s="143">
        <f t="shared" si="31"/>
        <v>9.87302834505142</v>
      </c>
      <c r="DI22" s="143">
        <f t="shared" si="31"/>
        <v>9.87302834505142</v>
      </c>
      <c r="DJ22" s="143">
        <f t="shared" si="31"/>
        <v>9.87302834505142</v>
      </c>
      <c r="DK22" s="143">
        <f t="shared" si="31"/>
        <v>9.87302834505142</v>
      </c>
      <c r="DL22" s="143">
        <f t="shared" si="31"/>
        <v>9.87302834505142</v>
      </c>
      <c r="DM22" s="143">
        <f t="shared" si="31"/>
        <v>9.87302834505142</v>
      </c>
      <c r="DN22" s="143">
        <f t="shared" si="31"/>
        <v>9.87302834505142</v>
      </c>
      <c r="DO22" s="143">
        <f t="shared" si="31"/>
        <v>9.87302834505142</v>
      </c>
      <c r="DP22" s="143">
        <f t="shared" si="31"/>
        <v>9.87302834505142</v>
      </c>
      <c r="DQ22" s="143">
        <f t="shared" si="31"/>
        <v>9.87302834505142</v>
      </c>
      <c r="DR22" s="143">
        <f t="shared" si="31"/>
        <v>9.87302834505142</v>
      </c>
      <c r="DS22" s="143">
        <f t="shared" si="31"/>
        <v>9.87302834505142</v>
      </c>
      <c r="DT22" s="143">
        <f t="shared" si="31"/>
        <v>9.87302834505142</v>
      </c>
      <c r="DU22" s="143">
        <f t="shared" si="31"/>
        <v>9.87302834505142</v>
      </c>
      <c r="DV22" s="143">
        <f>O18</f>
        <v>10.661954199216716</v>
      </c>
      <c r="DW22" s="143">
        <f t="shared" ref="DW22:EO22" si="32">DV22</f>
        <v>10.661954199216716</v>
      </c>
      <c r="DX22" s="143">
        <f t="shared" si="32"/>
        <v>10.661954199216716</v>
      </c>
      <c r="DY22" s="143">
        <f t="shared" si="32"/>
        <v>10.661954199216716</v>
      </c>
      <c r="DZ22" s="143">
        <f t="shared" si="32"/>
        <v>10.661954199216716</v>
      </c>
      <c r="EA22" s="143">
        <f t="shared" si="32"/>
        <v>10.661954199216716</v>
      </c>
      <c r="EB22" s="143">
        <f t="shared" si="32"/>
        <v>10.661954199216716</v>
      </c>
      <c r="EC22" s="143">
        <f t="shared" si="32"/>
        <v>10.661954199216716</v>
      </c>
      <c r="ED22" s="143">
        <f t="shared" si="32"/>
        <v>10.661954199216716</v>
      </c>
      <c r="EE22" s="143">
        <f t="shared" si="32"/>
        <v>10.661954199216716</v>
      </c>
      <c r="EF22" s="143">
        <f t="shared" si="32"/>
        <v>10.661954199216716</v>
      </c>
      <c r="EG22" s="143">
        <f t="shared" si="32"/>
        <v>10.661954199216716</v>
      </c>
      <c r="EH22" s="143">
        <f t="shared" si="32"/>
        <v>10.661954199216716</v>
      </c>
      <c r="EI22" s="143">
        <f t="shared" si="32"/>
        <v>10.661954199216716</v>
      </c>
      <c r="EJ22" s="143">
        <f t="shared" si="32"/>
        <v>10.661954199216716</v>
      </c>
      <c r="EK22" s="143">
        <f t="shared" si="32"/>
        <v>10.661954199216716</v>
      </c>
      <c r="EL22" s="143">
        <f t="shared" si="32"/>
        <v>10.661954199216716</v>
      </c>
      <c r="EM22" s="143">
        <f t="shared" si="32"/>
        <v>10.661954199216716</v>
      </c>
      <c r="EN22" s="143">
        <f t="shared" si="32"/>
        <v>10.661954199216716</v>
      </c>
      <c r="EO22" s="143">
        <f t="shared" si="32"/>
        <v>10.661954199216716</v>
      </c>
      <c r="EP22" s="143">
        <f>P18</f>
        <v>11.150519846322512</v>
      </c>
      <c r="EQ22" s="143">
        <f t="shared" ref="EQ22:FI22" si="33">EP22</f>
        <v>11.150519846322512</v>
      </c>
      <c r="ER22" s="143">
        <f t="shared" si="33"/>
        <v>11.150519846322512</v>
      </c>
      <c r="ES22" s="143">
        <f t="shared" si="33"/>
        <v>11.150519846322512</v>
      </c>
      <c r="ET22" s="143">
        <f t="shared" si="33"/>
        <v>11.150519846322512</v>
      </c>
      <c r="EU22" s="143">
        <f t="shared" si="33"/>
        <v>11.150519846322512</v>
      </c>
      <c r="EV22" s="143">
        <f t="shared" si="33"/>
        <v>11.150519846322512</v>
      </c>
      <c r="EW22" s="143">
        <f t="shared" si="33"/>
        <v>11.150519846322512</v>
      </c>
      <c r="EX22" s="143">
        <f t="shared" si="33"/>
        <v>11.150519846322512</v>
      </c>
      <c r="EY22" s="143">
        <f t="shared" si="33"/>
        <v>11.150519846322512</v>
      </c>
      <c r="EZ22" s="143">
        <f t="shared" si="33"/>
        <v>11.150519846322512</v>
      </c>
      <c r="FA22" s="143">
        <f t="shared" si="33"/>
        <v>11.150519846322512</v>
      </c>
      <c r="FB22" s="143">
        <f t="shared" si="33"/>
        <v>11.150519846322512</v>
      </c>
      <c r="FC22" s="143">
        <f t="shared" si="33"/>
        <v>11.150519846322512</v>
      </c>
      <c r="FD22" s="143">
        <f t="shared" si="33"/>
        <v>11.150519846322512</v>
      </c>
      <c r="FE22" s="143">
        <f t="shared" si="33"/>
        <v>11.150519846322512</v>
      </c>
      <c r="FF22" s="143">
        <f t="shared" si="33"/>
        <v>11.150519846322512</v>
      </c>
      <c r="FG22" s="143">
        <f t="shared" si="33"/>
        <v>11.150519846322512</v>
      </c>
      <c r="FH22" s="143">
        <f t="shared" si="33"/>
        <v>11.150519846322512</v>
      </c>
      <c r="FI22" s="143">
        <f t="shared" si="33"/>
        <v>11.150519846322512</v>
      </c>
      <c r="FJ22" s="143">
        <f>Q18</f>
        <v>11.569305798406337</v>
      </c>
      <c r="FK22" s="143">
        <f t="shared" ref="FK22:GC22" si="34">FJ22</f>
        <v>11.569305798406337</v>
      </c>
      <c r="FL22" s="143">
        <f t="shared" si="34"/>
        <v>11.569305798406337</v>
      </c>
      <c r="FM22" s="143">
        <f t="shared" si="34"/>
        <v>11.569305798406337</v>
      </c>
      <c r="FN22" s="143">
        <f t="shared" si="34"/>
        <v>11.569305798406337</v>
      </c>
      <c r="FO22" s="143">
        <f t="shared" si="34"/>
        <v>11.569305798406337</v>
      </c>
      <c r="FP22" s="143">
        <f t="shared" si="34"/>
        <v>11.569305798406337</v>
      </c>
      <c r="FQ22" s="143">
        <f t="shared" si="34"/>
        <v>11.569305798406337</v>
      </c>
      <c r="FR22" s="143">
        <f t="shared" si="34"/>
        <v>11.569305798406337</v>
      </c>
      <c r="FS22" s="143">
        <f t="shared" si="34"/>
        <v>11.569305798406337</v>
      </c>
      <c r="FT22" s="143">
        <f t="shared" si="34"/>
        <v>11.569305798406337</v>
      </c>
      <c r="FU22" s="143">
        <f t="shared" si="34"/>
        <v>11.569305798406337</v>
      </c>
      <c r="FV22" s="143">
        <f t="shared" si="34"/>
        <v>11.569305798406337</v>
      </c>
      <c r="FW22" s="143">
        <f t="shared" si="34"/>
        <v>11.569305798406337</v>
      </c>
      <c r="FX22" s="143">
        <f t="shared" si="34"/>
        <v>11.569305798406337</v>
      </c>
      <c r="FY22" s="143">
        <f t="shared" si="34"/>
        <v>11.569305798406337</v>
      </c>
      <c r="FZ22" s="143">
        <f t="shared" si="34"/>
        <v>11.569305798406337</v>
      </c>
      <c r="GA22" s="143">
        <f t="shared" si="34"/>
        <v>11.569305798406337</v>
      </c>
      <c r="GB22" s="143">
        <f t="shared" si="34"/>
        <v>11.569305798406337</v>
      </c>
      <c r="GC22" s="143">
        <f t="shared" si="34"/>
        <v>11.569305798406337</v>
      </c>
      <c r="GD22" s="143">
        <f>R18</f>
        <v>11.939499536288627</v>
      </c>
      <c r="GE22" s="143">
        <f t="shared" ref="GE22:GM22" si="35">GD22</f>
        <v>11.939499536288627</v>
      </c>
      <c r="GF22" s="143">
        <f t="shared" si="35"/>
        <v>11.939499536288627</v>
      </c>
      <c r="GG22" s="143">
        <f t="shared" si="35"/>
        <v>11.939499536288627</v>
      </c>
      <c r="GH22" s="143">
        <f t="shared" si="35"/>
        <v>11.939499536288627</v>
      </c>
      <c r="GI22" s="143">
        <f t="shared" si="35"/>
        <v>11.939499536288627</v>
      </c>
      <c r="GJ22" s="143">
        <f t="shared" si="35"/>
        <v>11.939499536288627</v>
      </c>
      <c r="GK22" s="143">
        <f t="shared" si="35"/>
        <v>11.939499536288627</v>
      </c>
      <c r="GL22" s="143">
        <f t="shared" si="35"/>
        <v>11.939499536288627</v>
      </c>
      <c r="GM22" s="143">
        <f t="shared" si="35"/>
        <v>11.939499536288627</v>
      </c>
      <c r="GN22" s="143">
        <f>S18</f>
        <v>12.251046011172905</v>
      </c>
      <c r="GO22" s="143">
        <f>GN22</f>
        <v>12.251046011172905</v>
      </c>
      <c r="GP22" s="143">
        <f>GO22</f>
        <v>12.251046011172905</v>
      </c>
      <c r="GQ22" s="143">
        <f>GP22</f>
        <v>12.251046011172905</v>
      </c>
      <c r="GR22" s="143">
        <f>GQ22</f>
        <v>12.251046011172905</v>
      </c>
      <c r="GS22" s="143">
        <f>T18</f>
        <v>12.755926656263643</v>
      </c>
      <c r="GT22" s="143">
        <f>GS22</f>
        <v>12.755926656263643</v>
      </c>
      <c r="GU22" s="143">
        <f>GT22</f>
        <v>12.755926656263643</v>
      </c>
      <c r="GV22" s="143">
        <f>GU22</f>
        <v>12.755926656263643</v>
      </c>
      <c r="GW22" s="143">
        <f>U18</f>
        <v>14.40185173420641</v>
      </c>
    </row>
    <row r="24" spans="1:205" s="149" customFormat="1" ht="13.5" customHeight="1">
      <c r="A24" s="270" t="s">
        <v>279</v>
      </c>
      <c r="B24" s="107"/>
      <c r="C24" s="107"/>
      <c r="D24" s="107"/>
      <c r="E24" s="107"/>
      <c r="F24" s="107"/>
      <c r="G24" s="107"/>
      <c r="H24" s="107"/>
      <c r="I24" s="107"/>
      <c r="J24" s="107"/>
      <c r="K24" s="107"/>
      <c r="L24" s="107"/>
      <c r="M24" s="143"/>
      <c r="N24" s="143"/>
      <c r="O24" s="143"/>
      <c r="P24" s="143"/>
      <c r="Q24" s="143"/>
      <c r="R24" s="143"/>
      <c r="T24" s="143"/>
      <c r="U24" s="143"/>
    </row>
    <row r="25" spans="1:205" ht="15" customHeight="1">
      <c r="A25" s="144"/>
      <c r="B25" s="729" t="s">
        <v>1058</v>
      </c>
      <c r="C25" s="729" t="s">
        <v>255</v>
      </c>
      <c r="D25" s="120"/>
      <c r="E25" s="753" t="s">
        <v>626</v>
      </c>
      <c r="F25" s="731"/>
      <c r="G25" s="731"/>
      <c r="H25" s="731"/>
      <c r="I25" s="731"/>
      <c r="J25" s="731"/>
      <c r="K25" s="731"/>
      <c r="L25" s="731"/>
      <c r="M25" s="134"/>
      <c r="N25" s="736" t="s">
        <v>205</v>
      </c>
      <c r="O25" s="736"/>
      <c r="P25" s="736"/>
      <c r="Q25" s="736"/>
      <c r="R25" s="736"/>
      <c r="S25" s="736"/>
      <c r="T25" s="736"/>
      <c r="U25" s="736"/>
      <c r="V25" s="134"/>
      <c r="W25" s="736" t="s">
        <v>625</v>
      </c>
      <c r="X25" s="736"/>
      <c r="Y25" s="736"/>
      <c r="Z25" s="736"/>
      <c r="AA25" s="736"/>
      <c r="AB25" s="736"/>
      <c r="AC25" s="736"/>
      <c r="AD25" s="736"/>
      <c r="AE25" s="120"/>
      <c r="AF25" s="736" t="s">
        <v>206</v>
      </c>
      <c r="AG25" s="736"/>
      <c r="AH25" s="736"/>
      <c r="AI25" s="736"/>
      <c r="AJ25" s="736"/>
      <c r="AK25" s="736"/>
      <c r="AL25" s="736"/>
      <c r="AM25" s="736"/>
      <c r="AN25" s="120"/>
      <c r="AO25" s="731" t="s">
        <v>207</v>
      </c>
      <c r="AP25" s="731"/>
      <c r="AQ25" s="731"/>
      <c r="AR25" s="731"/>
      <c r="AS25" s="731"/>
      <c r="AT25" s="731"/>
      <c r="AU25" s="731"/>
      <c r="AV25" s="731"/>
    </row>
    <row r="26" spans="1:205">
      <c r="A26" s="53"/>
      <c r="B26" s="730"/>
      <c r="C26" s="730"/>
      <c r="D26" s="6"/>
      <c r="E26" s="6" t="s">
        <v>158</v>
      </c>
      <c r="F26" s="6" t="s">
        <v>159</v>
      </c>
      <c r="G26" s="6" t="s">
        <v>160</v>
      </c>
      <c r="H26" s="6" t="s">
        <v>161</v>
      </c>
      <c r="I26" s="51" t="s">
        <v>33</v>
      </c>
      <c r="J26" s="51" t="s">
        <v>51</v>
      </c>
      <c r="K26" s="51" t="s">
        <v>52</v>
      </c>
      <c r="L26" s="51" t="s">
        <v>28</v>
      </c>
      <c r="M26" s="5"/>
      <c r="N26" s="6" t="s">
        <v>158</v>
      </c>
      <c r="O26" s="6" t="s">
        <v>159</v>
      </c>
      <c r="P26" s="6" t="s">
        <v>160</v>
      </c>
      <c r="Q26" s="6" t="s">
        <v>161</v>
      </c>
      <c r="R26" s="51" t="s">
        <v>33</v>
      </c>
      <c r="S26" s="51" t="s">
        <v>51</v>
      </c>
      <c r="T26" s="51" t="s">
        <v>52</v>
      </c>
      <c r="U26" s="51" t="s">
        <v>28</v>
      </c>
      <c r="V26" s="5"/>
      <c r="W26" s="6" t="s">
        <v>158</v>
      </c>
      <c r="X26" s="6" t="s">
        <v>159</v>
      </c>
      <c r="Y26" s="6" t="s">
        <v>160</v>
      </c>
      <c r="Z26" s="6" t="s">
        <v>161</v>
      </c>
      <c r="AA26" s="51" t="s">
        <v>33</v>
      </c>
      <c r="AB26" s="51" t="s">
        <v>51</v>
      </c>
      <c r="AC26" s="51" t="s">
        <v>52</v>
      </c>
      <c r="AD26" s="51" t="s">
        <v>28</v>
      </c>
      <c r="AF26" s="6" t="s">
        <v>158</v>
      </c>
      <c r="AG26" s="6" t="s">
        <v>159</v>
      </c>
      <c r="AH26" s="6" t="s">
        <v>160</v>
      </c>
      <c r="AI26" s="6" t="s">
        <v>161</v>
      </c>
      <c r="AJ26" s="51" t="s">
        <v>33</v>
      </c>
      <c r="AK26" s="51" t="s">
        <v>51</v>
      </c>
      <c r="AL26" s="51" t="s">
        <v>52</v>
      </c>
      <c r="AM26" s="51" t="s">
        <v>28</v>
      </c>
      <c r="AN26" s="6"/>
      <c r="AO26" s="6" t="s">
        <v>158</v>
      </c>
      <c r="AP26" s="6" t="s">
        <v>159</v>
      </c>
      <c r="AQ26" s="6" t="s">
        <v>160</v>
      </c>
      <c r="AR26" s="6" t="s">
        <v>161</v>
      </c>
      <c r="AS26" s="51" t="s">
        <v>33</v>
      </c>
      <c r="AT26" s="51" t="s">
        <v>51</v>
      </c>
      <c r="AU26" s="51" t="s">
        <v>52</v>
      </c>
      <c r="AV26" s="51" t="s">
        <v>28</v>
      </c>
      <c r="AX26" s="103"/>
    </row>
    <row r="27" spans="1:205" s="149" customFormat="1" ht="10.5" customHeight="1">
      <c r="A27" s="259" t="s">
        <v>48</v>
      </c>
      <c r="B27" s="157">
        <f>B31</f>
        <v>8.9368320107536842E-2</v>
      </c>
      <c r="C27" s="158">
        <f>C31</f>
        <v>0.99033540168976975</v>
      </c>
      <c r="D27" s="131"/>
      <c r="E27" s="143">
        <f t="shared" ref="E27:L27" si="36">LN(1-W27/100)*-1</f>
        <v>1.7247893409553391E-2</v>
      </c>
      <c r="F27" s="143">
        <f t="shared" si="36"/>
        <v>8.4469156626449965E-2</v>
      </c>
      <c r="G27" s="143">
        <f t="shared" si="36"/>
        <v>0.13467490332660159</v>
      </c>
      <c r="H27" s="143">
        <f t="shared" si="36"/>
        <v>0.17459151073204415</v>
      </c>
      <c r="I27" s="143">
        <f t="shared" si="36"/>
        <v>0.21170917368854661</v>
      </c>
      <c r="J27" s="143">
        <f t="shared" si="36"/>
        <v>0.23648211575339032</v>
      </c>
      <c r="K27" s="143">
        <f t="shared" si="36"/>
        <v>0.27483166047296109</v>
      </c>
      <c r="L27" s="143">
        <f t="shared" si="36"/>
        <v>0.36010940638736716</v>
      </c>
      <c r="M27" s="46"/>
      <c r="N27" s="143">
        <f t="shared" ref="N27:U27" si="37">LN(AF27)</f>
        <v>9.87302834505142</v>
      </c>
      <c r="O27" s="143">
        <f t="shared" si="37"/>
        <v>10.661954199216716</v>
      </c>
      <c r="P27" s="143">
        <f t="shared" si="37"/>
        <v>11.150519846322512</v>
      </c>
      <c r="Q27" s="143">
        <f t="shared" si="37"/>
        <v>11.569305798406337</v>
      </c>
      <c r="R27" s="143">
        <f t="shared" si="37"/>
        <v>11.939499536288627</v>
      </c>
      <c r="S27" s="143">
        <f t="shared" si="37"/>
        <v>12.251046011172905</v>
      </c>
      <c r="T27" s="143">
        <f t="shared" si="37"/>
        <v>12.755926656263643</v>
      </c>
      <c r="U27" s="143">
        <f t="shared" si="37"/>
        <v>14.40185173420641</v>
      </c>
      <c r="V27" s="131"/>
      <c r="W27" s="246">
        <f t="shared" ref="W27:AD27" si="38">W$6*0.9</f>
        <v>1.71</v>
      </c>
      <c r="X27" s="246">
        <f t="shared" si="38"/>
        <v>8.1</v>
      </c>
      <c r="Y27" s="246">
        <f t="shared" si="38"/>
        <v>12.6</v>
      </c>
      <c r="Z27" s="246">
        <f t="shared" si="38"/>
        <v>16.02</v>
      </c>
      <c r="AA27" s="246">
        <f t="shared" si="38"/>
        <v>19.079999999999998</v>
      </c>
      <c r="AB27" s="246">
        <f t="shared" si="38"/>
        <v>21.06</v>
      </c>
      <c r="AC27" s="246">
        <f t="shared" si="38"/>
        <v>24.03</v>
      </c>
      <c r="AD27" s="246">
        <f t="shared" si="38"/>
        <v>30.240000000000002</v>
      </c>
      <c r="AE27" s="131"/>
      <c r="AF27" s="60">
        <f t="shared" ref="AF27:AM27" si="39">AF$6</f>
        <v>19400</v>
      </c>
      <c r="AG27" s="60">
        <f t="shared" si="39"/>
        <v>42700</v>
      </c>
      <c r="AH27" s="60">
        <f t="shared" si="39"/>
        <v>69600</v>
      </c>
      <c r="AI27" s="60">
        <f t="shared" si="39"/>
        <v>105800</v>
      </c>
      <c r="AJ27" s="60">
        <f t="shared" si="39"/>
        <v>153200</v>
      </c>
      <c r="AK27" s="60">
        <f t="shared" si="39"/>
        <v>209200</v>
      </c>
      <c r="AL27" s="60">
        <f t="shared" si="39"/>
        <v>346600</v>
      </c>
      <c r="AM27" s="60">
        <f t="shared" si="39"/>
        <v>1797400</v>
      </c>
      <c r="AN27" s="131"/>
      <c r="AO27" s="60">
        <f t="shared" ref="AO27:AV27" si="40">W27*AF27/100</f>
        <v>331.74</v>
      </c>
      <c r="AP27" s="60">
        <f t="shared" si="40"/>
        <v>3458.7</v>
      </c>
      <c r="AQ27" s="60">
        <f t="shared" si="40"/>
        <v>8769.6</v>
      </c>
      <c r="AR27" s="60">
        <f t="shared" si="40"/>
        <v>16949.16</v>
      </c>
      <c r="AS27" s="60">
        <f t="shared" si="40"/>
        <v>29230.559999999994</v>
      </c>
      <c r="AT27" s="60">
        <f t="shared" si="40"/>
        <v>44057.52</v>
      </c>
      <c r="AU27" s="60">
        <f t="shared" si="40"/>
        <v>83287.98</v>
      </c>
      <c r="AV27" s="60">
        <f t="shared" si="40"/>
        <v>543533.76</v>
      </c>
    </row>
    <row r="28" spans="1:205" s="149" customFormat="1" ht="9" customHeight="1">
      <c r="A28" s="259"/>
      <c r="E28" s="143"/>
      <c r="F28" s="143"/>
      <c r="G28" s="143"/>
      <c r="H28" s="143"/>
      <c r="I28" s="143"/>
      <c r="J28" s="143"/>
      <c r="K28" s="143"/>
      <c r="L28" s="143"/>
      <c r="M28" s="143"/>
      <c r="N28" s="143"/>
      <c r="O28" s="143"/>
      <c r="P28" s="143"/>
      <c r="Q28" s="143"/>
      <c r="R28" s="143"/>
      <c r="S28" s="143"/>
      <c r="T28" s="143"/>
      <c r="U28" s="143"/>
    </row>
    <row r="29" spans="1:205">
      <c r="A29" s="256"/>
      <c r="E29" s="745" t="s">
        <v>158</v>
      </c>
      <c r="F29" s="745"/>
      <c r="G29" s="745"/>
      <c r="H29" s="745"/>
      <c r="I29" s="745"/>
      <c r="J29" s="745"/>
      <c r="K29" s="745"/>
      <c r="L29" s="745"/>
      <c r="M29" s="745"/>
      <c r="N29" s="745"/>
      <c r="O29" s="745"/>
      <c r="P29" s="745"/>
      <c r="Q29" s="745"/>
      <c r="R29" s="745"/>
      <c r="S29" s="745"/>
      <c r="T29" s="745"/>
      <c r="U29" s="745"/>
      <c r="V29" s="745"/>
      <c r="W29" s="745"/>
      <c r="X29" s="745"/>
      <c r="Y29" s="745" t="s">
        <v>159</v>
      </c>
      <c r="Z29" s="745"/>
      <c r="AA29" s="745"/>
      <c r="AB29" s="745"/>
      <c r="AC29" s="745"/>
      <c r="AD29" s="745"/>
      <c r="AE29" s="745"/>
      <c r="AF29" s="745"/>
      <c r="AG29" s="745"/>
      <c r="AH29" s="745"/>
      <c r="AI29" s="745"/>
      <c r="AJ29" s="745"/>
      <c r="AK29" s="745"/>
      <c r="AL29" s="745"/>
      <c r="AM29" s="745"/>
      <c r="AN29" s="745"/>
      <c r="AO29" s="745"/>
      <c r="AP29" s="745"/>
      <c r="AQ29" s="745"/>
      <c r="AR29" s="745"/>
      <c r="AS29" s="745" t="s">
        <v>160</v>
      </c>
      <c r="AT29" s="745"/>
      <c r="AU29" s="745"/>
      <c r="AV29" s="745"/>
      <c r="AW29" s="745"/>
      <c r="AX29" s="745"/>
      <c r="AY29" s="745"/>
      <c r="AZ29" s="745"/>
      <c r="BA29" s="745"/>
      <c r="BB29" s="745"/>
      <c r="BC29" s="745"/>
      <c r="BD29" s="745"/>
      <c r="BE29" s="745"/>
      <c r="BF29" s="745"/>
      <c r="BG29" s="745"/>
      <c r="BH29" s="745"/>
      <c r="BI29" s="745"/>
      <c r="BJ29" s="745"/>
      <c r="BK29" s="745"/>
      <c r="BL29" s="745"/>
      <c r="BM29" s="745" t="s">
        <v>161</v>
      </c>
      <c r="BN29" s="745"/>
      <c r="BO29" s="745"/>
      <c r="BP29" s="745"/>
      <c r="BQ29" s="745"/>
      <c r="BR29" s="745"/>
      <c r="BS29" s="745"/>
      <c r="BT29" s="745"/>
      <c r="BU29" s="745"/>
      <c r="BV29" s="745"/>
      <c r="BW29" s="745"/>
      <c r="BX29" s="745"/>
      <c r="BY29" s="745"/>
      <c r="BZ29" s="745"/>
      <c r="CA29" s="745"/>
      <c r="CB29" s="745"/>
      <c r="CC29" s="745"/>
      <c r="CD29" s="745"/>
      <c r="CE29" s="745"/>
      <c r="CF29" s="745"/>
      <c r="CG29" s="746" t="s">
        <v>33</v>
      </c>
      <c r="CH29" s="746"/>
      <c r="CI29" s="746"/>
      <c r="CJ29" s="746"/>
      <c r="CK29" s="746"/>
      <c r="CL29" s="746"/>
      <c r="CM29" s="746"/>
      <c r="CN29" s="746"/>
      <c r="CO29" s="746"/>
      <c r="CP29" s="746"/>
      <c r="CQ29" s="746" t="s">
        <v>51</v>
      </c>
      <c r="CR29" s="746"/>
      <c r="CS29" s="746"/>
      <c r="CT29" s="746"/>
      <c r="CU29" s="746"/>
      <c r="CV29" s="746" t="s">
        <v>52</v>
      </c>
      <c r="CW29" s="746"/>
      <c r="CX29" s="746"/>
      <c r="CY29" s="746"/>
      <c r="CZ29" s="251" t="s">
        <v>28</v>
      </c>
      <c r="DB29" s="745" t="s">
        <v>158</v>
      </c>
      <c r="DC29" s="745"/>
      <c r="DD29" s="745"/>
      <c r="DE29" s="745"/>
      <c r="DF29" s="745"/>
      <c r="DG29" s="745"/>
      <c r="DH29" s="745"/>
      <c r="DI29" s="745"/>
      <c r="DJ29" s="745"/>
      <c r="DK29" s="745"/>
      <c r="DL29" s="745"/>
      <c r="DM29" s="745"/>
      <c r="DN29" s="745"/>
      <c r="DO29" s="745"/>
      <c r="DP29" s="745"/>
      <c r="DQ29" s="745"/>
      <c r="DR29" s="745"/>
      <c r="DS29" s="745"/>
      <c r="DT29" s="745"/>
      <c r="DU29" s="745"/>
      <c r="DV29" s="745" t="s">
        <v>159</v>
      </c>
      <c r="DW29" s="745"/>
      <c r="DX29" s="745"/>
      <c r="DY29" s="745"/>
      <c r="DZ29" s="745"/>
      <c r="EA29" s="745"/>
      <c r="EB29" s="745"/>
      <c r="EC29" s="745"/>
      <c r="ED29" s="745"/>
      <c r="EE29" s="745"/>
      <c r="EF29" s="745"/>
      <c r="EG29" s="745"/>
      <c r="EH29" s="745"/>
      <c r="EI29" s="745"/>
      <c r="EJ29" s="745"/>
      <c r="EK29" s="745"/>
      <c r="EL29" s="745"/>
      <c r="EM29" s="745"/>
      <c r="EN29" s="745"/>
      <c r="EO29" s="745"/>
      <c r="EP29" s="745" t="s">
        <v>160</v>
      </c>
      <c r="EQ29" s="745"/>
      <c r="ER29" s="745"/>
      <c r="ES29" s="745"/>
      <c r="ET29" s="745"/>
      <c r="EU29" s="745"/>
      <c r="EV29" s="745"/>
      <c r="EW29" s="745"/>
      <c r="EX29" s="745"/>
      <c r="EY29" s="745"/>
      <c r="EZ29" s="745"/>
      <c r="FA29" s="745"/>
      <c r="FB29" s="745"/>
      <c r="FC29" s="745"/>
      <c r="FD29" s="745"/>
      <c r="FE29" s="745"/>
      <c r="FF29" s="745"/>
      <c r="FG29" s="745"/>
      <c r="FH29" s="745"/>
      <c r="FI29" s="745"/>
      <c r="FJ29" s="745" t="s">
        <v>161</v>
      </c>
      <c r="FK29" s="745"/>
      <c r="FL29" s="745"/>
      <c r="FM29" s="745"/>
      <c r="FN29" s="745"/>
      <c r="FO29" s="745"/>
      <c r="FP29" s="745"/>
      <c r="FQ29" s="745"/>
      <c r="FR29" s="745"/>
      <c r="FS29" s="745"/>
      <c r="FT29" s="745"/>
      <c r="FU29" s="745"/>
      <c r="FV29" s="745"/>
      <c r="FW29" s="745"/>
      <c r="FX29" s="745"/>
      <c r="FY29" s="745"/>
      <c r="FZ29" s="745"/>
      <c r="GA29" s="745"/>
      <c r="GB29" s="745"/>
      <c r="GC29" s="745"/>
      <c r="GD29" s="746" t="s">
        <v>33</v>
      </c>
      <c r="GE29" s="746"/>
      <c r="GF29" s="746"/>
      <c r="GG29" s="746"/>
      <c r="GH29" s="746"/>
      <c r="GI29" s="746"/>
      <c r="GJ29" s="746"/>
      <c r="GK29" s="746"/>
      <c r="GL29" s="746"/>
      <c r="GM29" s="746"/>
      <c r="GN29" s="746" t="s">
        <v>51</v>
      </c>
      <c r="GO29" s="746"/>
      <c r="GP29" s="746"/>
      <c r="GQ29" s="746"/>
      <c r="GR29" s="746"/>
      <c r="GS29" s="746" t="s">
        <v>52</v>
      </c>
      <c r="GT29" s="746"/>
      <c r="GU29" s="746"/>
      <c r="GV29" s="746"/>
      <c r="GW29" s="251" t="s">
        <v>28</v>
      </c>
    </row>
    <row r="30" spans="1:205" s="46" customFormat="1">
      <c r="A30" s="15"/>
      <c r="E30" s="255">
        <v>1</v>
      </c>
      <c r="F30" s="255">
        <f>E30+1</f>
        <v>2</v>
      </c>
      <c r="G30" s="255">
        <f t="shared" ref="G30:BR30" si="41">F30+1</f>
        <v>3</v>
      </c>
      <c r="H30" s="255">
        <f t="shared" si="41"/>
        <v>4</v>
      </c>
      <c r="I30" s="255">
        <f t="shared" si="41"/>
        <v>5</v>
      </c>
      <c r="J30" s="255">
        <f t="shared" si="41"/>
        <v>6</v>
      </c>
      <c r="K30" s="255">
        <f t="shared" si="41"/>
        <v>7</v>
      </c>
      <c r="L30" s="255">
        <f t="shared" si="41"/>
        <v>8</v>
      </c>
      <c r="M30" s="255">
        <f t="shared" si="41"/>
        <v>9</v>
      </c>
      <c r="N30" s="255">
        <f t="shared" si="41"/>
        <v>10</v>
      </c>
      <c r="O30" s="255">
        <f t="shared" si="41"/>
        <v>11</v>
      </c>
      <c r="P30" s="255">
        <f t="shared" si="41"/>
        <v>12</v>
      </c>
      <c r="Q30" s="255">
        <f t="shared" si="41"/>
        <v>13</v>
      </c>
      <c r="R30" s="255">
        <f t="shared" si="41"/>
        <v>14</v>
      </c>
      <c r="S30" s="255">
        <f t="shared" si="41"/>
        <v>15</v>
      </c>
      <c r="T30" s="255">
        <f t="shared" si="41"/>
        <v>16</v>
      </c>
      <c r="U30" s="255">
        <f t="shared" si="41"/>
        <v>17</v>
      </c>
      <c r="V30" s="255">
        <f t="shared" si="41"/>
        <v>18</v>
      </c>
      <c r="W30" s="255">
        <f t="shared" si="41"/>
        <v>19</v>
      </c>
      <c r="X30" s="255">
        <f t="shared" si="41"/>
        <v>20</v>
      </c>
      <c r="Y30" s="255">
        <f t="shared" si="41"/>
        <v>21</v>
      </c>
      <c r="Z30" s="255">
        <f t="shared" si="41"/>
        <v>22</v>
      </c>
      <c r="AA30" s="255">
        <f t="shared" si="41"/>
        <v>23</v>
      </c>
      <c r="AB30" s="255">
        <f t="shared" si="41"/>
        <v>24</v>
      </c>
      <c r="AC30" s="255">
        <f t="shared" si="41"/>
        <v>25</v>
      </c>
      <c r="AD30" s="255">
        <f t="shared" si="41"/>
        <v>26</v>
      </c>
      <c r="AE30" s="255">
        <f t="shared" si="41"/>
        <v>27</v>
      </c>
      <c r="AF30" s="255">
        <f t="shared" si="41"/>
        <v>28</v>
      </c>
      <c r="AG30" s="255">
        <f t="shared" si="41"/>
        <v>29</v>
      </c>
      <c r="AH30" s="255">
        <f t="shared" si="41"/>
        <v>30</v>
      </c>
      <c r="AI30" s="255">
        <f t="shared" si="41"/>
        <v>31</v>
      </c>
      <c r="AJ30" s="255">
        <f t="shared" si="41"/>
        <v>32</v>
      </c>
      <c r="AK30" s="255">
        <f t="shared" si="41"/>
        <v>33</v>
      </c>
      <c r="AL30" s="255">
        <f t="shared" si="41"/>
        <v>34</v>
      </c>
      <c r="AM30" s="255">
        <f t="shared" si="41"/>
        <v>35</v>
      </c>
      <c r="AN30" s="255">
        <f t="shared" si="41"/>
        <v>36</v>
      </c>
      <c r="AO30" s="255">
        <f t="shared" si="41"/>
        <v>37</v>
      </c>
      <c r="AP30" s="255">
        <f t="shared" si="41"/>
        <v>38</v>
      </c>
      <c r="AQ30" s="255">
        <f t="shared" si="41"/>
        <v>39</v>
      </c>
      <c r="AR30" s="255">
        <f t="shared" si="41"/>
        <v>40</v>
      </c>
      <c r="AS30" s="255">
        <f t="shared" si="41"/>
        <v>41</v>
      </c>
      <c r="AT30" s="255">
        <f t="shared" si="41"/>
        <v>42</v>
      </c>
      <c r="AU30" s="255">
        <f t="shared" si="41"/>
        <v>43</v>
      </c>
      <c r="AV30" s="255">
        <f t="shared" si="41"/>
        <v>44</v>
      </c>
      <c r="AW30" s="255">
        <f t="shared" si="41"/>
        <v>45</v>
      </c>
      <c r="AX30" s="255">
        <f t="shared" si="41"/>
        <v>46</v>
      </c>
      <c r="AY30" s="255">
        <f t="shared" si="41"/>
        <v>47</v>
      </c>
      <c r="AZ30" s="255">
        <f t="shared" si="41"/>
        <v>48</v>
      </c>
      <c r="BA30" s="255">
        <f t="shared" si="41"/>
        <v>49</v>
      </c>
      <c r="BB30" s="255">
        <f t="shared" si="41"/>
        <v>50</v>
      </c>
      <c r="BC30" s="255">
        <f t="shared" si="41"/>
        <v>51</v>
      </c>
      <c r="BD30" s="255">
        <f t="shared" si="41"/>
        <v>52</v>
      </c>
      <c r="BE30" s="255">
        <f t="shared" si="41"/>
        <v>53</v>
      </c>
      <c r="BF30" s="255">
        <f t="shared" si="41"/>
        <v>54</v>
      </c>
      <c r="BG30" s="255">
        <f t="shared" si="41"/>
        <v>55</v>
      </c>
      <c r="BH30" s="255">
        <f t="shared" si="41"/>
        <v>56</v>
      </c>
      <c r="BI30" s="255">
        <f t="shared" si="41"/>
        <v>57</v>
      </c>
      <c r="BJ30" s="255">
        <f t="shared" si="41"/>
        <v>58</v>
      </c>
      <c r="BK30" s="255">
        <f t="shared" si="41"/>
        <v>59</v>
      </c>
      <c r="BL30" s="255">
        <f t="shared" si="41"/>
        <v>60</v>
      </c>
      <c r="BM30" s="255">
        <f t="shared" si="41"/>
        <v>61</v>
      </c>
      <c r="BN30" s="255">
        <f t="shared" si="41"/>
        <v>62</v>
      </c>
      <c r="BO30" s="255">
        <f t="shared" si="41"/>
        <v>63</v>
      </c>
      <c r="BP30" s="255">
        <f t="shared" si="41"/>
        <v>64</v>
      </c>
      <c r="BQ30" s="255">
        <f t="shared" si="41"/>
        <v>65</v>
      </c>
      <c r="BR30" s="255">
        <f t="shared" si="41"/>
        <v>66</v>
      </c>
      <c r="BS30" s="255">
        <f t="shared" ref="BS30:CZ30" si="42">BR30+1</f>
        <v>67</v>
      </c>
      <c r="BT30" s="255">
        <f t="shared" si="42"/>
        <v>68</v>
      </c>
      <c r="BU30" s="255">
        <f t="shared" si="42"/>
        <v>69</v>
      </c>
      <c r="BV30" s="255">
        <f t="shared" si="42"/>
        <v>70</v>
      </c>
      <c r="BW30" s="255">
        <f t="shared" si="42"/>
        <v>71</v>
      </c>
      <c r="BX30" s="255">
        <f t="shared" si="42"/>
        <v>72</v>
      </c>
      <c r="BY30" s="255">
        <f t="shared" si="42"/>
        <v>73</v>
      </c>
      <c r="BZ30" s="255">
        <f t="shared" si="42"/>
        <v>74</v>
      </c>
      <c r="CA30" s="255">
        <f t="shared" si="42"/>
        <v>75</v>
      </c>
      <c r="CB30" s="255">
        <f t="shared" si="42"/>
        <v>76</v>
      </c>
      <c r="CC30" s="255">
        <f t="shared" si="42"/>
        <v>77</v>
      </c>
      <c r="CD30" s="255">
        <f t="shared" si="42"/>
        <v>78</v>
      </c>
      <c r="CE30" s="255">
        <f t="shared" si="42"/>
        <v>79</v>
      </c>
      <c r="CF30" s="255">
        <f t="shared" si="42"/>
        <v>80</v>
      </c>
      <c r="CG30" s="255">
        <f t="shared" si="42"/>
        <v>81</v>
      </c>
      <c r="CH30" s="255">
        <f t="shared" si="42"/>
        <v>82</v>
      </c>
      <c r="CI30" s="255">
        <f t="shared" si="42"/>
        <v>83</v>
      </c>
      <c r="CJ30" s="255">
        <f t="shared" si="42"/>
        <v>84</v>
      </c>
      <c r="CK30" s="255">
        <f t="shared" si="42"/>
        <v>85</v>
      </c>
      <c r="CL30" s="255">
        <f t="shared" si="42"/>
        <v>86</v>
      </c>
      <c r="CM30" s="255">
        <f t="shared" si="42"/>
        <v>87</v>
      </c>
      <c r="CN30" s="255">
        <f t="shared" si="42"/>
        <v>88</v>
      </c>
      <c r="CO30" s="255">
        <f t="shared" si="42"/>
        <v>89</v>
      </c>
      <c r="CP30" s="255">
        <f t="shared" si="42"/>
        <v>90</v>
      </c>
      <c r="CQ30" s="255">
        <f t="shared" si="42"/>
        <v>91</v>
      </c>
      <c r="CR30" s="255">
        <f t="shared" si="42"/>
        <v>92</v>
      </c>
      <c r="CS30" s="255">
        <f t="shared" si="42"/>
        <v>93</v>
      </c>
      <c r="CT30" s="255">
        <f t="shared" si="42"/>
        <v>94</v>
      </c>
      <c r="CU30" s="255">
        <f t="shared" si="42"/>
        <v>95</v>
      </c>
      <c r="CV30" s="255">
        <f t="shared" si="42"/>
        <v>96</v>
      </c>
      <c r="CW30" s="255">
        <f t="shared" si="42"/>
        <v>97</v>
      </c>
      <c r="CX30" s="255">
        <f t="shared" si="42"/>
        <v>98</v>
      </c>
      <c r="CY30" s="255">
        <f t="shared" si="42"/>
        <v>99</v>
      </c>
      <c r="CZ30" s="255">
        <f t="shared" si="42"/>
        <v>100</v>
      </c>
      <c r="DB30" s="255">
        <v>1</v>
      </c>
      <c r="DC30" s="255">
        <f>DB30+1</f>
        <v>2</v>
      </c>
      <c r="DD30" s="255">
        <f t="shared" ref="DD30:FO30" si="43">DC30+1</f>
        <v>3</v>
      </c>
      <c r="DE30" s="255">
        <f t="shared" si="43"/>
        <v>4</v>
      </c>
      <c r="DF30" s="255">
        <f t="shared" si="43"/>
        <v>5</v>
      </c>
      <c r="DG30" s="255">
        <f t="shared" si="43"/>
        <v>6</v>
      </c>
      <c r="DH30" s="255">
        <f t="shared" si="43"/>
        <v>7</v>
      </c>
      <c r="DI30" s="255">
        <f t="shared" si="43"/>
        <v>8</v>
      </c>
      <c r="DJ30" s="255">
        <f t="shared" si="43"/>
        <v>9</v>
      </c>
      <c r="DK30" s="255">
        <f t="shared" si="43"/>
        <v>10</v>
      </c>
      <c r="DL30" s="255">
        <f t="shared" si="43"/>
        <v>11</v>
      </c>
      <c r="DM30" s="255">
        <f t="shared" si="43"/>
        <v>12</v>
      </c>
      <c r="DN30" s="255">
        <f t="shared" si="43"/>
        <v>13</v>
      </c>
      <c r="DO30" s="255">
        <f t="shared" si="43"/>
        <v>14</v>
      </c>
      <c r="DP30" s="255">
        <f t="shared" si="43"/>
        <v>15</v>
      </c>
      <c r="DQ30" s="255">
        <f t="shared" si="43"/>
        <v>16</v>
      </c>
      <c r="DR30" s="255">
        <f t="shared" si="43"/>
        <v>17</v>
      </c>
      <c r="DS30" s="255">
        <f t="shared" si="43"/>
        <v>18</v>
      </c>
      <c r="DT30" s="255">
        <f t="shared" si="43"/>
        <v>19</v>
      </c>
      <c r="DU30" s="255">
        <f t="shared" si="43"/>
        <v>20</v>
      </c>
      <c r="DV30" s="255">
        <f t="shared" si="43"/>
        <v>21</v>
      </c>
      <c r="DW30" s="255">
        <f t="shared" si="43"/>
        <v>22</v>
      </c>
      <c r="DX30" s="255">
        <f t="shared" si="43"/>
        <v>23</v>
      </c>
      <c r="DY30" s="255">
        <f t="shared" si="43"/>
        <v>24</v>
      </c>
      <c r="DZ30" s="255">
        <f t="shared" si="43"/>
        <v>25</v>
      </c>
      <c r="EA30" s="255">
        <f t="shared" si="43"/>
        <v>26</v>
      </c>
      <c r="EB30" s="255">
        <f t="shared" si="43"/>
        <v>27</v>
      </c>
      <c r="EC30" s="255">
        <f t="shared" si="43"/>
        <v>28</v>
      </c>
      <c r="ED30" s="255">
        <f t="shared" si="43"/>
        <v>29</v>
      </c>
      <c r="EE30" s="255">
        <f t="shared" si="43"/>
        <v>30</v>
      </c>
      <c r="EF30" s="255">
        <f t="shared" si="43"/>
        <v>31</v>
      </c>
      <c r="EG30" s="255">
        <f t="shared" si="43"/>
        <v>32</v>
      </c>
      <c r="EH30" s="255">
        <f t="shared" si="43"/>
        <v>33</v>
      </c>
      <c r="EI30" s="255">
        <f t="shared" si="43"/>
        <v>34</v>
      </c>
      <c r="EJ30" s="255">
        <f t="shared" si="43"/>
        <v>35</v>
      </c>
      <c r="EK30" s="255">
        <f t="shared" si="43"/>
        <v>36</v>
      </c>
      <c r="EL30" s="255">
        <f t="shared" si="43"/>
        <v>37</v>
      </c>
      <c r="EM30" s="255">
        <f t="shared" si="43"/>
        <v>38</v>
      </c>
      <c r="EN30" s="255">
        <f t="shared" si="43"/>
        <v>39</v>
      </c>
      <c r="EO30" s="255">
        <f t="shared" si="43"/>
        <v>40</v>
      </c>
      <c r="EP30" s="255">
        <f t="shared" si="43"/>
        <v>41</v>
      </c>
      <c r="EQ30" s="255">
        <f t="shared" si="43"/>
        <v>42</v>
      </c>
      <c r="ER30" s="255">
        <f t="shared" si="43"/>
        <v>43</v>
      </c>
      <c r="ES30" s="255">
        <f t="shared" si="43"/>
        <v>44</v>
      </c>
      <c r="ET30" s="255">
        <f t="shared" si="43"/>
        <v>45</v>
      </c>
      <c r="EU30" s="255">
        <f t="shared" si="43"/>
        <v>46</v>
      </c>
      <c r="EV30" s="255">
        <f t="shared" si="43"/>
        <v>47</v>
      </c>
      <c r="EW30" s="255">
        <f t="shared" si="43"/>
        <v>48</v>
      </c>
      <c r="EX30" s="255">
        <f t="shared" si="43"/>
        <v>49</v>
      </c>
      <c r="EY30" s="255">
        <f t="shared" si="43"/>
        <v>50</v>
      </c>
      <c r="EZ30" s="255">
        <f t="shared" si="43"/>
        <v>51</v>
      </c>
      <c r="FA30" s="255">
        <f t="shared" si="43"/>
        <v>52</v>
      </c>
      <c r="FB30" s="255">
        <f t="shared" si="43"/>
        <v>53</v>
      </c>
      <c r="FC30" s="255">
        <f t="shared" si="43"/>
        <v>54</v>
      </c>
      <c r="FD30" s="255">
        <f t="shared" si="43"/>
        <v>55</v>
      </c>
      <c r="FE30" s="255">
        <f t="shared" si="43"/>
        <v>56</v>
      </c>
      <c r="FF30" s="255">
        <f t="shared" si="43"/>
        <v>57</v>
      </c>
      <c r="FG30" s="255">
        <f t="shared" si="43"/>
        <v>58</v>
      </c>
      <c r="FH30" s="255">
        <f t="shared" si="43"/>
        <v>59</v>
      </c>
      <c r="FI30" s="255">
        <f t="shared" si="43"/>
        <v>60</v>
      </c>
      <c r="FJ30" s="255">
        <f t="shared" si="43"/>
        <v>61</v>
      </c>
      <c r="FK30" s="255">
        <f t="shared" si="43"/>
        <v>62</v>
      </c>
      <c r="FL30" s="255">
        <f t="shared" si="43"/>
        <v>63</v>
      </c>
      <c r="FM30" s="255">
        <f t="shared" si="43"/>
        <v>64</v>
      </c>
      <c r="FN30" s="255">
        <f t="shared" si="43"/>
        <v>65</v>
      </c>
      <c r="FO30" s="255">
        <f t="shared" si="43"/>
        <v>66</v>
      </c>
      <c r="FP30" s="255">
        <f t="shared" ref="FP30:GW30" si="44">FO30+1</f>
        <v>67</v>
      </c>
      <c r="FQ30" s="255">
        <f t="shared" si="44"/>
        <v>68</v>
      </c>
      <c r="FR30" s="255">
        <f t="shared" si="44"/>
        <v>69</v>
      </c>
      <c r="FS30" s="255">
        <f t="shared" si="44"/>
        <v>70</v>
      </c>
      <c r="FT30" s="255">
        <f t="shared" si="44"/>
        <v>71</v>
      </c>
      <c r="FU30" s="255">
        <f t="shared" si="44"/>
        <v>72</v>
      </c>
      <c r="FV30" s="255">
        <f t="shared" si="44"/>
        <v>73</v>
      </c>
      <c r="FW30" s="255">
        <f t="shared" si="44"/>
        <v>74</v>
      </c>
      <c r="FX30" s="255">
        <f t="shared" si="44"/>
        <v>75</v>
      </c>
      <c r="FY30" s="255">
        <f t="shared" si="44"/>
        <v>76</v>
      </c>
      <c r="FZ30" s="255">
        <f t="shared" si="44"/>
        <v>77</v>
      </c>
      <c r="GA30" s="255">
        <f t="shared" si="44"/>
        <v>78</v>
      </c>
      <c r="GB30" s="255">
        <f t="shared" si="44"/>
        <v>79</v>
      </c>
      <c r="GC30" s="255">
        <f t="shared" si="44"/>
        <v>80</v>
      </c>
      <c r="GD30" s="255">
        <f t="shared" si="44"/>
        <v>81</v>
      </c>
      <c r="GE30" s="255">
        <f t="shared" si="44"/>
        <v>82</v>
      </c>
      <c r="GF30" s="255">
        <f t="shared" si="44"/>
        <v>83</v>
      </c>
      <c r="GG30" s="255">
        <f t="shared" si="44"/>
        <v>84</v>
      </c>
      <c r="GH30" s="255">
        <f t="shared" si="44"/>
        <v>85</v>
      </c>
      <c r="GI30" s="255">
        <f t="shared" si="44"/>
        <v>86</v>
      </c>
      <c r="GJ30" s="255">
        <f t="shared" si="44"/>
        <v>87</v>
      </c>
      <c r="GK30" s="255">
        <f t="shared" si="44"/>
        <v>88</v>
      </c>
      <c r="GL30" s="255">
        <f t="shared" si="44"/>
        <v>89</v>
      </c>
      <c r="GM30" s="255">
        <f t="shared" si="44"/>
        <v>90</v>
      </c>
      <c r="GN30" s="255">
        <f t="shared" si="44"/>
        <v>91</v>
      </c>
      <c r="GO30" s="255">
        <f t="shared" si="44"/>
        <v>92</v>
      </c>
      <c r="GP30" s="255">
        <f t="shared" si="44"/>
        <v>93</v>
      </c>
      <c r="GQ30" s="255">
        <f t="shared" si="44"/>
        <v>94</v>
      </c>
      <c r="GR30" s="255">
        <f t="shared" si="44"/>
        <v>95</v>
      </c>
      <c r="GS30" s="255">
        <f t="shared" si="44"/>
        <v>96</v>
      </c>
      <c r="GT30" s="255">
        <f t="shared" si="44"/>
        <v>97</v>
      </c>
      <c r="GU30" s="255">
        <f t="shared" si="44"/>
        <v>98</v>
      </c>
      <c r="GV30" s="255">
        <f t="shared" si="44"/>
        <v>99</v>
      </c>
      <c r="GW30" s="255">
        <f t="shared" si="44"/>
        <v>100</v>
      </c>
    </row>
    <row r="31" spans="1:205" ht="9" customHeight="1">
      <c r="A31" s="259" t="s">
        <v>48</v>
      </c>
      <c r="B31" s="143">
        <f>LINEST(E31:CZ31, DB31:GW31, TRUE, FALSE)</f>
        <v>8.9368320107536842E-2</v>
      </c>
      <c r="C31" s="143">
        <f>RSQ(E31:CZ31, DB31:GW31)</f>
        <v>0.99033540168976975</v>
      </c>
      <c r="D31" s="60"/>
      <c r="E31" s="143">
        <f>E27</f>
        <v>1.7247893409553391E-2</v>
      </c>
      <c r="F31" s="143">
        <f t="shared" ref="F31:X31" si="45">E31</f>
        <v>1.7247893409553391E-2</v>
      </c>
      <c r="G31" s="143">
        <f t="shared" si="45"/>
        <v>1.7247893409553391E-2</v>
      </c>
      <c r="H31" s="143">
        <f t="shared" si="45"/>
        <v>1.7247893409553391E-2</v>
      </c>
      <c r="I31" s="143">
        <f t="shared" si="45"/>
        <v>1.7247893409553391E-2</v>
      </c>
      <c r="J31" s="143">
        <f t="shared" si="45"/>
        <v>1.7247893409553391E-2</v>
      </c>
      <c r="K31" s="143">
        <f t="shared" si="45"/>
        <v>1.7247893409553391E-2</v>
      </c>
      <c r="L31" s="143">
        <f t="shared" si="45"/>
        <v>1.7247893409553391E-2</v>
      </c>
      <c r="M31" s="143">
        <f t="shared" si="45"/>
        <v>1.7247893409553391E-2</v>
      </c>
      <c r="N31" s="143">
        <f t="shared" si="45"/>
        <v>1.7247893409553391E-2</v>
      </c>
      <c r="O31" s="143">
        <f t="shared" si="45"/>
        <v>1.7247893409553391E-2</v>
      </c>
      <c r="P31" s="143">
        <f t="shared" si="45"/>
        <v>1.7247893409553391E-2</v>
      </c>
      <c r="Q31" s="143">
        <f t="shared" si="45"/>
        <v>1.7247893409553391E-2</v>
      </c>
      <c r="R31" s="143">
        <f t="shared" si="45"/>
        <v>1.7247893409553391E-2</v>
      </c>
      <c r="S31" s="143">
        <f t="shared" si="45"/>
        <v>1.7247893409553391E-2</v>
      </c>
      <c r="T31" s="143">
        <f t="shared" si="45"/>
        <v>1.7247893409553391E-2</v>
      </c>
      <c r="U31" s="143">
        <f t="shared" si="45"/>
        <v>1.7247893409553391E-2</v>
      </c>
      <c r="V31" s="143">
        <f t="shared" si="45"/>
        <v>1.7247893409553391E-2</v>
      </c>
      <c r="W31" s="143">
        <f t="shared" si="45"/>
        <v>1.7247893409553391E-2</v>
      </c>
      <c r="X31" s="143">
        <f t="shared" si="45"/>
        <v>1.7247893409553391E-2</v>
      </c>
      <c r="Y31" s="143">
        <f>F27</f>
        <v>8.4469156626449965E-2</v>
      </c>
      <c r="Z31" s="143">
        <f t="shared" ref="Z31:AR31" si="46">Y31</f>
        <v>8.4469156626449965E-2</v>
      </c>
      <c r="AA31" s="143">
        <f t="shared" si="46"/>
        <v>8.4469156626449965E-2</v>
      </c>
      <c r="AB31" s="143">
        <f t="shared" si="46"/>
        <v>8.4469156626449965E-2</v>
      </c>
      <c r="AC31" s="143">
        <f t="shared" si="46"/>
        <v>8.4469156626449965E-2</v>
      </c>
      <c r="AD31" s="143">
        <f t="shared" si="46"/>
        <v>8.4469156626449965E-2</v>
      </c>
      <c r="AE31" s="143">
        <f t="shared" si="46"/>
        <v>8.4469156626449965E-2</v>
      </c>
      <c r="AF31" s="143">
        <f t="shared" si="46"/>
        <v>8.4469156626449965E-2</v>
      </c>
      <c r="AG31" s="143">
        <f t="shared" si="46"/>
        <v>8.4469156626449965E-2</v>
      </c>
      <c r="AH31" s="143">
        <f t="shared" si="46"/>
        <v>8.4469156626449965E-2</v>
      </c>
      <c r="AI31" s="143">
        <f t="shared" si="46"/>
        <v>8.4469156626449965E-2</v>
      </c>
      <c r="AJ31" s="143">
        <f t="shared" si="46"/>
        <v>8.4469156626449965E-2</v>
      </c>
      <c r="AK31" s="143">
        <f t="shared" si="46"/>
        <v>8.4469156626449965E-2</v>
      </c>
      <c r="AL31" s="143">
        <f t="shared" si="46"/>
        <v>8.4469156626449965E-2</v>
      </c>
      <c r="AM31" s="143">
        <f t="shared" si="46"/>
        <v>8.4469156626449965E-2</v>
      </c>
      <c r="AN31" s="143">
        <f t="shared" si="46"/>
        <v>8.4469156626449965E-2</v>
      </c>
      <c r="AO31" s="143">
        <f t="shared" si="46"/>
        <v>8.4469156626449965E-2</v>
      </c>
      <c r="AP31" s="143">
        <f t="shared" si="46"/>
        <v>8.4469156626449965E-2</v>
      </c>
      <c r="AQ31" s="143">
        <f t="shared" si="46"/>
        <v>8.4469156626449965E-2</v>
      </c>
      <c r="AR31" s="143">
        <f t="shared" si="46"/>
        <v>8.4469156626449965E-2</v>
      </c>
      <c r="AS31" s="143">
        <f>G27</f>
        <v>0.13467490332660159</v>
      </c>
      <c r="AT31" s="143">
        <f t="shared" ref="AT31:BL31" si="47">AS31</f>
        <v>0.13467490332660159</v>
      </c>
      <c r="AU31" s="143">
        <f t="shared" si="47"/>
        <v>0.13467490332660159</v>
      </c>
      <c r="AV31" s="143">
        <f t="shared" si="47"/>
        <v>0.13467490332660159</v>
      </c>
      <c r="AW31" s="143">
        <f t="shared" si="47"/>
        <v>0.13467490332660159</v>
      </c>
      <c r="AX31" s="143">
        <f t="shared" si="47"/>
        <v>0.13467490332660159</v>
      </c>
      <c r="AY31" s="143">
        <f t="shared" si="47"/>
        <v>0.13467490332660159</v>
      </c>
      <c r="AZ31" s="143">
        <f t="shared" si="47"/>
        <v>0.13467490332660159</v>
      </c>
      <c r="BA31" s="143">
        <f t="shared" si="47"/>
        <v>0.13467490332660159</v>
      </c>
      <c r="BB31" s="143">
        <f t="shared" si="47"/>
        <v>0.13467490332660159</v>
      </c>
      <c r="BC31" s="143">
        <f t="shared" si="47"/>
        <v>0.13467490332660159</v>
      </c>
      <c r="BD31" s="143">
        <f t="shared" si="47"/>
        <v>0.13467490332660159</v>
      </c>
      <c r="BE31" s="143">
        <f t="shared" si="47"/>
        <v>0.13467490332660159</v>
      </c>
      <c r="BF31" s="143">
        <f t="shared" si="47"/>
        <v>0.13467490332660159</v>
      </c>
      <c r="BG31" s="143">
        <f t="shared" si="47"/>
        <v>0.13467490332660159</v>
      </c>
      <c r="BH31" s="143">
        <f t="shared" si="47"/>
        <v>0.13467490332660159</v>
      </c>
      <c r="BI31" s="143">
        <f t="shared" si="47"/>
        <v>0.13467490332660159</v>
      </c>
      <c r="BJ31" s="143">
        <f t="shared" si="47"/>
        <v>0.13467490332660159</v>
      </c>
      <c r="BK31" s="143">
        <f t="shared" si="47"/>
        <v>0.13467490332660159</v>
      </c>
      <c r="BL31" s="143">
        <f t="shared" si="47"/>
        <v>0.13467490332660159</v>
      </c>
      <c r="BM31" s="143">
        <f>H27</f>
        <v>0.17459151073204415</v>
      </c>
      <c r="BN31" s="143">
        <f t="shared" ref="BN31:CF31" si="48">BM31</f>
        <v>0.17459151073204415</v>
      </c>
      <c r="BO31" s="143">
        <f t="shared" si="48"/>
        <v>0.17459151073204415</v>
      </c>
      <c r="BP31" s="143">
        <f t="shared" si="48"/>
        <v>0.17459151073204415</v>
      </c>
      <c r="BQ31" s="143">
        <f t="shared" si="48"/>
        <v>0.17459151073204415</v>
      </c>
      <c r="BR31" s="143">
        <f t="shared" si="48"/>
        <v>0.17459151073204415</v>
      </c>
      <c r="BS31" s="143">
        <f t="shared" si="48"/>
        <v>0.17459151073204415</v>
      </c>
      <c r="BT31" s="143">
        <f t="shared" si="48"/>
        <v>0.17459151073204415</v>
      </c>
      <c r="BU31" s="143">
        <f t="shared" si="48"/>
        <v>0.17459151073204415</v>
      </c>
      <c r="BV31" s="143">
        <f t="shared" si="48"/>
        <v>0.17459151073204415</v>
      </c>
      <c r="BW31" s="143">
        <f t="shared" si="48"/>
        <v>0.17459151073204415</v>
      </c>
      <c r="BX31" s="143">
        <f t="shared" si="48"/>
        <v>0.17459151073204415</v>
      </c>
      <c r="BY31" s="143">
        <f t="shared" si="48"/>
        <v>0.17459151073204415</v>
      </c>
      <c r="BZ31" s="143">
        <f t="shared" si="48"/>
        <v>0.17459151073204415</v>
      </c>
      <c r="CA31" s="143">
        <f t="shared" si="48"/>
        <v>0.17459151073204415</v>
      </c>
      <c r="CB31" s="143">
        <f t="shared" si="48"/>
        <v>0.17459151073204415</v>
      </c>
      <c r="CC31" s="143">
        <f t="shared" si="48"/>
        <v>0.17459151073204415</v>
      </c>
      <c r="CD31" s="143">
        <f t="shared" si="48"/>
        <v>0.17459151073204415</v>
      </c>
      <c r="CE31" s="143">
        <f t="shared" si="48"/>
        <v>0.17459151073204415</v>
      </c>
      <c r="CF31" s="143">
        <f t="shared" si="48"/>
        <v>0.17459151073204415</v>
      </c>
      <c r="CG31" s="143">
        <f>I27</f>
        <v>0.21170917368854661</v>
      </c>
      <c r="CH31" s="143">
        <f t="shared" ref="CH31:CP31" si="49">CG31</f>
        <v>0.21170917368854661</v>
      </c>
      <c r="CI31" s="143">
        <f t="shared" si="49"/>
        <v>0.21170917368854661</v>
      </c>
      <c r="CJ31" s="143">
        <f t="shared" si="49"/>
        <v>0.21170917368854661</v>
      </c>
      <c r="CK31" s="143">
        <f t="shared" si="49"/>
        <v>0.21170917368854661</v>
      </c>
      <c r="CL31" s="143">
        <f t="shared" si="49"/>
        <v>0.21170917368854661</v>
      </c>
      <c r="CM31" s="143">
        <f t="shared" si="49"/>
        <v>0.21170917368854661</v>
      </c>
      <c r="CN31" s="143">
        <f t="shared" si="49"/>
        <v>0.21170917368854661</v>
      </c>
      <c r="CO31" s="143">
        <f t="shared" si="49"/>
        <v>0.21170917368854661</v>
      </c>
      <c r="CP31" s="143">
        <f t="shared" si="49"/>
        <v>0.21170917368854661</v>
      </c>
      <c r="CQ31" s="143">
        <f>J27</f>
        <v>0.23648211575339032</v>
      </c>
      <c r="CR31" s="143">
        <f>CQ31</f>
        <v>0.23648211575339032</v>
      </c>
      <c r="CS31" s="143">
        <f>CR31</f>
        <v>0.23648211575339032</v>
      </c>
      <c r="CT31" s="143">
        <f>CS31</f>
        <v>0.23648211575339032</v>
      </c>
      <c r="CU31" s="143">
        <f>CT31</f>
        <v>0.23648211575339032</v>
      </c>
      <c r="CV31" s="143">
        <f>K27</f>
        <v>0.27483166047296109</v>
      </c>
      <c r="CW31" s="143">
        <f>CV31</f>
        <v>0.27483166047296109</v>
      </c>
      <c r="CX31" s="143">
        <f>CW31</f>
        <v>0.27483166047296109</v>
      </c>
      <c r="CY31" s="143">
        <f>CX31</f>
        <v>0.27483166047296109</v>
      </c>
      <c r="CZ31" s="143">
        <f>L27</f>
        <v>0.36010940638736716</v>
      </c>
      <c r="DA31" s="60"/>
      <c r="DB31" s="143">
        <f>N27</f>
        <v>9.87302834505142</v>
      </c>
      <c r="DC31" s="143">
        <f t="shared" ref="DC31:DU31" si="50">DB31</f>
        <v>9.87302834505142</v>
      </c>
      <c r="DD31" s="143">
        <f t="shared" si="50"/>
        <v>9.87302834505142</v>
      </c>
      <c r="DE31" s="143">
        <f t="shared" si="50"/>
        <v>9.87302834505142</v>
      </c>
      <c r="DF31" s="143">
        <f t="shared" si="50"/>
        <v>9.87302834505142</v>
      </c>
      <c r="DG31" s="143">
        <f t="shared" si="50"/>
        <v>9.87302834505142</v>
      </c>
      <c r="DH31" s="143">
        <f t="shared" si="50"/>
        <v>9.87302834505142</v>
      </c>
      <c r="DI31" s="143">
        <f t="shared" si="50"/>
        <v>9.87302834505142</v>
      </c>
      <c r="DJ31" s="143">
        <f t="shared" si="50"/>
        <v>9.87302834505142</v>
      </c>
      <c r="DK31" s="143">
        <f t="shared" si="50"/>
        <v>9.87302834505142</v>
      </c>
      <c r="DL31" s="143">
        <f t="shared" si="50"/>
        <v>9.87302834505142</v>
      </c>
      <c r="DM31" s="143">
        <f t="shared" si="50"/>
        <v>9.87302834505142</v>
      </c>
      <c r="DN31" s="143">
        <f t="shared" si="50"/>
        <v>9.87302834505142</v>
      </c>
      <c r="DO31" s="143">
        <f t="shared" si="50"/>
        <v>9.87302834505142</v>
      </c>
      <c r="DP31" s="143">
        <f t="shared" si="50"/>
        <v>9.87302834505142</v>
      </c>
      <c r="DQ31" s="143">
        <f t="shared" si="50"/>
        <v>9.87302834505142</v>
      </c>
      <c r="DR31" s="143">
        <f t="shared" si="50"/>
        <v>9.87302834505142</v>
      </c>
      <c r="DS31" s="143">
        <f t="shared" si="50"/>
        <v>9.87302834505142</v>
      </c>
      <c r="DT31" s="143">
        <f t="shared" si="50"/>
        <v>9.87302834505142</v>
      </c>
      <c r="DU31" s="143">
        <f t="shared" si="50"/>
        <v>9.87302834505142</v>
      </c>
      <c r="DV31" s="143">
        <f>O27</f>
        <v>10.661954199216716</v>
      </c>
      <c r="DW31" s="143">
        <f t="shared" ref="DW31:EO31" si="51">DV31</f>
        <v>10.661954199216716</v>
      </c>
      <c r="DX31" s="143">
        <f t="shared" si="51"/>
        <v>10.661954199216716</v>
      </c>
      <c r="DY31" s="143">
        <f t="shared" si="51"/>
        <v>10.661954199216716</v>
      </c>
      <c r="DZ31" s="143">
        <f t="shared" si="51"/>
        <v>10.661954199216716</v>
      </c>
      <c r="EA31" s="143">
        <f t="shared" si="51"/>
        <v>10.661954199216716</v>
      </c>
      <c r="EB31" s="143">
        <f t="shared" si="51"/>
        <v>10.661954199216716</v>
      </c>
      <c r="EC31" s="143">
        <f t="shared" si="51"/>
        <v>10.661954199216716</v>
      </c>
      <c r="ED31" s="143">
        <f t="shared" si="51"/>
        <v>10.661954199216716</v>
      </c>
      <c r="EE31" s="143">
        <f t="shared" si="51"/>
        <v>10.661954199216716</v>
      </c>
      <c r="EF31" s="143">
        <f t="shared" si="51"/>
        <v>10.661954199216716</v>
      </c>
      <c r="EG31" s="143">
        <f t="shared" si="51"/>
        <v>10.661954199216716</v>
      </c>
      <c r="EH31" s="143">
        <f t="shared" si="51"/>
        <v>10.661954199216716</v>
      </c>
      <c r="EI31" s="143">
        <f t="shared" si="51"/>
        <v>10.661954199216716</v>
      </c>
      <c r="EJ31" s="143">
        <f t="shared" si="51"/>
        <v>10.661954199216716</v>
      </c>
      <c r="EK31" s="143">
        <f t="shared" si="51"/>
        <v>10.661954199216716</v>
      </c>
      <c r="EL31" s="143">
        <f t="shared" si="51"/>
        <v>10.661954199216716</v>
      </c>
      <c r="EM31" s="143">
        <f t="shared" si="51"/>
        <v>10.661954199216716</v>
      </c>
      <c r="EN31" s="143">
        <f t="shared" si="51"/>
        <v>10.661954199216716</v>
      </c>
      <c r="EO31" s="143">
        <f t="shared" si="51"/>
        <v>10.661954199216716</v>
      </c>
      <c r="EP31" s="143">
        <f>P27</f>
        <v>11.150519846322512</v>
      </c>
      <c r="EQ31" s="143">
        <f t="shared" ref="EQ31:FI31" si="52">EP31</f>
        <v>11.150519846322512</v>
      </c>
      <c r="ER31" s="143">
        <f t="shared" si="52"/>
        <v>11.150519846322512</v>
      </c>
      <c r="ES31" s="143">
        <f t="shared" si="52"/>
        <v>11.150519846322512</v>
      </c>
      <c r="ET31" s="143">
        <f t="shared" si="52"/>
        <v>11.150519846322512</v>
      </c>
      <c r="EU31" s="143">
        <f t="shared" si="52"/>
        <v>11.150519846322512</v>
      </c>
      <c r="EV31" s="143">
        <f t="shared" si="52"/>
        <v>11.150519846322512</v>
      </c>
      <c r="EW31" s="143">
        <f t="shared" si="52"/>
        <v>11.150519846322512</v>
      </c>
      <c r="EX31" s="143">
        <f t="shared" si="52"/>
        <v>11.150519846322512</v>
      </c>
      <c r="EY31" s="143">
        <f t="shared" si="52"/>
        <v>11.150519846322512</v>
      </c>
      <c r="EZ31" s="143">
        <f t="shared" si="52"/>
        <v>11.150519846322512</v>
      </c>
      <c r="FA31" s="143">
        <f t="shared" si="52"/>
        <v>11.150519846322512</v>
      </c>
      <c r="FB31" s="143">
        <f t="shared" si="52"/>
        <v>11.150519846322512</v>
      </c>
      <c r="FC31" s="143">
        <f t="shared" si="52"/>
        <v>11.150519846322512</v>
      </c>
      <c r="FD31" s="143">
        <f t="shared" si="52"/>
        <v>11.150519846322512</v>
      </c>
      <c r="FE31" s="143">
        <f t="shared" si="52"/>
        <v>11.150519846322512</v>
      </c>
      <c r="FF31" s="143">
        <f t="shared" si="52"/>
        <v>11.150519846322512</v>
      </c>
      <c r="FG31" s="143">
        <f t="shared" si="52"/>
        <v>11.150519846322512</v>
      </c>
      <c r="FH31" s="143">
        <f t="shared" si="52"/>
        <v>11.150519846322512</v>
      </c>
      <c r="FI31" s="143">
        <f t="shared" si="52"/>
        <v>11.150519846322512</v>
      </c>
      <c r="FJ31" s="143">
        <f>Q27</f>
        <v>11.569305798406337</v>
      </c>
      <c r="FK31" s="143">
        <f t="shared" ref="FK31:GC31" si="53">FJ31</f>
        <v>11.569305798406337</v>
      </c>
      <c r="FL31" s="143">
        <f t="shared" si="53"/>
        <v>11.569305798406337</v>
      </c>
      <c r="FM31" s="143">
        <f t="shared" si="53"/>
        <v>11.569305798406337</v>
      </c>
      <c r="FN31" s="143">
        <f t="shared" si="53"/>
        <v>11.569305798406337</v>
      </c>
      <c r="FO31" s="143">
        <f t="shared" si="53"/>
        <v>11.569305798406337</v>
      </c>
      <c r="FP31" s="143">
        <f t="shared" si="53"/>
        <v>11.569305798406337</v>
      </c>
      <c r="FQ31" s="143">
        <f t="shared" si="53"/>
        <v>11.569305798406337</v>
      </c>
      <c r="FR31" s="143">
        <f t="shared" si="53"/>
        <v>11.569305798406337</v>
      </c>
      <c r="FS31" s="143">
        <f t="shared" si="53"/>
        <v>11.569305798406337</v>
      </c>
      <c r="FT31" s="143">
        <f t="shared" si="53"/>
        <v>11.569305798406337</v>
      </c>
      <c r="FU31" s="143">
        <f t="shared" si="53"/>
        <v>11.569305798406337</v>
      </c>
      <c r="FV31" s="143">
        <f t="shared" si="53"/>
        <v>11.569305798406337</v>
      </c>
      <c r="FW31" s="143">
        <f t="shared" si="53"/>
        <v>11.569305798406337</v>
      </c>
      <c r="FX31" s="143">
        <f t="shared" si="53"/>
        <v>11.569305798406337</v>
      </c>
      <c r="FY31" s="143">
        <f t="shared" si="53"/>
        <v>11.569305798406337</v>
      </c>
      <c r="FZ31" s="143">
        <f t="shared" si="53"/>
        <v>11.569305798406337</v>
      </c>
      <c r="GA31" s="143">
        <f t="shared" si="53"/>
        <v>11.569305798406337</v>
      </c>
      <c r="GB31" s="143">
        <f t="shared" si="53"/>
        <v>11.569305798406337</v>
      </c>
      <c r="GC31" s="143">
        <f t="shared" si="53"/>
        <v>11.569305798406337</v>
      </c>
      <c r="GD31" s="143">
        <f>R27</f>
        <v>11.939499536288627</v>
      </c>
      <c r="GE31" s="143">
        <f t="shared" ref="GE31:GM31" si="54">GD31</f>
        <v>11.939499536288627</v>
      </c>
      <c r="GF31" s="143">
        <f t="shared" si="54"/>
        <v>11.939499536288627</v>
      </c>
      <c r="GG31" s="143">
        <f t="shared" si="54"/>
        <v>11.939499536288627</v>
      </c>
      <c r="GH31" s="143">
        <f t="shared" si="54"/>
        <v>11.939499536288627</v>
      </c>
      <c r="GI31" s="143">
        <f t="shared" si="54"/>
        <v>11.939499536288627</v>
      </c>
      <c r="GJ31" s="143">
        <f t="shared" si="54"/>
        <v>11.939499536288627</v>
      </c>
      <c r="GK31" s="143">
        <f t="shared" si="54"/>
        <v>11.939499536288627</v>
      </c>
      <c r="GL31" s="143">
        <f t="shared" si="54"/>
        <v>11.939499536288627</v>
      </c>
      <c r="GM31" s="143">
        <f t="shared" si="54"/>
        <v>11.939499536288627</v>
      </c>
      <c r="GN31" s="143">
        <f>S27</f>
        <v>12.251046011172905</v>
      </c>
      <c r="GO31" s="143">
        <f>GN31</f>
        <v>12.251046011172905</v>
      </c>
      <c r="GP31" s="143">
        <f>GO31</f>
        <v>12.251046011172905</v>
      </c>
      <c r="GQ31" s="143">
        <f>GP31</f>
        <v>12.251046011172905</v>
      </c>
      <c r="GR31" s="143">
        <f>GQ31</f>
        <v>12.251046011172905</v>
      </c>
      <c r="GS31" s="143">
        <f>T27</f>
        <v>12.755926656263643</v>
      </c>
      <c r="GT31" s="143">
        <f>GS31</f>
        <v>12.755926656263643</v>
      </c>
      <c r="GU31" s="143">
        <f>GT31</f>
        <v>12.755926656263643</v>
      </c>
      <c r="GV31" s="143">
        <f>GU31</f>
        <v>12.755926656263643</v>
      </c>
      <c r="GW31" s="143">
        <f>U27</f>
        <v>14.40185173420641</v>
      </c>
    </row>
    <row r="33" spans="1:205" s="149" customFormat="1" ht="13.5" customHeight="1">
      <c r="A33" s="572" t="s">
        <v>642</v>
      </c>
      <c r="B33" s="419"/>
      <c r="C33" s="419"/>
      <c r="D33" s="419"/>
      <c r="E33" s="419"/>
      <c r="F33" s="419"/>
      <c r="G33" s="419"/>
      <c r="H33" s="419"/>
      <c r="I33" s="419"/>
      <c r="J33" s="419"/>
      <c r="K33" s="419"/>
      <c r="L33" s="419"/>
      <c r="M33" s="556"/>
      <c r="N33" s="143"/>
      <c r="O33" s="143"/>
      <c r="P33" s="143"/>
      <c r="Q33" s="143"/>
      <c r="R33" s="143"/>
      <c r="T33" s="143"/>
      <c r="U33" s="143"/>
    </row>
    <row r="34" spans="1:205" s="556" customFormat="1" ht="15" customHeight="1">
      <c r="A34" s="144"/>
      <c r="B34" s="729" t="s">
        <v>1058</v>
      </c>
      <c r="C34" s="729" t="s">
        <v>255</v>
      </c>
      <c r="D34" s="486"/>
      <c r="E34" s="753" t="s">
        <v>626</v>
      </c>
      <c r="F34" s="731"/>
      <c r="G34" s="731"/>
      <c r="H34" s="731"/>
      <c r="I34" s="731"/>
      <c r="J34" s="731"/>
      <c r="K34" s="731"/>
      <c r="L34" s="731"/>
      <c r="M34" s="134"/>
      <c r="N34" s="736" t="s">
        <v>205</v>
      </c>
      <c r="O34" s="736"/>
      <c r="P34" s="736"/>
      <c r="Q34" s="736"/>
      <c r="R34" s="736"/>
      <c r="S34" s="736"/>
      <c r="T34" s="736"/>
      <c r="U34" s="736"/>
      <c r="V34" s="134"/>
      <c r="W34" s="736" t="s">
        <v>625</v>
      </c>
      <c r="X34" s="736"/>
      <c r="Y34" s="736"/>
      <c r="Z34" s="736"/>
      <c r="AA34" s="736"/>
      <c r="AB34" s="736"/>
      <c r="AC34" s="736"/>
      <c r="AD34" s="736"/>
      <c r="AE34" s="486"/>
      <c r="AF34" s="736" t="s">
        <v>206</v>
      </c>
      <c r="AG34" s="736"/>
      <c r="AH34" s="736"/>
      <c r="AI34" s="736"/>
      <c r="AJ34" s="736"/>
      <c r="AK34" s="736"/>
      <c r="AL34" s="736"/>
      <c r="AM34" s="736"/>
      <c r="AN34" s="486"/>
      <c r="AO34" s="731" t="s">
        <v>207</v>
      </c>
      <c r="AP34" s="731"/>
      <c r="AQ34" s="731"/>
      <c r="AR34" s="731"/>
      <c r="AS34" s="731"/>
      <c r="AT34" s="731"/>
      <c r="AU34" s="731"/>
      <c r="AV34" s="731"/>
    </row>
    <row r="35" spans="1:205" s="556" customFormat="1">
      <c r="A35" s="53"/>
      <c r="B35" s="730"/>
      <c r="C35" s="730"/>
      <c r="D35" s="6"/>
      <c r="E35" s="6" t="s">
        <v>158</v>
      </c>
      <c r="F35" s="6" t="s">
        <v>159</v>
      </c>
      <c r="G35" s="6" t="s">
        <v>160</v>
      </c>
      <c r="H35" s="6" t="s">
        <v>161</v>
      </c>
      <c r="I35" s="51" t="s">
        <v>33</v>
      </c>
      <c r="J35" s="51" t="s">
        <v>51</v>
      </c>
      <c r="K35" s="51" t="s">
        <v>52</v>
      </c>
      <c r="L35" s="51" t="s">
        <v>28</v>
      </c>
      <c r="M35" s="5"/>
      <c r="N35" s="6" t="s">
        <v>158</v>
      </c>
      <c r="O35" s="6" t="s">
        <v>159</v>
      </c>
      <c r="P35" s="6" t="s">
        <v>160</v>
      </c>
      <c r="Q35" s="6" t="s">
        <v>161</v>
      </c>
      <c r="R35" s="51" t="s">
        <v>33</v>
      </c>
      <c r="S35" s="51" t="s">
        <v>51</v>
      </c>
      <c r="T35" s="51" t="s">
        <v>52</v>
      </c>
      <c r="U35" s="51" t="s">
        <v>28</v>
      </c>
      <c r="V35" s="5"/>
      <c r="W35" s="6" t="s">
        <v>158</v>
      </c>
      <c r="X35" s="6" t="s">
        <v>159</v>
      </c>
      <c r="Y35" s="6" t="s">
        <v>160</v>
      </c>
      <c r="Z35" s="6" t="s">
        <v>161</v>
      </c>
      <c r="AA35" s="51" t="s">
        <v>33</v>
      </c>
      <c r="AB35" s="51" t="s">
        <v>51</v>
      </c>
      <c r="AC35" s="51" t="s">
        <v>52</v>
      </c>
      <c r="AD35" s="51" t="s">
        <v>28</v>
      </c>
      <c r="AF35" s="6" t="s">
        <v>158</v>
      </c>
      <c r="AG35" s="6" t="s">
        <v>159</v>
      </c>
      <c r="AH35" s="6" t="s">
        <v>160</v>
      </c>
      <c r="AI35" s="6" t="s">
        <v>161</v>
      </c>
      <c r="AJ35" s="51" t="s">
        <v>33</v>
      </c>
      <c r="AK35" s="51" t="s">
        <v>51</v>
      </c>
      <c r="AL35" s="51" t="s">
        <v>52</v>
      </c>
      <c r="AM35" s="51" t="s">
        <v>28</v>
      </c>
      <c r="AN35" s="6"/>
      <c r="AO35" s="6" t="s">
        <v>158</v>
      </c>
      <c r="AP35" s="6" t="s">
        <v>159</v>
      </c>
      <c r="AQ35" s="6" t="s">
        <v>160</v>
      </c>
      <c r="AR35" s="6" t="s">
        <v>161</v>
      </c>
      <c r="AS35" s="51" t="s">
        <v>33</v>
      </c>
      <c r="AT35" s="51" t="s">
        <v>51</v>
      </c>
      <c r="AU35" s="51" t="s">
        <v>52</v>
      </c>
      <c r="AV35" s="51" t="s">
        <v>28</v>
      </c>
      <c r="AX35" s="103"/>
    </row>
    <row r="36" spans="1:205" s="149" customFormat="1" ht="10.5" customHeight="1">
      <c r="A36" s="259" t="s">
        <v>48</v>
      </c>
      <c r="B36" s="157">
        <f>B40</f>
        <v>0.10101449850796704</v>
      </c>
      <c r="C36" s="158">
        <f>C40</f>
        <v>0.99108366685410321</v>
      </c>
      <c r="D36" s="556"/>
      <c r="E36" s="143">
        <f t="shared" ref="E36:L36" si="55">LN(1-W36/100)*-1</f>
        <v>1.9182819416773987E-2</v>
      </c>
      <c r="F36" s="143">
        <f t="shared" si="55"/>
        <v>9.431067947124129E-2</v>
      </c>
      <c r="G36" s="143">
        <f t="shared" si="55"/>
        <v>0.15082288973458366</v>
      </c>
      <c r="H36" s="143">
        <f t="shared" si="55"/>
        <v>0.1960148839259572</v>
      </c>
      <c r="I36" s="143">
        <f t="shared" si="55"/>
        <v>0.23825718912425789</v>
      </c>
      <c r="J36" s="143">
        <f t="shared" si="55"/>
        <v>0.26657310924154576</v>
      </c>
      <c r="K36" s="143">
        <f t="shared" si="55"/>
        <v>0.31060957709548559</v>
      </c>
      <c r="L36" s="143">
        <f t="shared" si="55"/>
        <v>0.4094731295057033</v>
      </c>
      <c r="M36" s="46"/>
      <c r="N36" s="143">
        <f t="shared" ref="N36:U36" si="56">LN(AF36)</f>
        <v>9.7676678293935932</v>
      </c>
      <c r="O36" s="143">
        <f t="shared" si="56"/>
        <v>10.556593683558889</v>
      </c>
      <c r="P36" s="143">
        <f t="shared" si="56"/>
        <v>11.045159330664685</v>
      </c>
      <c r="Q36" s="143">
        <f t="shared" si="56"/>
        <v>11.46394528274851</v>
      </c>
      <c r="R36" s="143">
        <f t="shared" si="56"/>
        <v>11.834139020630802</v>
      </c>
      <c r="S36" s="143">
        <f t="shared" si="56"/>
        <v>12.145685495515078</v>
      </c>
      <c r="T36" s="143">
        <f t="shared" si="56"/>
        <v>12.650566140605816</v>
      </c>
      <c r="U36" s="143">
        <f t="shared" si="56"/>
        <v>14.296491218548583</v>
      </c>
      <c r="V36" s="556"/>
      <c r="W36" s="573">
        <f>W6</f>
        <v>1.9</v>
      </c>
      <c r="X36" s="573">
        <f t="shared" ref="X36:AD36" si="57">X6</f>
        <v>9</v>
      </c>
      <c r="Y36" s="573">
        <f t="shared" si="57"/>
        <v>14</v>
      </c>
      <c r="Z36" s="573">
        <f t="shared" si="57"/>
        <v>17.8</v>
      </c>
      <c r="AA36" s="573">
        <f t="shared" si="57"/>
        <v>21.2</v>
      </c>
      <c r="AB36" s="573">
        <f t="shared" si="57"/>
        <v>23.4</v>
      </c>
      <c r="AC36" s="573">
        <f t="shared" si="57"/>
        <v>26.7</v>
      </c>
      <c r="AD36" s="573">
        <f t="shared" si="57"/>
        <v>33.6</v>
      </c>
      <c r="AE36" s="556"/>
      <c r="AF36" s="579">
        <f>AF$6*0.9</f>
        <v>17460</v>
      </c>
      <c r="AG36" s="579">
        <f t="shared" ref="AG36:AM36" si="58">AG$6*0.9</f>
        <v>38430</v>
      </c>
      <c r="AH36" s="579">
        <f t="shared" si="58"/>
        <v>62640</v>
      </c>
      <c r="AI36" s="579">
        <f t="shared" si="58"/>
        <v>95220</v>
      </c>
      <c r="AJ36" s="579">
        <f t="shared" si="58"/>
        <v>137880</v>
      </c>
      <c r="AK36" s="579">
        <f t="shared" si="58"/>
        <v>188280</v>
      </c>
      <c r="AL36" s="579">
        <f t="shared" si="58"/>
        <v>311940</v>
      </c>
      <c r="AM36" s="579">
        <f t="shared" si="58"/>
        <v>1617660</v>
      </c>
      <c r="AN36" s="556"/>
      <c r="AO36" s="60">
        <f t="shared" ref="AO36:AV36" si="59">W36*AF36/100</f>
        <v>331.74</v>
      </c>
      <c r="AP36" s="60">
        <f t="shared" si="59"/>
        <v>3458.7</v>
      </c>
      <c r="AQ36" s="60">
        <f t="shared" si="59"/>
        <v>8769.6</v>
      </c>
      <c r="AR36" s="60">
        <f t="shared" si="59"/>
        <v>16949.16</v>
      </c>
      <c r="AS36" s="60">
        <f t="shared" si="59"/>
        <v>29230.560000000001</v>
      </c>
      <c r="AT36" s="60">
        <f t="shared" si="59"/>
        <v>44057.52</v>
      </c>
      <c r="AU36" s="60">
        <f t="shared" si="59"/>
        <v>83287.98</v>
      </c>
      <c r="AV36" s="60">
        <f t="shared" si="59"/>
        <v>543533.76</v>
      </c>
    </row>
    <row r="37" spans="1:205" s="149" customFormat="1" ht="9" customHeight="1">
      <c r="A37" s="259"/>
      <c r="E37" s="143"/>
      <c r="F37" s="143"/>
      <c r="G37" s="143"/>
      <c r="H37" s="143"/>
      <c r="I37" s="143"/>
      <c r="J37" s="143"/>
      <c r="K37" s="143"/>
      <c r="L37" s="143"/>
      <c r="M37" s="143"/>
      <c r="N37" s="143"/>
      <c r="O37" s="143"/>
      <c r="P37" s="143"/>
      <c r="Q37" s="143"/>
      <c r="R37" s="143"/>
      <c r="S37" s="143"/>
      <c r="T37" s="143"/>
      <c r="U37" s="143"/>
    </row>
    <row r="38" spans="1:205" s="556" customFormat="1">
      <c r="A38" s="256"/>
      <c r="E38" s="745" t="s">
        <v>158</v>
      </c>
      <c r="F38" s="745"/>
      <c r="G38" s="745"/>
      <c r="H38" s="745"/>
      <c r="I38" s="745"/>
      <c r="J38" s="745"/>
      <c r="K38" s="745"/>
      <c r="L38" s="745"/>
      <c r="M38" s="745"/>
      <c r="N38" s="745"/>
      <c r="O38" s="745"/>
      <c r="P38" s="745"/>
      <c r="Q38" s="745"/>
      <c r="R38" s="745"/>
      <c r="S38" s="745"/>
      <c r="T38" s="745"/>
      <c r="U38" s="745"/>
      <c r="V38" s="745"/>
      <c r="W38" s="745"/>
      <c r="X38" s="745"/>
      <c r="Y38" s="745" t="s">
        <v>159</v>
      </c>
      <c r="Z38" s="745"/>
      <c r="AA38" s="745"/>
      <c r="AB38" s="745"/>
      <c r="AC38" s="745"/>
      <c r="AD38" s="745"/>
      <c r="AE38" s="745"/>
      <c r="AF38" s="745"/>
      <c r="AG38" s="745"/>
      <c r="AH38" s="745"/>
      <c r="AI38" s="745"/>
      <c r="AJ38" s="745"/>
      <c r="AK38" s="745"/>
      <c r="AL38" s="745"/>
      <c r="AM38" s="745"/>
      <c r="AN38" s="745"/>
      <c r="AO38" s="745"/>
      <c r="AP38" s="745"/>
      <c r="AQ38" s="745"/>
      <c r="AR38" s="745"/>
      <c r="AS38" s="745" t="s">
        <v>160</v>
      </c>
      <c r="AT38" s="745"/>
      <c r="AU38" s="745"/>
      <c r="AV38" s="745"/>
      <c r="AW38" s="745"/>
      <c r="AX38" s="745"/>
      <c r="AY38" s="745"/>
      <c r="AZ38" s="745"/>
      <c r="BA38" s="745"/>
      <c r="BB38" s="745"/>
      <c r="BC38" s="745"/>
      <c r="BD38" s="745"/>
      <c r="BE38" s="745"/>
      <c r="BF38" s="745"/>
      <c r="BG38" s="745"/>
      <c r="BH38" s="745"/>
      <c r="BI38" s="745"/>
      <c r="BJ38" s="745"/>
      <c r="BK38" s="745"/>
      <c r="BL38" s="745"/>
      <c r="BM38" s="745" t="s">
        <v>161</v>
      </c>
      <c r="BN38" s="745"/>
      <c r="BO38" s="745"/>
      <c r="BP38" s="745"/>
      <c r="BQ38" s="745"/>
      <c r="BR38" s="745"/>
      <c r="BS38" s="745"/>
      <c r="BT38" s="745"/>
      <c r="BU38" s="745"/>
      <c r="BV38" s="745"/>
      <c r="BW38" s="745"/>
      <c r="BX38" s="745"/>
      <c r="BY38" s="745"/>
      <c r="BZ38" s="745"/>
      <c r="CA38" s="745"/>
      <c r="CB38" s="745"/>
      <c r="CC38" s="745"/>
      <c r="CD38" s="745"/>
      <c r="CE38" s="745"/>
      <c r="CF38" s="745"/>
      <c r="CG38" s="746" t="s">
        <v>33</v>
      </c>
      <c r="CH38" s="746"/>
      <c r="CI38" s="746"/>
      <c r="CJ38" s="746"/>
      <c r="CK38" s="746"/>
      <c r="CL38" s="746"/>
      <c r="CM38" s="746"/>
      <c r="CN38" s="746"/>
      <c r="CO38" s="746"/>
      <c r="CP38" s="746"/>
      <c r="CQ38" s="746" t="s">
        <v>51</v>
      </c>
      <c r="CR38" s="746"/>
      <c r="CS38" s="746"/>
      <c r="CT38" s="746"/>
      <c r="CU38" s="746"/>
      <c r="CV38" s="746" t="s">
        <v>52</v>
      </c>
      <c r="CW38" s="746"/>
      <c r="CX38" s="746"/>
      <c r="CY38" s="746"/>
      <c r="CZ38" s="493" t="s">
        <v>28</v>
      </c>
      <c r="DB38" s="745" t="s">
        <v>158</v>
      </c>
      <c r="DC38" s="745"/>
      <c r="DD38" s="745"/>
      <c r="DE38" s="745"/>
      <c r="DF38" s="745"/>
      <c r="DG38" s="745"/>
      <c r="DH38" s="745"/>
      <c r="DI38" s="745"/>
      <c r="DJ38" s="745"/>
      <c r="DK38" s="745"/>
      <c r="DL38" s="745"/>
      <c r="DM38" s="745"/>
      <c r="DN38" s="745"/>
      <c r="DO38" s="745"/>
      <c r="DP38" s="745"/>
      <c r="DQ38" s="745"/>
      <c r="DR38" s="745"/>
      <c r="DS38" s="745"/>
      <c r="DT38" s="745"/>
      <c r="DU38" s="745"/>
      <c r="DV38" s="745" t="s">
        <v>159</v>
      </c>
      <c r="DW38" s="745"/>
      <c r="DX38" s="745"/>
      <c r="DY38" s="745"/>
      <c r="DZ38" s="745"/>
      <c r="EA38" s="745"/>
      <c r="EB38" s="745"/>
      <c r="EC38" s="745"/>
      <c r="ED38" s="745"/>
      <c r="EE38" s="745"/>
      <c r="EF38" s="745"/>
      <c r="EG38" s="745"/>
      <c r="EH38" s="745"/>
      <c r="EI38" s="745"/>
      <c r="EJ38" s="745"/>
      <c r="EK38" s="745"/>
      <c r="EL38" s="745"/>
      <c r="EM38" s="745"/>
      <c r="EN38" s="745"/>
      <c r="EO38" s="745"/>
      <c r="EP38" s="745" t="s">
        <v>160</v>
      </c>
      <c r="EQ38" s="745"/>
      <c r="ER38" s="745"/>
      <c r="ES38" s="745"/>
      <c r="ET38" s="745"/>
      <c r="EU38" s="745"/>
      <c r="EV38" s="745"/>
      <c r="EW38" s="745"/>
      <c r="EX38" s="745"/>
      <c r="EY38" s="745"/>
      <c r="EZ38" s="745"/>
      <c r="FA38" s="745"/>
      <c r="FB38" s="745"/>
      <c r="FC38" s="745"/>
      <c r="FD38" s="745"/>
      <c r="FE38" s="745"/>
      <c r="FF38" s="745"/>
      <c r="FG38" s="745"/>
      <c r="FH38" s="745"/>
      <c r="FI38" s="745"/>
      <c r="FJ38" s="745" t="s">
        <v>161</v>
      </c>
      <c r="FK38" s="745"/>
      <c r="FL38" s="745"/>
      <c r="FM38" s="745"/>
      <c r="FN38" s="745"/>
      <c r="FO38" s="745"/>
      <c r="FP38" s="745"/>
      <c r="FQ38" s="745"/>
      <c r="FR38" s="745"/>
      <c r="FS38" s="745"/>
      <c r="FT38" s="745"/>
      <c r="FU38" s="745"/>
      <c r="FV38" s="745"/>
      <c r="FW38" s="745"/>
      <c r="FX38" s="745"/>
      <c r="FY38" s="745"/>
      <c r="FZ38" s="745"/>
      <c r="GA38" s="745"/>
      <c r="GB38" s="745"/>
      <c r="GC38" s="745"/>
      <c r="GD38" s="746" t="s">
        <v>33</v>
      </c>
      <c r="GE38" s="746"/>
      <c r="GF38" s="746"/>
      <c r="GG38" s="746"/>
      <c r="GH38" s="746"/>
      <c r="GI38" s="746"/>
      <c r="GJ38" s="746"/>
      <c r="GK38" s="746"/>
      <c r="GL38" s="746"/>
      <c r="GM38" s="746"/>
      <c r="GN38" s="746" t="s">
        <v>51</v>
      </c>
      <c r="GO38" s="746"/>
      <c r="GP38" s="746"/>
      <c r="GQ38" s="746"/>
      <c r="GR38" s="746"/>
      <c r="GS38" s="746" t="s">
        <v>52</v>
      </c>
      <c r="GT38" s="746"/>
      <c r="GU38" s="746"/>
      <c r="GV38" s="746"/>
      <c r="GW38" s="493" t="s">
        <v>28</v>
      </c>
    </row>
    <row r="39" spans="1:205" s="46" customFormat="1">
      <c r="A39" s="15"/>
      <c r="E39" s="255">
        <v>1</v>
      </c>
      <c r="F39" s="255">
        <f t="shared" ref="F39:AK39" si="60">E39+1</f>
        <v>2</v>
      </c>
      <c r="G39" s="255">
        <f t="shared" si="60"/>
        <v>3</v>
      </c>
      <c r="H39" s="255">
        <f t="shared" si="60"/>
        <v>4</v>
      </c>
      <c r="I39" s="255">
        <f t="shared" si="60"/>
        <v>5</v>
      </c>
      <c r="J39" s="255">
        <f t="shared" si="60"/>
        <v>6</v>
      </c>
      <c r="K39" s="255">
        <f t="shared" si="60"/>
        <v>7</v>
      </c>
      <c r="L39" s="255">
        <f t="shared" si="60"/>
        <v>8</v>
      </c>
      <c r="M39" s="255">
        <f t="shared" si="60"/>
        <v>9</v>
      </c>
      <c r="N39" s="255">
        <f t="shared" si="60"/>
        <v>10</v>
      </c>
      <c r="O39" s="255">
        <f t="shared" si="60"/>
        <v>11</v>
      </c>
      <c r="P39" s="255">
        <f t="shared" si="60"/>
        <v>12</v>
      </c>
      <c r="Q39" s="255">
        <f t="shared" si="60"/>
        <v>13</v>
      </c>
      <c r="R39" s="255">
        <f t="shared" si="60"/>
        <v>14</v>
      </c>
      <c r="S39" s="255">
        <f t="shared" si="60"/>
        <v>15</v>
      </c>
      <c r="T39" s="255">
        <f t="shared" si="60"/>
        <v>16</v>
      </c>
      <c r="U39" s="255">
        <f t="shared" si="60"/>
        <v>17</v>
      </c>
      <c r="V39" s="255">
        <f t="shared" si="60"/>
        <v>18</v>
      </c>
      <c r="W39" s="255">
        <f t="shared" si="60"/>
        <v>19</v>
      </c>
      <c r="X39" s="255">
        <f t="shared" si="60"/>
        <v>20</v>
      </c>
      <c r="Y39" s="255">
        <f t="shared" si="60"/>
        <v>21</v>
      </c>
      <c r="Z39" s="255">
        <f t="shared" si="60"/>
        <v>22</v>
      </c>
      <c r="AA39" s="255">
        <f t="shared" si="60"/>
        <v>23</v>
      </c>
      <c r="AB39" s="255">
        <f t="shared" si="60"/>
        <v>24</v>
      </c>
      <c r="AC39" s="255">
        <f t="shared" si="60"/>
        <v>25</v>
      </c>
      <c r="AD39" s="255">
        <f t="shared" si="60"/>
        <v>26</v>
      </c>
      <c r="AE39" s="255">
        <f t="shared" si="60"/>
        <v>27</v>
      </c>
      <c r="AF39" s="255">
        <f t="shared" si="60"/>
        <v>28</v>
      </c>
      <c r="AG39" s="255">
        <f t="shared" si="60"/>
        <v>29</v>
      </c>
      <c r="AH39" s="255">
        <f t="shared" si="60"/>
        <v>30</v>
      </c>
      <c r="AI39" s="255">
        <f t="shared" si="60"/>
        <v>31</v>
      </c>
      <c r="AJ39" s="255">
        <f t="shared" si="60"/>
        <v>32</v>
      </c>
      <c r="AK39" s="255">
        <f t="shared" si="60"/>
        <v>33</v>
      </c>
      <c r="AL39" s="255">
        <f t="shared" ref="AL39:BQ39" si="61">AK39+1</f>
        <v>34</v>
      </c>
      <c r="AM39" s="255">
        <f t="shared" si="61"/>
        <v>35</v>
      </c>
      <c r="AN39" s="255">
        <f t="shared" si="61"/>
        <v>36</v>
      </c>
      <c r="AO39" s="255">
        <f t="shared" si="61"/>
        <v>37</v>
      </c>
      <c r="AP39" s="255">
        <f t="shared" si="61"/>
        <v>38</v>
      </c>
      <c r="AQ39" s="255">
        <f t="shared" si="61"/>
        <v>39</v>
      </c>
      <c r="AR39" s="255">
        <f t="shared" si="61"/>
        <v>40</v>
      </c>
      <c r="AS39" s="255">
        <f t="shared" si="61"/>
        <v>41</v>
      </c>
      <c r="AT39" s="255">
        <f t="shared" si="61"/>
        <v>42</v>
      </c>
      <c r="AU39" s="255">
        <f t="shared" si="61"/>
        <v>43</v>
      </c>
      <c r="AV39" s="255">
        <f t="shared" si="61"/>
        <v>44</v>
      </c>
      <c r="AW39" s="255">
        <f t="shared" si="61"/>
        <v>45</v>
      </c>
      <c r="AX39" s="255">
        <f t="shared" si="61"/>
        <v>46</v>
      </c>
      <c r="AY39" s="255">
        <f t="shared" si="61"/>
        <v>47</v>
      </c>
      <c r="AZ39" s="255">
        <f t="shared" si="61"/>
        <v>48</v>
      </c>
      <c r="BA39" s="255">
        <f t="shared" si="61"/>
        <v>49</v>
      </c>
      <c r="BB39" s="255">
        <f t="shared" si="61"/>
        <v>50</v>
      </c>
      <c r="BC39" s="255">
        <f t="shared" si="61"/>
        <v>51</v>
      </c>
      <c r="BD39" s="255">
        <f t="shared" si="61"/>
        <v>52</v>
      </c>
      <c r="BE39" s="255">
        <f t="shared" si="61"/>
        <v>53</v>
      </c>
      <c r="BF39" s="255">
        <f t="shared" si="61"/>
        <v>54</v>
      </c>
      <c r="BG39" s="255">
        <f t="shared" si="61"/>
        <v>55</v>
      </c>
      <c r="BH39" s="255">
        <f t="shared" si="61"/>
        <v>56</v>
      </c>
      <c r="BI39" s="255">
        <f t="shared" si="61"/>
        <v>57</v>
      </c>
      <c r="BJ39" s="255">
        <f t="shared" si="61"/>
        <v>58</v>
      </c>
      <c r="BK39" s="255">
        <f t="shared" si="61"/>
        <v>59</v>
      </c>
      <c r="BL39" s="255">
        <f t="shared" si="61"/>
        <v>60</v>
      </c>
      <c r="BM39" s="255">
        <f t="shared" si="61"/>
        <v>61</v>
      </c>
      <c r="BN39" s="255">
        <f t="shared" si="61"/>
        <v>62</v>
      </c>
      <c r="BO39" s="255">
        <f t="shared" si="61"/>
        <v>63</v>
      </c>
      <c r="BP39" s="255">
        <f t="shared" si="61"/>
        <v>64</v>
      </c>
      <c r="BQ39" s="255">
        <f t="shared" si="61"/>
        <v>65</v>
      </c>
      <c r="BR39" s="255">
        <f t="shared" ref="BR39:CZ39" si="62">BQ39+1</f>
        <v>66</v>
      </c>
      <c r="BS39" s="255">
        <f t="shared" si="62"/>
        <v>67</v>
      </c>
      <c r="BT39" s="255">
        <f t="shared" si="62"/>
        <v>68</v>
      </c>
      <c r="BU39" s="255">
        <f t="shared" si="62"/>
        <v>69</v>
      </c>
      <c r="BV39" s="255">
        <f t="shared" si="62"/>
        <v>70</v>
      </c>
      <c r="BW39" s="255">
        <f t="shared" si="62"/>
        <v>71</v>
      </c>
      <c r="BX39" s="255">
        <f t="shared" si="62"/>
        <v>72</v>
      </c>
      <c r="BY39" s="255">
        <f t="shared" si="62"/>
        <v>73</v>
      </c>
      <c r="BZ39" s="255">
        <f t="shared" si="62"/>
        <v>74</v>
      </c>
      <c r="CA39" s="255">
        <f t="shared" si="62"/>
        <v>75</v>
      </c>
      <c r="CB39" s="255">
        <f t="shared" si="62"/>
        <v>76</v>
      </c>
      <c r="CC39" s="255">
        <f t="shared" si="62"/>
        <v>77</v>
      </c>
      <c r="CD39" s="255">
        <f t="shared" si="62"/>
        <v>78</v>
      </c>
      <c r="CE39" s="255">
        <f t="shared" si="62"/>
        <v>79</v>
      </c>
      <c r="CF39" s="255">
        <f t="shared" si="62"/>
        <v>80</v>
      </c>
      <c r="CG39" s="255">
        <f t="shared" si="62"/>
        <v>81</v>
      </c>
      <c r="CH39" s="255">
        <f t="shared" si="62"/>
        <v>82</v>
      </c>
      <c r="CI39" s="255">
        <f t="shared" si="62"/>
        <v>83</v>
      </c>
      <c r="CJ39" s="255">
        <f t="shared" si="62"/>
        <v>84</v>
      </c>
      <c r="CK39" s="255">
        <f t="shared" si="62"/>
        <v>85</v>
      </c>
      <c r="CL39" s="255">
        <f t="shared" si="62"/>
        <v>86</v>
      </c>
      <c r="CM39" s="255">
        <f t="shared" si="62"/>
        <v>87</v>
      </c>
      <c r="CN39" s="255">
        <f t="shared" si="62"/>
        <v>88</v>
      </c>
      <c r="CO39" s="255">
        <f t="shared" si="62"/>
        <v>89</v>
      </c>
      <c r="CP39" s="255">
        <f t="shared" si="62"/>
        <v>90</v>
      </c>
      <c r="CQ39" s="255">
        <f t="shared" si="62"/>
        <v>91</v>
      </c>
      <c r="CR39" s="255">
        <f t="shared" si="62"/>
        <v>92</v>
      </c>
      <c r="CS39" s="255">
        <f t="shared" si="62"/>
        <v>93</v>
      </c>
      <c r="CT39" s="255">
        <f t="shared" si="62"/>
        <v>94</v>
      </c>
      <c r="CU39" s="255">
        <f t="shared" si="62"/>
        <v>95</v>
      </c>
      <c r="CV39" s="255">
        <f t="shared" si="62"/>
        <v>96</v>
      </c>
      <c r="CW39" s="255">
        <f t="shared" si="62"/>
        <v>97</v>
      </c>
      <c r="CX39" s="255">
        <f t="shared" si="62"/>
        <v>98</v>
      </c>
      <c r="CY39" s="255">
        <f t="shared" si="62"/>
        <v>99</v>
      </c>
      <c r="CZ39" s="255">
        <f t="shared" si="62"/>
        <v>100</v>
      </c>
      <c r="DB39" s="255">
        <v>1</v>
      </c>
      <c r="DC39" s="255">
        <f t="shared" ref="DC39:EH39" si="63">DB39+1</f>
        <v>2</v>
      </c>
      <c r="DD39" s="255">
        <f t="shared" si="63"/>
        <v>3</v>
      </c>
      <c r="DE39" s="255">
        <f t="shared" si="63"/>
        <v>4</v>
      </c>
      <c r="DF39" s="255">
        <f t="shared" si="63"/>
        <v>5</v>
      </c>
      <c r="DG39" s="255">
        <f t="shared" si="63"/>
        <v>6</v>
      </c>
      <c r="DH39" s="255">
        <f t="shared" si="63"/>
        <v>7</v>
      </c>
      <c r="DI39" s="255">
        <f t="shared" si="63"/>
        <v>8</v>
      </c>
      <c r="DJ39" s="255">
        <f t="shared" si="63"/>
        <v>9</v>
      </c>
      <c r="DK39" s="255">
        <f t="shared" si="63"/>
        <v>10</v>
      </c>
      <c r="DL39" s="255">
        <f t="shared" si="63"/>
        <v>11</v>
      </c>
      <c r="DM39" s="255">
        <f t="shared" si="63"/>
        <v>12</v>
      </c>
      <c r="DN39" s="255">
        <f t="shared" si="63"/>
        <v>13</v>
      </c>
      <c r="DO39" s="255">
        <f t="shared" si="63"/>
        <v>14</v>
      </c>
      <c r="DP39" s="255">
        <f t="shared" si="63"/>
        <v>15</v>
      </c>
      <c r="DQ39" s="255">
        <f t="shared" si="63"/>
        <v>16</v>
      </c>
      <c r="DR39" s="255">
        <f t="shared" si="63"/>
        <v>17</v>
      </c>
      <c r="DS39" s="255">
        <f t="shared" si="63"/>
        <v>18</v>
      </c>
      <c r="DT39" s="255">
        <f t="shared" si="63"/>
        <v>19</v>
      </c>
      <c r="DU39" s="255">
        <f t="shared" si="63"/>
        <v>20</v>
      </c>
      <c r="DV39" s="255">
        <f t="shared" si="63"/>
        <v>21</v>
      </c>
      <c r="DW39" s="255">
        <f t="shared" si="63"/>
        <v>22</v>
      </c>
      <c r="DX39" s="255">
        <f t="shared" si="63"/>
        <v>23</v>
      </c>
      <c r="DY39" s="255">
        <f t="shared" si="63"/>
        <v>24</v>
      </c>
      <c r="DZ39" s="255">
        <f t="shared" si="63"/>
        <v>25</v>
      </c>
      <c r="EA39" s="255">
        <f t="shared" si="63"/>
        <v>26</v>
      </c>
      <c r="EB39" s="255">
        <f t="shared" si="63"/>
        <v>27</v>
      </c>
      <c r="EC39" s="255">
        <f t="shared" si="63"/>
        <v>28</v>
      </c>
      <c r="ED39" s="255">
        <f t="shared" si="63"/>
        <v>29</v>
      </c>
      <c r="EE39" s="255">
        <f t="shared" si="63"/>
        <v>30</v>
      </c>
      <c r="EF39" s="255">
        <f t="shared" si="63"/>
        <v>31</v>
      </c>
      <c r="EG39" s="255">
        <f t="shared" si="63"/>
        <v>32</v>
      </c>
      <c r="EH39" s="255">
        <f t="shared" si="63"/>
        <v>33</v>
      </c>
      <c r="EI39" s="255">
        <f t="shared" ref="EI39:FN39" si="64">EH39+1</f>
        <v>34</v>
      </c>
      <c r="EJ39" s="255">
        <f t="shared" si="64"/>
        <v>35</v>
      </c>
      <c r="EK39" s="255">
        <f t="shared" si="64"/>
        <v>36</v>
      </c>
      <c r="EL39" s="255">
        <f t="shared" si="64"/>
        <v>37</v>
      </c>
      <c r="EM39" s="255">
        <f t="shared" si="64"/>
        <v>38</v>
      </c>
      <c r="EN39" s="255">
        <f t="shared" si="64"/>
        <v>39</v>
      </c>
      <c r="EO39" s="255">
        <f t="shared" si="64"/>
        <v>40</v>
      </c>
      <c r="EP39" s="255">
        <f t="shared" si="64"/>
        <v>41</v>
      </c>
      <c r="EQ39" s="255">
        <f t="shared" si="64"/>
        <v>42</v>
      </c>
      <c r="ER39" s="255">
        <f t="shared" si="64"/>
        <v>43</v>
      </c>
      <c r="ES39" s="255">
        <f t="shared" si="64"/>
        <v>44</v>
      </c>
      <c r="ET39" s="255">
        <f t="shared" si="64"/>
        <v>45</v>
      </c>
      <c r="EU39" s="255">
        <f t="shared" si="64"/>
        <v>46</v>
      </c>
      <c r="EV39" s="255">
        <f t="shared" si="64"/>
        <v>47</v>
      </c>
      <c r="EW39" s="255">
        <f t="shared" si="64"/>
        <v>48</v>
      </c>
      <c r="EX39" s="255">
        <f t="shared" si="64"/>
        <v>49</v>
      </c>
      <c r="EY39" s="255">
        <f t="shared" si="64"/>
        <v>50</v>
      </c>
      <c r="EZ39" s="255">
        <f t="shared" si="64"/>
        <v>51</v>
      </c>
      <c r="FA39" s="255">
        <f t="shared" si="64"/>
        <v>52</v>
      </c>
      <c r="FB39" s="255">
        <f t="shared" si="64"/>
        <v>53</v>
      </c>
      <c r="FC39" s="255">
        <f t="shared" si="64"/>
        <v>54</v>
      </c>
      <c r="FD39" s="255">
        <f t="shared" si="64"/>
        <v>55</v>
      </c>
      <c r="FE39" s="255">
        <f t="shared" si="64"/>
        <v>56</v>
      </c>
      <c r="FF39" s="255">
        <f t="shared" si="64"/>
        <v>57</v>
      </c>
      <c r="FG39" s="255">
        <f t="shared" si="64"/>
        <v>58</v>
      </c>
      <c r="FH39" s="255">
        <f t="shared" si="64"/>
        <v>59</v>
      </c>
      <c r="FI39" s="255">
        <f t="shared" si="64"/>
        <v>60</v>
      </c>
      <c r="FJ39" s="255">
        <f t="shared" si="64"/>
        <v>61</v>
      </c>
      <c r="FK39" s="255">
        <f t="shared" si="64"/>
        <v>62</v>
      </c>
      <c r="FL39" s="255">
        <f t="shared" si="64"/>
        <v>63</v>
      </c>
      <c r="FM39" s="255">
        <f t="shared" si="64"/>
        <v>64</v>
      </c>
      <c r="FN39" s="255">
        <f t="shared" si="64"/>
        <v>65</v>
      </c>
      <c r="FO39" s="255">
        <f t="shared" ref="FO39:GW39" si="65">FN39+1</f>
        <v>66</v>
      </c>
      <c r="FP39" s="255">
        <f t="shared" si="65"/>
        <v>67</v>
      </c>
      <c r="FQ39" s="255">
        <f t="shared" si="65"/>
        <v>68</v>
      </c>
      <c r="FR39" s="255">
        <f t="shared" si="65"/>
        <v>69</v>
      </c>
      <c r="FS39" s="255">
        <f t="shared" si="65"/>
        <v>70</v>
      </c>
      <c r="FT39" s="255">
        <f t="shared" si="65"/>
        <v>71</v>
      </c>
      <c r="FU39" s="255">
        <f t="shared" si="65"/>
        <v>72</v>
      </c>
      <c r="FV39" s="255">
        <f t="shared" si="65"/>
        <v>73</v>
      </c>
      <c r="FW39" s="255">
        <f t="shared" si="65"/>
        <v>74</v>
      </c>
      <c r="FX39" s="255">
        <f t="shared" si="65"/>
        <v>75</v>
      </c>
      <c r="FY39" s="255">
        <f t="shared" si="65"/>
        <v>76</v>
      </c>
      <c r="FZ39" s="255">
        <f t="shared" si="65"/>
        <v>77</v>
      </c>
      <c r="GA39" s="255">
        <f t="shared" si="65"/>
        <v>78</v>
      </c>
      <c r="GB39" s="255">
        <f t="shared" si="65"/>
        <v>79</v>
      </c>
      <c r="GC39" s="255">
        <f t="shared" si="65"/>
        <v>80</v>
      </c>
      <c r="GD39" s="255">
        <f t="shared" si="65"/>
        <v>81</v>
      </c>
      <c r="GE39" s="255">
        <f t="shared" si="65"/>
        <v>82</v>
      </c>
      <c r="GF39" s="255">
        <f t="shared" si="65"/>
        <v>83</v>
      </c>
      <c r="GG39" s="255">
        <f t="shared" si="65"/>
        <v>84</v>
      </c>
      <c r="GH39" s="255">
        <f t="shared" si="65"/>
        <v>85</v>
      </c>
      <c r="GI39" s="255">
        <f t="shared" si="65"/>
        <v>86</v>
      </c>
      <c r="GJ39" s="255">
        <f t="shared" si="65"/>
        <v>87</v>
      </c>
      <c r="GK39" s="255">
        <f t="shared" si="65"/>
        <v>88</v>
      </c>
      <c r="GL39" s="255">
        <f t="shared" si="65"/>
        <v>89</v>
      </c>
      <c r="GM39" s="255">
        <f t="shared" si="65"/>
        <v>90</v>
      </c>
      <c r="GN39" s="255">
        <f t="shared" si="65"/>
        <v>91</v>
      </c>
      <c r="GO39" s="255">
        <f t="shared" si="65"/>
        <v>92</v>
      </c>
      <c r="GP39" s="255">
        <f t="shared" si="65"/>
        <v>93</v>
      </c>
      <c r="GQ39" s="255">
        <f t="shared" si="65"/>
        <v>94</v>
      </c>
      <c r="GR39" s="255">
        <f t="shared" si="65"/>
        <v>95</v>
      </c>
      <c r="GS39" s="255">
        <f t="shared" si="65"/>
        <v>96</v>
      </c>
      <c r="GT39" s="255">
        <f t="shared" si="65"/>
        <v>97</v>
      </c>
      <c r="GU39" s="255">
        <f t="shared" si="65"/>
        <v>98</v>
      </c>
      <c r="GV39" s="255">
        <f t="shared" si="65"/>
        <v>99</v>
      </c>
      <c r="GW39" s="255">
        <f t="shared" si="65"/>
        <v>100</v>
      </c>
    </row>
    <row r="40" spans="1:205" s="556" customFormat="1" ht="9" customHeight="1">
      <c r="A40" s="259" t="s">
        <v>48</v>
      </c>
      <c r="B40" s="143">
        <f>LINEST(E40:CZ40, DB40:GW40, TRUE, FALSE)</f>
        <v>0.10101449850796704</v>
      </c>
      <c r="C40" s="143">
        <f>RSQ(E40:CZ40, DB40:GW40)</f>
        <v>0.99108366685410321</v>
      </c>
      <c r="D40" s="60"/>
      <c r="E40" s="143">
        <f>E36</f>
        <v>1.9182819416773987E-2</v>
      </c>
      <c r="F40" s="143">
        <f t="shared" ref="F40:X40" si="66">E40</f>
        <v>1.9182819416773987E-2</v>
      </c>
      <c r="G40" s="143">
        <f t="shared" si="66"/>
        <v>1.9182819416773987E-2</v>
      </c>
      <c r="H40" s="143">
        <f t="shared" si="66"/>
        <v>1.9182819416773987E-2</v>
      </c>
      <c r="I40" s="143">
        <f t="shared" si="66"/>
        <v>1.9182819416773987E-2</v>
      </c>
      <c r="J40" s="143">
        <f t="shared" si="66"/>
        <v>1.9182819416773987E-2</v>
      </c>
      <c r="K40" s="143">
        <f t="shared" si="66"/>
        <v>1.9182819416773987E-2</v>
      </c>
      <c r="L40" s="143">
        <f t="shared" si="66"/>
        <v>1.9182819416773987E-2</v>
      </c>
      <c r="M40" s="143">
        <f t="shared" si="66"/>
        <v>1.9182819416773987E-2</v>
      </c>
      <c r="N40" s="143">
        <f t="shared" si="66"/>
        <v>1.9182819416773987E-2</v>
      </c>
      <c r="O40" s="143">
        <f t="shared" si="66"/>
        <v>1.9182819416773987E-2</v>
      </c>
      <c r="P40" s="143">
        <f t="shared" si="66"/>
        <v>1.9182819416773987E-2</v>
      </c>
      <c r="Q40" s="143">
        <f t="shared" si="66"/>
        <v>1.9182819416773987E-2</v>
      </c>
      <c r="R40" s="143">
        <f t="shared" si="66"/>
        <v>1.9182819416773987E-2</v>
      </c>
      <c r="S40" s="143">
        <f t="shared" si="66"/>
        <v>1.9182819416773987E-2</v>
      </c>
      <c r="T40" s="143">
        <f t="shared" si="66"/>
        <v>1.9182819416773987E-2</v>
      </c>
      <c r="U40" s="143">
        <f t="shared" si="66"/>
        <v>1.9182819416773987E-2</v>
      </c>
      <c r="V40" s="143">
        <f t="shared" si="66"/>
        <v>1.9182819416773987E-2</v>
      </c>
      <c r="W40" s="143">
        <f t="shared" si="66"/>
        <v>1.9182819416773987E-2</v>
      </c>
      <c r="X40" s="143">
        <f t="shared" si="66"/>
        <v>1.9182819416773987E-2</v>
      </c>
      <c r="Y40" s="143">
        <f>F36</f>
        <v>9.431067947124129E-2</v>
      </c>
      <c r="Z40" s="143">
        <f t="shared" ref="Z40:AR40" si="67">Y40</f>
        <v>9.431067947124129E-2</v>
      </c>
      <c r="AA40" s="143">
        <f t="shared" si="67"/>
        <v>9.431067947124129E-2</v>
      </c>
      <c r="AB40" s="143">
        <f t="shared" si="67"/>
        <v>9.431067947124129E-2</v>
      </c>
      <c r="AC40" s="143">
        <f t="shared" si="67"/>
        <v>9.431067947124129E-2</v>
      </c>
      <c r="AD40" s="143">
        <f t="shared" si="67"/>
        <v>9.431067947124129E-2</v>
      </c>
      <c r="AE40" s="143">
        <f t="shared" si="67"/>
        <v>9.431067947124129E-2</v>
      </c>
      <c r="AF40" s="143">
        <f t="shared" si="67"/>
        <v>9.431067947124129E-2</v>
      </c>
      <c r="AG40" s="143">
        <f t="shared" si="67"/>
        <v>9.431067947124129E-2</v>
      </c>
      <c r="AH40" s="143">
        <f t="shared" si="67"/>
        <v>9.431067947124129E-2</v>
      </c>
      <c r="AI40" s="143">
        <f t="shared" si="67"/>
        <v>9.431067947124129E-2</v>
      </c>
      <c r="AJ40" s="143">
        <f t="shared" si="67"/>
        <v>9.431067947124129E-2</v>
      </c>
      <c r="AK40" s="143">
        <f t="shared" si="67"/>
        <v>9.431067947124129E-2</v>
      </c>
      <c r="AL40" s="143">
        <f t="shared" si="67"/>
        <v>9.431067947124129E-2</v>
      </c>
      <c r="AM40" s="143">
        <f t="shared" si="67"/>
        <v>9.431067947124129E-2</v>
      </c>
      <c r="AN40" s="143">
        <f t="shared" si="67"/>
        <v>9.431067947124129E-2</v>
      </c>
      <c r="AO40" s="143">
        <f t="shared" si="67"/>
        <v>9.431067947124129E-2</v>
      </c>
      <c r="AP40" s="143">
        <f t="shared" si="67"/>
        <v>9.431067947124129E-2</v>
      </c>
      <c r="AQ40" s="143">
        <f t="shared" si="67"/>
        <v>9.431067947124129E-2</v>
      </c>
      <c r="AR40" s="143">
        <f t="shared" si="67"/>
        <v>9.431067947124129E-2</v>
      </c>
      <c r="AS40" s="143">
        <f>G36</f>
        <v>0.15082288973458366</v>
      </c>
      <c r="AT40" s="143">
        <f t="shared" ref="AT40:BL40" si="68">AS40</f>
        <v>0.15082288973458366</v>
      </c>
      <c r="AU40" s="143">
        <f t="shared" si="68"/>
        <v>0.15082288973458366</v>
      </c>
      <c r="AV40" s="143">
        <f t="shared" si="68"/>
        <v>0.15082288973458366</v>
      </c>
      <c r="AW40" s="143">
        <f t="shared" si="68"/>
        <v>0.15082288973458366</v>
      </c>
      <c r="AX40" s="143">
        <f t="shared" si="68"/>
        <v>0.15082288973458366</v>
      </c>
      <c r="AY40" s="143">
        <f t="shared" si="68"/>
        <v>0.15082288973458366</v>
      </c>
      <c r="AZ40" s="143">
        <f t="shared" si="68"/>
        <v>0.15082288973458366</v>
      </c>
      <c r="BA40" s="143">
        <f t="shared" si="68"/>
        <v>0.15082288973458366</v>
      </c>
      <c r="BB40" s="143">
        <f t="shared" si="68"/>
        <v>0.15082288973458366</v>
      </c>
      <c r="BC40" s="143">
        <f t="shared" si="68"/>
        <v>0.15082288973458366</v>
      </c>
      <c r="BD40" s="143">
        <f t="shared" si="68"/>
        <v>0.15082288973458366</v>
      </c>
      <c r="BE40" s="143">
        <f t="shared" si="68"/>
        <v>0.15082288973458366</v>
      </c>
      <c r="BF40" s="143">
        <f t="shared" si="68"/>
        <v>0.15082288973458366</v>
      </c>
      <c r="BG40" s="143">
        <f t="shared" si="68"/>
        <v>0.15082288973458366</v>
      </c>
      <c r="BH40" s="143">
        <f t="shared" si="68"/>
        <v>0.15082288973458366</v>
      </c>
      <c r="BI40" s="143">
        <f t="shared" si="68"/>
        <v>0.15082288973458366</v>
      </c>
      <c r="BJ40" s="143">
        <f t="shared" si="68"/>
        <v>0.15082288973458366</v>
      </c>
      <c r="BK40" s="143">
        <f t="shared" si="68"/>
        <v>0.15082288973458366</v>
      </c>
      <c r="BL40" s="143">
        <f t="shared" si="68"/>
        <v>0.15082288973458366</v>
      </c>
      <c r="BM40" s="143">
        <f>H36</f>
        <v>0.1960148839259572</v>
      </c>
      <c r="BN40" s="143">
        <f t="shared" ref="BN40:CF40" si="69">BM40</f>
        <v>0.1960148839259572</v>
      </c>
      <c r="BO40" s="143">
        <f t="shared" si="69"/>
        <v>0.1960148839259572</v>
      </c>
      <c r="BP40" s="143">
        <f t="shared" si="69"/>
        <v>0.1960148839259572</v>
      </c>
      <c r="BQ40" s="143">
        <f t="shared" si="69"/>
        <v>0.1960148839259572</v>
      </c>
      <c r="BR40" s="143">
        <f t="shared" si="69"/>
        <v>0.1960148839259572</v>
      </c>
      <c r="BS40" s="143">
        <f t="shared" si="69"/>
        <v>0.1960148839259572</v>
      </c>
      <c r="BT40" s="143">
        <f t="shared" si="69"/>
        <v>0.1960148839259572</v>
      </c>
      <c r="BU40" s="143">
        <f t="shared" si="69"/>
        <v>0.1960148839259572</v>
      </c>
      <c r="BV40" s="143">
        <f t="shared" si="69"/>
        <v>0.1960148839259572</v>
      </c>
      <c r="BW40" s="143">
        <f t="shared" si="69"/>
        <v>0.1960148839259572</v>
      </c>
      <c r="BX40" s="143">
        <f t="shared" si="69"/>
        <v>0.1960148839259572</v>
      </c>
      <c r="BY40" s="143">
        <f t="shared" si="69"/>
        <v>0.1960148839259572</v>
      </c>
      <c r="BZ40" s="143">
        <f t="shared" si="69"/>
        <v>0.1960148839259572</v>
      </c>
      <c r="CA40" s="143">
        <f t="shared" si="69"/>
        <v>0.1960148839259572</v>
      </c>
      <c r="CB40" s="143">
        <f t="shared" si="69"/>
        <v>0.1960148839259572</v>
      </c>
      <c r="CC40" s="143">
        <f t="shared" si="69"/>
        <v>0.1960148839259572</v>
      </c>
      <c r="CD40" s="143">
        <f t="shared" si="69"/>
        <v>0.1960148839259572</v>
      </c>
      <c r="CE40" s="143">
        <f t="shared" si="69"/>
        <v>0.1960148839259572</v>
      </c>
      <c r="CF40" s="143">
        <f t="shared" si="69"/>
        <v>0.1960148839259572</v>
      </c>
      <c r="CG40" s="143">
        <f>I36</f>
        <v>0.23825718912425789</v>
      </c>
      <c r="CH40" s="143">
        <f t="shared" ref="CH40:CP40" si="70">CG40</f>
        <v>0.23825718912425789</v>
      </c>
      <c r="CI40" s="143">
        <f t="shared" si="70"/>
        <v>0.23825718912425789</v>
      </c>
      <c r="CJ40" s="143">
        <f t="shared" si="70"/>
        <v>0.23825718912425789</v>
      </c>
      <c r="CK40" s="143">
        <f t="shared" si="70"/>
        <v>0.23825718912425789</v>
      </c>
      <c r="CL40" s="143">
        <f t="shared" si="70"/>
        <v>0.23825718912425789</v>
      </c>
      <c r="CM40" s="143">
        <f t="shared" si="70"/>
        <v>0.23825718912425789</v>
      </c>
      <c r="CN40" s="143">
        <f t="shared" si="70"/>
        <v>0.23825718912425789</v>
      </c>
      <c r="CO40" s="143">
        <f t="shared" si="70"/>
        <v>0.23825718912425789</v>
      </c>
      <c r="CP40" s="143">
        <f t="shared" si="70"/>
        <v>0.23825718912425789</v>
      </c>
      <c r="CQ40" s="143">
        <f>J36</f>
        <v>0.26657310924154576</v>
      </c>
      <c r="CR40" s="143">
        <f>CQ40</f>
        <v>0.26657310924154576</v>
      </c>
      <c r="CS40" s="143">
        <f>CR40</f>
        <v>0.26657310924154576</v>
      </c>
      <c r="CT40" s="143">
        <f>CS40</f>
        <v>0.26657310924154576</v>
      </c>
      <c r="CU40" s="143">
        <f>CT40</f>
        <v>0.26657310924154576</v>
      </c>
      <c r="CV40" s="143">
        <f>K36</f>
        <v>0.31060957709548559</v>
      </c>
      <c r="CW40" s="143">
        <f>CV40</f>
        <v>0.31060957709548559</v>
      </c>
      <c r="CX40" s="143">
        <f>CW40</f>
        <v>0.31060957709548559</v>
      </c>
      <c r="CY40" s="143">
        <f>CX40</f>
        <v>0.31060957709548559</v>
      </c>
      <c r="CZ40" s="143">
        <f>L36</f>
        <v>0.4094731295057033</v>
      </c>
      <c r="DA40" s="60"/>
      <c r="DB40" s="143">
        <f>N36</f>
        <v>9.7676678293935932</v>
      </c>
      <c r="DC40" s="143">
        <f t="shared" ref="DC40:DU40" si="71">DB40</f>
        <v>9.7676678293935932</v>
      </c>
      <c r="DD40" s="143">
        <f t="shared" si="71"/>
        <v>9.7676678293935932</v>
      </c>
      <c r="DE40" s="143">
        <f t="shared" si="71"/>
        <v>9.7676678293935932</v>
      </c>
      <c r="DF40" s="143">
        <f t="shared" si="71"/>
        <v>9.7676678293935932</v>
      </c>
      <c r="DG40" s="143">
        <f t="shared" si="71"/>
        <v>9.7676678293935932</v>
      </c>
      <c r="DH40" s="143">
        <f t="shared" si="71"/>
        <v>9.7676678293935932</v>
      </c>
      <c r="DI40" s="143">
        <f t="shared" si="71"/>
        <v>9.7676678293935932</v>
      </c>
      <c r="DJ40" s="143">
        <f t="shared" si="71"/>
        <v>9.7676678293935932</v>
      </c>
      <c r="DK40" s="143">
        <f t="shared" si="71"/>
        <v>9.7676678293935932</v>
      </c>
      <c r="DL40" s="143">
        <f t="shared" si="71"/>
        <v>9.7676678293935932</v>
      </c>
      <c r="DM40" s="143">
        <f t="shared" si="71"/>
        <v>9.7676678293935932</v>
      </c>
      <c r="DN40" s="143">
        <f t="shared" si="71"/>
        <v>9.7676678293935932</v>
      </c>
      <c r="DO40" s="143">
        <f t="shared" si="71"/>
        <v>9.7676678293935932</v>
      </c>
      <c r="DP40" s="143">
        <f t="shared" si="71"/>
        <v>9.7676678293935932</v>
      </c>
      <c r="DQ40" s="143">
        <f t="shared" si="71"/>
        <v>9.7676678293935932</v>
      </c>
      <c r="DR40" s="143">
        <f t="shared" si="71"/>
        <v>9.7676678293935932</v>
      </c>
      <c r="DS40" s="143">
        <f t="shared" si="71"/>
        <v>9.7676678293935932</v>
      </c>
      <c r="DT40" s="143">
        <f t="shared" si="71"/>
        <v>9.7676678293935932</v>
      </c>
      <c r="DU40" s="143">
        <f t="shared" si="71"/>
        <v>9.7676678293935932</v>
      </c>
      <c r="DV40" s="143">
        <f>O36</f>
        <v>10.556593683558889</v>
      </c>
      <c r="DW40" s="143">
        <f t="shared" ref="DW40:EO40" si="72">DV40</f>
        <v>10.556593683558889</v>
      </c>
      <c r="DX40" s="143">
        <f t="shared" si="72"/>
        <v>10.556593683558889</v>
      </c>
      <c r="DY40" s="143">
        <f t="shared" si="72"/>
        <v>10.556593683558889</v>
      </c>
      <c r="DZ40" s="143">
        <f t="shared" si="72"/>
        <v>10.556593683558889</v>
      </c>
      <c r="EA40" s="143">
        <f t="shared" si="72"/>
        <v>10.556593683558889</v>
      </c>
      <c r="EB40" s="143">
        <f t="shared" si="72"/>
        <v>10.556593683558889</v>
      </c>
      <c r="EC40" s="143">
        <f t="shared" si="72"/>
        <v>10.556593683558889</v>
      </c>
      <c r="ED40" s="143">
        <f t="shared" si="72"/>
        <v>10.556593683558889</v>
      </c>
      <c r="EE40" s="143">
        <f t="shared" si="72"/>
        <v>10.556593683558889</v>
      </c>
      <c r="EF40" s="143">
        <f t="shared" si="72"/>
        <v>10.556593683558889</v>
      </c>
      <c r="EG40" s="143">
        <f t="shared" si="72"/>
        <v>10.556593683558889</v>
      </c>
      <c r="EH40" s="143">
        <f t="shared" si="72"/>
        <v>10.556593683558889</v>
      </c>
      <c r="EI40" s="143">
        <f t="shared" si="72"/>
        <v>10.556593683558889</v>
      </c>
      <c r="EJ40" s="143">
        <f t="shared" si="72"/>
        <v>10.556593683558889</v>
      </c>
      <c r="EK40" s="143">
        <f t="shared" si="72"/>
        <v>10.556593683558889</v>
      </c>
      <c r="EL40" s="143">
        <f t="shared" si="72"/>
        <v>10.556593683558889</v>
      </c>
      <c r="EM40" s="143">
        <f t="shared" si="72"/>
        <v>10.556593683558889</v>
      </c>
      <c r="EN40" s="143">
        <f t="shared" si="72"/>
        <v>10.556593683558889</v>
      </c>
      <c r="EO40" s="143">
        <f t="shared" si="72"/>
        <v>10.556593683558889</v>
      </c>
      <c r="EP40" s="143">
        <f>P36</f>
        <v>11.045159330664685</v>
      </c>
      <c r="EQ40" s="143">
        <f t="shared" ref="EQ40:FI40" si="73">EP40</f>
        <v>11.045159330664685</v>
      </c>
      <c r="ER40" s="143">
        <f t="shared" si="73"/>
        <v>11.045159330664685</v>
      </c>
      <c r="ES40" s="143">
        <f t="shared" si="73"/>
        <v>11.045159330664685</v>
      </c>
      <c r="ET40" s="143">
        <f t="shared" si="73"/>
        <v>11.045159330664685</v>
      </c>
      <c r="EU40" s="143">
        <f t="shared" si="73"/>
        <v>11.045159330664685</v>
      </c>
      <c r="EV40" s="143">
        <f t="shared" si="73"/>
        <v>11.045159330664685</v>
      </c>
      <c r="EW40" s="143">
        <f t="shared" si="73"/>
        <v>11.045159330664685</v>
      </c>
      <c r="EX40" s="143">
        <f t="shared" si="73"/>
        <v>11.045159330664685</v>
      </c>
      <c r="EY40" s="143">
        <f t="shared" si="73"/>
        <v>11.045159330664685</v>
      </c>
      <c r="EZ40" s="143">
        <f t="shared" si="73"/>
        <v>11.045159330664685</v>
      </c>
      <c r="FA40" s="143">
        <f t="shared" si="73"/>
        <v>11.045159330664685</v>
      </c>
      <c r="FB40" s="143">
        <f t="shared" si="73"/>
        <v>11.045159330664685</v>
      </c>
      <c r="FC40" s="143">
        <f t="shared" si="73"/>
        <v>11.045159330664685</v>
      </c>
      <c r="FD40" s="143">
        <f t="shared" si="73"/>
        <v>11.045159330664685</v>
      </c>
      <c r="FE40" s="143">
        <f t="shared" si="73"/>
        <v>11.045159330664685</v>
      </c>
      <c r="FF40" s="143">
        <f t="shared" si="73"/>
        <v>11.045159330664685</v>
      </c>
      <c r="FG40" s="143">
        <f t="shared" si="73"/>
        <v>11.045159330664685</v>
      </c>
      <c r="FH40" s="143">
        <f t="shared" si="73"/>
        <v>11.045159330664685</v>
      </c>
      <c r="FI40" s="143">
        <f t="shared" si="73"/>
        <v>11.045159330664685</v>
      </c>
      <c r="FJ40" s="143">
        <f>Q36</f>
        <v>11.46394528274851</v>
      </c>
      <c r="FK40" s="143">
        <f t="shared" ref="FK40:GC40" si="74">FJ40</f>
        <v>11.46394528274851</v>
      </c>
      <c r="FL40" s="143">
        <f t="shared" si="74"/>
        <v>11.46394528274851</v>
      </c>
      <c r="FM40" s="143">
        <f t="shared" si="74"/>
        <v>11.46394528274851</v>
      </c>
      <c r="FN40" s="143">
        <f t="shared" si="74"/>
        <v>11.46394528274851</v>
      </c>
      <c r="FO40" s="143">
        <f t="shared" si="74"/>
        <v>11.46394528274851</v>
      </c>
      <c r="FP40" s="143">
        <f t="shared" si="74"/>
        <v>11.46394528274851</v>
      </c>
      <c r="FQ40" s="143">
        <f t="shared" si="74"/>
        <v>11.46394528274851</v>
      </c>
      <c r="FR40" s="143">
        <f t="shared" si="74"/>
        <v>11.46394528274851</v>
      </c>
      <c r="FS40" s="143">
        <f t="shared" si="74"/>
        <v>11.46394528274851</v>
      </c>
      <c r="FT40" s="143">
        <f t="shared" si="74"/>
        <v>11.46394528274851</v>
      </c>
      <c r="FU40" s="143">
        <f t="shared" si="74"/>
        <v>11.46394528274851</v>
      </c>
      <c r="FV40" s="143">
        <f t="shared" si="74"/>
        <v>11.46394528274851</v>
      </c>
      <c r="FW40" s="143">
        <f t="shared" si="74"/>
        <v>11.46394528274851</v>
      </c>
      <c r="FX40" s="143">
        <f t="shared" si="74"/>
        <v>11.46394528274851</v>
      </c>
      <c r="FY40" s="143">
        <f t="shared" si="74"/>
        <v>11.46394528274851</v>
      </c>
      <c r="FZ40" s="143">
        <f t="shared" si="74"/>
        <v>11.46394528274851</v>
      </c>
      <c r="GA40" s="143">
        <f t="shared" si="74"/>
        <v>11.46394528274851</v>
      </c>
      <c r="GB40" s="143">
        <f t="shared" si="74"/>
        <v>11.46394528274851</v>
      </c>
      <c r="GC40" s="143">
        <f t="shared" si="74"/>
        <v>11.46394528274851</v>
      </c>
      <c r="GD40" s="143">
        <f>R36</f>
        <v>11.834139020630802</v>
      </c>
      <c r="GE40" s="143">
        <f t="shared" ref="GE40:GM40" si="75">GD40</f>
        <v>11.834139020630802</v>
      </c>
      <c r="GF40" s="143">
        <f t="shared" si="75"/>
        <v>11.834139020630802</v>
      </c>
      <c r="GG40" s="143">
        <f t="shared" si="75"/>
        <v>11.834139020630802</v>
      </c>
      <c r="GH40" s="143">
        <f t="shared" si="75"/>
        <v>11.834139020630802</v>
      </c>
      <c r="GI40" s="143">
        <f t="shared" si="75"/>
        <v>11.834139020630802</v>
      </c>
      <c r="GJ40" s="143">
        <f t="shared" si="75"/>
        <v>11.834139020630802</v>
      </c>
      <c r="GK40" s="143">
        <f t="shared" si="75"/>
        <v>11.834139020630802</v>
      </c>
      <c r="GL40" s="143">
        <f t="shared" si="75"/>
        <v>11.834139020630802</v>
      </c>
      <c r="GM40" s="143">
        <f t="shared" si="75"/>
        <v>11.834139020630802</v>
      </c>
      <c r="GN40" s="143">
        <f>S36</f>
        <v>12.145685495515078</v>
      </c>
      <c r="GO40" s="143">
        <f>GN40</f>
        <v>12.145685495515078</v>
      </c>
      <c r="GP40" s="143">
        <f>GO40</f>
        <v>12.145685495515078</v>
      </c>
      <c r="GQ40" s="143">
        <f>GP40</f>
        <v>12.145685495515078</v>
      </c>
      <c r="GR40" s="143">
        <f>GQ40</f>
        <v>12.145685495515078</v>
      </c>
      <c r="GS40" s="143">
        <f>T36</f>
        <v>12.650566140605816</v>
      </c>
      <c r="GT40" s="143">
        <f>GS40</f>
        <v>12.650566140605816</v>
      </c>
      <c r="GU40" s="143">
        <f>GT40</f>
        <v>12.650566140605816</v>
      </c>
      <c r="GV40" s="143">
        <f>GU40</f>
        <v>12.650566140605816</v>
      </c>
      <c r="GW40" s="143">
        <f>U36</f>
        <v>14.296491218548583</v>
      </c>
    </row>
    <row r="41" spans="1:205" s="556" customFormat="1">
      <c r="A41" s="46"/>
    </row>
    <row r="42" spans="1:205" s="149" customFormat="1" ht="13.5" customHeight="1">
      <c r="A42" s="572" t="s">
        <v>643</v>
      </c>
      <c r="B42" s="419"/>
      <c r="C42" s="419"/>
      <c r="D42" s="419"/>
      <c r="E42" s="419"/>
      <c r="F42" s="419"/>
      <c r="G42" s="419"/>
      <c r="H42" s="419"/>
      <c r="I42" s="419"/>
      <c r="J42" s="419"/>
      <c r="K42" s="419"/>
      <c r="L42" s="419"/>
      <c r="M42" s="143"/>
      <c r="N42" s="143"/>
      <c r="O42" s="143"/>
      <c r="P42" s="143"/>
      <c r="Q42" s="143"/>
      <c r="R42" s="143"/>
      <c r="T42" s="143"/>
      <c r="U42" s="143"/>
    </row>
    <row r="43" spans="1:205" s="556" customFormat="1" ht="15" customHeight="1">
      <c r="A43" s="144"/>
      <c r="B43" s="729" t="s">
        <v>1058</v>
      </c>
      <c r="C43" s="729" t="s">
        <v>255</v>
      </c>
      <c r="D43" s="486"/>
      <c r="E43" s="753" t="s">
        <v>626</v>
      </c>
      <c r="F43" s="731"/>
      <c r="G43" s="731"/>
      <c r="H43" s="731"/>
      <c r="I43" s="731"/>
      <c r="J43" s="731"/>
      <c r="K43" s="731"/>
      <c r="L43" s="731"/>
      <c r="M43" s="134"/>
      <c r="N43" s="736" t="s">
        <v>205</v>
      </c>
      <c r="O43" s="736"/>
      <c r="P43" s="736"/>
      <c r="Q43" s="736"/>
      <c r="R43" s="736"/>
      <c r="S43" s="736"/>
      <c r="T43" s="736"/>
      <c r="U43" s="736"/>
      <c r="V43" s="134"/>
      <c r="W43" s="736" t="s">
        <v>625</v>
      </c>
      <c r="X43" s="736"/>
      <c r="Y43" s="736"/>
      <c r="Z43" s="736"/>
      <c r="AA43" s="736"/>
      <c r="AB43" s="736"/>
      <c r="AC43" s="736"/>
      <c r="AD43" s="736"/>
      <c r="AE43" s="486"/>
      <c r="AF43" s="736" t="s">
        <v>206</v>
      </c>
      <c r="AG43" s="736"/>
      <c r="AH43" s="736"/>
      <c r="AI43" s="736"/>
      <c r="AJ43" s="736"/>
      <c r="AK43" s="736"/>
      <c r="AL43" s="736"/>
      <c r="AM43" s="736"/>
      <c r="AN43" s="486"/>
      <c r="AO43" s="731" t="s">
        <v>207</v>
      </c>
      <c r="AP43" s="731"/>
      <c r="AQ43" s="731"/>
      <c r="AR43" s="731"/>
      <c r="AS43" s="731"/>
      <c r="AT43" s="731"/>
      <c r="AU43" s="731"/>
      <c r="AV43" s="731"/>
    </row>
    <row r="44" spans="1:205" s="556" customFormat="1">
      <c r="A44" s="53"/>
      <c r="B44" s="730"/>
      <c r="C44" s="730"/>
      <c r="D44" s="6"/>
      <c r="E44" s="6" t="s">
        <v>158</v>
      </c>
      <c r="F44" s="6" t="s">
        <v>159</v>
      </c>
      <c r="G44" s="6" t="s">
        <v>160</v>
      </c>
      <c r="H44" s="6" t="s">
        <v>161</v>
      </c>
      <c r="I44" s="51" t="s">
        <v>33</v>
      </c>
      <c r="J44" s="51" t="s">
        <v>51</v>
      </c>
      <c r="K44" s="51" t="s">
        <v>52</v>
      </c>
      <c r="L44" s="51" t="s">
        <v>28</v>
      </c>
      <c r="M44" s="5"/>
      <c r="N44" s="6" t="s">
        <v>158</v>
      </c>
      <c r="O44" s="6" t="s">
        <v>159</v>
      </c>
      <c r="P44" s="6" t="s">
        <v>160</v>
      </c>
      <c r="Q44" s="6" t="s">
        <v>161</v>
      </c>
      <c r="R44" s="51" t="s">
        <v>33</v>
      </c>
      <c r="S44" s="51" t="s">
        <v>51</v>
      </c>
      <c r="T44" s="51" t="s">
        <v>52</v>
      </c>
      <c r="U44" s="51" t="s">
        <v>28</v>
      </c>
      <c r="V44" s="5"/>
      <c r="W44" s="6" t="s">
        <v>158</v>
      </c>
      <c r="X44" s="6" t="s">
        <v>159</v>
      </c>
      <c r="Y44" s="6" t="s">
        <v>160</v>
      </c>
      <c r="Z44" s="6" t="s">
        <v>161</v>
      </c>
      <c r="AA44" s="51" t="s">
        <v>33</v>
      </c>
      <c r="AB44" s="51" t="s">
        <v>51</v>
      </c>
      <c r="AC44" s="51" t="s">
        <v>52</v>
      </c>
      <c r="AD44" s="51" t="s">
        <v>28</v>
      </c>
      <c r="AF44" s="6" t="s">
        <v>158</v>
      </c>
      <c r="AG44" s="6" t="s">
        <v>159</v>
      </c>
      <c r="AH44" s="6" t="s">
        <v>160</v>
      </c>
      <c r="AI44" s="6" t="s">
        <v>161</v>
      </c>
      <c r="AJ44" s="51" t="s">
        <v>33</v>
      </c>
      <c r="AK44" s="51" t="s">
        <v>51</v>
      </c>
      <c r="AL44" s="51" t="s">
        <v>52</v>
      </c>
      <c r="AM44" s="51" t="s">
        <v>28</v>
      </c>
      <c r="AN44" s="6"/>
      <c r="AO44" s="6" t="s">
        <v>158</v>
      </c>
      <c r="AP44" s="6" t="s">
        <v>159</v>
      </c>
      <c r="AQ44" s="6" t="s">
        <v>160</v>
      </c>
      <c r="AR44" s="6" t="s">
        <v>161</v>
      </c>
      <c r="AS44" s="51" t="s">
        <v>33</v>
      </c>
      <c r="AT44" s="51" t="s">
        <v>51</v>
      </c>
      <c r="AU44" s="51" t="s">
        <v>52</v>
      </c>
      <c r="AV44" s="51" t="s">
        <v>28</v>
      </c>
      <c r="AX44" s="103"/>
    </row>
    <row r="45" spans="1:205" s="149" customFormat="1" ht="10.5" customHeight="1">
      <c r="A45" s="259" t="s">
        <v>48</v>
      </c>
      <c r="B45" s="157">
        <f>B49</f>
        <v>0.10101449850796711</v>
      </c>
      <c r="C45" s="158">
        <f>C49</f>
        <v>0.99108366685410487</v>
      </c>
      <c r="D45" s="556"/>
      <c r="E45" s="143">
        <f t="shared" ref="E45:L45" si="76">LN(1-W45/100)*-1</f>
        <v>1.9182819416773987E-2</v>
      </c>
      <c r="F45" s="143">
        <f t="shared" si="76"/>
        <v>9.431067947124129E-2</v>
      </c>
      <c r="G45" s="143">
        <f t="shared" si="76"/>
        <v>0.15082288973458366</v>
      </c>
      <c r="H45" s="143">
        <f t="shared" si="76"/>
        <v>0.1960148839259572</v>
      </c>
      <c r="I45" s="143">
        <f t="shared" si="76"/>
        <v>0.23825718912425789</v>
      </c>
      <c r="J45" s="143">
        <f t="shared" si="76"/>
        <v>0.26657310924154576</v>
      </c>
      <c r="K45" s="143">
        <f t="shared" si="76"/>
        <v>0.31060957709548559</v>
      </c>
      <c r="L45" s="143">
        <f t="shared" si="76"/>
        <v>0.4094731295057033</v>
      </c>
      <c r="M45" s="46"/>
      <c r="N45" s="143">
        <f t="shared" ref="N45:U45" si="77">LN(AF45)</f>
        <v>9.9683385248557439</v>
      </c>
      <c r="O45" s="143">
        <f t="shared" si="77"/>
        <v>10.757264379021041</v>
      </c>
      <c r="P45" s="143">
        <f t="shared" si="77"/>
        <v>11.245830026126836</v>
      </c>
      <c r="Q45" s="143">
        <f t="shared" si="77"/>
        <v>11.66461597821066</v>
      </c>
      <c r="R45" s="143">
        <f t="shared" si="77"/>
        <v>12.034809716092953</v>
      </c>
      <c r="S45" s="143">
        <f t="shared" si="77"/>
        <v>12.346356190977231</v>
      </c>
      <c r="T45" s="143">
        <f t="shared" si="77"/>
        <v>12.851236836067967</v>
      </c>
      <c r="U45" s="143">
        <f t="shared" si="77"/>
        <v>14.497161914010736</v>
      </c>
      <c r="V45" s="556"/>
      <c r="W45" s="573">
        <f>W6</f>
        <v>1.9</v>
      </c>
      <c r="X45" s="573">
        <f t="shared" ref="X45:AD45" si="78">X6</f>
        <v>9</v>
      </c>
      <c r="Y45" s="573">
        <f t="shared" si="78"/>
        <v>14</v>
      </c>
      <c r="Z45" s="573">
        <f t="shared" si="78"/>
        <v>17.8</v>
      </c>
      <c r="AA45" s="573">
        <f t="shared" si="78"/>
        <v>21.2</v>
      </c>
      <c r="AB45" s="573">
        <f t="shared" si="78"/>
        <v>23.4</v>
      </c>
      <c r="AC45" s="573">
        <f t="shared" si="78"/>
        <v>26.7</v>
      </c>
      <c r="AD45" s="573">
        <f t="shared" si="78"/>
        <v>33.6</v>
      </c>
      <c r="AE45" s="556"/>
      <c r="AF45" s="579">
        <f>AF$6*1.1</f>
        <v>21340</v>
      </c>
      <c r="AG45" s="579">
        <f t="shared" ref="AG45:AM45" si="79">AG$6*1.1</f>
        <v>46970.000000000007</v>
      </c>
      <c r="AH45" s="579">
        <f t="shared" si="79"/>
        <v>76560</v>
      </c>
      <c r="AI45" s="579">
        <f t="shared" si="79"/>
        <v>116380.00000000001</v>
      </c>
      <c r="AJ45" s="579">
        <f t="shared" si="79"/>
        <v>168520</v>
      </c>
      <c r="AK45" s="579">
        <f t="shared" si="79"/>
        <v>230120.00000000003</v>
      </c>
      <c r="AL45" s="579">
        <f t="shared" si="79"/>
        <v>381260.00000000006</v>
      </c>
      <c r="AM45" s="579">
        <f t="shared" si="79"/>
        <v>1977140.0000000002</v>
      </c>
      <c r="AN45" s="556"/>
      <c r="AO45" s="60">
        <f t="shared" ref="AO45:AV45" si="80">W45*AF45/100</f>
        <v>405.46</v>
      </c>
      <c r="AP45" s="60">
        <f t="shared" si="80"/>
        <v>4227.3</v>
      </c>
      <c r="AQ45" s="60">
        <f t="shared" si="80"/>
        <v>10718.4</v>
      </c>
      <c r="AR45" s="60">
        <f t="shared" si="80"/>
        <v>20715.640000000003</v>
      </c>
      <c r="AS45" s="60">
        <f t="shared" si="80"/>
        <v>35726.239999999998</v>
      </c>
      <c r="AT45" s="60">
        <f t="shared" si="80"/>
        <v>53848.08</v>
      </c>
      <c r="AU45" s="60">
        <f t="shared" si="80"/>
        <v>101796.42000000001</v>
      </c>
      <c r="AV45" s="60">
        <f t="shared" si="80"/>
        <v>664319.04</v>
      </c>
    </row>
    <row r="46" spans="1:205" s="149" customFormat="1" ht="9" customHeight="1">
      <c r="A46" s="259"/>
      <c r="E46" s="143"/>
      <c r="F46" s="143"/>
      <c r="G46" s="143"/>
      <c r="H46" s="143"/>
      <c r="I46" s="143"/>
      <c r="J46" s="143"/>
      <c r="K46" s="143"/>
      <c r="L46" s="143"/>
      <c r="M46" s="143"/>
      <c r="N46" s="143"/>
      <c r="O46" s="143"/>
      <c r="P46" s="143"/>
      <c r="Q46" s="143"/>
      <c r="R46" s="143"/>
      <c r="S46" s="143"/>
      <c r="T46" s="143"/>
      <c r="U46" s="143"/>
    </row>
    <row r="47" spans="1:205" s="556" customFormat="1">
      <c r="A47" s="256"/>
      <c r="E47" s="745" t="s">
        <v>158</v>
      </c>
      <c r="F47" s="745"/>
      <c r="G47" s="745"/>
      <c r="H47" s="745"/>
      <c r="I47" s="745"/>
      <c r="J47" s="745"/>
      <c r="K47" s="745"/>
      <c r="L47" s="745"/>
      <c r="M47" s="745"/>
      <c r="N47" s="745"/>
      <c r="O47" s="745"/>
      <c r="P47" s="745"/>
      <c r="Q47" s="745"/>
      <c r="R47" s="745"/>
      <c r="S47" s="745"/>
      <c r="T47" s="745"/>
      <c r="U47" s="745"/>
      <c r="V47" s="745"/>
      <c r="W47" s="745"/>
      <c r="X47" s="745"/>
      <c r="Y47" s="745" t="s">
        <v>159</v>
      </c>
      <c r="Z47" s="745"/>
      <c r="AA47" s="745"/>
      <c r="AB47" s="745"/>
      <c r="AC47" s="745"/>
      <c r="AD47" s="745"/>
      <c r="AE47" s="745"/>
      <c r="AF47" s="745"/>
      <c r="AG47" s="745"/>
      <c r="AH47" s="745"/>
      <c r="AI47" s="745"/>
      <c r="AJ47" s="745"/>
      <c r="AK47" s="745"/>
      <c r="AL47" s="745"/>
      <c r="AM47" s="745"/>
      <c r="AN47" s="745"/>
      <c r="AO47" s="745"/>
      <c r="AP47" s="745"/>
      <c r="AQ47" s="745"/>
      <c r="AR47" s="745"/>
      <c r="AS47" s="745" t="s">
        <v>160</v>
      </c>
      <c r="AT47" s="745"/>
      <c r="AU47" s="745"/>
      <c r="AV47" s="745"/>
      <c r="AW47" s="745"/>
      <c r="AX47" s="745"/>
      <c r="AY47" s="745"/>
      <c r="AZ47" s="745"/>
      <c r="BA47" s="745"/>
      <c r="BB47" s="745"/>
      <c r="BC47" s="745"/>
      <c r="BD47" s="745"/>
      <c r="BE47" s="745"/>
      <c r="BF47" s="745"/>
      <c r="BG47" s="745"/>
      <c r="BH47" s="745"/>
      <c r="BI47" s="745"/>
      <c r="BJ47" s="745"/>
      <c r="BK47" s="745"/>
      <c r="BL47" s="745"/>
      <c r="BM47" s="745" t="s">
        <v>161</v>
      </c>
      <c r="BN47" s="745"/>
      <c r="BO47" s="745"/>
      <c r="BP47" s="745"/>
      <c r="BQ47" s="745"/>
      <c r="BR47" s="745"/>
      <c r="BS47" s="745"/>
      <c r="BT47" s="745"/>
      <c r="BU47" s="745"/>
      <c r="BV47" s="745"/>
      <c r="BW47" s="745"/>
      <c r="BX47" s="745"/>
      <c r="BY47" s="745"/>
      <c r="BZ47" s="745"/>
      <c r="CA47" s="745"/>
      <c r="CB47" s="745"/>
      <c r="CC47" s="745"/>
      <c r="CD47" s="745"/>
      <c r="CE47" s="745"/>
      <c r="CF47" s="745"/>
      <c r="CG47" s="746" t="s">
        <v>33</v>
      </c>
      <c r="CH47" s="746"/>
      <c r="CI47" s="746"/>
      <c r="CJ47" s="746"/>
      <c r="CK47" s="746"/>
      <c r="CL47" s="746"/>
      <c r="CM47" s="746"/>
      <c r="CN47" s="746"/>
      <c r="CO47" s="746"/>
      <c r="CP47" s="746"/>
      <c r="CQ47" s="746" t="s">
        <v>51</v>
      </c>
      <c r="CR47" s="746"/>
      <c r="CS47" s="746"/>
      <c r="CT47" s="746"/>
      <c r="CU47" s="746"/>
      <c r="CV47" s="746" t="s">
        <v>52</v>
      </c>
      <c r="CW47" s="746"/>
      <c r="CX47" s="746"/>
      <c r="CY47" s="746"/>
      <c r="CZ47" s="493" t="s">
        <v>28</v>
      </c>
      <c r="DB47" s="745" t="s">
        <v>158</v>
      </c>
      <c r="DC47" s="745"/>
      <c r="DD47" s="745"/>
      <c r="DE47" s="745"/>
      <c r="DF47" s="745"/>
      <c r="DG47" s="745"/>
      <c r="DH47" s="745"/>
      <c r="DI47" s="745"/>
      <c r="DJ47" s="745"/>
      <c r="DK47" s="745"/>
      <c r="DL47" s="745"/>
      <c r="DM47" s="745"/>
      <c r="DN47" s="745"/>
      <c r="DO47" s="745"/>
      <c r="DP47" s="745"/>
      <c r="DQ47" s="745"/>
      <c r="DR47" s="745"/>
      <c r="DS47" s="745"/>
      <c r="DT47" s="745"/>
      <c r="DU47" s="745"/>
      <c r="DV47" s="745" t="s">
        <v>159</v>
      </c>
      <c r="DW47" s="745"/>
      <c r="DX47" s="745"/>
      <c r="DY47" s="745"/>
      <c r="DZ47" s="745"/>
      <c r="EA47" s="745"/>
      <c r="EB47" s="745"/>
      <c r="EC47" s="745"/>
      <c r="ED47" s="745"/>
      <c r="EE47" s="745"/>
      <c r="EF47" s="745"/>
      <c r="EG47" s="745"/>
      <c r="EH47" s="745"/>
      <c r="EI47" s="745"/>
      <c r="EJ47" s="745"/>
      <c r="EK47" s="745"/>
      <c r="EL47" s="745"/>
      <c r="EM47" s="745"/>
      <c r="EN47" s="745"/>
      <c r="EO47" s="745"/>
      <c r="EP47" s="745" t="s">
        <v>160</v>
      </c>
      <c r="EQ47" s="745"/>
      <c r="ER47" s="745"/>
      <c r="ES47" s="745"/>
      <c r="ET47" s="745"/>
      <c r="EU47" s="745"/>
      <c r="EV47" s="745"/>
      <c r="EW47" s="745"/>
      <c r="EX47" s="745"/>
      <c r="EY47" s="745"/>
      <c r="EZ47" s="745"/>
      <c r="FA47" s="745"/>
      <c r="FB47" s="745"/>
      <c r="FC47" s="745"/>
      <c r="FD47" s="745"/>
      <c r="FE47" s="745"/>
      <c r="FF47" s="745"/>
      <c r="FG47" s="745"/>
      <c r="FH47" s="745"/>
      <c r="FI47" s="745"/>
      <c r="FJ47" s="745" t="s">
        <v>161</v>
      </c>
      <c r="FK47" s="745"/>
      <c r="FL47" s="745"/>
      <c r="FM47" s="745"/>
      <c r="FN47" s="745"/>
      <c r="FO47" s="745"/>
      <c r="FP47" s="745"/>
      <c r="FQ47" s="745"/>
      <c r="FR47" s="745"/>
      <c r="FS47" s="745"/>
      <c r="FT47" s="745"/>
      <c r="FU47" s="745"/>
      <c r="FV47" s="745"/>
      <c r="FW47" s="745"/>
      <c r="FX47" s="745"/>
      <c r="FY47" s="745"/>
      <c r="FZ47" s="745"/>
      <c r="GA47" s="745"/>
      <c r="GB47" s="745"/>
      <c r="GC47" s="745"/>
      <c r="GD47" s="746" t="s">
        <v>33</v>
      </c>
      <c r="GE47" s="746"/>
      <c r="GF47" s="746"/>
      <c r="GG47" s="746"/>
      <c r="GH47" s="746"/>
      <c r="GI47" s="746"/>
      <c r="GJ47" s="746"/>
      <c r="GK47" s="746"/>
      <c r="GL47" s="746"/>
      <c r="GM47" s="746"/>
      <c r="GN47" s="746" t="s">
        <v>51</v>
      </c>
      <c r="GO47" s="746"/>
      <c r="GP47" s="746"/>
      <c r="GQ47" s="746"/>
      <c r="GR47" s="746"/>
      <c r="GS47" s="746" t="s">
        <v>52</v>
      </c>
      <c r="GT47" s="746"/>
      <c r="GU47" s="746"/>
      <c r="GV47" s="746"/>
      <c r="GW47" s="493" t="s">
        <v>28</v>
      </c>
    </row>
    <row r="48" spans="1:205" s="46" customFormat="1">
      <c r="A48" s="15"/>
      <c r="E48" s="255">
        <v>1</v>
      </c>
      <c r="F48" s="255">
        <f t="shared" ref="F48:AK48" si="81">E48+1</f>
        <v>2</v>
      </c>
      <c r="G48" s="255">
        <f t="shared" si="81"/>
        <v>3</v>
      </c>
      <c r="H48" s="255">
        <f t="shared" si="81"/>
        <v>4</v>
      </c>
      <c r="I48" s="255">
        <f t="shared" si="81"/>
        <v>5</v>
      </c>
      <c r="J48" s="255">
        <f t="shared" si="81"/>
        <v>6</v>
      </c>
      <c r="K48" s="255">
        <f t="shared" si="81"/>
        <v>7</v>
      </c>
      <c r="L48" s="255">
        <f t="shared" si="81"/>
        <v>8</v>
      </c>
      <c r="M48" s="255">
        <f t="shared" si="81"/>
        <v>9</v>
      </c>
      <c r="N48" s="255">
        <f t="shared" si="81"/>
        <v>10</v>
      </c>
      <c r="O48" s="255">
        <f t="shared" si="81"/>
        <v>11</v>
      </c>
      <c r="P48" s="255">
        <f t="shared" si="81"/>
        <v>12</v>
      </c>
      <c r="Q48" s="255">
        <f t="shared" si="81"/>
        <v>13</v>
      </c>
      <c r="R48" s="255">
        <f t="shared" si="81"/>
        <v>14</v>
      </c>
      <c r="S48" s="255">
        <f t="shared" si="81"/>
        <v>15</v>
      </c>
      <c r="T48" s="255">
        <f t="shared" si="81"/>
        <v>16</v>
      </c>
      <c r="U48" s="255">
        <f t="shared" si="81"/>
        <v>17</v>
      </c>
      <c r="V48" s="255">
        <f t="shared" si="81"/>
        <v>18</v>
      </c>
      <c r="W48" s="255">
        <f t="shared" si="81"/>
        <v>19</v>
      </c>
      <c r="X48" s="255">
        <f t="shared" si="81"/>
        <v>20</v>
      </c>
      <c r="Y48" s="255">
        <f t="shared" si="81"/>
        <v>21</v>
      </c>
      <c r="Z48" s="255">
        <f t="shared" si="81"/>
        <v>22</v>
      </c>
      <c r="AA48" s="255">
        <f t="shared" si="81"/>
        <v>23</v>
      </c>
      <c r="AB48" s="255">
        <f t="shared" si="81"/>
        <v>24</v>
      </c>
      <c r="AC48" s="255">
        <f t="shared" si="81"/>
        <v>25</v>
      </c>
      <c r="AD48" s="255">
        <f t="shared" si="81"/>
        <v>26</v>
      </c>
      <c r="AE48" s="255">
        <f t="shared" si="81"/>
        <v>27</v>
      </c>
      <c r="AF48" s="255">
        <f t="shared" si="81"/>
        <v>28</v>
      </c>
      <c r="AG48" s="255">
        <f t="shared" si="81"/>
        <v>29</v>
      </c>
      <c r="AH48" s="255">
        <f t="shared" si="81"/>
        <v>30</v>
      </c>
      <c r="AI48" s="255">
        <f t="shared" si="81"/>
        <v>31</v>
      </c>
      <c r="AJ48" s="255">
        <f t="shared" si="81"/>
        <v>32</v>
      </c>
      <c r="AK48" s="255">
        <f t="shared" si="81"/>
        <v>33</v>
      </c>
      <c r="AL48" s="255">
        <f t="shared" ref="AL48:BQ48" si="82">AK48+1</f>
        <v>34</v>
      </c>
      <c r="AM48" s="255">
        <f t="shared" si="82"/>
        <v>35</v>
      </c>
      <c r="AN48" s="255">
        <f t="shared" si="82"/>
        <v>36</v>
      </c>
      <c r="AO48" s="255">
        <f t="shared" si="82"/>
        <v>37</v>
      </c>
      <c r="AP48" s="255">
        <f t="shared" si="82"/>
        <v>38</v>
      </c>
      <c r="AQ48" s="255">
        <f t="shared" si="82"/>
        <v>39</v>
      </c>
      <c r="AR48" s="255">
        <f t="shared" si="82"/>
        <v>40</v>
      </c>
      <c r="AS48" s="255">
        <f t="shared" si="82"/>
        <v>41</v>
      </c>
      <c r="AT48" s="255">
        <f t="shared" si="82"/>
        <v>42</v>
      </c>
      <c r="AU48" s="255">
        <f t="shared" si="82"/>
        <v>43</v>
      </c>
      <c r="AV48" s="255">
        <f t="shared" si="82"/>
        <v>44</v>
      </c>
      <c r="AW48" s="255">
        <f t="shared" si="82"/>
        <v>45</v>
      </c>
      <c r="AX48" s="255">
        <f t="shared" si="82"/>
        <v>46</v>
      </c>
      <c r="AY48" s="255">
        <f t="shared" si="82"/>
        <v>47</v>
      </c>
      <c r="AZ48" s="255">
        <f t="shared" si="82"/>
        <v>48</v>
      </c>
      <c r="BA48" s="255">
        <f t="shared" si="82"/>
        <v>49</v>
      </c>
      <c r="BB48" s="255">
        <f t="shared" si="82"/>
        <v>50</v>
      </c>
      <c r="BC48" s="255">
        <f t="shared" si="82"/>
        <v>51</v>
      </c>
      <c r="BD48" s="255">
        <f t="shared" si="82"/>
        <v>52</v>
      </c>
      <c r="BE48" s="255">
        <f t="shared" si="82"/>
        <v>53</v>
      </c>
      <c r="BF48" s="255">
        <f t="shared" si="82"/>
        <v>54</v>
      </c>
      <c r="BG48" s="255">
        <f t="shared" si="82"/>
        <v>55</v>
      </c>
      <c r="BH48" s="255">
        <f t="shared" si="82"/>
        <v>56</v>
      </c>
      <c r="BI48" s="255">
        <f t="shared" si="82"/>
        <v>57</v>
      </c>
      <c r="BJ48" s="255">
        <f t="shared" si="82"/>
        <v>58</v>
      </c>
      <c r="BK48" s="255">
        <f t="shared" si="82"/>
        <v>59</v>
      </c>
      <c r="BL48" s="255">
        <f t="shared" si="82"/>
        <v>60</v>
      </c>
      <c r="BM48" s="255">
        <f t="shared" si="82"/>
        <v>61</v>
      </c>
      <c r="BN48" s="255">
        <f t="shared" si="82"/>
        <v>62</v>
      </c>
      <c r="BO48" s="255">
        <f t="shared" si="82"/>
        <v>63</v>
      </c>
      <c r="BP48" s="255">
        <f t="shared" si="82"/>
        <v>64</v>
      </c>
      <c r="BQ48" s="255">
        <f t="shared" si="82"/>
        <v>65</v>
      </c>
      <c r="BR48" s="255">
        <f t="shared" ref="BR48:CZ48" si="83">BQ48+1</f>
        <v>66</v>
      </c>
      <c r="BS48" s="255">
        <f t="shared" si="83"/>
        <v>67</v>
      </c>
      <c r="BT48" s="255">
        <f t="shared" si="83"/>
        <v>68</v>
      </c>
      <c r="BU48" s="255">
        <f t="shared" si="83"/>
        <v>69</v>
      </c>
      <c r="BV48" s="255">
        <f t="shared" si="83"/>
        <v>70</v>
      </c>
      <c r="BW48" s="255">
        <f t="shared" si="83"/>
        <v>71</v>
      </c>
      <c r="BX48" s="255">
        <f t="shared" si="83"/>
        <v>72</v>
      </c>
      <c r="BY48" s="255">
        <f t="shared" si="83"/>
        <v>73</v>
      </c>
      <c r="BZ48" s="255">
        <f t="shared" si="83"/>
        <v>74</v>
      </c>
      <c r="CA48" s="255">
        <f t="shared" si="83"/>
        <v>75</v>
      </c>
      <c r="CB48" s="255">
        <f t="shared" si="83"/>
        <v>76</v>
      </c>
      <c r="CC48" s="255">
        <f t="shared" si="83"/>
        <v>77</v>
      </c>
      <c r="CD48" s="255">
        <f t="shared" si="83"/>
        <v>78</v>
      </c>
      <c r="CE48" s="255">
        <f t="shared" si="83"/>
        <v>79</v>
      </c>
      <c r="CF48" s="255">
        <f t="shared" si="83"/>
        <v>80</v>
      </c>
      <c r="CG48" s="255">
        <f t="shared" si="83"/>
        <v>81</v>
      </c>
      <c r="CH48" s="255">
        <f t="shared" si="83"/>
        <v>82</v>
      </c>
      <c r="CI48" s="255">
        <f t="shared" si="83"/>
        <v>83</v>
      </c>
      <c r="CJ48" s="255">
        <f t="shared" si="83"/>
        <v>84</v>
      </c>
      <c r="CK48" s="255">
        <f t="shared" si="83"/>
        <v>85</v>
      </c>
      <c r="CL48" s="255">
        <f t="shared" si="83"/>
        <v>86</v>
      </c>
      <c r="CM48" s="255">
        <f t="shared" si="83"/>
        <v>87</v>
      </c>
      <c r="CN48" s="255">
        <f t="shared" si="83"/>
        <v>88</v>
      </c>
      <c r="CO48" s="255">
        <f t="shared" si="83"/>
        <v>89</v>
      </c>
      <c r="CP48" s="255">
        <f t="shared" si="83"/>
        <v>90</v>
      </c>
      <c r="CQ48" s="255">
        <f t="shared" si="83"/>
        <v>91</v>
      </c>
      <c r="CR48" s="255">
        <f t="shared" si="83"/>
        <v>92</v>
      </c>
      <c r="CS48" s="255">
        <f t="shared" si="83"/>
        <v>93</v>
      </c>
      <c r="CT48" s="255">
        <f t="shared" si="83"/>
        <v>94</v>
      </c>
      <c r="CU48" s="255">
        <f t="shared" si="83"/>
        <v>95</v>
      </c>
      <c r="CV48" s="255">
        <f t="shared" si="83"/>
        <v>96</v>
      </c>
      <c r="CW48" s="255">
        <f t="shared" si="83"/>
        <v>97</v>
      </c>
      <c r="CX48" s="255">
        <f t="shared" si="83"/>
        <v>98</v>
      </c>
      <c r="CY48" s="255">
        <f t="shared" si="83"/>
        <v>99</v>
      </c>
      <c r="CZ48" s="255">
        <f t="shared" si="83"/>
        <v>100</v>
      </c>
      <c r="DB48" s="255">
        <v>1</v>
      </c>
      <c r="DC48" s="255">
        <f t="shared" ref="DC48:EH48" si="84">DB48+1</f>
        <v>2</v>
      </c>
      <c r="DD48" s="255">
        <f t="shared" si="84"/>
        <v>3</v>
      </c>
      <c r="DE48" s="255">
        <f t="shared" si="84"/>
        <v>4</v>
      </c>
      <c r="DF48" s="255">
        <f t="shared" si="84"/>
        <v>5</v>
      </c>
      <c r="DG48" s="255">
        <f t="shared" si="84"/>
        <v>6</v>
      </c>
      <c r="DH48" s="255">
        <f t="shared" si="84"/>
        <v>7</v>
      </c>
      <c r="DI48" s="255">
        <f t="shared" si="84"/>
        <v>8</v>
      </c>
      <c r="DJ48" s="255">
        <f t="shared" si="84"/>
        <v>9</v>
      </c>
      <c r="DK48" s="255">
        <f t="shared" si="84"/>
        <v>10</v>
      </c>
      <c r="DL48" s="255">
        <f t="shared" si="84"/>
        <v>11</v>
      </c>
      <c r="DM48" s="255">
        <f t="shared" si="84"/>
        <v>12</v>
      </c>
      <c r="DN48" s="255">
        <f t="shared" si="84"/>
        <v>13</v>
      </c>
      <c r="DO48" s="255">
        <f t="shared" si="84"/>
        <v>14</v>
      </c>
      <c r="DP48" s="255">
        <f t="shared" si="84"/>
        <v>15</v>
      </c>
      <c r="DQ48" s="255">
        <f t="shared" si="84"/>
        <v>16</v>
      </c>
      <c r="DR48" s="255">
        <f t="shared" si="84"/>
        <v>17</v>
      </c>
      <c r="DS48" s="255">
        <f t="shared" si="84"/>
        <v>18</v>
      </c>
      <c r="DT48" s="255">
        <f t="shared" si="84"/>
        <v>19</v>
      </c>
      <c r="DU48" s="255">
        <f t="shared" si="84"/>
        <v>20</v>
      </c>
      <c r="DV48" s="255">
        <f t="shared" si="84"/>
        <v>21</v>
      </c>
      <c r="DW48" s="255">
        <f t="shared" si="84"/>
        <v>22</v>
      </c>
      <c r="DX48" s="255">
        <f t="shared" si="84"/>
        <v>23</v>
      </c>
      <c r="DY48" s="255">
        <f t="shared" si="84"/>
        <v>24</v>
      </c>
      <c r="DZ48" s="255">
        <f t="shared" si="84"/>
        <v>25</v>
      </c>
      <c r="EA48" s="255">
        <f t="shared" si="84"/>
        <v>26</v>
      </c>
      <c r="EB48" s="255">
        <f t="shared" si="84"/>
        <v>27</v>
      </c>
      <c r="EC48" s="255">
        <f t="shared" si="84"/>
        <v>28</v>
      </c>
      <c r="ED48" s="255">
        <f t="shared" si="84"/>
        <v>29</v>
      </c>
      <c r="EE48" s="255">
        <f t="shared" si="84"/>
        <v>30</v>
      </c>
      <c r="EF48" s="255">
        <f t="shared" si="84"/>
        <v>31</v>
      </c>
      <c r="EG48" s="255">
        <f t="shared" si="84"/>
        <v>32</v>
      </c>
      <c r="EH48" s="255">
        <f t="shared" si="84"/>
        <v>33</v>
      </c>
      <c r="EI48" s="255">
        <f t="shared" ref="EI48:FN48" si="85">EH48+1</f>
        <v>34</v>
      </c>
      <c r="EJ48" s="255">
        <f t="shared" si="85"/>
        <v>35</v>
      </c>
      <c r="EK48" s="255">
        <f t="shared" si="85"/>
        <v>36</v>
      </c>
      <c r="EL48" s="255">
        <f t="shared" si="85"/>
        <v>37</v>
      </c>
      <c r="EM48" s="255">
        <f t="shared" si="85"/>
        <v>38</v>
      </c>
      <c r="EN48" s="255">
        <f t="shared" si="85"/>
        <v>39</v>
      </c>
      <c r="EO48" s="255">
        <f t="shared" si="85"/>
        <v>40</v>
      </c>
      <c r="EP48" s="255">
        <f t="shared" si="85"/>
        <v>41</v>
      </c>
      <c r="EQ48" s="255">
        <f t="shared" si="85"/>
        <v>42</v>
      </c>
      <c r="ER48" s="255">
        <f t="shared" si="85"/>
        <v>43</v>
      </c>
      <c r="ES48" s="255">
        <f t="shared" si="85"/>
        <v>44</v>
      </c>
      <c r="ET48" s="255">
        <f t="shared" si="85"/>
        <v>45</v>
      </c>
      <c r="EU48" s="255">
        <f t="shared" si="85"/>
        <v>46</v>
      </c>
      <c r="EV48" s="255">
        <f t="shared" si="85"/>
        <v>47</v>
      </c>
      <c r="EW48" s="255">
        <f t="shared" si="85"/>
        <v>48</v>
      </c>
      <c r="EX48" s="255">
        <f t="shared" si="85"/>
        <v>49</v>
      </c>
      <c r="EY48" s="255">
        <f t="shared" si="85"/>
        <v>50</v>
      </c>
      <c r="EZ48" s="255">
        <f t="shared" si="85"/>
        <v>51</v>
      </c>
      <c r="FA48" s="255">
        <f t="shared" si="85"/>
        <v>52</v>
      </c>
      <c r="FB48" s="255">
        <f t="shared" si="85"/>
        <v>53</v>
      </c>
      <c r="FC48" s="255">
        <f t="shared" si="85"/>
        <v>54</v>
      </c>
      <c r="FD48" s="255">
        <f t="shared" si="85"/>
        <v>55</v>
      </c>
      <c r="FE48" s="255">
        <f t="shared" si="85"/>
        <v>56</v>
      </c>
      <c r="FF48" s="255">
        <f t="shared" si="85"/>
        <v>57</v>
      </c>
      <c r="FG48" s="255">
        <f t="shared" si="85"/>
        <v>58</v>
      </c>
      <c r="FH48" s="255">
        <f t="shared" si="85"/>
        <v>59</v>
      </c>
      <c r="FI48" s="255">
        <f t="shared" si="85"/>
        <v>60</v>
      </c>
      <c r="FJ48" s="255">
        <f t="shared" si="85"/>
        <v>61</v>
      </c>
      <c r="FK48" s="255">
        <f t="shared" si="85"/>
        <v>62</v>
      </c>
      <c r="FL48" s="255">
        <f t="shared" si="85"/>
        <v>63</v>
      </c>
      <c r="FM48" s="255">
        <f t="shared" si="85"/>
        <v>64</v>
      </c>
      <c r="FN48" s="255">
        <f t="shared" si="85"/>
        <v>65</v>
      </c>
      <c r="FO48" s="255">
        <f t="shared" ref="FO48:GW48" si="86">FN48+1</f>
        <v>66</v>
      </c>
      <c r="FP48" s="255">
        <f t="shared" si="86"/>
        <v>67</v>
      </c>
      <c r="FQ48" s="255">
        <f t="shared" si="86"/>
        <v>68</v>
      </c>
      <c r="FR48" s="255">
        <f t="shared" si="86"/>
        <v>69</v>
      </c>
      <c r="FS48" s="255">
        <f t="shared" si="86"/>
        <v>70</v>
      </c>
      <c r="FT48" s="255">
        <f t="shared" si="86"/>
        <v>71</v>
      </c>
      <c r="FU48" s="255">
        <f t="shared" si="86"/>
        <v>72</v>
      </c>
      <c r="FV48" s="255">
        <f t="shared" si="86"/>
        <v>73</v>
      </c>
      <c r="FW48" s="255">
        <f t="shared" si="86"/>
        <v>74</v>
      </c>
      <c r="FX48" s="255">
        <f t="shared" si="86"/>
        <v>75</v>
      </c>
      <c r="FY48" s="255">
        <f t="shared" si="86"/>
        <v>76</v>
      </c>
      <c r="FZ48" s="255">
        <f t="shared" si="86"/>
        <v>77</v>
      </c>
      <c r="GA48" s="255">
        <f t="shared" si="86"/>
        <v>78</v>
      </c>
      <c r="GB48" s="255">
        <f t="shared" si="86"/>
        <v>79</v>
      </c>
      <c r="GC48" s="255">
        <f t="shared" si="86"/>
        <v>80</v>
      </c>
      <c r="GD48" s="255">
        <f t="shared" si="86"/>
        <v>81</v>
      </c>
      <c r="GE48" s="255">
        <f t="shared" si="86"/>
        <v>82</v>
      </c>
      <c r="GF48" s="255">
        <f t="shared" si="86"/>
        <v>83</v>
      </c>
      <c r="GG48" s="255">
        <f t="shared" si="86"/>
        <v>84</v>
      </c>
      <c r="GH48" s="255">
        <f t="shared" si="86"/>
        <v>85</v>
      </c>
      <c r="GI48" s="255">
        <f t="shared" si="86"/>
        <v>86</v>
      </c>
      <c r="GJ48" s="255">
        <f t="shared" si="86"/>
        <v>87</v>
      </c>
      <c r="GK48" s="255">
        <f t="shared" si="86"/>
        <v>88</v>
      </c>
      <c r="GL48" s="255">
        <f t="shared" si="86"/>
        <v>89</v>
      </c>
      <c r="GM48" s="255">
        <f t="shared" si="86"/>
        <v>90</v>
      </c>
      <c r="GN48" s="255">
        <f t="shared" si="86"/>
        <v>91</v>
      </c>
      <c r="GO48" s="255">
        <f t="shared" si="86"/>
        <v>92</v>
      </c>
      <c r="GP48" s="255">
        <f t="shared" si="86"/>
        <v>93</v>
      </c>
      <c r="GQ48" s="255">
        <f t="shared" si="86"/>
        <v>94</v>
      </c>
      <c r="GR48" s="255">
        <f t="shared" si="86"/>
        <v>95</v>
      </c>
      <c r="GS48" s="255">
        <f t="shared" si="86"/>
        <v>96</v>
      </c>
      <c r="GT48" s="255">
        <f t="shared" si="86"/>
        <v>97</v>
      </c>
      <c r="GU48" s="255">
        <f t="shared" si="86"/>
        <v>98</v>
      </c>
      <c r="GV48" s="255">
        <f t="shared" si="86"/>
        <v>99</v>
      </c>
      <c r="GW48" s="255">
        <f t="shared" si="86"/>
        <v>100</v>
      </c>
    </row>
    <row r="49" spans="1:205" s="556" customFormat="1" ht="9" customHeight="1">
      <c r="A49" s="259" t="s">
        <v>48</v>
      </c>
      <c r="B49" s="143">
        <f>LINEST(E49:CZ49, DB49:GW49, TRUE, FALSE)</f>
        <v>0.10101449850796711</v>
      </c>
      <c r="C49" s="143">
        <f>RSQ(E49:CZ49, DB49:GW49)</f>
        <v>0.99108366685410487</v>
      </c>
      <c r="D49" s="60"/>
      <c r="E49" s="143">
        <f>E45</f>
        <v>1.9182819416773987E-2</v>
      </c>
      <c r="F49" s="143">
        <f t="shared" ref="F49:X49" si="87">E49</f>
        <v>1.9182819416773987E-2</v>
      </c>
      <c r="G49" s="143">
        <f t="shared" si="87"/>
        <v>1.9182819416773987E-2</v>
      </c>
      <c r="H49" s="143">
        <f t="shared" si="87"/>
        <v>1.9182819416773987E-2</v>
      </c>
      <c r="I49" s="143">
        <f t="shared" si="87"/>
        <v>1.9182819416773987E-2</v>
      </c>
      <c r="J49" s="143">
        <f t="shared" si="87"/>
        <v>1.9182819416773987E-2</v>
      </c>
      <c r="K49" s="143">
        <f t="shared" si="87"/>
        <v>1.9182819416773987E-2</v>
      </c>
      <c r="L49" s="143">
        <f t="shared" si="87"/>
        <v>1.9182819416773987E-2</v>
      </c>
      <c r="M49" s="143">
        <f t="shared" si="87"/>
        <v>1.9182819416773987E-2</v>
      </c>
      <c r="N49" s="143">
        <f t="shared" si="87"/>
        <v>1.9182819416773987E-2</v>
      </c>
      <c r="O49" s="143">
        <f t="shared" si="87"/>
        <v>1.9182819416773987E-2</v>
      </c>
      <c r="P49" s="143">
        <f t="shared" si="87"/>
        <v>1.9182819416773987E-2</v>
      </c>
      <c r="Q49" s="143">
        <f t="shared" si="87"/>
        <v>1.9182819416773987E-2</v>
      </c>
      <c r="R49" s="143">
        <f t="shared" si="87"/>
        <v>1.9182819416773987E-2</v>
      </c>
      <c r="S49" s="143">
        <f t="shared" si="87"/>
        <v>1.9182819416773987E-2</v>
      </c>
      <c r="T49" s="143">
        <f t="shared" si="87"/>
        <v>1.9182819416773987E-2</v>
      </c>
      <c r="U49" s="143">
        <f t="shared" si="87"/>
        <v>1.9182819416773987E-2</v>
      </c>
      <c r="V49" s="143">
        <f t="shared" si="87"/>
        <v>1.9182819416773987E-2</v>
      </c>
      <c r="W49" s="143">
        <f t="shared" si="87"/>
        <v>1.9182819416773987E-2</v>
      </c>
      <c r="X49" s="143">
        <f t="shared" si="87"/>
        <v>1.9182819416773987E-2</v>
      </c>
      <c r="Y49" s="143">
        <f>F45</f>
        <v>9.431067947124129E-2</v>
      </c>
      <c r="Z49" s="143">
        <f t="shared" ref="Z49:AR49" si="88">Y49</f>
        <v>9.431067947124129E-2</v>
      </c>
      <c r="AA49" s="143">
        <f t="shared" si="88"/>
        <v>9.431067947124129E-2</v>
      </c>
      <c r="AB49" s="143">
        <f t="shared" si="88"/>
        <v>9.431067947124129E-2</v>
      </c>
      <c r="AC49" s="143">
        <f t="shared" si="88"/>
        <v>9.431067947124129E-2</v>
      </c>
      <c r="AD49" s="143">
        <f t="shared" si="88"/>
        <v>9.431067947124129E-2</v>
      </c>
      <c r="AE49" s="143">
        <f t="shared" si="88"/>
        <v>9.431067947124129E-2</v>
      </c>
      <c r="AF49" s="143">
        <f t="shared" si="88"/>
        <v>9.431067947124129E-2</v>
      </c>
      <c r="AG49" s="143">
        <f t="shared" si="88"/>
        <v>9.431067947124129E-2</v>
      </c>
      <c r="AH49" s="143">
        <f t="shared" si="88"/>
        <v>9.431067947124129E-2</v>
      </c>
      <c r="AI49" s="143">
        <f t="shared" si="88"/>
        <v>9.431067947124129E-2</v>
      </c>
      <c r="AJ49" s="143">
        <f t="shared" si="88"/>
        <v>9.431067947124129E-2</v>
      </c>
      <c r="AK49" s="143">
        <f t="shared" si="88"/>
        <v>9.431067947124129E-2</v>
      </c>
      <c r="AL49" s="143">
        <f t="shared" si="88"/>
        <v>9.431067947124129E-2</v>
      </c>
      <c r="AM49" s="143">
        <f t="shared" si="88"/>
        <v>9.431067947124129E-2</v>
      </c>
      <c r="AN49" s="143">
        <f t="shared" si="88"/>
        <v>9.431067947124129E-2</v>
      </c>
      <c r="AO49" s="143">
        <f t="shared" si="88"/>
        <v>9.431067947124129E-2</v>
      </c>
      <c r="AP49" s="143">
        <f t="shared" si="88"/>
        <v>9.431067947124129E-2</v>
      </c>
      <c r="AQ49" s="143">
        <f t="shared" si="88"/>
        <v>9.431067947124129E-2</v>
      </c>
      <c r="AR49" s="143">
        <f t="shared" si="88"/>
        <v>9.431067947124129E-2</v>
      </c>
      <c r="AS49" s="143">
        <f>G45</f>
        <v>0.15082288973458366</v>
      </c>
      <c r="AT49" s="143">
        <f t="shared" ref="AT49:BL49" si="89">AS49</f>
        <v>0.15082288973458366</v>
      </c>
      <c r="AU49" s="143">
        <f t="shared" si="89"/>
        <v>0.15082288973458366</v>
      </c>
      <c r="AV49" s="143">
        <f t="shared" si="89"/>
        <v>0.15082288973458366</v>
      </c>
      <c r="AW49" s="143">
        <f t="shared" si="89"/>
        <v>0.15082288973458366</v>
      </c>
      <c r="AX49" s="143">
        <f t="shared" si="89"/>
        <v>0.15082288973458366</v>
      </c>
      <c r="AY49" s="143">
        <f t="shared" si="89"/>
        <v>0.15082288973458366</v>
      </c>
      <c r="AZ49" s="143">
        <f t="shared" si="89"/>
        <v>0.15082288973458366</v>
      </c>
      <c r="BA49" s="143">
        <f t="shared" si="89"/>
        <v>0.15082288973458366</v>
      </c>
      <c r="BB49" s="143">
        <f t="shared" si="89"/>
        <v>0.15082288973458366</v>
      </c>
      <c r="BC49" s="143">
        <f t="shared" si="89"/>
        <v>0.15082288973458366</v>
      </c>
      <c r="BD49" s="143">
        <f t="shared" si="89"/>
        <v>0.15082288973458366</v>
      </c>
      <c r="BE49" s="143">
        <f t="shared" si="89"/>
        <v>0.15082288973458366</v>
      </c>
      <c r="BF49" s="143">
        <f t="shared" si="89"/>
        <v>0.15082288973458366</v>
      </c>
      <c r="BG49" s="143">
        <f t="shared" si="89"/>
        <v>0.15082288973458366</v>
      </c>
      <c r="BH49" s="143">
        <f t="shared" si="89"/>
        <v>0.15082288973458366</v>
      </c>
      <c r="BI49" s="143">
        <f t="shared" si="89"/>
        <v>0.15082288973458366</v>
      </c>
      <c r="BJ49" s="143">
        <f t="shared" si="89"/>
        <v>0.15082288973458366</v>
      </c>
      <c r="BK49" s="143">
        <f t="shared" si="89"/>
        <v>0.15082288973458366</v>
      </c>
      <c r="BL49" s="143">
        <f t="shared" si="89"/>
        <v>0.15082288973458366</v>
      </c>
      <c r="BM49" s="143">
        <f>H45</f>
        <v>0.1960148839259572</v>
      </c>
      <c r="BN49" s="143">
        <f t="shared" ref="BN49:CF49" si="90">BM49</f>
        <v>0.1960148839259572</v>
      </c>
      <c r="BO49" s="143">
        <f t="shared" si="90"/>
        <v>0.1960148839259572</v>
      </c>
      <c r="BP49" s="143">
        <f t="shared" si="90"/>
        <v>0.1960148839259572</v>
      </c>
      <c r="BQ49" s="143">
        <f t="shared" si="90"/>
        <v>0.1960148839259572</v>
      </c>
      <c r="BR49" s="143">
        <f t="shared" si="90"/>
        <v>0.1960148839259572</v>
      </c>
      <c r="BS49" s="143">
        <f t="shared" si="90"/>
        <v>0.1960148839259572</v>
      </c>
      <c r="BT49" s="143">
        <f t="shared" si="90"/>
        <v>0.1960148839259572</v>
      </c>
      <c r="BU49" s="143">
        <f t="shared" si="90"/>
        <v>0.1960148839259572</v>
      </c>
      <c r="BV49" s="143">
        <f t="shared" si="90"/>
        <v>0.1960148839259572</v>
      </c>
      <c r="BW49" s="143">
        <f t="shared" si="90"/>
        <v>0.1960148839259572</v>
      </c>
      <c r="BX49" s="143">
        <f t="shared" si="90"/>
        <v>0.1960148839259572</v>
      </c>
      <c r="BY49" s="143">
        <f t="shared" si="90"/>
        <v>0.1960148839259572</v>
      </c>
      <c r="BZ49" s="143">
        <f t="shared" si="90"/>
        <v>0.1960148839259572</v>
      </c>
      <c r="CA49" s="143">
        <f t="shared" si="90"/>
        <v>0.1960148839259572</v>
      </c>
      <c r="CB49" s="143">
        <f t="shared" si="90"/>
        <v>0.1960148839259572</v>
      </c>
      <c r="CC49" s="143">
        <f t="shared" si="90"/>
        <v>0.1960148839259572</v>
      </c>
      <c r="CD49" s="143">
        <f t="shared" si="90"/>
        <v>0.1960148839259572</v>
      </c>
      <c r="CE49" s="143">
        <f t="shared" si="90"/>
        <v>0.1960148839259572</v>
      </c>
      <c r="CF49" s="143">
        <f t="shared" si="90"/>
        <v>0.1960148839259572</v>
      </c>
      <c r="CG49" s="143">
        <f>I45</f>
        <v>0.23825718912425789</v>
      </c>
      <c r="CH49" s="143">
        <f t="shared" ref="CH49:CP49" si="91">CG49</f>
        <v>0.23825718912425789</v>
      </c>
      <c r="CI49" s="143">
        <f t="shared" si="91"/>
        <v>0.23825718912425789</v>
      </c>
      <c r="CJ49" s="143">
        <f t="shared" si="91"/>
        <v>0.23825718912425789</v>
      </c>
      <c r="CK49" s="143">
        <f t="shared" si="91"/>
        <v>0.23825718912425789</v>
      </c>
      <c r="CL49" s="143">
        <f t="shared" si="91"/>
        <v>0.23825718912425789</v>
      </c>
      <c r="CM49" s="143">
        <f t="shared" si="91"/>
        <v>0.23825718912425789</v>
      </c>
      <c r="CN49" s="143">
        <f t="shared" si="91"/>
        <v>0.23825718912425789</v>
      </c>
      <c r="CO49" s="143">
        <f t="shared" si="91"/>
        <v>0.23825718912425789</v>
      </c>
      <c r="CP49" s="143">
        <f t="shared" si="91"/>
        <v>0.23825718912425789</v>
      </c>
      <c r="CQ49" s="143">
        <f>J45</f>
        <v>0.26657310924154576</v>
      </c>
      <c r="CR49" s="143">
        <f>CQ49</f>
        <v>0.26657310924154576</v>
      </c>
      <c r="CS49" s="143">
        <f>CR49</f>
        <v>0.26657310924154576</v>
      </c>
      <c r="CT49" s="143">
        <f>CS49</f>
        <v>0.26657310924154576</v>
      </c>
      <c r="CU49" s="143">
        <f>CT49</f>
        <v>0.26657310924154576</v>
      </c>
      <c r="CV49" s="143">
        <f>K45</f>
        <v>0.31060957709548559</v>
      </c>
      <c r="CW49" s="143">
        <f>CV49</f>
        <v>0.31060957709548559</v>
      </c>
      <c r="CX49" s="143">
        <f>CW49</f>
        <v>0.31060957709548559</v>
      </c>
      <c r="CY49" s="143">
        <f>CX49</f>
        <v>0.31060957709548559</v>
      </c>
      <c r="CZ49" s="143">
        <f>L45</f>
        <v>0.4094731295057033</v>
      </c>
      <c r="DA49" s="60"/>
      <c r="DB49" s="143">
        <f>N45</f>
        <v>9.9683385248557439</v>
      </c>
      <c r="DC49" s="143">
        <f t="shared" ref="DC49:DU49" si="92">DB49</f>
        <v>9.9683385248557439</v>
      </c>
      <c r="DD49" s="143">
        <f t="shared" si="92"/>
        <v>9.9683385248557439</v>
      </c>
      <c r="DE49" s="143">
        <f t="shared" si="92"/>
        <v>9.9683385248557439</v>
      </c>
      <c r="DF49" s="143">
        <f t="shared" si="92"/>
        <v>9.9683385248557439</v>
      </c>
      <c r="DG49" s="143">
        <f t="shared" si="92"/>
        <v>9.9683385248557439</v>
      </c>
      <c r="DH49" s="143">
        <f t="shared" si="92"/>
        <v>9.9683385248557439</v>
      </c>
      <c r="DI49" s="143">
        <f t="shared" si="92"/>
        <v>9.9683385248557439</v>
      </c>
      <c r="DJ49" s="143">
        <f t="shared" si="92"/>
        <v>9.9683385248557439</v>
      </c>
      <c r="DK49" s="143">
        <f t="shared" si="92"/>
        <v>9.9683385248557439</v>
      </c>
      <c r="DL49" s="143">
        <f t="shared" si="92"/>
        <v>9.9683385248557439</v>
      </c>
      <c r="DM49" s="143">
        <f t="shared" si="92"/>
        <v>9.9683385248557439</v>
      </c>
      <c r="DN49" s="143">
        <f t="shared" si="92"/>
        <v>9.9683385248557439</v>
      </c>
      <c r="DO49" s="143">
        <f t="shared" si="92"/>
        <v>9.9683385248557439</v>
      </c>
      <c r="DP49" s="143">
        <f t="shared" si="92"/>
        <v>9.9683385248557439</v>
      </c>
      <c r="DQ49" s="143">
        <f t="shared" si="92"/>
        <v>9.9683385248557439</v>
      </c>
      <c r="DR49" s="143">
        <f t="shared" si="92"/>
        <v>9.9683385248557439</v>
      </c>
      <c r="DS49" s="143">
        <f t="shared" si="92"/>
        <v>9.9683385248557439</v>
      </c>
      <c r="DT49" s="143">
        <f t="shared" si="92"/>
        <v>9.9683385248557439</v>
      </c>
      <c r="DU49" s="143">
        <f t="shared" si="92"/>
        <v>9.9683385248557439</v>
      </c>
      <c r="DV49" s="143">
        <f>O45</f>
        <v>10.757264379021041</v>
      </c>
      <c r="DW49" s="143">
        <f t="shared" ref="DW49:EO49" si="93">DV49</f>
        <v>10.757264379021041</v>
      </c>
      <c r="DX49" s="143">
        <f t="shared" si="93"/>
        <v>10.757264379021041</v>
      </c>
      <c r="DY49" s="143">
        <f t="shared" si="93"/>
        <v>10.757264379021041</v>
      </c>
      <c r="DZ49" s="143">
        <f t="shared" si="93"/>
        <v>10.757264379021041</v>
      </c>
      <c r="EA49" s="143">
        <f t="shared" si="93"/>
        <v>10.757264379021041</v>
      </c>
      <c r="EB49" s="143">
        <f t="shared" si="93"/>
        <v>10.757264379021041</v>
      </c>
      <c r="EC49" s="143">
        <f t="shared" si="93"/>
        <v>10.757264379021041</v>
      </c>
      <c r="ED49" s="143">
        <f t="shared" si="93"/>
        <v>10.757264379021041</v>
      </c>
      <c r="EE49" s="143">
        <f t="shared" si="93"/>
        <v>10.757264379021041</v>
      </c>
      <c r="EF49" s="143">
        <f t="shared" si="93"/>
        <v>10.757264379021041</v>
      </c>
      <c r="EG49" s="143">
        <f t="shared" si="93"/>
        <v>10.757264379021041</v>
      </c>
      <c r="EH49" s="143">
        <f t="shared" si="93"/>
        <v>10.757264379021041</v>
      </c>
      <c r="EI49" s="143">
        <f t="shared" si="93"/>
        <v>10.757264379021041</v>
      </c>
      <c r="EJ49" s="143">
        <f t="shared" si="93"/>
        <v>10.757264379021041</v>
      </c>
      <c r="EK49" s="143">
        <f t="shared" si="93"/>
        <v>10.757264379021041</v>
      </c>
      <c r="EL49" s="143">
        <f t="shared" si="93"/>
        <v>10.757264379021041</v>
      </c>
      <c r="EM49" s="143">
        <f t="shared" si="93"/>
        <v>10.757264379021041</v>
      </c>
      <c r="EN49" s="143">
        <f t="shared" si="93"/>
        <v>10.757264379021041</v>
      </c>
      <c r="EO49" s="143">
        <f t="shared" si="93"/>
        <v>10.757264379021041</v>
      </c>
      <c r="EP49" s="143">
        <f>P45</f>
        <v>11.245830026126836</v>
      </c>
      <c r="EQ49" s="143">
        <f t="shared" ref="EQ49:FI49" si="94">EP49</f>
        <v>11.245830026126836</v>
      </c>
      <c r="ER49" s="143">
        <f t="shared" si="94"/>
        <v>11.245830026126836</v>
      </c>
      <c r="ES49" s="143">
        <f t="shared" si="94"/>
        <v>11.245830026126836</v>
      </c>
      <c r="ET49" s="143">
        <f t="shared" si="94"/>
        <v>11.245830026126836</v>
      </c>
      <c r="EU49" s="143">
        <f t="shared" si="94"/>
        <v>11.245830026126836</v>
      </c>
      <c r="EV49" s="143">
        <f t="shared" si="94"/>
        <v>11.245830026126836</v>
      </c>
      <c r="EW49" s="143">
        <f t="shared" si="94"/>
        <v>11.245830026126836</v>
      </c>
      <c r="EX49" s="143">
        <f t="shared" si="94"/>
        <v>11.245830026126836</v>
      </c>
      <c r="EY49" s="143">
        <f t="shared" si="94"/>
        <v>11.245830026126836</v>
      </c>
      <c r="EZ49" s="143">
        <f t="shared" si="94"/>
        <v>11.245830026126836</v>
      </c>
      <c r="FA49" s="143">
        <f t="shared" si="94"/>
        <v>11.245830026126836</v>
      </c>
      <c r="FB49" s="143">
        <f t="shared" si="94"/>
        <v>11.245830026126836</v>
      </c>
      <c r="FC49" s="143">
        <f t="shared" si="94"/>
        <v>11.245830026126836</v>
      </c>
      <c r="FD49" s="143">
        <f t="shared" si="94"/>
        <v>11.245830026126836</v>
      </c>
      <c r="FE49" s="143">
        <f t="shared" si="94"/>
        <v>11.245830026126836</v>
      </c>
      <c r="FF49" s="143">
        <f t="shared" si="94"/>
        <v>11.245830026126836</v>
      </c>
      <c r="FG49" s="143">
        <f t="shared" si="94"/>
        <v>11.245830026126836</v>
      </c>
      <c r="FH49" s="143">
        <f t="shared" si="94"/>
        <v>11.245830026126836</v>
      </c>
      <c r="FI49" s="143">
        <f t="shared" si="94"/>
        <v>11.245830026126836</v>
      </c>
      <c r="FJ49" s="143">
        <f>Q45</f>
        <v>11.66461597821066</v>
      </c>
      <c r="FK49" s="143">
        <f t="shared" ref="FK49:GC49" si="95">FJ49</f>
        <v>11.66461597821066</v>
      </c>
      <c r="FL49" s="143">
        <f t="shared" si="95"/>
        <v>11.66461597821066</v>
      </c>
      <c r="FM49" s="143">
        <f t="shared" si="95"/>
        <v>11.66461597821066</v>
      </c>
      <c r="FN49" s="143">
        <f t="shared" si="95"/>
        <v>11.66461597821066</v>
      </c>
      <c r="FO49" s="143">
        <f t="shared" si="95"/>
        <v>11.66461597821066</v>
      </c>
      <c r="FP49" s="143">
        <f t="shared" si="95"/>
        <v>11.66461597821066</v>
      </c>
      <c r="FQ49" s="143">
        <f t="shared" si="95"/>
        <v>11.66461597821066</v>
      </c>
      <c r="FR49" s="143">
        <f t="shared" si="95"/>
        <v>11.66461597821066</v>
      </c>
      <c r="FS49" s="143">
        <f t="shared" si="95"/>
        <v>11.66461597821066</v>
      </c>
      <c r="FT49" s="143">
        <f t="shared" si="95"/>
        <v>11.66461597821066</v>
      </c>
      <c r="FU49" s="143">
        <f t="shared" si="95"/>
        <v>11.66461597821066</v>
      </c>
      <c r="FV49" s="143">
        <f t="shared" si="95"/>
        <v>11.66461597821066</v>
      </c>
      <c r="FW49" s="143">
        <f t="shared" si="95"/>
        <v>11.66461597821066</v>
      </c>
      <c r="FX49" s="143">
        <f t="shared" si="95"/>
        <v>11.66461597821066</v>
      </c>
      <c r="FY49" s="143">
        <f t="shared" si="95"/>
        <v>11.66461597821066</v>
      </c>
      <c r="FZ49" s="143">
        <f t="shared" si="95"/>
        <v>11.66461597821066</v>
      </c>
      <c r="GA49" s="143">
        <f t="shared" si="95"/>
        <v>11.66461597821066</v>
      </c>
      <c r="GB49" s="143">
        <f t="shared" si="95"/>
        <v>11.66461597821066</v>
      </c>
      <c r="GC49" s="143">
        <f t="shared" si="95"/>
        <v>11.66461597821066</v>
      </c>
      <c r="GD49" s="143">
        <f>R45</f>
        <v>12.034809716092953</v>
      </c>
      <c r="GE49" s="143">
        <f t="shared" ref="GE49:GM49" si="96">GD49</f>
        <v>12.034809716092953</v>
      </c>
      <c r="GF49" s="143">
        <f t="shared" si="96"/>
        <v>12.034809716092953</v>
      </c>
      <c r="GG49" s="143">
        <f t="shared" si="96"/>
        <v>12.034809716092953</v>
      </c>
      <c r="GH49" s="143">
        <f t="shared" si="96"/>
        <v>12.034809716092953</v>
      </c>
      <c r="GI49" s="143">
        <f t="shared" si="96"/>
        <v>12.034809716092953</v>
      </c>
      <c r="GJ49" s="143">
        <f t="shared" si="96"/>
        <v>12.034809716092953</v>
      </c>
      <c r="GK49" s="143">
        <f t="shared" si="96"/>
        <v>12.034809716092953</v>
      </c>
      <c r="GL49" s="143">
        <f t="shared" si="96"/>
        <v>12.034809716092953</v>
      </c>
      <c r="GM49" s="143">
        <f t="shared" si="96"/>
        <v>12.034809716092953</v>
      </c>
      <c r="GN49" s="143">
        <f>S45</f>
        <v>12.346356190977231</v>
      </c>
      <c r="GO49" s="143">
        <f>GN49</f>
        <v>12.346356190977231</v>
      </c>
      <c r="GP49" s="143">
        <f>GO49</f>
        <v>12.346356190977231</v>
      </c>
      <c r="GQ49" s="143">
        <f>GP49</f>
        <v>12.346356190977231</v>
      </c>
      <c r="GR49" s="143">
        <f>GQ49</f>
        <v>12.346356190977231</v>
      </c>
      <c r="GS49" s="143">
        <f>T45</f>
        <v>12.851236836067967</v>
      </c>
      <c r="GT49" s="143">
        <f>GS49</f>
        <v>12.851236836067967</v>
      </c>
      <c r="GU49" s="143">
        <f>GT49</f>
        <v>12.851236836067967</v>
      </c>
      <c r="GV49" s="143">
        <f>GU49</f>
        <v>12.851236836067967</v>
      </c>
      <c r="GW49" s="143">
        <f>U45</f>
        <v>14.497161914010736</v>
      </c>
    </row>
  </sheetData>
  <mergeCells count="105">
    <mergeCell ref="GD47:GM47"/>
    <mergeCell ref="GN47:GR47"/>
    <mergeCell ref="GS47:GV47"/>
    <mergeCell ref="CQ47:CU47"/>
    <mergeCell ref="CV47:CY47"/>
    <mergeCell ref="DB47:DU47"/>
    <mergeCell ref="DV47:EO47"/>
    <mergeCell ref="EP47:FI47"/>
    <mergeCell ref="E47:X47"/>
    <mergeCell ref="Y47:AR47"/>
    <mergeCell ref="AS47:BL47"/>
    <mergeCell ref="BM47:CF47"/>
    <mergeCell ref="CG47:CP47"/>
    <mergeCell ref="FJ47:GC47"/>
    <mergeCell ref="GS38:GV38"/>
    <mergeCell ref="B43:B44"/>
    <mergeCell ref="C43:C44"/>
    <mergeCell ref="E43:L43"/>
    <mergeCell ref="N43:U43"/>
    <mergeCell ref="W43:AD43"/>
    <mergeCell ref="AF43:AM43"/>
    <mergeCell ref="AO43:AV43"/>
    <mergeCell ref="DV38:EO38"/>
    <mergeCell ref="EP38:FI38"/>
    <mergeCell ref="FJ38:GC38"/>
    <mergeCell ref="GD38:GM38"/>
    <mergeCell ref="GN38:GR38"/>
    <mergeCell ref="BM38:CF38"/>
    <mergeCell ref="CG38:CP38"/>
    <mergeCell ref="CQ38:CU38"/>
    <mergeCell ref="CV38:CY38"/>
    <mergeCell ref="DB38:DU38"/>
    <mergeCell ref="AF34:AM34"/>
    <mergeCell ref="AO34:AV34"/>
    <mergeCell ref="E38:X38"/>
    <mergeCell ref="Y38:AR38"/>
    <mergeCell ref="AS38:BL38"/>
    <mergeCell ref="B34:B35"/>
    <mergeCell ref="C34:C35"/>
    <mergeCell ref="E34:L34"/>
    <mergeCell ref="N34:U34"/>
    <mergeCell ref="W34:AD34"/>
    <mergeCell ref="B4:B5"/>
    <mergeCell ref="E4:L4"/>
    <mergeCell ref="N4:U4"/>
    <mergeCell ref="W4:AD4"/>
    <mergeCell ref="AF4:AM4"/>
    <mergeCell ref="AO4:AV4"/>
    <mergeCell ref="C4:C5"/>
    <mergeCell ref="E10:X10"/>
    <mergeCell ref="Y10:AR10"/>
    <mergeCell ref="AS10:BL10"/>
    <mergeCell ref="B16:B17"/>
    <mergeCell ref="C16:C17"/>
    <mergeCell ref="E16:L16"/>
    <mergeCell ref="N16:U16"/>
    <mergeCell ref="W16:AD16"/>
    <mergeCell ref="CQ10:CU10"/>
    <mergeCell ref="BM10:CF10"/>
    <mergeCell ref="CG10:CP10"/>
    <mergeCell ref="AO16:AV16"/>
    <mergeCell ref="AF16:AM16"/>
    <mergeCell ref="CQ29:CU29"/>
    <mergeCell ref="E29:X29"/>
    <mergeCell ref="Y29:AR29"/>
    <mergeCell ref="AS29:BL29"/>
    <mergeCell ref="BM29:CF29"/>
    <mergeCell ref="CG29:CP29"/>
    <mergeCell ref="GN10:GR10"/>
    <mergeCell ref="GS10:GV10"/>
    <mergeCell ref="CV10:CY10"/>
    <mergeCell ref="DB10:DU10"/>
    <mergeCell ref="DV10:EO10"/>
    <mergeCell ref="EP10:FI10"/>
    <mergeCell ref="FJ10:GC10"/>
    <mergeCell ref="GD10:GM10"/>
    <mergeCell ref="GN29:GR29"/>
    <mergeCell ref="GS29:GV29"/>
    <mergeCell ref="CV29:CY29"/>
    <mergeCell ref="DB29:DU29"/>
    <mergeCell ref="DV29:EO29"/>
    <mergeCell ref="EP29:FI29"/>
    <mergeCell ref="FJ29:GC29"/>
    <mergeCell ref="GD29:GM29"/>
    <mergeCell ref="GD20:GM20"/>
    <mergeCell ref="GN20:GR20"/>
    <mergeCell ref="GS20:GV20"/>
    <mergeCell ref="DB20:DU20"/>
    <mergeCell ref="DV20:EO20"/>
    <mergeCell ref="EP20:FI20"/>
    <mergeCell ref="FJ20:GC20"/>
    <mergeCell ref="B25:B26"/>
    <mergeCell ref="C25:C26"/>
    <mergeCell ref="E25:L25"/>
    <mergeCell ref="N25:U25"/>
    <mergeCell ref="W25:AD25"/>
    <mergeCell ref="AF25:AM25"/>
    <mergeCell ref="AO25:AV25"/>
    <mergeCell ref="CQ20:CU20"/>
    <mergeCell ref="CV20:CY20"/>
    <mergeCell ref="E20:X20"/>
    <mergeCell ref="Y20:AR20"/>
    <mergeCell ref="AS20:BL20"/>
    <mergeCell ref="BM20:CF20"/>
    <mergeCell ref="CG20:CP20"/>
  </mergeCells>
  <phoneticPr fontId="46" type="noConversion"/>
  <hyperlinks>
    <hyperlink ref="L1" location="Index!A1" display="index" xr:uid="{EAAB2A46-268C-4E22-A69C-CBEAAABAE471}"/>
  </hyperlinks>
  <pageMargins left="0.7" right="0.7" top="0.75" bottom="0.75" header="0.3" footer="0.3"/>
  <pageSetup orientation="portrait"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9AD0B-C27F-48CE-ACC2-E90BCF82B370}">
  <sheetPr>
    <tabColor theme="9" tint="0.79998168889431442"/>
  </sheetPr>
  <dimension ref="A1:GW49"/>
  <sheetViews>
    <sheetView workbookViewId="0">
      <selection activeCell="A2" sqref="A2"/>
    </sheetView>
  </sheetViews>
  <sheetFormatPr defaultRowHeight="15"/>
  <cols>
    <col min="1" max="1" width="8.28515625" style="46" customWidth="1"/>
    <col min="2" max="3" width="10.28515625" style="556" customWidth="1"/>
    <col min="4" max="4" width="1.85546875" style="556" customWidth="1"/>
    <col min="5" max="12" width="6.5703125" style="556" customWidth="1"/>
    <col min="13" max="13" width="2.140625" style="556" customWidth="1"/>
    <col min="14" max="17" width="5.5703125" style="556" customWidth="1"/>
    <col min="18" max="19" width="6.7109375" style="556" customWidth="1"/>
    <col min="20" max="20" width="7.140625" style="556" customWidth="1"/>
    <col min="21" max="21" width="7.28515625" style="556" customWidth="1"/>
    <col min="22" max="22" width="2.5703125" style="556" customWidth="1"/>
    <col min="23" max="30" width="6.5703125" style="556" customWidth="1"/>
    <col min="31" max="31" width="2.140625" style="556" customWidth="1"/>
    <col min="32" max="34" width="5.7109375" style="556" customWidth="1"/>
    <col min="35" max="35" width="6.42578125" style="556" customWidth="1"/>
    <col min="36" max="36" width="7.28515625" style="556" customWidth="1"/>
    <col min="37" max="39" width="7" style="556" customWidth="1"/>
    <col min="40" max="40" width="2" style="556" customWidth="1"/>
    <col min="41" max="44" width="5.5703125" style="556" customWidth="1"/>
    <col min="45" max="48" width="6.28515625" style="556" customWidth="1"/>
    <col min="49" max="16384" width="9.140625" style="556"/>
  </cols>
  <sheetData>
    <row r="1" spans="1:205">
      <c r="A1" s="147" t="s">
        <v>597</v>
      </c>
      <c r="F1" s="641" t="s">
        <v>762</v>
      </c>
    </row>
    <row r="2" spans="1:205">
      <c r="A2" s="103" t="s">
        <v>600</v>
      </c>
    </row>
    <row r="4" spans="1:205" ht="14.25" customHeight="1">
      <c r="A4" s="144"/>
      <c r="B4" s="754" t="s">
        <v>601</v>
      </c>
      <c r="C4" s="754" t="s">
        <v>255</v>
      </c>
      <c r="D4" s="468"/>
      <c r="E4" s="753" t="s">
        <v>602</v>
      </c>
      <c r="F4" s="731"/>
      <c r="G4" s="731"/>
      <c r="H4" s="731"/>
      <c r="I4" s="731"/>
      <c r="J4" s="731"/>
      <c r="K4" s="731"/>
      <c r="L4" s="731"/>
      <c r="M4" s="134"/>
      <c r="N4" s="736" t="s">
        <v>603</v>
      </c>
      <c r="O4" s="736"/>
      <c r="P4" s="736"/>
      <c r="Q4" s="736"/>
      <c r="R4" s="736"/>
      <c r="S4" s="736"/>
      <c r="T4" s="736"/>
      <c r="U4" s="736"/>
      <c r="V4" s="134"/>
      <c r="W4" s="736" t="s">
        <v>466</v>
      </c>
      <c r="X4" s="736"/>
      <c r="Y4" s="736"/>
      <c r="Z4" s="736"/>
      <c r="AA4" s="736"/>
      <c r="AB4" s="736"/>
      <c r="AC4" s="736"/>
      <c r="AD4" s="736"/>
      <c r="AE4" s="468"/>
      <c r="AF4" s="736" t="s">
        <v>206</v>
      </c>
      <c r="AG4" s="736"/>
      <c r="AH4" s="736"/>
      <c r="AI4" s="736"/>
      <c r="AJ4" s="736"/>
      <c r="AK4" s="736"/>
      <c r="AL4" s="736"/>
      <c r="AM4" s="736"/>
      <c r="AN4" s="468"/>
      <c r="AO4" s="731" t="s">
        <v>207</v>
      </c>
      <c r="AP4" s="731"/>
      <c r="AQ4" s="731"/>
      <c r="AR4" s="731"/>
      <c r="AS4" s="731"/>
      <c r="AT4" s="731"/>
      <c r="AU4" s="731"/>
      <c r="AV4" s="731"/>
    </row>
    <row r="5" spans="1:205">
      <c r="A5" s="53"/>
      <c r="B5" s="755"/>
      <c r="C5" s="755"/>
      <c r="D5" s="6"/>
      <c r="E5" s="6" t="s">
        <v>158</v>
      </c>
      <c r="F5" s="6" t="s">
        <v>159</v>
      </c>
      <c r="G5" s="6" t="s">
        <v>160</v>
      </c>
      <c r="H5" s="6" t="s">
        <v>161</v>
      </c>
      <c r="I5" s="51" t="s">
        <v>33</v>
      </c>
      <c r="J5" s="51" t="s">
        <v>51</v>
      </c>
      <c r="K5" s="51" t="s">
        <v>52</v>
      </c>
      <c r="L5" s="51" t="s">
        <v>28</v>
      </c>
      <c r="M5" s="5"/>
      <c r="N5" s="6" t="s">
        <v>158</v>
      </c>
      <c r="O5" s="6" t="s">
        <v>159</v>
      </c>
      <c r="P5" s="6" t="s">
        <v>160</v>
      </c>
      <c r="Q5" s="6" t="s">
        <v>161</v>
      </c>
      <c r="R5" s="51" t="s">
        <v>33</v>
      </c>
      <c r="S5" s="51" t="s">
        <v>51</v>
      </c>
      <c r="T5" s="51" t="s">
        <v>52</v>
      </c>
      <c r="U5" s="51" t="s">
        <v>28</v>
      </c>
      <c r="V5" s="5"/>
      <c r="W5" s="6" t="s">
        <v>158</v>
      </c>
      <c r="X5" s="6" t="s">
        <v>159</v>
      </c>
      <c r="Y5" s="6" t="s">
        <v>160</v>
      </c>
      <c r="Z5" s="6" t="s">
        <v>161</v>
      </c>
      <c r="AA5" s="51" t="s">
        <v>33</v>
      </c>
      <c r="AB5" s="51" t="s">
        <v>51</v>
      </c>
      <c r="AC5" s="51" t="s">
        <v>52</v>
      </c>
      <c r="AD5" s="51" t="s">
        <v>28</v>
      </c>
      <c r="AE5" s="6"/>
      <c r="AF5" s="6" t="s">
        <v>158</v>
      </c>
      <c r="AG5" s="6" t="s">
        <v>159</v>
      </c>
      <c r="AH5" s="6" t="s">
        <v>160</v>
      </c>
      <c r="AI5" s="6" t="s">
        <v>161</v>
      </c>
      <c r="AJ5" s="51" t="s">
        <v>33</v>
      </c>
      <c r="AK5" s="51" t="s">
        <v>51</v>
      </c>
      <c r="AL5" s="51" t="s">
        <v>52</v>
      </c>
      <c r="AM5" s="51" t="s">
        <v>28</v>
      </c>
      <c r="AN5" s="6"/>
      <c r="AO5" s="6" t="s">
        <v>158</v>
      </c>
      <c r="AP5" s="6" t="s">
        <v>159</v>
      </c>
      <c r="AQ5" s="6" t="s">
        <v>160</v>
      </c>
      <c r="AR5" s="6" t="s">
        <v>161</v>
      </c>
      <c r="AS5" s="51" t="s">
        <v>33</v>
      </c>
      <c r="AT5" s="51" t="s">
        <v>51</v>
      </c>
      <c r="AU5" s="51" t="s">
        <v>52</v>
      </c>
      <c r="AV5" s="51" t="s">
        <v>28</v>
      </c>
    </row>
    <row r="6" spans="1:205">
      <c r="A6" s="46">
        <v>2014</v>
      </c>
      <c r="B6" s="141">
        <f>B12</f>
        <v>0.1010144985079674</v>
      </c>
      <c r="C6" s="141">
        <f>C12</f>
        <v>0.99988642344584022</v>
      </c>
      <c r="D6" s="46"/>
      <c r="E6" s="143">
        <f>LN(AF6-AO6)</f>
        <v>9.8538455256346449</v>
      </c>
      <c r="F6" s="143">
        <f t="shared" ref="F6:K6" si="0">LN(AG6-AP6)</f>
        <v>10.567643519745475</v>
      </c>
      <c r="G6" s="143">
        <f t="shared" si="0"/>
        <v>10.999696956587927</v>
      </c>
      <c r="H6" s="143">
        <f t="shared" si="0"/>
        <v>11.373290914480378</v>
      </c>
      <c r="I6" s="143">
        <f t="shared" si="0"/>
        <v>11.701242347164371</v>
      </c>
      <c r="J6" s="143">
        <f t="shared" si="0"/>
        <v>11.98447290193136</v>
      </c>
      <c r="K6" s="143">
        <f t="shared" si="0"/>
        <v>12.445317079168158</v>
      </c>
      <c r="L6" s="143">
        <f>LN(AM6-AV6)</f>
        <v>13.992378604700708</v>
      </c>
      <c r="M6" s="46"/>
      <c r="N6" s="143">
        <f t="shared" ref="N6:U6" si="1">LN(AF6)</f>
        <v>9.87302834505142</v>
      </c>
      <c r="O6" s="143">
        <f t="shared" si="1"/>
        <v>10.661954199216716</v>
      </c>
      <c r="P6" s="143">
        <f t="shared" si="1"/>
        <v>11.150519846322512</v>
      </c>
      <c r="Q6" s="143">
        <f t="shared" si="1"/>
        <v>11.569305798406337</v>
      </c>
      <c r="R6" s="143">
        <f t="shared" si="1"/>
        <v>11.939499536288627</v>
      </c>
      <c r="S6" s="143">
        <f t="shared" si="1"/>
        <v>12.251046011172905</v>
      </c>
      <c r="T6" s="143">
        <f t="shared" si="1"/>
        <v>12.755926656263643</v>
      </c>
      <c r="U6" s="143">
        <f t="shared" si="1"/>
        <v>14.40185173420641</v>
      </c>
      <c r="W6" s="146">
        <f>TxRt!B88</f>
        <v>1.9</v>
      </c>
      <c r="X6" s="146">
        <f>TxRt!B131</f>
        <v>9</v>
      </c>
      <c r="Y6" s="146">
        <f>TxRt!B171</f>
        <v>14</v>
      </c>
      <c r="Z6" s="146">
        <f>TxRt!B211</f>
        <v>17.8</v>
      </c>
      <c r="AA6" s="146">
        <f>TxRt!B291</f>
        <v>21.2</v>
      </c>
      <c r="AB6" s="146">
        <f>TxRt!B331</f>
        <v>23.4</v>
      </c>
      <c r="AC6" s="146">
        <f>TxRt!B371</f>
        <v>26.7</v>
      </c>
      <c r="AD6" s="146">
        <f>TxRt!B411</f>
        <v>33.6</v>
      </c>
      <c r="AE6" s="46"/>
      <c r="AF6" s="60">
        <f>Inc!B85</f>
        <v>19400</v>
      </c>
      <c r="AG6" s="60">
        <f>Inc!B125</f>
        <v>42700</v>
      </c>
      <c r="AH6" s="60">
        <f>Inc!B165</f>
        <v>69600</v>
      </c>
      <c r="AI6" s="60">
        <f>Inc!B205</f>
        <v>105800</v>
      </c>
      <c r="AJ6" s="60">
        <f>Inc!B285</f>
        <v>153200</v>
      </c>
      <c r="AK6" s="60">
        <f>Inc!B325</f>
        <v>209200</v>
      </c>
      <c r="AL6" s="60">
        <f>Inc!B365</f>
        <v>346600</v>
      </c>
      <c r="AM6" s="60">
        <f>Inc!B405</f>
        <v>1797400</v>
      </c>
      <c r="AO6" s="60">
        <f t="shared" ref="AO6:AV6" si="2">W6*AF6/100</f>
        <v>368.6</v>
      </c>
      <c r="AP6" s="60">
        <f t="shared" si="2"/>
        <v>3843</v>
      </c>
      <c r="AQ6" s="60">
        <f t="shared" si="2"/>
        <v>9744</v>
      </c>
      <c r="AR6" s="60">
        <f t="shared" si="2"/>
        <v>18832.400000000001</v>
      </c>
      <c r="AS6" s="60">
        <f t="shared" si="2"/>
        <v>32478.400000000001</v>
      </c>
      <c r="AT6" s="60">
        <f t="shared" si="2"/>
        <v>48952.800000000003</v>
      </c>
      <c r="AU6" s="60">
        <f t="shared" si="2"/>
        <v>92542.2</v>
      </c>
      <c r="AV6" s="60">
        <f t="shared" si="2"/>
        <v>603926.4</v>
      </c>
    </row>
    <row r="7" spans="1:205">
      <c r="B7" s="16"/>
    </row>
    <row r="9" spans="1:205">
      <c r="A9" s="256" t="s">
        <v>261</v>
      </c>
    </row>
    <row r="10" spans="1:205">
      <c r="A10" s="256"/>
      <c r="E10" s="745" t="s">
        <v>158</v>
      </c>
      <c r="F10" s="745"/>
      <c r="G10" s="745"/>
      <c r="H10" s="745"/>
      <c r="I10" s="745"/>
      <c r="J10" s="745"/>
      <c r="K10" s="745"/>
      <c r="L10" s="745"/>
      <c r="M10" s="745"/>
      <c r="N10" s="745"/>
      <c r="O10" s="745"/>
      <c r="P10" s="745"/>
      <c r="Q10" s="745"/>
      <c r="R10" s="745"/>
      <c r="S10" s="745"/>
      <c r="T10" s="745"/>
      <c r="U10" s="745"/>
      <c r="V10" s="745"/>
      <c r="W10" s="745"/>
      <c r="X10" s="745"/>
      <c r="Y10" s="745" t="s">
        <v>159</v>
      </c>
      <c r="Z10" s="745"/>
      <c r="AA10" s="745"/>
      <c r="AB10" s="745"/>
      <c r="AC10" s="745"/>
      <c r="AD10" s="745"/>
      <c r="AE10" s="745"/>
      <c r="AF10" s="745"/>
      <c r="AG10" s="745"/>
      <c r="AH10" s="745"/>
      <c r="AI10" s="745"/>
      <c r="AJ10" s="745"/>
      <c r="AK10" s="745"/>
      <c r="AL10" s="745"/>
      <c r="AM10" s="745"/>
      <c r="AN10" s="745"/>
      <c r="AO10" s="745"/>
      <c r="AP10" s="745"/>
      <c r="AQ10" s="745"/>
      <c r="AR10" s="745"/>
      <c r="AS10" s="745" t="s">
        <v>160</v>
      </c>
      <c r="AT10" s="745"/>
      <c r="AU10" s="745"/>
      <c r="AV10" s="745"/>
      <c r="AW10" s="745"/>
      <c r="AX10" s="745"/>
      <c r="AY10" s="745"/>
      <c r="AZ10" s="745"/>
      <c r="BA10" s="745"/>
      <c r="BB10" s="745"/>
      <c r="BC10" s="745"/>
      <c r="BD10" s="745"/>
      <c r="BE10" s="745"/>
      <c r="BF10" s="745"/>
      <c r="BG10" s="745"/>
      <c r="BH10" s="745"/>
      <c r="BI10" s="745"/>
      <c r="BJ10" s="745"/>
      <c r="BK10" s="745"/>
      <c r="BL10" s="745"/>
      <c r="BM10" s="745" t="s">
        <v>161</v>
      </c>
      <c r="BN10" s="745"/>
      <c r="BO10" s="745"/>
      <c r="BP10" s="745"/>
      <c r="BQ10" s="745"/>
      <c r="BR10" s="745"/>
      <c r="BS10" s="745"/>
      <c r="BT10" s="745"/>
      <c r="BU10" s="745"/>
      <c r="BV10" s="745"/>
      <c r="BW10" s="745"/>
      <c r="BX10" s="745"/>
      <c r="BY10" s="745"/>
      <c r="BZ10" s="745"/>
      <c r="CA10" s="745"/>
      <c r="CB10" s="745"/>
      <c r="CC10" s="745"/>
      <c r="CD10" s="745"/>
      <c r="CE10" s="745"/>
      <c r="CF10" s="745"/>
      <c r="CG10" s="746" t="s">
        <v>33</v>
      </c>
      <c r="CH10" s="746"/>
      <c r="CI10" s="746"/>
      <c r="CJ10" s="746"/>
      <c r="CK10" s="746"/>
      <c r="CL10" s="746"/>
      <c r="CM10" s="746"/>
      <c r="CN10" s="746"/>
      <c r="CO10" s="746"/>
      <c r="CP10" s="746"/>
      <c r="CQ10" s="746" t="s">
        <v>51</v>
      </c>
      <c r="CR10" s="746"/>
      <c r="CS10" s="746"/>
      <c r="CT10" s="746"/>
      <c r="CU10" s="746"/>
      <c r="CV10" s="746" t="s">
        <v>52</v>
      </c>
      <c r="CW10" s="746"/>
      <c r="CX10" s="746"/>
      <c r="CY10" s="746"/>
      <c r="CZ10" s="471" t="s">
        <v>28</v>
      </c>
      <c r="DB10" s="745" t="s">
        <v>158</v>
      </c>
      <c r="DC10" s="745"/>
      <c r="DD10" s="745"/>
      <c r="DE10" s="745"/>
      <c r="DF10" s="745"/>
      <c r="DG10" s="745"/>
      <c r="DH10" s="745"/>
      <c r="DI10" s="745"/>
      <c r="DJ10" s="745"/>
      <c r="DK10" s="745"/>
      <c r="DL10" s="745"/>
      <c r="DM10" s="745"/>
      <c r="DN10" s="745"/>
      <c r="DO10" s="745"/>
      <c r="DP10" s="745"/>
      <c r="DQ10" s="745"/>
      <c r="DR10" s="745"/>
      <c r="DS10" s="745"/>
      <c r="DT10" s="745"/>
      <c r="DU10" s="745"/>
      <c r="DV10" s="745" t="s">
        <v>159</v>
      </c>
      <c r="DW10" s="745"/>
      <c r="DX10" s="745"/>
      <c r="DY10" s="745"/>
      <c r="DZ10" s="745"/>
      <c r="EA10" s="745"/>
      <c r="EB10" s="745"/>
      <c r="EC10" s="745"/>
      <c r="ED10" s="745"/>
      <c r="EE10" s="745"/>
      <c r="EF10" s="745"/>
      <c r="EG10" s="745"/>
      <c r="EH10" s="745"/>
      <c r="EI10" s="745"/>
      <c r="EJ10" s="745"/>
      <c r="EK10" s="745"/>
      <c r="EL10" s="745"/>
      <c r="EM10" s="745"/>
      <c r="EN10" s="745"/>
      <c r="EO10" s="745"/>
      <c r="EP10" s="745" t="s">
        <v>160</v>
      </c>
      <c r="EQ10" s="745"/>
      <c r="ER10" s="745"/>
      <c r="ES10" s="745"/>
      <c r="ET10" s="745"/>
      <c r="EU10" s="745"/>
      <c r="EV10" s="745"/>
      <c r="EW10" s="745"/>
      <c r="EX10" s="745"/>
      <c r="EY10" s="745"/>
      <c r="EZ10" s="745"/>
      <c r="FA10" s="745"/>
      <c r="FB10" s="745"/>
      <c r="FC10" s="745"/>
      <c r="FD10" s="745"/>
      <c r="FE10" s="745"/>
      <c r="FF10" s="745"/>
      <c r="FG10" s="745"/>
      <c r="FH10" s="745"/>
      <c r="FI10" s="745"/>
      <c r="FJ10" s="745" t="s">
        <v>161</v>
      </c>
      <c r="FK10" s="745"/>
      <c r="FL10" s="745"/>
      <c r="FM10" s="745"/>
      <c r="FN10" s="745"/>
      <c r="FO10" s="745"/>
      <c r="FP10" s="745"/>
      <c r="FQ10" s="745"/>
      <c r="FR10" s="745"/>
      <c r="FS10" s="745"/>
      <c r="FT10" s="745"/>
      <c r="FU10" s="745"/>
      <c r="FV10" s="745"/>
      <c r="FW10" s="745"/>
      <c r="FX10" s="745"/>
      <c r="FY10" s="745"/>
      <c r="FZ10" s="745"/>
      <c r="GA10" s="745"/>
      <c r="GB10" s="745"/>
      <c r="GC10" s="745"/>
      <c r="GD10" s="746" t="s">
        <v>33</v>
      </c>
      <c r="GE10" s="746"/>
      <c r="GF10" s="746"/>
      <c r="GG10" s="746"/>
      <c r="GH10" s="746"/>
      <c r="GI10" s="746"/>
      <c r="GJ10" s="746"/>
      <c r="GK10" s="746"/>
      <c r="GL10" s="746"/>
      <c r="GM10" s="746"/>
      <c r="GN10" s="746" t="s">
        <v>51</v>
      </c>
      <c r="GO10" s="746"/>
      <c r="GP10" s="746"/>
      <c r="GQ10" s="746"/>
      <c r="GR10" s="746"/>
      <c r="GS10" s="746" t="s">
        <v>52</v>
      </c>
      <c r="GT10" s="746"/>
      <c r="GU10" s="746"/>
      <c r="GV10" s="746"/>
      <c r="GW10" s="471" t="s">
        <v>28</v>
      </c>
    </row>
    <row r="11" spans="1:205" s="46" customFormat="1">
      <c r="A11" s="15"/>
      <c r="E11" s="255">
        <v>1</v>
      </c>
      <c r="F11" s="255">
        <f>E11+1</f>
        <v>2</v>
      </c>
      <c r="G11" s="255">
        <f t="shared" ref="G11:BR11" si="3">F11+1</f>
        <v>3</v>
      </c>
      <c r="H11" s="255">
        <f t="shared" si="3"/>
        <v>4</v>
      </c>
      <c r="I11" s="255">
        <f t="shared" si="3"/>
        <v>5</v>
      </c>
      <c r="J11" s="255">
        <f t="shared" si="3"/>
        <v>6</v>
      </c>
      <c r="K11" s="255">
        <f t="shared" si="3"/>
        <v>7</v>
      </c>
      <c r="L11" s="255">
        <f t="shared" si="3"/>
        <v>8</v>
      </c>
      <c r="M11" s="255">
        <f t="shared" si="3"/>
        <v>9</v>
      </c>
      <c r="N11" s="255">
        <f t="shared" si="3"/>
        <v>10</v>
      </c>
      <c r="O11" s="255">
        <f t="shared" si="3"/>
        <v>11</v>
      </c>
      <c r="P11" s="255">
        <f t="shared" si="3"/>
        <v>12</v>
      </c>
      <c r="Q11" s="255">
        <f t="shared" si="3"/>
        <v>13</v>
      </c>
      <c r="R11" s="255">
        <f t="shared" si="3"/>
        <v>14</v>
      </c>
      <c r="S11" s="255">
        <f t="shared" si="3"/>
        <v>15</v>
      </c>
      <c r="T11" s="255">
        <f t="shared" si="3"/>
        <v>16</v>
      </c>
      <c r="U11" s="255">
        <f t="shared" si="3"/>
        <v>17</v>
      </c>
      <c r="V11" s="255">
        <f t="shared" si="3"/>
        <v>18</v>
      </c>
      <c r="W11" s="255">
        <f t="shared" si="3"/>
        <v>19</v>
      </c>
      <c r="X11" s="255">
        <f t="shared" si="3"/>
        <v>20</v>
      </c>
      <c r="Y11" s="255">
        <f t="shared" si="3"/>
        <v>21</v>
      </c>
      <c r="Z11" s="255">
        <f t="shared" si="3"/>
        <v>22</v>
      </c>
      <c r="AA11" s="255">
        <f t="shared" si="3"/>
        <v>23</v>
      </c>
      <c r="AB11" s="255">
        <f t="shared" si="3"/>
        <v>24</v>
      </c>
      <c r="AC11" s="255">
        <f t="shared" si="3"/>
        <v>25</v>
      </c>
      <c r="AD11" s="255">
        <f t="shared" si="3"/>
        <v>26</v>
      </c>
      <c r="AE11" s="255">
        <f t="shared" si="3"/>
        <v>27</v>
      </c>
      <c r="AF11" s="255">
        <f t="shared" si="3"/>
        <v>28</v>
      </c>
      <c r="AG11" s="255">
        <f t="shared" si="3"/>
        <v>29</v>
      </c>
      <c r="AH11" s="255">
        <f t="shared" si="3"/>
        <v>30</v>
      </c>
      <c r="AI11" s="255">
        <f t="shared" si="3"/>
        <v>31</v>
      </c>
      <c r="AJ11" s="255">
        <f t="shared" si="3"/>
        <v>32</v>
      </c>
      <c r="AK11" s="255">
        <f t="shared" si="3"/>
        <v>33</v>
      </c>
      <c r="AL11" s="255">
        <f t="shared" si="3"/>
        <v>34</v>
      </c>
      <c r="AM11" s="255">
        <f t="shared" si="3"/>
        <v>35</v>
      </c>
      <c r="AN11" s="255">
        <f t="shared" si="3"/>
        <v>36</v>
      </c>
      <c r="AO11" s="255">
        <f t="shared" si="3"/>
        <v>37</v>
      </c>
      <c r="AP11" s="255">
        <f t="shared" si="3"/>
        <v>38</v>
      </c>
      <c r="AQ11" s="255">
        <f t="shared" si="3"/>
        <v>39</v>
      </c>
      <c r="AR11" s="255">
        <f t="shared" si="3"/>
        <v>40</v>
      </c>
      <c r="AS11" s="255">
        <f t="shared" si="3"/>
        <v>41</v>
      </c>
      <c r="AT11" s="255">
        <f t="shared" si="3"/>
        <v>42</v>
      </c>
      <c r="AU11" s="255">
        <f t="shared" si="3"/>
        <v>43</v>
      </c>
      <c r="AV11" s="255">
        <f t="shared" si="3"/>
        <v>44</v>
      </c>
      <c r="AW11" s="255">
        <f t="shared" si="3"/>
        <v>45</v>
      </c>
      <c r="AX11" s="255">
        <f t="shared" si="3"/>
        <v>46</v>
      </c>
      <c r="AY11" s="255">
        <f t="shared" si="3"/>
        <v>47</v>
      </c>
      <c r="AZ11" s="255">
        <f t="shared" si="3"/>
        <v>48</v>
      </c>
      <c r="BA11" s="255">
        <f t="shared" si="3"/>
        <v>49</v>
      </c>
      <c r="BB11" s="255">
        <f t="shared" si="3"/>
        <v>50</v>
      </c>
      <c r="BC11" s="255">
        <f t="shared" si="3"/>
        <v>51</v>
      </c>
      <c r="BD11" s="255">
        <f t="shared" si="3"/>
        <v>52</v>
      </c>
      <c r="BE11" s="255">
        <f t="shared" si="3"/>
        <v>53</v>
      </c>
      <c r="BF11" s="255">
        <f t="shared" si="3"/>
        <v>54</v>
      </c>
      <c r="BG11" s="255">
        <f t="shared" si="3"/>
        <v>55</v>
      </c>
      <c r="BH11" s="255">
        <f t="shared" si="3"/>
        <v>56</v>
      </c>
      <c r="BI11" s="255">
        <f t="shared" si="3"/>
        <v>57</v>
      </c>
      <c r="BJ11" s="255">
        <f t="shared" si="3"/>
        <v>58</v>
      </c>
      <c r="BK11" s="255">
        <f t="shared" si="3"/>
        <v>59</v>
      </c>
      <c r="BL11" s="255">
        <f t="shared" si="3"/>
        <v>60</v>
      </c>
      <c r="BM11" s="255">
        <f t="shared" si="3"/>
        <v>61</v>
      </c>
      <c r="BN11" s="255">
        <f t="shared" si="3"/>
        <v>62</v>
      </c>
      <c r="BO11" s="255">
        <f t="shared" si="3"/>
        <v>63</v>
      </c>
      <c r="BP11" s="255">
        <f t="shared" si="3"/>
        <v>64</v>
      </c>
      <c r="BQ11" s="255">
        <f t="shared" si="3"/>
        <v>65</v>
      </c>
      <c r="BR11" s="255">
        <f t="shared" si="3"/>
        <v>66</v>
      </c>
      <c r="BS11" s="255">
        <f t="shared" ref="BS11:CZ11" si="4">BR11+1</f>
        <v>67</v>
      </c>
      <c r="BT11" s="255">
        <f t="shared" si="4"/>
        <v>68</v>
      </c>
      <c r="BU11" s="255">
        <f t="shared" si="4"/>
        <v>69</v>
      </c>
      <c r="BV11" s="255">
        <f t="shared" si="4"/>
        <v>70</v>
      </c>
      <c r="BW11" s="255">
        <f t="shared" si="4"/>
        <v>71</v>
      </c>
      <c r="BX11" s="255">
        <f t="shared" si="4"/>
        <v>72</v>
      </c>
      <c r="BY11" s="255">
        <f t="shared" si="4"/>
        <v>73</v>
      </c>
      <c r="BZ11" s="255">
        <f t="shared" si="4"/>
        <v>74</v>
      </c>
      <c r="CA11" s="255">
        <f t="shared" si="4"/>
        <v>75</v>
      </c>
      <c r="CB11" s="255">
        <f t="shared" si="4"/>
        <v>76</v>
      </c>
      <c r="CC11" s="255">
        <f t="shared" si="4"/>
        <v>77</v>
      </c>
      <c r="CD11" s="255">
        <f t="shared" si="4"/>
        <v>78</v>
      </c>
      <c r="CE11" s="255">
        <f t="shared" si="4"/>
        <v>79</v>
      </c>
      <c r="CF11" s="255">
        <f t="shared" si="4"/>
        <v>80</v>
      </c>
      <c r="CG11" s="255">
        <f t="shared" si="4"/>
        <v>81</v>
      </c>
      <c r="CH11" s="255">
        <f t="shared" si="4"/>
        <v>82</v>
      </c>
      <c r="CI11" s="255">
        <f t="shared" si="4"/>
        <v>83</v>
      </c>
      <c r="CJ11" s="255">
        <f t="shared" si="4"/>
        <v>84</v>
      </c>
      <c r="CK11" s="255">
        <f t="shared" si="4"/>
        <v>85</v>
      </c>
      <c r="CL11" s="255">
        <f t="shared" si="4"/>
        <v>86</v>
      </c>
      <c r="CM11" s="255">
        <f t="shared" si="4"/>
        <v>87</v>
      </c>
      <c r="CN11" s="255">
        <f t="shared" si="4"/>
        <v>88</v>
      </c>
      <c r="CO11" s="255">
        <f t="shared" si="4"/>
        <v>89</v>
      </c>
      <c r="CP11" s="255">
        <f t="shared" si="4"/>
        <v>90</v>
      </c>
      <c r="CQ11" s="255">
        <f t="shared" si="4"/>
        <v>91</v>
      </c>
      <c r="CR11" s="255">
        <f t="shared" si="4"/>
        <v>92</v>
      </c>
      <c r="CS11" s="255">
        <f t="shared" si="4"/>
        <v>93</v>
      </c>
      <c r="CT11" s="255">
        <f t="shared" si="4"/>
        <v>94</v>
      </c>
      <c r="CU11" s="255">
        <f t="shared" si="4"/>
        <v>95</v>
      </c>
      <c r="CV11" s="255">
        <f t="shared" si="4"/>
        <v>96</v>
      </c>
      <c r="CW11" s="255">
        <f t="shared" si="4"/>
        <v>97</v>
      </c>
      <c r="CX11" s="255">
        <f t="shared" si="4"/>
        <v>98</v>
      </c>
      <c r="CY11" s="255">
        <f t="shared" si="4"/>
        <v>99</v>
      </c>
      <c r="CZ11" s="255">
        <f t="shared" si="4"/>
        <v>100</v>
      </c>
      <c r="DB11" s="255">
        <v>1</v>
      </c>
      <c r="DC11" s="255">
        <f>DB11+1</f>
        <v>2</v>
      </c>
      <c r="DD11" s="255">
        <f t="shared" ref="DD11:FO11" si="5">DC11+1</f>
        <v>3</v>
      </c>
      <c r="DE11" s="255">
        <f t="shared" si="5"/>
        <v>4</v>
      </c>
      <c r="DF11" s="255">
        <f t="shared" si="5"/>
        <v>5</v>
      </c>
      <c r="DG11" s="255">
        <f t="shared" si="5"/>
        <v>6</v>
      </c>
      <c r="DH11" s="255">
        <f t="shared" si="5"/>
        <v>7</v>
      </c>
      <c r="DI11" s="255">
        <f t="shared" si="5"/>
        <v>8</v>
      </c>
      <c r="DJ11" s="255">
        <f t="shared" si="5"/>
        <v>9</v>
      </c>
      <c r="DK11" s="255">
        <f t="shared" si="5"/>
        <v>10</v>
      </c>
      <c r="DL11" s="255">
        <f t="shared" si="5"/>
        <v>11</v>
      </c>
      <c r="DM11" s="255">
        <f t="shared" si="5"/>
        <v>12</v>
      </c>
      <c r="DN11" s="255">
        <f t="shared" si="5"/>
        <v>13</v>
      </c>
      <c r="DO11" s="255">
        <f t="shared" si="5"/>
        <v>14</v>
      </c>
      <c r="DP11" s="255">
        <f t="shared" si="5"/>
        <v>15</v>
      </c>
      <c r="DQ11" s="255">
        <f t="shared" si="5"/>
        <v>16</v>
      </c>
      <c r="DR11" s="255">
        <f t="shared" si="5"/>
        <v>17</v>
      </c>
      <c r="DS11" s="255">
        <f t="shared" si="5"/>
        <v>18</v>
      </c>
      <c r="DT11" s="255">
        <f t="shared" si="5"/>
        <v>19</v>
      </c>
      <c r="DU11" s="255">
        <f t="shared" si="5"/>
        <v>20</v>
      </c>
      <c r="DV11" s="255">
        <f t="shared" si="5"/>
        <v>21</v>
      </c>
      <c r="DW11" s="255">
        <f t="shared" si="5"/>
        <v>22</v>
      </c>
      <c r="DX11" s="255">
        <f t="shared" si="5"/>
        <v>23</v>
      </c>
      <c r="DY11" s="255">
        <f t="shared" si="5"/>
        <v>24</v>
      </c>
      <c r="DZ11" s="255">
        <f t="shared" si="5"/>
        <v>25</v>
      </c>
      <c r="EA11" s="255">
        <f t="shared" si="5"/>
        <v>26</v>
      </c>
      <c r="EB11" s="255">
        <f t="shared" si="5"/>
        <v>27</v>
      </c>
      <c r="EC11" s="255">
        <f t="shared" si="5"/>
        <v>28</v>
      </c>
      <c r="ED11" s="255">
        <f t="shared" si="5"/>
        <v>29</v>
      </c>
      <c r="EE11" s="255">
        <f t="shared" si="5"/>
        <v>30</v>
      </c>
      <c r="EF11" s="255">
        <f t="shared" si="5"/>
        <v>31</v>
      </c>
      <c r="EG11" s="255">
        <f t="shared" si="5"/>
        <v>32</v>
      </c>
      <c r="EH11" s="255">
        <f t="shared" si="5"/>
        <v>33</v>
      </c>
      <c r="EI11" s="255">
        <f t="shared" si="5"/>
        <v>34</v>
      </c>
      <c r="EJ11" s="255">
        <f t="shared" si="5"/>
        <v>35</v>
      </c>
      <c r="EK11" s="255">
        <f t="shared" si="5"/>
        <v>36</v>
      </c>
      <c r="EL11" s="255">
        <f t="shared" si="5"/>
        <v>37</v>
      </c>
      <c r="EM11" s="255">
        <f t="shared" si="5"/>
        <v>38</v>
      </c>
      <c r="EN11" s="255">
        <f t="shared" si="5"/>
        <v>39</v>
      </c>
      <c r="EO11" s="255">
        <f t="shared" si="5"/>
        <v>40</v>
      </c>
      <c r="EP11" s="255">
        <f t="shared" si="5"/>
        <v>41</v>
      </c>
      <c r="EQ11" s="255">
        <f t="shared" si="5"/>
        <v>42</v>
      </c>
      <c r="ER11" s="255">
        <f t="shared" si="5"/>
        <v>43</v>
      </c>
      <c r="ES11" s="255">
        <f t="shared" si="5"/>
        <v>44</v>
      </c>
      <c r="ET11" s="255">
        <f t="shared" si="5"/>
        <v>45</v>
      </c>
      <c r="EU11" s="255">
        <f t="shared" si="5"/>
        <v>46</v>
      </c>
      <c r="EV11" s="255">
        <f t="shared" si="5"/>
        <v>47</v>
      </c>
      <c r="EW11" s="255">
        <f t="shared" si="5"/>
        <v>48</v>
      </c>
      <c r="EX11" s="255">
        <f t="shared" si="5"/>
        <v>49</v>
      </c>
      <c r="EY11" s="255">
        <f t="shared" si="5"/>
        <v>50</v>
      </c>
      <c r="EZ11" s="255">
        <f t="shared" si="5"/>
        <v>51</v>
      </c>
      <c r="FA11" s="255">
        <f t="shared" si="5"/>
        <v>52</v>
      </c>
      <c r="FB11" s="255">
        <f t="shared" si="5"/>
        <v>53</v>
      </c>
      <c r="FC11" s="255">
        <f t="shared" si="5"/>
        <v>54</v>
      </c>
      <c r="FD11" s="255">
        <f t="shared" si="5"/>
        <v>55</v>
      </c>
      <c r="FE11" s="255">
        <f t="shared" si="5"/>
        <v>56</v>
      </c>
      <c r="FF11" s="255">
        <f t="shared" si="5"/>
        <v>57</v>
      </c>
      <c r="FG11" s="255">
        <f t="shared" si="5"/>
        <v>58</v>
      </c>
      <c r="FH11" s="255">
        <f t="shared" si="5"/>
        <v>59</v>
      </c>
      <c r="FI11" s="255">
        <f t="shared" si="5"/>
        <v>60</v>
      </c>
      <c r="FJ11" s="255">
        <f t="shared" si="5"/>
        <v>61</v>
      </c>
      <c r="FK11" s="255">
        <f t="shared" si="5"/>
        <v>62</v>
      </c>
      <c r="FL11" s="255">
        <f t="shared" si="5"/>
        <v>63</v>
      </c>
      <c r="FM11" s="255">
        <f t="shared" si="5"/>
        <v>64</v>
      </c>
      <c r="FN11" s="255">
        <f t="shared" si="5"/>
        <v>65</v>
      </c>
      <c r="FO11" s="255">
        <f t="shared" si="5"/>
        <v>66</v>
      </c>
      <c r="FP11" s="255">
        <f t="shared" ref="FP11:GW11" si="6">FO11+1</f>
        <v>67</v>
      </c>
      <c r="FQ11" s="255">
        <f t="shared" si="6"/>
        <v>68</v>
      </c>
      <c r="FR11" s="255">
        <f t="shared" si="6"/>
        <v>69</v>
      </c>
      <c r="FS11" s="255">
        <f t="shared" si="6"/>
        <v>70</v>
      </c>
      <c r="FT11" s="255">
        <f t="shared" si="6"/>
        <v>71</v>
      </c>
      <c r="FU11" s="255">
        <f t="shared" si="6"/>
        <v>72</v>
      </c>
      <c r="FV11" s="255">
        <f t="shared" si="6"/>
        <v>73</v>
      </c>
      <c r="FW11" s="255">
        <f t="shared" si="6"/>
        <v>74</v>
      </c>
      <c r="FX11" s="255">
        <f t="shared" si="6"/>
        <v>75</v>
      </c>
      <c r="FY11" s="255">
        <f t="shared" si="6"/>
        <v>76</v>
      </c>
      <c r="FZ11" s="255">
        <f t="shared" si="6"/>
        <v>77</v>
      </c>
      <c r="GA11" s="255">
        <f t="shared" si="6"/>
        <v>78</v>
      </c>
      <c r="GB11" s="255">
        <f t="shared" si="6"/>
        <v>79</v>
      </c>
      <c r="GC11" s="255">
        <f t="shared" si="6"/>
        <v>80</v>
      </c>
      <c r="GD11" s="255">
        <f t="shared" si="6"/>
        <v>81</v>
      </c>
      <c r="GE11" s="255">
        <f t="shared" si="6"/>
        <v>82</v>
      </c>
      <c r="GF11" s="255">
        <f t="shared" si="6"/>
        <v>83</v>
      </c>
      <c r="GG11" s="255">
        <f t="shared" si="6"/>
        <v>84</v>
      </c>
      <c r="GH11" s="255">
        <f t="shared" si="6"/>
        <v>85</v>
      </c>
      <c r="GI11" s="255">
        <f t="shared" si="6"/>
        <v>86</v>
      </c>
      <c r="GJ11" s="255">
        <f t="shared" si="6"/>
        <v>87</v>
      </c>
      <c r="GK11" s="255">
        <f t="shared" si="6"/>
        <v>88</v>
      </c>
      <c r="GL11" s="255">
        <f t="shared" si="6"/>
        <v>89</v>
      </c>
      <c r="GM11" s="255">
        <f t="shared" si="6"/>
        <v>90</v>
      </c>
      <c r="GN11" s="255">
        <f t="shared" si="6"/>
        <v>91</v>
      </c>
      <c r="GO11" s="255">
        <f t="shared" si="6"/>
        <v>92</v>
      </c>
      <c r="GP11" s="255">
        <f t="shared" si="6"/>
        <v>93</v>
      </c>
      <c r="GQ11" s="255">
        <f t="shared" si="6"/>
        <v>94</v>
      </c>
      <c r="GR11" s="255">
        <f t="shared" si="6"/>
        <v>95</v>
      </c>
      <c r="GS11" s="255">
        <f t="shared" si="6"/>
        <v>96</v>
      </c>
      <c r="GT11" s="255">
        <f t="shared" si="6"/>
        <v>97</v>
      </c>
      <c r="GU11" s="255">
        <f t="shared" si="6"/>
        <v>98</v>
      </c>
      <c r="GV11" s="255">
        <f t="shared" si="6"/>
        <v>99</v>
      </c>
      <c r="GW11" s="255">
        <f t="shared" si="6"/>
        <v>100</v>
      </c>
    </row>
    <row r="12" spans="1:205" s="46" customFormat="1" ht="9.75" customHeight="1">
      <c r="A12" s="60">
        <v>2014</v>
      </c>
      <c r="B12" s="142">
        <f>1-LINEST(E12:CZ12, DB12:GW12, TRUE, FALSE)</f>
        <v>0.1010144985079674</v>
      </c>
      <c r="C12" s="143">
        <f>RSQ(E12:CZ12, DB12:GW12)</f>
        <v>0.99988642344584022</v>
      </c>
      <c r="D12" s="60"/>
      <c r="E12" s="143">
        <f>E6</f>
        <v>9.8538455256346449</v>
      </c>
      <c r="F12" s="143">
        <f t="shared" ref="F12:X12" si="7">E12</f>
        <v>9.8538455256346449</v>
      </c>
      <c r="G12" s="143">
        <f t="shared" si="7"/>
        <v>9.8538455256346449</v>
      </c>
      <c r="H12" s="143">
        <f t="shared" si="7"/>
        <v>9.8538455256346449</v>
      </c>
      <c r="I12" s="143">
        <f t="shared" si="7"/>
        <v>9.8538455256346449</v>
      </c>
      <c r="J12" s="143">
        <f t="shared" si="7"/>
        <v>9.8538455256346449</v>
      </c>
      <c r="K12" s="143">
        <f t="shared" si="7"/>
        <v>9.8538455256346449</v>
      </c>
      <c r="L12" s="143">
        <f t="shared" si="7"/>
        <v>9.8538455256346449</v>
      </c>
      <c r="M12" s="143">
        <f t="shared" si="7"/>
        <v>9.8538455256346449</v>
      </c>
      <c r="N12" s="143">
        <f t="shared" si="7"/>
        <v>9.8538455256346449</v>
      </c>
      <c r="O12" s="143">
        <f t="shared" si="7"/>
        <v>9.8538455256346449</v>
      </c>
      <c r="P12" s="143">
        <f t="shared" si="7"/>
        <v>9.8538455256346449</v>
      </c>
      <c r="Q12" s="143">
        <f t="shared" si="7"/>
        <v>9.8538455256346449</v>
      </c>
      <c r="R12" s="143">
        <f t="shared" si="7"/>
        <v>9.8538455256346449</v>
      </c>
      <c r="S12" s="143">
        <f t="shared" si="7"/>
        <v>9.8538455256346449</v>
      </c>
      <c r="T12" s="143">
        <f t="shared" si="7"/>
        <v>9.8538455256346449</v>
      </c>
      <c r="U12" s="143">
        <f t="shared" si="7"/>
        <v>9.8538455256346449</v>
      </c>
      <c r="V12" s="143">
        <f t="shared" si="7"/>
        <v>9.8538455256346449</v>
      </c>
      <c r="W12" s="143">
        <f t="shared" si="7"/>
        <v>9.8538455256346449</v>
      </c>
      <c r="X12" s="143">
        <f t="shared" si="7"/>
        <v>9.8538455256346449</v>
      </c>
      <c r="Y12" s="143">
        <f>F6</f>
        <v>10.567643519745475</v>
      </c>
      <c r="Z12" s="143">
        <f t="shared" ref="Z12:AR12" si="8">Y12</f>
        <v>10.567643519745475</v>
      </c>
      <c r="AA12" s="143">
        <f t="shared" si="8"/>
        <v>10.567643519745475</v>
      </c>
      <c r="AB12" s="143">
        <f t="shared" si="8"/>
        <v>10.567643519745475</v>
      </c>
      <c r="AC12" s="143">
        <f t="shared" si="8"/>
        <v>10.567643519745475</v>
      </c>
      <c r="AD12" s="143">
        <f t="shared" si="8"/>
        <v>10.567643519745475</v>
      </c>
      <c r="AE12" s="143">
        <f t="shared" si="8"/>
        <v>10.567643519745475</v>
      </c>
      <c r="AF12" s="143">
        <f t="shared" si="8"/>
        <v>10.567643519745475</v>
      </c>
      <c r="AG12" s="143">
        <f t="shared" si="8"/>
        <v>10.567643519745475</v>
      </c>
      <c r="AH12" s="143">
        <f t="shared" si="8"/>
        <v>10.567643519745475</v>
      </c>
      <c r="AI12" s="143">
        <f t="shared" si="8"/>
        <v>10.567643519745475</v>
      </c>
      <c r="AJ12" s="143">
        <f t="shared" si="8"/>
        <v>10.567643519745475</v>
      </c>
      <c r="AK12" s="143">
        <f t="shared" si="8"/>
        <v>10.567643519745475</v>
      </c>
      <c r="AL12" s="143">
        <f t="shared" si="8"/>
        <v>10.567643519745475</v>
      </c>
      <c r="AM12" s="143">
        <f t="shared" si="8"/>
        <v>10.567643519745475</v>
      </c>
      <c r="AN12" s="143">
        <f t="shared" si="8"/>
        <v>10.567643519745475</v>
      </c>
      <c r="AO12" s="143">
        <f t="shared" si="8"/>
        <v>10.567643519745475</v>
      </c>
      <c r="AP12" s="143">
        <f t="shared" si="8"/>
        <v>10.567643519745475</v>
      </c>
      <c r="AQ12" s="143">
        <f t="shared" si="8"/>
        <v>10.567643519745475</v>
      </c>
      <c r="AR12" s="143">
        <f t="shared" si="8"/>
        <v>10.567643519745475</v>
      </c>
      <c r="AS12" s="143">
        <f>G6</f>
        <v>10.999696956587927</v>
      </c>
      <c r="AT12" s="143">
        <f t="shared" ref="AT12:BL12" si="9">AS12</f>
        <v>10.999696956587927</v>
      </c>
      <c r="AU12" s="143">
        <f t="shared" si="9"/>
        <v>10.999696956587927</v>
      </c>
      <c r="AV12" s="143">
        <f t="shared" si="9"/>
        <v>10.999696956587927</v>
      </c>
      <c r="AW12" s="143">
        <f t="shared" si="9"/>
        <v>10.999696956587927</v>
      </c>
      <c r="AX12" s="143">
        <f t="shared" si="9"/>
        <v>10.999696956587927</v>
      </c>
      <c r="AY12" s="143">
        <f t="shared" si="9"/>
        <v>10.999696956587927</v>
      </c>
      <c r="AZ12" s="143">
        <f t="shared" si="9"/>
        <v>10.999696956587927</v>
      </c>
      <c r="BA12" s="143">
        <f t="shared" si="9"/>
        <v>10.999696956587927</v>
      </c>
      <c r="BB12" s="143">
        <f t="shared" si="9"/>
        <v>10.999696956587927</v>
      </c>
      <c r="BC12" s="143">
        <f t="shared" si="9"/>
        <v>10.999696956587927</v>
      </c>
      <c r="BD12" s="143">
        <f t="shared" si="9"/>
        <v>10.999696956587927</v>
      </c>
      <c r="BE12" s="143">
        <f t="shared" si="9"/>
        <v>10.999696956587927</v>
      </c>
      <c r="BF12" s="143">
        <f t="shared" si="9"/>
        <v>10.999696956587927</v>
      </c>
      <c r="BG12" s="143">
        <f t="shared" si="9"/>
        <v>10.999696956587927</v>
      </c>
      <c r="BH12" s="143">
        <f t="shared" si="9"/>
        <v>10.999696956587927</v>
      </c>
      <c r="BI12" s="143">
        <f t="shared" si="9"/>
        <v>10.999696956587927</v>
      </c>
      <c r="BJ12" s="143">
        <f t="shared" si="9"/>
        <v>10.999696956587927</v>
      </c>
      <c r="BK12" s="143">
        <f t="shared" si="9"/>
        <v>10.999696956587927</v>
      </c>
      <c r="BL12" s="143">
        <f t="shared" si="9"/>
        <v>10.999696956587927</v>
      </c>
      <c r="BM12" s="143">
        <f>H6</f>
        <v>11.373290914480378</v>
      </c>
      <c r="BN12" s="143">
        <f t="shared" ref="BN12:CF12" si="10">BM12</f>
        <v>11.373290914480378</v>
      </c>
      <c r="BO12" s="143">
        <f t="shared" si="10"/>
        <v>11.373290914480378</v>
      </c>
      <c r="BP12" s="143">
        <f t="shared" si="10"/>
        <v>11.373290914480378</v>
      </c>
      <c r="BQ12" s="143">
        <f t="shared" si="10"/>
        <v>11.373290914480378</v>
      </c>
      <c r="BR12" s="143">
        <f t="shared" si="10"/>
        <v>11.373290914480378</v>
      </c>
      <c r="BS12" s="143">
        <f t="shared" si="10"/>
        <v>11.373290914480378</v>
      </c>
      <c r="BT12" s="143">
        <f t="shared" si="10"/>
        <v>11.373290914480378</v>
      </c>
      <c r="BU12" s="143">
        <f t="shared" si="10"/>
        <v>11.373290914480378</v>
      </c>
      <c r="BV12" s="143">
        <f t="shared" si="10"/>
        <v>11.373290914480378</v>
      </c>
      <c r="BW12" s="143">
        <f t="shared" si="10"/>
        <v>11.373290914480378</v>
      </c>
      <c r="BX12" s="143">
        <f t="shared" si="10"/>
        <v>11.373290914480378</v>
      </c>
      <c r="BY12" s="143">
        <f t="shared" si="10"/>
        <v>11.373290914480378</v>
      </c>
      <c r="BZ12" s="143">
        <f t="shared" si="10"/>
        <v>11.373290914480378</v>
      </c>
      <c r="CA12" s="143">
        <f t="shared" si="10"/>
        <v>11.373290914480378</v>
      </c>
      <c r="CB12" s="143">
        <f t="shared" si="10"/>
        <v>11.373290914480378</v>
      </c>
      <c r="CC12" s="143">
        <f t="shared" si="10"/>
        <v>11.373290914480378</v>
      </c>
      <c r="CD12" s="143">
        <f t="shared" si="10"/>
        <v>11.373290914480378</v>
      </c>
      <c r="CE12" s="143">
        <f t="shared" si="10"/>
        <v>11.373290914480378</v>
      </c>
      <c r="CF12" s="143">
        <f t="shared" si="10"/>
        <v>11.373290914480378</v>
      </c>
      <c r="CG12" s="143">
        <f>I6</f>
        <v>11.701242347164371</v>
      </c>
      <c r="CH12" s="143">
        <f t="shared" ref="CH12:CP12" si="11">CG12</f>
        <v>11.701242347164371</v>
      </c>
      <c r="CI12" s="143">
        <f t="shared" si="11"/>
        <v>11.701242347164371</v>
      </c>
      <c r="CJ12" s="143">
        <f t="shared" si="11"/>
        <v>11.701242347164371</v>
      </c>
      <c r="CK12" s="143">
        <f t="shared" si="11"/>
        <v>11.701242347164371</v>
      </c>
      <c r="CL12" s="143">
        <f t="shared" si="11"/>
        <v>11.701242347164371</v>
      </c>
      <c r="CM12" s="143">
        <f t="shared" si="11"/>
        <v>11.701242347164371</v>
      </c>
      <c r="CN12" s="143">
        <f t="shared" si="11"/>
        <v>11.701242347164371</v>
      </c>
      <c r="CO12" s="143">
        <f t="shared" si="11"/>
        <v>11.701242347164371</v>
      </c>
      <c r="CP12" s="143">
        <f t="shared" si="11"/>
        <v>11.701242347164371</v>
      </c>
      <c r="CQ12" s="143">
        <f>J6</f>
        <v>11.98447290193136</v>
      </c>
      <c r="CR12" s="143">
        <f>CQ12</f>
        <v>11.98447290193136</v>
      </c>
      <c r="CS12" s="143">
        <f>CR12</f>
        <v>11.98447290193136</v>
      </c>
      <c r="CT12" s="143">
        <f>CS12</f>
        <v>11.98447290193136</v>
      </c>
      <c r="CU12" s="143">
        <f>CT12</f>
        <v>11.98447290193136</v>
      </c>
      <c r="CV12" s="143">
        <f>K6</f>
        <v>12.445317079168158</v>
      </c>
      <c r="CW12" s="143">
        <f>CV12</f>
        <v>12.445317079168158</v>
      </c>
      <c r="CX12" s="143">
        <f>CW12</f>
        <v>12.445317079168158</v>
      </c>
      <c r="CY12" s="143">
        <f>CX12</f>
        <v>12.445317079168158</v>
      </c>
      <c r="CZ12" s="143">
        <f>L6</f>
        <v>13.992378604700708</v>
      </c>
      <c r="DA12" s="60"/>
      <c r="DB12" s="143">
        <f>N6</f>
        <v>9.87302834505142</v>
      </c>
      <c r="DC12" s="143">
        <f t="shared" ref="DC12:DU12" si="12">DB12</f>
        <v>9.87302834505142</v>
      </c>
      <c r="DD12" s="143">
        <f t="shared" si="12"/>
        <v>9.87302834505142</v>
      </c>
      <c r="DE12" s="143">
        <f t="shared" si="12"/>
        <v>9.87302834505142</v>
      </c>
      <c r="DF12" s="143">
        <f t="shared" si="12"/>
        <v>9.87302834505142</v>
      </c>
      <c r="DG12" s="143">
        <f t="shared" si="12"/>
        <v>9.87302834505142</v>
      </c>
      <c r="DH12" s="143">
        <f t="shared" si="12"/>
        <v>9.87302834505142</v>
      </c>
      <c r="DI12" s="143">
        <f t="shared" si="12"/>
        <v>9.87302834505142</v>
      </c>
      <c r="DJ12" s="143">
        <f t="shared" si="12"/>
        <v>9.87302834505142</v>
      </c>
      <c r="DK12" s="143">
        <f t="shared" si="12"/>
        <v>9.87302834505142</v>
      </c>
      <c r="DL12" s="143">
        <f t="shared" si="12"/>
        <v>9.87302834505142</v>
      </c>
      <c r="DM12" s="143">
        <f t="shared" si="12"/>
        <v>9.87302834505142</v>
      </c>
      <c r="DN12" s="143">
        <f t="shared" si="12"/>
        <v>9.87302834505142</v>
      </c>
      <c r="DO12" s="143">
        <f t="shared" si="12"/>
        <v>9.87302834505142</v>
      </c>
      <c r="DP12" s="143">
        <f t="shared" si="12"/>
        <v>9.87302834505142</v>
      </c>
      <c r="DQ12" s="143">
        <f t="shared" si="12"/>
        <v>9.87302834505142</v>
      </c>
      <c r="DR12" s="143">
        <f t="shared" si="12"/>
        <v>9.87302834505142</v>
      </c>
      <c r="DS12" s="143">
        <f t="shared" si="12"/>
        <v>9.87302834505142</v>
      </c>
      <c r="DT12" s="143">
        <f t="shared" si="12"/>
        <v>9.87302834505142</v>
      </c>
      <c r="DU12" s="143">
        <f t="shared" si="12"/>
        <v>9.87302834505142</v>
      </c>
      <c r="DV12" s="143">
        <f>O6</f>
        <v>10.661954199216716</v>
      </c>
      <c r="DW12" s="143">
        <f t="shared" ref="DW12:EO12" si="13">DV12</f>
        <v>10.661954199216716</v>
      </c>
      <c r="DX12" s="143">
        <f t="shared" si="13"/>
        <v>10.661954199216716</v>
      </c>
      <c r="DY12" s="143">
        <f t="shared" si="13"/>
        <v>10.661954199216716</v>
      </c>
      <c r="DZ12" s="143">
        <f t="shared" si="13"/>
        <v>10.661954199216716</v>
      </c>
      <c r="EA12" s="143">
        <f t="shared" si="13"/>
        <v>10.661954199216716</v>
      </c>
      <c r="EB12" s="143">
        <f t="shared" si="13"/>
        <v>10.661954199216716</v>
      </c>
      <c r="EC12" s="143">
        <f t="shared" si="13"/>
        <v>10.661954199216716</v>
      </c>
      <c r="ED12" s="143">
        <f t="shared" si="13"/>
        <v>10.661954199216716</v>
      </c>
      <c r="EE12" s="143">
        <f t="shared" si="13"/>
        <v>10.661954199216716</v>
      </c>
      <c r="EF12" s="143">
        <f t="shared" si="13"/>
        <v>10.661954199216716</v>
      </c>
      <c r="EG12" s="143">
        <f t="shared" si="13"/>
        <v>10.661954199216716</v>
      </c>
      <c r="EH12" s="143">
        <f t="shared" si="13"/>
        <v>10.661954199216716</v>
      </c>
      <c r="EI12" s="143">
        <f t="shared" si="13"/>
        <v>10.661954199216716</v>
      </c>
      <c r="EJ12" s="143">
        <f t="shared" si="13"/>
        <v>10.661954199216716</v>
      </c>
      <c r="EK12" s="143">
        <f t="shared" si="13"/>
        <v>10.661954199216716</v>
      </c>
      <c r="EL12" s="143">
        <f t="shared" si="13"/>
        <v>10.661954199216716</v>
      </c>
      <c r="EM12" s="143">
        <f t="shared" si="13"/>
        <v>10.661954199216716</v>
      </c>
      <c r="EN12" s="143">
        <f t="shared" si="13"/>
        <v>10.661954199216716</v>
      </c>
      <c r="EO12" s="143">
        <f t="shared" si="13"/>
        <v>10.661954199216716</v>
      </c>
      <c r="EP12" s="143">
        <f>P6</f>
        <v>11.150519846322512</v>
      </c>
      <c r="EQ12" s="143">
        <f t="shared" ref="EQ12:FI12" si="14">EP12</f>
        <v>11.150519846322512</v>
      </c>
      <c r="ER12" s="143">
        <f t="shared" si="14"/>
        <v>11.150519846322512</v>
      </c>
      <c r="ES12" s="143">
        <f t="shared" si="14"/>
        <v>11.150519846322512</v>
      </c>
      <c r="ET12" s="143">
        <f t="shared" si="14"/>
        <v>11.150519846322512</v>
      </c>
      <c r="EU12" s="143">
        <f t="shared" si="14"/>
        <v>11.150519846322512</v>
      </c>
      <c r="EV12" s="143">
        <f t="shared" si="14"/>
        <v>11.150519846322512</v>
      </c>
      <c r="EW12" s="143">
        <f t="shared" si="14"/>
        <v>11.150519846322512</v>
      </c>
      <c r="EX12" s="143">
        <f t="shared" si="14"/>
        <v>11.150519846322512</v>
      </c>
      <c r="EY12" s="143">
        <f t="shared" si="14"/>
        <v>11.150519846322512</v>
      </c>
      <c r="EZ12" s="143">
        <f t="shared" si="14"/>
        <v>11.150519846322512</v>
      </c>
      <c r="FA12" s="143">
        <f t="shared" si="14"/>
        <v>11.150519846322512</v>
      </c>
      <c r="FB12" s="143">
        <f t="shared" si="14"/>
        <v>11.150519846322512</v>
      </c>
      <c r="FC12" s="143">
        <f t="shared" si="14"/>
        <v>11.150519846322512</v>
      </c>
      <c r="FD12" s="143">
        <f t="shared" si="14"/>
        <v>11.150519846322512</v>
      </c>
      <c r="FE12" s="143">
        <f t="shared" si="14"/>
        <v>11.150519846322512</v>
      </c>
      <c r="FF12" s="143">
        <f t="shared" si="14"/>
        <v>11.150519846322512</v>
      </c>
      <c r="FG12" s="143">
        <f t="shared" si="14"/>
        <v>11.150519846322512</v>
      </c>
      <c r="FH12" s="143">
        <f t="shared" si="14"/>
        <v>11.150519846322512</v>
      </c>
      <c r="FI12" s="143">
        <f t="shared" si="14"/>
        <v>11.150519846322512</v>
      </c>
      <c r="FJ12" s="143">
        <f>Q6</f>
        <v>11.569305798406337</v>
      </c>
      <c r="FK12" s="143">
        <f t="shared" ref="FK12:GC12" si="15">FJ12</f>
        <v>11.569305798406337</v>
      </c>
      <c r="FL12" s="143">
        <f t="shared" si="15"/>
        <v>11.569305798406337</v>
      </c>
      <c r="FM12" s="143">
        <f t="shared" si="15"/>
        <v>11.569305798406337</v>
      </c>
      <c r="FN12" s="143">
        <f t="shared" si="15"/>
        <v>11.569305798406337</v>
      </c>
      <c r="FO12" s="143">
        <f t="shared" si="15"/>
        <v>11.569305798406337</v>
      </c>
      <c r="FP12" s="143">
        <f t="shared" si="15"/>
        <v>11.569305798406337</v>
      </c>
      <c r="FQ12" s="143">
        <f t="shared" si="15"/>
        <v>11.569305798406337</v>
      </c>
      <c r="FR12" s="143">
        <f t="shared" si="15"/>
        <v>11.569305798406337</v>
      </c>
      <c r="FS12" s="143">
        <f t="shared" si="15"/>
        <v>11.569305798406337</v>
      </c>
      <c r="FT12" s="143">
        <f t="shared" si="15"/>
        <v>11.569305798406337</v>
      </c>
      <c r="FU12" s="143">
        <f t="shared" si="15"/>
        <v>11.569305798406337</v>
      </c>
      <c r="FV12" s="143">
        <f t="shared" si="15"/>
        <v>11.569305798406337</v>
      </c>
      <c r="FW12" s="143">
        <f t="shared" si="15"/>
        <v>11.569305798406337</v>
      </c>
      <c r="FX12" s="143">
        <f t="shared" si="15"/>
        <v>11.569305798406337</v>
      </c>
      <c r="FY12" s="143">
        <f t="shared" si="15"/>
        <v>11.569305798406337</v>
      </c>
      <c r="FZ12" s="143">
        <f t="shared" si="15"/>
        <v>11.569305798406337</v>
      </c>
      <c r="GA12" s="143">
        <f t="shared" si="15"/>
        <v>11.569305798406337</v>
      </c>
      <c r="GB12" s="143">
        <f t="shared" si="15"/>
        <v>11.569305798406337</v>
      </c>
      <c r="GC12" s="143">
        <f t="shared" si="15"/>
        <v>11.569305798406337</v>
      </c>
      <c r="GD12" s="143">
        <f>R6</f>
        <v>11.939499536288627</v>
      </c>
      <c r="GE12" s="143">
        <f t="shared" ref="GE12:GM12" si="16">GD12</f>
        <v>11.939499536288627</v>
      </c>
      <c r="GF12" s="143">
        <f t="shared" si="16"/>
        <v>11.939499536288627</v>
      </c>
      <c r="GG12" s="143">
        <f t="shared" si="16"/>
        <v>11.939499536288627</v>
      </c>
      <c r="GH12" s="143">
        <f t="shared" si="16"/>
        <v>11.939499536288627</v>
      </c>
      <c r="GI12" s="143">
        <f t="shared" si="16"/>
        <v>11.939499536288627</v>
      </c>
      <c r="GJ12" s="143">
        <f t="shared" si="16"/>
        <v>11.939499536288627</v>
      </c>
      <c r="GK12" s="143">
        <f t="shared" si="16"/>
        <v>11.939499536288627</v>
      </c>
      <c r="GL12" s="143">
        <f t="shared" si="16"/>
        <v>11.939499536288627</v>
      </c>
      <c r="GM12" s="143">
        <f t="shared" si="16"/>
        <v>11.939499536288627</v>
      </c>
      <c r="GN12" s="143">
        <f>S6</f>
        <v>12.251046011172905</v>
      </c>
      <c r="GO12" s="143">
        <f>GN12</f>
        <v>12.251046011172905</v>
      </c>
      <c r="GP12" s="143">
        <f>GO12</f>
        <v>12.251046011172905</v>
      </c>
      <c r="GQ12" s="143">
        <f>GP12</f>
        <v>12.251046011172905</v>
      </c>
      <c r="GR12" s="143">
        <f>GQ12</f>
        <v>12.251046011172905</v>
      </c>
      <c r="GS12" s="143">
        <f>T6</f>
        <v>12.755926656263643</v>
      </c>
      <c r="GT12" s="143">
        <f>GS12</f>
        <v>12.755926656263643</v>
      </c>
      <c r="GU12" s="143">
        <f>GT12</f>
        <v>12.755926656263643</v>
      </c>
      <c r="GV12" s="143">
        <f>GU12</f>
        <v>12.755926656263643</v>
      </c>
      <c r="GW12" s="143">
        <f>U6</f>
        <v>14.40185173420641</v>
      </c>
    </row>
    <row r="15" spans="1:205" s="149" customFormat="1" ht="13.5" customHeight="1">
      <c r="A15" s="244" t="s">
        <v>278</v>
      </c>
      <c r="B15" s="109"/>
      <c r="C15" s="109"/>
      <c r="D15" s="109"/>
      <c r="E15" s="109"/>
      <c r="F15" s="109"/>
      <c r="G15" s="109"/>
      <c r="H15" s="109"/>
      <c r="I15" s="109"/>
      <c r="J15" s="109"/>
      <c r="K15" s="109"/>
      <c r="L15" s="109"/>
      <c r="M15" s="556"/>
      <c r="N15" s="143"/>
      <c r="O15" s="143"/>
      <c r="P15" s="143"/>
      <c r="Q15" s="143"/>
      <c r="R15" s="143"/>
      <c r="T15" s="143"/>
      <c r="U15" s="143"/>
    </row>
    <row r="16" spans="1:205" ht="15" customHeight="1">
      <c r="A16" s="144"/>
      <c r="B16" s="754" t="s">
        <v>601</v>
      </c>
      <c r="C16" s="754" t="s">
        <v>255</v>
      </c>
      <c r="D16" s="468"/>
      <c r="E16" s="753" t="s">
        <v>602</v>
      </c>
      <c r="F16" s="731"/>
      <c r="G16" s="731"/>
      <c r="H16" s="731"/>
      <c r="I16" s="731"/>
      <c r="J16" s="731"/>
      <c r="K16" s="731"/>
      <c r="L16" s="731"/>
      <c r="M16" s="134"/>
      <c r="N16" s="736" t="s">
        <v>603</v>
      </c>
      <c r="O16" s="736"/>
      <c r="P16" s="736"/>
      <c r="Q16" s="736"/>
      <c r="R16" s="736"/>
      <c r="S16" s="736"/>
      <c r="T16" s="736"/>
      <c r="U16" s="736"/>
      <c r="V16" s="134"/>
      <c r="W16" s="736" t="s">
        <v>162</v>
      </c>
      <c r="X16" s="736"/>
      <c r="Y16" s="736"/>
      <c r="Z16" s="736"/>
      <c r="AA16" s="736"/>
      <c r="AB16" s="736"/>
      <c r="AC16" s="736"/>
      <c r="AD16" s="736"/>
      <c r="AE16" s="468"/>
      <c r="AF16" s="736" t="s">
        <v>206</v>
      </c>
      <c r="AG16" s="736"/>
      <c r="AH16" s="736"/>
      <c r="AI16" s="736"/>
      <c r="AJ16" s="736"/>
      <c r="AK16" s="736"/>
      <c r="AL16" s="736"/>
      <c r="AM16" s="736"/>
      <c r="AN16" s="468"/>
      <c r="AO16" s="731" t="s">
        <v>207</v>
      </c>
      <c r="AP16" s="731"/>
      <c r="AQ16" s="731"/>
      <c r="AR16" s="731"/>
      <c r="AS16" s="731"/>
      <c r="AT16" s="731"/>
      <c r="AU16" s="731"/>
      <c r="AV16" s="731"/>
    </row>
    <row r="17" spans="1:205">
      <c r="A17" s="53"/>
      <c r="B17" s="755"/>
      <c r="C17" s="755"/>
      <c r="D17" s="6"/>
      <c r="E17" s="6" t="s">
        <v>158</v>
      </c>
      <c r="F17" s="6" t="s">
        <v>159</v>
      </c>
      <c r="G17" s="6" t="s">
        <v>160</v>
      </c>
      <c r="H17" s="6" t="s">
        <v>161</v>
      </c>
      <c r="I17" s="51" t="s">
        <v>33</v>
      </c>
      <c r="J17" s="51" t="s">
        <v>51</v>
      </c>
      <c r="K17" s="51" t="s">
        <v>52</v>
      </c>
      <c r="L17" s="51" t="s">
        <v>28</v>
      </c>
      <c r="M17" s="5"/>
      <c r="N17" s="6" t="s">
        <v>158</v>
      </c>
      <c r="O17" s="6" t="s">
        <v>159</v>
      </c>
      <c r="P17" s="6" t="s">
        <v>160</v>
      </c>
      <c r="Q17" s="6" t="s">
        <v>161</v>
      </c>
      <c r="R17" s="51" t="s">
        <v>33</v>
      </c>
      <c r="S17" s="51" t="s">
        <v>51</v>
      </c>
      <c r="T17" s="51" t="s">
        <v>52</v>
      </c>
      <c r="U17" s="51" t="s">
        <v>28</v>
      </c>
      <c r="V17" s="5"/>
      <c r="W17" s="6" t="s">
        <v>158</v>
      </c>
      <c r="X17" s="6" t="s">
        <v>159</v>
      </c>
      <c r="Y17" s="6" t="s">
        <v>160</v>
      </c>
      <c r="Z17" s="6" t="s">
        <v>161</v>
      </c>
      <c r="AA17" s="51" t="s">
        <v>33</v>
      </c>
      <c r="AB17" s="51" t="s">
        <v>51</v>
      </c>
      <c r="AC17" s="51" t="s">
        <v>52</v>
      </c>
      <c r="AD17" s="51" t="s">
        <v>28</v>
      </c>
      <c r="AF17" s="6" t="s">
        <v>158</v>
      </c>
      <c r="AG17" s="6" t="s">
        <v>159</v>
      </c>
      <c r="AH17" s="6" t="s">
        <v>160</v>
      </c>
      <c r="AI17" s="6" t="s">
        <v>161</v>
      </c>
      <c r="AJ17" s="51" t="s">
        <v>33</v>
      </c>
      <c r="AK17" s="51" t="s">
        <v>51</v>
      </c>
      <c r="AL17" s="51" t="s">
        <v>52</v>
      </c>
      <c r="AM17" s="51" t="s">
        <v>28</v>
      </c>
      <c r="AN17" s="6"/>
      <c r="AO17" s="6" t="s">
        <v>158</v>
      </c>
      <c r="AP17" s="6" t="s">
        <v>159</v>
      </c>
      <c r="AQ17" s="6" t="s">
        <v>160</v>
      </c>
      <c r="AR17" s="6" t="s">
        <v>161</v>
      </c>
      <c r="AS17" s="51" t="s">
        <v>33</v>
      </c>
      <c r="AT17" s="51" t="s">
        <v>51</v>
      </c>
      <c r="AU17" s="51" t="s">
        <v>52</v>
      </c>
      <c r="AV17" s="51" t="s">
        <v>28</v>
      </c>
      <c r="AX17" s="103"/>
    </row>
    <row r="18" spans="1:205" s="149" customFormat="1" ht="10.5" customHeight="1">
      <c r="A18" s="259" t="s">
        <v>48</v>
      </c>
      <c r="B18" s="157">
        <f>B22</f>
        <v>0.11309357697186739</v>
      </c>
      <c r="C18" s="158">
        <f>C22</f>
        <v>0.99986564142327217</v>
      </c>
      <c r="D18" s="556"/>
      <c r="E18" s="143">
        <f t="shared" ref="E18:L18" si="17">LN(AF18-AO18)</f>
        <v>9.8519068484293086</v>
      </c>
      <c r="F18" s="143">
        <f t="shared" si="17"/>
        <v>10.557704177842917</v>
      </c>
      <c r="G18" s="143">
        <f t="shared" si="17"/>
        <v>10.983283926946598</v>
      </c>
      <c r="H18" s="143">
        <f t="shared" si="17"/>
        <v>11.351398513887373</v>
      </c>
      <c r="I18" s="143">
        <f t="shared" si="17"/>
        <v>11.67397026847798</v>
      </c>
      <c r="J18" s="143">
        <f t="shared" si="17"/>
        <v>11.953448273933747</v>
      </c>
      <c r="K18" s="143">
        <f t="shared" si="17"/>
        <v>12.408211453696383</v>
      </c>
      <c r="L18" s="143">
        <f t="shared" si="17"/>
        <v>13.940450993767943</v>
      </c>
      <c r="M18" s="46"/>
      <c r="N18" s="143">
        <f t="shared" ref="N18:U18" si="18">LN(AF18)</f>
        <v>9.87302834505142</v>
      </c>
      <c r="O18" s="143">
        <f t="shared" si="18"/>
        <v>10.661954199216716</v>
      </c>
      <c r="P18" s="143">
        <f t="shared" si="18"/>
        <v>11.150519846322512</v>
      </c>
      <c r="Q18" s="143">
        <f t="shared" si="18"/>
        <v>11.569305798406337</v>
      </c>
      <c r="R18" s="143">
        <f t="shared" si="18"/>
        <v>11.939499536288627</v>
      </c>
      <c r="S18" s="143">
        <f t="shared" si="18"/>
        <v>12.251046011172905</v>
      </c>
      <c r="T18" s="143">
        <f t="shared" si="18"/>
        <v>12.755926656263643</v>
      </c>
      <c r="U18" s="143">
        <f t="shared" si="18"/>
        <v>14.40185173420641</v>
      </c>
      <c r="V18" s="556"/>
      <c r="W18" s="246">
        <f t="shared" ref="W18:AD18" si="19">W$6*1.1</f>
        <v>2.09</v>
      </c>
      <c r="X18" s="246">
        <f t="shared" si="19"/>
        <v>9.9</v>
      </c>
      <c r="Y18" s="246">
        <f t="shared" si="19"/>
        <v>15.400000000000002</v>
      </c>
      <c r="Z18" s="246">
        <f t="shared" si="19"/>
        <v>19.580000000000002</v>
      </c>
      <c r="AA18" s="246">
        <f t="shared" si="19"/>
        <v>23.32</v>
      </c>
      <c r="AB18" s="246">
        <f t="shared" si="19"/>
        <v>25.740000000000002</v>
      </c>
      <c r="AC18" s="246">
        <f t="shared" si="19"/>
        <v>29.37</v>
      </c>
      <c r="AD18" s="246">
        <f t="shared" si="19"/>
        <v>36.960000000000008</v>
      </c>
      <c r="AE18" s="556"/>
      <c r="AF18" s="60">
        <f t="shared" ref="AF18:AM18" si="20">AF$6</f>
        <v>19400</v>
      </c>
      <c r="AG18" s="60">
        <f t="shared" si="20"/>
        <v>42700</v>
      </c>
      <c r="AH18" s="60">
        <f t="shared" si="20"/>
        <v>69600</v>
      </c>
      <c r="AI18" s="60">
        <f t="shared" si="20"/>
        <v>105800</v>
      </c>
      <c r="AJ18" s="60">
        <f t="shared" si="20"/>
        <v>153200</v>
      </c>
      <c r="AK18" s="60">
        <f t="shared" si="20"/>
        <v>209200</v>
      </c>
      <c r="AL18" s="60">
        <f t="shared" si="20"/>
        <v>346600</v>
      </c>
      <c r="AM18" s="60">
        <f t="shared" si="20"/>
        <v>1797400</v>
      </c>
      <c r="AN18" s="556"/>
      <c r="AO18" s="60">
        <f>W18*AF18/100</f>
        <v>405.46</v>
      </c>
      <c r="AP18" s="60">
        <f t="shared" ref="AP18:AV18" si="21">X18*AG18/100</f>
        <v>4227.3</v>
      </c>
      <c r="AQ18" s="60">
        <f t="shared" si="21"/>
        <v>10718.400000000001</v>
      </c>
      <c r="AR18" s="60">
        <f t="shared" si="21"/>
        <v>20715.640000000003</v>
      </c>
      <c r="AS18" s="60">
        <f t="shared" si="21"/>
        <v>35726.239999999998</v>
      </c>
      <c r="AT18" s="60">
        <f t="shared" si="21"/>
        <v>53848.08</v>
      </c>
      <c r="AU18" s="60">
        <f t="shared" si="21"/>
        <v>101796.42</v>
      </c>
      <c r="AV18" s="60">
        <f t="shared" si="21"/>
        <v>664319.04000000015</v>
      </c>
    </row>
    <row r="19" spans="1:205" s="149" customFormat="1" ht="9" customHeight="1">
      <c r="A19" s="259"/>
      <c r="E19" s="143"/>
      <c r="F19" s="143"/>
      <c r="G19" s="143"/>
      <c r="H19" s="143"/>
      <c r="I19" s="143"/>
      <c r="J19" s="143"/>
      <c r="K19" s="143"/>
      <c r="L19" s="143"/>
      <c r="M19" s="143"/>
      <c r="N19" s="143"/>
      <c r="O19" s="143"/>
      <c r="P19" s="143"/>
      <c r="Q19" s="143"/>
      <c r="R19" s="143"/>
      <c r="S19" s="143"/>
      <c r="T19" s="143"/>
      <c r="U19" s="143"/>
    </row>
    <row r="20" spans="1:205">
      <c r="A20" s="256"/>
      <c r="E20" s="745" t="s">
        <v>158</v>
      </c>
      <c r="F20" s="745"/>
      <c r="G20" s="745"/>
      <c r="H20" s="745"/>
      <c r="I20" s="745"/>
      <c r="J20" s="745"/>
      <c r="K20" s="745"/>
      <c r="L20" s="745"/>
      <c r="M20" s="745"/>
      <c r="N20" s="745"/>
      <c r="O20" s="745"/>
      <c r="P20" s="745"/>
      <c r="Q20" s="745"/>
      <c r="R20" s="745"/>
      <c r="S20" s="745"/>
      <c r="T20" s="745"/>
      <c r="U20" s="745"/>
      <c r="V20" s="745"/>
      <c r="W20" s="745"/>
      <c r="X20" s="745"/>
      <c r="Y20" s="745" t="s">
        <v>159</v>
      </c>
      <c r="Z20" s="745"/>
      <c r="AA20" s="745"/>
      <c r="AB20" s="745"/>
      <c r="AC20" s="745"/>
      <c r="AD20" s="745"/>
      <c r="AE20" s="745"/>
      <c r="AF20" s="745"/>
      <c r="AG20" s="745"/>
      <c r="AH20" s="745"/>
      <c r="AI20" s="745"/>
      <c r="AJ20" s="745"/>
      <c r="AK20" s="745"/>
      <c r="AL20" s="745"/>
      <c r="AM20" s="745"/>
      <c r="AN20" s="745"/>
      <c r="AO20" s="745"/>
      <c r="AP20" s="745"/>
      <c r="AQ20" s="745"/>
      <c r="AR20" s="745"/>
      <c r="AS20" s="745" t="s">
        <v>160</v>
      </c>
      <c r="AT20" s="745"/>
      <c r="AU20" s="745"/>
      <c r="AV20" s="745"/>
      <c r="AW20" s="745"/>
      <c r="AX20" s="745"/>
      <c r="AY20" s="745"/>
      <c r="AZ20" s="745"/>
      <c r="BA20" s="745"/>
      <c r="BB20" s="745"/>
      <c r="BC20" s="745"/>
      <c r="BD20" s="745"/>
      <c r="BE20" s="745"/>
      <c r="BF20" s="745"/>
      <c r="BG20" s="745"/>
      <c r="BH20" s="745"/>
      <c r="BI20" s="745"/>
      <c r="BJ20" s="745"/>
      <c r="BK20" s="745"/>
      <c r="BL20" s="745"/>
      <c r="BM20" s="745" t="s">
        <v>161</v>
      </c>
      <c r="BN20" s="745"/>
      <c r="BO20" s="745"/>
      <c r="BP20" s="745"/>
      <c r="BQ20" s="745"/>
      <c r="BR20" s="745"/>
      <c r="BS20" s="745"/>
      <c r="BT20" s="745"/>
      <c r="BU20" s="745"/>
      <c r="BV20" s="745"/>
      <c r="BW20" s="745"/>
      <c r="BX20" s="745"/>
      <c r="BY20" s="745"/>
      <c r="BZ20" s="745"/>
      <c r="CA20" s="745"/>
      <c r="CB20" s="745"/>
      <c r="CC20" s="745"/>
      <c r="CD20" s="745"/>
      <c r="CE20" s="745"/>
      <c r="CF20" s="745"/>
      <c r="CG20" s="746" t="s">
        <v>33</v>
      </c>
      <c r="CH20" s="746"/>
      <c r="CI20" s="746"/>
      <c r="CJ20" s="746"/>
      <c r="CK20" s="746"/>
      <c r="CL20" s="746"/>
      <c r="CM20" s="746"/>
      <c r="CN20" s="746"/>
      <c r="CO20" s="746"/>
      <c r="CP20" s="746"/>
      <c r="CQ20" s="746" t="s">
        <v>51</v>
      </c>
      <c r="CR20" s="746"/>
      <c r="CS20" s="746"/>
      <c r="CT20" s="746"/>
      <c r="CU20" s="746"/>
      <c r="CV20" s="746" t="s">
        <v>52</v>
      </c>
      <c r="CW20" s="746"/>
      <c r="CX20" s="746"/>
      <c r="CY20" s="746"/>
      <c r="CZ20" s="471" t="s">
        <v>28</v>
      </c>
      <c r="DB20" s="745" t="s">
        <v>158</v>
      </c>
      <c r="DC20" s="745"/>
      <c r="DD20" s="745"/>
      <c r="DE20" s="745"/>
      <c r="DF20" s="745"/>
      <c r="DG20" s="745"/>
      <c r="DH20" s="745"/>
      <c r="DI20" s="745"/>
      <c r="DJ20" s="745"/>
      <c r="DK20" s="745"/>
      <c r="DL20" s="745"/>
      <c r="DM20" s="745"/>
      <c r="DN20" s="745"/>
      <c r="DO20" s="745"/>
      <c r="DP20" s="745"/>
      <c r="DQ20" s="745"/>
      <c r="DR20" s="745"/>
      <c r="DS20" s="745"/>
      <c r="DT20" s="745"/>
      <c r="DU20" s="745"/>
      <c r="DV20" s="745" t="s">
        <v>159</v>
      </c>
      <c r="DW20" s="745"/>
      <c r="DX20" s="745"/>
      <c r="DY20" s="745"/>
      <c r="DZ20" s="745"/>
      <c r="EA20" s="745"/>
      <c r="EB20" s="745"/>
      <c r="EC20" s="745"/>
      <c r="ED20" s="745"/>
      <c r="EE20" s="745"/>
      <c r="EF20" s="745"/>
      <c r="EG20" s="745"/>
      <c r="EH20" s="745"/>
      <c r="EI20" s="745"/>
      <c r="EJ20" s="745"/>
      <c r="EK20" s="745"/>
      <c r="EL20" s="745"/>
      <c r="EM20" s="745"/>
      <c r="EN20" s="745"/>
      <c r="EO20" s="745"/>
      <c r="EP20" s="745" t="s">
        <v>160</v>
      </c>
      <c r="EQ20" s="745"/>
      <c r="ER20" s="745"/>
      <c r="ES20" s="745"/>
      <c r="ET20" s="745"/>
      <c r="EU20" s="745"/>
      <c r="EV20" s="745"/>
      <c r="EW20" s="745"/>
      <c r="EX20" s="745"/>
      <c r="EY20" s="745"/>
      <c r="EZ20" s="745"/>
      <c r="FA20" s="745"/>
      <c r="FB20" s="745"/>
      <c r="FC20" s="745"/>
      <c r="FD20" s="745"/>
      <c r="FE20" s="745"/>
      <c r="FF20" s="745"/>
      <c r="FG20" s="745"/>
      <c r="FH20" s="745"/>
      <c r="FI20" s="745"/>
      <c r="FJ20" s="745" t="s">
        <v>161</v>
      </c>
      <c r="FK20" s="745"/>
      <c r="FL20" s="745"/>
      <c r="FM20" s="745"/>
      <c r="FN20" s="745"/>
      <c r="FO20" s="745"/>
      <c r="FP20" s="745"/>
      <c r="FQ20" s="745"/>
      <c r="FR20" s="745"/>
      <c r="FS20" s="745"/>
      <c r="FT20" s="745"/>
      <c r="FU20" s="745"/>
      <c r="FV20" s="745"/>
      <c r="FW20" s="745"/>
      <c r="FX20" s="745"/>
      <c r="FY20" s="745"/>
      <c r="FZ20" s="745"/>
      <c r="GA20" s="745"/>
      <c r="GB20" s="745"/>
      <c r="GC20" s="745"/>
      <c r="GD20" s="746" t="s">
        <v>33</v>
      </c>
      <c r="GE20" s="746"/>
      <c r="GF20" s="746"/>
      <c r="GG20" s="746"/>
      <c r="GH20" s="746"/>
      <c r="GI20" s="746"/>
      <c r="GJ20" s="746"/>
      <c r="GK20" s="746"/>
      <c r="GL20" s="746"/>
      <c r="GM20" s="746"/>
      <c r="GN20" s="746" t="s">
        <v>51</v>
      </c>
      <c r="GO20" s="746"/>
      <c r="GP20" s="746"/>
      <c r="GQ20" s="746"/>
      <c r="GR20" s="746"/>
      <c r="GS20" s="746" t="s">
        <v>52</v>
      </c>
      <c r="GT20" s="746"/>
      <c r="GU20" s="746"/>
      <c r="GV20" s="746"/>
      <c r="GW20" s="471" t="s">
        <v>28</v>
      </c>
    </row>
    <row r="21" spans="1:205" s="46" customFormat="1">
      <c r="A21" s="15"/>
      <c r="E21" s="255">
        <v>1</v>
      </c>
      <c r="F21" s="255">
        <f>E21+1</f>
        <v>2</v>
      </c>
      <c r="G21" s="255">
        <f t="shared" ref="G21:BR21" si="22">F21+1</f>
        <v>3</v>
      </c>
      <c r="H21" s="255">
        <f t="shared" si="22"/>
        <v>4</v>
      </c>
      <c r="I21" s="255">
        <f t="shared" si="22"/>
        <v>5</v>
      </c>
      <c r="J21" s="255">
        <f t="shared" si="22"/>
        <v>6</v>
      </c>
      <c r="K21" s="255">
        <f t="shared" si="22"/>
        <v>7</v>
      </c>
      <c r="L21" s="255">
        <f t="shared" si="22"/>
        <v>8</v>
      </c>
      <c r="M21" s="255">
        <f t="shared" si="22"/>
        <v>9</v>
      </c>
      <c r="N21" s="255">
        <f t="shared" si="22"/>
        <v>10</v>
      </c>
      <c r="O21" s="255">
        <f t="shared" si="22"/>
        <v>11</v>
      </c>
      <c r="P21" s="255">
        <f t="shared" si="22"/>
        <v>12</v>
      </c>
      <c r="Q21" s="255">
        <f t="shared" si="22"/>
        <v>13</v>
      </c>
      <c r="R21" s="255">
        <f t="shared" si="22"/>
        <v>14</v>
      </c>
      <c r="S21" s="255">
        <f t="shared" si="22"/>
        <v>15</v>
      </c>
      <c r="T21" s="255">
        <f t="shared" si="22"/>
        <v>16</v>
      </c>
      <c r="U21" s="255">
        <f t="shared" si="22"/>
        <v>17</v>
      </c>
      <c r="V21" s="255">
        <f t="shared" si="22"/>
        <v>18</v>
      </c>
      <c r="W21" s="255">
        <f t="shared" si="22"/>
        <v>19</v>
      </c>
      <c r="X21" s="255">
        <f t="shared" si="22"/>
        <v>20</v>
      </c>
      <c r="Y21" s="255">
        <f t="shared" si="22"/>
        <v>21</v>
      </c>
      <c r="Z21" s="255">
        <f t="shared" si="22"/>
        <v>22</v>
      </c>
      <c r="AA21" s="255">
        <f t="shared" si="22"/>
        <v>23</v>
      </c>
      <c r="AB21" s="255">
        <f t="shared" si="22"/>
        <v>24</v>
      </c>
      <c r="AC21" s="255">
        <f t="shared" si="22"/>
        <v>25</v>
      </c>
      <c r="AD21" s="255">
        <f t="shared" si="22"/>
        <v>26</v>
      </c>
      <c r="AE21" s="255">
        <f t="shared" si="22"/>
        <v>27</v>
      </c>
      <c r="AF21" s="255">
        <f t="shared" si="22"/>
        <v>28</v>
      </c>
      <c r="AG21" s="255">
        <f t="shared" si="22"/>
        <v>29</v>
      </c>
      <c r="AH21" s="255">
        <f t="shared" si="22"/>
        <v>30</v>
      </c>
      <c r="AI21" s="255">
        <f t="shared" si="22"/>
        <v>31</v>
      </c>
      <c r="AJ21" s="255">
        <f t="shared" si="22"/>
        <v>32</v>
      </c>
      <c r="AK21" s="255">
        <f t="shared" si="22"/>
        <v>33</v>
      </c>
      <c r="AL21" s="255">
        <f t="shared" si="22"/>
        <v>34</v>
      </c>
      <c r="AM21" s="255">
        <f t="shared" si="22"/>
        <v>35</v>
      </c>
      <c r="AN21" s="255">
        <f t="shared" si="22"/>
        <v>36</v>
      </c>
      <c r="AO21" s="255">
        <f t="shared" si="22"/>
        <v>37</v>
      </c>
      <c r="AP21" s="255">
        <f t="shared" si="22"/>
        <v>38</v>
      </c>
      <c r="AQ21" s="255">
        <f t="shared" si="22"/>
        <v>39</v>
      </c>
      <c r="AR21" s="255">
        <f t="shared" si="22"/>
        <v>40</v>
      </c>
      <c r="AS21" s="255">
        <f t="shared" si="22"/>
        <v>41</v>
      </c>
      <c r="AT21" s="255">
        <f t="shared" si="22"/>
        <v>42</v>
      </c>
      <c r="AU21" s="255">
        <f t="shared" si="22"/>
        <v>43</v>
      </c>
      <c r="AV21" s="255">
        <f t="shared" si="22"/>
        <v>44</v>
      </c>
      <c r="AW21" s="255">
        <f t="shared" si="22"/>
        <v>45</v>
      </c>
      <c r="AX21" s="255">
        <f t="shared" si="22"/>
        <v>46</v>
      </c>
      <c r="AY21" s="255">
        <f t="shared" si="22"/>
        <v>47</v>
      </c>
      <c r="AZ21" s="255">
        <f t="shared" si="22"/>
        <v>48</v>
      </c>
      <c r="BA21" s="255">
        <f t="shared" si="22"/>
        <v>49</v>
      </c>
      <c r="BB21" s="255">
        <f t="shared" si="22"/>
        <v>50</v>
      </c>
      <c r="BC21" s="255">
        <f t="shared" si="22"/>
        <v>51</v>
      </c>
      <c r="BD21" s="255">
        <f t="shared" si="22"/>
        <v>52</v>
      </c>
      <c r="BE21" s="255">
        <f t="shared" si="22"/>
        <v>53</v>
      </c>
      <c r="BF21" s="255">
        <f t="shared" si="22"/>
        <v>54</v>
      </c>
      <c r="BG21" s="255">
        <f t="shared" si="22"/>
        <v>55</v>
      </c>
      <c r="BH21" s="255">
        <f t="shared" si="22"/>
        <v>56</v>
      </c>
      <c r="BI21" s="255">
        <f t="shared" si="22"/>
        <v>57</v>
      </c>
      <c r="BJ21" s="255">
        <f t="shared" si="22"/>
        <v>58</v>
      </c>
      <c r="BK21" s="255">
        <f t="shared" si="22"/>
        <v>59</v>
      </c>
      <c r="BL21" s="255">
        <f t="shared" si="22"/>
        <v>60</v>
      </c>
      <c r="BM21" s="255">
        <f t="shared" si="22"/>
        <v>61</v>
      </c>
      <c r="BN21" s="255">
        <f t="shared" si="22"/>
        <v>62</v>
      </c>
      <c r="BO21" s="255">
        <f t="shared" si="22"/>
        <v>63</v>
      </c>
      <c r="BP21" s="255">
        <f t="shared" si="22"/>
        <v>64</v>
      </c>
      <c r="BQ21" s="255">
        <f t="shared" si="22"/>
        <v>65</v>
      </c>
      <c r="BR21" s="255">
        <f t="shared" si="22"/>
        <v>66</v>
      </c>
      <c r="BS21" s="255">
        <f t="shared" ref="BS21:CZ21" si="23">BR21+1</f>
        <v>67</v>
      </c>
      <c r="BT21" s="255">
        <f t="shared" si="23"/>
        <v>68</v>
      </c>
      <c r="BU21" s="255">
        <f t="shared" si="23"/>
        <v>69</v>
      </c>
      <c r="BV21" s="255">
        <f t="shared" si="23"/>
        <v>70</v>
      </c>
      <c r="BW21" s="255">
        <f t="shared" si="23"/>
        <v>71</v>
      </c>
      <c r="BX21" s="255">
        <f t="shared" si="23"/>
        <v>72</v>
      </c>
      <c r="BY21" s="255">
        <f t="shared" si="23"/>
        <v>73</v>
      </c>
      <c r="BZ21" s="255">
        <f t="shared" si="23"/>
        <v>74</v>
      </c>
      <c r="CA21" s="255">
        <f t="shared" si="23"/>
        <v>75</v>
      </c>
      <c r="CB21" s="255">
        <f t="shared" si="23"/>
        <v>76</v>
      </c>
      <c r="CC21" s="255">
        <f t="shared" si="23"/>
        <v>77</v>
      </c>
      <c r="CD21" s="255">
        <f t="shared" si="23"/>
        <v>78</v>
      </c>
      <c r="CE21" s="255">
        <f t="shared" si="23"/>
        <v>79</v>
      </c>
      <c r="CF21" s="255">
        <f t="shared" si="23"/>
        <v>80</v>
      </c>
      <c r="CG21" s="255">
        <f t="shared" si="23"/>
        <v>81</v>
      </c>
      <c r="CH21" s="255">
        <f t="shared" si="23"/>
        <v>82</v>
      </c>
      <c r="CI21" s="255">
        <f t="shared" si="23"/>
        <v>83</v>
      </c>
      <c r="CJ21" s="255">
        <f t="shared" si="23"/>
        <v>84</v>
      </c>
      <c r="CK21" s="255">
        <f t="shared" si="23"/>
        <v>85</v>
      </c>
      <c r="CL21" s="255">
        <f t="shared" si="23"/>
        <v>86</v>
      </c>
      <c r="CM21" s="255">
        <f t="shared" si="23"/>
        <v>87</v>
      </c>
      <c r="CN21" s="255">
        <f t="shared" si="23"/>
        <v>88</v>
      </c>
      <c r="CO21" s="255">
        <f t="shared" si="23"/>
        <v>89</v>
      </c>
      <c r="CP21" s="255">
        <f t="shared" si="23"/>
        <v>90</v>
      </c>
      <c r="CQ21" s="255">
        <f t="shared" si="23"/>
        <v>91</v>
      </c>
      <c r="CR21" s="255">
        <f t="shared" si="23"/>
        <v>92</v>
      </c>
      <c r="CS21" s="255">
        <f t="shared" si="23"/>
        <v>93</v>
      </c>
      <c r="CT21" s="255">
        <f t="shared" si="23"/>
        <v>94</v>
      </c>
      <c r="CU21" s="255">
        <f t="shared" si="23"/>
        <v>95</v>
      </c>
      <c r="CV21" s="255">
        <f t="shared" si="23"/>
        <v>96</v>
      </c>
      <c r="CW21" s="255">
        <f t="shared" si="23"/>
        <v>97</v>
      </c>
      <c r="CX21" s="255">
        <f t="shared" si="23"/>
        <v>98</v>
      </c>
      <c r="CY21" s="255">
        <f t="shared" si="23"/>
        <v>99</v>
      </c>
      <c r="CZ21" s="255">
        <f t="shared" si="23"/>
        <v>100</v>
      </c>
      <c r="DB21" s="255">
        <v>1</v>
      </c>
      <c r="DC21" s="255">
        <f>DB21+1</f>
        <v>2</v>
      </c>
      <c r="DD21" s="255">
        <f t="shared" ref="DD21:FO21" si="24">DC21+1</f>
        <v>3</v>
      </c>
      <c r="DE21" s="255">
        <f t="shared" si="24"/>
        <v>4</v>
      </c>
      <c r="DF21" s="255">
        <f t="shared" si="24"/>
        <v>5</v>
      </c>
      <c r="DG21" s="255">
        <f t="shared" si="24"/>
        <v>6</v>
      </c>
      <c r="DH21" s="255">
        <f t="shared" si="24"/>
        <v>7</v>
      </c>
      <c r="DI21" s="255">
        <f t="shared" si="24"/>
        <v>8</v>
      </c>
      <c r="DJ21" s="255">
        <f t="shared" si="24"/>
        <v>9</v>
      </c>
      <c r="DK21" s="255">
        <f t="shared" si="24"/>
        <v>10</v>
      </c>
      <c r="DL21" s="255">
        <f t="shared" si="24"/>
        <v>11</v>
      </c>
      <c r="DM21" s="255">
        <f t="shared" si="24"/>
        <v>12</v>
      </c>
      <c r="DN21" s="255">
        <f t="shared" si="24"/>
        <v>13</v>
      </c>
      <c r="DO21" s="255">
        <f t="shared" si="24"/>
        <v>14</v>
      </c>
      <c r="DP21" s="255">
        <f t="shared" si="24"/>
        <v>15</v>
      </c>
      <c r="DQ21" s="255">
        <f t="shared" si="24"/>
        <v>16</v>
      </c>
      <c r="DR21" s="255">
        <f t="shared" si="24"/>
        <v>17</v>
      </c>
      <c r="DS21" s="255">
        <f t="shared" si="24"/>
        <v>18</v>
      </c>
      <c r="DT21" s="255">
        <f t="shared" si="24"/>
        <v>19</v>
      </c>
      <c r="DU21" s="255">
        <f t="shared" si="24"/>
        <v>20</v>
      </c>
      <c r="DV21" s="255">
        <f t="shared" si="24"/>
        <v>21</v>
      </c>
      <c r="DW21" s="255">
        <f t="shared" si="24"/>
        <v>22</v>
      </c>
      <c r="DX21" s="255">
        <f t="shared" si="24"/>
        <v>23</v>
      </c>
      <c r="DY21" s="255">
        <f t="shared" si="24"/>
        <v>24</v>
      </c>
      <c r="DZ21" s="255">
        <f t="shared" si="24"/>
        <v>25</v>
      </c>
      <c r="EA21" s="255">
        <f t="shared" si="24"/>
        <v>26</v>
      </c>
      <c r="EB21" s="255">
        <f t="shared" si="24"/>
        <v>27</v>
      </c>
      <c r="EC21" s="255">
        <f t="shared" si="24"/>
        <v>28</v>
      </c>
      <c r="ED21" s="255">
        <f t="shared" si="24"/>
        <v>29</v>
      </c>
      <c r="EE21" s="255">
        <f t="shared" si="24"/>
        <v>30</v>
      </c>
      <c r="EF21" s="255">
        <f t="shared" si="24"/>
        <v>31</v>
      </c>
      <c r="EG21" s="255">
        <f t="shared" si="24"/>
        <v>32</v>
      </c>
      <c r="EH21" s="255">
        <f t="shared" si="24"/>
        <v>33</v>
      </c>
      <c r="EI21" s="255">
        <f t="shared" si="24"/>
        <v>34</v>
      </c>
      <c r="EJ21" s="255">
        <f t="shared" si="24"/>
        <v>35</v>
      </c>
      <c r="EK21" s="255">
        <f t="shared" si="24"/>
        <v>36</v>
      </c>
      <c r="EL21" s="255">
        <f t="shared" si="24"/>
        <v>37</v>
      </c>
      <c r="EM21" s="255">
        <f t="shared" si="24"/>
        <v>38</v>
      </c>
      <c r="EN21" s="255">
        <f t="shared" si="24"/>
        <v>39</v>
      </c>
      <c r="EO21" s="255">
        <f t="shared" si="24"/>
        <v>40</v>
      </c>
      <c r="EP21" s="255">
        <f t="shared" si="24"/>
        <v>41</v>
      </c>
      <c r="EQ21" s="255">
        <f t="shared" si="24"/>
        <v>42</v>
      </c>
      <c r="ER21" s="255">
        <f t="shared" si="24"/>
        <v>43</v>
      </c>
      <c r="ES21" s="255">
        <f t="shared" si="24"/>
        <v>44</v>
      </c>
      <c r="ET21" s="255">
        <f t="shared" si="24"/>
        <v>45</v>
      </c>
      <c r="EU21" s="255">
        <f t="shared" si="24"/>
        <v>46</v>
      </c>
      <c r="EV21" s="255">
        <f t="shared" si="24"/>
        <v>47</v>
      </c>
      <c r="EW21" s="255">
        <f t="shared" si="24"/>
        <v>48</v>
      </c>
      <c r="EX21" s="255">
        <f t="shared" si="24"/>
        <v>49</v>
      </c>
      <c r="EY21" s="255">
        <f t="shared" si="24"/>
        <v>50</v>
      </c>
      <c r="EZ21" s="255">
        <f t="shared" si="24"/>
        <v>51</v>
      </c>
      <c r="FA21" s="255">
        <f t="shared" si="24"/>
        <v>52</v>
      </c>
      <c r="FB21" s="255">
        <f t="shared" si="24"/>
        <v>53</v>
      </c>
      <c r="FC21" s="255">
        <f t="shared" si="24"/>
        <v>54</v>
      </c>
      <c r="FD21" s="255">
        <f t="shared" si="24"/>
        <v>55</v>
      </c>
      <c r="FE21" s="255">
        <f t="shared" si="24"/>
        <v>56</v>
      </c>
      <c r="FF21" s="255">
        <f t="shared" si="24"/>
        <v>57</v>
      </c>
      <c r="FG21" s="255">
        <f t="shared" si="24"/>
        <v>58</v>
      </c>
      <c r="FH21" s="255">
        <f t="shared" si="24"/>
        <v>59</v>
      </c>
      <c r="FI21" s="255">
        <f t="shared" si="24"/>
        <v>60</v>
      </c>
      <c r="FJ21" s="255">
        <f t="shared" si="24"/>
        <v>61</v>
      </c>
      <c r="FK21" s="255">
        <f t="shared" si="24"/>
        <v>62</v>
      </c>
      <c r="FL21" s="255">
        <f t="shared" si="24"/>
        <v>63</v>
      </c>
      <c r="FM21" s="255">
        <f t="shared" si="24"/>
        <v>64</v>
      </c>
      <c r="FN21" s="255">
        <f t="shared" si="24"/>
        <v>65</v>
      </c>
      <c r="FO21" s="255">
        <f t="shared" si="24"/>
        <v>66</v>
      </c>
      <c r="FP21" s="255">
        <f t="shared" ref="FP21:GW21" si="25">FO21+1</f>
        <v>67</v>
      </c>
      <c r="FQ21" s="255">
        <f t="shared" si="25"/>
        <v>68</v>
      </c>
      <c r="FR21" s="255">
        <f t="shared" si="25"/>
        <v>69</v>
      </c>
      <c r="FS21" s="255">
        <f t="shared" si="25"/>
        <v>70</v>
      </c>
      <c r="FT21" s="255">
        <f t="shared" si="25"/>
        <v>71</v>
      </c>
      <c r="FU21" s="255">
        <f t="shared" si="25"/>
        <v>72</v>
      </c>
      <c r="FV21" s="255">
        <f t="shared" si="25"/>
        <v>73</v>
      </c>
      <c r="FW21" s="255">
        <f t="shared" si="25"/>
        <v>74</v>
      </c>
      <c r="FX21" s="255">
        <f t="shared" si="25"/>
        <v>75</v>
      </c>
      <c r="FY21" s="255">
        <f t="shared" si="25"/>
        <v>76</v>
      </c>
      <c r="FZ21" s="255">
        <f t="shared" si="25"/>
        <v>77</v>
      </c>
      <c r="GA21" s="255">
        <f t="shared" si="25"/>
        <v>78</v>
      </c>
      <c r="GB21" s="255">
        <f t="shared" si="25"/>
        <v>79</v>
      </c>
      <c r="GC21" s="255">
        <f t="shared" si="25"/>
        <v>80</v>
      </c>
      <c r="GD21" s="255">
        <f t="shared" si="25"/>
        <v>81</v>
      </c>
      <c r="GE21" s="255">
        <f t="shared" si="25"/>
        <v>82</v>
      </c>
      <c r="GF21" s="255">
        <f t="shared" si="25"/>
        <v>83</v>
      </c>
      <c r="GG21" s="255">
        <f t="shared" si="25"/>
        <v>84</v>
      </c>
      <c r="GH21" s="255">
        <f t="shared" si="25"/>
        <v>85</v>
      </c>
      <c r="GI21" s="255">
        <f t="shared" si="25"/>
        <v>86</v>
      </c>
      <c r="GJ21" s="255">
        <f t="shared" si="25"/>
        <v>87</v>
      </c>
      <c r="GK21" s="255">
        <f t="shared" si="25"/>
        <v>88</v>
      </c>
      <c r="GL21" s="255">
        <f t="shared" si="25"/>
        <v>89</v>
      </c>
      <c r="GM21" s="255">
        <f t="shared" si="25"/>
        <v>90</v>
      </c>
      <c r="GN21" s="255">
        <f t="shared" si="25"/>
        <v>91</v>
      </c>
      <c r="GO21" s="255">
        <f t="shared" si="25"/>
        <v>92</v>
      </c>
      <c r="GP21" s="255">
        <f t="shared" si="25"/>
        <v>93</v>
      </c>
      <c r="GQ21" s="255">
        <f t="shared" si="25"/>
        <v>94</v>
      </c>
      <c r="GR21" s="255">
        <f t="shared" si="25"/>
        <v>95</v>
      </c>
      <c r="GS21" s="255">
        <f t="shared" si="25"/>
        <v>96</v>
      </c>
      <c r="GT21" s="255">
        <f t="shared" si="25"/>
        <v>97</v>
      </c>
      <c r="GU21" s="255">
        <f t="shared" si="25"/>
        <v>98</v>
      </c>
      <c r="GV21" s="255">
        <f t="shared" si="25"/>
        <v>99</v>
      </c>
      <c r="GW21" s="255">
        <f t="shared" si="25"/>
        <v>100</v>
      </c>
    </row>
    <row r="22" spans="1:205" ht="9" customHeight="1">
      <c r="A22" s="259" t="s">
        <v>48</v>
      </c>
      <c r="B22" s="143">
        <f>1-LINEST(E22:CZ22, DB22:GW22, TRUE, FALSE)</f>
        <v>0.11309357697186739</v>
      </c>
      <c r="C22" s="143">
        <f>RSQ(E22:CZ22, DB22:GW22)</f>
        <v>0.99986564142327217</v>
      </c>
      <c r="D22" s="60"/>
      <c r="E22" s="143">
        <f>E18</f>
        <v>9.8519068484293086</v>
      </c>
      <c r="F22" s="143">
        <f t="shared" ref="F22:X22" si="26">E22</f>
        <v>9.8519068484293086</v>
      </c>
      <c r="G22" s="143">
        <f t="shared" si="26"/>
        <v>9.8519068484293086</v>
      </c>
      <c r="H22" s="143">
        <f t="shared" si="26"/>
        <v>9.8519068484293086</v>
      </c>
      <c r="I22" s="143">
        <f t="shared" si="26"/>
        <v>9.8519068484293086</v>
      </c>
      <c r="J22" s="143">
        <f t="shared" si="26"/>
        <v>9.8519068484293086</v>
      </c>
      <c r="K22" s="143">
        <f t="shared" si="26"/>
        <v>9.8519068484293086</v>
      </c>
      <c r="L22" s="143">
        <f t="shared" si="26"/>
        <v>9.8519068484293086</v>
      </c>
      <c r="M22" s="143">
        <f t="shared" si="26"/>
        <v>9.8519068484293086</v>
      </c>
      <c r="N22" s="143">
        <f t="shared" si="26"/>
        <v>9.8519068484293086</v>
      </c>
      <c r="O22" s="143">
        <f t="shared" si="26"/>
        <v>9.8519068484293086</v>
      </c>
      <c r="P22" s="143">
        <f t="shared" si="26"/>
        <v>9.8519068484293086</v>
      </c>
      <c r="Q22" s="143">
        <f t="shared" si="26"/>
        <v>9.8519068484293086</v>
      </c>
      <c r="R22" s="143">
        <f t="shared" si="26"/>
        <v>9.8519068484293086</v>
      </c>
      <c r="S22" s="143">
        <f t="shared" si="26"/>
        <v>9.8519068484293086</v>
      </c>
      <c r="T22" s="143">
        <f t="shared" si="26"/>
        <v>9.8519068484293086</v>
      </c>
      <c r="U22" s="143">
        <f t="shared" si="26"/>
        <v>9.8519068484293086</v>
      </c>
      <c r="V22" s="143">
        <f t="shared" si="26"/>
        <v>9.8519068484293086</v>
      </c>
      <c r="W22" s="143">
        <f t="shared" si="26"/>
        <v>9.8519068484293086</v>
      </c>
      <c r="X22" s="143">
        <f t="shared" si="26"/>
        <v>9.8519068484293086</v>
      </c>
      <c r="Y22" s="143">
        <f>F18</f>
        <v>10.557704177842917</v>
      </c>
      <c r="Z22" s="143">
        <f t="shared" ref="Z22:AR22" si="27">Y22</f>
        <v>10.557704177842917</v>
      </c>
      <c r="AA22" s="143">
        <f t="shared" si="27"/>
        <v>10.557704177842917</v>
      </c>
      <c r="AB22" s="143">
        <f t="shared" si="27"/>
        <v>10.557704177842917</v>
      </c>
      <c r="AC22" s="143">
        <f t="shared" si="27"/>
        <v>10.557704177842917</v>
      </c>
      <c r="AD22" s="143">
        <f t="shared" si="27"/>
        <v>10.557704177842917</v>
      </c>
      <c r="AE22" s="143">
        <f t="shared" si="27"/>
        <v>10.557704177842917</v>
      </c>
      <c r="AF22" s="143">
        <f t="shared" si="27"/>
        <v>10.557704177842917</v>
      </c>
      <c r="AG22" s="143">
        <f t="shared" si="27"/>
        <v>10.557704177842917</v>
      </c>
      <c r="AH22" s="143">
        <f t="shared" si="27"/>
        <v>10.557704177842917</v>
      </c>
      <c r="AI22" s="143">
        <f t="shared" si="27"/>
        <v>10.557704177842917</v>
      </c>
      <c r="AJ22" s="143">
        <f t="shared" si="27"/>
        <v>10.557704177842917</v>
      </c>
      <c r="AK22" s="143">
        <f t="shared" si="27"/>
        <v>10.557704177842917</v>
      </c>
      <c r="AL22" s="143">
        <f t="shared" si="27"/>
        <v>10.557704177842917</v>
      </c>
      <c r="AM22" s="143">
        <f t="shared" si="27"/>
        <v>10.557704177842917</v>
      </c>
      <c r="AN22" s="143">
        <f t="shared" si="27"/>
        <v>10.557704177842917</v>
      </c>
      <c r="AO22" s="143">
        <f t="shared" si="27"/>
        <v>10.557704177842917</v>
      </c>
      <c r="AP22" s="143">
        <f t="shared" si="27"/>
        <v>10.557704177842917</v>
      </c>
      <c r="AQ22" s="143">
        <f t="shared" si="27"/>
        <v>10.557704177842917</v>
      </c>
      <c r="AR22" s="143">
        <f t="shared" si="27"/>
        <v>10.557704177842917</v>
      </c>
      <c r="AS22" s="143">
        <f>G18</f>
        <v>10.983283926946598</v>
      </c>
      <c r="AT22" s="143">
        <f t="shared" ref="AT22:BL22" si="28">AS22</f>
        <v>10.983283926946598</v>
      </c>
      <c r="AU22" s="143">
        <f t="shared" si="28"/>
        <v>10.983283926946598</v>
      </c>
      <c r="AV22" s="143">
        <f t="shared" si="28"/>
        <v>10.983283926946598</v>
      </c>
      <c r="AW22" s="143">
        <f t="shared" si="28"/>
        <v>10.983283926946598</v>
      </c>
      <c r="AX22" s="143">
        <f t="shared" si="28"/>
        <v>10.983283926946598</v>
      </c>
      <c r="AY22" s="143">
        <f t="shared" si="28"/>
        <v>10.983283926946598</v>
      </c>
      <c r="AZ22" s="143">
        <f t="shared" si="28"/>
        <v>10.983283926946598</v>
      </c>
      <c r="BA22" s="143">
        <f t="shared" si="28"/>
        <v>10.983283926946598</v>
      </c>
      <c r="BB22" s="143">
        <f t="shared" si="28"/>
        <v>10.983283926946598</v>
      </c>
      <c r="BC22" s="143">
        <f t="shared" si="28"/>
        <v>10.983283926946598</v>
      </c>
      <c r="BD22" s="143">
        <f t="shared" si="28"/>
        <v>10.983283926946598</v>
      </c>
      <c r="BE22" s="143">
        <f t="shared" si="28"/>
        <v>10.983283926946598</v>
      </c>
      <c r="BF22" s="143">
        <f t="shared" si="28"/>
        <v>10.983283926946598</v>
      </c>
      <c r="BG22" s="143">
        <f t="shared" si="28"/>
        <v>10.983283926946598</v>
      </c>
      <c r="BH22" s="143">
        <f t="shared" si="28"/>
        <v>10.983283926946598</v>
      </c>
      <c r="BI22" s="143">
        <f t="shared" si="28"/>
        <v>10.983283926946598</v>
      </c>
      <c r="BJ22" s="143">
        <f t="shared" si="28"/>
        <v>10.983283926946598</v>
      </c>
      <c r="BK22" s="143">
        <f t="shared" si="28"/>
        <v>10.983283926946598</v>
      </c>
      <c r="BL22" s="143">
        <f t="shared" si="28"/>
        <v>10.983283926946598</v>
      </c>
      <c r="BM22" s="143">
        <f>H18</f>
        <v>11.351398513887373</v>
      </c>
      <c r="BN22" s="143">
        <f t="shared" ref="BN22:CF22" si="29">BM22</f>
        <v>11.351398513887373</v>
      </c>
      <c r="BO22" s="143">
        <f t="shared" si="29"/>
        <v>11.351398513887373</v>
      </c>
      <c r="BP22" s="143">
        <f t="shared" si="29"/>
        <v>11.351398513887373</v>
      </c>
      <c r="BQ22" s="143">
        <f t="shared" si="29"/>
        <v>11.351398513887373</v>
      </c>
      <c r="BR22" s="143">
        <f t="shared" si="29"/>
        <v>11.351398513887373</v>
      </c>
      <c r="BS22" s="143">
        <f t="shared" si="29"/>
        <v>11.351398513887373</v>
      </c>
      <c r="BT22" s="143">
        <f t="shared" si="29"/>
        <v>11.351398513887373</v>
      </c>
      <c r="BU22" s="143">
        <f t="shared" si="29"/>
        <v>11.351398513887373</v>
      </c>
      <c r="BV22" s="143">
        <f t="shared" si="29"/>
        <v>11.351398513887373</v>
      </c>
      <c r="BW22" s="143">
        <f t="shared" si="29"/>
        <v>11.351398513887373</v>
      </c>
      <c r="BX22" s="143">
        <f t="shared" si="29"/>
        <v>11.351398513887373</v>
      </c>
      <c r="BY22" s="143">
        <f t="shared" si="29"/>
        <v>11.351398513887373</v>
      </c>
      <c r="BZ22" s="143">
        <f t="shared" si="29"/>
        <v>11.351398513887373</v>
      </c>
      <c r="CA22" s="143">
        <f t="shared" si="29"/>
        <v>11.351398513887373</v>
      </c>
      <c r="CB22" s="143">
        <f t="shared" si="29"/>
        <v>11.351398513887373</v>
      </c>
      <c r="CC22" s="143">
        <f t="shared" si="29"/>
        <v>11.351398513887373</v>
      </c>
      <c r="CD22" s="143">
        <f t="shared" si="29"/>
        <v>11.351398513887373</v>
      </c>
      <c r="CE22" s="143">
        <f t="shared" si="29"/>
        <v>11.351398513887373</v>
      </c>
      <c r="CF22" s="143">
        <f t="shared" si="29"/>
        <v>11.351398513887373</v>
      </c>
      <c r="CG22" s="143">
        <f>I18</f>
        <v>11.67397026847798</v>
      </c>
      <c r="CH22" s="143">
        <f t="shared" ref="CH22:CP22" si="30">CG22</f>
        <v>11.67397026847798</v>
      </c>
      <c r="CI22" s="143">
        <f t="shared" si="30"/>
        <v>11.67397026847798</v>
      </c>
      <c r="CJ22" s="143">
        <f t="shared" si="30"/>
        <v>11.67397026847798</v>
      </c>
      <c r="CK22" s="143">
        <f t="shared" si="30"/>
        <v>11.67397026847798</v>
      </c>
      <c r="CL22" s="143">
        <f t="shared" si="30"/>
        <v>11.67397026847798</v>
      </c>
      <c r="CM22" s="143">
        <f t="shared" si="30"/>
        <v>11.67397026847798</v>
      </c>
      <c r="CN22" s="143">
        <f t="shared" si="30"/>
        <v>11.67397026847798</v>
      </c>
      <c r="CO22" s="143">
        <f t="shared" si="30"/>
        <v>11.67397026847798</v>
      </c>
      <c r="CP22" s="143">
        <f t="shared" si="30"/>
        <v>11.67397026847798</v>
      </c>
      <c r="CQ22" s="143">
        <f>J18</f>
        <v>11.953448273933747</v>
      </c>
      <c r="CR22" s="143">
        <f>CQ22</f>
        <v>11.953448273933747</v>
      </c>
      <c r="CS22" s="143">
        <f>CR22</f>
        <v>11.953448273933747</v>
      </c>
      <c r="CT22" s="143">
        <f>CS22</f>
        <v>11.953448273933747</v>
      </c>
      <c r="CU22" s="143">
        <f>CT22</f>
        <v>11.953448273933747</v>
      </c>
      <c r="CV22" s="143">
        <f>K18</f>
        <v>12.408211453696383</v>
      </c>
      <c r="CW22" s="143">
        <f>CV22</f>
        <v>12.408211453696383</v>
      </c>
      <c r="CX22" s="143">
        <f>CW22</f>
        <v>12.408211453696383</v>
      </c>
      <c r="CY22" s="143">
        <f>CX22</f>
        <v>12.408211453696383</v>
      </c>
      <c r="CZ22" s="143">
        <f>L18</f>
        <v>13.940450993767943</v>
      </c>
      <c r="DA22" s="60"/>
      <c r="DB22" s="143">
        <f>N18</f>
        <v>9.87302834505142</v>
      </c>
      <c r="DC22" s="143">
        <f t="shared" ref="DC22:DU22" si="31">DB22</f>
        <v>9.87302834505142</v>
      </c>
      <c r="DD22" s="143">
        <f t="shared" si="31"/>
        <v>9.87302834505142</v>
      </c>
      <c r="DE22" s="143">
        <f t="shared" si="31"/>
        <v>9.87302834505142</v>
      </c>
      <c r="DF22" s="143">
        <f t="shared" si="31"/>
        <v>9.87302834505142</v>
      </c>
      <c r="DG22" s="143">
        <f t="shared" si="31"/>
        <v>9.87302834505142</v>
      </c>
      <c r="DH22" s="143">
        <f t="shared" si="31"/>
        <v>9.87302834505142</v>
      </c>
      <c r="DI22" s="143">
        <f t="shared" si="31"/>
        <v>9.87302834505142</v>
      </c>
      <c r="DJ22" s="143">
        <f t="shared" si="31"/>
        <v>9.87302834505142</v>
      </c>
      <c r="DK22" s="143">
        <f t="shared" si="31"/>
        <v>9.87302834505142</v>
      </c>
      <c r="DL22" s="143">
        <f t="shared" si="31"/>
        <v>9.87302834505142</v>
      </c>
      <c r="DM22" s="143">
        <f t="shared" si="31"/>
        <v>9.87302834505142</v>
      </c>
      <c r="DN22" s="143">
        <f t="shared" si="31"/>
        <v>9.87302834505142</v>
      </c>
      <c r="DO22" s="143">
        <f t="shared" si="31"/>
        <v>9.87302834505142</v>
      </c>
      <c r="DP22" s="143">
        <f t="shared" si="31"/>
        <v>9.87302834505142</v>
      </c>
      <c r="DQ22" s="143">
        <f t="shared" si="31"/>
        <v>9.87302834505142</v>
      </c>
      <c r="DR22" s="143">
        <f t="shared" si="31"/>
        <v>9.87302834505142</v>
      </c>
      <c r="DS22" s="143">
        <f t="shared" si="31"/>
        <v>9.87302834505142</v>
      </c>
      <c r="DT22" s="143">
        <f t="shared" si="31"/>
        <v>9.87302834505142</v>
      </c>
      <c r="DU22" s="143">
        <f t="shared" si="31"/>
        <v>9.87302834505142</v>
      </c>
      <c r="DV22" s="143">
        <f>O18</f>
        <v>10.661954199216716</v>
      </c>
      <c r="DW22" s="143">
        <f t="shared" ref="DW22:EO22" si="32">DV22</f>
        <v>10.661954199216716</v>
      </c>
      <c r="DX22" s="143">
        <f t="shared" si="32"/>
        <v>10.661954199216716</v>
      </c>
      <c r="DY22" s="143">
        <f t="shared" si="32"/>
        <v>10.661954199216716</v>
      </c>
      <c r="DZ22" s="143">
        <f t="shared" si="32"/>
        <v>10.661954199216716</v>
      </c>
      <c r="EA22" s="143">
        <f t="shared" si="32"/>
        <v>10.661954199216716</v>
      </c>
      <c r="EB22" s="143">
        <f t="shared" si="32"/>
        <v>10.661954199216716</v>
      </c>
      <c r="EC22" s="143">
        <f t="shared" si="32"/>
        <v>10.661954199216716</v>
      </c>
      <c r="ED22" s="143">
        <f t="shared" si="32"/>
        <v>10.661954199216716</v>
      </c>
      <c r="EE22" s="143">
        <f t="shared" si="32"/>
        <v>10.661954199216716</v>
      </c>
      <c r="EF22" s="143">
        <f t="shared" si="32"/>
        <v>10.661954199216716</v>
      </c>
      <c r="EG22" s="143">
        <f t="shared" si="32"/>
        <v>10.661954199216716</v>
      </c>
      <c r="EH22" s="143">
        <f t="shared" si="32"/>
        <v>10.661954199216716</v>
      </c>
      <c r="EI22" s="143">
        <f t="shared" si="32"/>
        <v>10.661954199216716</v>
      </c>
      <c r="EJ22" s="143">
        <f t="shared" si="32"/>
        <v>10.661954199216716</v>
      </c>
      <c r="EK22" s="143">
        <f t="shared" si="32"/>
        <v>10.661954199216716</v>
      </c>
      <c r="EL22" s="143">
        <f t="shared" si="32"/>
        <v>10.661954199216716</v>
      </c>
      <c r="EM22" s="143">
        <f t="shared" si="32"/>
        <v>10.661954199216716</v>
      </c>
      <c r="EN22" s="143">
        <f t="shared" si="32"/>
        <v>10.661954199216716</v>
      </c>
      <c r="EO22" s="143">
        <f t="shared" si="32"/>
        <v>10.661954199216716</v>
      </c>
      <c r="EP22" s="143">
        <f>P18</f>
        <v>11.150519846322512</v>
      </c>
      <c r="EQ22" s="143">
        <f t="shared" ref="EQ22:FI22" si="33">EP22</f>
        <v>11.150519846322512</v>
      </c>
      <c r="ER22" s="143">
        <f t="shared" si="33"/>
        <v>11.150519846322512</v>
      </c>
      <c r="ES22" s="143">
        <f t="shared" si="33"/>
        <v>11.150519846322512</v>
      </c>
      <c r="ET22" s="143">
        <f t="shared" si="33"/>
        <v>11.150519846322512</v>
      </c>
      <c r="EU22" s="143">
        <f t="shared" si="33"/>
        <v>11.150519846322512</v>
      </c>
      <c r="EV22" s="143">
        <f t="shared" si="33"/>
        <v>11.150519846322512</v>
      </c>
      <c r="EW22" s="143">
        <f t="shared" si="33"/>
        <v>11.150519846322512</v>
      </c>
      <c r="EX22" s="143">
        <f t="shared" si="33"/>
        <v>11.150519846322512</v>
      </c>
      <c r="EY22" s="143">
        <f t="shared" si="33"/>
        <v>11.150519846322512</v>
      </c>
      <c r="EZ22" s="143">
        <f t="shared" si="33"/>
        <v>11.150519846322512</v>
      </c>
      <c r="FA22" s="143">
        <f t="shared" si="33"/>
        <v>11.150519846322512</v>
      </c>
      <c r="FB22" s="143">
        <f t="shared" si="33"/>
        <v>11.150519846322512</v>
      </c>
      <c r="FC22" s="143">
        <f t="shared" si="33"/>
        <v>11.150519846322512</v>
      </c>
      <c r="FD22" s="143">
        <f t="shared" si="33"/>
        <v>11.150519846322512</v>
      </c>
      <c r="FE22" s="143">
        <f t="shared" si="33"/>
        <v>11.150519846322512</v>
      </c>
      <c r="FF22" s="143">
        <f t="shared" si="33"/>
        <v>11.150519846322512</v>
      </c>
      <c r="FG22" s="143">
        <f t="shared" si="33"/>
        <v>11.150519846322512</v>
      </c>
      <c r="FH22" s="143">
        <f t="shared" si="33"/>
        <v>11.150519846322512</v>
      </c>
      <c r="FI22" s="143">
        <f t="shared" si="33"/>
        <v>11.150519846322512</v>
      </c>
      <c r="FJ22" s="143">
        <f>Q18</f>
        <v>11.569305798406337</v>
      </c>
      <c r="FK22" s="143">
        <f t="shared" ref="FK22:GC22" si="34">FJ22</f>
        <v>11.569305798406337</v>
      </c>
      <c r="FL22" s="143">
        <f t="shared" si="34"/>
        <v>11.569305798406337</v>
      </c>
      <c r="FM22" s="143">
        <f t="shared" si="34"/>
        <v>11.569305798406337</v>
      </c>
      <c r="FN22" s="143">
        <f t="shared" si="34"/>
        <v>11.569305798406337</v>
      </c>
      <c r="FO22" s="143">
        <f t="shared" si="34"/>
        <v>11.569305798406337</v>
      </c>
      <c r="FP22" s="143">
        <f t="shared" si="34"/>
        <v>11.569305798406337</v>
      </c>
      <c r="FQ22" s="143">
        <f t="shared" si="34"/>
        <v>11.569305798406337</v>
      </c>
      <c r="FR22" s="143">
        <f t="shared" si="34"/>
        <v>11.569305798406337</v>
      </c>
      <c r="FS22" s="143">
        <f t="shared" si="34"/>
        <v>11.569305798406337</v>
      </c>
      <c r="FT22" s="143">
        <f t="shared" si="34"/>
        <v>11.569305798406337</v>
      </c>
      <c r="FU22" s="143">
        <f t="shared" si="34"/>
        <v>11.569305798406337</v>
      </c>
      <c r="FV22" s="143">
        <f t="shared" si="34"/>
        <v>11.569305798406337</v>
      </c>
      <c r="FW22" s="143">
        <f t="shared" si="34"/>
        <v>11.569305798406337</v>
      </c>
      <c r="FX22" s="143">
        <f t="shared" si="34"/>
        <v>11.569305798406337</v>
      </c>
      <c r="FY22" s="143">
        <f t="shared" si="34"/>
        <v>11.569305798406337</v>
      </c>
      <c r="FZ22" s="143">
        <f t="shared" si="34"/>
        <v>11.569305798406337</v>
      </c>
      <c r="GA22" s="143">
        <f t="shared" si="34"/>
        <v>11.569305798406337</v>
      </c>
      <c r="GB22" s="143">
        <f t="shared" si="34"/>
        <v>11.569305798406337</v>
      </c>
      <c r="GC22" s="143">
        <f t="shared" si="34"/>
        <v>11.569305798406337</v>
      </c>
      <c r="GD22" s="143">
        <f>R18</f>
        <v>11.939499536288627</v>
      </c>
      <c r="GE22" s="143">
        <f t="shared" ref="GE22:GM22" si="35">GD22</f>
        <v>11.939499536288627</v>
      </c>
      <c r="GF22" s="143">
        <f t="shared" si="35"/>
        <v>11.939499536288627</v>
      </c>
      <c r="GG22" s="143">
        <f t="shared" si="35"/>
        <v>11.939499536288627</v>
      </c>
      <c r="GH22" s="143">
        <f t="shared" si="35"/>
        <v>11.939499536288627</v>
      </c>
      <c r="GI22" s="143">
        <f t="shared" si="35"/>
        <v>11.939499536288627</v>
      </c>
      <c r="GJ22" s="143">
        <f t="shared" si="35"/>
        <v>11.939499536288627</v>
      </c>
      <c r="GK22" s="143">
        <f t="shared" si="35"/>
        <v>11.939499536288627</v>
      </c>
      <c r="GL22" s="143">
        <f t="shared" si="35"/>
        <v>11.939499536288627</v>
      </c>
      <c r="GM22" s="143">
        <f t="shared" si="35"/>
        <v>11.939499536288627</v>
      </c>
      <c r="GN22" s="143">
        <f>S18</f>
        <v>12.251046011172905</v>
      </c>
      <c r="GO22" s="143">
        <f>GN22</f>
        <v>12.251046011172905</v>
      </c>
      <c r="GP22" s="143">
        <f>GO22</f>
        <v>12.251046011172905</v>
      </c>
      <c r="GQ22" s="143">
        <f>GP22</f>
        <v>12.251046011172905</v>
      </c>
      <c r="GR22" s="143">
        <f>GQ22</f>
        <v>12.251046011172905</v>
      </c>
      <c r="GS22" s="143">
        <f>T18</f>
        <v>12.755926656263643</v>
      </c>
      <c r="GT22" s="143">
        <f>GS22</f>
        <v>12.755926656263643</v>
      </c>
      <c r="GU22" s="143">
        <f>GT22</f>
        <v>12.755926656263643</v>
      </c>
      <c r="GV22" s="143">
        <f>GU22</f>
        <v>12.755926656263643</v>
      </c>
      <c r="GW22" s="143">
        <f>U18</f>
        <v>14.40185173420641</v>
      </c>
    </row>
    <row r="24" spans="1:205" s="149" customFormat="1" ht="13.5" customHeight="1">
      <c r="A24" s="270" t="s">
        <v>279</v>
      </c>
      <c r="B24" s="107"/>
      <c r="C24" s="107"/>
      <c r="D24" s="107"/>
      <c r="E24" s="107"/>
      <c r="F24" s="107"/>
      <c r="G24" s="107"/>
      <c r="H24" s="107"/>
      <c r="I24" s="107"/>
      <c r="J24" s="107"/>
      <c r="K24" s="107"/>
      <c r="L24" s="107"/>
      <c r="M24" s="143"/>
      <c r="N24" s="143"/>
      <c r="O24" s="143"/>
      <c r="P24" s="143"/>
      <c r="Q24" s="143"/>
      <c r="R24" s="143"/>
      <c r="T24" s="143"/>
      <c r="U24" s="143"/>
    </row>
    <row r="25" spans="1:205" ht="15" customHeight="1">
      <c r="A25" s="144"/>
      <c r="B25" s="754" t="s">
        <v>601</v>
      </c>
      <c r="C25" s="754" t="s">
        <v>255</v>
      </c>
      <c r="D25" s="468"/>
      <c r="E25" s="753" t="s">
        <v>602</v>
      </c>
      <c r="F25" s="731"/>
      <c r="G25" s="731"/>
      <c r="H25" s="731"/>
      <c r="I25" s="731"/>
      <c r="J25" s="731"/>
      <c r="K25" s="731"/>
      <c r="L25" s="731"/>
      <c r="M25" s="134"/>
      <c r="N25" s="736" t="s">
        <v>603</v>
      </c>
      <c r="O25" s="736"/>
      <c r="P25" s="736"/>
      <c r="Q25" s="736"/>
      <c r="R25" s="736"/>
      <c r="S25" s="736"/>
      <c r="T25" s="736"/>
      <c r="U25" s="736"/>
      <c r="V25" s="134"/>
      <c r="W25" s="736" t="s">
        <v>162</v>
      </c>
      <c r="X25" s="736"/>
      <c r="Y25" s="736"/>
      <c r="Z25" s="736"/>
      <c r="AA25" s="736"/>
      <c r="AB25" s="736"/>
      <c r="AC25" s="736"/>
      <c r="AD25" s="736"/>
      <c r="AE25" s="468"/>
      <c r="AF25" s="736" t="s">
        <v>206</v>
      </c>
      <c r="AG25" s="736"/>
      <c r="AH25" s="736"/>
      <c r="AI25" s="736"/>
      <c r="AJ25" s="736"/>
      <c r="AK25" s="736"/>
      <c r="AL25" s="736"/>
      <c r="AM25" s="736"/>
      <c r="AN25" s="468"/>
      <c r="AO25" s="731" t="s">
        <v>207</v>
      </c>
      <c r="AP25" s="731"/>
      <c r="AQ25" s="731"/>
      <c r="AR25" s="731"/>
      <c r="AS25" s="731"/>
      <c r="AT25" s="731"/>
      <c r="AU25" s="731"/>
      <c r="AV25" s="731"/>
    </row>
    <row r="26" spans="1:205">
      <c r="A26" s="53"/>
      <c r="B26" s="755"/>
      <c r="C26" s="755"/>
      <c r="D26" s="6"/>
      <c r="E26" s="6" t="s">
        <v>158</v>
      </c>
      <c r="F26" s="6" t="s">
        <v>159</v>
      </c>
      <c r="G26" s="6" t="s">
        <v>160</v>
      </c>
      <c r="H26" s="6" t="s">
        <v>161</v>
      </c>
      <c r="I26" s="51" t="s">
        <v>33</v>
      </c>
      <c r="J26" s="51" t="s">
        <v>51</v>
      </c>
      <c r="K26" s="51" t="s">
        <v>52</v>
      </c>
      <c r="L26" s="51" t="s">
        <v>28</v>
      </c>
      <c r="M26" s="5"/>
      <c r="N26" s="6" t="s">
        <v>158</v>
      </c>
      <c r="O26" s="6" t="s">
        <v>159</v>
      </c>
      <c r="P26" s="6" t="s">
        <v>160</v>
      </c>
      <c r="Q26" s="6" t="s">
        <v>161</v>
      </c>
      <c r="R26" s="51" t="s">
        <v>33</v>
      </c>
      <c r="S26" s="51" t="s">
        <v>51</v>
      </c>
      <c r="T26" s="51" t="s">
        <v>52</v>
      </c>
      <c r="U26" s="51" t="s">
        <v>28</v>
      </c>
      <c r="V26" s="5"/>
      <c r="W26" s="6" t="s">
        <v>158</v>
      </c>
      <c r="X26" s="6" t="s">
        <v>159</v>
      </c>
      <c r="Y26" s="6" t="s">
        <v>160</v>
      </c>
      <c r="Z26" s="6" t="s">
        <v>161</v>
      </c>
      <c r="AA26" s="51" t="s">
        <v>33</v>
      </c>
      <c r="AB26" s="51" t="s">
        <v>51</v>
      </c>
      <c r="AC26" s="51" t="s">
        <v>52</v>
      </c>
      <c r="AD26" s="51" t="s">
        <v>28</v>
      </c>
      <c r="AF26" s="6" t="s">
        <v>158</v>
      </c>
      <c r="AG26" s="6" t="s">
        <v>159</v>
      </c>
      <c r="AH26" s="6" t="s">
        <v>160</v>
      </c>
      <c r="AI26" s="6" t="s">
        <v>161</v>
      </c>
      <c r="AJ26" s="51" t="s">
        <v>33</v>
      </c>
      <c r="AK26" s="51" t="s">
        <v>51</v>
      </c>
      <c r="AL26" s="51" t="s">
        <v>52</v>
      </c>
      <c r="AM26" s="51" t="s">
        <v>28</v>
      </c>
      <c r="AN26" s="6"/>
      <c r="AO26" s="6" t="s">
        <v>158</v>
      </c>
      <c r="AP26" s="6" t="s">
        <v>159</v>
      </c>
      <c r="AQ26" s="6" t="s">
        <v>160</v>
      </c>
      <c r="AR26" s="6" t="s">
        <v>161</v>
      </c>
      <c r="AS26" s="51" t="s">
        <v>33</v>
      </c>
      <c r="AT26" s="51" t="s">
        <v>51</v>
      </c>
      <c r="AU26" s="51" t="s">
        <v>52</v>
      </c>
      <c r="AV26" s="51" t="s">
        <v>28</v>
      </c>
      <c r="AX26" s="103"/>
    </row>
    <row r="27" spans="1:205" s="149" customFormat="1" ht="10.5" customHeight="1">
      <c r="A27" s="259" t="s">
        <v>48</v>
      </c>
      <c r="B27" s="157">
        <f>B31</f>
        <v>8.9368320107538035E-2</v>
      </c>
      <c r="C27" s="158">
        <f>C31</f>
        <v>0.99990601850147276</v>
      </c>
      <c r="D27" s="556"/>
      <c r="E27" s="143">
        <f t="shared" ref="E27:L27" si="36">LN(AF27-AO27)</f>
        <v>9.8557804516418663</v>
      </c>
      <c r="F27" s="143">
        <f t="shared" si="36"/>
        <v>10.577485042590267</v>
      </c>
      <c r="G27" s="143">
        <f t="shared" si="36"/>
        <v>11.01584494299591</v>
      </c>
      <c r="H27" s="143">
        <f t="shared" si="36"/>
        <v>11.394714287674292</v>
      </c>
      <c r="I27" s="143">
        <f t="shared" si="36"/>
        <v>11.727790362600082</v>
      </c>
      <c r="J27" s="143">
        <f t="shared" si="36"/>
        <v>12.014563895419515</v>
      </c>
      <c r="K27" s="143">
        <f t="shared" si="36"/>
        <v>12.481094995790682</v>
      </c>
      <c r="L27" s="143">
        <f t="shared" si="36"/>
        <v>14.041742327819042</v>
      </c>
      <c r="M27" s="46"/>
      <c r="N27" s="143">
        <f t="shared" ref="N27:U27" si="37">LN(AF27)</f>
        <v>9.87302834505142</v>
      </c>
      <c r="O27" s="143">
        <f t="shared" si="37"/>
        <v>10.661954199216716</v>
      </c>
      <c r="P27" s="143">
        <f t="shared" si="37"/>
        <v>11.150519846322512</v>
      </c>
      <c r="Q27" s="143">
        <f t="shared" si="37"/>
        <v>11.569305798406337</v>
      </c>
      <c r="R27" s="143">
        <f t="shared" si="37"/>
        <v>11.939499536288627</v>
      </c>
      <c r="S27" s="143">
        <f t="shared" si="37"/>
        <v>12.251046011172905</v>
      </c>
      <c r="T27" s="143">
        <f t="shared" si="37"/>
        <v>12.755926656263643</v>
      </c>
      <c r="U27" s="143">
        <f t="shared" si="37"/>
        <v>14.40185173420641</v>
      </c>
      <c r="V27" s="556"/>
      <c r="W27" s="246">
        <f t="shared" ref="W27:AD27" si="38">W$6*0.9</f>
        <v>1.71</v>
      </c>
      <c r="X27" s="246">
        <f t="shared" si="38"/>
        <v>8.1</v>
      </c>
      <c r="Y27" s="246">
        <f t="shared" si="38"/>
        <v>12.6</v>
      </c>
      <c r="Z27" s="246">
        <f t="shared" si="38"/>
        <v>16.02</v>
      </c>
      <c r="AA27" s="246">
        <f t="shared" si="38"/>
        <v>19.079999999999998</v>
      </c>
      <c r="AB27" s="246">
        <f t="shared" si="38"/>
        <v>21.06</v>
      </c>
      <c r="AC27" s="246">
        <f t="shared" si="38"/>
        <v>24.03</v>
      </c>
      <c r="AD27" s="246">
        <f t="shared" si="38"/>
        <v>30.240000000000002</v>
      </c>
      <c r="AE27" s="556"/>
      <c r="AF27" s="60">
        <f t="shared" ref="AF27:AM27" si="39">AF$6</f>
        <v>19400</v>
      </c>
      <c r="AG27" s="60">
        <f t="shared" si="39"/>
        <v>42700</v>
      </c>
      <c r="AH27" s="60">
        <f t="shared" si="39"/>
        <v>69600</v>
      </c>
      <c r="AI27" s="60">
        <f t="shared" si="39"/>
        <v>105800</v>
      </c>
      <c r="AJ27" s="60">
        <f t="shared" si="39"/>
        <v>153200</v>
      </c>
      <c r="AK27" s="60">
        <f t="shared" si="39"/>
        <v>209200</v>
      </c>
      <c r="AL27" s="60">
        <f t="shared" si="39"/>
        <v>346600</v>
      </c>
      <c r="AM27" s="60">
        <f t="shared" si="39"/>
        <v>1797400</v>
      </c>
      <c r="AN27" s="556"/>
      <c r="AO27" s="60">
        <f t="shared" ref="AO27:AV27" si="40">W27*AF27/100</f>
        <v>331.74</v>
      </c>
      <c r="AP27" s="60">
        <f t="shared" si="40"/>
        <v>3458.7</v>
      </c>
      <c r="AQ27" s="60">
        <f t="shared" si="40"/>
        <v>8769.6</v>
      </c>
      <c r="AR27" s="60">
        <f t="shared" si="40"/>
        <v>16949.16</v>
      </c>
      <c r="AS27" s="60">
        <f t="shared" si="40"/>
        <v>29230.559999999994</v>
      </c>
      <c r="AT27" s="60">
        <f t="shared" si="40"/>
        <v>44057.52</v>
      </c>
      <c r="AU27" s="60">
        <f t="shared" si="40"/>
        <v>83287.98</v>
      </c>
      <c r="AV27" s="60">
        <f t="shared" si="40"/>
        <v>543533.76</v>
      </c>
    </row>
    <row r="28" spans="1:205" s="149" customFormat="1" ht="9" customHeight="1">
      <c r="A28" s="259"/>
      <c r="E28" s="143"/>
      <c r="F28" s="143"/>
      <c r="G28" s="143"/>
      <c r="H28" s="143"/>
      <c r="I28" s="143"/>
      <c r="J28" s="143"/>
      <c r="K28" s="143"/>
      <c r="L28" s="143"/>
      <c r="M28" s="143"/>
      <c r="N28" s="143"/>
      <c r="O28" s="143"/>
      <c r="P28" s="143"/>
      <c r="Q28" s="143"/>
      <c r="R28" s="143"/>
      <c r="S28" s="143"/>
      <c r="T28" s="143"/>
      <c r="U28" s="143"/>
    </row>
    <row r="29" spans="1:205">
      <c r="A29" s="256"/>
      <c r="E29" s="745" t="s">
        <v>158</v>
      </c>
      <c r="F29" s="745"/>
      <c r="G29" s="745"/>
      <c r="H29" s="745"/>
      <c r="I29" s="745"/>
      <c r="J29" s="745"/>
      <c r="K29" s="745"/>
      <c r="L29" s="745"/>
      <c r="M29" s="745"/>
      <c r="N29" s="745"/>
      <c r="O29" s="745"/>
      <c r="P29" s="745"/>
      <c r="Q29" s="745"/>
      <c r="R29" s="745"/>
      <c r="S29" s="745"/>
      <c r="T29" s="745"/>
      <c r="U29" s="745"/>
      <c r="V29" s="745"/>
      <c r="W29" s="745"/>
      <c r="X29" s="745"/>
      <c r="Y29" s="745" t="s">
        <v>159</v>
      </c>
      <c r="Z29" s="745"/>
      <c r="AA29" s="745"/>
      <c r="AB29" s="745"/>
      <c r="AC29" s="745"/>
      <c r="AD29" s="745"/>
      <c r="AE29" s="745"/>
      <c r="AF29" s="745"/>
      <c r="AG29" s="745"/>
      <c r="AH29" s="745"/>
      <c r="AI29" s="745"/>
      <c r="AJ29" s="745"/>
      <c r="AK29" s="745"/>
      <c r="AL29" s="745"/>
      <c r="AM29" s="745"/>
      <c r="AN29" s="745"/>
      <c r="AO29" s="745"/>
      <c r="AP29" s="745"/>
      <c r="AQ29" s="745"/>
      <c r="AR29" s="745"/>
      <c r="AS29" s="745" t="s">
        <v>160</v>
      </c>
      <c r="AT29" s="745"/>
      <c r="AU29" s="745"/>
      <c r="AV29" s="745"/>
      <c r="AW29" s="745"/>
      <c r="AX29" s="745"/>
      <c r="AY29" s="745"/>
      <c r="AZ29" s="745"/>
      <c r="BA29" s="745"/>
      <c r="BB29" s="745"/>
      <c r="BC29" s="745"/>
      <c r="BD29" s="745"/>
      <c r="BE29" s="745"/>
      <c r="BF29" s="745"/>
      <c r="BG29" s="745"/>
      <c r="BH29" s="745"/>
      <c r="BI29" s="745"/>
      <c r="BJ29" s="745"/>
      <c r="BK29" s="745"/>
      <c r="BL29" s="745"/>
      <c r="BM29" s="745" t="s">
        <v>161</v>
      </c>
      <c r="BN29" s="745"/>
      <c r="BO29" s="745"/>
      <c r="BP29" s="745"/>
      <c r="BQ29" s="745"/>
      <c r="BR29" s="745"/>
      <c r="BS29" s="745"/>
      <c r="BT29" s="745"/>
      <c r="BU29" s="745"/>
      <c r="BV29" s="745"/>
      <c r="BW29" s="745"/>
      <c r="BX29" s="745"/>
      <c r="BY29" s="745"/>
      <c r="BZ29" s="745"/>
      <c r="CA29" s="745"/>
      <c r="CB29" s="745"/>
      <c r="CC29" s="745"/>
      <c r="CD29" s="745"/>
      <c r="CE29" s="745"/>
      <c r="CF29" s="745"/>
      <c r="CG29" s="746" t="s">
        <v>33</v>
      </c>
      <c r="CH29" s="746"/>
      <c r="CI29" s="746"/>
      <c r="CJ29" s="746"/>
      <c r="CK29" s="746"/>
      <c r="CL29" s="746"/>
      <c r="CM29" s="746"/>
      <c r="CN29" s="746"/>
      <c r="CO29" s="746"/>
      <c r="CP29" s="746"/>
      <c r="CQ29" s="746" t="s">
        <v>51</v>
      </c>
      <c r="CR29" s="746"/>
      <c r="CS29" s="746"/>
      <c r="CT29" s="746"/>
      <c r="CU29" s="746"/>
      <c r="CV29" s="746" t="s">
        <v>52</v>
      </c>
      <c r="CW29" s="746"/>
      <c r="CX29" s="746"/>
      <c r="CY29" s="746"/>
      <c r="CZ29" s="471" t="s">
        <v>28</v>
      </c>
      <c r="DB29" s="745" t="s">
        <v>158</v>
      </c>
      <c r="DC29" s="745"/>
      <c r="DD29" s="745"/>
      <c r="DE29" s="745"/>
      <c r="DF29" s="745"/>
      <c r="DG29" s="745"/>
      <c r="DH29" s="745"/>
      <c r="DI29" s="745"/>
      <c r="DJ29" s="745"/>
      <c r="DK29" s="745"/>
      <c r="DL29" s="745"/>
      <c r="DM29" s="745"/>
      <c r="DN29" s="745"/>
      <c r="DO29" s="745"/>
      <c r="DP29" s="745"/>
      <c r="DQ29" s="745"/>
      <c r="DR29" s="745"/>
      <c r="DS29" s="745"/>
      <c r="DT29" s="745"/>
      <c r="DU29" s="745"/>
      <c r="DV29" s="745" t="s">
        <v>159</v>
      </c>
      <c r="DW29" s="745"/>
      <c r="DX29" s="745"/>
      <c r="DY29" s="745"/>
      <c r="DZ29" s="745"/>
      <c r="EA29" s="745"/>
      <c r="EB29" s="745"/>
      <c r="EC29" s="745"/>
      <c r="ED29" s="745"/>
      <c r="EE29" s="745"/>
      <c r="EF29" s="745"/>
      <c r="EG29" s="745"/>
      <c r="EH29" s="745"/>
      <c r="EI29" s="745"/>
      <c r="EJ29" s="745"/>
      <c r="EK29" s="745"/>
      <c r="EL29" s="745"/>
      <c r="EM29" s="745"/>
      <c r="EN29" s="745"/>
      <c r="EO29" s="745"/>
      <c r="EP29" s="745" t="s">
        <v>160</v>
      </c>
      <c r="EQ29" s="745"/>
      <c r="ER29" s="745"/>
      <c r="ES29" s="745"/>
      <c r="ET29" s="745"/>
      <c r="EU29" s="745"/>
      <c r="EV29" s="745"/>
      <c r="EW29" s="745"/>
      <c r="EX29" s="745"/>
      <c r="EY29" s="745"/>
      <c r="EZ29" s="745"/>
      <c r="FA29" s="745"/>
      <c r="FB29" s="745"/>
      <c r="FC29" s="745"/>
      <c r="FD29" s="745"/>
      <c r="FE29" s="745"/>
      <c r="FF29" s="745"/>
      <c r="FG29" s="745"/>
      <c r="FH29" s="745"/>
      <c r="FI29" s="745"/>
      <c r="FJ29" s="745" t="s">
        <v>161</v>
      </c>
      <c r="FK29" s="745"/>
      <c r="FL29" s="745"/>
      <c r="FM29" s="745"/>
      <c r="FN29" s="745"/>
      <c r="FO29" s="745"/>
      <c r="FP29" s="745"/>
      <c r="FQ29" s="745"/>
      <c r="FR29" s="745"/>
      <c r="FS29" s="745"/>
      <c r="FT29" s="745"/>
      <c r="FU29" s="745"/>
      <c r="FV29" s="745"/>
      <c r="FW29" s="745"/>
      <c r="FX29" s="745"/>
      <c r="FY29" s="745"/>
      <c r="FZ29" s="745"/>
      <c r="GA29" s="745"/>
      <c r="GB29" s="745"/>
      <c r="GC29" s="745"/>
      <c r="GD29" s="746" t="s">
        <v>33</v>
      </c>
      <c r="GE29" s="746"/>
      <c r="GF29" s="746"/>
      <c r="GG29" s="746"/>
      <c r="GH29" s="746"/>
      <c r="GI29" s="746"/>
      <c r="GJ29" s="746"/>
      <c r="GK29" s="746"/>
      <c r="GL29" s="746"/>
      <c r="GM29" s="746"/>
      <c r="GN29" s="746" t="s">
        <v>51</v>
      </c>
      <c r="GO29" s="746"/>
      <c r="GP29" s="746"/>
      <c r="GQ29" s="746"/>
      <c r="GR29" s="746"/>
      <c r="GS29" s="746" t="s">
        <v>52</v>
      </c>
      <c r="GT29" s="746"/>
      <c r="GU29" s="746"/>
      <c r="GV29" s="746"/>
      <c r="GW29" s="471" t="s">
        <v>28</v>
      </c>
    </row>
    <row r="30" spans="1:205" s="46" customFormat="1">
      <c r="A30" s="15"/>
      <c r="E30" s="255">
        <v>1</v>
      </c>
      <c r="F30" s="255">
        <f>E30+1</f>
        <v>2</v>
      </c>
      <c r="G30" s="255">
        <f t="shared" ref="G30:BR30" si="41">F30+1</f>
        <v>3</v>
      </c>
      <c r="H30" s="255">
        <f t="shared" si="41"/>
        <v>4</v>
      </c>
      <c r="I30" s="255">
        <f t="shared" si="41"/>
        <v>5</v>
      </c>
      <c r="J30" s="255">
        <f t="shared" si="41"/>
        <v>6</v>
      </c>
      <c r="K30" s="255">
        <f t="shared" si="41"/>
        <v>7</v>
      </c>
      <c r="L30" s="255">
        <f t="shared" si="41"/>
        <v>8</v>
      </c>
      <c r="M30" s="255">
        <f t="shared" si="41"/>
        <v>9</v>
      </c>
      <c r="N30" s="255">
        <f t="shared" si="41"/>
        <v>10</v>
      </c>
      <c r="O30" s="255">
        <f t="shared" si="41"/>
        <v>11</v>
      </c>
      <c r="P30" s="255">
        <f t="shared" si="41"/>
        <v>12</v>
      </c>
      <c r="Q30" s="255">
        <f t="shared" si="41"/>
        <v>13</v>
      </c>
      <c r="R30" s="255">
        <f t="shared" si="41"/>
        <v>14</v>
      </c>
      <c r="S30" s="255">
        <f t="shared" si="41"/>
        <v>15</v>
      </c>
      <c r="T30" s="255">
        <f t="shared" si="41"/>
        <v>16</v>
      </c>
      <c r="U30" s="255">
        <f t="shared" si="41"/>
        <v>17</v>
      </c>
      <c r="V30" s="255">
        <f t="shared" si="41"/>
        <v>18</v>
      </c>
      <c r="W30" s="255">
        <f t="shared" si="41"/>
        <v>19</v>
      </c>
      <c r="X30" s="255">
        <f t="shared" si="41"/>
        <v>20</v>
      </c>
      <c r="Y30" s="255">
        <f t="shared" si="41"/>
        <v>21</v>
      </c>
      <c r="Z30" s="255">
        <f t="shared" si="41"/>
        <v>22</v>
      </c>
      <c r="AA30" s="255">
        <f t="shared" si="41"/>
        <v>23</v>
      </c>
      <c r="AB30" s="255">
        <f t="shared" si="41"/>
        <v>24</v>
      </c>
      <c r="AC30" s="255">
        <f t="shared" si="41"/>
        <v>25</v>
      </c>
      <c r="AD30" s="255">
        <f t="shared" si="41"/>
        <v>26</v>
      </c>
      <c r="AE30" s="255">
        <f t="shared" si="41"/>
        <v>27</v>
      </c>
      <c r="AF30" s="255">
        <f t="shared" si="41"/>
        <v>28</v>
      </c>
      <c r="AG30" s="255">
        <f t="shared" si="41"/>
        <v>29</v>
      </c>
      <c r="AH30" s="255">
        <f t="shared" si="41"/>
        <v>30</v>
      </c>
      <c r="AI30" s="255">
        <f t="shared" si="41"/>
        <v>31</v>
      </c>
      <c r="AJ30" s="255">
        <f t="shared" si="41"/>
        <v>32</v>
      </c>
      <c r="AK30" s="255">
        <f t="shared" si="41"/>
        <v>33</v>
      </c>
      <c r="AL30" s="255">
        <f t="shared" si="41"/>
        <v>34</v>
      </c>
      <c r="AM30" s="255">
        <f t="shared" si="41"/>
        <v>35</v>
      </c>
      <c r="AN30" s="255">
        <f t="shared" si="41"/>
        <v>36</v>
      </c>
      <c r="AO30" s="255">
        <f t="shared" si="41"/>
        <v>37</v>
      </c>
      <c r="AP30" s="255">
        <f t="shared" si="41"/>
        <v>38</v>
      </c>
      <c r="AQ30" s="255">
        <f t="shared" si="41"/>
        <v>39</v>
      </c>
      <c r="AR30" s="255">
        <f t="shared" si="41"/>
        <v>40</v>
      </c>
      <c r="AS30" s="255">
        <f t="shared" si="41"/>
        <v>41</v>
      </c>
      <c r="AT30" s="255">
        <f t="shared" si="41"/>
        <v>42</v>
      </c>
      <c r="AU30" s="255">
        <f t="shared" si="41"/>
        <v>43</v>
      </c>
      <c r="AV30" s="255">
        <f t="shared" si="41"/>
        <v>44</v>
      </c>
      <c r="AW30" s="255">
        <f t="shared" si="41"/>
        <v>45</v>
      </c>
      <c r="AX30" s="255">
        <f t="shared" si="41"/>
        <v>46</v>
      </c>
      <c r="AY30" s="255">
        <f t="shared" si="41"/>
        <v>47</v>
      </c>
      <c r="AZ30" s="255">
        <f t="shared" si="41"/>
        <v>48</v>
      </c>
      <c r="BA30" s="255">
        <f t="shared" si="41"/>
        <v>49</v>
      </c>
      <c r="BB30" s="255">
        <f t="shared" si="41"/>
        <v>50</v>
      </c>
      <c r="BC30" s="255">
        <f t="shared" si="41"/>
        <v>51</v>
      </c>
      <c r="BD30" s="255">
        <f t="shared" si="41"/>
        <v>52</v>
      </c>
      <c r="BE30" s="255">
        <f t="shared" si="41"/>
        <v>53</v>
      </c>
      <c r="BF30" s="255">
        <f t="shared" si="41"/>
        <v>54</v>
      </c>
      <c r="BG30" s="255">
        <f t="shared" si="41"/>
        <v>55</v>
      </c>
      <c r="BH30" s="255">
        <f t="shared" si="41"/>
        <v>56</v>
      </c>
      <c r="BI30" s="255">
        <f t="shared" si="41"/>
        <v>57</v>
      </c>
      <c r="BJ30" s="255">
        <f t="shared" si="41"/>
        <v>58</v>
      </c>
      <c r="BK30" s="255">
        <f t="shared" si="41"/>
        <v>59</v>
      </c>
      <c r="BL30" s="255">
        <f t="shared" si="41"/>
        <v>60</v>
      </c>
      <c r="BM30" s="255">
        <f t="shared" si="41"/>
        <v>61</v>
      </c>
      <c r="BN30" s="255">
        <f t="shared" si="41"/>
        <v>62</v>
      </c>
      <c r="BO30" s="255">
        <f t="shared" si="41"/>
        <v>63</v>
      </c>
      <c r="BP30" s="255">
        <f t="shared" si="41"/>
        <v>64</v>
      </c>
      <c r="BQ30" s="255">
        <f t="shared" si="41"/>
        <v>65</v>
      </c>
      <c r="BR30" s="255">
        <f t="shared" si="41"/>
        <v>66</v>
      </c>
      <c r="BS30" s="255">
        <f t="shared" ref="BS30:CZ30" si="42">BR30+1</f>
        <v>67</v>
      </c>
      <c r="BT30" s="255">
        <f t="shared" si="42"/>
        <v>68</v>
      </c>
      <c r="BU30" s="255">
        <f t="shared" si="42"/>
        <v>69</v>
      </c>
      <c r="BV30" s="255">
        <f t="shared" si="42"/>
        <v>70</v>
      </c>
      <c r="BW30" s="255">
        <f t="shared" si="42"/>
        <v>71</v>
      </c>
      <c r="BX30" s="255">
        <f t="shared" si="42"/>
        <v>72</v>
      </c>
      <c r="BY30" s="255">
        <f t="shared" si="42"/>
        <v>73</v>
      </c>
      <c r="BZ30" s="255">
        <f t="shared" si="42"/>
        <v>74</v>
      </c>
      <c r="CA30" s="255">
        <f t="shared" si="42"/>
        <v>75</v>
      </c>
      <c r="CB30" s="255">
        <f t="shared" si="42"/>
        <v>76</v>
      </c>
      <c r="CC30" s="255">
        <f t="shared" si="42"/>
        <v>77</v>
      </c>
      <c r="CD30" s="255">
        <f t="shared" si="42"/>
        <v>78</v>
      </c>
      <c r="CE30" s="255">
        <f t="shared" si="42"/>
        <v>79</v>
      </c>
      <c r="CF30" s="255">
        <f t="shared" si="42"/>
        <v>80</v>
      </c>
      <c r="CG30" s="255">
        <f t="shared" si="42"/>
        <v>81</v>
      </c>
      <c r="CH30" s="255">
        <f t="shared" si="42"/>
        <v>82</v>
      </c>
      <c r="CI30" s="255">
        <f t="shared" si="42"/>
        <v>83</v>
      </c>
      <c r="CJ30" s="255">
        <f t="shared" si="42"/>
        <v>84</v>
      </c>
      <c r="CK30" s="255">
        <f t="shared" si="42"/>
        <v>85</v>
      </c>
      <c r="CL30" s="255">
        <f t="shared" si="42"/>
        <v>86</v>
      </c>
      <c r="CM30" s="255">
        <f t="shared" si="42"/>
        <v>87</v>
      </c>
      <c r="CN30" s="255">
        <f t="shared" si="42"/>
        <v>88</v>
      </c>
      <c r="CO30" s="255">
        <f t="shared" si="42"/>
        <v>89</v>
      </c>
      <c r="CP30" s="255">
        <f t="shared" si="42"/>
        <v>90</v>
      </c>
      <c r="CQ30" s="255">
        <f t="shared" si="42"/>
        <v>91</v>
      </c>
      <c r="CR30" s="255">
        <f t="shared" si="42"/>
        <v>92</v>
      </c>
      <c r="CS30" s="255">
        <f t="shared" si="42"/>
        <v>93</v>
      </c>
      <c r="CT30" s="255">
        <f t="shared" si="42"/>
        <v>94</v>
      </c>
      <c r="CU30" s="255">
        <f t="shared" si="42"/>
        <v>95</v>
      </c>
      <c r="CV30" s="255">
        <f t="shared" si="42"/>
        <v>96</v>
      </c>
      <c r="CW30" s="255">
        <f t="shared" si="42"/>
        <v>97</v>
      </c>
      <c r="CX30" s="255">
        <f t="shared" si="42"/>
        <v>98</v>
      </c>
      <c r="CY30" s="255">
        <f t="shared" si="42"/>
        <v>99</v>
      </c>
      <c r="CZ30" s="255">
        <f t="shared" si="42"/>
        <v>100</v>
      </c>
      <c r="DB30" s="255">
        <v>1</v>
      </c>
      <c r="DC30" s="255">
        <f>DB30+1</f>
        <v>2</v>
      </c>
      <c r="DD30" s="255">
        <f t="shared" ref="DD30:FO30" si="43">DC30+1</f>
        <v>3</v>
      </c>
      <c r="DE30" s="255">
        <f t="shared" si="43"/>
        <v>4</v>
      </c>
      <c r="DF30" s="255">
        <f t="shared" si="43"/>
        <v>5</v>
      </c>
      <c r="DG30" s="255">
        <f t="shared" si="43"/>
        <v>6</v>
      </c>
      <c r="DH30" s="255">
        <f t="shared" si="43"/>
        <v>7</v>
      </c>
      <c r="DI30" s="255">
        <f t="shared" si="43"/>
        <v>8</v>
      </c>
      <c r="DJ30" s="255">
        <f t="shared" si="43"/>
        <v>9</v>
      </c>
      <c r="DK30" s="255">
        <f t="shared" si="43"/>
        <v>10</v>
      </c>
      <c r="DL30" s="255">
        <f t="shared" si="43"/>
        <v>11</v>
      </c>
      <c r="DM30" s="255">
        <f t="shared" si="43"/>
        <v>12</v>
      </c>
      <c r="DN30" s="255">
        <f t="shared" si="43"/>
        <v>13</v>
      </c>
      <c r="DO30" s="255">
        <f t="shared" si="43"/>
        <v>14</v>
      </c>
      <c r="DP30" s="255">
        <f t="shared" si="43"/>
        <v>15</v>
      </c>
      <c r="DQ30" s="255">
        <f t="shared" si="43"/>
        <v>16</v>
      </c>
      <c r="DR30" s="255">
        <f t="shared" si="43"/>
        <v>17</v>
      </c>
      <c r="DS30" s="255">
        <f t="shared" si="43"/>
        <v>18</v>
      </c>
      <c r="DT30" s="255">
        <f t="shared" si="43"/>
        <v>19</v>
      </c>
      <c r="DU30" s="255">
        <f t="shared" si="43"/>
        <v>20</v>
      </c>
      <c r="DV30" s="255">
        <f t="shared" si="43"/>
        <v>21</v>
      </c>
      <c r="DW30" s="255">
        <f t="shared" si="43"/>
        <v>22</v>
      </c>
      <c r="DX30" s="255">
        <f t="shared" si="43"/>
        <v>23</v>
      </c>
      <c r="DY30" s="255">
        <f t="shared" si="43"/>
        <v>24</v>
      </c>
      <c r="DZ30" s="255">
        <f t="shared" si="43"/>
        <v>25</v>
      </c>
      <c r="EA30" s="255">
        <f t="shared" si="43"/>
        <v>26</v>
      </c>
      <c r="EB30" s="255">
        <f t="shared" si="43"/>
        <v>27</v>
      </c>
      <c r="EC30" s="255">
        <f t="shared" si="43"/>
        <v>28</v>
      </c>
      <c r="ED30" s="255">
        <f t="shared" si="43"/>
        <v>29</v>
      </c>
      <c r="EE30" s="255">
        <f t="shared" si="43"/>
        <v>30</v>
      </c>
      <c r="EF30" s="255">
        <f t="shared" si="43"/>
        <v>31</v>
      </c>
      <c r="EG30" s="255">
        <f t="shared" si="43"/>
        <v>32</v>
      </c>
      <c r="EH30" s="255">
        <f t="shared" si="43"/>
        <v>33</v>
      </c>
      <c r="EI30" s="255">
        <f t="shared" si="43"/>
        <v>34</v>
      </c>
      <c r="EJ30" s="255">
        <f t="shared" si="43"/>
        <v>35</v>
      </c>
      <c r="EK30" s="255">
        <f t="shared" si="43"/>
        <v>36</v>
      </c>
      <c r="EL30" s="255">
        <f t="shared" si="43"/>
        <v>37</v>
      </c>
      <c r="EM30" s="255">
        <f t="shared" si="43"/>
        <v>38</v>
      </c>
      <c r="EN30" s="255">
        <f t="shared" si="43"/>
        <v>39</v>
      </c>
      <c r="EO30" s="255">
        <f t="shared" si="43"/>
        <v>40</v>
      </c>
      <c r="EP30" s="255">
        <f t="shared" si="43"/>
        <v>41</v>
      </c>
      <c r="EQ30" s="255">
        <f t="shared" si="43"/>
        <v>42</v>
      </c>
      <c r="ER30" s="255">
        <f t="shared" si="43"/>
        <v>43</v>
      </c>
      <c r="ES30" s="255">
        <f t="shared" si="43"/>
        <v>44</v>
      </c>
      <c r="ET30" s="255">
        <f t="shared" si="43"/>
        <v>45</v>
      </c>
      <c r="EU30" s="255">
        <f t="shared" si="43"/>
        <v>46</v>
      </c>
      <c r="EV30" s="255">
        <f t="shared" si="43"/>
        <v>47</v>
      </c>
      <c r="EW30" s="255">
        <f t="shared" si="43"/>
        <v>48</v>
      </c>
      <c r="EX30" s="255">
        <f t="shared" si="43"/>
        <v>49</v>
      </c>
      <c r="EY30" s="255">
        <f t="shared" si="43"/>
        <v>50</v>
      </c>
      <c r="EZ30" s="255">
        <f t="shared" si="43"/>
        <v>51</v>
      </c>
      <c r="FA30" s="255">
        <f t="shared" si="43"/>
        <v>52</v>
      </c>
      <c r="FB30" s="255">
        <f t="shared" si="43"/>
        <v>53</v>
      </c>
      <c r="FC30" s="255">
        <f t="shared" si="43"/>
        <v>54</v>
      </c>
      <c r="FD30" s="255">
        <f t="shared" si="43"/>
        <v>55</v>
      </c>
      <c r="FE30" s="255">
        <f t="shared" si="43"/>
        <v>56</v>
      </c>
      <c r="FF30" s="255">
        <f t="shared" si="43"/>
        <v>57</v>
      </c>
      <c r="FG30" s="255">
        <f t="shared" si="43"/>
        <v>58</v>
      </c>
      <c r="FH30" s="255">
        <f t="shared" si="43"/>
        <v>59</v>
      </c>
      <c r="FI30" s="255">
        <f t="shared" si="43"/>
        <v>60</v>
      </c>
      <c r="FJ30" s="255">
        <f t="shared" si="43"/>
        <v>61</v>
      </c>
      <c r="FK30" s="255">
        <f t="shared" si="43"/>
        <v>62</v>
      </c>
      <c r="FL30" s="255">
        <f t="shared" si="43"/>
        <v>63</v>
      </c>
      <c r="FM30" s="255">
        <f t="shared" si="43"/>
        <v>64</v>
      </c>
      <c r="FN30" s="255">
        <f t="shared" si="43"/>
        <v>65</v>
      </c>
      <c r="FO30" s="255">
        <f t="shared" si="43"/>
        <v>66</v>
      </c>
      <c r="FP30" s="255">
        <f t="shared" ref="FP30:GW30" si="44">FO30+1</f>
        <v>67</v>
      </c>
      <c r="FQ30" s="255">
        <f t="shared" si="44"/>
        <v>68</v>
      </c>
      <c r="FR30" s="255">
        <f t="shared" si="44"/>
        <v>69</v>
      </c>
      <c r="FS30" s="255">
        <f t="shared" si="44"/>
        <v>70</v>
      </c>
      <c r="FT30" s="255">
        <f t="shared" si="44"/>
        <v>71</v>
      </c>
      <c r="FU30" s="255">
        <f t="shared" si="44"/>
        <v>72</v>
      </c>
      <c r="FV30" s="255">
        <f t="shared" si="44"/>
        <v>73</v>
      </c>
      <c r="FW30" s="255">
        <f t="shared" si="44"/>
        <v>74</v>
      </c>
      <c r="FX30" s="255">
        <f t="shared" si="44"/>
        <v>75</v>
      </c>
      <c r="FY30" s="255">
        <f t="shared" si="44"/>
        <v>76</v>
      </c>
      <c r="FZ30" s="255">
        <f t="shared" si="44"/>
        <v>77</v>
      </c>
      <c r="GA30" s="255">
        <f t="shared" si="44"/>
        <v>78</v>
      </c>
      <c r="GB30" s="255">
        <f t="shared" si="44"/>
        <v>79</v>
      </c>
      <c r="GC30" s="255">
        <f t="shared" si="44"/>
        <v>80</v>
      </c>
      <c r="GD30" s="255">
        <f t="shared" si="44"/>
        <v>81</v>
      </c>
      <c r="GE30" s="255">
        <f t="shared" si="44"/>
        <v>82</v>
      </c>
      <c r="GF30" s="255">
        <f t="shared" si="44"/>
        <v>83</v>
      </c>
      <c r="GG30" s="255">
        <f t="shared" si="44"/>
        <v>84</v>
      </c>
      <c r="GH30" s="255">
        <f t="shared" si="44"/>
        <v>85</v>
      </c>
      <c r="GI30" s="255">
        <f t="shared" si="44"/>
        <v>86</v>
      </c>
      <c r="GJ30" s="255">
        <f t="shared" si="44"/>
        <v>87</v>
      </c>
      <c r="GK30" s="255">
        <f t="shared" si="44"/>
        <v>88</v>
      </c>
      <c r="GL30" s="255">
        <f t="shared" si="44"/>
        <v>89</v>
      </c>
      <c r="GM30" s="255">
        <f t="shared" si="44"/>
        <v>90</v>
      </c>
      <c r="GN30" s="255">
        <f t="shared" si="44"/>
        <v>91</v>
      </c>
      <c r="GO30" s="255">
        <f t="shared" si="44"/>
        <v>92</v>
      </c>
      <c r="GP30" s="255">
        <f t="shared" si="44"/>
        <v>93</v>
      </c>
      <c r="GQ30" s="255">
        <f t="shared" si="44"/>
        <v>94</v>
      </c>
      <c r="GR30" s="255">
        <f t="shared" si="44"/>
        <v>95</v>
      </c>
      <c r="GS30" s="255">
        <f t="shared" si="44"/>
        <v>96</v>
      </c>
      <c r="GT30" s="255">
        <f t="shared" si="44"/>
        <v>97</v>
      </c>
      <c r="GU30" s="255">
        <f t="shared" si="44"/>
        <v>98</v>
      </c>
      <c r="GV30" s="255">
        <f t="shared" si="44"/>
        <v>99</v>
      </c>
      <c r="GW30" s="255">
        <f t="shared" si="44"/>
        <v>100</v>
      </c>
    </row>
    <row r="31" spans="1:205" ht="9" customHeight="1">
      <c r="A31" s="259" t="s">
        <v>48</v>
      </c>
      <c r="B31" s="143">
        <f>1-LINEST(E31:CZ31, DB31:GW31, TRUE, FALSE)</f>
        <v>8.9368320107538035E-2</v>
      </c>
      <c r="C31" s="143">
        <f>RSQ(E31:CZ31, DB31:GW31)</f>
        <v>0.99990601850147276</v>
      </c>
      <c r="D31" s="60"/>
      <c r="E31" s="143">
        <f>E27</f>
        <v>9.8557804516418663</v>
      </c>
      <c r="F31" s="143">
        <f t="shared" ref="F31:X31" si="45">E31</f>
        <v>9.8557804516418663</v>
      </c>
      <c r="G31" s="143">
        <f t="shared" si="45"/>
        <v>9.8557804516418663</v>
      </c>
      <c r="H31" s="143">
        <f t="shared" si="45"/>
        <v>9.8557804516418663</v>
      </c>
      <c r="I31" s="143">
        <f t="shared" si="45"/>
        <v>9.8557804516418663</v>
      </c>
      <c r="J31" s="143">
        <f t="shared" si="45"/>
        <v>9.8557804516418663</v>
      </c>
      <c r="K31" s="143">
        <f t="shared" si="45"/>
        <v>9.8557804516418663</v>
      </c>
      <c r="L31" s="143">
        <f t="shared" si="45"/>
        <v>9.8557804516418663</v>
      </c>
      <c r="M31" s="143">
        <f t="shared" si="45"/>
        <v>9.8557804516418663</v>
      </c>
      <c r="N31" s="143">
        <f t="shared" si="45"/>
        <v>9.8557804516418663</v>
      </c>
      <c r="O31" s="143">
        <f t="shared" si="45"/>
        <v>9.8557804516418663</v>
      </c>
      <c r="P31" s="143">
        <f t="shared" si="45"/>
        <v>9.8557804516418663</v>
      </c>
      <c r="Q31" s="143">
        <f t="shared" si="45"/>
        <v>9.8557804516418663</v>
      </c>
      <c r="R31" s="143">
        <f t="shared" si="45"/>
        <v>9.8557804516418663</v>
      </c>
      <c r="S31" s="143">
        <f t="shared" si="45"/>
        <v>9.8557804516418663</v>
      </c>
      <c r="T31" s="143">
        <f t="shared" si="45"/>
        <v>9.8557804516418663</v>
      </c>
      <c r="U31" s="143">
        <f t="shared" si="45"/>
        <v>9.8557804516418663</v>
      </c>
      <c r="V31" s="143">
        <f t="shared" si="45"/>
        <v>9.8557804516418663</v>
      </c>
      <c r="W31" s="143">
        <f t="shared" si="45"/>
        <v>9.8557804516418663</v>
      </c>
      <c r="X31" s="143">
        <f t="shared" si="45"/>
        <v>9.8557804516418663</v>
      </c>
      <c r="Y31" s="143">
        <f>F27</f>
        <v>10.577485042590267</v>
      </c>
      <c r="Z31" s="143">
        <f t="shared" ref="Z31:AR31" si="46">Y31</f>
        <v>10.577485042590267</v>
      </c>
      <c r="AA31" s="143">
        <f t="shared" si="46"/>
        <v>10.577485042590267</v>
      </c>
      <c r="AB31" s="143">
        <f t="shared" si="46"/>
        <v>10.577485042590267</v>
      </c>
      <c r="AC31" s="143">
        <f t="shared" si="46"/>
        <v>10.577485042590267</v>
      </c>
      <c r="AD31" s="143">
        <f t="shared" si="46"/>
        <v>10.577485042590267</v>
      </c>
      <c r="AE31" s="143">
        <f t="shared" si="46"/>
        <v>10.577485042590267</v>
      </c>
      <c r="AF31" s="143">
        <f t="shared" si="46"/>
        <v>10.577485042590267</v>
      </c>
      <c r="AG31" s="143">
        <f t="shared" si="46"/>
        <v>10.577485042590267</v>
      </c>
      <c r="AH31" s="143">
        <f t="shared" si="46"/>
        <v>10.577485042590267</v>
      </c>
      <c r="AI31" s="143">
        <f t="shared" si="46"/>
        <v>10.577485042590267</v>
      </c>
      <c r="AJ31" s="143">
        <f t="shared" si="46"/>
        <v>10.577485042590267</v>
      </c>
      <c r="AK31" s="143">
        <f t="shared" si="46"/>
        <v>10.577485042590267</v>
      </c>
      <c r="AL31" s="143">
        <f t="shared" si="46"/>
        <v>10.577485042590267</v>
      </c>
      <c r="AM31" s="143">
        <f t="shared" si="46"/>
        <v>10.577485042590267</v>
      </c>
      <c r="AN31" s="143">
        <f t="shared" si="46"/>
        <v>10.577485042590267</v>
      </c>
      <c r="AO31" s="143">
        <f t="shared" si="46"/>
        <v>10.577485042590267</v>
      </c>
      <c r="AP31" s="143">
        <f t="shared" si="46"/>
        <v>10.577485042590267</v>
      </c>
      <c r="AQ31" s="143">
        <f t="shared" si="46"/>
        <v>10.577485042590267</v>
      </c>
      <c r="AR31" s="143">
        <f t="shared" si="46"/>
        <v>10.577485042590267</v>
      </c>
      <c r="AS31" s="143">
        <f>G27</f>
        <v>11.01584494299591</v>
      </c>
      <c r="AT31" s="143">
        <f t="shared" ref="AT31:BL31" si="47">AS31</f>
        <v>11.01584494299591</v>
      </c>
      <c r="AU31" s="143">
        <f t="shared" si="47"/>
        <v>11.01584494299591</v>
      </c>
      <c r="AV31" s="143">
        <f t="shared" si="47"/>
        <v>11.01584494299591</v>
      </c>
      <c r="AW31" s="143">
        <f t="shared" si="47"/>
        <v>11.01584494299591</v>
      </c>
      <c r="AX31" s="143">
        <f t="shared" si="47"/>
        <v>11.01584494299591</v>
      </c>
      <c r="AY31" s="143">
        <f t="shared" si="47"/>
        <v>11.01584494299591</v>
      </c>
      <c r="AZ31" s="143">
        <f t="shared" si="47"/>
        <v>11.01584494299591</v>
      </c>
      <c r="BA31" s="143">
        <f t="shared" si="47"/>
        <v>11.01584494299591</v>
      </c>
      <c r="BB31" s="143">
        <f t="shared" si="47"/>
        <v>11.01584494299591</v>
      </c>
      <c r="BC31" s="143">
        <f t="shared" si="47"/>
        <v>11.01584494299591</v>
      </c>
      <c r="BD31" s="143">
        <f t="shared" si="47"/>
        <v>11.01584494299591</v>
      </c>
      <c r="BE31" s="143">
        <f t="shared" si="47"/>
        <v>11.01584494299591</v>
      </c>
      <c r="BF31" s="143">
        <f t="shared" si="47"/>
        <v>11.01584494299591</v>
      </c>
      <c r="BG31" s="143">
        <f t="shared" si="47"/>
        <v>11.01584494299591</v>
      </c>
      <c r="BH31" s="143">
        <f t="shared" si="47"/>
        <v>11.01584494299591</v>
      </c>
      <c r="BI31" s="143">
        <f t="shared" si="47"/>
        <v>11.01584494299591</v>
      </c>
      <c r="BJ31" s="143">
        <f t="shared" si="47"/>
        <v>11.01584494299591</v>
      </c>
      <c r="BK31" s="143">
        <f t="shared" si="47"/>
        <v>11.01584494299591</v>
      </c>
      <c r="BL31" s="143">
        <f t="shared" si="47"/>
        <v>11.01584494299591</v>
      </c>
      <c r="BM31" s="143">
        <f>H27</f>
        <v>11.394714287674292</v>
      </c>
      <c r="BN31" s="143">
        <f t="shared" ref="BN31:CF31" si="48">BM31</f>
        <v>11.394714287674292</v>
      </c>
      <c r="BO31" s="143">
        <f t="shared" si="48"/>
        <v>11.394714287674292</v>
      </c>
      <c r="BP31" s="143">
        <f t="shared" si="48"/>
        <v>11.394714287674292</v>
      </c>
      <c r="BQ31" s="143">
        <f t="shared" si="48"/>
        <v>11.394714287674292</v>
      </c>
      <c r="BR31" s="143">
        <f t="shared" si="48"/>
        <v>11.394714287674292</v>
      </c>
      <c r="BS31" s="143">
        <f t="shared" si="48"/>
        <v>11.394714287674292</v>
      </c>
      <c r="BT31" s="143">
        <f t="shared" si="48"/>
        <v>11.394714287674292</v>
      </c>
      <c r="BU31" s="143">
        <f t="shared" si="48"/>
        <v>11.394714287674292</v>
      </c>
      <c r="BV31" s="143">
        <f t="shared" si="48"/>
        <v>11.394714287674292</v>
      </c>
      <c r="BW31" s="143">
        <f t="shared" si="48"/>
        <v>11.394714287674292</v>
      </c>
      <c r="BX31" s="143">
        <f t="shared" si="48"/>
        <v>11.394714287674292</v>
      </c>
      <c r="BY31" s="143">
        <f t="shared" si="48"/>
        <v>11.394714287674292</v>
      </c>
      <c r="BZ31" s="143">
        <f t="shared" si="48"/>
        <v>11.394714287674292</v>
      </c>
      <c r="CA31" s="143">
        <f t="shared" si="48"/>
        <v>11.394714287674292</v>
      </c>
      <c r="CB31" s="143">
        <f t="shared" si="48"/>
        <v>11.394714287674292</v>
      </c>
      <c r="CC31" s="143">
        <f t="shared" si="48"/>
        <v>11.394714287674292</v>
      </c>
      <c r="CD31" s="143">
        <f t="shared" si="48"/>
        <v>11.394714287674292</v>
      </c>
      <c r="CE31" s="143">
        <f t="shared" si="48"/>
        <v>11.394714287674292</v>
      </c>
      <c r="CF31" s="143">
        <f t="shared" si="48"/>
        <v>11.394714287674292</v>
      </c>
      <c r="CG31" s="143">
        <f>I27</f>
        <v>11.727790362600082</v>
      </c>
      <c r="CH31" s="143">
        <f t="shared" ref="CH31:CP31" si="49">CG31</f>
        <v>11.727790362600082</v>
      </c>
      <c r="CI31" s="143">
        <f t="shared" si="49"/>
        <v>11.727790362600082</v>
      </c>
      <c r="CJ31" s="143">
        <f t="shared" si="49"/>
        <v>11.727790362600082</v>
      </c>
      <c r="CK31" s="143">
        <f t="shared" si="49"/>
        <v>11.727790362600082</v>
      </c>
      <c r="CL31" s="143">
        <f t="shared" si="49"/>
        <v>11.727790362600082</v>
      </c>
      <c r="CM31" s="143">
        <f t="shared" si="49"/>
        <v>11.727790362600082</v>
      </c>
      <c r="CN31" s="143">
        <f t="shared" si="49"/>
        <v>11.727790362600082</v>
      </c>
      <c r="CO31" s="143">
        <f t="shared" si="49"/>
        <v>11.727790362600082</v>
      </c>
      <c r="CP31" s="143">
        <f t="shared" si="49"/>
        <v>11.727790362600082</v>
      </c>
      <c r="CQ31" s="143">
        <f>J27</f>
        <v>12.014563895419515</v>
      </c>
      <c r="CR31" s="143">
        <f>CQ31</f>
        <v>12.014563895419515</v>
      </c>
      <c r="CS31" s="143">
        <f>CR31</f>
        <v>12.014563895419515</v>
      </c>
      <c r="CT31" s="143">
        <f>CS31</f>
        <v>12.014563895419515</v>
      </c>
      <c r="CU31" s="143">
        <f>CT31</f>
        <v>12.014563895419515</v>
      </c>
      <c r="CV31" s="143">
        <f>K27</f>
        <v>12.481094995790682</v>
      </c>
      <c r="CW31" s="143">
        <f>CV31</f>
        <v>12.481094995790682</v>
      </c>
      <c r="CX31" s="143">
        <f>CW31</f>
        <v>12.481094995790682</v>
      </c>
      <c r="CY31" s="143">
        <f>CX31</f>
        <v>12.481094995790682</v>
      </c>
      <c r="CZ31" s="143">
        <f>L27</f>
        <v>14.041742327819042</v>
      </c>
      <c r="DA31" s="60"/>
      <c r="DB31" s="143">
        <f>N27</f>
        <v>9.87302834505142</v>
      </c>
      <c r="DC31" s="143">
        <f t="shared" ref="DC31:DU31" si="50">DB31</f>
        <v>9.87302834505142</v>
      </c>
      <c r="DD31" s="143">
        <f t="shared" si="50"/>
        <v>9.87302834505142</v>
      </c>
      <c r="DE31" s="143">
        <f t="shared" si="50"/>
        <v>9.87302834505142</v>
      </c>
      <c r="DF31" s="143">
        <f t="shared" si="50"/>
        <v>9.87302834505142</v>
      </c>
      <c r="DG31" s="143">
        <f t="shared" si="50"/>
        <v>9.87302834505142</v>
      </c>
      <c r="DH31" s="143">
        <f t="shared" si="50"/>
        <v>9.87302834505142</v>
      </c>
      <c r="DI31" s="143">
        <f t="shared" si="50"/>
        <v>9.87302834505142</v>
      </c>
      <c r="DJ31" s="143">
        <f t="shared" si="50"/>
        <v>9.87302834505142</v>
      </c>
      <c r="DK31" s="143">
        <f t="shared" si="50"/>
        <v>9.87302834505142</v>
      </c>
      <c r="DL31" s="143">
        <f t="shared" si="50"/>
        <v>9.87302834505142</v>
      </c>
      <c r="DM31" s="143">
        <f t="shared" si="50"/>
        <v>9.87302834505142</v>
      </c>
      <c r="DN31" s="143">
        <f t="shared" si="50"/>
        <v>9.87302834505142</v>
      </c>
      <c r="DO31" s="143">
        <f t="shared" si="50"/>
        <v>9.87302834505142</v>
      </c>
      <c r="DP31" s="143">
        <f t="shared" si="50"/>
        <v>9.87302834505142</v>
      </c>
      <c r="DQ31" s="143">
        <f t="shared" si="50"/>
        <v>9.87302834505142</v>
      </c>
      <c r="DR31" s="143">
        <f t="shared" si="50"/>
        <v>9.87302834505142</v>
      </c>
      <c r="DS31" s="143">
        <f t="shared" si="50"/>
        <v>9.87302834505142</v>
      </c>
      <c r="DT31" s="143">
        <f t="shared" si="50"/>
        <v>9.87302834505142</v>
      </c>
      <c r="DU31" s="143">
        <f t="shared" si="50"/>
        <v>9.87302834505142</v>
      </c>
      <c r="DV31" s="143">
        <f>O27</f>
        <v>10.661954199216716</v>
      </c>
      <c r="DW31" s="143">
        <f t="shared" ref="DW31:EO31" si="51">DV31</f>
        <v>10.661954199216716</v>
      </c>
      <c r="DX31" s="143">
        <f t="shared" si="51"/>
        <v>10.661954199216716</v>
      </c>
      <c r="DY31" s="143">
        <f t="shared" si="51"/>
        <v>10.661954199216716</v>
      </c>
      <c r="DZ31" s="143">
        <f t="shared" si="51"/>
        <v>10.661954199216716</v>
      </c>
      <c r="EA31" s="143">
        <f t="shared" si="51"/>
        <v>10.661954199216716</v>
      </c>
      <c r="EB31" s="143">
        <f t="shared" si="51"/>
        <v>10.661954199216716</v>
      </c>
      <c r="EC31" s="143">
        <f t="shared" si="51"/>
        <v>10.661954199216716</v>
      </c>
      <c r="ED31" s="143">
        <f t="shared" si="51"/>
        <v>10.661954199216716</v>
      </c>
      <c r="EE31" s="143">
        <f t="shared" si="51"/>
        <v>10.661954199216716</v>
      </c>
      <c r="EF31" s="143">
        <f t="shared" si="51"/>
        <v>10.661954199216716</v>
      </c>
      <c r="EG31" s="143">
        <f t="shared" si="51"/>
        <v>10.661954199216716</v>
      </c>
      <c r="EH31" s="143">
        <f t="shared" si="51"/>
        <v>10.661954199216716</v>
      </c>
      <c r="EI31" s="143">
        <f t="shared" si="51"/>
        <v>10.661954199216716</v>
      </c>
      <c r="EJ31" s="143">
        <f t="shared" si="51"/>
        <v>10.661954199216716</v>
      </c>
      <c r="EK31" s="143">
        <f t="shared" si="51"/>
        <v>10.661954199216716</v>
      </c>
      <c r="EL31" s="143">
        <f t="shared" si="51"/>
        <v>10.661954199216716</v>
      </c>
      <c r="EM31" s="143">
        <f t="shared" si="51"/>
        <v>10.661954199216716</v>
      </c>
      <c r="EN31" s="143">
        <f t="shared" si="51"/>
        <v>10.661954199216716</v>
      </c>
      <c r="EO31" s="143">
        <f t="shared" si="51"/>
        <v>10.661954199216716</v>
      </c>
      <c r="EP31" s="143">
        <f>P27</f>
        <v>11.150519846322512</v>
      </c>
      <c r="EQ31" s="143">
        <f t="shared" ref="EQ31:FI31" si="52">EP31</f>
        <v>11.150519846322512</v>
      </c>
      <c r="ER31" s="143">
        <f t="shared" si="52"/>
        <v>11.150519846322512</v>
      </c>
      <c r="ES31" s="143">
        <f t="shared" si="52"/>
        <v>11.150519846322512</v>
      </c>
      <c r="ET31" s="143">
        <f t="shared" si="52"/>
        <v>11.150519846322512</v>
      </c>
      <c r="EU31" s="143">
        <f t="shared" si="52"/>
        <v>11.150519846322512</v>
      </c>
      <c r="EV31" s="143">
        <f t="shared" si="52"/>
        <v>11.150519846322512</v>
      </c>
      <c r="EW31" s="143">
        <f t="shared" si="52"/>
        <v>11.150519846322512</v>
      </c>
      <c r="EX31" s="143">
        <f t="shared" si="52"/>
        <v>11.150519846322512</v>
      </c>
      <c r="EY31" s="143">
        <f t="shared" si="52"/>
        <v>11.150519846322512</v>
      </c>
      <c r="EZ31" s="143">
        <f t="shared" si="52"/>
        <v>11.150519846322512</v>
      </c>
      <c r="FA31" s="143">
        <f t="shared" si="52"/>
        <v>11.150519846322512</v>
      </c>
      <c r="FB31" s="143">
        <f t="shared" si="52"/>
        <v>11.150519846322512</v>
      </c>
      <c r="FC31" s="143">
        <f t="shared" si="52"/>
        <v>11.150519846322512</v>
      </c>
      <c r="FD31" s="143">
        <f t="shared" si="52"/>
        <v>11.150519846322512</v>
      </c>
      <c r="FE31" s="143">
        <f t="shared" si="52"/>
        <v>11.150519846322512</v>
      </c>
      <c r="FF31" s="143">
        <f t="shared" si="52"/>
        <v>11.150519846322512</v>
      </c>
      <c r="FG31" s="143">
        <f t="shared" si="52"/>
        <v>11.150519846322512</v>
      </c>
      <c r="FH31" s="143">
        <f t="shared" si="52"/>
        <v>11.150519846322512</v>
      </c>
      <c r="FI31" s="143">
        <f t="shared" si="52"/>
        <v>11.150519846322512</v>
      </c>
      <c r="FJ31" s="143">
        <f>Q27</f>
        <v>11.569305798406337</v>
      </c>
      <c r="FK31" s="143">
        <f t="shared" ref="FK31:GC31" si="53">FJ31</f>
        <v>11.569305798406337</v>
      </c>
      <c r="FL31" s="143">
        <f t="shared" si="53"/>
        <v>11.569305798406337</v>
      </c>
      <c r="FM31" s="143">
        <f t="shared" si="53"/>
        <v>11.569305798406337</v>
      </c>
      <c r="FN31" s="143">
        <f t="shared" si="53"/>
        <v>11.569305798406337</v>
      </c>
      <c r="FO31" s="143">
        <f t="shared" si="53"/>
        <v>11.569305798406337</v>
      </c>
      <c r="FP31" s="143">
        <f t="shared" si="53"/>
        <v>11.569305798406337</v>
      </c>
      <c r="FQ31" s="143">
        <f t="shared" si="53"/>
        <v>11.569305798406337</v>
      </c>
      <c r="FR31" s="143">
        <f t="shared" si="53"/>
        <v>11.569305798406337</v>
      </c>
      <c r="FS31" s="143">
        <f t="shared" si="53"/>
        <v>11.569305798406337</v>
      </c>
      <c r="FT31" s="143">
        <f t="shared" si="53"/>
        <v>11.569305798406337</v>
      </c>
      <c r="FU31" s="143">
        <f t="shared" si="53"/>
        <v>11.569305798406337</v>
      </c>
      <c r="FV31" s="143">
        <f t="shared" si="53"/>
        <v>11.569305798406337</v>
      </c>
      <c r="FW31" s="143">
        <f t="shared" si="53"/>
        <v>11.569305798406337</v>
      </c>
      <c r="FX31" s="143">
        <f t="shared" si="53"/>
        <v>11.569305798406337</v>
      </c>
      <c r="FY31" s="143">
        <f t="shared" si="53"/>
        <v>11.569305798406337</v>
      </c>
      <c r="FZ31" s="143">
        <f t="shared" si="53"/>
        <v>11.569305798406337</v>
      </c>
      <c r="GA31" s="143">
        <f t="shared" si="53"/>
        <v>11.569305798406337</v>
      </c>
      <c r="GB31" s="143">
        <f t="shared" si="53"/>
        <v>11.569305798406337</v>
      </c>
      <c r="GC31" s="143">
        <f t="shared" si="53"/>
        <v>11.569305798406337</v>
      </c>
      <c r="GD31" s="143">
        <f>R27</f>
        <v>11.939499536288627</v>
      </c>
      <c r="GE31" s="143">
        <f t="shared" ref="GE31:GM31" si="54">GD31</f>
        <v>11.939499536288627</v>
      </c>
      <c r="GF31" s="143">
        <f t="shared" si="54"/>
        <v>11.939499536288627</v>
      </c>
      <c r="GG31" s="143">
        <f t="shared" si="54"/>
        <v>11.939499536288627</v>
      </c>
      <c r="GH31" s="143">
        <f t="shared" si="54"/>
        <v>11.939499536288627</v>
      </c>
      <c r="GI31" s="143">
        <f t="shared" si="54"/>
        <v>11.939499536288627</v>
      </c>
      <c r="GJ31" s="143">
        <f t="shared" si="54"/>
        <v>11.939499536288627</v>
      </c>
      <c r="GK31" s="143">
        <f t="shared" si="54"/>
        <v>11.939499536288627</v>
      </c>
      <c r="GL31" s="143">
        <f t="shared" si="54"/>
        <v>11.939499536288627</v>
      </c>
      <c r="GM31" s="143">
        <f t="shared" si="54"/>
        <v>11.939499536288627</v>
      </c>
      <c r="GN31" s="143">
        <f>S27</f>
        <v>12.251046011172905</v>
      </c>
      <c r="GO31" s="143">
        <f>GN31</f>
        <v>12.251046011172905</v>
      </c>
      <c r="GP31" s="143">
        <f>GO31</f>
        <v>12.251046011172905</v>
      </c>
      <c r="GQ31" s="143">
        <f>GP31</f>
        <v>12.251046011172905</v>
      </c>
      <c r="GR31" s="143">
        <f>GQ31</f>
        <v>12.251046011172905</v>
      </c>
      <c r="GS31" s="143">
        <f>T27</f>
        <v>12.755926656263643</v>
      </c>
      <c r="GT31" s="143">
        <f>GS31</f>
        <v>12.755926656263643</v>
      </c>
      <c r="GU31" s="143">
        <f>GT31</f>
        <v>12.755926656263643</v>
      </c>
      <c r="GV31" s="143">
        <f>GU31</f>
        <v>12.755926656263643</v>
      </c>
      <c r="GW31" s="143">
        <f>U27</f>
        <v>14.40185173420641</v>
      </c>
    </row>
    <row r="33" spans="1:205" s="149" customFormat="1" ht="13.5" customHeight="1">
      <c r="A33" s="572" t="s">
        <v>644</v>
      </c>
      <c r="B33" s="419"/>
      <c r="C33" s="419"/>
      <c r="D33" s="419"/>
      <c r="E33" s="419"/>
      <c r="F33" s="419"/>
      <c r="G33" s="419"/>
      <c r="H33" s="419"/>
      <c r="I33" s="419"/>
      <c r="J33" s="419"/>
      <c r="K33" s="419"/>
      <c r="L33" s="419"/>
      <c r="M33" s="556"/>
      <c r="N33" s="143"/>
      <c r="O33" s="143"/>
      <c r="P33" s="143"/>
      <c r="Q33" s="143"/>
      <c r="R33" s="143"/>
      <c r="T33" s="143"/>
      <c r="U33" s="143"/>
    </row>
    <row r="34" spans="1:205" ht="15" customHeight="1">
      <c r="A34" s="144"/>
      <c r="B34" s="754" t="s">
        <v>601</v>
      </c>
      <c r="C34" s="754" t="s">
        <v>255</v>
      </c>
      <c r="D34" s="486"/>
      <c r="E34" s="753" t="s">
        <v>602</v>
      </c>
      <c r="F34" s="731"/>
      <c r="G34" s="731"/>
      <c r="H34" s="731"/>
      <c r="I34" s="731"/>
      <c r="J34" s="731"/>
      <c r="K34" s="731"/>
      <c r="L34" s="731"/>
      <c r="M34" s="134"/>
      <c r="N34" s="736" t="s">
        <v>603</v>
      </c>
      <c r="O34" s="736"/>
      <c r="P34" s="736"/>
      <c r="Q34" s="736"/>
      <c r="R34" s="736"/>
      <c r="S34" s="736"/>
      <c r="T34" s="736"/>
      <c r="U34" s="736"/>
      <c r="V34" s="134"/>
      <c r="W34" s="736" t="s">
        <v>162</v>
      </c>
      <c r="X34" s="736"/>
      <c r="Y34" s="736"/>
      <c r="Z34" s="736"/>
      <c r="AA34" s="736"/>
      <c r="AB34" s="736"/>
      <c r="AC34" s="736"/>
      <c r="AD34" s="736"/>
      <c r="AE34" s="486"/>
      <c r="AF34" s="736" t="s">
        <v>206</v>
      </c>
      <c r="AG34" s="736"/>
      <c r="AH34" s="736"/>
      <c r="AI34" s="736"/>
      <c r="AJ34" s="736"/>
      <c r="AK34" s="736"/>
      <c r="AL34" s="736"/>
      <c r="AM34" s="736"/>
      <c r="AN34" s="486"/>
      <c r="AO34" s="731" t="s">
        <v>207</v>
      </c>
      <c r="AP34" s="731"/>
      <c r="AQ34" s="731"/>
      <c r="AR34" s="731"/>
      <c r="AS34" s="731"/>
      <c r="AT34" s="731"/>
      <c r="AU34" s="731"/>
      <c r="AV34" s="731"/>
    </row>
    <row r="35" spans="1:205">
      <c r="A35" s="53"/>
      <c r="B35" s="755"/>
      <c r="C35" s="755"/>
      <c r="D35" s="6"/>
      <c r="E35" s="6" t="s">
        <v>158</v>
      </c>
      <c r="F35" s="6" t="s">
        <v>159</v>
      </c>
      <c r="G35" s="6" t="s">
        <v>160</v>
      </c>
      <c r="H35" s="6" t="s">
        <v>161</v>
      </c>
      <c r="I35" s="51" t="s">
        <v>33</v>
      </c>
      <c r="J35" s="51" t="s">
        <v>51</v>
      </c>
      <c r="K35" s="51" t="s">
        <v>52</v>
      </c>
      <c r="L35" s="51" t="s">
        <v>28</v>
      </c>
      <c r="M35" s="5"/>
      <c r="N35" s="6" t="s">
        <v>158</v>
      </c>
      <c r="O35" s="6" t="s">
        <v>159</v>
      </c>
      <c r="P35" s="6" t="s">
        <v>160</v>
      </c>
      <c r="Q35" s="6" t="s">
        <v>161</v>
      </c>
      <c r="R35" s="51" t="s">
        <v>33</v>
      </c>
      <c r="S35" s="51" t="s">
        <v>51</v>
      </c>
      <c r="T35" s="51" t="s">
        <v>52</v>
      </c>
      <c r="U35" s="51" t="s">
        <v>28</v>
      </c>
      <c r="V35" s="5"/>
      <c r="W35" s="6" t="s">
        <v>158</v>
      </c>
      <c r="X35" s="6" t="s">
        <v>159</v>
      </c>
      <c r="Y35" s="6" t="s">
        <v>160</v>
      </c>
      <c r="Z35" s="6" t="s">
        <v>161</v>
      </c>
      <c r="AA35" s="51" t="s">
        <v>33</v>
      </c>
      <c r="AB35" s="51" t="s">
        <v>51</v>
      </c>
      <c r="AC35" s="51" t="s">
        <v>52</v>
      </c>
      <c r="AD35" s="51" t="s">
        <v>28</v>
      </c>
      <c r="AF35" s="6" t="s">
        <v>158</v>
      </c>
      <c r="AG35" s="6" t="s">
        <v>159</v>
      </c>
      <c r="AH35" s="6" t="s">
        <v>160</v>
      </c>
      <c r="AI35" s="6" t="s">
        <v>161</v>
      </c>
      <c r="AJ35" s="51" t="s">
        <v>33</v>
      </c>
      <c r="AK35" s="51" t="s">
        <v>51</v>
      </c>
      <c r="AL35" s="51" t="s">
        <v>52</v>
      </c>
      <c r="AM35" s="51" t="s">
        <v>28</v>
      </c>
      <c r="AN35" s="6"/>
      <c r="AO35" s="6" t="s">
        <v>158</v>
      </c>
      <c r="AP35" s="6" t="s">
        <v>159</v>
      </c>
      <c r="AQ35" s="6" t="s">
        <v>160</v>
      </c>
      <c r="AR35" s="6" t="s">
        <v>161</v>
      </c>
      <c r="AS35" s="51" t="s">
        <v>33</v>
      </c>
      <c r="AT35" s="51" t="s">
        <v>51</v>
      </c>
      <c r="AU35" s="51" t="s">
        <v>52</v>
      </c>
      <c r="AV35" s="51" t="s">
        <v>28</v>
      </c>
      <c r="AX35" s="103"/>
    </row>
    <row r="36" spans="1:205" s="149" customFormat="1" ht="10.5" customHeight="1">
      <c r="A36" s="259" t="s">
        <v>48</v>
      </c>
      <c r="B36" s="157">
        <f>B40</f>
        <v>0.10101449850796673</v>
      </c>
      <c r="C36" s="158">
        <f>C40</f>
        <v>0.99988642344583512</v>
      </c>
      <c r="D36" s="556"/>
      <c r="E36" s="143">
        <f t="shared" ref="E36:L36" si="55">LN(AF36-AO36)</f>
        <v>9.7484850099768199</v>
      </c>
      <c r="F36" s="143">
        <f t="shared" si="55"/>
        <v>10.462283004087649</v>
      </c>
      <c r="G36" s="143">
        <f t="shared" si="55"/>
        <v>10.8943364409301</v>
      </c>
      <c r="H36" s="143">
        <f t="shared" si="55"/>
        <v>11.267930398822553</v>
      </c>
      <c r="I36" s="143">
        <f t="shared" si="55"/>
        <v>11.595881831506544</v>
      </c>
      <c r="J36" s="143">
        <f t="shared" si="55"/>
        <v>11.879112386273533</v>
      </c>
      <c r="K36" s="143">
        <f t="shared" si="55"/>
        <v>12.339956563510331</v>
      </c>
      <c r="L36" s="143">
        <f t="shared" si="55"/>
        <v>13.887018089042881</v>
      </c>
      <c r="M36" s="46"/>
      <c r="N36" s="143">
        <f t="shared" ref="N36:U36" si="56">LN(AF36)</f>
        <v>9.7676678293935932</v>
      </c>
      <c r="O36" s="143">
        <f t="shared" si="56"/>
        <v>10.556593683558889</v>
      </c>
      <c r="P36" s="143">
        <f t="shared" si="56"/>
        <v>11.045159330664685</v>
      </c>
      <c r="Q36" s="143">
        <f t="shared" si="56"/>
        <v>11.46394528274851</v>
      </c>
      <c r="R36" s="143">
        <f t="shared" si="56"/>
        <v>11.834139020630802</v>
      </c>
      <c r="S36" s="143">
        <f t="shared" si="56"/>
        <v>12.145685495515078</v>
      </c>
      <c r="T36" s="143">
        <f t="shared" si="56"/>
        <v>12.650566140605816</v>
      </c>
      <c r="U36" s="143">
        <f t="shared" si="56"/>
        <v>14.296491218548583</v>
      </c>
      <c r="V36" s="556"/>
      <c r="W36" s="573">
        <f>W6</f>
        <v>1.9</v>
      </c>
      <c r="X36" s="573">
        <f t="shared" ref="X36:AD36" si="57">X6</f>
        <v>9</v>
      </c>
      <c r="Y36" s="573">
        <f t="shared" si="57"/>
        <v>14</v>
      </c>
      <c r="Z36" s="573">
        <f t="shared" si="57"/>
        <v>17.8</v>
      </c>
      <c r="AA36" s="573">
        <f t="shared" si="57"/>
        <v>21.2</v>
      </c>
      <c r="AB36" s="573">
        <f t="shared" si="57"/>
        <v>23.4</v>
      </c>
      <c r="AC36" s="573">
        <f t="shared" si="57"/>
        <v>26.7</v>
      </c>
      <c r="AD36" s="573">
        <f t="shared" si="57"/>
        <v>33.6</v>
      </c>
      <c r="AE36" s="556"/>
      <c r="AF36" s="579">
        <f>AF$6*0.9</f>
        <v>17460</v>
      </c>
      <c r="AG36" s="579">
        <f t="shared" ref="AG36:AM36" si="58">AG$6*0.9</f>
        <v>38430</v>
      </c>
      <c r="AH36" s="579">
        <f t="shared" si="58"/>
        <v>62640</v>
      </c>
      <c r="AI36" s="579">
        <f t="shared" si="58"/>
        <v>95220</v>
      </c>
      <c r="AJ36" s="579">
        <f t="shared" si="58"/>
        <v>137880</v>
      </c>
      <c r="AK36" s="579">
        <f t="shared" si="58"/>
        <v>188280</v>
      </c>
      <c r="AL36" s="579">
        <f t="shared" si="58"/>
        <v>311940</v>
      </c>
      <c r="AM36" s="579">
        <f t="shared" si="58"/>
        <v>1617660</v>
      </c>
      <c r="AN36" s="556"/>
      <c r="AO36" s="60">
        <f t="shared" ref="AO36:AV36" si="59">W36*AF36/100</f>
        <v>331.74</v>
      </c>
      <c r="AP36" s="60">
        <f t="shared" si="59"/>
        <v>3458.7</v>
      </c>
      <c r="AQ36" s="60">
        <f t="shared" si="59"/>
        <v>8769.6</v>
      </c>
      <c r="AR36" s="60">
        <f t="shared" si="59"/>
        <v>16949.16</v>
      </c>
      <c r="AS36" s="60">
        <f t="shared" si="59"/>
        <v>29230.560000000001</v>
      </c>
      <c r="AT36" s="60">
        <f t="shared" si="59"/>
        <v>44057.52</v>
      </c>
      <c r="AU36" s="60">
        <f t="shared" si="59"/>
        <v>83287.98</v>
      </c>
      <c r="AV36" s="60">
        <f t="shared" si="59"/>
        <v>543533.76</v>
      </c>
    </row>
    <row r="37" spans="1:205" s="149" customFormat="1" ht="9" customHeight="1">
      <c r="A37" s="259"/>
      <c r="E37" s="143"/>
      <c r="F37" s="143"/>
      <c r="G37" s="143"/>
      <c r="H37" s="143"/>
      <c r="I37" s="143"/>
      <c r="J37" s="143"/>
      <c r="K37" s="143"/>
      <c r="L37" s="143"/>
      <c r="M37" s="143"/>
      <c r="N37" s="143"/>
      <c r="O37" s="143"/>
      <c r="P37" s="143"/>
      <c r="Q37" s="143"/>
      <c r="R37" s="143"/>
      <c r="S37" s="143"/>
      <c r="T37" s="143"/>
      <c r="U37" s="143"/>
    </row>
    <row r="38" spans="1:205">
      <c r="A38" s="256"/>
      <c r="E38" s="745" t="s">
        <v>158</v>
      </c>
      <c r="F38" s="745"/>
      <c r="G38" s="745"/>
      <c r="H38" s="745"/>
      <c r="I38" s="745"/>
      <c r="J38" s="745"/>
      <c r="K38" s="745"/>
      <c r="L38" s="745"/>
      <c r="M38" s="745"/>
      <c r="N38" s="745"/>
      <c r="O38" s="745"/>
      <c r="P38" s="745"/>
      <c r="Q38" s="745"/>
      <c r="R38" s="745"/>
      <c r="S38" s="745"/>
      <c r="T38" s="745"/>
      <c r="U38" s="745"/>
      <c r="V38" s="745"/>
      <c r="W38" s="745"/>
      <c r="X38" s="745"/>
      <c r="Y38" s="745" t="s">
        <v>159</v>
      </c>
      <c r="Z38" s="745"/>
      <c r="AA38" s="745"/>
      <c r="AB38" s="745"/>
      <c r="AC38" s="745"/>
      <c r="AD38" s="745"/>
      <c r="AE38" s="745"/>
      <c r="AF38" s="745"/>
      <c r="AG38" s="745"/>
      <c r="AH38" s="745"/>
      <c r="AI38" s="745"/>
      <c r="AJ38" s="745"/>
      <c r="AK38" s="745"/>
      <c r="AL38" s="745"/>
      <c r="AM38" s="745"/>
      <c r="AN38" s="745"/>
      <c r="AO38" s="745"/>
      <c r="AP38" s="745"/>
      <c r="AQ38" s="745"/>
      <c r="AR38" s="745"/>
      <c r="AS38" s="745" t="s">
        <v>160</v>
      </c>
      <c r="AT38" s="745"/>
      <c r="AU38" s="745"/>
      <c r="AV38" s="745"/>
      <c r="AW38" s="745"/>
      <c r="AX38" s="745"/>
      <c r="AY38" s="745"/>
      <c r="AZ38" s="745"/>
      <c r="BA38" s="745"/>
      <c r="BB38" s="745"/>
      <c r="BC38" s="745"/>
      <c r="BD38" s="745"/>
      <c r="BE38" s="745"/>
      <c r="BF38" s="745"/>
      <c r="BG38" s="745"/>
      <c r="BH38" s="745"/>
      <c r="BI38" s="745"/>
      <c r="BJ38" s="745"/>
      <c r="BK38" s="745"/>
      <c r="BL38" s="745"/>
      <c r="BM38" s="745" t="s">
        <v>161</v>
      </c>
      <c r="BN38" s="745"/>
      <c r="BO38" s="745"/>
      <c r="BP38" s="745"/>
      <c r="BQ38" s="745"/>
      <c r="BR38" s="745"/>
      <c r="BS38" s="745"/>
      <c r="BT38" s="745"/>
      <c r="BU38" s="745"/>
      <c r="BV38" s="745"/>
      <c r="BW38" s="745"/>
      <c r="BX38" s="745"/>
      <c r="BY38" s="745"/>
      <c r="BZ38" s="745"/>
      <c r="CA38" s="745"/>
      <c r="CB38" s="745"/>
      <c r="CC38" s="745"/>
      <c r="CD38" s="745"/>
      <c r="CE38" s="745"/>
      <c r="CF38" s="745"/>
      <c r="CG38" s="746" t="s">
        <v>33</v>
      </c>
      <c r="CH38" s="746"/>
      <c r="CI38" s="746"/>
      <c r="CJ38" s="746"/>
      <c r="CK38" s="746"/>
      <c r="CL38" s="746"/>
      <c r="CM38" s="746"/>
      <c r="CN38" s="746"/>
      <c r="CO38" s="746"/>
      <c r="CP38" s="746"/>
      <c r="CQ38" s="746" t="s">
        <v>51</v>
      </c>
      <c r="CR38" s="746"/>
      <c r="CS38" s="746"/>
      <c r="CT38" s="746"/>
      <c r="CU38" s="746"/>
      <c r="CV38" s="746" t="s">
        <v>52</v>
      </c>
      <c r="CW38" s="746"/>
      <c r="CX38" s="746"/>
      <c r="CY38" s="746"/>
      <c r="CZ38" s="493" t="s">
        <v>28</v>
      </c>
      <c r="DB38" s="745" t="s">
        <v>158</v>
      </c>
      <c r="DC38" s="745"/>
      <c r="DD38" s="745"/>
      <c r="DE38" s="745"/>
      <c r="DF38" s="745"/>
      <c r="DG38" s="745"/>
      <c r="DH38" s="745"/>
      <c r="DI38" s="745"/>
      <c r="DJ38" s="745"/>
      <c r="DK38" s="745"/>
      <c r="DL38" s="745"/>
      <c r="DM38" s="745"/>
      <c r="DN38" s="745"/>
      <c r="DO38" s="745"/>
      <c r="DP38" s="745"/>
      <c r="DQ38" s="745"/>
      <c r="DR38" s="745"/>
      <c r="DS38" s="745"/>
      <c r="DT38" s="745"/>
      <c r="DU38" s="745"/>
      <c r="DV38" s="745" t="s">
        <v>159</v>
      </c>
      <c r="DW38" s="745"/>
      <c r="DX38" s="745"/>
      <c r="DY38" s="745"/>
      <c r="DZ38" s="745"/>
      <c r="EA38" s="745"/>
      <c r="EB38" s="745"/>
      <c r="EC38" s="745"/>
      <c r="ED38" s="745"/>
      <c r="EE38" s="745"/>
      <c r="EF38" s="745"/>
      <c r="EG38" s="745"/>
      <c r="EH38" s="745"/>
      <c r="EI38" s="745"/>
      <c r="EJ38" s="745"/>
      <c r="EK38" s="745"/>
      <c r="EL38" s="745"/>
      <c r="EM38" s="745"/>
      <c r="EN38" s="745"/>
      <c r="EO38" s="745"/>
      <c r="EP38" s="745" t="s">
        <v>160</v>
      </c>
      <c r="EQ38" s="745"/>
      <c r="ER38" s="745"/>
      <c r="ES38" s="745"/>
      <c r="ET38" s="745"/>
      <c r="EU38" s="745"/>
      <c r="EV38" s="745"/>
      <c r="EW38" s="745"/>
      <c r="EX38" s="745"/>
      <c r="EY38" s="745"/>
      <c r="EZ38" s="745"/>
      <c r="FA38" s="745"/>
      <c r="FB38" s="745"/>
      <c r="FC38" s="745"/>
      <c r="FD38" s="745"/>
      <c r="FE38" s="745"/>
      <c r="FF38" s="745"/>
      <c r="FG38" s="745"/>
      <c r="FH38" s="745"/>
      <c r="FI38" s="745"/>
      <c r="FJ38" s="745" t="s">
        <v>161</v>
      </c>
      <c r="FK38" s="745"/>
      <c r="FL38" s="745"/>
      <c r="FM38" s="745"/>
      <c r="FN38" s="745"/>
      <c r="FO38" s="745"/>
      <c r="FP38" s="745"/>
      <c r="FQ38" s="745"/>
      <c r="FR38" s="745"/>
      <c r="FS38" s="745"/>
      <c r="FT38" s="745"/>
      <c r="FU38" s="745"/>
      <c r="FV38" s="745"/>
      <c r="FW38" s="745"/>
      <c r="FX38" s="745"/>
      <c r="FY38" s="745"/>
      <c r="FZ38" s="745"/>
      <c r="GA38" s="745"/>
      <c r="GB38" s="745"/>
      <c r="GC38" s="745"/>
      <c r="GD38" s="746" t="s">
        <v>33</v>
      </c>
      <c r="GE38" s="746"/>
      <c r="GF38" s="746"/>
      <c r="GG38" s="746"/>
      <c r="GH38" s="746"/>
      <c r="GI38" s="746"/>
      <c r="GJ38" s="746"/>
      <c r="GK38" s="746"/>
      <c r="GL38" s="746"/>
      <c r="GM38" s="746"/>
      <c r="GN38" s="746" t="s">
        <v>51</v>
      </c>
      <c r="GO38" s="746"/>
      <c r="GP38" s="746"/>
      <c r="GQ38" s="746"/>
      <c r="GR38" s="746"/>
      <c r="GS38" s="746" t="s">
        <v>52</v>
      </c>
      <c r="GT38" s="746"/>
      <c r="GU38" s="746"/>
      <c r="GV38" s="746"/>
      <c r="GW38" s="493" t="s">
        <v>28</v>
      </c>
    </row>
    <row r="39" spans="1:205" s="46" customFormat="1">
      <c r="A39" s="15"/>
      <c r="E39" s="255">
        <v>1</v>
      </c>
      <c r="F39" s="255">
        <f t="shared" ref="F39:AK39" si="60">E39+1</f>
        <v>2</v>
      </c>
      <c r="G39" s="255">
        <f t="shared" si="60"/>
        <v>3</v>
      </c>
      <c r="H39" s="255">
        <f t="shared" si="60"/>
        <v>4</v>
      </c>
      <c r="I39" s="255">
        <f t="shared" si="60"/>
        <v>5</v>
      </c>
      <c r="J39" s="255">
        <f t="shared" si="60"/>
        <v>6</v>
      </c>
      <c r="K39" s="255">
        <f t="shared" si="60"/>
        <v>7</v>
      </c>
      <c r="L39" s="255">
        <f t="shared" si="60"/>
        <v>8</v>
      </c>
      <c r="M39" s="255">
        <f t="shared" si="60"/>
        <v>9</v>
      </c>
      <c r="N39" s="255">
        <f t="shared" si="60"/>
        <v>10</v>
      </c>
      <c r="O39" s="255">
        <f t="shared" si="60"/>
        <v>11</v>
      </c>
      <c r="P39" s="255">
        <f t="shared" si="60"/>
        <v>12</v>
      </c>
      <c r="Q39" s="255">
        <f t="shared" si="60"/>
        <v>13</v>
      </c>
      <c r="R39" s="255">
        <f t="shared" si="60"/>
        <v>14</v>
      </c>
      <c r="S39" s="255">
        <f t="shared" si="60"/>
        <v>15</v>
      </c>
      <c r="T39" s="255">
        <f t="shared" si="60"/>
        <v>16</v>
      </c>
      <c r="U39" s="255">
        <f t="shared" si="60"/>
        <v>17</v>
      </c>
      <c r="V39" s="255">
        <f t="shared" si="60"/>
        <v>18</v>
      </c>
      <c r="W39" s="255">
        <f t="shared" si="60"/>
        <v>19</v>
      </c>
      <c r="X39" s="255">
        <f t="shared" si="60"/>
        <v>20</v>
      </c>
      <c r="Y39" s="255">
        <f t="shared" si="60"/>
        <v>21</v>
      </c>
      <c r="Z39" s="255">
        <f t="shared" si="60"/>
        <v>22</v>
      </c>
      <c r="AA39" s="255">
        <f t="shared" si="60"/>
        <v>23</v>
      </c>
      <c r="AB39" s="255">
        <f t="shared" si="60"/>
        <v>24</v>
      </c>
      <c r="AC39" s="255">
        <f t="shared" si="60"/>
        <v>25</v>
      </c>
      <c r="AD39" s="255">
        <f t="shared" si="60"/>
        <v>26</v>
      </c>
      <c r="AE39" s="255">
        <f t="shared" si="60"/>
        <v>27</v>
      </c>
      <c r="AF39" s="255">
        <f t="shared" si="60"/>
        <v>28</v>
      </c>
      <c r="AG39" s="255">
        <f t="shared" si="60"/>
        <v>29</v>
      </c>
      <c r="AH39" s="255">
        <f t="shared" si="60"/>
        <v>30</v>
      </c>
      <c r="AI39" s="255">
        <f t="shared" si="60"/>
        <v>31</v>
      </c>
      <c r="AJ39" s="255">
        <f t="shared" si="60"/>
        <v>32</v>
      </c>
      <c r="AK39" s="255">
        <f t="shared" si="60"/>
        <v>33</v>
      </c>
      <c r="AL39" s="255">
        <f t="shared" ref="AL39:BQ39" si="61">AK39+1</f>
        <v>34</v>
      </c>
      <c r="AM39" s="255">
        <f t="shared" si="61"/>
        <v>35</v>
      </c>
      <c r="AN39" s="255">
        <f t="shared" si="61"/>
        <v>36</v>
      </c>
      <c r="AO39" s="255">
        <f t="shared" si="61"/>
        <v>37</v>
      </c>
      <c r="AP39" s="255">
        <f t="shared" si="61"/>
        <v>38</v>
      </c>
      <c r="AQ39" s="255">
        <f t="shared" si="61"/>
        <v>39</v>
      </c>
      <c r="AR39" s="255">
        <f t="shared" si="61"/>
        <v>40</v>
      </c>
      <c r="AS39" s="255">
        <f t="shared" si="61"/>
        <v>41</v>
      </c>
      <c r="AT39" s="255">
        <f t="shared" si="61"/>
        <v>42</v>
      </c>
      <c r="AU39" s="255">
        <f t="shared" si="61"/>
        <v>43</v>
      </c>
      <c r="AV39" s="255">
        <f t="shared" si="61"/>
        <v>44</v>
      </c>
      <c r="AW39" s="255">
        <f t="shared" si="61"/>
        <v>45</v>
      </c>
      <c r="AX39" s="255">
        <f t="shared" si="61"/>
        <v>46</v>
      </c>
      <c r="AY39" s="255">
        <f t="shared" si="61"/>
        <v>47</v>
      </c>
      <c r="AZ39" s="255">
        <f t="shared" si="61"/>
        <v>48</v>
      </c>
      <c r="BA39" s="255">
        <f t="shared" si="61"/>
        <v>49</v>
      </c>
      <c r="BB39" s="255">
        <f t="shared" si="61"/>
        <v>50</v>
      </c>
      <c r="BC39" s="255">
        <f t="shared" si="61"/>
        <v>51</v>
      </c>
      <c r="BD39" s="255">
        <f t="shared" si="61"/>
        <v>52</v>
      </c>
      <c r="BE39" s="255">
        <f t="shared" si="61"/>
        <v>53</v>
      </c>
      <c r="BF39" s="255">
        <f t="shared" si="61"/>
        <v>54</v>
      </c>
      <c r="BG39" s="255">
        <f t="shared" si="61"/>
        <v>55</v>
      </c>
      <c r="BH39" s="255">
        <f t="shared" si="61"/>
        <v>56</v>
      </c>
      <c r="BI39" s="255">
        <f t="shared" si="61"/>
        <v>57</v>
      </c>
      <c r="BJ39" s="255">
        <f t="shared" si="61"/>
        <v>58</v>
      </c>
      <c r="BK39" s="255">
        <f t="shared" si="61"/>
        <v>59</v>
      </c>
      <c r="BL39" s="255">
        <f t="shared" si="61"/>
        <v>60</v>
      </c>
      <c r="BM39" s="255">
        <f t="shared" si="61"/>
        <v>61</v>
      </c>
      <c r="BN39" s="255">
        <f t="shared" si="61"/>
        <v>62</v>
      </c>
      <c r="BO39" s="255">
        <f t="shared" si="61"/>
        <v>63</v>
      </c>
      <c r="BP39" s="255">
        <f t="shared" si="61"/>
        <v>64</v>
      </c>
      <c r="BQ39" s="255">
        <f t="shared" si="61"/>
        <v>65</v>
      </c>
      <c r="BR39" s="255">
        <f t="shared" ref="BR39:CZ39" si="62">BQ39+1</f>
        <v>66</v>
      </c>
      <c r="BS39" s="255">
        <f t="shared" si="62"/>
        <v>67</v>
      </c>
      <c r="BT39" s="255">
        <f t="shared" si="62"/>
        <v>68</v>
      </c>
      <c r="BU39" s="255">
        <f t="shared" si="62"/>
        <v>69</v>
      </c>
      <c r="BV39" s="255">
        <f t="shared" si="62"/>
        <v>70</v>
      </c>
      <c r="BW39" s="255">
        <f t="shared" si="62"/>
        <v>71</v>
      </c>
      <c r="BX39" s="255">
        <f t="shared" si="62"/>
        <v>72</v>
      </c>
      <c r="BY39" s="255">
        <f t="shared" si="62"/>
        <v>73</v>
      </c>
      <c r="BZ39" s="255">
        <f t="shared" si="62"/>
        <v>74</v>
      </c>
      <c r="CA39" s="255">
        <f t="shared" si="62"/>
        <v>75</v>
      </c>
      <c r="CB39" s="255">
        <f t="shared" si="62"/>
        <v>76</v>
      </c>
      <c r="CC39" s="255">
        <f t="shared" si="62"/>
        <v>77</v>
      </c>
      <c r="CD39" s="255">
        <f t="shared" si="62"/>
        <v>78</v>
      </c>
      <c r="CE39" s="255">
        <f t="shared" si="62"/>
        <v>79</v>
      </c>
      <c r="CF39" s="255">
        <f t="shared" si="62"/>
        <v>80</v>
      </c>
      <c r="CG39" s="255">
        <f t="shared" si="62"/>
        <v>81</v>
      </c>
      <c r="CH39" s="255">
        <f t="shared" si="62"/>
        <v>82</v>
      </c>
      <c r="CI39" s="255">
        <f t="shared" si="62"/>
        <v>83</v>
      </c>
      <c r="CJ39" s="255">
        <f t="shared" si="62"/>
        <v>84</v>
      </c>
      <c r="CK39" s="255">
        <f t="shared" si="62"/>
        <v>85</v>
      </c>
      <c r="CL39" s="255">
        <f t="shared" si="62"/>
        <v>86</v>
      </c>
      <c r="CM39" s="255">
        <f t="shared" si="62"/>
        <v>87</v>
      </c>
      <c r="CN39" s="255">
        <f t="shared" si="62"/>
        <v>88</v>
      </c>
      <c r="CO39" s="255">
        <f t="shared" si="62"/>
        <v>89</v>
      </c>
      <c r="CP39" s="255">
        <f t="shared" si="62"/>
        <v>90</v>
      </c>
      <c r="CQ39" s="255">
        <f t="shared" si="62"/>
        <v>91</v>
      </c>
      <c r="CR39" s="255">
        <f t="shared" si="62"/>
        <v>92</v>
      </c>
      <c r="CS39" s="255">
        <f t="shared" si="62"/>
        <v>93</v>
      </c>
      <c r="CT39" s="255">
        <f t="shared" si="62"/>
        <v>94</v>
      </c>
      <c r="CU39" s="255">
        <f t="shared" si="62"/>
        <v>95</v>
      </c>
      <c r="CV39" s="255">
        <f t="shared" si="62"/>
        <v>96</v>
      </c>
      <c r="CW39" s="255">
        <f t="shared" si="62"/>
        <v>97</v>
      </c>
      <c r="CX39" s="255">
        <f t="shared" si="62"/>
        <v>98</v>
      </c>
      <c r="CY39" s="255">
        <f t="shared" si="62"/>
        <v>99</v>
      </c>
      <c r="CZ39" s="255">
        <f t="shared" si="62"/>
        <v>100</v>
      </c>
      <c r="DB39" s="255">
        <v>1</v>
      </c>
      <c r="DC39" s="255">
        <f t="shared" ref="DC39:EH39" si="63">DB39+1</f>
        <v>2</v>
      </c>
      <c r="DD39" s="255">
        <f t="shared" si="63"/>
        <v>3</v>
      </c>
      <c r="DE39" s="255">
        <f t="shared" si="63"/>
        <v>4</v>
      </c>
      <c r="DF39" s="255">
        <f t="shared" si="63"/>
        <v>5</v>
      </c>
      <c r="DG39" s="255">
        <f t="shared" si="63"/>
        <v>6</v>
      </c>
      <c r="DH39" s="255">
        <f t="shared" si="63"/>
        <v>7</v>
      </c>
      <c r="DI39" s="255">
        <f t="shared" si="63"/>
        <v>8</v>
      </c>
      <c r="DJ39" s="255">
        <f t="shared" si="63"/>
        <v>9</v>
      </c>
      <c r="DK39" s="255">
        <f t="shared" si="63"/>
        <v>10</v>
      </c>
      <c r="DL39" s="255">
        <f t="shared" si="63"/>
        <v>11</v>
      </c>
      <c r="DM39" s="255">
        <f t="shared" si="63"/>
        <v>12</v>
      </c>
      <c r="DN39" s="255">
        <f t="shared" si="63"/>
        <v>13</v>
      </c>
      <c r="DO39" s="255">
        <f t="shared" si="63"/>
        <v>14</v>
      </c>
      <c r="DP39" s="255">
        <f t="shared" si="63"/>
        <v>15</v>
      </c>
      <c r="DQ39" s="255">
        <f t="shared" si="63"/>
        <v>16</v>
      </c>
      <c r="DR39" s="255">
        <f t="shared" si="63"/>
        <v>17</v>
      </c>
      <c r="DS39" s="255">
        <f t="shared" si="63"/>
        <v>18</v>
      </c>
      <c r="DT39" s="255">
        <f t="shared" si="63"/>
        <v>19</v>
      </c>
      <c r="DU39" s="255">
        <f t="shared" si="63"/>
        <v>20</v>
      </c>
      <c r="DV39" s="255">
        <f t="shared" si="63"/>
        <v>21</v>
      </c>
      <c r="DW39" s="255">
        <f t="shared" si="63"/>
        <v>22</v>
      </c>
      <c r="DX39" s="255">
        <f t="shared" si="63"/>
        <v>23</v>
      </c>
      <c r="DY39" s="255">
        <f t="shared" si="63"/>
        <v>24</v>
      </c>
      <c r="DZ39" s="255">
        <f t="shared" si="63"/>
        <v>25</v>
      </c>
      <c r="EA39" s="255">
        <f t="shared" si="63"/>
        <v>26</v>
      </c>
      <c r="EB39" s="255">
        <f t="shared" si="63"/>
        <v>27</v>
      </c>
      <c r="EC39" s="255">
        <f t="shared" si="63"/>
        <v>28</v>
      </c>
      <c r="ED39" s="255">
        <f t="shared" si="63"/>
        <v>29</v>
      </c>
      <c r="EE39" s="255">
        <f t="shared" si="63"/>
        <v>30</v>
      </c>
      <c r="EF39" s="255">
        <f t="shared" si="63"/>
        <v>31</v>
      </c>
      <c r="EG39" s="255">
        <f t="shared" si="63"/>
        <v>32</v>
      </c>
      <c r="EH39" s="255">
        <f t="shared" si="63"/>
        <v>33</v>
      </c>
      <c r="EI39" s="255">
        <f t="shared" ref="EI39:FN39" si="64">EH39+1</f>
        <v>34</v>
      </c>
      <c r="EJ39" s="255">
        <f t="shared" si="64"/>
        <v>35</v>
      </c>
      <c r="EK39" s="255">
        <f t="shared" si="64"/>
        <v>36</v>
      </c>
      <c r="EL39" s="255">
        <f t="shared" si="64"/>
        <v>37</v>
      </c>
      <c r="EM39" s="255">
        <f t="shared" si="64"/>
        <v>38</v>
      </c>
      <c r="EN39" s="255">
        <f t="shared" si="64"/>
        <v>39</v>
      </c>
      <c r="EO39" s="255">
        <f t="shared" si="64"/>
        <v>40</v>
      </c>
      <c r="EP39" s="255">
        <f t="shared" si="64"/>
        <v>41</v>
      </c>
      <c r="EQ39" s="255">
        <f t="shared" si="64"/>
        <v>42</v>
      </c>
      <c r="ER39" s="255">
        <f t="shared" si="64"/>
        <v>43</v>
      </c>
      <c r="ES39" s="255">
        <f t="shared" si="64"/>
        <v>44</v>
      </c>
      <c r="ET39" s="255">
        <f t="shared" si="64"/>
        <v>45</v>
      </c>
      <c r="EU39" s="255">
        <f t="shared" si="64"/>
        <v>46</v>
      </c>
      <c r="EV39" s="255">
        <f t="shared" si="64"/>
        <v>47</v>
      </c>
      <c r="EW39" s="255">
        <f t="shared" si="64"/>
        <v>48</v>
      </c>
      <c r="EX39" s="255">
        <f t="shared" si="64"/>
        <v>49</v>
      </c>
      <c r="EY39" s="255">
        <f t="shared" si="64"/>
        <v>50</v>
      </c>
      <c r="EZ39" s="255">
        <f t="shared" si="64"/>
        <v>51</v>
      </c>
      <c r="FA39" s="255">
        <f t="shared" si="64"/>
        <v>52</v>
      </c>
      <c r="FB39" s="255">
        <f t="shared" si="64"/>
        <v>53</v>
      </c>
      <c r="FC39" s="255">
        <f t="shared" si="64"/>
        <v>54</v>
      </c>
      <c r="FD39" s="255">
        <f t="shared" si="64"/>
        <v>55</v>
      </c>
      <c r="FE39" s="255">
        <f t="shared" si="64"/>
        <v>56</v>
      </c>
      <c r="FF39" s="255">
        <f t="shared" si="64"/>
        <v>57</v>
      </c>
      <c r="FG39" s="255">
        <f t="shared" si="64"/>
        <v>58</v>
      </c>
      <c r="FH39" s="255">
        <f t="shared" si="64"/>
        <v>59</v>
      </c>
      <c r="FI39" s="255">
        <f t="shared" si="64"/>
        <v>60</v>
      </c>
      <c r="FJ39" s="255">
        <f t="shared" si="64"/>
        <v>61</v>
      </c>
      <c r="FK39" s="255">
        <f t="shared" si="64"/>
        <v>62</v>
      </c>
      <c r="FL39" s="255">
        <f t="shared" si="64"/>
        <v>63</v>
      </c>
      <c r="FM39" s="255">
        <f t="shared" si="64"/>
        <v>64</v>
      </c>
      <c r="FN39" s="255">
        <f t="shared" si="64"/>
        <v>65</v>
      </c>
      <c r="FO39" s="255">
        <f t="shared" ref="FO39:GW39" si="65">FN39+1</f>
        <v>66</v>
      </c>
      <c r="FP39" s="255">
        <f t="shared" si="65"/>
        <v>67</v>
      </c>
      <c r="FQ39" s="255">
        <f t="shared" si="65"/>
        <v>68</v>
      </c>
      <c r="FR39" s="255">
        <f t="shared" si="65"/>
        <v>69</v>
      </c>
      <c r="FS39" s="255">
        <f t="shared" si="65"/>
        <v>70</v>
      </c>
      <c r="FT39" s="255">
        <f t="shared" si="65"/>
        <v>71</v>
      </c>
      <c r="FU39" s="255">
        <f t="shared" si="65"/>
        <v>72</v>
      </c>
      <c r="FV39" s="255">
        <f t="shared" si="65"/>
        <v>73</v>
      </c>
      <c r="FW39" s="255">
        <f t="shared" si="65"/>
        <v>74</v>
      </c>
      <c r="FX39" s="255">
        <f t="shared" si="65"/>
        <v>75</v>
      </c>
      <c r="FY39" s="255">
        <f t="shared" si="65"/>
        <v>76</v>
      </c>
      <c r="FZ39" s="255">
        <f t="shared" si="65"/>
        <v>77</v>
      </c>
      <c r="GA39" s="255">
        <f t="shared" si="65"/>
        <v>78</v>
      </c>
      <c r="GB39" s="255">
        <f t="shared" si="65"/>
        <v>79</v>
      </c>
      <c r="GC39" s="255">
        <f t="shared" si="65"/>
        <v>80</v>
      </c>
      <c r="GD39" s="255">
        <f t="shared" si="65"/>
        <v>81</v>
      </c>
      <c r="GE39" s="255">
        <f t="shared" si="65"/>
        <v>82</v>
      </c>
      <c r="GF39" s="255">
        <f t="shared" si="65"/>
        <v>83</v>
      </c>
      <c r="GG39" s="255">
        <f t="shared" si="65"/>
        <v>84</v>
      </c>
      <c r="GH39" s="255">
        <f t="shared" si="65"/>
        <v>85</v>
      </c>
      <c r="GI39" s="255">
        <f t="shared" si="65"/>
        <v>86</v>
      </c>
      <c r="GJ39" s="255">
        <f t="shared" si="65"/>
        <v>87</v>
      </c>
      <c r="GK39" s="255">
        <f t="shared" si="65"/>
        <v>88</v>
      </c>
      <c r="GL39" s="255">
        <f t="shared" si="65"/>
        <v>89</v>
      </c>
      <c r="GM39" s="255">
        <f t="shared" si="65"/>
        <v>90</v>
      </c>
      <c r="GN39" s="255">
        <f t="shared" si="65"/>
        <v>91</v>
      </c>
      <c r="GO39" s="255">
        <f t="shared" si="65"/>
        <v>92</v>
      </c>
      <c r="GP39" s="255">
        <f t="shared" si="65"/>
        <v>93</v>
      </c>
      <c r="GQ39" s="255">
        <f t="shared" si="65"/>
        <v>94</v>
      </c>
      <c r="GR39" s="255">
        <f t="shared" si="65"/>
        <v>95</v>
      </c>
      <c r="GS39" s="255">
        <f t="shared" si="65"/>
        <v>96</v>
      </c>
      <c r="GT39" s="255">
        <f t="shared" si="65"/>
        <v>97</v>
      </c>
      <c r="GU39" s="255">
        <f t="shared" si="65"/>
        <v>98</v>
      </c>
      <c r="GV39" s="255">
        <f t="shared" si="65"/>
        <v>99</v>
      </c>
      <c r="GW39" s="255">
        <f t="shared" si="65"/>
        <v>100</v>
      </c>
    </row>
    <row r="40" spans="1:205" ht="9" customHeight="1">
      <c r="A40" s="259" t="s">
        <v>48</v>
      </c>
      <c r="B40" s="143">
        <f>1-LINEST(E40:CZ40, DB40:GW40, TRUE, FALSE)</f>
        <v>0.10101449850796673</v>
      </c>
      <c r="C40" s="143">
        <f>RSQ(E40:CZ40, DB40:GW40)</f>
        <v>0.99988642344583512</v>
      </c>
      <c r="D40" s="60"/>
      <c r="E40" s="143">
        <f>E36</f>
        <v>9.7484850099768199</v>
      </c>
      <c r="F40" s="143">
        <f t="shared" ref="F40:X40" si="66">E40</f>
        <v>9.7484850099768199</v>
      </c>
      <c r="G40" s="143">
        <f t="shared" si="66"/>
        <v>9.7484850099768199</v>
      </c>
      <c r="H40" s="143">
        <f t="shared" si="66"/>
        <v>9.7484850099768199</v>
      </c>
      <c r="I40" s="143">
        <f t="shared" si="66"/>
        <v>9.7484850099768199</v>
      </c>
      <c r="J40" s="143">
        <f t="shared" si="66"/>
        <v>9.7484850099768199</v>
      </c>
      <c r="K40" s="143">
        <f t="shared" si="66"/>
        <v>9.7484850099768199</v>
      </c>
      <c r="L40" s="143">
        <f t="shared" si="66"/>
        <v>9.7484850099768199</v>
      </c>
      <c r="M40" s="143">
        <f t="shared" si="66"/>
        <v>9.7484850099768199</v>
      </c>
      <c r="N40" s="143">
        <f t="shared" si="66"/>
        <v>9.7484850099768199</v>
      </c>
      <c r="O40" s="143">
        <f t="shared" si="66"/>
        <v>9.7484850099768199</v>
      </c>
      <c r="P40" s="143">
        <f t="shared" si="66"/>
        <v>9.7484850099768199</v>
      </c>
      <c r="Q40" s="143">
        <f t="shared" si="66"/>
        <v>9.7484850099768199</v>
      </c>
      <c r="R40" s="143">
        <f t="shared" si="66"/>
        <v>9.7484850099768199</v>
      </c>
      <c r="S40" s="143">
        <f t="shared" si="66"/>
        <v>9.7484850099768199</v>
      </c>
      <c r="T40" s="143">
        <f t="shared" si="66"/>
        <v>9.7484850099768199</v>
      </c>
      <c r="U40" s="143">
        <f t="shared" si="66"/>
        <v>9.7484850099768199</v>
      </c>
      <c r="V40" s="143">
        <f t="shared" si="66"/>
        <v>9.7484850099768199</v>
      </c>
      <c r="W40" s="143">
        <f t="shared" si="66"/>
        <v>9.7484850099768199</v>
      </c>
      <c r="X40" s="143">
        <f t="shared" si="66"/>
        <v>9.7484850099768199</v>
      </c>
      <c r="Y40" s="143">
        <f>F36</f>
        <v>10.462283004087649</v>
      </c>
      <c r="Z40" s="143">
        <f t="shared" ref="Z40:AR40" si="67">Y40</f>
        <v>10.462283004087649</v>
      </c>
      <c r="AA40" s="143">
        <f t="shared" si="67"/>
        <v>10.462283004087649</v>
      </c>
      <c r="AB40" s="143">
        <f t="shared" si="67"/>
        <v>10.462283004087649</v>
      </c>
      <c r="AC40" s="143">
        <f t="shared" si="67"/>
        <v>10.462283004087649</v>
      </c>
      <c r="AD40" s="143">
        <f t="shared" si="67"/>
        <v>10.462283004087649</v>
      </c>
      <c r="AE40" s="143">
        <f t="shared" si="67"/>
        <v>10.462283004087649</v>
      </c>
      <c r="AF40" s="143">
        <f t="shared" si="67"/>
        <v>10.462283004087649</v>
      </c>
      <c r="AG40" s="143">
        <f t="shared" si="67"/>
        <v>10.462283004087649</v>
      </c>
      <c r="AH40" s="143">
        <f t="shared" si="67"/>
        <v>10.462283004087649</v>
      </c>
      <c r="AI40" s="143">
        <f t="shared" si="67"/>
        <v>10.462283004087649</v>
      </c>
      <c r="AJ40" s="143">
        <f t="shared" si="67"/>
        <v>10.462283004087649</v>
      </c>
      <c r="AK40" s="143">
        <f t="shared" si="67"/>
        <v>10.462283004087649</v>
      </c>
      <c r="AL40" s="143">
        <f t="shared" si="67"/>
        <v>10.462283004087649</v>
      </c>
      <c r="AM40" s="143">
        <f t="shared" si="67"/>
        <v>10.462283004087649</v>
      </c>
      <c r="AN40" s="143">
        <f t="shared" si="67"/>
        <v>10.462283004087649</v>
      </c>
      <c r="AO40" s="143">
        <f t="shared" si="67"/>
        <v>10.462283004087649</v>
      </c>
      <c r="AP40" s="143">
        <f t="shared" si="67"/>
        <v>10.462283004087649</v>
      </c>
      <c r="AQ40" s="143">
        <f t="shared" si="67"/>
        <v>10.462283004087649</v>
      </c>
      <c r="AR40" s="143">
        <f t="shared" si="67"/>
        <v>10.462283004087649</v>
      </c>
      <c r="AS40" s="143">
        <f>G36</f>
        <v>10.8943364409301</v>
      </c>
      <c r="AT40" s="143">
        <f t="shared" ref="AT40:BL40" si="68">AS40</f>
        <v>10.8943364409301</v>
      </c>
      <c r="AU40" s="143">
        <f t="shared" si="68"/>
        <v>10.8943364409301</v>
      </c>
      <c r="AV40" s="143">
        <f t="shared" si="68"/>
        <v>10.8943364409301</v>
      </c>
      <c r="AW40" s="143">
        <f t="shared" si="68"/>
        <v>10.8943364409301</v>
      </c>
      <c r="AX40" s="143">
        <f t="shared" si="68"/>
        <v>10.8943364409301</v>
      </c>
      <c r="AY40" s="143">
        <f t="shared" si="68"/>
        <v>10.8943364409301</v>
      </c>
      <c r="AZ40" s="143">
        <f t="shared" si="68"/>
        <v>10.8943364409301</v>
      </c>
      <c r="BA40" s="143">
        <f t="shared" si="68"/>
        <v>10.8943364409301</v>
      </c>
      <c r="BB40" s="143">
        <f t="shared" si="68"/>
        <v>10.8943364409301</v>
      </c>
      <c r="BC40" s="143">
        <f t="shared" si="68"/>
        <v>10.8943364409301</v>
      </c>
      <c r="BD40" s="143">
        <f t="shared" si="68"/>
        <v>10.8943364409301</v>
      </c>
      <c r="BE40" s="143">
        <f t="shared" si="68"/>
        <v>10.8943364409301</v>
      </c>
      <c r="BF40" s="143">
        <f t="shared" si="68"/>
        <v>10.8943364409301</v>
      </c>
      <c r="BG40" s="143">
        <f t="shared" si="68"/>
        <v>10.8943364409301</v>
      </c>
      <c r="BH40" s="143">
        <f t="shared" si="68"/>
        <v>10.8943364409301</v>
      </c>
      <c r="BI40" s="143">
        <f t="shared" si="68"/>
        <v>10.8943364409301</v>
      </c>
      <c r="BJ40" s="143">
        <f t="shared" si="68"/>
        <v>10.8943364409301</v>
      </c>
      <c r="BK40" s="143">
        <f t="shared" si="68"/>
        <v>10.8943364409301</v>
      </c>
      <c r="BL40" s="143">
        <f t="shared" si="68"/>
        <v>10.8943364409301</v>
      </c>
      <c r="BM40" s="143">
        <f>H36</f>
        <v>11.267930398822553</v>
      </c>
      <c r="BN40" s="143">
        <f t="shared" ref="BN40:CF40" si="69">BM40</f>
        <v>11.267930398822553</v>
      </c>
      <c r="BO40" s="143">
        <f t="shared" si="69"/>
        <v>11.267930398822553</v>
      </c>
      <c r="BP40" s="143">
        <f t="shared" si="69"/>
        <v>11.267930398822553</v>
      </c>
      <c r="BQ40" s="143">
        <f t="shared" si="69"/>
        <v>11.267930398822553</v>
      </c>
      <c r="BR40" s="143">
        <f t="shared" si="69"/>
        <v>11.267930398822553</v>
      </c>
      <c r="BS40" s="143">
        <f t="shared" si="69"/>
        <v>11.267930398822553</v>
      </c>
      <c r="BT40" s="143">
        <f t="shared" si="69"/>
        <v>11.267930398822553</v>
      </c>
      <c r="BU40" s="143">
        <f t="shared" si="69"/>
        <v>11.267930398822553</v>
      </c>
      <c r="BV40" s="143">
        <f t="shared" si="69"/>
        <v>11.267930398822553</v>
      </c>
      <c r="BW40" s="143">
        <f t="shared" si="69"/>
        <v>11.267930398822553</v>
      </c>
      <c r="BX40" s="143">
        <f t="shared" si="69"/>
        <v>11.267930398822553</v>
      </c>
      <c r="BY40" s="143">
        <f t="shared" si="69"/>
        <v>11.267930398822553</v>
      </c>
      <c r="BZ40" s="143">
        <f t="shared" si="69"/>
        <v>11.267930398822553</v>
      </c>
      <c r="CA40" s="143">
        <f t="shared" si="69"/>
        <v>11.267930398822553</v>
      </c>
      <c r="CB40" s="143">
        <f t="shared" si="69"/>
        <v>11.267930398822553</v>
      </c>
      <c r="CC40" s="143">
        <f t="shared" si="69"/>
        <v>11.267930398822553</v>
      </c>
      <c r="CD40" s="143">
        <f t="shared" si="69"/>
        <v>11.267930398822553</v>
      </c>
      <c r="CE40" s="143">
        <f t="shared" si="69"/>
        <v>11.267930398822553</v>
      </c>
      <c r="CF40" s="143">
        <f t="shared" si="69"/>
        <v>11.267930398822553</v>
      </c>
      <c r="CG40" s="143">
        <f>I36</f>
        <v>11.595881831506544</v>
      </c>
      <c r="CH40" s="143">
        <f t="shared" ref="CH40:CP40" si="70">CG40</f>
        <v>11.595881831506544</v>
      </c>
      <c r="CI40" s="143">
        <f t="shared" si="70"/>
        <v>11.595881831506544</v>
      </c>
      <c r="CJ40" s="143">
        <f t="shared" si="70"/>
        <v>11.595881831506544</v>
      </c>
      <c r="CK40" s="143">
        <f t="shared" si="70"/>
        <v>11.595881831506544</v>
      </c>
      <c r="CL40" s="143">
        <f t="shared" si="70"/>
        <v>11.595881831506544</v>
      </c>
      <c r="CM40" s="143">
        <f t="shared" si="70"/>
        <v>11.595881831506544</v>
      </c>
      <c r="CN40" s="143">
        <f t="shared" si="70"/>
        <v>11.595881831506544</v>
      </c>
      <c r="CO40" s="143">
        <f t="shared" si="70"/>
        <v>11.595881831506544</v>
      </c>
      <c r="CP40" s="143">
        <f t="shared" si="70"/>
        <v>11.595881831506544</v>
      </c>
      <c r="CQ40" s="143">
        <f>J36</f>
        <v>11.879112386273533</v>
      </c>
      <c r="CR40" s="143">
        <f>CQ40</f>
        <v>11.879112386273533</v>
      </c>
      <c r="CS40" s="143">
        <f>CR40</f>
        <v>11.879112386273533</v>
      </c>
      <c r="CT40" s="143">
        <f>CS40</f>
        <v>11.879112386273533</v>
      </c>
      <c r="CU40" s="143">
        <f>CT40</f>
        <v>11.879112386273533</v>
      </c>
      <c r="CV40" s="143">
        <f>K36</f>
        <v>12.339956563510331</v>
      </c>
      <c r="CW40" s="143">
        <f>CV40</f>
        <v>12.339956563510331</v>
      </c>
      <c r="CX40" s="143">
        <f>CW40</f>
        <v>12.339956563510331</v>
      </c>
      <c r="CY40" s="143">
        <f>CX40</f>
        <v>12.339956563510331</v>
      </c>
      <c r="CZ40" s="143">
        <f>L36</f>
        <v>13.887018089042881</v>
      </c>
      <c r="DA40" s="60"/>
      <c r="DB40" s="143">
        <f>N36</f>
        <v>9.7676678293935932</v>
      </c>
      <c r="DC40" s="143">
        <f t="shared" ref="DC40:DU40" si="71">DB40</f>
        <v>9.7676678293935932</v>
      </c>
      <c r="DD40" s="143">
        <f t="shared" si="71"/>
        <v>9.7676678293935932</v>
      </c>
      <c r="DE40" s="143">
        <f t="shared" si="71"/>
        <v>9.7676678293935932</v>
      </c>
      <c r="DF40" s="143">
        <f t="shared" si="71"/>
        <v>9.7676678293935932</v>
      </c>
      <c r="DG40" s="143">
        <f t="shared" si="71"/>
        <v>9.7676678293935932</v>
      </c>
      <c r="DH40" s="143">
        <f t="shared" si="71"/>
        <v>9.7676678293935932</v>
      </c>
      <c r="DI40" s="143">
        <f t="shared" si="71"/>
        <v>9.7676678293935932</v>
      </c>
      <c r="DJ40" s="143">
        <f t="shared" si="71"/>
        <v>9.7676678293935932</v>
      </c>
      <c r="DK40" s="143">
        <f t="shared" si="71"/>
        <v>9.7676678293935932</v>
      </c>
      <c r="DL40" s="143">
        <f t="shared" si="71"/>
        <v>9.7676678293935932</v>
      </c>
      <c r="DM40" s="143">
        <f t="shared" si="71"/>
        <v>9.7676678293935932</v>
      </c>
      <c r="DN40" s="143">
        <f t="shared" si="71"/>
        <v>9.7676678293935932</v>
      </c>
      <c r="DO40" s="143">
        <f t="shared" si="71"/>
        <v>9.7676678293935932</v>
      </c>
      <c r="DP40" s="143">
        <f t="shared" si="71"/>
        <v>9.7676678293935932</v>
      </c>
      <c r="DQ40" s="143">
        <f t="shared" si="71"/>
        <v>9.7676678293935932</v>
      </c>
      <c r="DR40" s="143">
        <f t="shared" si="71"/>
        <v>9.7676678293935932</v>
      </c>
      <c r="DS40" s="143">
        <f t="shared" si="71"/>
        <v>9.7676678293935932</v>
      </c>
      <c r="DT40" s="143">
        <f t="shared" si="71"/>
        <v>9.7676678293935932</v>
      </c>
      <c r="DU40" s="143">
        <f t="shared" si="71"/>
        <v>9.7676678293935932</v>
      </c>
      <c r="DV40" s="143">
        <f>O36</f>
        <v>10.556593683558889</v>
      </c>
      <c r="DW40" s="143">
        <f t="shared" ref="DW40:EO40" si="72">DV40</f>
        <v>10.556593683558889</v>
      </c>
      <c r="DX40" s="143">
        <f t="shared" si="72"/>
        <v>10.556593683558889</v>
      </c>
      <c r="DY40" s="143">
        <f t="shared" si="72"/>
        <v>10.556593683558889</v>
      </c>
      <c r="DZ40" s="143">
        <f t="shared" si="72"/>
        <v>10.556593683558889</v>
      </c>
      <c r="EA40" s="143">
        <f t="shared" si="72"/>
        <v>10.556593683558889</v>
      </c>
      <c r="EB40" s="143">
        <f t="shared" si="72"/>
        <v>10.556593683558889</v>
      </c>
      <c r="EC40" s="143">
        <f t="shared" si="72"/>
        <v>10.556593683558889</v>
      </c>
      <c r="ED40" s="143">
        <f t="shared" si="72"/>
        <v>10.556593683558889</v>
      </c>
      <c r="EE40" s="143">
        <f t="shared" si="72"/>
        <v>10.556593683558889</v>
      </c>
      <c r="EF40" s="143">
        <f t="shared" si="72"/>
        <v>10.556593683558889</v>
      </c>
      <c r="EG40" s="143">
        <f t="shared" si="72"/>
        <v>10.556593683558889</v>
      </c>
      <c r="EH40" s="143">
        <f t="shared" si="72"/>
        <v>10.556593683558889</v>
      </c>
      <c r="EI40" s="143">
        <f t="shared" si="72"/>
        <v>10.556593683558889</v>
      </c>
      <c r="EJ40" s="143">
        <f t="shared" si="72"/>
        <v>10.556593683558889</v>
      </c>
      <c r="EK40" s="143">
        <f t="shared" si="72"/>
        <v>10.556593683558889</v>
      </c>
      <c r="EL40" s="143">
        <f t="shared" si="72"/>
        <v>10.556593683558889</v>
      </c>
      <c r="EM40" s="143">
        <f t="shared" si="72"/>
        <v>10.556593683558889</v>
      </c>
      <c r="EN40" s="143">
        <f t="shared" si="72"/>
        <v>10.556593683558889</v>
      </c>
      <c r="EO40" s="143">
        <f t="shared" si="72"/>
        <v>10.556593683558889</v>
      </c>
      <c r="EP40" s="143">
        <f>P36</f>
        <v>11.045159330664685</v>
      </c>
      <c r="EQ40" s="143">
        <f t="shared" ref="EQ40:FI40" si="73">EP40</f>
        <v>11.045159330664685</v>
      </c>
      <c r="ER40" s="143">
        <f t="shared" si="73"/>
        <v>11.045159330664685</v>
      </c>
      <c r="ES40" s="143">
        <f t="shared" si="73"/>
        <v>11.045159330664685</v>
      </c>
      <c r="ET40" s="143">
        <f t="shared" si="73"/>
        <v>11.045159330664685</v>
      </c>
      <c r="EU40" s="143">
        <f t="shared" si="73"/>
        <v>11.045159330664685</v>
      </c>
      <c r="EV40" s="143">
        <f t="shared" si="73"/>
        <v>11.045159330664685</v>
      </c>
      <c r="EW40" s="143">
        <f t="shared" si="73"/>
        <v>11.045159330664685</v>
      </c>
      <c r="EX40" s="143">
        <f t="shared" si="73"/>
        <v>11.045159330664685</v>
      </c>
      <c r="EY40" s="143">
        <f t="shared" si="73"/>
        <v>11.045159330664685</v>
      </c>
      <c r="EZ40" s="143">
        <f t="shared" si="73"/>
        <v>11.045159330664685</v>
      </c>
      <c r="FA40" s="143">
        <f t="shared" si="73"/>
        <v>11.045159330664685</v>
      </c>
      <c r="FB40" s="143">
        <f t="shared" si="73"/>
        <v>11.045159330664685</v>
      </c>
      <c r="FC40" s="143">
        <f t="shared" si="73"/>
        <v>11.045159330664685</v>
      </c>
      <c r="FD40" s="143">
        <f t="shared" si="73"/>
        <v>11.045159330664685</v>
      </c>
      <c r="FE40" s="143">
        <f t="shared" si="73"/>
        <v>11.045159330664685</v>
      </c>
      <c r="FF40" s="143">
        <f t="shared" si="73"/>
        <v>11.045159330664685</v>
      </c>
      <c r="FG40" s="143">
        <f t="shared" si="73"/>
        <v>11.045159330664685</v>
      </c>
      <c r="FH40" s="143">
        <f t="shared" si="73"/>
        <v>11.045159330664685</v>
      </c>
      <c r="FI40" s="143">
        <f t="shared" si="73"/>
        <v>11.045159330664685</v>
      </c>
      <c r="FJ40" s="143">
        <f>Q36</f>
        <v>11.46394528274851</v>
      </c>
      <c r="FK40" s="143">
        <f t="shared" ref="FK40:GC40" si="74">FJ40</f>
        <v>11.46394528274851</v>
      </c>
      <c r="FL40" s="143">
        <f t="shared" si="74"/>
        <v>11.46394528274851</v>
      </c>
      <c r="FM40" s="143">
        <f t="shared" si="74"/>
        <v>11.46394528274851</v>
      </c>
      <c r="FN40" s="143">
        <f t="shared" si="74"/>
        <v>11.46394528274851</v>
      </c>
      <c r="FO40" s="143">
        <f t="shared" si="74"/>
        <v>11.46394528274851</v>
      </c>
      <c r="FP40" s="143">
        <f t="shared" si="74"/>
        <v>11.46394528274851</v>
      </c>
      <c r="FQ40" s="143">
        <f t="shared" si="74"/>
        <v>11.46394528274851</v>
      </c>
      <c r="FR40" s="143">
        <f t="shared" si="74"/>
        <v>11.46394528274851</v>
      </c>
      <c r="FS40" s="143">
        <f t="shared" si="74"/>
        <v>11.46394528274851</v>
      </c>
      <c r="FT40" s="143">
        <f t="shared" si="74"/>
        <v>11.46394528274851</v>
      </c>
      <c r="FU40" s="143">
        <f t="shared" si="74"/>
        <v>11.46394528274851</v>
      </c>
      <c r="FV40" s="143">
        <f t="shared" si="74"/>
        <v>11.46394528274851</v>
      </c>
      <c r="FW40" s="143">
        <f t="shared" si="74"/>
        <v>11.46394528274851</v>
      </c>
      <c r="FX40" s="143">
        <f t="shared" si="74"/>
        <v>11.46394528274851</v>
      </c>
      <c r="FY40" s="143">
        <f t="shared" si="74"/>
        <v>11.46394528274851</v>
      </c>
      <c r="FZ40" s="143">
        <f t="shared" si="74"/>
        <v>11.46394528274851</v>
      </c>
      <c r="GA40" s="143">
        <f t="shared" si="74"/>
        <v>11.46394528274851</v>
      </c>
      <c r="GB40" s="143">
        <f t="shared" si="74"/>
        <v>11.46394528274851</v>
      </c>
      <c r="GC40" s="143">
        <f t="shared" si="74"/>
        <v>11.46394528274851</v>
      </c>
      <c r="GD40" s="143">
        <f>R36</f>
        <v>11.834139020630802</v>
      </c>
      <c r="GE40" s="143">
        <f t="shared" ref="GE40:GM40" si="75">GD40</f>
        <v>11.834139020630802</v>
      </c>
      <c r="GF40" s="143">
        <f t="shared" si="75"/>
        <v>11.834139020630802</v>
      </c>
      <c r="GG40" s="143">
        <f t="shared" si="75"/>
        <v>11.834139020630802</v>
      </c>
      <c r="GH40" s="143">
        <f t="shared" si="75"/>
        <v>11.834139020630802</v>
      </c>
      <c r="GI40" s="143">
        <f t="shared" si="75"/>
        <v>11.834139020630802</v>
      </c>
      <c r="GJ40" s="143">
        <f t="shared" si="75"/>
        <v>11.834139020630802</v>
      </c>
      <c r="GK40" s="143">
        <f t="shared" si="75"/>
        <v>11.834139020630802</v>
      </c>
      <c r="GL40" s="143">
        <f t="shared" si="75"/>
        <v>11.834139020630802</v>
      </c>
      <c r="GM40" s="143">
        <f t="shared" si="75"/>
        <v>11.834139020630802</v>
      </c>
      <c r="GN40" s="143">
        <f>S36</f>
        <v>12.145685495515078</v>
      </c>
      <c r="GO40" s="143">
        <f>GN40</f>
        <v>12.145685495515078</v>
      </c>
      <c r="GP40" s="143">
        <f>GO40</f>
        <v>12.145685495515078</v>
      </c>
      <c r="GQ40" s="143">
        <f>GP40</f>
        <v>12.145685495515078</v>
      </c>
      <c r="GR40" s="143">
        <f>GQ40</f>
        <v>12.145685495515078</v>
      </c>
      <c r="GS40" s="143">
        <f>T36</f>
        <v>12.650566140605816</v>
      </c>
      <c r="GT40" s="143">
        <f>GS40</f>
        <v>12.650566140605816</v>
      </c>
      <c r="GU40" s="143">
        <f>GT40</f>
        <v>12.650566140605816</v>
      </c>
      <c r="GV40" s="143">
        <f>GU40</f>
        <v>12.650566140605816</v>
      </c>
      <c r="GW40" s="143">
        <f>U36</f>
        <v>14.296491218548583</v>
      </c>
    </row>
    <row r="42" spans="1:205" s="149" customFormat="1" ht="13.5" customHeight="1">
      <c r="A42" s="572" t="s">
        <v>645</v>
      </c>
      <c r="B42" s="419"/>
      <c r="C42" s="419"/>
      <c r="D42" s="419"/>
      <c r="E42" s="419"/>
      <c r="F42" s="419"/>
      <c r="G42" s="419"/>
      <c r="H42" s="419"/>
      <c r="I42" s="419"/>
      <c r="J42" s="419"/>
      <c r="K42" s="419"/>
      <c r="L42" s="419"/>
      <c r="M42" s="143"/>
      <c r="N42" s="143"/>
      <c r="O42" s="143"/>
      <c r="P42" s="143"/>
      <c r="Q42" s="143"/>
      <c r="R42" s="143"/>
      <c r="T42" s="143"/>
      <c r="U42" s="143"/>
    </row>
    <row r="43" spans="1:205" ht="15" customHeight="1">
      <c r="A43" s="144"/>
      <c r="B43" s="754" t="s">
        <v>601</v>
      </c>
      <c r="C43" s="754" t="s">
        <v>255</v>
      </c>
      <c r="D43" s="486"/>
      <c r="E43" s="753" t="s">
        <v>602</v>
      </c>
      <c r="F43" s="731"/>
      <c r="G43" s="731"/>
      <c r="H43" s="731"/>
      <c r="I43" s="731"/>
      <c r="J43" s="731"/>
      <c r="K43" s="731"/>
      <c r="L43" s="731"/>
      <c r="M43" s="134"/>
      <c r="N43" s="736" t="s">
        <v>603</v>
      </c>
      <c r="O43" s="736"/>
      <c r="P43" s="736"/>
      <c r="Q43" s="736"/>
      <c r="R43" s="736"/>
      <c r="S43" s="736"/>
      <c r="T43" s="736"/>
      <c r="U43" s="736"/>
      <c r="V43" s="134"/>
      <c r="W43" s="736" t="s">
        <v>162</v>
      </c>
      <c r="X43" s="736"/>
      <c r="Y43" s="736"/>
      <c r="Z43" s="736"/>
      <c r="AA43" s="736"/>
      <c r="AB43" s="736"/>
      <c r="AC43" s="736"/>
      <c r="AD43" s="736"/>
      <c r="AE43" s="486"/>
      <c r="AF43" s="736" t="s">
        <v>206</v>
      </c>
      <c r="AG43" s="736"/>
      <c r="AH43" s="736"/>
      <c r="AI43" s="736"/>
      <c r="AJ43" s="736"/>
      <c r="AK43" s="736"/>
      <c r="AL43" s="736"/>
      <c r="AM43" s="736"/>
      <c r="AN43" s="486"/>
      <c r="AO43" s="731" t="s">
        <v>207</v>
      </c>
      <c r="AP43" s="731"/>
      <c r="AQ43" s="731"/>
      <c r="AR43" s="731"/>
      <c r="AS43" s="731"/>
      <c r="AT43" s="731"/>
      <c r="AU43" s="731"/>
      <c r="AV43" s="731"/>
    </row>
    <row r="44" spans="1:205">
      <c r="A44" s="53"/>
      <c r="B44" s="755"/>
      <c r="C44" s="755"/>
      <c r="D44" s="6"/>
      <c r="E44" s="6" t="s">
        <v>158</v>
      </c>
      <c r="F44" s="6" t="s">
        <v>159</v>
      </c>
      <c r="G44" s="6" t="s">
        <v>160</v>
      </c>
      <c r="H44" s="6" t="s">
        <v>161</v>
      </c>
      <c r="I44" s="51" t="s">
        <v>33</v>
      </c>
      <c r="J44" s="51" t="s">
        <v>51</v>
      </c>
      <c r="K44" s="51" t="s">
        <v>52</v>
      </c>
      <c r="L44" s="51" t="s">
        <v>28</v>
      </c>
      <c r="M44" s="5"/>
      <c r="N44" s="6" t="s">
        <v>158</v>
      </c>
      <c r="O44" s="6" t="s">
        <v>159</v>
      </c>
      <c r="P44" s="6" t="s">
        <v>160</v>
      </c>
      <c r="Q44" s="6" t="s">
        <v>161</v>
      </c>
      <c r="R44" s="51" t="s">
        <v>33</v>
      </c>
      <c r="S44" s="51" t="s">
        <v>51</v>
      </c>
      <c r="T44" s="51" t="s">
        <v>52</v>
      </c>
      <c r="U44" s="51" t="s">
        <v>28</v>
      </c>
      <c r="V44" s="5"/>
      <c r="W44" s="6" t="s">
        <v>158</v>
      </c>
      <c r="X44" s="6" t="s">
        <v>159</v>
      </c>
      <c r="Y44" s="6" t="s">
        <v>160</v>
      </c>
      <c r="Z44" s="6" t="s">
        <v>161</v>
      </c>
      <c r="AA44" s="51" t="s">
        <v>33</v>
      </c>
      <c r="AB44" s="51" t="s">
        <v>51</v>
      </c>
      <c r="AC44" s="51" t="s">
        <v>52</v>
      </c>
      <c r="AD44" s="51" t="s">
        <v>28</v>
      </c>
      <c r="AF44" s="6" t="s">
        <v>158</v>
      </c>
      <c r="AG44" s="6" t="s">
        <v>159</v>
      </c>
      <c r="AH44" s="6" t="s">
        <v>160</v>
      </c>
      <c r="AI44" s="6" t="s">
        <v>161</v>
      </c>
      <c r="AJ44" s="51" t="s">
        <v>33</v>
      </c>
      <c r="AK44" s="51" t="s">
        <v>51</v>
      </c>
      <c r="AL44" s="51" t="s">
        <v>52</v>
      </c>
      <c r="AM44" s="51" t="s">
        <v>28</v>
      </c>
      <c r="AN44" s="6"/>
      <c r="AO44" s="6" t="s">
        <v>158</v>
      </c>
      <c r="AP44" s="6" t="s">
        <v>159</v>
      </c>
      <c r="AQ44" s="6" t="s">
        <v>160</v>
      </c>
      <c r="AR44" s="6" t="s">
        <v>161</v>
      </c>
      <c r="AS44" s="51" t="s">
        <v>33</v>
      </c>
      <c r="AT44" s="51" t="s">
        <v>51</v>
      </c>
      <c r="AU44" s="51" t="s">
        <v>52</v>
      </c>
      <c r="AV44" s="51" t="s">
        <v>28</v>
      </c>
      <c r="AX44" s="103"/>
    </row>
    <row r="45" spans="1:205" s="149" customFormat="1" ht="10.5" customHeight="1">
      <c r="A45" s="259" t="s">
        <v>48</v>
      </c>
      <c r="B45" s="157">
        <f>B49</f>
        <v>0.1010144985079674</v>
      </c>
      <c r="C45" s="158">
        <f>C49</f>
        <v>0.99988642344584178</v>
      </c>
      <c r="D45" s="556"/>
      <c r="E45" s="143">
        <f t="shared" ref="E45:L45" si="76">LN(AF45-AO45)</f>
        <v>9.9491557054389705</v>
      </c>
      <c r="F45" s="143">
        <f t="shared" si="76"/>
        <v>10.662953699549799</v>
      </c>
      <c r="G45" s="143">
        <f t="shared" si="76"/>
        <v>11.095007136392253</v>
      </c>
      <c r="H45" s="143">
        <f t="shared" si="76"/>
        <v>11.468601094284704</v>
      </c>
      <c r="I45" s="143">
        <f t="shared" si="76"/>
        <v>11.796552526968695</v>
      </c>
      <c r="J45" s="143">
        <f t="shared" si="76"/>
        <v>12.079783081735684</v>
      </c>
      <c r="K45" s="143">
        <f t="shared" si="76"/>
        <v>12.540627258972483</v>
      </c>
      <c r="L45" s="143">
        <f t="shared" si="76"/>
        <v>14.087688784505032</v>
      </c>
      <c r="M45" s="46"/>
      <c r="N45" s="143">
        <f t="shared" ref="N45:U45" si="77">LN(AF45)</f>
        <v>9.9683385248557439</v>
      </c>
      <c r="O45" s="143">
        <f t="shared" si="77"/>
        <v>10.757264379021041</v>
      </c>
      <c r="P45" s="143">
        <f t="shared" si="77"/>
        <v>11.245830026126836</v>
      </c>
      <c r="Q45" s="143">
        <f t="shared" si="77"/>
        <v>11.66461597821066</v>
      </c>
      <c r="R45" s="143">
        <f t="shared" si="77"/>
        <v>12.034809716092953</v>
      </c>
      <c r="S45" s="143">
        <f t="shared" si="77"/>
        <v>12.346356190977231</v>
      </c>
      <c r="T45" s="143">
        <f t="shared" si="77"/>
        <v>12.851236836067967</v>
      </c>
      <c r="U45" s="143">
        <f t="shared" si="77"/>
        <v>14.497161914010736</v>
      </c>
      <c r="V45" s="556"/>
      <c r="W45" s="573">
        <f>W6</f>
        <v>1.9</v>
      </c>
      <c r="X45" s="573">
        <f t="shared" ref="X45:AD45" si="78">X6</f>
        <v>9</v>
      </c>
      <c r="Y45" s="573">
        <f t="shared" si="78"/>
        <v>14</v>
      </c>
      <c r="Z45" s="573">
        <f t="shared" si="78"/>
        <v>17.8</v>
      </c>
      <c r="AA45" s="573">
        <f t="shared" si="78"/>
        <v>21.2</v>
      </c>
      <c r="AB45" s="573">
        <f t="shared" si="78"/>
        <v>23.4</v>
      </c>
      <c r="AC45" s="573">
        <f t="shared" si="78"/>
        <v>26.7</v>
      </c>
      <c r="AD45" s="573">
        <f t="shared" si="78"/>
        <v>33.6</v>
      </c>
      <c r="AE45" s="556"/>
      <c r="AF45" s="579">
        <f>AF$6*1.1</f>
        <v>21340</v>
      </c>
      <c r="AG45" s="579">
        <f t="shared" ref="AG45:AM45" si="79">AG$6*1.1</f>
        <v>46970.000000000007</v>
      </c>
      <c r="AH45" s="579">
        <f t="shared" si="79"/>
        <v>76560</v>
      </c>
      <c r="AI45" s="579">
        <f t="shared" si="79"/>
        <v>116380.00000000001</v>
      </c>
      <c r="AJ45" s="579">
        <f t="shared" si="79"/>
        <v>168520</v>
      </c>
      <c r="AK45" s="579">
        <f t="shared" si="79"/>
        <v>230120.00000000003</v>
      </c>
      <c r="AL45" s="579">
        <f t="shared" si="79"/>
        <v>381260.00000000006</v>
      </c>
      <c r="AM45" s="579">
        <f t="shared" si="79"/>
        <v>1977140.0000000002</v>
      </c>
      <c r="AN45" s="556"/>
      <c r="AO45" s="60">
        <f t="shared" ref="AO45:AV45" si="80">W45*AF45/100</f>
        <v>405.46</v>
      </c>
      <c r="AP45" s="60">
        <f t="shared" si="80"/>
        <v>4227.3</v>
      </c>
      <c r="AQ45" s="60">
        <f t="shared" si="80"/>
        <v>10718.4</v>
      </c>
      <c r="AR45" s="60">
        <f t="shared" si="80"/>
        <v>20715.640000000003</v>
      </c>
      <c r="AS45" s="60">
        <f t="shared" si="80"/>
        <v>35726.239999999998</v>
      </c>
      <c r="AT45" s="60">
        <f t="shared" si="80"/>
        <v>53848.08</v>
      </c>
      <c r="AU45" s="60">
        <f t="shared" si="80"/>
        <v>101796.42000000001</v>
      </c>
      <c r="AV45" s="60">
        <f t="shared" si="80"/>
        <v>664319.04</v>
      </c>
    </row>
    <row r="46" spans="1:205" s="149" customFormat="1" ht="9" customHeight="1">
      <c r="A46" s="259"/>
      <c r="E46" s="143"/>
      <c r="F46" s="143"/>
      <c r="G46" s="143"/>
      <c r="H46" s="143"/>
      <c r="I46" s="143"/>
      <c r="J46" s="143"/>
      <c r="K46" s="143"/>
      <c r="L46" s="143"/>
      <c r="M46" s="143"/>
      <c r="N46" s="143"/>
      <c r="O46" s="143"/>
      <c r="P46" s="143"/>
      <c r="Q46" s="143"/>
      <c r="R46" s="143"/>
      <c r="S46" s="143"/>
      <c r="T46" s="143"/>
      <c r="U46" s="143"/>
    </row>
    <row r="47" spans="1:205">
      <c r="A47" s="256"/>
      <c r="E47" s="745" t="s">
        <v>158</v>
      </c>
      <c r="F47" s="745"/>
      <c r="G47" s="745"/>
      <c r="H47" s="745"/>
      <c r="I47" s="745"/>
      <c r="J47" s="745"/>
      <c r="K47" s="745"/>
      <c r="L47" s="745"/>
      <c r="M47" s="745"/>
      <c r="N47" s="745"/>
      <c r="O47" s="745"/>
      <c r="P47" s="745"/>
      <c r="Q47" s="745"/>
      <c r="R47" s="745"/>
      <c r="S47" s="745"/>
      <c r="T47" s="745"/>
      <c r="U47" s="745"/>
      <c r="V47" s="745"/>
      <c r="W47" s="745"/>
      <c r="X47" s="745"/>
      <c r="Y47" s="745" t="s">
        <v>159</v>
      </c>
      <c r="Z47" s="745"/>
      <c r="AA47" s="745"/>
      <c r="AB47" s="745"/>
      <c r="AC47" s="745"/>
      <c r="AD47" s="745"/>
      <c r="AE47" s="745"/>
      <c r="AF47" s="745"/>
      <c r="AG47" s="745"/>
      <c r="AH47" s="745"/>
      <c r="AI47" s="745"/>
      <c r="AJ47" s="745"/>
      <c r="AK47" s="745"/>
      <c r="AL47" s="745"/>
      <c r="AM47" s="745"/>
      <c r="AN47" s="745"/>
      <c r="AO47" s="745"/>
      <c r="AP47" s="745"/>
      <c r="AQ47" s="745"/>
      <c r="AR47" s="745"/>
      <c r="AS47" s="745" t="s">
        <v>160</v>
      </c>
      <c r="AT47" s="745"/>
      <c r="AU47" s="745"/>
      <c r="AV47" s="745"/>
      <c r="AW47" s="745"/>
      <c r="AX47" s="745"/>
      <c r="AY47" s="745"/>
      <c r="AZ47" s="745"/>
      <c r="BA47" s="745"/>
      <c r="BB47" s="745"/>
      <c r="BC47" s="745"/>
      <c r="BD47" s="745"/>
      <c r="BE47" s="745"/>
      <c r="BF47" s="745"/>
      <c r="BG47" s="745"/>
      <c r="BH47" s="745"/>
      <c r="BI47" s="745"/>
      <c r="BJ47" s="745"/>
      <c r="BK47" s="745"/>
      <c r="BL47" s="745"/>
      <c r="BM47" s="745" t="s">
        <v>161</v>
      </c>
      <c r="BN47" s="745"/>
      <c r="BO47" s="745"/>
      <c r="BP47" s="745"/>
      <c r="BQ47" s="745"/>
      <c r="BR47" s="745"/>
      <c r="BS47" s="745"/>
      <c r="BT47" s="745"/>
      <c r="BU47" s="745"/>
      <c r="BV47" s="745"/>
      <c r="BW47" s="745"/>
      <c r="BX47" s="745"/>
      <c r="BY47" s="745"/>
      <c r="BZ47" s="745"/>
      <c r="CA47" s="745"/>
      <c r="CB47" s="745"/>
      <c r="CC47" s="745"/>
      <c r="CD47" s="745"/>
      <c r="CE47" s="745"/>
      <c r="CF47" s="745"/>
      <c r="CG47" s="746" t="s">
        <v>33</v>
      </c>
      <c r="CH47" s="746"/>
      <c r="CI47" s="746"/>
      <c r="CJ47" s="746"/>
      <c r="CK47" s="746"/>
      <c r="CL47" s="746"/>
      <c r="CM47" s="746"/>
      <c r="CN47" s="746"/>
      <c r="CO47" s="746"/>
      <c r="CP47" s="746"/>
      <c r="CQ47" s="746" t="s">
        <v>51</v>
      </c>
      <c r="CR47" s="746"/>
      <c r="CS47" s="746"/>
      <c r="CT47" s="746"/>
      <c r="CU47" s="746"/>
      <c r="CV47" s="746" t="s">
        <v>52</v>
      </c>
      <c r="CW47" s="746"/>
      <c r="CX47" s="746"/>
      <c r="CY47" s="746"/>
      <c r="CZ47" s="493" t="s">
        <v>28</v>
      </c>
      <c r="DB47" s="745" t="s">
        <v>158</v>
      </c>
      <c r="DC47" s="745"/>
      <c r="DD47" s="745"/>
      <c r="DE47" s="745"/>
      <c r="DF47" s="745"/>
      <c r="DG47" s="745"/>
      <c r="DH47" s="745"/>
      <c r="DI47" s="745"/>
      <c r="DJ47" s="745"/>
      <c r="DK47" s="745"/>
      <c r="DL47" s="745"/>
      <c r="DM47" s="745"/>
      <c r="DN47" s="745"/>
      <c r="DO47" s="745"/>
      <c r="DP47" s="745"/>
      <c r="DQ47" s="745"/>
      <c r="DR47" s="745"/>
      <c r="DS47" s="745"/>
      <c r="DT47" s="745"/>
      <c r="DU47" s="745"/>
      <c r="DV47" s="745" t="s">
        <v>159</v>
      </c>
      <c r="DW47" s="745"/>
      <c r="DX47" s="745"/>
      <c r="DY47" s="745"/>
      <c r="DZ47" s="745"/>
      <c r="EA47" s="745"/>
      <c r="EB47" s="745"/>
      <c r="EC47" s="745"/>
      <c r="ED47" s="745"/>
      <c r="EE47" s="745"/>
      <c r="EF47" s="745"/>
      <c r="EG47" s="745"/>
      <c r="EH47" s="745"/>
      <c r="EI47" s="745"/>
      <c r="EJ47" s="745"/>
      <c r="EK47" s="745"/>
      <c r="EL47" s="745"/>
      <c r="EM47" s="745"/>
      <c r="EN47" s="745"/>
      <c r="EO47" s="745"/>
      <c r="EP47" s="745" t="s">
        <v>160</v>
      </c>
      <c r="EQ47" s="745"/>
      <c r="ER47" s="745"/>
      <c r="ES47" s="745"/>
      <c r="ET47" s="745"/>
      <c r="EU47" s="745"/>
      <c r="EV47" s="745"/>
      <c r="EW47" s="745"/>
      <c r="EX47" s="745"/>
      <c r="EY47" s="745"/>
      <c r="EZ47" s="745"/>
      <c r="FA47" s="745"/>
      <c r="FB47" s="745"/>
      <c r="FC47" s="745"/>
      <c r="FD47" s="745"/>
      <c r="FE47" s="745"/>
      <c r="FF47" s="745"/>
      <c r="FG47" s="745"/>
      <c r="FH47" s="745"/>
      <c r="FI47" s="745"/>
      <c r="FJ47" s="745" t="s">
        <v>161</v>
      </c>
      <c r="FK47" s="745"/>
      <c r="FL47" s="745"/>
      <c r="FM47" s="745"/>
      <c r="FN47" s="745"/>
      <c r="FO47" s="745"/>
      <c r="FP47" s="745"/>
      <c r="FQ47" s="745"/>
      <c r="FR47" s="745"/>
      <c r="FS47" s="745"/>
      <c r="FT47" s="745"/>
      <c r="FU47" s="745"/>
      <c r="FV47" s="745"/>
      <c r="FW47" s="745"/>
      <c r="FX47" s="745"/>
      <c r="FY47" s="745"/>
      <c r="FZ47" s="745"/>
      <c r="GA47" s="745"/>
      <c r="GB47" s="745"/>
      <c r="GC47" s="745"/>
      <c r="GD47" s="746" t="s">
        <v>33</v>
      </c>
      <c r="GE47" s="746"/>
      <c r="GF47" s="746"/>
      <c r="GG47" s="746"/>
      <c r="GH47" s="746"/>
      <c r="GI47" s="746"/>
      <c r="GJ47" s="746"/>
      <c r="GK47" s="746"/>
      <c r="GL47" s="746"/>
      <c r="GM47" s="746"/>
      <c r="GN47" s="746" t="s">
        <v>51</v>
      </c>
      <c r="GO47" s="746"/>
      <c r="GP47" s="746"/>
      <c r="GQ47" s="746"/>
      <c r="GR47" s="746"/>
      <c r="GS47" s="746" t="s">
        <v>52</v>
      </c>
      <c r="GT47" s="746"/>
      <c r="GU47" s="746"/>
      <c r="GV47" s="746"/>
      <c r="GW47" s="493" t="s">
        <v>28</v>
      </c>
    </row>
    <row r="48" spans="1:205" s="46" customFormat="1">
      <c r="A48" s="15"/>
      <c r="E48" s="255">
        <v>1</v>
      </c>
      <c r="F48" s="255">
        <f t="shared" ref="F48:AK48" si="81">E48+1</f>
        <v>2</v>
      </c>
      <c r="G48" s="255">
        <f t="shared" si="81"/>
        <v>3</v>
      </c>
      <c r="H48" s="255">
        <f t="shared" si="81"/>
        <v>4</v>
      </c>
      <c r="I48" s="255">
        <f t="shared" si="81"/>
        <v>5</v>
      </c>
      <c r="J48" s="255">
        <f t="shared" si="81"/>
        <v>6</v>
      </c>
      <c r="K48" s="255">
        <f t="shared" si="81"/>
        <v>7</v>
      </c>
      <c r="L48" s="255">
        <f t="shared" si="81"/>
        <v>8</v>
      </c>
      <c r="M48" s="255">
        <f t="shared" si="81"/>
        <v>9</v>
      </c>
      <c r="N48" s="255">
        <f t="shared" si="81"/>
        <v>10</v>
      </c>
      <c r="O48" s="255">
        <f t="shared" si="81"/>
        <v>11</v>
      </c>
      <c r="P48" s="255">
        <f t="shared" si="81"/>
        <v>12</v>
      </c>
      <c r="Q48" s="255">
        <f t="shared" si="81"/>
        <v>13</v>
      </c>
      <c r="R48" s="255">
        <f t="shared" si="81"/>
        <v>14</v>
      </c>
      <c r="S48" s="255">
        <f t="shared" si="81"/>
        <v>15</v>
      </c>
      <c r="T48" s="255">
        <f t="shared" si="81"/>
        <v>16</v>
      </c>
      <c r="U48" s="255">
        <f t="shared" si="81"/>
        <v>17</v>
      </c>
      <c r="V48" s="255">
        <f t="shared" si="81"/>
        <v>18</v>
      </c>
      <c r="W48" s="255">
        <f t="shared" si="81"/>
        <v>19</v>
      </c>
      <c r="X48" s="255">
        <f t="shared" si="81"/>
        <v>20</v>
      </c>
      <c r="Y48" s="255">
        <f t="shared" si="81"/>
        <v>21</v>
      </c>
      <c r="Z48" s="255">
        <f t="shared" si="81"/>
        <v>22</v>
      </c>
      <c r="AA48" s="255">
        <f t="shared" si="81"/>
        <v>23</v>
      </c>
      <c r="AB48" s="255">
        <f t="shared" si="81"/>
        <v>24</v>
      </c>
      <c r="AC48" s="255">
        <f t="shared" si="81"/>
        <v>25</v>
      </c>
      <c r="AD48" s="255">
        <f t="shared" si="81"/>
        <v>26</v>
      </c>
      <c r="AE48" s="255">
        <f t="shared" si="81"/>
        <v>27</v>
      </c>
      <c r="AF48" s="255">
        <f t="shared" si="81"/>
        <v>28</v>
      </c>
      <c r="AG48" s="255">
        <f t="shared" si="81"/>
        <v>29</v>
      </c>
      <c r="AH48" s="255">
        <f t="shared" si="81"/>
        <v>30</v>
      </c>
      <c r="AI48" s="255">
        <f t="shared" si="81"/>
        <v>31</v>
      </c>
      <c r="AJ48" s="255">
        <f t="shared" si="81"/>
        <v>32</v>
      </c>
      <c r="AK48" s="255">
        <f t="shared" si="81"/>
        <v>33</v>
      </c>
      <c r="AL48" s="255">
        <f t="shared" ref="AL48:BQ48" si="82">AK48+1</f>
        <v>34</v>
      </c>
      <c r="AM48" s="255">
        <f t="shared" si="82"/>
        <v>35</v>
      </c>
      <c r="AN48" s="255">
        <f t="shared" si="82"/>
        <v>36</v>
      </c>
      <c r="AO48" s="255">
        <f t="shared" si="82"/>
        <v>37</v>
      </c>
      <c r="AP48" s="255">
        <f t="shared" si="82"/>
        <v>38</v>
      </c>
      <c r="AQ48" s="255">
        <f t="shared" si="82"/>
        <v>39</v>
      </c>
      <c r="AR48" s="255">
        <f t="shared" si="82"/>
        <v>40</v>
      </c>
      <c r="AS48" s="255">
        <f t="shared" si="82"/>
        <v>41</v>
      </c>
      <c r="AT48" s="255">
        <f t="shared" si="82"/>
        <v>42</v>
      </c>
      <c r="AU48" s="255">
        <f t="shared" si="82"/>
        <v>43</v>
      </c>
      <c r="AV48" s="255">
        <f t="shared" si="82"/>
        <v>44</v>
      </c>
      <c r="AW48" s="255">
        <f t="shared" si="82"/>
        <v>45</v>
      </c>
      <c r="AX48" s="255">
        <f t="shared" si="82"/>
        <v>46</v>
      </c>
      <c r="AY48" s="255">
        <f t="shared" si="82"/>
        <v>47</v>
      </c>
      <c r="AZ48" s="255">
        <f t="shared" si="82"/>
        <v>48</v>
      </c>
      <c r="BA48" s="255">
        <f t="shared" si="82"/>
        <v>49</v>
      </c>
      <c r="BB48" s="255">
        <f t="shared" si="82"/>
        <v>50</v>
      </c>
      <c r="BC48" s="255">
        <f t="shared" si="82"/>
        <v>51</v>
      </c>
      <c r="BD48" s="255">
        <f t="shared" si="82"/>
        <v>52</v>
      </c>
      <c r="BE48" s="255">
        <f t="shared" si="82"/>
        <v>53</v>
      </c>
      <c r="BF48" s="255">
        <f t="shared" si="82"/>
        <v>54</v>
      </c>
      <c r="BG48" s="255">
        <f t="shared" si="82"/>
        <v>55</v>
      </c>
      <c r="BH48" s="255">
        <f t="shared" si="82"/>
        <v>56</v>
      </c>
      <c r="BI48" s="255">
        <f t="shared" si="82"/>
        <v>57</v>
      </c>
      <c r="BJ48" s="255">
        <f t="shared" si="82"/>
        <v>58</v>
      </c>
      <c r="BK48" s="255">
        <f t="shared" si="82"/>
        <v>59</v>
      </c>
      <c r="BL48" s="255">
        <f t="shared" si="82"/>
        <v>60</v>
      </c>
      <c r="BM48" s="255">
        <f t="shared" si="82"/>
        <v>61</v>
      </c>
      <c r="BN48" s="255">
        <f t="shared" si="82"/>
        <v>62</v>
      </c>
      <c r="BO48" s="255">
        <f t="shared" si="82"/>
        <v>63</v>
      </c>
      <c r="BP48" s="255">
        <f t="shared" si="82"/>
        <v>64</v>
      </c>
      <c r="BQ48" s="255">
        <f t="shared" si="82"/>
        <v>65</v>
      </c>
      <c r="BR48" s="255">
        <f t="shared" ref="BR48:CZ48" si="83">BQ48+1</f>
        <v>66</v>
      </c>
      <c r="BS48" s="255">
        <f t="shared" si="83"/>
        <v>67</v>
      </c>
      <c r="BT48" s="255">
        <f t="shared" si="83"/>
        <v>68</v>
      </c>
      <c r="BU48" s="255">
        <f t="shared" si="83"/>
        <v>69</v>
      </c>
      <c r="BV48" s="255">
        <f t="shared" si="83"/>
        <v>70</v>
      </c>
      <c r="BW48" s="255">
        <f t="shared" si="83"/>
        <v>71</v>
      </c>
      <c r="BX48" s="255">
        <f t="shared" si="83"/>
        <v>72</v>
      </c>
      <c r="BY48" s="255">
        <f t="shared" si="83"/>
        <v>73</v>
      </c>
      <c r="BZ48" s="255">
        <f t="shared" si="83"/>
        <v>74</v>
      </c>
      <c r="CA48" s="255">
        <f t="shared" si="83"/>
        <v>75</v>
      </c>
      <c r="CB48" s="255">
        <f t="shared" si="83"/>
        <v>76</v>
      </c>
      <c r="CC48" s="255">
        <f t="shared" si="83"/>
        <v>77</v>
      </c>
      <c r="CD48" s="255">
        <f t="shared" si="83"/>
        <v>78</v>
      </c>
      <c r="CE48" s="255">
        <f t="shared" si="83"/>
        <v>79</v>
      </c>
      <c r="CF48" s="255">
        <f t="shared" si="83"/>
        <v>80</v>
      </c>
      <c r="CG48" s="255">
        <f t="shared" si="83"/>
        <v>81</v>
      </c>
      <c r="CH48" s="255">
        <f t="shared" si="83"/>
        <v>82</v>
      </c>
      <c r="CI48" s="255">
        <f t="shared" si="83"/>
        <v>83</v>
      </c>
      <c r="CJ48" s="255">
        <f t="shared" si="83"/>
        <v>84</v>
      </c>
      <c r="CK48" s="255">
        <f t="shared" si="83"/>
        <v>85</v>
      </c>
      <c r="CL48" s="255">
        <f t="shared" si="83"/>
        <v>86</v>
      </c>
      <c r="CM48" s="255">
        <f t="shared" si="83"/>
        <v>87</v>
      </c>
      <c r="CN48" s="255">
        <f t="shared" si="83"/>
        <v>88</v>
      </c>
      <c r="CO48" s="255">
        <f t="shared" si="83"/>
        <v>89</v>
      </c>
      <c r="CP48" s="255">
        <f t="shared" si="83"/>
        <v>90</v>
      </c>
      <c r="CQ48" s="255">
        <f t="shared" si="83"/>
        <v>91</v>
      </c>
      <c r="CR48" s="255">
        <f t="shared" si="83"/>
        <v>92</v>
      </c>
      <c r="CS48" s="255">
        <f t="shared" si="83"/>
        <v>93</v>
      </c>
      <c r="CT48" s="255">
        <f t="shared" si="83"/>
        <v>94</v>
      </c>
      <c r="CU48" s="255">
        <f t="shared" si="83"/>
        <v>95</v>
      </c>
      <c r="CV48" s="255">
        <f t="shared" si="83"/>
        <v>96</v>
      </c>
      <c r="CW48" s="255">
        <f t="shared" si="83"/>
        <v>97</v>
      </c>
      <c r="CX48" s="255">
        <f t="shared" si="83"/>
        <v>98</v>
      </c>
      <c r="CY48" s="255">
        <f t="shared" si="83"/>
        <v>99</v>
      </c>
      <c r="CZ48" s="255">
        <f t="shared" si="83"/>
        <v>100</v>
      </c>
      <c r="DB48" s="255">
        <v>1</v>
      </c>
      <c r="DC48" s="255">
        <f t="shared" ref="DC48:EH48" si="84">DB48+1</f>
        <v>2</v>
      </c>
      <c r="DD48" s="255">
        <f t="shared" si="84"/>
        <v>3</v>
      </c>
      <c r="DE48" s="255">
        <f t="shared" si="84"/>
        <v>4</v>
      </c>
      <c r="DF48" s="255">
        <f t="shared" si="84"/>
        <v>5</v>
      </c>
      <c r="DG48" s="255">
        <f t="shared" si="84"/>
        <v>6</v>
      </c>
      <c r="DH48" s="255">
        <f t="shared" si="84"/>
        <v>7</v>
      </c>
      <c r="DI48" s="255">
        <f t="shared" si="84"/>
        <v>8</v>
      </c>
      <c r="DJ48" s="255">
        <f t="shared" si="84"/>
        <v>9</v>
      </c>
      <c r="DK48" s="255">
        <f t="shared" si="84"/>
        <v>10</v>
      </c>
      <c r="DL48" s="255">
        <f t="shared" si="84"/>
        <v>11</v>
      </c>
      <c r="DM48" s="255">
        <f t="shared" si="84"/>
        <v>12</v>
      </c>
      <c r="DN48" s="255">
        <f t="shared" si="84"/>
        <v>13</v>
      </c>
      <c r="DO48" s="255">
        <f t="shared" si="84"/>
        <v>14</v>
      </c>
      <c r="DP48" s="255">
        <f t="shared" si="84"/>
        <v>15</v>
      </c>
      <c r="DQ48" s="255">
        <f t="shared" si="84"/>
        <v>16</v>
      </c>
      <c r="DR48" s="255">
        <f t="shared" si="84"/>
        <v>17</v>
      </c>
      <c r="DS48" s="255">
        <f t="shared" si="84"/>
        <v>18</v>
      </c>
      <c r="DT48" s="255">
        <f t="shared" si="84"/>
        <v>19</v>
      </c>
      <c r="DU48" s="255">
        <f t="shared" si="84"/>
        <v>20</v>
      </c>
      <c r="DV48" s="255">
        <f t="shared" si="84"/>
        <v>21</v>
      </c>
      <c r="DW48" s="255">
        <f t="shared" si="84"/>
        <v>22</v>
      </c>
      <c r="DX48" s="255">
        <f t="shared" si="84"/>
        <v>23</v>
      </c>
      <c r="DY48" s="255">
        <f t="shared" si="84"/>
        <v>24</v>
      </c>
      <c r="DZ48" s="255">
        <f t="shared" si="84"/>
        <v>25</v>
      </c>
      <c r="EA48" s="255">
        <f t="shared" si="84"/>
        <v>26</v>
      </c>
      <c r="EB48" s="255">
        <f t="shared" si="84"/>
        <v>27</v>
      </c>
      <c r="EC48" s="255">
        <f t="shared" si="84"/>
        <v>28</v>
      </c>
      <c r="ED48" s="255">
        <f t="shared" si="84"/>
        <v>29</v>
      </c>
      <c r="EE48" s="255">
        <f t="shared" si="84"/>
        <v>30</v>
      </c>
      <c r="EF48" s="255">
        <f t="shared" si="84"/>
        <v>31</v>
      </c>
      <c r="EG48" s="255">
        <f t="shared" si="84"/>
        <v>32</v>
      </c>
      <c r="EH48" s="255">
        <f t="shared" si="84"/>
        <v>33</v>
      </c>
      <c r="EI48" s="255">
        <f t="shared" ref="EI48:FN48" si="85">EH48+1</f>
        <v>34</v>
      </c>
      <c r="EJ48" s="255">
        <f t="shared" si="85"/>
        <v>35</v>
      </c>
      <c r="EK48" s="255">
        <f t="shared" si="85"/>
        <v>36</v>
      </c>
      <c r="EL48" s="255">
        <f t="shared" si="85"/>
        <v>37</v>
      </c>
      <c r="EM48" s="255">
        <f t="shared" si="85"/>
        <v>38</v>
      </c>
      <c r="EN48" s="255">
        <f t="shared" si="85"/>
        <v>39</v>
      </c>
      <c r="EO48" s="255">
        <f t="shared" si="85"/>
        <v>40</v>
      </c>
      <c r="EP48" s="255">
        <f t="shared" si="85"/>
        <v>41</v>
      </c>
      <c r="EQ48" s="255">
        <f t="shared" si="85"/>
        <v>42</v>
      </c>
      <c r="ER48" s="255">
        <f t="shared" si="85"/>
        <v>43</v>
      </c>
      <c r="ES48" s="255">
        <f t="shared" si="85"/>
        <v>44</v>
      </c>
      <c r="ET48" s="255">
        <f t="shared" si="85"/>
        <v>45</v>
      </c>
      <c r="EU48" s="255">
        <f t="shared" si="85"/>
        <v>46</v>
      </c>
      <c r="EV48" s="255">
        <f t="shared" si="85"/>
        <v>47</v>
      </c>
      <c r="EW48" s="255">
        <f t="shared" si="85"/>
        <v>48</v>
      </c>
      <c r="EX48" s="255">
        <f t="shared" si="85"/>
        <v>49</v>
      </c>
      <c r="EY48" s="255">
        <f t="shared" si="85"/>
        <v>50</v>
      </c>
      <c r="EZ48" s="255">
        <f t="shared" si="85"/>
        <v>51</v>
      </c>
      <c r="FA48" s="255">
        <f t="shared" si="85"/>
        <v>52</v>
      </c>
      <c r="FB48" s="255">
        <f t="shared" si="85"/>
        <v>53</v>
      </c>
      <c r="FC48" s="255">
        <f t="shared" si="85"/>
        <v>54</v>
      </c>
      <c r="FD48" s="255">
        <f t="shared" si="85"/>
        <v>55</v>
      </c>
      <c r="FE48" s="255">
        <f t="shared" si="85"/>
        <v>56</v>
      </c>
      <c r="FF48" s="255">
        <f t="shared" si="85"/>
        <v>57</v>
      </c>
      <c r="FG48" s="255">
        <f t="shared" si="85"/>
        <v>58</v>
      </c>
      <c r="FH48" s="255">
        <f t="shared" si="85"/>
        <v>59</v>
      </c>
      <c r="FI48" s="255">
        <f t="shared" si="85"/>
        <v>60</v>
      </c>
      <c r="FJ48" s="255">
        <f t="shared" si="85"/>
        <v>61</v>
      </c>
      <c r="FK48" s="255">
        <f t="shared" si="85"/>
        <v>62</v>
      </c>
      <c r="FL48" s="255">
        <f t="shared" si="85"/>
        <v>63</v>
      </c>
      <c r="FM48" s="255">
        <f t="shared" si="85"/>
        <v>64</v>
      </c>
      <c r="FN48" s="255">
        <f t="shared" si="85"/>
        <v>65</v>
      </c>
      <c r="FO48" s="255">
        <f t="shared" ref="FO48:GW48" si="86">FN48+1</f>
        <v>66</v>
      </c>
      <c r="FP48" s="255">
        <f t="shared" si="86"/>
        <v>67</v>
      </c>
      <c r="FQ48" s="255">
        <f t="shared" si="86"/>
        <v>68</v>
      </c>
      <c r="FR48" s="255">
        <f t="shared" si="86"/>
        <v>69</v>
      </c>
      <c r="FS48" s="255">
        <f t="shared" si="86"/>
        <v>70</v>
      </c>
      <c r="FT48" s="255">
        <f t="shared" si="86"/>
        <v>71</v>
      </c>
      <c r="FU48" s="255">
        <f t="shared" si="86"/>
        <v>72</v>
      </c>
      <c r="FV48" s="255">
        <f t="shared" si="86"/>
        <v>73</v>
      </c>
      <c r="FW48" s="255">
        <f t="shared" si="86"/>
        <v>74</v>
      </c>
      <c r="FX48" s="255">
        <f t="shared" si="86"/>
        <v>75</v>
      </c>
      <c r="FY48" s="255">
        <f t="shared" si="86"/>
        <v>76</v>
      </c>
      <c r="FZ48" s="255">
        <f t="shared" si="86"/>
        <v>77</v>
      </c>
      <c r="GA48" s="255">
        <f t="shared" si="86"/>
        <v>78</v>
      </c>
      <c r="GB48" s="255">
        <f t="shared" si="86"/>
        <v>79</v>
      </c>
      <c r="GC48" s="255">
        <f t="shared" si="86"/>
        <v>80</v>
      </c>
      <c r="GD48" s="255">
        <f t="shared" si="86"/>
        <v>81</v>
      </c>
      <c r="GE48" s="255">
        <f t="shared" si="86"/>
        <v>82</v>
      </c>
      <c r="GF48" s="255">
        <f t="shared" si="86"/>
        <v>83</v>
      </c>
      <c r="GG48" s="255">
        <f t="shared" si="86"/>
        <v>84</v>
      </c>
      <c r="GH48" s="255">
        <f t="shared" si="86"/>
        <v>85</v>
      </c>
      <c r="GI48" s="255">
        <f t="shared" si="86"/>
        <v>86</v>
      </c>
      <c r="GJ48" s="255">
        <f t="shared" si="86"/>
        <v>87</v>
      </c>
      <c r="GK48" s="255">
        <f t="shared" si="86"/>
        <v>88</v>
      </c>
      <c r="GL48" s="255">
        <f t="shared" si="86"/>
        <v>89</v>
      </c>
      <c r="GM48" s="255">
        <f t="shared" si="86"/>
        <v>90</v>
      </c>
      <c r="GN48" s="255">
        <f t="shared" si="86"/>
        <v>91</v>
      </c>
      <c r="GO48" s="255">
        <f t="shared" si="86"/>
        <v>92</v>
      </c>
      <c r="GP48" s="255">
        <f t="shared" si="86"/>
        <v>93</v>
      </c>
      <c r="GQ48" s="255">
        <f t="shared" si="86"/>
        <v>94</v>
      </c>
      <c r="GR48" s="255">
        <f t="shared" si="86"/>
        <v>95</v>
      </c>
      <c r="GS48" s="255">
        <f t="shared" si="86"/>
        <v>96</v>
      </c>
      <c r="GT48" s="255">
        <f t="shared" si="86"/>
        <v>97</v>
      </c>
      <c r="GU48" s="255">
        <f t="shared" si="86"/>
        <v>98</v>
      </c>
      <c r="GV48" s="255">
        <f t="shared" si="86"/>
        <v>99</v>
      </c>
      <c r="GW48" s="255">
        <f t="shared" si="86"/>
        <v>100</v>
      </c>
    </row>
    <row r="49" spans="1:205" ht="9" customHeight="1">
      <c r="A49" s="259" t="s">
        <v>48</v>
      </c>
      <c r="B49" s="143">
        <f>1-LINEST(E49:CZ49, DB49:GW49, TRUE, FALSE)</f>
        <v>0.1010144985079674</v>
      </c>
      <c r="C49" s="143">
        <f>RSQ(E49:CZ49, DB49:GW49)</f>
        <v>0.99988642344584178</v>
      </c>
      <c r="D49" s="60"/>
      <c r="E49" s="143">
        <f>E45</f>
        <v>9.9491557054389705</v>
      </c>
      <c r="F49" s="143">
        <f t="shared" ref="F49:X49" si="87">E49</f>
        <v>9.9491557054389705</v>
      </c>
      <c r="G49" s="143">
        <f t="shared" si="87"/>
        <v>9.9491557054389705</v>
      </c>
      <c r="H49" s="143">
        <f t="shared" si="87"/>
        <v>9.9491557054389705</v>
      </c>
      <c r="I49" s="143">
        <f t="shared" si="87"/>
        <v>9.9491557054389705</v>
      </c>
      <c r="J49" s="143">
        <f t="shared" si="87"/>
        <v>9.9491557054389705</v>
      </c>
      <c r="K49" s="143">
        <f t="shared" si="87"/>
        <v>9.9491557054389705</v>
      </c>
      <c r="L49" s="143">
        <f t="shared" si="87"/>
        <v>9.9491557054389705</v>
      </c>
      <c r="M49" s="143">
        <f t="shared" si="87"/>
        <v>9.9491557054389705</v>
      </c>
      <c r="N49" s="143">
        <f t="shared" si="87"/>
        <v>9.9491557054389705</v>
      </c>
      <c r="O49" s="143">
        <f t="shared" si="87"/>
        <v>9.9491557054389705</v>
      </c>
      <c r="P49" s="143">
        <f t="shared" si="87"/>
        <v>9.9491557054389705</v>
      </c>
      <c r="Q49" s="143">
        <f t="shared" si="87"/>
        <v>9.9491557054389705</v>
      </c>
      <c r="R49" s="143">
        <f t="shared" si="87"/>
        <v>9.9491557054389705</v>
      </c>
      <c r="S49" s="143">
        <f t="shared" si="87"/>
        <v>9.9491557054389705</v>
      </c>
      <c r="T49" s="143">
        <f t="shared" si="87"/>
        <v>9.9491557054389705</v>
      </c>
      <c r="U49" s="143">
        <f t="shared" si="87"/>
        <v>9.9491557054389705</v>
      </c>
      <c r="V49" s="143">
        <f t="shared" si="87"/>
        <v>9.9491557054389705</v>
      </c>
      <c r="W49" s="143">
        <f t="shared" si="87"/>
        <v>9.9491557054389705</v>
      </c>
      <c r="X49" s="143">
        <f t="shared" si="87"/>
        <v>9.9491557054389705</v>
      </c>
      <c r="Y49" s="143">
        <f>F45</f>
        <v>10.662953699549799</v>
      </c>
      <c r="Z49" s="143">
        <f t="shared" ref="Z49:AR49" si="88">Y49</f>
        <v>10.662953699549799</v>
      </c>
      <c r="AA49" s="143">
        <f t="shared" si="88"/>
        <v>10.662953699549799</v>
      </c>
      <c r="AB49" s="143">
        <f t="shared" si="88"/>
        <v>10.662953699549799</v>
      </c>
      <c r="AC49" s="143">
        <f t="shared" si="88"/>
        <v>10.662953699549799</v>
      </c>
      <c r="AD49" s="143">
        <f t="shared" si="88"/>
        <v>10.662953699549799</v>
      </c>
      <c r="AE49" s="143">
        <f t="shared" si="88"/>
        <v>10.662953699549799</v>
      </c>
      <c r="AF49" s="143">
        <f t="shared" si="88"/>
        <v>10.662953699549799</v>
      </c>
      <c r="AG49" s="143">
        <f t="shared" si="88"/>
        <v>10.662953699549799</v>
      </c>
      <c r="AH49" s="143">
        <f t="shared" si="88"/>
        <v>10.662953699549799</v>
      </c>
      <c r="AI49" s="143">
        <f t="shared" si="88"/>
        <v>10.662953699549799</v>
      </c>
      <c r="AJ49" s="143">
        <f t="shared" si="88"/>
        <v>10.662953699549799</v>
      </c>
      <c r="AK49" s="143">
        <f t="shared" si="88"/>
        <v>10.662953699549799</v>
      </c>
      <c r="AL49" s="143">
        <f t="shared" si="88"/>
        <v>10.662953699549799</v>
      </c>
      <c r="AM49" s="143">
        <f t="shared" si="88"/>
        <v>10.662953699549799</v>
      </c>
      <c r="AN49" s="143">
        <f t="shared" si="88"/>
        <v>10.662953699549799</v>
      </c>
      <c r="AO49" s="143">
        <f t="shared" si="88"/>
        <v>10.662953699549799</v>
      </c>
      <c r="AP49" s="143">
        <f t="shared" si="88"/>
        <v>10.662953699549799</v>
      </c>
      <c r="AQ49" s="143">
        <f t="shared" si="88"/>
        <v>10.662953699549799</v>
      </c>
      <c r="AR49" s="143">
        <f t="shared" si="88"/>
        <v>10.662953699549799</v>
      </c>
      <c r="AS49" s="143">
        <f>G45</f>
        <v>11.095007136392253</v>
      </c>
      <c r="AT49" s="143">
        <f t="shared" ref="AT49:BL49" si="89">AS49</f>
        <v>11.095007136392253</v>
      </c>
      <c r="AU49" s="143">
        <f t="shared" si="89"/>
        <v>11.095007136392253</v>
      </c>
      <c r="AV49" s="143">
        <f t="shared" si="89"/>
        <v>11.095007136392253</v>
      </c>
      <c r="AW49" s="143">
        <f t="shared" si="89"/>
        <v>11.095007136392253</v>
      </c>
      <c r="AX49" s="143">
        <f t="shared" si="89"/>
        <v>11.095007136392253</v>
      </c>
      <c r="AY49" s="143">
        <f t="shared" si="89"/>
        <v>11.095007136392253</v>
      </c>
      <c r="AZ49" s="143">
        <f t="shared" si="89"/>
        <v>11.095007136392253</v>
      </c>
      <c r="BA49" s="143">
        <f t="shared" si="89"/>
        <v>11.095007136392253</v>
      </c>
      <c r="BB49" s="143">
        <f t="shared" si="89"/>
        <v>11.095007136392253</v>
      </c>
      <c r="BC49" s="143">
        <f t="shared" si="89"/>
        <v>11.095007136392253</v>
      </c>
      <c r="BD49" s="143">
        <f t="shared" si="89"/>
        <v>11.095007136392253</v>
      </c>
      <c r="BE49" s="143">
        <f t="shared" si="89"/>
        <v>11.095007136392253</v>
      </c>
      <c r="BF49" s="143">
        <f t="shared" si="89"/>
        <v>11.095007136392253</v>
      </c>
      <c r="BG49" s="143">
        <f t="shared" si="89"/>
        <v>11.095007136392253</v>
      </c>
      <c r="BH49" s="143">
        <f t="shared" si="89"/>
        <v>11.095007136392253</v>
      </c>
      <c r="BI49" s="143">
        <f t="shared" si="89"/>
        <v>11.095007136392253</v>
      </c>
      <c r="BJ49" s="143">
        <f t="shared" si="89"/>
        <v>11.095007136392253</v>
      </c>
      <c r="BK49" s="143">
        <f t="shared" si="89"/>
        <v>11.095007136392253</v>
      </c>
      <c r="BL49" s="143">
        <f t="shared" si="89"/>
        <v>11.095007136392253</v>
      </c>
      <c r="BM49" s="143">
        <f>H45</f>
        <v>11.468601094284704</v>
      </c>
      <c r="BN49" s="143">
        <f t="shared" ref="BN49:CF49" si="90">BM49</f>
        <v>11.468601094284704</v>
      </c>
      <c r="BO49" s="143">
        <f t="shared" si="90"/>
        <v>11.468601094284704</v>
      </c>
      <c r="BP49" s="143">
        <f t="shared" si="90"/>
        <v>11.468601094284704</v>
      </c>
      <c r="BQ49" s="143">
        <f t="shared" si="90"/>
        <v>11.468601094284704</v>
      </c>
      <c r="BR49" s="143">
        <f t="shared" si="90"/>
        <v>11.468601094284704</v>
      </c>
      <c r="BS49" s="143">
        <f t="shared" si="90"/>
        <v>11.468601094284704</v>
      </c>
      <c r="BT49" s="143">
        <f t="shared" si="90"/>
        <v>11.468601094284704</v>
      </c>
      <c r="BU49" s="143">
        <f t="shared" si="90"/>
        <v>11.468601094284704</v>
      </c>
      <c r="BV49" s="143">
        <f t="shared" si="90"/>
        <v>11.468601094284704</v>
      </c>
      <c r="BW49" s="143">
        <f t="shared" si="90"/>
        <v>11.468601094284704</v>
      </c>
      <c r="BX49" s="143">
        <f t="shared" si="90"/>
        <v>11.468601094284704</v>
      </c>
      <c r="BY49" s="143">
        <f t="shared" si="90"/>
        <v>11.468601094284704</v>
      </c>
      <c r="BZ49" s="143">
        <f t="shared" si="90"/>
        <v>11.468601094284704</v>
      </c>
      <c r="CA49" s="143">
        <f t="shared" si="90"/>
        <v>11.468601094284704</v>
      </c>
      <c r="CB49" s="143">
        <f t="shared" si="90"/>
        <v>11.468601094284704</v>
      </c>
      <c r="CC49" s="143">
        <f t="shared" si="90"/>
        <v>11.468601094284704</v>
      </c>
      <c r="CD49" s="143">
        <f t="shared" si="90"/>
        <v>11.468601094284704</v>
      </c>
      <c r="CE49" s="143">
        <f t="shared" si="90"/>
        <v>11.468601094284704</v>
      </c>
      <c r="CF49" s="143">
        <f t="shared" si="90"/>
        <v>11.468601094284704</v>
      </c>
      <c r="CG49" s="143">
        <f>I45</f>
        <v>11.796552526968695</v>
      </c>
      <c r="CH49" s="143">
        <f t="shared" ref="CH49:CP49" si="91">CG49</f>
        <v>11.796552526968695</v>
      </c>
      <c r="CI49" s="143">
        <f t="shared" si="91"/>
        <v>11.796552526968695</v>
      </c>
      <c r="CJ49" s="143">
        <f t="shared" si="91"/>
        <v>11.796552526968695</v>
      </c>
      <c r="CK49" s="143">
        <f t="shared" si="91"/>
        <v>11.796552526968695</v>
      </c>
      <c r="CL49" s="143">
        <f t="shared" si="91"/>
        <v>11.796552526968695</v>
      </c>
      <c r="CM49" s="143">
        <f t="shared" si="91"/>
        <v>11.796552526968695</v>
      </c>
      <c r="CN49" s="143">
        <f t="shared" si="91"/>
        <v>11.796552526968695</v>
      </c>
      <c r="CO49" s="143">
        <f t="shared" si="91"/>
        <v>11.796552526968695</v>
      </c>
      <c r="CP49" s="143">
        <f t="shared" si="91"/>
        <v>11.796552526968695</v>
      </c>
      <c r="CQ49" s="143">
        <f>J45</f>
        <v>12.079783081735684</v>
      </c>
      <c r="CR49" s="143">
        <f>CQ49</f>
        <v>12.079783081735684</v>
      </c>
      <c r="CS49" s="143">
        <f>CR49</f>
        <v>12.079783081735684</v>
      </c>
      <c r="CT49" s="143">
        <f>CS49</f>
        <v>12.079783081735684</v>
      </c>
      <c r="CU49" s="143">
        <f>CT49</f>
        <v>12.079783081735684</v>
      </c>
      <c r="CV49" s="143">
        <f>K45</f>
        <v>12.540627258972483</v>
      </c>
      <c r="CW49" s="143">
        <f>CV49</f>
        <v>12.540627258972483</v>
      </c>
      <c r="CX49" s="143">
        <f>CW49</f>
        <v>12.540627258972483</v>
      </c>
      <c r="CY49" s="143">
        <f>CX49</f>
        <v>12.540627258972483</v>
      </c>
      <c r="CZ49" s="143">
        <f>L45</f>
        <v>14.087688784505032</v>
      </c>
      <c r="DA49" s="60"/>
      <c r="DB49" s="143">
        <f>N45</f>
        <v>9.9683385248557439</v>
      </c>
      <c r="DC49" s="143">
        <f t="shared" ref="DC49:DU49" si="92">DB49</f>
        <v>9.9683385248557439</v>
      </c>
      <c r="DD49" s="143">
        <f t="shared" si="92"/>
        <v>9.9683385248557439</v>
      </c>
      <c r="DE49" s="143">
        <f t="shared" si="92"/>
        <v>9.9683385248557439</v>
      </c>
      <c r="DF49" s="143">
        <f t="shared" si="92"/>
        <v>9.9683385248557439</v>
      </c>
      <c r="DG49" s="143">
        <f t="shared" si="92"/>
        <v>9.9683385248557439</v>
      </c>
      <c r="DH49" s="143">
        <f t="shared" si="92"/>
        <v>9.9683385248557439</v>
      </c>
      <c r="DI49" s="143">
        <f t="shared" si="92"/>
        <v>9.9683385248557439</v>
      </c>
      <c r="DJ49" s="143">
        <f t="shared" si="92"/>
        <v>9.9683385248557439</v>
      </c>
      <c r="DK49" s="143">
        <f t="shared" si="92"/>
        <v>9.9683385248557439</v>
      </c>
      <c r="DL49" s="143">
        <f t="shared" si="92"/>
        <v>9.9683385248557439</v>
      </c>
      <c r="DM49" s="143">
        <f t="shared" si="92"/>
        <v>9.9683385248557439</v>
      </c>
      <c r="DN49" s="143">
        <f t="shared" si="92"/>
        <v>9.9683385248557439</v>
      </c>
      <c r="DO49" s="143">
        <f t="shared" si="92"/>
        <v>9.9683385248557439</v>
      </c>
      <c r="DP49" s="143">
        <f t="shared" si="92"/>
        <v>9.9683385248557439</v>
      </c>
      <c r="DQ49" s="143">
        <f t="shared" si="92"/>
        <v>9.9683385248557439</v>
      </c>
      <c r="DR49" s="143">
        <f t="shared" si="92"/>
        <v>9.9683385248557439</v>
      </c>
      <c r="DS49" s="143">
        <f t="shared" si="92"/>
        <v>9.9683385248557439</v>
      </c>
      <c r="DT49" s="143">
        <f t="shared" si="92"/>
        <v>9.9683385248557439</v>
      </c>
      <c r="DU49" s="143">
        <f t="shared" si="92"/>
        <v>9.9683385248557439</v>
      </c>
      <c r="DV49" s="143">
        <f>O45</f>
        <v>10.757264379021041</v>
      </c>
      <c r="DW49" s="143">
        <f t="shared" ref="DW49:EO49" si="93">DV49</f>
        <v>10.757264379021041</v>
      </c>
      <c r="DX49" s="143">
        <f t="shared" si="93"/>
        <v>10.757264379021041</v>
      </c>
      <c r="DY49" s="143">
        <f t="shared" si="93"/>
        <v>10.757264379021041</v>
      </c>
      <c r="DZ49" s="143">
        <f t="shared" si="93"/>
        <v>10.757264379021041</v>
      </c>
      <c r="EA49" s="143">
        <f t="shared" si="93"/>
        <v>10.757264379021041</v>
      </c>
      <c r="EB49" s="143">
        <f t="shared" si="93"/>
        <v>10.757264379021041</v>
      </c>
      <c r="EC49" s="143">
        <f t="shared" si="93"/>
        <v>10.757264379021041</v>
      </c>
      <c r="ED49" s="143">
        <f t="shared" si="93"/>
        <v>10.757264379021041</v>
      </c>
      <c r="EE49" s="143">
        <f t="shared" si="93"/>
        <v>10.757264379021041</v>
      </c>
      <c r="EF49" s="143">
        <f t="shared" si="93"/>
        <v>10.757264379021041</v>
      </c>
      <c r="EG49" s="143">
        <f t="shared" si="93"/>
        <v>10.757264379021041</v>
      </c>
      <c r="EH49" s="143">
        <f t="shared" si="93"/>
        <v>10.757264379021041</v>
      </c>
      <c r="EI49" s="143">
        <f t="shared" si="93"/>
        <v>10.757264379021041</v>
      </c>
      <c r="EJ49" s="143">
        <f t="shared" si="93"/>
        <v>10.757264379021041</v>
      </c>
      <c r="EK49" s="143">
        <f t="shared" si="93"/>
        <v>10.757264379021041</v>
      </c>
      <c r="EL49" s="143">
        <f t="shared" si="93"/>
        <v>10.757264379021041</v>
      </c>
      <c r="EM49" s="143">
        <f t="shared" si="93"/>
        <v>10.757264379021041</v>
      </c>
      <c r="EN49" s="143">
        <f t="shared" si="93"/>
        <v>10.757264379021041</v>
      </c>
      <c r="EO49" s="143">
        <f t="shared" si="93"/>
        <v>10.757264379021041</v>
      </c>
      <c r="EP49" s="143">
        <f>P45</f>
        <v>11.245830026126836</v>
      </c>
      <c r="EQ49" s="143">
        <f t="shared" ref="EQ49:FI49" si="94">EP49</f>
        <v>11.245830026126836</v>
      </c>
      <c r="ER49" s="143">
        <f t="shared" si="94"/>
        <v>11.245830026126836</v>
      </c>
      <c r="ES49" s="143">
        <f t="shared" si="94"/>
        <v>11.245830026126836</v>
      </c>
      <c r="ET49" s="143">
        <f t="shared" si="94"/>
        <v>11.245830026126836</v>
      </c>
      <c r="EU49" s="143">
        <f t="shared" si="94"/>
        <v>11.245830026126836</v>
      </c>
      <c r="EV49" s="143">
        <f t="shared" si="94"/>
        <v>11.245830026126836</v>
      </c>
      <c r="EW49" s="143">
        <f t="shared" si="94"/>
        <v>11.245830026126836</v>
      </c>
      <c r="EX49" s="143">
        <f t="shared" si="94"/>
        <v>11.245830026126836</v>
      </c>
      <c r="EY49" s="143">
        <f t="shared" si="94"/>
        <v>11.245830026126836</v>
      </c>
      <c r="EZ49" s="143">
        <f t="shared" si="94"/>
        <v>11.245830026126836</v>
      </c>
      <c r="FA49" s="143">
        <f t="shared" si="94"/>
        <v>11.245830026126836</v>
      </c>
      <c r="FB49" s="143">
        <f t="shared" si="94"/>
        <v>11.245830026126836</v>
      </c>
      <c r="FC49" s="143">
        <f t="shared" si="94"/>
        <v>11.245830026126836</v>
      </c>
      <c r="FD49" s="143">
        <f t="shared" si="94"/>
        <v>11.245830026126836</v>
      </c>
      <c r="FE49" s="143">
        <f t="shared" si="94"/>
        <v>11.245830026126836</v>
      </c>
      <c r="FF49" s="143">
        <f t="shared" si="94"/>
        <v>11.245830026126836</v>
      </c>
      <c r="FG49" s="143">
        <f t="shared" si="94"/>
        <v>11.245830026126836</v>
      </c>
      <c r="FH49" s="143">
        <f t="shared" si="94"/>
        <v>11.245830026126836</v>
      </c>
      <c r="FI49" s="143">
        <f t="shared" si="94"/>
        <v>11.245830026126836</v>
      </c>
      <c r="FJ49" s="143">
        <f>Q45</f>
        <v>11.66461597821066</v>
      </c>
      <c r="FK49" s="143">
        <f t="shared" ref="FK49:GC49" si="95">FJ49</f>
        <v>11.66461597821066</v>
      </c>
      <c r="FL49" s="143">
        <f t="shared" si="95"/>
        <v>11.66461597821066</v>
      </c>
      <c r="FM49" s="143">
        <f t="shared" si="95"/>
        <v>11.66461597821066</v>
      </c>
      <c r="FN49" s="143">
        <f t="shared" si="95"/>
        <v>11.66461597821066</v>
      </c>
      <c r="FO49" s="143">
        <f t="shared" si="95"/>
        <v>11.66461597821066</v>
      </c>
      <c r="FP49" s="143">
        <f t="shared" si="95"/>
        <v>11.66461597821066</v>
      </c>
      <c r="FQ49" s="143">
        <f t="shared" si="95"/>
        <v>11.66461597821066</v>
      </c>
      <c r="FR49" s="143">
        <f t="shared" si="95"/>
        <v>11.66461597821066</v>
      </c>
      <c r="FS49" s="143">
        <f t="shared" si="95"/>
        <v>11.66461597821066</v>
      </c>
      <c r="FT49" s="143">
        <f t="shared" si="95"/>
        <v>11.66461597821066</v>
      </c>
      <c r="FU49" s="143">
        <f t="shared" si="95"/>
        <v>11.66461597821066</v>
      </c>
      <c r="FV49" s="143">
        <f t="shared" si="95"/>
        <v>11.66461597821066</v>
      </c>
      <c r="FW49" s="143">
        <f t="shared" si="95"/>
        <v>11.66461597821066</v>
      </c>
      <c r="FX49" s="143">
        <f t="shared" si="95"/>
        <v>11.66461597821066</v>
      </c>
      <c r="FY49" s="143">
        <f t="shared" si="95"/>
        <v>11.66461597821066</v>
      </c>
      <c r="FZ49" s="143">
        <f t="shared" si="95"/>
        <v>11.66461597821066</v>
      </c>
      <c r="GA49" s="143">
        <f t="shared" si="95"/>
        <v>11.66461597821066</v>
      </c>
      <c r="GB49" s="143">
        <f t="shared" si="95"/>
        <v>11.66461597821066</v>
      </c>
      <c r="GC49" s="143">
        <f t="shared" si="95"/>
        <v>11.66461597821066</v>
      </c>
      <c r="GD49" s="143">
        <f>R45</f>
        <v>12.034809716092953</v>
      </c>
      <c r="GE49" s="143">
        <f t="shared" ref="GE49:GM49" si="96">GD49</f>
        <v>12.034809716092953</v>
      </c>
      <c r="GF49" s="143">
        <f t="shared" si="96"/>
        <v>12.034809716092953</v>
      </c>
      <c r="GG49" s="143">
        <f t="shared" si="96"/>
        <v>12.034809716092953</v>
      </c>
      <c r="GH49" s="143">
        <f t="shared" si="96"/>
        <v>12.034809716092953</v>
      </c>
      <c r="GI49" s="143">
        <f t="shared" si="96"/>
        <v>12.034809716092953</v>
      </c>
      <c r="GJ49" s="143">
        <f t="shared" si="96"/>
        <v>12.034809716092953</v>
      </c>
      <c r="GK49" s="143">
        <f t="shared" si="96"/>
        <v>12.034809716092953</v>
      </c>
      <c r="GL49" s="143">
        <f t="shared" si="96"/>
        <v>12.034809716092953</v>
      </c>
      <c r="GM49" s="143">
        <f t="shared" si="96"/>
        <v>12.034809716092953</v>
      </c>
      <c r="GN49" s="143">
        <f>S45</f>
        <v>12.346356190977231</v>
      </c>
      <c r="GO49" s="143">
        <f>GN49</f>
        <v>12.346356190977231</v>
      </c>
      <c r="GP49" s="143">
        <f>GO49</f>
        <v>12.346356190977231</v>
      </c>
      <c r="GQ49" s="143">
        <f>GP49</f>
        <v>12.346356190977231</v>
      </c>
      <c r="GR49" s="143">
        <f>GQ49</f>
        <v>12.346356190977231</v>
      </c>
      <c r="GS49" s="143">
        <f>T45</f>
        <v>12.851236836067967</v>
      </c>
      <c r="GT49" s="143">
        <f>GS49</f>
        <v>12.851236836067967</v>
      </c>
      <c r="GU49" s="143">
        <f>GT49</f>
        <v>12.851236836067967</v>
      </c>
      <c r="GV49" s="143">
        <f>GU49</f>
        <v>12.851236836067967</v>
      </c>
      <c r="GW49" s="143">
        <f>U45</f>
        <v>14.497161914010736</v>
      </c>
    </row>
  </sheetData>
  <mergeCells count="105">
    <mergeCell ref="GD47:GM47"/>
    <mergeCell ref="GN47:GR47"/>
    <mergeCell ref="GS47:GV47"/>
    <mergeCell ref="CQ47:CU47"/>
    <mergeCell ref="CV47:CY47"/>
    <mergeCell ref="DB47:DU47"/>
    <mergeCell ref="DV47:EO47"/>
    <mergeCell ref="EP47:FI47"/>
    <mergeCell ref="E47:X47"/>
    <mergeCell ref="Y47:AR47"/>
    <mergeCell ref="AS47:BL47"/>
    <mergeCell ref="BM47:CF47"/>
    <mergeCell ref="CG47:CP47"/>
    <mergeCell ref="FJ47:GC47"/>
    <mergeCell ref="GS38:GV38"/>
    <mergeCell ref="B43:B44"/>
    <mergeCell ref="C43:C44"/>
    <mergeCell ref="E43:L43"/>
    <mergeCell ref="N43:U43"/>
    <mergeCell ref="W43:AD43"/>
    <mergeCell ref="AF43:AM43"/>
    <mergeCell ref="AO43:AV43"/>
    <mergeCell ref="DV38:EO38"/>
    <mergeCell ref="EP38:FI38"/>
    <mergeCell ref="FJ38:GC38"/>
    <mergeCell ref="GD38:GM38"/>
    <mergeCell ref="GN38:GR38"/>
    <mergeCell ref="BM38:CF38"/>
    <mergeCell ref="CG38:CP38"/>
    <mergeCell ref="CQ38:CU38"/>
    <mergeCell ref="CV38:CY38"/>
    <mergeCell ref="DB38:DU38"/>
    <mergeCell ref="AF34:AM34"/>
    <mergeCell ref="AO34:AV34"/>
    <mergeCell ref="E38:X38"/>
    <mergeCell ref="Y38:AR38"/>
    <mergeCell ref="AS38:BL38"/>
    <mergeCell ref="B34:B35"/>
    <mergeCell ref="C34:C35"/>
    <mergeCell ref="E34:L34"/>
    <mergeCell ref="N34:U34"/>
    <mergeCell ref="W34:AD34"/>
    <mergeCell ref="BM10:CF10"/>
    <mergeCell ref="CG10:CP10"/>
    <mergeCell ref="AF4:AM4"/>
    <mergeCell ref="B16:B17"/>
    <mergeCell ref="C16:C17"/>
    <mergeCell ref="E16:L16"/>
    <mergeCell ref="N16:U16"/>
    <mergeCell ref="W16:AD16"/>
    <mergeCell ref="AF16:AM16"/>
    <mergeCell ref="AO16:AV16"/>
    <mergeCell ref="B4:B5"/>
    <mergeCell ref="C4:C5"/>
    <mergeCell ref="E4:L4"/>
    <mergeCell ref="N4:U4"/>
    <mergeCell ref="W4:AD4"/>
    <mergeCell ref="AO4:AV4"/>
    <mergeCell ref="E10:X10"/>
    <mergeCell ref="Y10:AR10"/>
    <mergeCell ref="AS10:BL10"/>
    <mergeCell ref="CQ10:CU10"/>
    <mergeCell ref="CV10:CY10"/>
    <mergeCell ref="BM29:CF29"/>
    <mergeCell ref="CG29:CP29"/>
    <mergeCell ref="GN29:GR29"/>
    <mergeCell ref="GS29:GV29"/>
    <mergeCell ref="CV29:CY29"/>
    <mergeCell ref="CQ20:CU20"/>
    <mergeCell ref="GD10:GM10"/>
    <mergeCell ref="GN10:GR10"/>
    <mergeCell ref="GS10:GV10"/>
    <mergeCell ref="DB10:DU10"/>
    <mergeCell ref="DV10:EO10"/>
    <mergeCell ref="EP10:FI10"/>
    <mergeCell ref="FJ10:GC10"/>
    <mergeCell ref="DB29:DU29"/>
    <mergeCell ref="DV29:EO29"/>
    <mergeCell ref="EP29:FI29"/>
    <mergeCell ref="FJ29:GC29"/>
    <mergeCell ref="GD29:GM29"/>
    <mergeCell ref="CQ29:CU29"/>
    <mergeCell ref="GN20:GR20"/>
    <mergeCell ref="GS20:GV20"/>
    <mergeCell ref="DV20:EO20"/>
    <mergeCell ref="EP20:FI20"/>
    <mergeCell ref="FJ20:GC20"/>
    <mergeCell ref="GD20:GM20"/>
    <mergeCell ref="E29:X29"/>
    <mergeCell ref="Y29:AR29"/>
    <mergeCell ref="AS29:BL29"/>
    <mergeCell ref="B25:B26"/>
    <mergeCell ref="C25:C26"/>
    <mergeCell ref="E25:L25"/>
    <mergeCell ref="N25:U25"/>
    <mergeCell ref="W25:AD25"/>
    <mergeCell ref="AF25:AM25"/>
    <mergeCell ref="AO25:AV25"/>
    <mergeCell ref="CV20:CY20"/>
    <mergeCell ref="DB20:DU20"/>
    <mergeCell ref="E20:X20"/>
    <mergeCell ref="Y20:AR20"/>
    <mergeCell ref="AS20:BL20"/>
    <mergeCell ref="BM20:CF20"/>
    <mergeCell ref="CG20:CP20"/>
  </mergeCells>
  <hyperlinks>
    <hyperlink ref="F1" location="Index!A1" display="index" xr:uid="{CDCBE2D8-B982-4A59-88D6-B28F0491C764}"/>
  </hyperlinks>
  <pageMargins left="0.7" right="0.7" top="0.75" bottom="0.75" header="0.3" footer="0.3"/>
  <pageSetup orientation="portrait" horizontalDpi="1200" verticalDpi="12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7C87BA-1D85-43A1-9355-00383876288B}">
  <sheetPr>
    <tabColor theme="9" tint="0.79998168889431442"/>
  </sheetPr>
  <dimension ref="A1:DO47"/>
  <sheetViews>
    <sheetView zoomScale="70" zoomScaleNormal="70" workbookViewId="0"/>
  </sheetViews>
  <sheetFormatPr defaultRowHeight="15"/>
  <cols>
    <col min="1" max="1" width="8.28515625" style="46" customWidth="1"/>
    <col min="2" max="2" width="12.5703125" style="140" customWidth="1"/>
    <col min="3" max="3" width="1.85546875" style="140" customWidth="1"/>
    <col min="4" max="4" width="18.85546875" style="140" customWidth="1"/>
    <col min="5" max="5" width="17.42578125" style="140" customWidth="1"/>
    <col min="6" max="10" width="5.5703125" style="140" customWidth="1"/>
    <col min="11" max="14" width="7" style="140" customWidth="1"/>
    <col min="15" max="15" width="1.85546875" style="140" customWidth="1"/>
    <col min="16" max="16" width="5.85546875" style="140" customWidth="1"/>
    <col min="17" max="18" width="5.5703125" style="140" customWidth="1"/>
    <col min="19" max="19" width="6" style="140" customWidth="1"/>
    <col min="20" max="23" width="6.5703125" style="140" customWidth="1"/>
    <col min="24" max="24" width="3.42578125" style="140" customWidth="1"/>
    <col min="25" max="28" width="5" style="140" customWidth="1"/>
    <col min="29" max="32" width="5.7109375" style="140" customWidth="1"/>
    <col min="33" max="33" width="2.140625" style="140" customWidth="1"/>
    <col min="34" max="37" width="5.5703125" style="140" customWidth="1"/>
    <col min="38" max="39" width="6.7109375" style="140" customWidth="1"/>
    <col min="40" max="40" width="7.140625" style="140" customWidth="1"/>
    <col min="41" max="41" width="7.28515625" style="140" customWidth="1"/>
    <col min="42" max="42" width="2.28515625" style="140" customWidth="1"/>
    <col min="43" max="50" width="6.140625" style="140" customWidth="1"/>
    <col min="51" max="51" width="3.140625" style="140" customWidth="1"/>
    <col min="52" max="59" width="6.140625" style="140" customWidth="1"/>
    <col min="60" max="60" width="2.5703125" style="140" customWidth="1"/>
    <col min="61" max="68" width="6.5703125" style="140" customWidth="1"/>
    <col min="69" max="69" width="2.140625" style="140" customWidth="1"/>
    <col min="70" max="72" width="5.7109375" style="140" customWidth="1"/>
    <col min="73" max="73" width="6.42578125" style="140" customWidth="1"/>
    <col min="74" max="74" width="7.28515625" style="140" customWidth="1"/>
    <col min="75" max="77" width="7" style="140" customWidth="1"/>
    <col min="78" max="78" width="2" style="140" customWidth="1"/>
    <col min="79" max="79" width="6.5703125" style="140" customWidth="1"/>
    <col min="80" max="82" width="5.5703125" style="140" customWidth="1"/>
    <col min="83" max="83" width="7.140625" style="140" customWidth="1"/>
    <col min="84" max="84" width="7" style="140" customWidth="1"/>
    <col min="85" max="85" width="6.28515625" style="140" customWidth="1"/>
    <col min="86" max="86" width="8.42578125" style="140" customWidth="1"/>
    <col min="87" max="87" width="3" style="140" customWidth="1"/>
    <col min="88" max="96" width="7.7109375" style="140" customWidth="1"/>
    <col min="97" max="97" width="3.7109375" style="140" customWidth="1"/>
    <col min="98" max="98" width="13.7109375" style="140" customWidth="1"/>
    <col min="99" max="102" width="6.140625" style="140" customWidth="1"/>
    <col min="103" max="103" width="7.140625" style="140" customWidth="1"/>
    <col min="104" max="106" width="8.140625" style="140" customWidth="1"/>
    <col min="107" max="108" width="9.140625" style="140"/>
    <col min="109" max="109" width="3.5703125" style="140" customWidth="1"/>
    <col min="110" max="114" width="6.28515625" style="140" customWidth="1"/>
    <col min="115" max="118" width="7.42578125" style="140" customWidth="1"/>
    <col min="119" max="16384" width="9.140625" style="140"/>
  </cols>
  <sheetData>
    <row r="1" spans="1:119">
      <c r="A1" s="147" t="s">
        <v>618</v>
      </c>
      <c r="AH1" s="641" t="s">
        <v>762</v>
      </c>
      <c r="AI1" s="127"/>
    </row>
    <row r="2" spans="1:119">
      <c r="A2" s="103"/>
      <c r="CJ2" s="45">
        <v>0.2</v>
      </c>
      <c r="CK2" s="45">
        <v>0.2</v>
      </c>
      <c r="CL2" s="45">
        <v>0.2</v>
      </c>
      <c r="CM2" s="45">
        <v>0.2</v>
      </c>
      <c r="CN2" s="45">
        <v>0.1</v>
      </c>
      <c r="CO2" s="45">
        <v>0.05</v>
      </c>
      <c r="CP2" s="45">
        <v>0.04</v>
      </c>
      <c r="CQ2" s="45">
        <v>0.01</v>
      </c>
      <c r="CR2" s="45">
        <f>SUM(CJ2:CQ2)</f>
        <v>1</v>
      </c>
      <c r="CT2" s="140" t="s">
        <v>282</v>
      </c>
    </row>
    <row r="3" spans="1:119">
      <c r="A3" s="103"/>
      <c r="M3" s="149" t="s">
        <v>200</v>
      </c>
      <c r="P3" s="45">
        <v>0.2</v>
      </c>
      <c r="Q3" s="45">
        <v>0.2</v>
      </c>
      <c r="R3" s="45">
        <v>0.2</v>
      </c>
      <c r="S3" s="45">
        <v>0.2</v>
      </c>
      <c r="T3" s="45">
        <v>0.1</v>
      </c>
      <c r="U3" s="45">
        <v>0.05</v>
      </c>
      <c r="V3" s="45">
        <v>0.04</v>
      </c>
      <c r="W3" s="45">
        <v>0.01</v>
      </c>
      <c r="X3" s="45"/>
      <c r="Y3" s="45"/>
      <c r="Z3" s="45"/>
      <c r="AA3" s="45"/>
      <c r="AB3" s="45"/>
      <c r="AC3" s="45"/>
      <c r="AD3" s="45"/>
      <c r="AE3" s="45"/>
      <c r="AF3" s="45"/>
      <c r="CJ3" s="45"/>
      <c r="CK3" s="45"/>
      <c r="CL3" s="45"/>
      <c r="CM3" s="45"/>
      <c r="CN3" s="45"/>
      <c r="CO3" s="45"/>
      <c r="CP3" s="45"/>
      <c r="CQ3" s="45"/>
      <c r="CR3" s="45"/>
    </row>
    <row r="4" spans="1:119">
      <c r="A4" s="103"/>
      <c r="F4" s="148"/>
      <c r="G4" s="148"/>
      <c r="H4" s="148"/>
      <c r="I4" s="148"/>
      <c r="J4" s="148"/>
      <c r="K4" s="148"/>
      <c r="L4" s="148"/>
      <c r="M4" s="149" t="s">
        <v>203</v>
      </c>
      <c r="N4" s="148"/>
      <c r="O4" s="140">
        <v>0</v>
      </c>
      <c r="P4" s="45">
        <v>0.2</v>
      </c>
      <c r="Q4" s="45">
        <f>P4+Q3</f>
        <v>0.4</v>
      </c>
      <c r="R4" s="45">
        <f t="shared" ref="R4:W4" si="0">Q4+R3</f>
        <v>0.60000000000000009</v>
      </c>
      <c r="S4" s="45">
        <f t="shared" si="0"/>
        <v>0.8</v>
      </c>
      <c r="T4" s="45">
        <f t="shared" si="0"/>
        <v>0.9</v>
      </c>
      <c r="U4" s="45">
        <f t="shared" si="0"/>
        <v>0.95000000000000007</v>
      </c>
      <c r="V4" s="45">
        <f t="shared" si="0"/>
        <v>0.9900000000000001</v>
      </c>
      <c r="W4" s="45">
        <f t="shared" si="0"/>
        <v>1</v>
      </c>
      <c r="X4" s="45"/>
      <c r="Y4" s="45"/>
      <c r="Z4" s="45"/>
      <c r="AA4" s="45"/>
      <c r="AB4" s="45"/>
      <c r="AC4" s="45"/>
      <c r="AD4" s="45"/>
      <c r="AE4" s="45"/>
      <c r="AF4" s="45"/>
      <c r="AG4" s="45"/>
      <c r="CJ4" s="45"/>
      <c r="CK4" s="45"/>
      <c r="CL4" s="45"/>
      <c r="CM4" s="45"/>
      <c r="CN4" s="45"/>
      <c r="CO4" s="45"/>
      <c r="CP4" s="45"/>
      <c r="CQ4" s="45"/>
      <c r="CR4" s="45"/>
      <c r="CU4" s="4"/>
      <c r="CV4" s="4"/>
      <c r="CW4" s="4"/>
      <c r="CX4" s="4"/>
      <c r="CY4" s="4"/>
      <c r="CZ4" s="4"/>
      <c r="DA4" s="4"/>
      <c r="DB4" s="4"/>
      <c r="DC4" s="4"/>
      <c r="DD4" s="4"/>
    </row>
    <row r="5" spans="1:119">
      <c r="CJ5" s="5"/>
      <c r="CK5" s="5"/>
      <c r="CL5" s="5"/>
      <c r="CM5" s="5"/>
      <c r="CN5" s="5"/>
      <c r="CO5" s="5"/>
      <c r="CP5" s="5"/>
      <c r="CQ5" s="5"/>
      <c r="CR5" s="5"/>
      <c r="CU5" s="273"/>
      <c r="CV5" s="191"/>
      <c r="CW5" s="191"/>
      <c r="CX5" s="191"/>
      <c r="CY5" s="191"/>
      <c r="CZ5" s="191"/>
      <c r="DA5" s="191"/>
      <c r="DB5" s="191"/>
      <c r="DC5" s="191"/>
      <c r="DD5" s="191"/>
      <c r="DE5" s="191"/>
      <c r="DF5" s="191"/>
      <c r="DG5" s="191"/>
      <c r="DH5" s="191"/>
      <c r="DI5" s="191"/>
      <c r="DJ5" s="191"/>
      <c r="DK5" s="191"/>
      <c r="DL5" s="191"/>
      <c r="DM5" s="191"/>
      <c r="DN5" s="191"/>
    </row>
    <row r="6" spans="1:119" ht="15" customHeight="1">
      <c r="A6" s="144"/>
      <c r="B6" s="729" t="s">
        <v>281</v>
      </c>
      <c r="C6" s="126"/>
      <c r="D6" s="733" t="s">
        <v>502</v>
      </c>
      <c r="E6" s="733" t="s">
        <v>341</v>
      </c>
      <c r="F6" s="155"/>
      <c r="G6" s="731" t="s">
        <v>301</v>
      </c>
      <c r="H6" s="731"/>
      <c r="I6" s="731"/>
      <c r="J6" s="731"/>
      <c r="K6" s="731"/>
      <c r="L6" s="731"/>
      <c r="M6" s="731"/>
      <c r="N6" s="731"/>
      <c r="O6" s="126"/>
      <c r="P6" s="731" t="s">
        <v>300</v>
      </c>
      <c r="Q6" s="731"/>
      <c r="R6" s="731"/>
      <c r="S6" s="731"/>
      <c r="T6" s="731"/>
      <c r="U6" s="731"/>
      <c r="V6" s="731"/>
      <c r="W6" s="731"/>
      <c r="X6" s="150"/>
      <c r="Y6" s="731" t="s">
        <v>202</v>
      </c>
      <c r="Z6" s="731"/>
      <c r="AA6" s="731"/>
      <c r="AB6" s="731"/>
      <c r="AC6" s="731"/>
      <c r="AD6" s="731"/>
      <c r="AE6" s="731"/>
      <c r="AF6" s="731"/>
      <c r="AG6" s="134"/>
      <c r="AH6" s="731" t="s">
        <v>302</v>
      </c>
      <c r="AI6" s="731"/>
      <c r="AJ6" s="731"/>
      <c r="AK6" s="731"/>
      <c r="AL6" s="731"/>
      <c r="AM6" s="731"/>
      <c r="AN6" s="731"/>
      <c r="AO6" s="731"/>
      <c r="AP6" s="150"/>
      <c r="AQ6" s="731" t="s">
        <v>303</v>
      </c>
      <c r="AR6" s="731"/>
      <c r="AS6" s="731"/>
      <c r="AT6" s="731"/>
      <c r="AU6" s="731"/>
      <c r="AV6" s="731"/>
      <c r="AW6" s="731"/>
      <c r="AX6" s="731"/>
      <c r="AY6" s="134"/>
      <c r="AZ6" s="731" t="s">
        <v>197</v>
      </c>
      <c r="BA6" s="731"/>
      <c r="BB6" s="731"/>
      <c r="BC6" s="731"/>
      <c r="BD6" s="731"/>
      <c r="BE6" s="731"/>
      <c r="BF6" s="731"/>
      <c r="BG6" s="731"/>
      <c r="BH6" s="134"/>
      <c r="BI6" s="731" t="s">
        <v>466</v>
      </c>
      <c r="BJ6" s="731"/>
      <c r="BK6" s="731"/>
      <c r="BL6" s="731"/>
      <c r="BM6" s="731"/>
      <c r="BN6" s="731"/>
      <c r="BO6" s="731"/>
      <c r="BP6" s="731"/>
      <c r="BQ6" s="126"/>
      <c r="BR6" s="756" t="s">
        <v>297</v>
      </c>
      <c r="BS6" s="756"/>
      <c r="BT6" s="756"/>
      <c r="BU6" s="756"/>
      <c r="BV6" s="756"/>
      <c r="BW6" s="756"/>
      <c r="BX6" s="756"/>
      <c r="BY6" s="756"/>
      <c r="BZ6" s="126"/>
      <c r="CA6" s="732" t="s">
        <v>299</v>
      </c>
      <c r="CB6" s="732"/>
      <c r="CC6" s="732"/>
      <c r="CD6" s="732"/>
      <c r="CE6" s="732"/>
      <c r="CF6" s="732"/>
      <c r="CG6" s="732"/>
      <c r="CH6" s="732"/>
      <c r="CI6" s="126"/>
      <c r="CJ6" s="735" t="s">
        <v>298</v>
      </c>
      <c r="CK6" s="735"/>
      <c r="CL6" s="735"/>
      <c r="CM6" s="735"/>
      <c r="CN6" s="735"/>
      <c r="CO6" s="735"/>
      <c r="CP6" s="735"/>
      <c r="CQ6" s="735"/>
      <c r="CR6" s="735"/>
      <c r="CT6" s="733" t="s">
        <v>259</v>
      </c>
      <c r="CU6" s="728" t="s">
        <v>283</v>
      </c>
      <c r="CV6" s="728"/>
      <c r="CW6" s="728"/>
      <c r="CX6" s="728"/>
      <c r="CY6" s="728"/>
      <c r="CZ6" s="728"/>
      <c r="DA6" s="728"/>
      <c r="DB6" s="728"/>
      <c r="DC6" s="728"/>
      <c r="DD6" s="174"/>
      <c r="DF6" s="728" t="s">
        <v>259</v>
      </c>
      <c r="DG6" s="728"/>
      <c r="DH6" s="728"/>
      <c r="DI6" s="728"/>
      <c r="DJ6" s="728"/>
      <c r="DK6" s="728"/>
      <c r="DL6" s="728"/>
      <c r="DM6" s="728"/>
      <c r="DN6" s="728"/>
    </row>
    <row r="7" spans="1:119" ht="24.75" customHeight="1">
      <c r="A7" s="53"/>
      <c r="B7" s="730"/>
      <c r="C7" s="6"/>
      <c r="D7" s="734"/>
      <c r="E7" s="734"/>
      <c r="F7" s="156"/>
      <c r="G7" s="6" t="s">
        <v>158</v>
      </c>
      <c r="H7" s="6" t="s">
        <v>159</v>
      </c>
      <c r="I7" s="6" t="s">
        <v>160</v>
      </c>
      <c r="J7" s="6" t="s">
        <v>161</v>
      </c>
      <c r="K7" s="51" t="s">
        <v>33</v>
      </c>
      <c r="L7" s="51" t="s">
        <v>51</v>
      </c>
      <c r="M7" s="51" t="s">
        <v>52</v>
      </c>
      <c r="N7" s="51" t="s">
        <v>28</v>
      </c>
      <c r="O7" s="6"/>
      <c r="P7" s="6" t="s">
        <v>158</v>
      </c>
      <c r="Q7" s="6" t="s">
        <v>159</v>
      </c>
      <c r="R7" s="6" t="s">
        <v>160</v>
      </c>
      <c r="S7" s="6" t="s">
        <v>161</v>
      </c>
      <c r="T7" s="51" t="s">
        <v>33</v>
      </c>
      <c r="U7" s="51" t="s">
        <v>51</v>
      </c>
      <c r="V7" s="51" t="s">
        <v>52</v>
      </c>
      <c r="W7" s="51" t="s">
        <v>28</v>
      </c>
      <c r="X7" s="51"/>
      <c r="Y7" s="6" t="s">
        <v>158</v>
      </c>
      <c r="Z7" s="6" t="s">
        <v>159</v>
      </c>
      <c r="AA7" s="6" t="s">
        <v>160</v>
      </c>
      <c r="AB7" s="6" t="s">
        <v>161</v>
      </c>
      <c r="AC7" s="51" t="s">
        <v>33</v>
      </c>
      <c r="AD7" s="51" t="s">
        <v>51</v>
      </c>
      <c r="AE7" s="51" t="s">
        <v>52</v>
      </c>
      <c r="AF7" s="51" t="s">
        <v>28</v>
      </c>
      <c r="AG7" s="5"/>
      <c r="AH7" s="6" t="s">
        <v>158</v>
      </c>
      <c r="AI7" s="6" t="s">
        <v>159</v>
      </c>
      <c r="AJ7" s="6" t="s">
        <v>160</v>
      </c>
      <c r="AK7" s="6" t="s">
        <v>161</v>
      </c>
      <c r="AL7" s="51" t="s">
        <v>33</v>
      </c>
      <c r="AM7" s="51" t="s">
        <v>51</v>
      </c>
      <c r="AN7" s="51" t="s">
        <v>52</v>
      </c>
      <c r="AO7" s="51" t="s">
        <v>28</v>
      </c>
      <c r="AP7" s="51"/>
      <c r="AQ7" s="6" t="s">
        <v>158</v>
      </c>
      <c r="AR7" s="6" t="s">
        <v>159</v>
      </c>
      <c r="AS7" s="6" t="s">
        <v>160</v>
      </c>
      <c r="AT7" s="6" t="s">
        <v>161</v>
      </c>
      <c r="AU7" s="51" t="s">
        <v>33</v>
      </c>
      <c r="AV7" s="51" t="s">
        <v>51</v>
      </c>
      <c r="AW7" s="51" t="s">
        <v>52</v>
      </c>
      <c r="AX7" s="51" t="s">
        <v>28</v>
      </c>
      <c r="AY7" s="5"/>
      <c r="AZ7" s="6" t="s">
        <v>158</v>
      </c>
      <c r="BA7" s="6" t="s">
        <v>159</v>
      </c>
      <c r="BB7" s="6" t="s">
        <v>160</v>
      </c>
      <c r="BC7" s="6" t="s">
        <v>161</v>
      </c>
      <c r="BD7" s="51" t="s">
        <v>33</v>
      </c>
      <c r="BE7" s="51" t="s">
        <v>51</v>
      </c>
      <c r="BF7" s="51" t="s">
        <v>52</v>
      </c>
      <c r="BG7" s="51" t="s">
        <v>28</v>
      </c>
      <c r="BH7" s="5"/>
      <c r="BI7" s="6" t="s">
        <v>158</v>
      </c>
      <c r="BJ7" s="6" t="s">
        <v>159</v>
      </c>
      <c r="BK7" s="6" t="s">
        <v>160</v>
      </c>
      <c r="BL7" s="6" t="s">
        <v>161</v>
      </c>
      <c r="BM7" s="51" t="s">
        <v>33</v>
      </c>
      <c r="BN7" s="51" t="s">
        <v>51</v>
      </c>
      <c r="BO7" s="51" t="s">
        <v>52</v>
      </c>
      <c r="BP7" s="51" t="s">
        <v>28</v>
      </c>
      <c r="BQ7" s="6"/>
      <c r="BR7" s="6" t="s">
        <v>158</v>
      </c>
      <c r="BS7" s="6" t="s">
        <v>159</v>
      </c>
      <c r="BT7" s="6" t="s">
        <v>160</v>
      </c>
      <c r="BU7" s="6" t="s">
        <v>161</v>
      </c>
      <c r="BV7" s="51" t="s">
        <v>33</v>
      </c>
      <c r="BW7" s="51" t="s">
        <v>51</v>
      </c>
      <c r="BX7" s="51" t="s">
        <v>52</v>
      </c>
      <c r="BY7" s="51" t="s">
        <v>28</v>
      </c>
      <c r="BZ7" s="6"/>
      <c r="CA7" s="6" t="s">
        <v>158</v>
      </c>
      <c r="CB7" s="6" t="s">
        <v>159</v>
      </c>
      <c r="CC7" s="6" t="s">
        <v>160</v>
      </c>
      <c r="CD7" s="6" t="s">
        <v>161</v>
      </c>
      <c r="CE7" s="51" t="s">
        <v>33</v>
      </c>
      <c r="CF7" s="51" t="s">
        <v>51</v>
      </c>
      <c r="CG7" s="51" t="s">
        <v>52</v>
      </c>
      <c r="CH7" s="51" t="s">
        <v>28</v>
      </c>
      <c r="CI7" s="6"/>
      <c r="CJ7" s="6" t="s">
        <v>158</v>
      </c>
      <c r="CK7" s="6" t="s">
        <v>159</v>
      </c>
      <c r="CL7" s="6" t="s">
        <v>160</v>
      </c>
      <c r="CM7" s="6" t="s">
        <v>161</v>
      </c>
      <c r="CN7" s="51" t="s">
        <v>33</v>
      </c>
      <c r="CO7" s="51" t="s">
        <v>51</v>
      </c>
      <c r="CP7" s="51" t="s">
        <v>52</v>
      </c>
      <c r="CQ7" s="51" t="s">
        <v>28</v>
      </c>
      <c r="CR7" s="51" t="s">
        <v>143</v>
      </c>
      <c r="CT7" s="734"/>
      <c r="CU7" s="6" t="s">
        <v>158</v>
      </c>
      <c r="CV7" s="6" t="s">
        <v>159</v>
      </c>
      <c r="CW7" s="6" t="s">
        <v>160</v>
      </c>
      <c r="CX7" s="6" t="s">
        <v>161</v>
      </c>
      <c r="CY7" s="51" t="s">
        <v>33</v>
      </c>
      <c r="CZ7" s="51" t="s">
        <v>51</v>
      </c>
      <c r="DA7" s="51" t="s">
        <v>52</v>
      </c>
      <c r="DB7" s="51" t="s">
        <v>28</v>
      </c>
      <c r="DC7" s="51" t="s">
        <v>143</v>
      </c>
      <c r="DD7" s="151" t="s">
        <v>293</v>
      </c>
      <c r="DF7" s="6" t="s">
        <v>158</v>
      </c>
      <c r="DG7" s="6" t="s">
        <v>159</v>
      </c>
      <c r="DH7" s="6" t="s">
        <v>160</v>
      </c>
      <c r="DI7" s="6" t="s">
        <v>161</v>
      </c>
      <c r="DJ7" s="51" t="s">
        <v>33</v>
      </c>
      <c r="DK7" s="51" t="s">
        <v>51</v>
      </c>
      <c r="DL7" s="51" t="s">
        <v>52</v>
      </c>
      <c r="DM7" s="51" t="s">
        <v>28</v>
      </c>
      <c r="DN7" s="51" t="s">
        <v>143</v>
      </c>
    </row>
    <row r="8" spans="1:119">
      <c r="A8" s="46">
        <v>1979</v>
      </c>
      <c r="B8" s="141">
        <f>E8-D8</f>
        <v>6.9658891850345517E-2</v>
      </c>
      <c r="C8" s="46"/>
      <c r="D8" s="141">
        <f>SUM(G8:N8)*2</f>
        <v>0.36206852589641447</v>
      </c>
      <c r="E8" s="141">
        <f>SUM(Y8:AF8)*2</f>
        <v>0.43172741774675999</v>
      </c>
      <c r="F8" s="46"/>
      <c r="G8" s="157">
        <f>(P$4-P8)*P$3</f>
        <v>2.4462151394422316E-2</v>
      </c>
      <c r="H8" s="157">
        <f t="shared" ref="H8:N23" si="1">(Q$4-Q8)*Q$3</f>
        <v>3.9960159362549812E-2</v>
      </c>
      <c r="I8" s="157">
        <f t="shared" si="1"/>
        <v>4.7290836653386487E-2</v>
      </c>
      <c r="J8" s="157">
        <f t="shared" si="1"/>
        <v>4.326693227091636E-2</v>
      </c>
      <c r="K8" s="157">
        <f t="shared" si="1"/>
        <v>1.7091633466135469E-2</v>
      </c>
      <c r="L8" s="157">
        <f t="shared" si="1"/>
        <v>6.4143426294820784E-3</v>
      </c>
      <c r="M8" s="157">
        <f t="shared" si="1"/>
        <v>2.5482071713147469E-3</v>
      </c>
      <c r="N8" s="157">
        <f t="shared" si="1"/>
        <v>0</v>
      </c>
      <c r="O8" s="46"/>
      <c r="P8" s="154">
        <f>AQ8/SUM($AQ8:$AX8)</f>
        <v>7.7689243027888447E-2</v>
      </c>
      <c r="Q8" s="154">
        <f t="shared" ref="Q8:V8" si="2">P8+AR8/SUM($AQ8:$AX8)</f>
        <v>0.20019920318725098</v>
      </c>
      <c r="R8" s="154">
        <f t="shared" si="2"/>
        <v>0.36354581673306768</v>
      </c>
      <c r="S8" s="154">
        <f t="shared" si="2"/>
        <v>0.58366533864541825</v>
      </c>
      <c r="T8" s="154">
        <f t="shared" si="2"/>
        <v>0.72908366533864533</v>
      </c>
      <c r="U8" s="154">
        <f t="shared" si="2"/>
        <v>0.8217131474103585</v>
      </c>
      <c r="V8" s="154">
        <f t="shared" si="2"/>
        <v>0.92629482071713143</v>
      </c>
      <c r="W8" s="162">
        <v>1</v>
      </c>
      <c r="X8" s="154"/>
      <c r="Y8" s="142">
        <f>(P$4-AH8)*P$3</f>
        <v>3.0029910269192429E-2</v>
      </c>
      <c r="Z8" s="142">
        <f t="shared" ref="Z8:AF23" si="3">(Q$4-AI8)*Q$3</f>
        <v>4.7696909272183459E-2</v>
      </c>
      <c r="AA8" s="142">
        <f t="shared" si="3"/>
        <v>5.5792622133599236E-2</v>
      </c>
      <c r="AB8" s="142">
        <f t="shared" si="3"/>
        <v>5.1126620139581296E-2</v>
      </c>
      <c r="AC8" s="142">
        <f t="shared" si="3"/>
        <v>2.0309072781655047E-2</v>
      </c>
      <c r="AD8" s="142">
        <f t="shared" si="3"/>
        <v>7.7193419740777761E-3</v>
      </c>
      <c r="AE8" s="142">
        <f t="shared" si="3"/>
        <v>3.1892323030907389E-3</v>
      </c>
      <c r="AF8" s="142">
        <f>(W$4-AO8)*W$3</f>
        <v>0</v>
      </c>
      <c r="AH8" s="158">
        <f>AZ8/SUM($AZ8:$BG8)</f>
        <v>4.9850448654037878E-2</v>
      </c>
      <c r="AI8" s="158">
        <f t="shared" ref="AI8:AN8" si="4">AH8+BA8/SUM($AZ8:$BG8)</f>
        <v>0.16151545363908273</v>
      </c>
      <c r="AJ8" s="158">
        <f t="shared" si="4"/>
        <v>0.32103688933200392</v>
      </c>
      <c r="AK8" s="158">
        <f t="shared" si="4"/>
        <v>0.54436689930209359</v>
      </c>
      <c r="AL8" s="158">
        <f t="shared" si="4"/>
        <v>0.69690927218344956</v>
      </c>
      <c r="AM8" s="158">
        <f t="shared" si="4"/>
        <v>0.79561316051844455</v>
      </c>
      <c r="AN8" s="158">
        <f t="shared" si="4"/>
        <v>0.91026919242273163</v>
      </c>
      <c r="AO8" s="158">
        <v>1</v>
      </c>
      <c r="AP8" s="143"/>
      <c r="AQ8" s="152">
        <f>Shares!D90</f>
        <v>7.8</v>
      </c>
      <c r="AR8" s="152">
        <f>Shares!E90</f>
        <v>12.3</v>
      </c>
      <c r="AS8" s="152">
        <f>Shares!F90</f>
        <v>16.399999999999999</v>
      </c>
      <c r="AT8" s="152">
        <f>Shares!G90</f>
        <v>22.1</v>
      </c>
      <c r="AU8" s="152">
        <f>Shares!J90</f>
        <v>14.6</v>
      </c>
      <c r="AV8" s="152">
        <f>Shares!K90</f>
        <v>9.3000000000000007</v>
      </c>
      <c r="AW8" s="152">
        <f>Shares!L90</f>
        <v>10.5</v>
      </c>
      <c r="AX8" s="152">
        <f>Shares!M90</f>
        <v>7.4</v>
      </c>
      <c r="AZ8" s="152">
        <v>5</v>
      </c>
      <c r="BA8" s="152">
        <v>11.2</v>
      </c>
      <c r="BB8" s="152">
        <v>16</v>
      </c>
      <c r="BC8" s="152">
        <v>22.4</v>
      </c>
      <c r="BD8" s="152">
        <v>15.3</v>
      </c>
      <c r="BE8" s="152">
        <v>9.9</v>
      </c>
      <c r="BF8" s="152">
        <v>11.5</v>
      </c>
      <c r="BG8" s="152">
        <v>9</v>
      </c>
      <c r="BI8" s="146">
        <f>TxRt!B53</f>
        <v>9.3000000000000007</v>
      </c>
      <c r="BJ8" s="146">
        <f>TxRt!B96</f>
        <v>15</v>
      </c>
      <c r="BK8" s="146">
        <f>TxRt!B136</f>
        <v>19.100000000000001</v>
      </c>
      <c r="BL8" s="146">
        <f>TxRt!B176</f>
        <v>21.7</v>
      </c>
      <c r="BM8" s="146">
        <f>TxRt!B256</f>
        <v>23.6</v>
      </c>
      <c r="BN8" s="146">
        <f>TxRt!B296</f>
        <v>25.2</v>
      </c>
      <c r="BO8" s="146">
        <f>TxRt!B336</f>
        <v>27.1</v>
      </c>
      <c r="BP8" s="146">
        <f>TxRt!B376</f>
        <v>35.1</v>
      </c>
      <c r="BQ8" s="46"/>
      <c r="BR8" s="60">
        <f>'HH inc'!$I50</f>
        <v>19000</v>
      </c>
      <c r="BS8" s="60">
        <f>'HH inc'!$I90</f>
        <v>32500</v>
      </c>
      <c r="BT8" s="60">
        <f>'HH inc'!$I130</f>
        <v>46500</v>
      </c>
      <c r="BU8" s="60">
        <f>'HH inc'!$I170</f>
        <v>60800</v>
      </c>
      <c r="BV8" s="60">
        <f>'HH inc'!$I250</f>
        <v>76900</v>
      </c>
      <c r="BW8" s="60">
        <f>'HH inc'!$I290</f>
        <v>93000</v>
      </c>
      <c r="BX8" s="60">
        <f>'HH inc'!$I330</f>
        <v>131100</v>
      </c>
      <c r="BY8" s="60">
        <f>'HH inc'!$I370</f>
        <v>365900</v>
      </c>
      <c r="CA8" s="60">
        <f>'HH inc'!$I50</f>
        <v>19000</v>
      </c>
      <c r="CB8" s="60">
        <f>'HH inc'!$I90</f>
        <v>32500</v>
      </c>
      <c r="CC8" s="60">
        <f>'HH inc'!$I130</f>
        <v>46500</v>
      </c>
      <c r="CD8" s="60">
        <f>'HH inc'!$I170</f>
        <v>60800</v>
      </c>
      <c r="CE8" s="60">
        <f>'HH inc'!$I250</f>
        <v>76900</v>
      </c>
      <c r="CF8" s="60">
        <f>'HH inc'!$I290</f>
        <v>93000</v>
      </c>
      <c r="CG8" s="60">
        <f>'HH inc'!$I330</f>
        <v>131100</v>
      </c>
      <c r="CH8" s="60">
        <f>'HH inc'!$I370</f>
        <v>365900</v>
      </c>
      <c r="CJ8" s="153">
        <f>CA8*CU8</f>
        <v>332025.00000000012</v>
      </c>
      <c r="CK8" s="153">
        <f>CB8*CV8</f>
        <v>525687.50000000012</v>
      </c>
      <c r="CL8" s="153">
        <f t="shared" ref="CL8:CL44" si="5">CC8*CW8</f>
        <v>700987.50000000023</v>
      </c>
      <c r="CM8" s="153">
        <f t="shared" ref="CM8:CM44" si="6">CD8*CX8</f>
        <v>940880.00000000035</v>
      </c>
      <c r="CN8" s="153">
        <f t="shared" ref="CN8:CN44" si="7">CE8*CY8</f>
        <v>622890</v>
      </c>
      <c r="CO8" s="153">
        <f t="shared" ref="CO8:CO44" si="8">CF8*CZ8</f>
        <v>399900</v>
      </c>
      <c r="CP8" s="153">
        <f t="shared" ref="CP8:CP44" si="9">CG8*DA8</f>
        <v>445740</v>
      </c>
      <c r="CQ8" s="153">
        <f t="shared" ref="CQ8:CQ44" si="10">CH8*DB8</f>
        <v>329310</v>
      </c>
      <c r="CR8" s="153">
        <f>SUM(CJ8:CQ8)</f>
        <v>4297420.0000000009</v>
      </c>
      <c r="CT8" s="39">
        <v>221.9</v>
      </c>
      <c r="CU8" s="276">
        <f>Dem!B50+(DD8/4)</f>
        <v>17.475000000000005</v>
      </c>
      <c r="CV8" s="276">
        <f>Dem!B90+(DD8/4)</f>
        <v>16.175000000000004</v>
      </c>
      <c r="CW8" s="276">
        <f>Dem!B130+(DD8/4)</f>
        <v>15.075000000000005</v>
      </c>
      <c r="CX8" s="276">
        <f>Dem!B170+(DD8/4)</f>
        <v>15.475000000000005</v>
      </c>
      <c r="CY8" s="276">
        <f>Dem!B250</f>
        <v>8.1</v>
      </c>
      <c r="CZ8" s="276">
        <f>Dem!B290</f>
        <v>4.3</v>
      </c>
      <c r="DA8" s="276">
        <f>Dem!B330</f>
        <v>3.4</v>
      </c>
      <c r="DB8" s="276">
        <f>Dem!B370</f>
        <v>0.9</v>
      </c>
      <c r="DC8" s="275">
        <v>81.099999999999994</v>
      </c>
      <c r="DD8" s="46">
        <v>-9.9999999999980105E-2</v>
      </c>
      <c r="DE8" s="275"/>
      <c r="DF8" s="276">
        <f>Dem!$D50+(DO8/4)</f>
        <v>43.17499999999999</v>
      </c>
      <c r="DG8" s="276">
        <f>Dem!$D90+(DO8/4)</f>
        <v>44.17499999999999</v>
      </c>
      <c r="DH8" s="276">
        <f>Dem!$D130+(DO8/4)</f>
        <v>44.17499999999999</v>
      </c>
      <c r="DI8" s="276">
        <f>Dem!$D170+(DO8/4)</f>
        <v>44.17499999999999</v>
      </c>
      <c r="DJ8" s="275">
        <f>Dem!$D250</f>
        <v>22.2</v>
      </c>
      <c r="DK8" s="275">
        <f>Dem!$D290</f>
        <v>11.1</v>
      </c>
      <c r="DL8" s="275">
        <f>Dem!$D330</f>
        <v>8.9</v>
      </c>
      <c r="DM8" s="275">
        <f>Dem!$D370</f>
        <v>2.2000000000000002</v>
      </c>
      <c r="DN8" s="276">
        <f>CT8</f>
        <v>221.9</v>
      </c>
      <c r="DO8" s="44">
        <v>-0.90000000000003411</v>
      </c>
    </row>
    <row r="9" spans="1:119">
      <c r="A9" s="46">
        <f>A8+1</f>
        <v>1980</v>
      </c>
      <c r="B9" s="141">
        <f t="shared" ref="B9:B45" si="11">E9-D9</f>
        <v>7.1466694444031142E-2</v>
      </c>
      <c r="D9" s="141">
        <f t="shared" ref="D9:D45" si="12">SUM(G9:N9)*2</f>
        <v>0.3647472636815921</v>
      </c>
      <c r="E9" s="141">
        <f t="shared" ref="E9:E45" si="13">SUM(Y9:AF9)*2</f>
        <v>0.43621395812562325</v>
      </c>
      <c r="F9" s="46"/>
      <c r="G9" s="157">
        <f t="shared" ref="G9:N45" si="14">(P$4-P9)*P$3</f>
        <v>2.4477611940298509E-2</v>
      </c>
      <c r="H9" s="157">
        <f t="shared" si="1"/>
        <v>4.0199004975124381E-2</v>
      </c>
      <c r="I9" s="157">
        <f t="shared" si="1"/>
        <v>4.7562189054726381E-2</v>
      </c>
      <c r="J9" s="157">
        <f t="shared" si="1"/>
        <v>4.3781094527363187E-2</v>
      </c>
      <c r="K9" s="157">
        <f t="shared" si="1"/>
        <v>1.7263681592039806E-2</v>
      </c>
      <c r="L9" s="157">
        <f t="shared" si="1"/>
        <v>6.5049751243781099E-3</v>
      </c>
      <c r="M9" s="157">
        <f t="shared" si="1"/>
        <v>2.5850746268656711E-3</v>
      </c>
      <c r="N9" s="157">
        <f t="shared" si="1"/>
        <v>0</v>
      </c>
      <c r="O9" s="46"/>
      <c r="P9" s="154">
        <f t="shared" ref="P9:P45" si="15">AQ9/SUM($AQ9:$AX9)</f>
        <v>7.7611940298507473E-2</v>
      </c>
      <c r="Q9" s="154">
        <f t="shared" ref="Q9:Q45" si="16">P9+AR9/SUM($AQ9:$AX9)</f>
        <v>0.19900497512437815</v>
      </c>
      <c r="R9" s="154">
        <f t="shared" ref="R9:R45" si="17">Q9+AS9/SUM($AQ9:$AX9)</f>
        <v>0.3621890547263682</v>
      </c>
      <c r="S9" s="154">
        <f t="shared" ref="S9:S45" si="18">R9+AT9/SUM($AQ9:$AX9)</f>
        <v>0.58109452736318412</v>
      </c>
      <c r="T9" s="154">
        <f t="shared" ref="T9:T45" si="19">S9+AU9/SUM($AQ9:$AX9)</f>
        <v>0.72736318407960199</v>
      </c>
      <c r="U9" s="154">
        <f t="shared" ref="U9:U45" si="20">T9+AV9/SUM($AQ9:$AX9)</f>
        <v>0.81990049751243788</v>
      </c>
      <c r="V9" s="154">
        <f t="shared" ref="V9:V45" si="21">U9+AW9/SUM($AQ9:$AX9)</f>
        <v>0.92537313432835833</v>
      </c>
      <c r="W9" s="162">
        <f>W8</f>
        <v>1</v>
      </c>
      <c r="X9" s="154"/>
      <c r="Y9" s="142">
        <f>(P$4-AH9)*P$3</f>
        <v>3.0229312063808578E-2</v>
      </c>
      <c r="Z9" s="142">
        <f t="shared" si="3"/>
        <v>4.8295114656031909E-2</v>
      </c>
      <c r="AA9" s="142">
        <f t="shared" si="3"/>
        <v>5.6390827517447673E-2</v>
      </c>
      <c r="AB9" s="142">
        <f t="shared" si="3"/>
        <v>5.1724825523429718E-2</v>
      </c>
      <c r="AC9" s="142">
        <f t="shared" si="3"/>
        <v>2.0508474576271186E-2</v>
      </c>
      <c r="AD9" s="142">
        <f t="shared" si="3"/>
        <v>7.7691924227318082E-3</v>
      </c>
      <c r="AE9" s="142">
        <f t="shared" si="3"/>
        <v>3.1892323030907298E-3</v>
      </c>
      <c r="AF9" s="142">
        <f>(W$4-AO9)*W$3</f>
        <v>0</v>
      </c>
      <c r="AH9" s="158">
        <f t="shared" ref="AH9:AH45" si="22">AZ9/SUM($AZ9:$BG9)</f>
        <v>4.8853439680957136E-2</v>
      </c>
      <c r="AI9" s="158">
        <f t="shared" ref="AI9:AI45" si="23">AH9+BA9/SUM($AZ9:$BG9)</f>
        <v>0.15852442671984049</v>
      </c>
      <c r="AJ9" s="158">
        <f t="shared" ref="AJ9:AJ45" si="24">AI9+BB9/SUM($AZ9:$BG9)</f>
        <v>0.31804586241276173</v>
      </c>
      <c r="AK9" s="158">
        <f t="shared" ref="AK9:AK45" si="25">AJ9+BC9/SUM($AZ9:$BG9)</f>
        <v>0.54137587238285145</v>
      </c>
      <c r="AL9" s="158">
        <f t="shared" ref="AL9:AL45" si="26">AK9+BD9/SUM($AZ9:$BG9)</f>
        <v>0.69491525423728817</v>
      </c>
      <c r="AM9" s="158">
        <f t="shared" ref="AM9:AM45" si="27">AL9+BE9/SUM($AZ9:$BG9)</f>
        <v>0.79461615154536391</v>
      </c>
      <c r="AN9" s="158">
        <f t="shared" ref="AN9:AN45" si="28">AM9+BF9/SUM($AZ9:$BG9)</f>
        <v>0.91026919242273185</v>
      </c>
      <c r="AO9" s="158">
        <v>1</v>
      </c>
      <c r="AP9" s="143"/>
      <c r="AQ9" s="152">
        <f>Shares!D91</f>
        <v>7.8</v>
      </c>
      <c r="AR9" s="152">
        <f>Shares!E91</f>
        <v>12.2</v>
      </c>
      <c r="AS9" s="152">
        <f>Shares!F91</f>
        <v>16.399999999999999</v>
      </c>
      <c r="AT9" s="152">
        <f>Shares!G91</f>
        <v>22</v>
      </c>
      <c r="AU9" s="152">
        <f>Shares!J91</f>
        <v>14.7</v>
      </c>
      <c r="AV9" s="152">
        <f>Shares!K91</f>
        <v>9.3000000000000007</v>
      </c>
      <c r="AW9" s="152">
        <f>Shares!L91</f>
        <v>10.6</v>
      </c>
      <c r="AX9" s="152">
        <f>Shares!M91</f>
        <v>7.5</v>
      </c>
      <c r="AY9" s="46"/>
      <c r="AZ9" s="152">
        <v>4.9000000000000004</v>
      </c>
      <c r="BA9" s="152">
        <v>11</v>
      </c>
      <c r="BB9" s="152">
        <v>16</v>
      </c>
      <c r="BC9" s="152">
        <v>22.4</v>
      </c>
      <c r="BD9" s="152">
        <v>15.4</v>
      </c>
      <c r="BE9" s="152">
        <v>10</v>
      </c>
      <c r="BF9" s="152">
        <v>11.6</v>
      </c>
      <c r="BG9" s="152">
        <v>9</v>
      </c>
      <c r="BI9" s="146">
        <f>TxRt!B54</f>
        <v>8.9</v>
      </c>
      <c r="BJ9" s="146">
        <f>TxRt!B97</f>
        <v>14.7</v>
      </c>
      <c r="BK9" s="146">
        <f>TxRt!B137</f>
        <v>19</v>
      </c>
      <c r="BL9" s="146">
        <f>TxRt!B177</f>
        <v>21.8</v>
      </c>
      <c r="BM9" s="146">
        <f>TxRt!B257</f>
        <v>24</v>
      </c>
      <c r="BN9" s="146">
        <f>TxRt!B297</f>
        <v>25.5</v>
      </c>
      <c r="BO9" s="146">
        <f>TxRt!B337</f>
        <v>27.4</v>
      </c>
      <c r="BP9" s="146">
        <f>TxRt!B377</f>
        <v>33.1</v>
      </c>
      <c r="BQ9" s="46"/>
      <c r="BR9" s="60">
        <f>'HH inc'!$I51</f>
        <v>18800</v>
      </c>
      <c r="BS9" s="60">
        <f>'HH inc'!$I91</f>
        <v>31300</v>
      </c>
      <c r="BT9" s="60">
        <f>'HH inc'!$I131</f>
        <v>45000</v>
      </c>
      <c r="BU9" s="60">
        <f>'HH inc'!$I171</f>
        <v>59000</v>
      </c>
      <c r="BV9" s="60">
        <f>'HH inc'!$I251</f>
        <v>74900</v>
      </c>
      <c r="BW9" s="60">
        <f>'HH inc'!$I291</f>
        <v>90800</v>
      </c>
      <c r="BX9" s="60">
        <f>'HH inc'!$I331</f>
        <v>126300</v>
      </c>
      <c r="BY9" s="60">
        <f>'HH inc'!$I371</f>
        <v>361800</v>
      </c>
      <c r="CA9" s="60">
        <f>'HH inc'!$I51</f>
        <v>18800</v>
      </c>
      <c r="CB9" s="60">
        <f>'HH inc'!$I91</f>
        <v>31300</v>
      </c>
      <c r="CC9" s="60">
        <f>'HH inc'!$I131</f>
        <v>45000</v>
      </c>
      <c r="CD9" s="60">
        <f>'HH inc'!$I171</f>
        <v>59000</v>
      </c>
      <c r="CE9" s="60">
        <f>'HH inc'!$I251</f>
        <v>74900</v>
      </c>
      <c r="CF9" s="60">
        <f>'HH inc'!$I291</f>
        <v>90800</v>
      </c>
      <c r="CG9" s="60">
        <f>'HH inc'!$I331</f>
        <v>126300</v>
      </c>
      <c r="CH9" s="60">
        <f>'HH inc'!$I371</f>
        <v>361800</v>
      </c>
      <c r="CJ9" s="153">
        <f t="shared" ref="CJ9:CJ44" si="29">CA9*CU9</f>
        <v>329000.00000000006</v>
      </c>
      <c r="CK9" s="153">
        <f t="shared" ref="CK9:CK44" si="30">CB9*CV9</f>
        <v>510190</v>
      </c>
      <c r="CL9" s="153">
        <f t="shared" si="5"/>
        <v>688500.00000000012</v>
      </c>
      <c r="CM9" s="153">
        <f t="shared" si="6"/>
        <v>926300.00000000012</v>
      </c>
      <c r="CN9" s="153">
        <f t="shared" si="7"/>
        <v>621670</v>
      </c>
      <c r="CO9" s="153">
        <f t="shared" si="8"/>
        <v>390440</v>
      </c>
      <c r="CP9" s="153">
        <f t="shared" si="9"/>
        <v>442050</v>
      </c>
      <c r="CQ9" s="153">
        <f t="shared" si="10"/>
        <v>325620</v>
      </c>
      <c r="CR9" s="153">
        <f t="shared" ref="CR9:CR44" si="31">SUM(CJ9:CQ9)</f>
        <v>4233770</v>
      </c>
      <c r="CT9" s="39">
        <v>224.5</v>
      </c>
      <c r="CU9" s="276">
        <f>Dem!B51+(DD9/4)</f>
        <v>17.500000000000004</v>
      </c>
      <c r="CV9" s="276">
        <f>Dem!B91+(DD9/4)</f>
        <v>16.3</v>
      </c>
      <c r="CW9" s="276">
        <f>Dem!B131+(DD9/4)</f>
        <v>15.300000000000002</v>
      </c>
      <c r="CX9" s="276">
        <f>Dem!B171+(DD9/4)</f>
        <v>15.700000000000003</v>
      </c>
      <c r="CY9" s="276">
        <f>Dem!B251</f>
        <v>8.3000000000000007</v>
      </c>
      <c r="CZ9" s="276">
        <f>Dem!B291</f>
        <v>4.3</v>
      </c>
      <c r="DA9" s="276">
        <f>Dem!B331</f>
        <v>3.5</v>
      </c>
      <c r="DB9" s="276">
        <f>Dem!B371</f>
        <v>0.9</v>
      </c>
      <c r="DC9" s="275">
        <v>82.6</v>
      </c>
      <c r="DD9" s="46">
        <v>-0.39999999999999147</v>
      </c>
      <c r="DE9" s="275"/>
      <c r="DF9" s="276">
        <f>Dem!$D51+(DO9/4)</f>
        <v>43.15</v>
      </c>
      <c r="DG9" s="276">
        <f>Dem!$D91+(DO9/4)</f>
        <v>44.55</v>
      </c>
      <c r="DH9" s="276">
        <f>Dem!$D131+(DO9/4)</f>
        <v>44.55</v>
      </c>
      <c r="DI9" s="276">
        <f>Dem!$D171+(DO9/4)</f>
        <v>44.55</v>
      </c>
      <c r="DJ9" s="275">
        <f>Dem!$D251</f>
        <v>22.5</v>
      </c>
      <c r="DK9" s="275">
        <f>Dem!$D291</f>
        <v>11.2</v>
      </c>
      <c r="DL9" s="275">
        <f>Dem!$D331</f>
        <v>9</v>
      </c>
      <c r="DM9" s="275">
        <f>Dem!$D371</f>
        <v>2.2000000000000002</v>
      </c>
      <c r="DN9" s="276">
        <f t="shared" ref="DN9:DN45" si="32">CT9</f>
        <v>224.5</v>
      </c>
      <c r="DO9" s="44">
        <v>-1.4000000000000057</v>
      </c>
    </row>
    <row r="10" spans="1:119">
      <c r="A10" s="46">
        <f t="shared" ref="A10:A45" si="33">A9+1</f>
        <v>1981</v>
      </c>
      <c r="B10" s="141">
        <f t="shared" si="11"/>
        <v>6.7819451450500889E-2</v>
      </c>
      <c r="D10" s="141">
        <f t="shared" si="12"/>
        <v>0.37274870775347929</v>
      </c>
      <c r="E10" s="141">
        <f t="shared" si="13"/>
        <v>0.44056815920398018</v>
      </c>
      <c r="F10" s="46"/>
      <c r="G10" s="157">
        <f t="shared" si="14"/>
        <v>2.5089463220675946E-2</v>
      </c>
      <c r="H10" s="157">
        <f t="shared" si="1"/>
        <v>4.1033797216699808E-2</v>
      </c>
      <c r="I10" s="157">
        <f t="shared" si="1"/>
        <v>4.8429423459244558E-2</v>
      </c>
      <c r="J10" s="157">
        <f t="shared" si="1"/>
        <v>4.4691848906560666E-2</v>
      </c>
      <c r="K10" s="157">
        <f t="shared" si="1"/>
        <v>1.773359840954275E-2</v>
      </c>
      <c r="L10" s="157">
        <f t="shared" si="1"/>
        <v>6.6948310139165086E-3</v>
      </c>
      <c r="M10" s="157">
        <f t="shared" si="1"/>
        <v>2.7013916500994118E-3</v>
      </c>
      <c r="N10" s="157">
        <f t="shared" si="1"/>
        <v>0</v>
      </c>
      <c r="O10" s="46"/>
      <c r="P10" s="154">
        <f t="shared" si="15"/>
        <v>7.4552683896620273E-2</v>
      </c>
      <c r="Q10" s="154">
        <f t="shared" si="16"/>
        <v>0.19483101391650098</v>
      </c>
      <c r="R10" s="154">
        <f t="shared" si="17"/>
        <v>0.3578528827037773</v>
      </c>
      <c r="S10" s="154">
        <f t="shared" si="18"/>
        <v>0.57654075546719674</v>
      </c>
      <c r="T10" s="154">
        <f t="shared" si="19"/>
        <v>0.72266401590457252</v>
      </c>
      <c r="U10" s="154">
        <f t="shared" si="20"/>
        <v>0.81610337972166991</v>
      </c>
      <c r="V10" s="154">
        <f t="shared" si="21"/>
        <v>0.92246520874751481</v>
      </c>
      <c r="W10" s="162">
        <f t="shared" ref="W10:W45" si="34">W9</f>
        <v>1</v>
      </c>
      <c r="X10" s="154"/>
      <c r="Y10" s="142">
        <f t="shared" ref="Y10:AF45" si="35">(P$4-AH10)*P$3</f>
        <v>3.0646766169154235E-2</v>
      </c>
      <c r="Z10" s="142">
        <f t="shared" si="3"/>
        <v>4.8955223880597025E-2</v>
      </c>
      <c r="AA10" s="142">
        <f t="shared" si="3"/>
        <v>5.6915422885572158E-2</v>
      </c>
      <c r="AB10" s="142">
        <f t="shared" si="3"/>
        <v>5.2139303482587065E-2</v>
      </c>
      <c r="AC10" s="142">
        <f t="shared" si="3"/>
        <v>2.0646766169154229E-2</v>
      </c>
      <c r="AD10" s="142">
        <f t="shared" si="3"/>
        <v>7.7985074626865719E-3</v>
      </c>
      <c r="AE10" s="142">
        <f t="shared" si="3"/>
        <v>3.1820895522388115E-3</v>
      </c>
      <c r="AF10" s="142">
        <f t="shared" si="3"/>
        <v>0</v>
      </c>
      <c r="AH10" s="158">
        <f t="shared" si="22"/>
        <v>4.6766169154228855E-2</v>
      </c>
      <c r="AI10" s="158">
        <f t="shared" si="23"/>
        <v>0.15522388059701492</v>
      </c>
      <c r="AJ10" s="158">
        <f t="shared" si="24"/>
        <v>0.31542288557213932</v>
      </c>
      <c r="AK10" s="158">
        <f t="shared" si="25"/>
        <v>0.53930348258706473</v>
      </c>
      <c r="AL10" s="158">
        <f t="shared" si="26"/>
        <v>0.69353233830845773</v>
      </c>
      <c r="AM10" s="158">
        <f t="shared" si="27"/>
        <v>0.79402985074626864</v>
      </c>
      <c r="AN10" s="158">
        <f t="shared" si="28"/>
        <v>0.91044776119402981</v>
      </c>
      <c r="AO10" s="158">
        <v>1</v>
      </c>
      <c r="AP10" s="143"/>
      <c r="AQ10" s="152">
        <f>Shares!D92</f>
        <v>7.5</v>
      </c>
      <c r="AR10" s="152">
        <f>Shares!E92</f>
        <v>12.1</v>
      </c>
      <c r="AS10" s="152">
        <f>Shares!F92</f>
        <v>16.399999999999999</v>
      </c>
      <c r="AT10" s="152">
        <f>Shares!G92</f>
        <v>22</v>
      </c>
      <c r="AU10" s="152">
        <f>Shares!J92</f>
        <v>14.7</v>
      </c>
      <c r="AV10" s="152">
        <f>Shares!K92</f>
        <v>9.4</v>
      </c>
      <c r="AW10" s="152">
        <f>Shares!L92</f>
        <v>10.7</v>
      </c>
      <c r="AX10" s="152">
        <f>Shares!M92</f>
        <v>7.8</v>
      </c>
      <c r="AY10" s="46"/>
      <c r="AZ10" s="152">
        <v>4.7</v>
      </c>
      <c r="BA10" s="152">
        <v>10.9</v>
      </c>
      <c r="BB10" s="152">
        <v>16.100000000000001</v>
      </c>
      <c r="BC10" s="152">
        <v>22.5</v>
      </c>
      <c r="BD10" s="152">
        <v>15.5</v>
      </c>
      <c r="BE10" s="152">
        <v>10.1</v>
      </c>
      <c r="BF10" s="152">
        <v>11.7</v>
      </c>
      <c r="BG10" s="152">
        <v>9</v>
      </c>
      <c r="BI10" s="146">
        <f>TxRt!B55</f>
        <v>9.6</v>
      </c>
      <c r="BJ10" s="146">
        <f>TxRt!B98</f>
        <v>15.2</v>
      </c>
      <c r="BK10" s="146">
        <f>TxRt!B138</f>
        <v>19.399999999999999</v>
      </c>
      <c r="BL10" s="146">
        <f>TxRt!B178</f>
        <v>22.3</v>
      </c>
      <c r="BM10" s="146">
        <f>TxRt!B258</f>
        <v>24.5</v>
      </c>
      <c r="BN10" s="146">
        <f>TxRt!B298</f>
        <v>25.8</v>
      </c>
      <c r="BO10" s="146">
        <f>TxRt!B338</f>
        <v>27.2</v>
      </c>
      <c r="BP10" s="146">
        <f>TxRt!B378</f>
        <v>30.5</v>
      </c>
      <c r="BQ10" s="46"/>
      <c r="BR10" s="60">
        <f>'HH inc'!$I52</f>
        <v>18700</v>
      </c>
      <c r="BS10" s="60">
        <f>'HH inc'!$I92</f>
        <v>31100</v>
      </c>
      <c r="BT10" s="60">
        <f>'HH inc'!$I132</f>
        <v>44500</v>
      </c>
      <c r="BU10" s="60">
        <f>'HH inc'!$I172</f>
        <v>59300</v>
      </c>
      <c r="BV10" s="60">
        <f>'HH inc'!$I252</f>
        <v>74300</v>
      </c>
      <c r="BW10" s="60">
        <f>'HH inc'!$I292</f>
        <v>90600</v>
      </c>
      <c r="BX10" s="60">
        <f>'HH inc'!$I332</f>
        <v>125400</v>
      </c>
      <c r="BY10" s="60">
        <f>'HH inc'!$I372</f>
        <v>374100</v>
      </c>
      <c r="CA10" s="60">
        <f>'HH inc'!$I52</f>
        <v>18700</v>
      </c>
      <c r="CB10" s="60">
        <f>'HH inc'!$I92</f>
        <v>31100</v>
      </c>
      <c r="CC10" s="60">
        <f>'HH inc'!$I132</f>
        <v>44500</v>
      </c>
      <c r="CD10" s="60">
        <f>'HH inc'!$I172</f>
        <v>59300</v>
      </c>
      <c r="CE10" s="60">
        <f>'HH inc'!$I252</f>
        <v>74300</v>
      </c>
      <c r="CF10" s="60">
        <f>'HH inc'!$I292</f>
        <v>90600</v>
      </c>
      <c r="CG10" s="60">
        <f>'HH inc'!$I332</f>
        <v>125400</v>
      </c>
      <c r="CH10" s="60">
        <f>'HH inc'!$I372</f>
        <v>374100</v>
      </c>
      <c r="CJ10" s="153">
        <f t="shared" si="29"/>
        <v>321172.50000000006</v>
      </c>
      <c r="CK10" s="153">
        <f t="shared" si="30"/>
        <v>515482.50000000012</v>
      </c>
      <c r="CL10" s="153">
        <f t="shared" si="5"/>
        <v>701987.50000000012</v>
      </c>
      <c r="CM10" s="153">
        <f t="shared" si="6"/>
        <v>935457.50000000023</v>
      </c>
      <c r="CN10" s="153">
        <f t="shared" si="7"/>
        <v>631550</v>
      </c>
      <c r="CO10" s="153">
        <f t="shared" si="8"/>
        <v>398640.00000000006</v>
      </c>
      <c r="CP10" s="153">
        <f t="shared" si="9"/>
        <v>463980</v>
      </c>
      <c r="CQ10" s="153">
        <f t="shared" si="10"/>
        <v>336690</v>
      </c>
      <c r="CR10" s="153">
        <f t="shared" si="31"/>
        <v>4304960.0000000009</v>
      </c>
      <c r="CT10" s="39">
        <v>226</v>
      </c>
      <c r="CU10" s="276">
        <f>Dem!B52+(DD10/4)</f>
        <v>17.175000000000004</v>
      </c>
      <c r="CV10" s="276">
        <f>Dem!B92+(DD10/4)</f>
        <v>16.575000000000003</v>
      </c>
      <c r="CW10" s="276">
        <f>Dem!B132+(DD10/4)</f>
        <v>15.775000000000004</v>
      </c>
      <c r="CX10" s="276">
        <f>Dem!B172+(DD10/4)</f>
        <v>15.775000000000004</v>
      </c>
      <c r="CY10" s="276">
        <f>Dem!B252</f>
        <v>8.5</v>
      </c>
      <c r="CZ10" s="276">
        <f>Dem!B292</f>
        <v>4.4000000000000004</v>
      </c>
      <c r="DA10" s="276">
        <f>Dem!B332</f>
        <v>3.7</v>
      </c>
      <c r="DB10" s="276">
        <f>Dem!B372</f>
        <v>0.9</v>
      </c>
      <c r="DC10" s="275">
        <v>83.8</v>
      </c>
      <c r="DD10" s="46">
        <v>-0.49999999999998579</v>
      </c>
      <c r="DE10" s="275"/>
      <c r="DF10" s="276">
        <f>Dem!$D52+(DO10/4)</f>
        <v>43.2</v>
      </c>
      <c r="DG10" s="276">
        <f>Dem!$D92+(DO10/4)</f>
        <v>44.800000000000004</v>
      </c>
      <c r="DH10" s="276">
        <f>Dem!$D132+(DO10/4)</f>
        <v>44.800000000000004</v>
      </c>
      <c r="DI10" s="276">
        <f>Dem!$D172+(DO10/4)</f>
        <v>44.800000000000004</v>
      </c>
      <c r="DJ10" s="275">
        <f>Dem!$D252</f>
        <v>22.6</v>
      </c>
      <c r="DK10" s="275">
        <f>Dem!$D292</f>
        <v>11.3</v>
      </c>
      <c r="DL10" s="275">
        <f>Dem!$D332</f>
        <v>9</v>
      </c>
      <c r="DM10" s="275">
        <f>Dem!$D372</f>
        <v>2.2999999999999998</v>
      </c>
      <c r="DN10" s="276">
        <f t="shared" si="32"/>
        <v>226</v>
      </c>
      <c r="DO10" s="44">
        <v>-1.5999999999999943</v>
      </c>
    </row>
    <row r="11" spans="1:119">
      <c r="A11" s="46">
        <f t="shared" si="33"/>
        <v>1982</v>
      </c>
      <c r="B11" s="141">
        <f t="shared" si="11"/>
        <v>6.1806177858223843E-2</v>
      </c>
      <c r="D11" s="141">
        <f t="shared" si="12"/>
        <v>0.3894087475149105</v>
      </c>
      <c r="E11" s="141">
        <f t="shared" si="13"/>
        <v>0.45121492537313435</v>
      </c>
      <c r="F11" s="46"/>
      <c r="G11" s="157">
        <f t="shared" si="14"/>
        <v>2.5884691848906561E-2</v>
      </c>
      <c r="H11" s="157">
        <f t="shared" si="1"/>
        <v>4.2624254473161038E-2</v>
      </c>
      <c r="I11" s="157">
        <f t="shared" si="1"/>
        <v>5.0616302186878737E-2</v>
      </c>
      <c r="J11" s="157">
        <f t="shared" si="1"/>
        <v>4.6878727634194831E-2</v>
      </c>
      <c r="K11" s="157">
        <f t="shared" si="1"/>
        <v>1.8628230616302179E-2</v>
      </c>
      <c r="L11" s="157">
        <f t="shared" si="1"/>
        <v>7.092445328031805E-3</v>
      </c>
      <c r="M11" s="157">
        <f t="shared" si="1"/>
        <v>2.9797216699801155E-3</v>
      </c>
      <c r="N11" s="157">
        <f t="shared" si="1"/>
        <v>0</v>
      </c>
      <c r="O11" s="46"/>
      <c r="P11" s="154">
        <f t="shared" si="15"/>
        <v>7.0576540755467196E-2</v>
      </c>
      <c r="Q11" s="154">
        <f t="shared" si="16"/>
        <v>0.18687872763419483</v>
      </c>
      <c r="R11" s="154">
        <f t="shared" si="17"/>
        <v>0.34691848906560641</v>
      </c>
      <c r="S11" s="154">
        <f t="shared" si="18"/>
        <v>0.56560636182902591</v>
      </c>
      <c r="T11" s="154">
        <f t="shared" si="19"/>
        <v>0.71371769383697825</v>
      </c>
      <c r="U11" s="154">
        <f t="shared" si="20"/>
        <v>0.80815109343936398</v>
      </c>
      <c r="V11" s="154">
        <f t="shared" si="21"/>
        <v>0.91550695825049722</v>
      </c>
      <c r="W11" s="162">
        <f t="shared" si="34"/>
        <v>1</v>
      </c>
      <c r="X11" s="154"/>
      <c r="Y11" s="142">
        <f t="shared" si="35"/>
        <v>3.124378109452737E-2</v>
      </c>
      <c r="Z11" s="142">
        <f t="shared" si="3"/>
        <v>4.995024875621891E-2</v>
      </c>
      <c r="AA11" s="142">
        <f t="shared" si="3"/>
        <v>5.8308457711442802E-2</v>
      </c>
      <c r="AB11" s="142">
        <f t="shared" si="3"/>
        <v>5.3532338308457716E-2</v>
      </c>
      <c r="AC11" s="142">
        <f t="shared" si="3"/>
        <v>2.1144278606965175E-2</v>
      </c>
      <c r="AD11" s="142">
        <f t="shared" si="3"/>
        <v>8.0472636815920439E-3</v>
      </c>
      <c r="AE11" s="142">
        <f t="shared" si="3"/>
        <v>3.381094527363189E-3</v>
      </c>
      <c r="AF11" s="142">
        <f t="shared" si="3"/>
        <v>0</v>
      </c>
      <c r="AH11" s="158">
        <f t="shared" si="22"/>
        <v>4.3781094527363187E-2</v>
      </c>
      <c r="AI11" s="158">
        <f t="shared" si="23"/>
        <v>0.15024875621890549</v>
      </c>
      <c r="AJ11" s="158">
        <f t="shared" si="24"/>
        <v>0.30845771144278611</v>
      </c>
      <c r="AK11" s="158">
        <f t="shared" si="25"/>
        <v>0.53233830845771146</v>
      </c>
      <c r="AL11" s="158">
        <f t="shared" si="26"/>
        <v>0.6885572139303483</v>
      </c>
      <c r="AM11" s="158">
        <f t="shared" si="27"/>
        <v>0.78905472636815921</v>
      </c>
      <c r="AN11" s="158">
        <f t="shared" si="28"/>
        <v>0.90547263681592038</v>
      </c>
      <c r="AO11" s="158">
        <v>1</v>
      </c>
      <c r="AP11" s="143"/>
      <c r="AQ11" s="152">
        <f>Shares!D93</f>
        <v>7.1</v>
      </c>
      <c r="AR11" s="152">
        <f>Shares!E93</f>
        <v>11.7</v>
      </c>
      <c r="AS11" s="152">
        <f>Shares!F93</f>
        <v>16.100000000000001</v>
      </c>
      <c r="AT11" s="152">
        <f>Shares!G93</f>
        <v>22</v>
      </c>
      <c r="AU11" s="152">
        <f>Shares!J93</f>
        <v>14.9</v>
      </c>
      <c r="AV11" s="152">
        <f>Shares!K93</f>
        <v>9.5</v>
      </c>
      <c r="AW11" s="152">
        <f>Shares!L93</f>
        <v>10.8</v>
      </c>
      <c r="AX11" s="152">
        <f>Shares!M93</f>
        <v>8.5</v>
      </c>
      <c r="AY11" s="46"/>
      <c r="AZ11" s="152">
        <v>4.4000000000000004</v>
      </c>
      <c r="BA11" s="152">
        <v>10.7</v>
      </c>
      <c r="BB11" s="152">
        <v>15.9</v>
      </c>
      <c r="BC11" s="152">
        <v>22.5</v>
      </c>
      <c r="BD11" s="152">
        <v>15.7</v>
      </c>
      <c r="BE11" s="152">
        <v>10.1</v>
      </c>
      <c r="BF11" s="152">
        <v>11.7</v>
      </c>
      <c r="BG11" s="152">
        <v>9.5</v>
      </c>
      <c r="BI11" s="146">
        <f>TxRt!B56</f>
        <v>9.8000000000000007</v>
      </c>
      <c r="BJ11" s="146">
        <f>TxRt!B99</f>
        <v>14</v>
      </c>
      <c r="BK11" s="146">
        <f>TxRt!B139</f>
        <v>18.100000000000001</v>
      </c>
      <c r="BL11" s="146">
        <f>TxRt!B179</f>
        <v>20.6</v>
      </c>
      <c r="BM11" s="146">
        <f>TxRt!B259</f>
        <v>22.6</v>
      </c>
      <c r="BN11" s="146">
        <f>TxRt!B299</f>
        <v>23.7</v>
      </c>
      <c r="BO11" s="146">
        <f>TxRt!B339</f>
        <v>24.5</v>
      </c>
      <c r="BP11" s="146">
        <f>TxRt!B379</f>
        <v>26.8</v>
      </c>
      <c r="BQ11" s="46"/>
      <c r="BR11" s="60">
        <f>'HH inc'!$I53</f>
        <v>18500</v>
      </c>
      <c r="BS11" s="60">
        <f>'HH inc'!$I93</f>
        <v>30700</v>
      </c>
      <c r="BT11" s="60">
        <f>'HH inc'!$I133</f>
        <v>44500</v>
      </c>
      <c r="BU11" s="60">
        <f>'HH inc'!$I173</f>
        <v>59900</v>
      </c>
      <c r="BV11" s="60">
        <f>'HH inc'!$I253</f>
        <v>76000</v>
      </c>
      <c r="BW11" s="60">
        <f>'HH inc'!$I293</f>
        <v>92500</v>
      </c>
      <c r="BX11" s="60">
        <f>'HH inc'!$I333</f>
        <v>130400</v>
      </c>
      <c r="BY11" s="60">
        <f>'HH inc'!$I373</f>
        <v>415200</v>
      </c>
      <c r="CA11" s="60">
        <f>'HH inc'!$I53</f>
        <v>18500</v>
      </c>
      <c r="CB11" s="60">
        <f>'HH inc'!$I93</f>
        <v>30700</v>
      </c>
      <c r="CC11" s="60">
        <f>'HH inc'!$I133</f>
        <v>44500</v>
      </c>
      <c r="CD11" s="60">
        <f>'HH inc'!$I173</f>
        <v>59900</v>
      </c>
      <c r="CE11" s="60">
        <f>'HH inc'!$I253</f>
        <v>76000</v>
      </c>
      <c r="CF11" s="60">
        <f>'HH inc'!$I293</f>
        <v>92500</v>
      </c>
      <c r="CG11" s="60">
        <f>'HH inc'!$I333</f>
        <v>130400</v>
      </c>
      <c r="CH11" s="60">
        <f>'HH inc'!$I373</f>
        <v>415200</v>
      </c>
      <c r="CJ11" s="153">
        <f t="shared" si="29"/>
        <v>309875.00000000006</v>
      </c>
      <c r="CK11" s="153">
        <f t="shared" si="30"/>
        <v>511155.00000000017</v>
      </c>
      <c r="CL11" s="153">
        <f t="shared" si="5"/>
        <v>705325.00000000023</v>
      </c>
      <c r="CM11" s="153">
        <f t="shared" si="6"/>
        <v>961395.00000000023</v>
      </c>
      <c r="CN11" s="153">
        <f t="shared" si="7"/>
        <v>661200</v>
      </c>
      <c r="CO11" s="153">
        <f t="shared" si="8"/>
        <v>416250</v>
      </c>
      <c r="CP11" s="153">
        <f t="shared" si="9"/>
        <v>482480</v>
      </c>
      <c r="CQ11" s="153">
        <f t="shared" si="10"/>
        <v>373680</v>
      </c>
      <c r="CR11" s="153">
        <f t="shared" si="31"/>
        <v>4421360.0000000009</v>
      </c>
      <c r="CT11" s="39">
        <v>227.6</v>
      </c>
      <c r="CU11" s="276">
        <f>Dem!B53+(DD11/4)</f>
        <v>16.750000000000004</v>
      </c>
      <c r="CV11" s="276">
        <f>Dem!B93+(DD11/4)</f>
        <v>16.650000000000006</v>
      </c>
      <c r="CW11" s="276">
        <f>Dem!B133+(DD11/4)</f>
        <v>15.850000000000005</v>
      </c>
      <c r="CX11" s="276">
        <f>Dem!B173+(DD11/4)</f>
        <v>16.050000000000004</v>
      </c>
      <c r="CY11" s="276">
        <f>Dem!B253</f>
        <v>8.6999999999999993</v>
      </c>
      <c r="CZ11" s="276">
        <f>Dem!B293</f>
        <v>4.5</v>
      </c>
      <c r="DA11" s="276">
        <f>Dem!B333</f>
        <v>3.7</v>
      </c>
      <c r="DB11" s="276">
        <f>Dem!B373</f>
        <v>0.9</v>
      </c>
      <c r="DC11" s="275">
        <v>84.3</v>
      </c>
      <c r="DD11" s="46">
        <v>-0.5999999999999801</v>
      </c>
      <c r="DE11" s="275"/>
      <c r="DF11" s="276">
        <f>Dem!$D53+(DO11/4)</f>
        <v>43.500000000000007</v>
      </c>
      <c r="DG11" s="276">
        <f>Dem!$D93+(DO11/4)</f>
        <v>45.100000000000009</v>
      </c>
      <c r="DH11" s="276">
        <f>Dem!$D133+(DO11/4)</f>
        <v>45.100000000000009</v>
      </c>
      <c r="DI11" s="276">
        <f>Dem!$D173+(DO11/4)</f>
        <v>45.100000000000009</v>
      </c>
      <c r="DJ11" s="275">
        <f>Dem!$D253</f>
        <v>22.8</v>
      </c>
      <c r="DK11" s="275">
        <f>Dem!$D293</f>
        <v>11.4</v>
      </c>
      <c r="DL11" s="275">
        <f>Dem!$D333</f>
        <v>9.1</v>
      </c>
      <c r="DM11" s="275">
        <f>Dem!$D373</f>
        <v>2.2999999999999998</v>
      </c>
      <c r="DN11" s="276">
        <f t="shared" si="32"/>
        <v>227.6</v>
      </c>
      <c r="DO11" s="44">
        <v>-1.5999999999999659</v>
      </c>
    </row>
    <row r="12" spans="1:119">
      <c r="A12" s="46">
        <f t="shared" si="33"/>
        <v>1983</v>
      </c>
      <c r="B12" s="141">
        <f t="shared" si="11"/>
        <v>5.7545096846922605E-2</v>
      </c>
      <c r="D12" s="141">
        <f t="shared" si="12"/>
        <v>0.40628747514910524</v>
      </c>
      <c r="E12" s="141">
        <f t="shared" si="13"/>
        <v>0.46383257199602784</v>
      </c>
      <c r="F12" s="46"/>
      <c r="G12" s="157">
        <f t="shared" si="14"/>
        <v>2.6878727634194834E-2</v>
      </c>
      <c r="H12" s="157">
        <f t="shared" si="1"/>
        <v>4.4413518886679916E-2</v>
      </c>
      <c r="I12" s="157">
        <f t="shared" si="1"/>
        <v>5.2604373757455275E-2</v>
      </c>
      <c r="J12" s="157">
        <f t="shared" si="1"/>
        <v>4.8866799204771355E-2</v>
      </c>
      <c r="K12" s="157">
        <f t="shared" si="1"/>
        <v>1.9622266401590441E-2</v>
      </c>
      <c r="L12" s="157">
        <f t="shared" si="1"/>
        <v>7.5397614314115236E-3</v>
      </c>
      <c r="M12" s="157">
        <f t="shared" si="1"/>
        <v>3.2182902584492988E-3</v>
      </c>
      <c r="N12" s="157">
        <f t="shared" si="1"/>
        <v>0</v>
      </c>
      <c r="O12" s="46"/>
      <c r="P12" s="154">
        <f t="shared" si="15"/>
        <v>6.560636182902585E-2</v>
      </c>
      <c r="Q12" s="154">
        <f t="shared" si="16"/>
        <v>0.17793240556660045</v>
      </c>
      <c r="R12" s="154">
        <f t="shared" si="17"/>
        <v>0.33697813121272374</v>
      </c>
      <c r="S12" s="154">
        <f t="shared" si="18"/>
        <v>0.5556660039761433</v>
      </c>
      <c r="T12" s="154">
        <f t="shared" si="19"/>
        <v>0.70377733598409564</v>
      </c>
      <c r="U12" s="154">
        <f t="shared" si="20"/>
        <v>0.7992047713717696</v>
      </c>
      <c r="V12" s="154">
        <f t="shared" si="21"/>
        <v>0.90954274353876763</v>
      </c>
      <c r="W12" s="162">
        <f t="shared" si="34"/>
        <v>1</v>
      </c>
      <c r="X12" s="154"/>
      <c r="Y12" s="142">
        <f t="shared" si="35"/>
        <v>3.1857000993048661E-2</v>
      </c>
      <c r="Z12" s="142">
        <f t="shared" si="3"/>
        <v>5.1002979145978157E-2</v>
      </c>
      <c r="AA12" s="142">
        <f t="shared" si="3"/>
        <v>5.9821251241310838E-2</v>
      </c>
      <c r="AB12" s="142">
        <f t="shared" si="3"/>
        <v>5.513406156901688E-2</v>
      </c>
      <c r="AC12" s="142">
        <f t="shared" si="3"/>
        <v>2.1976166832174772E-2</v>
      </c>
      <c r="AD12" s="142">
        <f t="shared" si="3"/>
        <v>8.4731876861966204E-3</v>
      </c>
      <c r="AE12" s="142">
        <f t="shared" si="3"/>
        <v>3.6516385302879819E-3</v>
      </c>
      <c r="AF12" s="142">
        <f t="shared" si="3"/>
        <v>0</v>
      </c>
      <c r="AH12" s="158">
        <f t="shared" si="22"/>
        <v>4.0714995034756701E-2</v>
      </c>
      <c r="AI12" s="158">
        <f t="shared" si="23"/>
        <v>0.14498510427010924</v>
      </c>
      <c r="AJ12" s="158">
        <f t="shared" si="24"/>
        <v>0.30089374379344591</v>
      </c>
      <c r="AK12" s="158">
        <f t="shared" si="25"/>
        <v>0.52432969215491565</v>
      </c>
      <c r="AL12" s="158">
        <f t="shared" si="26"/>
        <v>0.68023833167825232</v>
      </c>
      <c r="AM12" s="158">
        <f t="shared" si="27"/>
        <v>0.78053624627606766</v>
      </c>
      <c r="AN12" s="158">
        <f t="shared" si="28"/>
        <v>0.89870903674280056</v>
      </c>
      <c r="AO12" s="158">
        <v>1</v>
      </c>
      <c r="AP12" s="143"/>
      <c r="AQ12" s="152">
        <f>Shares!D94</f>
        <v>6.6</v>
      </c>
      <c r="AR12" s="152">
        <f>Shares!E94</f>
        <v>11.3</v>
      </c>
      <c r="AS12" s="152">
        <f>Shares!F94</f>
        <v>16</v>
      </c>
      <c r="AT12" s="152">
        <f>Shares!G94</f>
        <v>22</v>
      </c>
      <c r="AU12" s="152">
        <f>Shares!J94</f>
        <v>14.9</v>
      </c>
      <c r="AV12" s="152">
        <f>Shares!K94</f>
        <v>9.6</v>
      </c>
      <c r="AW12" s="152">
        <f>Shares!L94</f>
        <v>11.1</v>
      </c>
      <c r="AX12" s="152">
        <f>Shares!M94</f>
        <v>9.1</v>
      </c>
      <c r="AY12" s="46"/>
      <c r="AZ12" s="152">
        <v>4.0999999999999996</v>
      </c>
      <c r="BA12" s="152">
        <v>10.5</v>
      </c>
      <c r="BB12" s="152">
        <v>15.7</v>
      </c>
      <c r="BC12" s="152">
        <v>22.5</v>
      </c>
      <c r="BD12" s="152">
        <v>15.7</v>
      </c>
      <c r="BE12" s="152">
        <v>10.1</v>
      </c>
      <c r="BF12" s="152">
        <v>11.9</v>
      </c>
      <c r="BG12" s="152">
        <v>10.199999999999999</v>
      </c>
      <c r="BI12" s="146">
        <f>TxRt!B57</f>
        <v>11.1</v>
      </c>
      <c r="BJ12" s="146">
        <f>TxRt!B100</f>
        <v>14</v>
      </c>
      <c r="BK12" s="146">
        <f>TxRt!B140</f>
        <v>17.5</v>
      </c>
      <c r="BL12" s="146">
        <f>TxRt!B180</f>
        <v>20.100000000000001</v>
      </c>
      <c r="BM12" s="146">
        <f>TxRt!B260</f>
        <v>22</v>
      </c>
      <c r="BN12" s="146">
        <f>TxRt!B300</f>
        <v>22.9</v>
      </c>
      <c r="BO12" s="146">
        <f>TxRt!B340</f>
        <v>23.5</v>
      </c>
      <c r="BP12" s="146">
        <f>TxRt!B380</f>
        <v>26.8</v>
      </c>
      <c r="BQ12" s="46"/>
      <c r="BR12" s="60">
        <f>'HH inc'!$I54</f>
        <v>18100</v>
      </c>
      <c r="BS12" s="60">
        <f>'HH inc'!$I94</f>
        <v>30000</v>
      </c>
      <c r="BT12" s="60">
        <f>'HH inc'!$I134</f>
        <v>44200</v>
      </c>
      <c r="BU12" s="60">
        <f>'HH inc'!$I174</f>
        <v>60000</v>
      </c>
      <c r="BV12" s="60">
        <f>'HH inc'!$I254</f>
        <v>77400</v>
      </c>
      <c r="BW12" s="60">
        <f>'HH inc'!$I294</f>
        <v>96100</v>
      </c>
      <c r="BX12" s="60">
        <f>'HH inc'!$I334</f>
        <v>136100</v>
      </c>
      <c r="BY12" s="60">
        <f>'HH inc'!$I374</f>
        <v>455200</v>
      </c>
      <c r="CA12" s="60">
        <f>'HH inc'!$I54</f>
        <v>18100</v>
      </c>
      <c r="CB12" s="60">
        <f>'HH inc'!$I94</f>
        <v>30000</v>
      </c>
      <c r="CC12" s="60">
        <f>'HH inc'!$I134</f>
        <v>44200</v>
      </c>
      <c r="CD12" s="60">
        <f>'HH inc'!$I174</f>
        <v>60000</v>
      </c>
      <c r="CE12" s="60">
        <f>'HH inc'!$I254</f>
        <v>77400</v>
      </c>
      <c r="CF12" s="60">
        <f>'HH inc'!$I294</f>
        <v>96100</v>
      </c>
      <c r="CG12" s="60">
        <f>'HH inc'!$I334</f>
        <v>136100</v>
      </c>
      <c r="CH12" s="60">
        <f>'HH inc'!$I374</f>
        <v>455200</v>
      </c>
      <c r="CJ12" s="153">
        <f t="shared" si="29"/>
        <v>300007.5</v>
      </c>
      <c r="CK12" s="153">
        <f t="shared" si="30"/>
        <v>515250</v>
      </c>
      <c r="CL12" s="153">
        <f t="shared" si="5"/>
        <v>723775</v>
      </c>
      <c r="CM12" s="153">
        <f t="shared" si="6"/>
        <v>1000500</v>
      </c>
      <c r="CN12" s="153">
        <f t="shared" si="7"/>
        <v>681120</v>
      </c>
      <c r="CO12" s="153">
        <f t="shared" si="8"/>
        <v>442059.99999999994</v>
      </c>
      <c r="CP12" s="153">
        <f t="shared" si="9"/>
        <v>503570</v>
      </c>
      <c r="CQ12" s="153">
        <f t="shared" si="10"/>
        <v>409680</v>
      </c>
      <c r="CR12" s="153">
        <f t="shared" si="31"/>
        <v>4575962.5</v>
      </c>
      <c r="CT12" s="39">
        <v>229.4</v>
      </c>
      <c r="CU12" s="276">
        <f>Dem!B54+(DD12/4)</f>
        <v>16.574999999999999</v>
      </c>
      <c r="CV12" s="276">
        <f>Dem!B94+(DD12/4)</f>
        <v>17.175000000000001</v>
      </c>
      <c r="CW12" s="276">
        <f>Dem!B134+(DD12/4)</f>
        <v>16.375</v>
      </c>
      <c r="CX12" s="276">
        <f>Dem!B174+(DD12/4)</f>
        <v>16.675000000000001</v>
      </c>
      <c r="CY12" s="276">
        <f>Dem!B254</f>
        <v>8.8000000000000007</v>
      </c>
      <c r="CZ12" s="276">
        <f>Dem!B294</f>
        <v>4.5999999999999996</v>
      </c>
      <c r="DA12" s="276">
        <f>Dem!B334</f>
        <v>3.7</v>
      </c>
      <c r="DB12" s="276">
        <f>Dem!B374</f>
        <v>0.9</v>
      </c>
      <c r="DC12" s="275">
        <v>85.8</v>
      </c>
      <c r="DD12" s="46">
        <v>-0.5</v>
      </c>
      <c r="DE12" s="275"/>
      <c r="DF12" s="276">
        <f>Dem!$D54+(DO12/4)</f>
        <v>43.800000000000004</v>
      </c>
      <c r="DG12" s="276">
        <f>Dem!$D94+(DO12/4)</f>
        <v>45.5</v>
      </c>
      <c r="DH12" s="276">
        <f>Dem!$D134+(DO12/4)</f>
        <v>45.5</v>
      </c>
      <c r="DI12" s="276">
        <f>Dem!$D174+(DO12/4)</f>
        <v>45.5</v>
      </c>
      <c r="DJ12" s="275">
        <f>Dem!$D254</f>
        <v>22.9</v>
      </c>
      <c r="DK12" s="275">
        <f>Dem!$D294</f>
        <v>11.5</v>
      </c>
      <c r="DL12" s="275">
        <f>Dem!$D334</f>
        <v>9.1999999999999993</v>
      </c>
      <c r="DM12" s="275">
        <f>Dem!$D374</f>
        <v>2.2999999999999998</v>
      </c>
      <c r="DN12" s="276">
        <f t="shared" si="32"/>
        <v>229.4</v>
      </c>
      <c r="DO12" s="44">
        <v>-1.5999999999999943</v>
      </c>
    </row>
    <row r="13" spans="1:119">
      <c r="A13" s="46">
        <f t="shared" si="33"/>
        <v>1984</v>
      </c>
      <c r="B13" s="141">
        <f t="shared" si="11"/>
        <v>5.5922668305985135E-2</v>
      </c>
      <c r="D13" s="141">
        <f t="shared" si="12"/>
        <v>0.40832698412698415</v>
      </c>
      <c r="E13" s="141">
        <f t="shared" si="13"/>
        <v>0.46424965243296928</v>
      </c>
      <c r="F13" s="46"/>
      <c r="G13" s="157">
        <f t="shared" si="14"/>
        <v>2.6706349206349213E-2</v>
      </c>
      <c r="H13" s="157">
        <f t="shared" si="1"/>
        <v>4.4285714285714289E-2</v>
      </c>
      <c r="I13" s="157">
        <f t="shared" si="1"/>
        <v>5.2936507936507948E-2</v>
      </c>
      <c r="J13" s="157">
        <f t="shared" si="1"/>
        <v>4.9285714285714294E-2</v>
      </c>
      <c r="K13" s="157">
        <f t="shared" si="1"/>
        <v>1.9861111111111107E-2</v>
      </c>
      <c r="L13" s="157">
        <f t="shared" si="1"/>
        <v>7.7182539682539688E-3</v>
      </c>
      <c r="M13" s="157">
        <f t="shared" si="1"/>
        <v>3.3698412698412693E-3</v>
      </c>
      <c r="N13" s="157">
        <f t="shared" si="1"/>
        <v>0</v>
      </c>
      <c r="O13" s="46"/>
      <c r="P13" s="154">
        <f t="shared" si="15"/>
        <v>6.6468253968253968E-2</v>
      </c>
      <c r="Q13" s="154">
        <f t="shared" si="16"/>
        <v>0.17857142857142858</v>
      </c>
      <c r="R13" s="154">
        <f t="shared" si="17"/>
        <v>0.33531746031746035</v>
      </c>
      <c r="S13" s="154">
        <f t="shared" si="18"/>
        <v>0.5535714285714286</v>
      </c>
      <c r="T13" s="154">
        <f t="shared" si="19"/>
        <v>0.70138888888888895</v>
      </c>
      <c r="U13" s="154">
        <f t="shared" si="20"/>
        <v>0.79563492063492069</v>
      </c>
      <c r="V13" s="154">
        <f t="shared" si="21"/>
        <v>0.90575396825396837</v>
      </c>
      <c r="W13" s="162">
        <f t="shared" si="34"/>
        <v>1</v>
      </c>
      <c r="X13" s="154"/>
      <c r="Y13" s="142">
        <f t="shared" si="35"/>
        <v>3.145978152929494E-2</v>
      </c>
      <c r="Z13" s="142">
        <f t="shared" si="3"/>
        <v>5.0804369414101297E-2</v>
      </c>
      <c r="AA13" s="142">
        <f t="shared" si="3"/>
        <v>5.9821251241310838E-2</v>
      </c>
      <c r="AB13" s="142">
        <f t="shared" si="3"/>
        <v>5.5332671300893747E-2</v>
      </c>
      <c r="AC13" s="142">
        <f t="shared" si="3"/>
        <v>2.2274081429990069E-2</v>
      </c>
      <c r="AD13" s="142">
        <f t="shared" si="3"/>
        <v>8.622144985104269E-3</v>
      </c>
      <c r="AE13" s="142">
        <f t="shared" si="3"/>
        <v>3.810526315789473E-3</v>
      </c>
      <c r="AF13" s="142">
        <f t="shared" si="3"/>
        <v>0</v>
      </c>
      <c r="AH13" s="158">
        <f t="shared" si="22"/>
        <v>4.270109235352533E-2</v>
      </c>
      <c r="AI13" s="158">
        <f t="shared" si="23"/>
        <v>0.14597815292949357</v>
      </c>
      <c r="AJ13" s="158">
        <f t="shared" si="24"/>
        <v>0.30089374379344591</v>
      </c>
      <c r="AK13" s="158">
        <f t="shared" si="25"/>
        <v>0.52333664349553133</v>
      </c>
      <c r="AL13" s="158">
        <f t="shared" si="26"/>
        <v>0.67725918570009935</v>
      </c>
      <c r="AM13" s="158">
        <f t="shared" si="27"/>
        <v>0.77755710029791469</v>
      </c>
      <c r="AN13" s="158">
        <f t="shared" si="28"/>
        <v>0.89473684210526327</v>
      </c>
      <c r="AO13" s="158">
        <v>1</v>
      </c>
      <c r="AP13" s="143"/>
      <c r="AQ13" s="152">
        <f>Shares!D95</f>
        <v>6.7</v>
      </c>
      <c r="AR13" s="152">
        <f>Shares!E95</f>
        <v>11.3</v>
      </c>
      <c r="AS13" s="152">
        <f>Shares!F95</f>
        <v>15.8</v>
      </c>
      <c r="AT13" s="152">
        <f>Shares!G95</f>
        <v>22</v>
      </c>
      <c r="AU13" s="152">
        <f>Shares!J95</f>
        <v>14.9</v>
      </c>
      <c r="AV13" s="152">
        <f>Shares!K95</f>
        <v>9.5</v>
      </c>
      <c r="AW13" s="152">
        <f>Shares!L95</f>
        <v>11.1</v>
      </c>
      <c r="AX13" s="152">
        <f>Shares!M95</f>
        <v>9.5</v>
      </c>
      <c r="AY13" s="46"/>
      <c r="AZ13" s="152">
        <v>4.3</v>
      </c>
      <c r="BA13" s="152">
        <v>10.4</v>
      </c>
      <c r="BB13" s="152">
        <v>15.6</v>
      </c>
      <c r="BC13" s="152">
        <v>22.4</v>
      </c>
      <c r="BD13" s="152">
        <v>15.5</v>
      </c>
      <c r="BE13" s="152">
        <v>10.1</v>
      </c>
      <c r="BF13" s="152">
        <v>11.8</v>
      </c>
      <c r="BG13" s="152">
        <v>10.6</v>
      </c>
      <c r="BI13" s="146">
        <f>TxRt!B58</f>
        <v>12.1</v>
      </c>
      <c r="BJ13" s="146">
        <f>TxRt!B101</f>
        <v>14.9</v>
      </c>
      <c r="BK13" s="146">
        <f>TxRt!B141</f>
        <v>18</v>
      </c>
      <c r="BL13" s="146">
        <f>TxRt!B181</f>
        <v>20.3</v>
      </c>
      <c r="BM13" s="146">
        <f>TxRt!B261</f>
        <v>22.1</v>
      </c>
      <c r="BN13" s="146">
        <f>TxRt!B301</f>
        <v>23</v>
      </c>
      <c r="BO13" s="146">
        <f>TxRt!B341</f>
        <v>23.5</v>
      </c>
      <c r="BP13" s="146">
        <f>TxRt!B381</f>
        <v>27</v>
      </c>
      <c r="BQ13" s="46"/>
      <c r="BR13" s="60">
        <f>'HH inc'!$I55</f>
        <v>18500</v>
      </c>
      <c r="BS13" s="60">
        <f>'HH inc'!$I95</f>
        <v>31500</v>
      </c>
      <c r="BT13" s="60">
        <f>'HH inc'!$I135</f>
        <v>46500</v>
      </c>
      <c r="BU13" s="60">
        <f>'HH inc'!$I175</f>
        <v>63100</v>
      </c>
      <c r="BV13" s="60">
        <f>'HH inc'!$I255</f>
        <v>82600</v>
      </c>
      <c r="BW13" s="60">
        <f>'HH inc'!$I295</f>
        <v>103400</v>
      </c>
      <c r="BX13" s="60">
        <f>'HH inc'!$I335</f>
        <v>147800</v>
      </c>
      <c r="BY13" s="60">
        <f>'HH inc'!$I375</f>
        <v>501600</v>
      </c>
      <c r="CA13" s="60">
        <f>'HH inc'!$I55</f>
        <v>18500</v>
      </c>
      <c r="CB13" s="60">
        <f>'HH inc'!$I95</f>
        <v>31500</v>
      </c>
      <c r="CC13" s="60">
        <f>'HH inc'!$I135</f>
        <v>46500</v>
      </c>
      <c r="CD13" s="60">
        <f>'HH inc'!$I175</f>
        <v>63100</v>
      </c>
      <c r="CE13" s="60">
        <f>'HH inc'!$I255</f>
        <v>82600</v>
      </c>
      <c r="CF13" s="60">
        <f>'HH inc'!$I295</f>
        <v>103400</v>
      </c>
      <c r="CG13" s="60">
        <f>'HH inc'!$I335</f>
        <v>147800</v>
      </c>
      <c r="CH13" s="60">
        <f>'HH inc'!$I375</f>
        <v>501600</v>
      </c>
      <c r="CJ13" s="153">
        <f t="shared" si="29"/>
        <v>326987.50000000006</v>
      </c>
      <c r="CK13" s="153">
        <f t="shared" si="30"/>
        <v>544162.50000000012</v>
      </c>
      <c r="CL13" s="153">
        <f t="shared" si="5"/>
        <v>766087.50000000023</v>
      </c>
      <c r="CM13" s="153">
        <f t="shared" si="6"/>
        <v>1064812.5000000002</v>
      </c>
      <c r="CN13" s="153">
        <f t="shared" si="7"/>
        <v>726880.00000000012</v>
      </c>
      <c r="CO13" s="153">
        <f t="shared" si="8"/>
        <v>465300</v>
      </c>
      <c r="CP13" s="153">
        <f t="shared" si="9"/>
        <v>546860</v>
      </c>
      <c r="CQ13" s="153">
        <f t="shared" si="10"/>
        <v>451440</v>
      </c>
      <c r="CR13" s="153">
        <f t="shared" si="31"/>
        <v>4892530.0000000009</v>
      </c>
      <c r="CT13" s="39">
        <v>231.3</v>
      </c>
      <c r="CU13" s="276">
        <f>Dem!B55+(DD13/4)</f>
        <v>17.675000000000004</v>
      </c>
      <c r="CV13" s="276">
        <f>Dem!B95+(DD13/4)</f>
        <v>17.275000000000002</v>
      </c>
      <c r="CW13" s="276">
        <f>Dem!B135+(DD13/4)</f>
        <v>16.475000000000005</v>
      </c>
      <c r="CX13" s="276">
        <f>Dem!B175+(DD13/4)</f>
        <v>16.875000000000004</v>
      </c>
      <c r="CY13" s="276">
        <f>Dem!B255</f>
        <v>8.8000000000000007</v>
      </c>
      <c r="CZ13" s="276">
        <f>Dem!B295</f>
        <v>4.5</v>
      </c>
      <c r="DA13" s="276">
        <f>Dem!B335</f>
        <v>3.7</v>
      </c>
      <c r="DB13" s="276">
        <f>Dem!B375</f>
        <v>0.9</v>
      </c>
      <c r="DC13" s="275">
        <v>87.2</v>
      </c>
      <c r="DD13" s="46">
        <v>-0.49999999999998579</v>
      </c>
      <c r="DE13" s="275"/>
      <c r="DF13" s="276">
        <f>Dem!$D55+(DO13/4)</f>
        <v>44.20000000000001</v>
      </c>
      <c r="DG13" s="276">
        <f>Dem!$D95+(DO13/4)</f>
        <v>45.800000000000011</v>
      </c>
      <c r="DH13" s="276">
        <f>Dem!$D135+(DO13/4)</f>
        <v>45.900000000000006</v>
      </c>
      <c r="DI13" s="276">
        <f>Dem!$D175+(DO13/4)</f>
        <v>45.900000000000006</v>
      </c>
      <c r="DJ13" s="275">
        <f>Dem!$D255</f>
        <v>23.1</v>
      </c>
      <c r="DK13" s="275">
        <f>Dem!$D295</f>
        <v>11.6</v>
      </c>
      <c r="DL13" s="275">
        <f>Dem!$D335</f>
        <v>9.3000000000000007</v>
      </c>
      <c r="DM13" s="275">
        <f>Dem!$D375</f>
        <v>2.2999999999999998</v>
      </c>
      <c r="DN13" s="276">
        <f t="shared" si="32"/>
        <v>231.3</v>
      </c>
      <c r="DO13" s="44">
        <v>-1.5999999999999659</v>
      </c>
    </row>
    <row r="14" spans="1:119">
      <c r="A14" s="46">
        <f t="shared" si="33"/>
        <v>1985</v>
      </c>
      <c r="B14" s="141">
        <f t="shared" si="11"/>
        <v>5.5900001379236952E-2</v>
      </c>
      <c r="D14" s="141">
        <f t="shared" si="12"/>
        <v>0.41933379583746294</v>
      </c>
      <c r="E14" s="141">
        <f t="shared" si="13"/>
        <v>0.47523379721669989</v>
      </c>
      <c r="F14" s="46"/>
      <c r="G14" s="157">
        <f t="shared" si="14"/>
        <v>2.69177403369673E-2</v>
      </c>
      <c r="H14" s="157">
        <f t="shared" si="1"/>
        <v>4.5113974231912796E-2</v>
      </c>
      <c r="I14" s="157">
        <f t="shared" si="1"/>
        <v>5.3994053518335E-2</v>
      </c>
      <c r="J14" s="157">
        <f t="shared" si="1"/>
        <v>5.0981169474727445E-2</v>
      </c>
      <c r="K14" s="157">
        <f t="shared" si="1"/>
        <v>2.0822596630327053E-2</v>
      </c>
      <c r="L14" s="157">
        <f t="shared" si="1"/>
        <v>8.1541129831516346E-3</v>
      </c>
      <c r="M14" s="157">
        <f t="shared" si="1"/>
        <v>3.6832507433102093E-3</v>
      </c>
      <c r="N14" s="157">
        <f t="shared" si="1"/>
        <v>0</v>
      </c>
      <c r="O14" s="46"/>
      <c r="P14" s="154">
        <f t="shared" si="15"/>
        <v>6.5411298315163527E-2</v>
      </c>
      <c r="Q14" s="154">
        <f t="shared" si="16"/>
        <v>0.17443012884043607</v>
      </c>
      <c r="R14" s="154">
        <f t="shared" si="17"/>
        <v>0.33002973240832512</v>
      </c>
      <c r="S14" s="154">
        <f t="shared" si="18"/>
        <v>0.54509415262636285</v>
      </c>
      <c r="T14" s="154">
        <f t="shared" si="19"/>
        <v>0.69177403369672952</v>
      </c>
      <c r="U14" s="154">
        <f t="shared" si="20"/>
        <v>0.78691774033696738</v>
      </c>
      <c r="V14" s="154">
        <f t="shared" si="21"/>
        <v>0.89791873141724488</v>
      </c>
      <c r="W14" s="162">
        <f t="shared" si="34"/>
        <v>1</v>
      </c>
      <c r="X14" s="154"/>
      <c r="Y14" s="142">
        <f t="shared" si="35"/>
        <v>3.1848906560636187E-2</v>
      </c>
      <c r="Z14" s="142">
        <f t="shared" si="3"/>
        <v>5.1570576540755475E-2</v>
      </c>
      <c r="AA14" s="142">
        <f t="shared" si="3"/>
        <v>6.095427435387675E-2</v>
      </c>
      <c r="AB14" s="142">
        <f t="shared" si="3"/>
        <v>5.7017892644135197E-2</v>
      </c>
      <c r="AC14" s="142">
        <f t="shared" si="3"/>
        <v>2.3101391650099404E-2</v>
      </c>
      <c r="AD14" s="142">
        <f t="shared" si="3"/>
        <v>9.0308151093439377E-3</v>
      </c>
      <c r="AE14" s="142">
        <f t="shared" si="3"/>
        <v>4.0930417495029835E-3</v>
      </c>
      <c r="AF14" s="142">
        <f t="shared" si="3"/>
        <v>0</v>
      </c>
      <c r="AH14" s="158">
        <f t="shared" si="22"/>
        <v>4.0755467196819085E-2</v>
      </c>
      <c r="AI14" s="158">
        <f t="shared" si="23"/>
        <v>0.14214711729622267</v>
      </c>
      <c r="AJ14" s="158">
        <f t="shared" si="24"/>
        <v>0.29522862823061635</v>
      </c>
      <c r="AK14" s="158">
        <f t="shared" si="25"/>
        <v>0.51491053677932408</v>
      </c>
      <c r="AL14" s="158">
        <f t="shared" si="26"/>
        <v>0.66898608349900601</v>
      </c>
      <c r="AM14" s="158">
        <f t="shared" si="27"/>
        <v>0.76938369781312133</v>
      </c>
      <c r="AN14" s="158">
        <f t="shared" si="28"/>
        <v>0.88767395626242551</v>
      </c>
      <c r="AO14" s="158">
        <v>1</v>
      </c>
      <c r="AP14" s="143"/>
      <c r="AQ14" s="152">
        <f>Shares!D96</f>
        <v>6.6</v>
      </c>
      <c r="AR14" s="152">
        <f>Shares!E96</f>
        <v>11</v>
      </c>
      <c r="AS14" s="152">
        <f>Shares!F96</f>
        <v>15.7</v>
      </c>
      <c r="AT14" s="152">
        <f>Shares!G96</f>
        <v>21.7</v>
      </c>
      <c r="AU14" s="152">
        <f>Shares!J96</f>
        <v>14.8</v>
      </c>
      <c r="AV14" s="152">
        <f>Shares!K96</f>
        <v>9.6</v>
      </c>
      <c r="AW14" s="152">
        <f>Shares!L96</f>
        <v>11.2</v>
      </c>
      <c r="AX14" s="152">
        <f>Shares!M96</f>
        <v>10.3</v>
      </c>
      <c r="AY14" s="46"/>
      <c r="AZ14" s="152">
        <v>4.0999999999999996</v>
      </c>
      <c r="BA14" s="152">
        <v>10.199999999999999</v>
      </c>
      <c r="BB14" s="152">
        <v>15.4</v>
      </c>
      <c r="BC14" s="152">
        <v>22.1</v>
      </c>
      <c r="BD14" s="152">
        <v>15.5</v>
      </c>
      <c r="BE14" s="152">
        <v>10.1</v>
      </c>
      <c r="BF14" s="152">
        <v>11.9</v>
      </c>
      <c r="BG14" s="152">
        <v>11.3</v>
      </c>
      <c r="BI14" s="146">
        <f>TxRt!B59</f>
        <v>11.8</v>
      </c>
      <c r="BJ14" s="146">
        <f>TxRt!B102</f>
        <v>15.1</v>
      </c>
      <c r="BK14" s="146">
        <f>TxRt!B142</f>
        <v>18.2</v>
      </c>
      <c r="BL14" s="146">
        <f>TxRt!B182</f>
        <v>20.5</v>
      </c>
      <c r="BM14" s="146">
        <f>TxRt!B262</f>
        <v>22.3</v>
      </c>
      <c r="BN14" s="146">
        <f>TxRt!B302</f>
        <v>23.2</v>
      </c>
      <c r="BO14" s="146">
        <f>TxRt!B342</f>
        <v>23.6</v>
      </c>
      <c r="BP14" s="146">
        <f>TxRt!B382</f>
        <v>26.1</v>
      </c>
      <c r="BQ14" s="46"/>
      <c r="BR14" s="60">
        <f>'HH inc'!$I56</f>
        <v>18800</v>
      </c>
      <c r="BS14" s="60">
        <f>'HH inc'!$I96</f>
        <v>31400</v>
      </c>
      <c r="BT14" s="60">
        <f>'HH inc'!$I136</f>
        <v>46500</v>
      </c>
      <c r="BU14" s="60">
        <f>'HH inc'!$I176</f>
        <v>63200</v>
      </c>
      <c r="BV14" s="60">
        <f>'HH inc'!$I256</f>
        <v>81700</v>
      </c>
      <c r="BW14" s="60">
        <f>'HH inc'!$I296</f>
        <v>102500</v>
      </c>
      <c r="BX14" s="60">
        <f>'HH inc'!$I336</f>
        <v>149100</v>
      </c>
      <c r="BY14" s="60">
        <f>'HH inc'!$I376</f>
        <v>544500</v>
      </c>
      <c r="CA14" s="60">
        <f>'HH inc'!$I56</f>
        <v>18800</v>
      </c>
      <c r="CB14" s="60">
        <f>'HH inc'!$I96</f>
        <v>31400</v>
      </c>
      <c r="CC14" s="60">
        <f>'HH inc'!$I136</f>
        <v>46500</v>
      </c>
      <c r="CD14" s="60">
        <f>'HH inc'!$I176</f>
        <v>63200</v>
      </c>
      <c r="CE14" s="60">
        <f>'HH inc'!$I256</f>
        <v>81700</v>
      </c>
      <c r="CF14" s="60">
        <f>'HH inc'!$I296</f>
        <v>102500</v>
      </c>
      <c r="CG14" s="60">
        <f>'HH inc'!$I336</f>
        <v>149100</v>
      </c>
      <c r="CH14" s="60">
        <f>'HH inc'!$I376</f>
        <v>544500</v>
      </c>
      <c r="CJ14" s="153">
        <f t="shared" si="29"/>
        <v>330880</v>
      </c>
      <c r="CK14" s="153">
        <f t="shared" si="30"/>
        <v>552640</v>
      </c>
      <c r="CL14" s="153">
        <f t="shared" si="5"/>
        <v>785850.00000000012</v>
      </c>
      <c r="CM14" s="153">
        <f t="shared" si="6"/>
        <v>1087040.0000000002</v>
      </c>
      <c r="CN14" s="153">
        <f t="shared" si="7"/>
        <v>751640</v>
      </c>
      <c r="CO14" s="153">
        <f t="shared" si="8"/>
        <v>481750</v>
      </c>
      <c r="CP14" s="153">
        <f t="shared" si="9"/>
        <v>566580</v>
      </c>
      <c r="CQ14" s="153">
        <f t="shared" si="10"/>
        <v>544500</v>
      </c>
      <c r="CR14" s="153">
        <f t="shared" si="31"/>
        <v>5100880</v>
      </c>
      <c r="CT14" s="39">
        <v>234.6</v>
      </c>
      <c r="CU14" s="276">
        <f>Dem!B56+(DD14/4)</f>
        <v>17.600000000000001</v>
      </c>
      <c r="CV14" s="276">
        <f>Dem!B96+(DD14/4)</f>
        <v>17.600000000000001</v>
      </c>
      <c r="CW14" s="276">
        <f>Dem!B136+(DD14/4)</f>
        <v>16.900000000000002</v>
      </c>
      <c r="CX14" s="276">
        <f>Dem!B176+(DD14/4)</f>
        <v>17.200000000000003</v>
      </c>
      <c r="CY14" s="276">
        <f>Dem!B256</f>
        <v>9.1999999999999993</v>
      </c>
      <c r="CZ14" s="276">
        <f>Dem!B296</f>
        <v>4.7</v>
      </c>
      <c r="DA14" s="276">
        <f>Dem!B336</f>
        <v>3.8</v>
      </c>
      <c r="DB14" s="276">
        <f>Dem!B376</f>
        <v>1</v>
      </c>
      <c r="DC14" s="275">
        <v>88.8</v>
      </c>
      <c r="DD14" s="46">
        <v>-0.39999999999999147</v>
      </c>
      <c r="DE14" s="275"/>
      <c r="DF14" s="276">
        <f>Dem!$D56+(DO14/4)</f>
        <v>44.750000000000007</v>
      </c>
      <c r="DG14" s="276">
        <f>Dem!$D96+(DO14/4)</f>
        <v>46.45</v>
      </c>
      <c r="DH14" s="276">
        <f>Dem!$D136+(DO14/4)</f>
        <v>46.45</v>
      </c>
      <c r="DI14" s="276">
        <f>Dem!$D176+(DO14/4)</f>
        <v>46.45</v>
      </c>
      <c r="DJ14" s="275">
        <f>Dem!$D256</f>
        <v>23.5</v>
      </c>
      <c r="DK14" s="275">
        <f>Dem!$D296</f>
        <v>11.7</v>
      </c>
      <c r="DL14" s="275">
        <f>Dem!$D336</f>
        <v>9.4</v>
      </c>
      <c r="DM14" s="275">
        <f>Dem!$D376</f>
        <v>2.2999999999999998</v>
      </c>
      <c r="DN14" s="276">
        <f t="shared" si="32"/>
        <v>234.6</v>
      </c>
      <c r="DO14" s="44">
        <v>-1.7999999999999829</v>
      </c>
    </row>
    <row r="15" spans="1:119">
      <c r="A15" s="46">
        <f t="shared" si="33"/>
        <v>1986</v>
      </c>
      <c r="B15" s="141">
        <f t="shared" si="11"/>
        <v>5.3399654797370744E-2</v>
      </c>
      <c r="D15" s="141">
        <f t="shared" si="12"/>
        <v>0.44765238095238113</v>
      </c>
      <c r="E15" s="141">
        <f t="shared" si="13"/>
        <v>0.50105203574975188</v>
      </c>
      <c r="F15" s="46"/>
      <c r="G15" s="157">
        <f t="shared" si="14"/>
        <v>2.7698412698412701E-2</v>
      </c>
      <c r="H15" s="157">
        <f t="shared" si="1"/>
        <v>4.6865079365079373E-2</v>
      </c>
      <c r="I15" s="157">
        <f t="shared" si="1"/>
        <v>5.6706349206349232E-2</v>
      </c>
      <c r="J15" s="157">
        <f t="shared" si="1"/>
        <v>5.5039682539682569E-2</v>
      </c>
      <c r="K15" s="157">
        <f t="shared" si="1"/>
        <v>2.3333333333333352E-2</v>
      </c>
      <c r="L15" s="157">
        <f t="shared" si="1"/>
        <v>9.5039682539682646E-3</v>
      </c>
      <c r="M15" s="157">
        <f t="shared" si="1"/>
        <v>4.6793650793650922E-3</v>
      </c>
      <c r="N15" s="157">
        <f t="shared" si="1"/>
        <v>0</v>
      </c>
      <c r="O15" s="46"/>
      <c r="P15" s="154">
        <f t="shared" si="15"/>
        <v>6.1507936507936505E-2</v>
      </c>
      <c r="Q15" s="154">
        <f t="shared" si="16"/>
        <v>0.16567460317460317</v>
      </c>
      <c r="R15" s="154">
        <f t="shared" si="17"/>
        <v>0.31646825396825395</v>
      </c>
      <c r="S15" s="154">
        <f t="shared" si="18"/>
        <v>0.52480158730158721</v>
      </c>
      <c r="T15" s="154">
        <f t="shared" si="19"/>
        <v>0.66666666666666652</v>
      </c>
      <c r="U15" s="154">
        <f t="shared" si="20"/>
        <v>0.75992063492063477</v>
      </c>
      <c r="V15" s="154">
        <f t="shared" si="21"/>
        <v>0.8730158730158728</v>
      </c>
      <c r="W15" s="162">
        <f t="shared" si="34"/>
        <v>1</v>
      </c>
      <c r="X15" s="154"/>
      <c r="Y15" s="142">
        <f t="shared" si="35"/>
        <v>3.2254220456802388E-2</v>
      </c>
      <c r="Z15" s="142">
        <f t="shared" si="3"/>
        <v>5.2989076464746779E-2</v>
      </c>
      <c r="AA15" s="142">
        <f t="shared" si="3"/>
        <v>6.3396226415094376E-2</v>
      </c>
      <c r="AB15" s="142">
        <f t="shared" si="3"/>
        <v>6.0893743793445899E-2</v>
      </c>
      <c r="AC15" s="142">
        <f t="shared" si="3"/>
        <v>2.5551142005958306E-2</v>
      </c>
      <c r="AD15" s="142">
        <f t="shared" si="3"/>
        <v>1.0359980139026821E-2</v>
      </c>
      <c r="AE15" s="142">
        <f t="shared" si="3"/>
        <v>5.0816285998013955E-3</v>
      </c>
      <c r="AF15" s="142">
        <f t="shared" si="3"/>
        <v>0</v>
      </c>
      <c r="AH15" s="158">
        <f t="shared" si="22"/>
        <v>3.872889771598808E-2</v>
      </c>
      <c r="AI15" s="158">
        <f t="shared" si="23"/>
        <v>0.13505461767626611</v>
      </c>
      <c r="AJ15" s="158">
        <f t="shared" si="24"/>
        <v>0.28301886792452824</v>
      </c>
      <c r="AK15" s="158">
        <f t="shared" si="25"/>
        <v>0.49553128103277055</v>
      </c>
      <c r="AL15" s="158">
        <f t="shared" si="26"/>
        <v>0.64448857994041697</v>
      </c>
      <c r="AM15" s="158">
        <f t="shared" si="27"/>
        <v>0.74280039721946367</v>
      </c>
      <c r="AN15" s="158">
        <f t="shared" si="28"/>
        <v>0.86295928500496522</v>
      </c>
      <c r="AO15" s="158">
        <v>1</v>
      </c>
      <c r="AP15" s="143"/>
      <c r="AQ15" s="152">
        <f>Shares!D97</f>
        <v>6.2</v>
      </c>
      <c r="AR15" s="152">
        <f>Shares!E97</f>
        <v>10.5</v>
      </c>
      <c r="AS15" s="152">
        <f>Shares!F97</f>
        <v>15.2</v>
      </c>
      <c r="AT15" s="152">
        <f>Shares!G97</f>
        <v>21</v>
      </c>
      <c r="AU15" s="152">
        <f>Shares!J97</f>
        <v>14.3</v>
      </c>
      <c r="AV15" s="152">
        <f>Shares!K97</f>
        <v>9.4</v>
      </c>
      <c r="AW15" s="152">
        <f>Shares!L97</f>
        <v>11.4</v>
      </c>
      <c r="AX15" s="152">
        <f>Shares!M97</f>
        <v>12.8</v>
      </c>
      <c r="AY15" s="46"/>
      <c r="AZ15" s="152">
        <v>3.9</v>
      </c>
      <c r="BA15" s="152">
        <v>9.6999999999999993</v>
      </c>
      <c r="BB15" s="152">
        <v>14.9</v>
      </c>
      <c r="BC15" s="152">
        <v>21.4</v>
      </c>
      <c r="BD15" s="152">
        <v>15</v>
      </c>
      <c r="BE15" s="152">
        <v>9.9</v>
      </c>
      <c r="BF15" s="152">
        <v>12.1</v>
      </c>
      <c r="BG15" s="152">
        <v>13.8</v>
      </c>
      <c r="BI15" s="146">
        <f>TxRt!B60</f>
        <v>11.7</v>
      </c>
      <c r="BJ15" s="146">
        <f>TxRt!B103</f>
        <v>15</v>
      </c>
      <c r="BK15" s="146">
        <f>TxRt!B143</f>
        <v>18.2</v>
      </c>
      <c r="BL15" s="146">
        <f>TxRt!B183</f>
        <v>20.6</v>
      </c>
      <c r="BM15" s="146">
        <f>TxRt!B263</f>
        <v>22.5</v>
      </c>
      <c r="BN15" s="146">
        <f>TxRt!B303</f>
        <v>23.4</v>
      </c>
      <c r="BO15" s="146">
        <f>TxRt!B343</f>
        <v>23.5</v>
      </c>
      <c r="BP15" s="146">
        <f>TxRt!B383</f>
        <v>24.7</v>
      </c>
      <c r="BQ15" s="46"/>
      <c r="BR15" s="60">
        <f>'HH inc'!$I57</f>
        <v>18800</v>
      </c>
      <c r="BS15" s="60">
        <f>'HH inc'!$I97</f>
        <v>31900</v>
      </c>
      <c r="BT15" s="60">
        <f>'HH inc'!$I137</f>
        <v>47500</v>
      </c>
      <c r="BU15" s="60">
        <f>'HH inc'!$I177</f>
        <v>65300</v>
      </c>
      <c r="BV15" s="60">
        <f>'HH inc'!$I257</f>
        <v>85300</v>
      </c>
      <c r="BW15" s="60">
        <f>'HH inc'!$I297</f>
        <v>107300</v>
      </c>
      <c r="BX15" s="60">
        <f>'HH inc'!$I337</f>
        <v>162800</v>
      </c>
      <c r="BY15" s="60">
        <f>'HH inc'!$I377</f>
        <v>726700</v>
      </c>
      <c r="CA15" s="60">
        <f>'HH inc'!$I57</f>
        <v>18800</v>
      </c>
      <c r="CB15" s="60">
        <f>'HH inc'!$I97</f>
        <v>31900</v>
      </c>
      <c r="CC15" s="60">
        <f>'HH inc'!$I137</f>
        <v>47500</v>
      </c>
      <c r="CD15" s="60">
        <f>'HH inc'!$I177</f>
        <v>65300</v>
      </c>
      <c r="CE15" s="60">
        <f>'HH inc'!$I257</f>
        <v>85300</v>
      </c>
      <c r="CF15" s="60">
        <f>'HH inc'!$I297</f>
        <v>107300</v>
      </c>
      <c r="CG15" s="60">
        <f>'HH inc'!$I337</f>
        <v>162800</v>
      </c>
      <c r="CH15" s="60">
        <f>'HH inc'!$I377</f>
        <v>726700</v>
      </c>
      <c r="CJ15" s="153">
        <f t="shared" si="29"/>
        <v>336520</v>
      </c>
      <c r="CK15" s="153">
        <f t="shared" si="30"/>
        <v>571010</v>
      </c>
      <c r="CL15" s="153">
        <f t="shared" si="5"/>
        <v>821749.99999999988</v>
      </c>
      <c r="CM15" s="153">
        <f t="shared" si="6"/>
        <v>1136220</v>
      </c>
      <c r="CN15" s="153">
        <f t="shared" si="7"/>
        <v>776230</v>
      </c>
      <c r="CO15" s="153">
        <f t="shared" si="8"/>
        <v>504310</v>
      </c>
      <c r="CP15" s="153">
        <f t="shared" si="9"/>
        <v>618640</v>
      </c>
      <c r="CQ15" s="153">
        <f t="shared" si="10"/>
        <v>726700</v>
      </c>
      <c r="CR15" s="153">
        <f t="shared" si="31"/>
        <v>5491380</v>
      </c>
      <c r="CT15" s="39">
        <v>237.1</v>
      </c>
      <c r="CU15" s="276">
        <f>Dem!B57+(DD15/4)</f>
        <v>17.899999999999999</v>
      </c>
      <c r="CV15" s="276">
        <f>Dem!B97+(DD15/4)</f>
        <v>17.899999999999999</v>
      </c>
      <c r="CW15" s="276">
        <f>Dem!B137+(DD15/4)</f>
        <v>17.299999999999997</v>
      </c>
      <c r="CX15" s="276">
        <f>Dem!B177+(DD15/4)</f>
        <v>17.399999999999999</v>
      </c>
      <c r="CY15" s="276">
        <f>Dem!B257</f>
        <v>9.1</v>
      </c>
      <c r="CZ15" s="276">
        <f>Dem!B297</f>
        <v>4.7</v>
      </c>
      <c r="DA15" s="276">
        <f>Dem!B337</f>
        <v>3.8</v>
      </c>
      <c r="DB15" s="276">
        <f>Dem!B377</f>
        <v>1</v>
      </c>
      <c r="DC15" s="275">
        <v>89.9</v>
      </c>
      <c r="DD15" s="46">
        <v>-0.40000000000000568</v>
      </c>
      <c r="DE15" s="275"/>
      <c r="DF15" s="276">
        <f>Dem!$D57+(DO15/4)</f>
        <v>45.775000000000006</v>
      </c>
      <c r="DG15" s="276">
        <f>Dem!$D97+(DO15/4)</f>
        <v>47.075000000000003</v>
      </c>
      <c r="DH15" s="276">
        <f>Dem!$D137+(DO15/4)</f>
        <v>47.075000000000003</v>
      </c>
      <c r="DI15" s="276">
        <f>Dem!$D177+(DO15/4)</f>
        <v>47.075000000000003</v>
      </c>
      <c r="DJ15" s="275">
        <f>Dem!$D257</f>
        <v>23.7</v>
      </c>
      <c r="DK15" s="275">
        <f>Dem!$D297</f>
        <v>11.9</v>
      </c>
      <c r="DL15" s="275">
        <f>Dem!$D337</f>
        <v>9.5</v>
      </c>
      <c r="DM15" s="275">
        <f>Dem!$D377</f>
        <v>2.4</v>
      </c>
      <c r="DN15" s="276">
        <f t="shared" si="32"/>
        <v>237.1</v>
      </c>
      <c r="DO15" s="44">
        <v>-1.2999999999999829</v>
      </c>
    </row>
    <row r="16" spans="1:119">
      <c r="A16" s="46">
        <f t="shared" si="33"/>
        <v>1987</v>
      </c>
      <c r="B16" s="141">
        <f t="shared" si="11"/>
        <v>6.3429137760158627E-2</v>
      </c>
      <c r="D16" s="141">
        <f>SUM(G16:N16)*2</f>
        <v>0.41749038652130827</v>
      </c>
      <c r="E16" s="141">
        <f t="shared" si="13"/>
        <v>0.48091952428146689</v>
      </c>
      <c r="F16" s="46"/>
      <c r="G16" s="157">
        <f t="shared" si="14"/>
        <v>2.7710604558969277E-2</v>
      </c>
      <c r="H16" s="157">
        <f t="shared" si="1"/>
        <v>4.5708622398414278E-2</v>
      </c>
      <c r="I16" s="157">
        <f t="shared" si="1"/>
        <v>5.3994053518335E-2</v>
      </c>
      <c r="J16" s="157">
        <f>(S$4-S16)*S$3</f>
        <v>4.9990089197224967E-2</v>
      </c>
      <c r="K16" s="157">
        <f t="shared" si="1"/>
        <v>2.0128840436075313E-2</v>
      </c>
      <c r="L16" s="157">
        <f t="shared" si="1"/>
        <v>7.8072348860257663E-3</v>
      </c>
      <c r="M16" s="157">
        <f t="shared" si="1"/>
        <v>3.4057482656095141E-3</v>
      </c>
      <c r="N16" s="157">
        <f t="shared" si="1"/>
        <v>0</v>
      </c>
      <c r="O16" s="46"/>
      <c r="P16" s="154">
        <f t="shared" si="15"/>
        <v>6.1446977205153623E-2</v>
      </c>
      <c r="Q16" s="154">
        <f t="shared" si="16"/>
        <v>0.17145688800792866</v>
      </c>
      <c r="R16" s="154">
        <f t="shared" si="17"/>
        <v>0.33002973240832512</v>
      </c>
      <c r="S16" s="154">
        <f t="shared" si="18"/>
        <v>0.55004955401387523</v>
      </c>
      <c r="T16" s="154">
        <f t="shared" si="19"/>
        <v>0.6987115956392469</v>
      </c>
      <c r="U16" s="154">
        <f t="shared" si="20"/>
        <v>0.79385530227948475</v>
      </c>
      <c r="V16" s="154">
        <f t="shared" si="21"/>
        <v>0.90485629335976225</v>
      </c>
      <c r="W16" s="162">
        <f t="shared" si="34"/>
        <v>1</v>
      </c>
      <c r="X16" s="154"/>
      <c r="Y16" s="142">
        <f t="shared" si="35"/>
        <v>3.2666005946481669E-2</v>
      </c>
      <c r="Z16" s="142">
        <f t="shared" si="3"/>
        <v>5.2646184340931629E-2</v>
      </c>
      <c r="AA16" s="142">
        <f t="shared" si="3"/>
        <v>6.1724479682854327E-2</v>
      </c>
      <c r="AB16" s="142">
        <f t="shared" si="3"/>
        <v>5.732408325074332E-2</v>
      </c>
      <c r="AC16" s="142">
        <f t="shared" si="3"/>
        <v>2.3102081268582753E-2</v>
      </c>
      <c r="AD16" s="142">
        <f t="shared" si="3"/>
        <v>8.9965312190287416E-3</v>
      </c>
      <c r="AE16" s="142">
        <f t="shared" si="3"/>
        <v>4.0003964321110039E-3</v>
      </c>
      <c r="AF16" s="142">
        <f t="shared" si="3"/>
        <v>0</v>
      </c>
      <c r="AH16" s="158">
        <f t="shared" si="22"/>
        <v>3.6669970267591681E-2</v>
      </c>
      <c r="AI16" s="158">
        <f t="shared" si="23"/>
        <v>0.13676907829534193</v>
      </c>
      <c r="AJ16" s="158">
        <f t="shared" si="24"/>
        <v>0.29137760158572845</v>
      </c>
      <c r="AK16" s="158">
        <f t="shared" si="25"/>
        <v>0.51337958374628345</v>
      </c>
      <c r="AL16" s="158">
        <f t="shared" si="26"/>
        <v>0.6689791873141725</v>
      </c>
      <c r="AM16" s="158">
        <f t="shared" si="27"/>
        <v>0.77006937561942523</v>
      </c>
      <c r="AN16" s="158">
        <f t="shared" si="28"/>
        <v>0.889990089197225</v>
      </c>
      <c r="AO16" s="158">
        <v>1</v>
      </c>
      <c r="AP16" s="143"/>
      <c r="AQ16" s="152">
        <f>Shares!D98</f>
        <v>6.2</v>
      </c>
      <c r="AR16" s="152">
        <f>Shares!E98</f>
        <v>11.1</v>
      </c>
      <c r="AS16" s="152">
        <f>Shares!F98</f>
        <v>16</v>
      </c>
      <c r="AT16" s="152">
        <f>Shares!G98</f>
        <v>22.2</v>
      </c>
      <c r="AU16" s="152">
        <f>Shares!J98</f>
        <v>15</v>
      </c>
      <c r="AV16" s="152">
        <f>Shares!K98</f>
        <v>9.6</v>
      </c>
      <c r="AW16" s="152">
        <f>Shares!L98</f>
        <v>11.2</v>
      </c>
      <c r="AX16" s="152">
        <f>Shares!M98</f>
        <v>9.6</v>
      </c>
      <c r="AY16" s="46"/>
      <c r="AZ16" s="152">
        <v>3.7</v>
      </c>
      <c r="BA16" s="152">
        <v>10.1</v>
      </c>
      <c r="BB16" s="152">
        <v>15.6</v>
      </c>
      <c r="BC16" s="152">
        <v>22.4</v>
      </c>
      <c r="BD16" s="152">
        <v>15.7</v>
      </c>
      <c r="BE16" s="152">
        <v>10.199999999999999</v>
      </c>
      <c r="BF16" s="152">
        <v>12.1</v>
      </c>
      <c r="BG16" s="152">
        <v>11.1</v>
      </c>
      <c r="BI16" s="146">
        <f>TxRt!B61</f>
        <v>10.7</v>
      </c>
      <c r="BJ16" s="146">
        <f>TxRt!B104</f>
        <v>14.3</v>
      </c>
      <c r="BK16" s="146">
        <f>TxRt!B144</f>
        <v>17.8</v>
      </c>
      <c r="BL16" s="146">
        <f>TxRt!B184</f>
        <v>20.399999999999999</v>
      </c>
      <c r="BM16" s="146">
        <f>TxRt!B264</f>
        <v>22.8</v>
      </c>
      <c r="BN16" s="146">
        <f>TxRt!B304</f>
        <v>24.5</v>
      </c>
      <c r="BO16" s="146">
        <f>TxRt!B344</f>
        <v>25.9</v>
      </c>
      <c r="BP16" s="146">
        <f>TxRt!B384</f>
        <v>30.1</v>
      </c>
      <c r="BQ16" s="46"/>
      <c r="BR16" s="60">
        <f>'HH inc'!$I58</f>
        <v>18700</v>
      </c>
      <c r="BS16" s="60">
        <f>'HH inc'!$I98</f>
        <v>31400</v>
      </c>
      <c r="BT16" s="60">
        <f>'HH inc'!$I138</f>
        <v>47400</v>
      </c>
      <c r="BU16" s="60">
        <f>'HH inc'!$I178</f>
        <v>65900</v>
      </c>
      <c r="BV16" s="60">
        <f>'HH inc'!$I258</f>
        <v>85700</v>
      </c>
      <c r="BW16" s="60">
        <f>'HH inc'!$I298</f>
        <v>107700</v>
      </c>
      <c r="BX16" s="60">
        <f>'HH inc'!$I338</f>
        <v>156200</v>
      </c>
      <c r="BY16" s="60">
        <f>'HH inc'!$I378</f>
        <v>540800</v>
      </c>
      <c r="CA16" s="60">
        <f>'HH inc'!$I58</f>
        <v>18700</v>
      </c>
      <c r="CB16" s="60">
        <f>'HH inc'!$I98</f>
        <v>31400</v>
      </c>
      <c r="CC16" s="60">
        <f>'HH inc'!$I138</f>
        <v>47400</v>
      </c>
      <c r="CD16" s="60">
        <f>'HH inc'!$I178</f>
        <v>65900</v>
      </c>
      <c r="CE16" s="60">
        <f>'HH inc'!$I258</f>
        <v>85700</v>
      </c>
      <c r="CF16" s="60">
        <f>'HH inc'!$I298</f>
        <v>107700</v>
      </c>
      <c r="CG16" s="60">
        <f>'HH inc'!$I338</f>
        <v>156200</v>
      </c>
      <c r="CH16" s="60">
        <f>'HH inc'!$I378</f>
        <v>540800</v>
      </c>
      <c r="CJ16" s="153">
        <f t="shared" si="29"/>
        <v>329119.99999999994</v>
      </c>
      <c r="CK16" s="153">
        <f t="shared" si="30"/>
        <v>584039.99999999988</v>
      </c>
      <c r="CL16" s="153">
        <f t="shared" si="5"/>
        <v>848459.99999999988</v>
      </c>
      <c r="CM16" s="153">
        <f t="shared" si="6"/>
        <v>1173019.9999999998</v>
      </c>
      <c r="CN16" s="153">
        <f t="shared" si="7"/>
        <v>797010.00000000012</v>
      </c>
      <c r="CO16" s="153">
        <f t="shared" si="8"/>
        <v>506190</v>
      </c>
      <c r="CP16" s="153">
        <f t="shared" si="9"/>
        <v>593560</v>
      </c>
      <c r="CQ16" s="153">
        <f t="shared" si="10"/>
        <v>486720</v>
      </c>
      <c r="CR16" s="153">
        <f t="shared" si="31"/>
        <v>5318119.9999999991</v>
      </c>
      <c r="CT16" s="39">
        <v>239.8</v>
      </c>
      <c r="CU16" s="276">
        <f>Dem!B58+(DD16/4)</f>
        <v>17.599999999999998</v>
      </c>
      <c r="CV16" s="276">
        <f>Dem!B98+(DD16/4)</f>
        <v>18.599999999999998</v>
      </c>
      <c r="CW16" s="276">
        <f>Dem!B138+(DD16/4)</f>
        <v>17.899999999999999</v>
      </c>
      <c r="CX16" s="276">
        <f>Dem!B178+(DD16/4)</f>
        <v>17.799999999999997</v>
      </c>
      <c r="CY16" s="276">
        <f>Dem!B258</f>
        <v>9.3000000000000007</v>
      </c>
      <c r="CZ16" s="276">
        <f>Dem!B298</f>
        <v>4.7</v>
      </c>
      <c r="DA16" s="276">
        <f>Dem!B338</f>
        <v>3.8</v>
      </c>
      <c r="DB16" s="276">
        <f>Dem!B378</f>
        <v>0.9</v>
      </c>
      <c r="DC16" s="275">
        <v>91.4</v>
      </c>
      <c r="DD16" s="46">
        <v>-0.40000000000000568</v>
      </c>
      <c r="DE16" s="275"/>
      <c r="DF16" s="276">
        <f>Dem!$D58+(DO16/4)</f>
        <v>46.424999999999997</v>
      </c>
      <c r="DG16" s="276">
        <f>Dem!$D98+(DO16/4)</f>
        <v>47.724999999999994</v>
      </c>
      <c r="DH16" s="276">
        <f>Dem!$D138+(DO16/4)</f>
        <v>47.724999999999994</v>
      </c>
      <c r="DI16" s="276">
        <f>Dem!$D178+(DO16/4)</f>
        <v>47.724999999999994</v>
      </c>
      <c r="DJ16" s="275">
        <f>Dem!$D258</f>
        <v>24</v>
      </c>
      <c r="DK16" s="275">
        <f>Dem!$D298</f>
        <v>12</v>
      </c>
      <c r="DL16" s="275">
        <f>Dem!$D338</f>
        <v>9.6</v>
      </c>
      <c r="DM16" s="275">
        <f>Dem!$D378</f>
        <v>2.4</v>
      </c>
      <c r="DN16" s="276">
        <f t="shared" si="32"/>
        <v>239.8</v>
      </c>
      <c r="DO16" s="44">
        <v>-1.1000000000000227</v>
      </c>
    </row>
    <row r="17" spans="1:119">
      <c r="A17" s="46">
        <f t="shared" si="33"/>
        <v>1988</v>
      </c>
      <c r="B17" s="141">
        <f t="shared" si="11"/>
        <v>6.1988248316141581E-2</v>
      </c>
      <c r="D17" s="141">
        <f t="shared" si="12"/>
        <v>0.43558476755687442</v>
      </c>
      <c r="E17" s="141">
        <f t="shared" si="13"/>
        <v>0.497573015873016</v>
      </c>
      <c r="F17" s="46"/>
      <c r="G17" s="157">
        <f t="shared" si="14"/>
        <v>2.7734915924826908E-2</v>
      </c>
      <c r="H17" s="157">
        <f t="shared" si="1"/>
        <v>4.6369930761622165E-2</v>
      </c>
      <c r="I17" s="157">
        <f t="shared" si="1"/>
        <v>5.5707220573689445E-2</v>
      </c>
      <c r="J17" s="157">
        <f t="shared" si="1"/>
        <v>5.2977250247279929E-2</v>
      </c>
      <c r="K17" s="157">
        <f t="shared" si="1"/>
        <v>2.1948565776458952E-2</v>
      </c>
      <c r="L17" s="157">
        <f t="shared" si="1"/>
        <v>8.8254203758654833E-3</v>
      </c>
      <c r="M17" s="157">
        <f t="shared" si="1"/>
        <v>4.2290801186943665E-3</v>
      </c>
      <c r="N17" s="157">
        <f t="shared" si="1"/>
        <v>0</v>
      </c>
      <c r="O17" s="46"/>
      <c r="P17" s="154">
        <f t="shared" si="15"/>
        <v>6.1325420375865476E-2</v>
      </c>
      <c r="Q17" s="154">
        <f t="shared" si="16"/>
        <v>0.16815034619188921</v>
      </c>
      <c r="R17" s="154">
        <f t="shared" si="17"/>
        <v>0.32146389713155288</v>
      </c>
      <c r="S17" s="154">
        <f t="shared" si="18"/>
        <v>0.53511374876360041</v>
      </c>
      <c r="T17" s="154">
        <f t="shared" si="19"/>
        <v>0.68051434223541052</v>
      </c>
      <c r="U17" s="154">
        <f t="shared" si="20"/>
        <v>0.77349159248269039</v>
      </c>
      <c r="V17" s="154">
        <f t="shared" si="21"/>
        <v>0.88427299703264095</v>
      </c>
      <c r="W17" s="162">
        <f t="shared" si="34"/>
        <v>1</v>
      </c>
      <c r="X17" s="154"/>
      <c r="Y17" s="142">
        <f t="shared" si="35"/>
        <v>3.2658730158730165E-2</v>
      </c>
      <c r="Z17" s="142">
        <f t="shared" si="3"/>
        <v>5.3214285714285728E-2</v>
      </c>
      <c r="AA17" s="142">
        <f t="shared" si="3"/>
        <v>6.3253968253968271E-2</v>
      </c>
      <c r="AB17" s="142">
        <f t="shared" si="3"/>
        <v>6.0000000000000012E-2</v>
      </c>
      <c r="AC17" s="142">
        <f t="shared" si="3"/>
        <v>2.4821428571428574E-2</v>
      </c>
      <c r="AD17" s="142">
        <f t="shared" si="3"/>
        <v>1.0000000000000004E-2</v>
      </c>
      <c r="AE17" s="142">
        <f t="shared" si="3"/>
        <v>4.8380952380952412E-3</v>
      </c>
      <c r="AF17" s="142">
        <f t="shared" si="3"/>
        <v>0</v>
      </c>
      <c r="AH17" s="158">
        <f t="shared" si="22"/>
        <v>3.6706349206349201E-2</v>
      </c>
      <c r="AI17" s="158">
        <f t="shared" si="23"/>
        <v>0.13392857142857142</v>
      </c>
      <c r="AJ17" s="158">
        <f t="shared" si="24"/>
        <v>0.28373015873015872</v>
      </c>
      <c r="AK17" s="158">
        <f t="shared" si="25"/>
        <v>0.5</v>
      </c>
      <c r="AL17" s="158">
        <f t="shared" si="26"/>
        <v>0.6517857142857143</v>
      </c>
      <c r="AM17" s="158">
        <f t="shared" si="27"/>
        <v>0.75</v>
      </c>
      <c r="AN17" s="158">
        <f t="shared" si="28"/>
        <v>0.86904761904761907</v>
      </c>
      <c r="AO17" s="158">
        <v>1</v>
      </c>
      <c r="AP17" s="143"/>
      <c r="AQ17" s="152">
        <f>Shares!D99</f>
        <v>6.2</v>
      </c>
      <c r="AR17" s="152">
        <f>Shares!E99</f>
        <v>10.8</v>
      </c>
      <c r="AS17" s="152">
        <f>Shares!F99</f>
        <v>15.5</v>
      </c>
      <c r="AT17" s="152">
        <f>Shares!G99</f>
        <v>21.6</v>
      </c>
      <c r="AU17" s="152">
        <f>Shares!J99</f>
        <v>14.7</v>
      </c>
      <c r="AV17" s="152">
        <f>Shares!K99</f>
        <v>9.4</v>
      </c>
      <c r="AW17" s="152">
        <f>Shares!L99</f>
        <v>11.2</v>
      </c>
      <c r="AX17" s="152">
        <f>Shares!M99</f>
        <v>11.7</v>
      </c>
      <c r="AY17" s="46"/>
      <c r="AZ17" s="152">
        <v>3.7</v>
      </c>
      <c r="BA17" s="152">
        <v>9.8000000000000007</v>
      </c>
      <c r="BB17" s="152">
        <v>15.1</v>
      </c>
      <c r="BC17" s="152">
        <v>21.8</v>
      </c>
      <c r="BD17" s="152">
        <v>15.3</v>
      </c>
      <c r="BE17" s="152">
        <v>9.9</v>
      </c>
      <c r="BF17" s="152">
        <v>12</v>
      </c>
      <c r="BG17" s="152">
        <v>13.2</v>
      </c>
      <c r="BI17" s="146">
        <f>TxRt!B62</f>
        <v>10.199999999999999</v>
      </c>
      <c r="BJ17" s="146">
        <f>TxRt!B105</f>
        <v>14.7</v>
      </c>
      <c r="BK17" s="146">
        <f>TxRt!B145</f>
        <v>18.2</v>
      </c>
      <c r="BL17" s="146">
        <f>TxRt!B185</f>
        <v>20.8</v>
      </c>
      <c r="BM17" s="146">
        <f>TxRt!B265</f>
        <v>23.1</v>
      </c>
      <c r="BN17" s="146">
        <f>TxRt!B305</f>
        <v>24.4</v>
      </c>
      <c r="BO17" s="146">
        <f>TxRt!B345</f>
        <v>25.5</v>
      </c>
      <c r="BP17" s="146">
        <f>TxRt!B385</f>
        <v>28.6</v>
      </c>
      <c r="BQ17" s="46"/>
      <c r="BR17" s="60">
        <f>'HH inc'!$I59</f>
        <v>19300</v>
      </c>
      <c r="BS17" s="60">
        <f>'HH inc'!$I99</f>
        <v>31700</v>
      </c>
      <c r="BT17" s="60">
        <f>'HH inc'!$I139</f>
        <v>48000</v>
      </c>
      <c r="BU17" s="60">
        <f>'HH inc'!$I179</f>
        <v>66000</v>
      </c>
      <c r="BV17" s="60">
        <f>'HH inc'!$I259</f>
        <v>86600</v>
      </c>
      <c r="BW17" s="60">
        <f>'HH inc'!$I299</f>
        <v>109800</v>
      </c>
      <c r="BX17" s="60">
        <f>'HH inc'!$I339</f>
        <v>162200</v>
      </c>
      <c r="BY17" s="60">
        <f>'HH inc'!$I379</f>
        <v>691200</v>
      </c>
      <c r="CA17" s="60">
        <f>'HH inc'!$I59</f>
        <v>19300</v>
      </c>
      <c r="CB17" s="60">
        <f>'HH inc'!$I99</f>
        <v>31700</v>
      </c>
      <c r="CC17" s="60">
        <f>'HH inc'!$I139</f>
        <v>48000</v>
      </c>
      <c r="CD17" s="60">
        <f>'HH inc'!$I179</f>
        <v>66000</v>
      </c>
      <c r="CE17" s="60">
        <f>'HH inc'!$I259</f>
        <v>86600</v>
      </c>
      <c r="CF17" s="60">
        <f>'HH inc'!$I299</f>
        <v>109800</v>
      </c>
      <c r="CG17" s="60">
        <f>'HH inc'!$I339</f>
        <v>162200</v>
      </c>
      <c r="CH17" s="60">
        <f>'HH inc'!$I379</f>
        <v>691200</v>
      </c>
      <c r="CJ17" s="153">
        <f t="shared" si="29"/>
        <v>343540</v>
      </c>
      <c r="CK17" s="153">
        <f t="shared" si="30"/>
        <v>602300.00000000012</v>
      </c>
      <c r="CL17" s="153">
        <f t="shared" si="5"/>
        <v>864000.00000000012</v>
      </c>
      <c r="CM17" s="153">
        <f t="shared" si="6"/>
        <v>1207800</v>
      </c>
      <c r="CN17" s="153">
        <f t="shared" si="7"/>
        <v>822700</v>
      </c>
      <c r="CO17" s="153">
        <f t="shared" si="8"/>
        <v>527040</v>
      </c>
      <c r="CP17" s="153">
        <f t="shared" si="9"/>
        <v>632580</v>
      </c>
      <c r="CQ17" s="153">
        <f t="shared" si="10"/>
        <v>691200</v>
      </c>
      <c r="CR17" s="153">
        <f t="shared" si="31"/>
        <v>5691160</v>
      </c>
      <c r="CT17" s="39">
        <v>241.7</v>
      </c>
      <c r="CU17" s="276">
        <f>Dem!B59+(DD17/4)</f>
        <v>17.8</v>
      </c>
      <c r="CV17" s="276">
        <f>Dem!B99+(DD17/4)</f>
        <v>19.000000000000004</v>
      </c>
      <c r="CW17" s="276">
        <f>Dem!B139+(DD17/4)</f>
        <v>18.000000000000004</v>
      </c>
      <c r="CX17" s="276">
        <f>Dem!B179+(DD17/4)</f>
        <v>18.3</v>
      </c>
      <c r="CY17" s="276">
        <f>Dem!B259</f>
        <v>9.5</v>
      </c>
      <c r="CZ17" s="276">
        <f>Dem!B299</f>
        <v>4.8</v>
      </c>
      <c r="DA17" s="276">
        <f>Dem!B339</f>
        <v>3.9</v>
      </c>
      <c r="DB17" s="276">
        <f>Dem!B379</f>
        <v>1</v>
      </c>
      <c r="DC17" s="275">
        <v>93.1</v>
      </c>
      <c r="DD17" s="46">
        <v>-0.39999999999999147</v>
      </c>
      <c r="DE17" s="275"/>
      <c r="DF17" s="276">
        <f>Dem!$D59+(DO17/4)</f>
        <v>46.800000000000004</v>
      </c>
      <c r="DG17" s="276">
        <f>Dem!$D99+(DO17/4)</f>
        <v>48.1</v>
      </c>
      <c r="DH17" s="276">
        <f>Dem!$D139+(DO17/4)</f>
        <v>48</v>
      </c>
      <c r="DI17" s="276">
        <f>Dem!$D179+(DO17/4)</f>
        <v>48</v>
      </c>
      <c r="DJ17" s="275">
        <f>Dem!$D259</f>
        <v>24.2</v>
      </c>
      <c r="DK17" s="275">
        <f>Dem!$D299</f>
        <v>12.1</v>
      </c>
      <c r="DL17" s="275">
        <f>Dem!$D339</f>
        <v>9.6999999999999993</v>
      </c>
      <c r="DM17" s="275">
        <f>Dem!$D379</f>
        <v>2.4</v>
      </c>
      <c r="DN17" s="276">
        <f t="shared" si="32"/>
        <v>241.7</v>
      </c>
      <c r="DO17" s="44">
        <v>-1.1999999999999886</v>
      </c>
    </row>
    <row r="18" spans="1:119">
      <c r="A18" s="46">
        <f t="shared" si="33"/>
        <v>1989</v>
      </c>
      <c r="B18" s="141">
        <f t="shared" si="11"/>
        <v>6.1079375067596087E-2</v>
      </c>
      <c r="D18" s="141">
        <f t="shared" si="12"/>
        <v>0.42984356435643573</v>
      </c>
      <c r="E18" s="141">
        <f t="shared" si="13"/>
        <v>0.49092293942403181</v>
      </c>
      <c r="F18" s="46"/>
      <c r="G18" s="157">
        <f t="shared" si="14"/>
        <v>2.7524752475247528E-2</v>
      </c>
      <c r="H18" s="157">
        <f t="shared" si="1"/>
        <v>4.5940594059405954E-2</v>
      </c>
      <c r="I18" s="157">
        <f t="shared" si="1"/>
        <v>5.5049504950495078E-2</v>
      </c>
      <c r="J18" s="157">
        <f t="shared" si="1"/>
        <v>5.2277227722772282E-2</v>
      </c>
      <c r="K18" s="157">
        <f t="shared" si="1"/>
        <v>2.1584158415841583E-2</v>
      </c>
      <c r="L18" s="157">
        <f t="shared" si="1"/>
        <v>8.5891089108910915E-3</v>
      </c>
      <c r="M18" s="157">
        <f t="shared" si="1"/>
        <v>3.9564356435643601E-3</v>
      </c>
      <c r="N18" s="157">
        <f t="shared" si="1"/>
        <v>0</v>
      </c>
      <c r="O18" s="46"/>
      <c r="P18" s="154">
        <f t="shared" si="15"/>
        <v>6.2376237623762376E-2</v>
      </c>
      <c r="Q18" s="154">
        <f t="shared" si="16"/>
        <v>0.17029702970297028</v>
      </c>
      <c r="R18" s="154">
        <f t="shared" si="17"/>
        <v>0.32475247524752471</v>
      </c>
      <c r="S18" s="154">
        <f t="shared" si="18"/>
        <v>0.53861386138613865</v>
      </c>
      <c r="T18" s="154">
        <f t="shared" si="19"/>
        <v>0.68415841584158421</v>
      </c>
      <c r="U18" s="154">
        <f t="shared" si="20"/>
        <v>0.77821782178217824</v>
      </c>
      <c r="V18" s="154">
        <f t="shared" si="21"/>
        <v>0.8910891089108911</v>
      </c>
      <c r="W18" s="162">
        <f t="shared" si="34"/>
        <v>1</v>
      </c>
      <c r="X18" s="154"/>
      <c r="Y18" s="142">
        <f t="shared" si="35"/>
        <v>3.2452830188679248E-2</v>
      </c>
      <c r="Z18" s="142">
        <f t="shared" si="3"/>
        <v>5.2790466732869912E-2</v>
      </c>
      <c r="AA18" s="142">
        <f t="shared" si="3"/>
        <v>6.2601787487586907E-2</v>
      </c>
      <c r="AB18" s="142">
        <f t="shared" si="3"/>
        <v>5.9106256206554124E-2</v>
      </c>
      <c r="AC18" s="142">
        <f t="shared" si="3"/>
        <v>2.4359483614697121E-2</v>
      </c>
      <c r="AD18" s="142">
        <f t="shared" si="3"/>
        <v>9.6648460774577949E-3</v>
      </c>
      <c r="AE18" s="142">
        <f t="shared" si="3"/>
        <v>4.4857994041708031E-3</v>
      </c>
      <c r="AF18" s="142">
        <f t="shared" si="3"/>
        <v>0</v>
      </c>
      <c r="AH18" s="158">
        <f t="shared" si="22"/>
        <v>3.7735849056603779E-2</v>
      </c>
      <c r="AI18" s="158">
        <f t="shared" si="23"/>
        <v>0.13604766633565046</v>
      </c>
      <c r="AJ18" s="158">
        <f t="shared" si="24"/>
        <v>0.28699106256206558</v>
      </c>
      <c r="AK18" s="158">
        <f t="shared" si="25"/>
        <v>0.50446871896722945</v>
      </c>
      <c r="AL18" s="158">
        <f t="shared" si="26"/>
        <v>0.65640516385302883</v>
      </c>
      <c r="AM18" s="158">
        <f t="shared" si="27"/>
        <v>0.75670307845084417</v>
      </c>
      <c r="AN18" s="158">
        <f t="shared" si="28"/>
        <v>0.87785501489573003</v>
      </c>
      <c r="AO18" s="158">
        <v>1</v>
      </c>
      <c r="AP18" s="143"/>
      <c r="AQ18" s="152">
        <f>Shares!D100</f>
        <v>6.3</v>
      </c>
      <c r="AR18" s="152">
        <f>Shares!E100</f>
        <v>10.9</v>
      </c>
      <c r="AS18" s="152">
        <f>Shares!F100</f>
        <v>15.6</v>
      </c>
      <c r="AT18" s="152">
        <f>Shares!G100</f>
        <v>21.6</v>
      </c>
      <c r="AU18" s="152">
        <f>Shares!J100</f>
        <v>14.7</v>
      </c>
      <c r="AV18" s="152">
        <f>Shares!K100</f>
        <v>9.5</v>
      </c>
      <c r="AW18" s="152">
        <f>Shares!L100</f>
        <v>11.4</v>
      </c>
      <c r="AX18" s="152">
        <f>Shares!M100</f>
        <v>11</v>
      </c>
      <c r="AY18" s="46"/>
      <c r="AZ18" s="152">
        <v>3.8</v>
      </c>
      <c r="BA18" s="152">
        <v>9.9</v>
      </c>
      <c r="BB18" s="152">
        <v>15.2</v>
      </c>
      <c r="BC18" s="152">
        <v>21.9</v>
      </c>
      <c r="BD18" s="152">
        <v>15.3</v>
      </c>
      <c r="BE18" s="152">
        <v>10.1</v>
      </c>
      <c r="BF18" s="152">
        <v>12.2</v>
      </c>
      <c r="BG18" s="152">
        <v>12.3</v>
      </c>
      <c r="BI18" s="146">
        <f>TxRt!B63</f>
        <v>9.6</v>
      </c>
      <c r="BJ18" s="146">
        <f>TxRt!B106</f>
        <v>14.3</v>
      </c>
      <c r="BK18" s="146">
        <f>TxRt!B146</f>
        <v>18.100000000000001</v>
      </c>
      <c r="BL18" s="146">
        <f>TxRt!B186</f>
        <v>20.8</v>
      </c>
      <c r="BM18" s="146">
        <f>TxRt!B266</f>
        <v>23</v>
      </c>
      <c r="BN18" s="146">
        <f>TxRt!B306</f>
        <v>24.2</v>
      </c>
      <c r="BO18" s="146">
        <f>TxRt!B346</f>
        <v>25.3</v>
      </c>
      <c r="BP18" s="146">
        <f>TxRt!B386</f>
        <v>27.9</v>
      </c>
      <c r="BQ18" s="46"/>
      <c r="BR18" s="60">
        <f>'HH inc'!$I60</f>
        <v>20300</v>
      </c>
      <c r="BS18" s="60">
        <f>'HH inc'!$I100</f>
        <v>32300</v>
      </c>
      <c r="BT18" s="60">
        <f>'HH inc'!$I140</f>
        <v>48500</v>
      </c>
      <c r="BU18" s="60">
        <f>'HH inc'!$I180</f>
        <v>66900</v>
      </c>
      <c r="BV18" s="60">
        <f>'HH inc'!$I260</f>
        <v>88100</v>
      </c>
      <c r="BW18" s="60">
        <f>'HH inc'!$I300</f>
        <v>111900</v>
      </c>
      <c r="BX18" s="60">
        <f>'HH inc'!$I340</f>
        <v>165700</v>
      </c>
      <c r="BY18" s="60">
        <f>'HH inc'!$I380</f>
        <v>649700</v>
      </c>
      <c r="CA18" s="60">
        <f>'HH inc'!$I60</f>
        <v>20300</v>
      </c>
      <c r="CB18" s="60">
        <f>'HH inc'!$I100</f>
        <v>32300</v>
      </c>
      <c r="CC18" s="60">
        <f>'HH inc'!$I140</f>
        <v>48500</v>
      </c>
      <c r="CD18" s="60">
        <f>'HH inc'!$I180</f>
        <v>66900</v>
      </c>
      <c r="CE18" s="60">
        <f>'HH inc'!$I260</f>
        <v>88100</v>
      </c>
      <c r="CF18" s="60">
        <f>'HH inc'!$I300</f>
        <v>111900</v>
      </c>
      <c r="CG18" s="60">
        <f>'HH inc'!$I340</f>
        <v>165700</v>
      </c>
      <c r="CH18" s="60">
        <f>'HH inc'!$I380</f>
        <v>649700</v>
      </c>
      <c r="CJ18" s="153">
        <f t="shared" si="29"/>
        <v>359310.00000000006</v>
      </c>
      <c r="CK18" s="153">
        <f t="shared" si="30"/>
        <v>620160.00000000012</v>
      </c>
      <c r="CL18" s="153">
        <f t="shared" si="5"/>
        <v>887550</v>
      </c>
      <c r="CM18" s="153">
        <f t="shared" si="6"/>
        <v>1230960.0000000002</v>
      </c>
      <c r="CN18" s="153">
        <f t="shared" si="7"/>
        <v>836950</v>
      </c>
      <c r="CO18" s="153">
        <f t="shared" si="8"/>
        <v>537120</v>
      </c>
      <c r="CP18" s="153">
        <f t="shared" si="9"/>
        <v>646230</v>
      </c>
      <c r="CQ18" s="153">
        <f t="shared" si="10"/>
        <v>649700</v>
      </c>
      <c r="CR18" s="153">
        <f t="shared" si="31"/>
        <v>5767980</v>
      </c>
      <c r="CT18" s="39">
        <v>243.9</v>
      </c>
      <c r="CU18" s="276">
        <f>Dem!B60+(DD18/4)</f>
        <v>17.700000000000003</v>
      </c>
      <c r="CV18" s="276">
        <f>Dem!B100+(DD18/4)</f>
        <v>19.200000000000003</v>
      </c>
      <c r="CW18" s="276">
        <f>Dem!B140+(DD18/4)</f>
        <v>18.3</v>
      </c>
      <c r="CX18" s="276">
        <f>Dem!B180+(DD18/4)</f>
        <v>18.400000000000002</v>
      </c>
      <c r="CY18" s="276">
        <f>Dem!B260</f>
        <v>9.5</v>
      </c>
      <c r="CZ18" s="276">
        <f>Dem!B300</f>
        <v>4.8</v>
      </c>
      <c r="DA18" s="276">
        <f>Dem!B340</f>
        <v>3.9</v>
      </c>
      <c r="DB18" s="276">
        <f>Dem!B380</f>
        <v>1</v>
      </c>
      <c r="DC18" s="275">
        <v>93.6</v>
      </c>
      <c r="DD18" s="46">
        <v>-0.39999999999999147</v>
      </c>
      <c r="DE18" s="275"/>
      <c r="DF18" s="276">
        <f>Dem!$D60+(DO18/4)</f>
        <v>47.325000000000003</v>
      </c>
      <c r="DG18" s="276">
        <f>Dem!$D100+(DO18/4)</f>
        <v>48.524999999999999</v>
      </c>
      <c r="DH18" s="276">
        <f>Dem!$D140+(DO18/4)</f>
        <v>48.524999999999999</v>
      </c>
      <c r="DI18" s="276">
        <f>Dem!$D180+(DO18/4)</f>
        <v>48.524999999999999</v>
      </c>
      <c r="DJ18" s="275">
        <f>Dem!$D260</f>
        <v>24.4</v>
      </c>
      <c r="DK18" s="275">
        <f>Dem!$D300</f>
        <v>12.2</v>
      </c>
      <c r="DL18" s="275">
        <f>Dem!$D340</f>
        <v>9.8000000000000007</v>
      </c>
      <c r="DM18" s="275">
        <f>Dem!$D380</f>
        <v>2.4</v>
      </c>
      <c r="DN18" s="276">
        <f t="shared" si="32"/>
        <v>243.9</v>
      </c>
      <c r="DO18" s="44">
        <v>-1.0999999999999943</v>
      </c>
    </row>
    <row r="19" spans="1:119">
      <c r="A19" s="46">
        <f t="shared" si="33"/>
        <v>1990</v>
      </c>
      <c r="B19" s="141">
        <f t="shared" si="11"/>
        <v>6.4465404361546796E-2</v>
      </c>
      <c r="D19" s="141">
        <f t="shared" si="12"/>
        <v>0.42124253214638985</v>
      </c>
      <c r="E19" s="141">
        <f t="shared" si="13"/>
        <v>0.48570793650793664</v>
      </c>
      <c r="F19" s="46"/>
      <c r="G19" s="157">
        <f t="shared" si="14"/>
        <v>2.6943620178041545E-2</v>
      </c>
      <c r="H19" s="157">
        <f t="shared" si="1"/>
        <v>4.4985163204747783E-2</v>
      </c>
      <c r="I19" s="157">
        <f t="shared" si="1"/>
        <v>5.4124629080118718E-2</v>
      </c>
      <c r="J19" s="157">
        <f t="shared" si="1"/>
        <v>5.1196834817012871E-2</v>
      </c>
      <c r="K19" s="157">
        <f t="shared" si="1"/>
        <v>2.1157270029673592E-2</v>
      </c>
      <c r="L19" s="157">
        <f t="shared" si="1"/>
        <v>8.3803165182987204E-3</v>
      </c>
      <c r="M19" s="157">
        <f t="shared" si="1"/>
        <v>3.8334322453016868E-3</v>
      </c>
      <c r="N19" s="157">
        <f t="shared" si="1"/>
        <v>0</v>
      </c>
      <c r="O19" s="46"/>
      <c r="P19" s="154">
        <f t="shared" si="15"/>
        <v>6.5281899109792291E-2</v>
      </c>
      <c r="Q19" s="154">
        <f t="shared" si="16"/>
        <v>0.17507418397626112</v>
      </c>
      <c r="R19" s="154">
        <f t="shared" si="17"/>
        <v>0.32937685459940652</v>
      </c>
      <c r="S19" s="154">
        <f t="shared" si="18"/>
        <v>0.54401582591493569</v>
      </c>
      <c r="T19" s="154">
        <f t="shared" si="19"/>
        <v>0.68842729970326411</v>
      </c>
      <c r="U19" s="154">
        <f t="shared" si="20"/>
        <v>0.78239366963402568</v>
      </c>
      <c r="V19" s="154">
        <f t="shared" si="21"/>
        <v>0.89416419386745793</v>
      </c>
      <c r="W19" s="162">
        <f t="shared" si="34"/>
        <v>1</v>
      </c>
      <c r="X19" s="154"/>
      <c r="Y19" s="142">
        <f t="shared" si="35"/>
        <v>3.2261904761904762E-2</v>
      </c>
      <c r="Z19" s="142">
        <f t="shared" si="3"/>
        <v>5.2222222222222225E-2</v>
      </c>
      <c r="AA19" s="142">
        <f t="shared" si="3"/>
        <v>6.2063492063492091E-2</v>
      </c>
      <c r="AB19" s="142">
        <f t="shared" si="3"/>
        <v>5.841269841269843E-2</v>
      </c>
      <c r="AC19" s="142">
        <f t="shared" si="3"/>
        <v>2.4027777777777783E-2</v>
      </c>
      <c r="AD19" s="142">
        <f t="shared" si="3"/>
        <v>9.5039682539682594E-3</v>
      </c>
      <c r="AE19" s="142">
        <f t="shared" si="3"/>
        <v>4.3619047619047674E-3</v>
      </c>
      <c r="AF19" s="142">
        <f t="shared" si="3"/>
        <v>0</v>
      </c>
      <c r="AH19" s="158">
        <f t="shared" si="22"/>
        <v>3.8690476190476192E-2</v>
      </c>
      <c r="AI19" s="158">
        <f t="shared" si="23"/>
        <v>0.1388888888888889</v>
      </c>
      <c r="AJ19" s="158">
        <f t="shared" si="24"/>
        <v>0.28968253968253965</v>
      </c>
      <c r="AK19" s="158">
        <f t="shared" si="25"/>
        <v>0.50793650793650791</v>
      </c>
      <c r="AL19" s="158">
        <f t="shared" si="26"/>
        <v>0.65972222222222221</v>
      </c>
      <c r="AM19" s="158">
        <f t="shared" si="27"/>
        <v>0.75992063492063489</v>
      </c>
      <c r="AN19" s="158">
        <f t="shared" si="28"/>
        <v>0.88095238095238093</v>
      </c>
      <c r="AO19" s="158">
        <v>1</v>
      </c>
      <c r="AP19" s="143"/>
      <c r="AQ19" s="152">
        <f>Shares!D101</f>
        <v>6.6</v>
      </c>
      <c r="AR19" s="152">
        <f>Shares!E101</f>
        <v>11.1</v>
      </c>
      <c r="AS19" s="152">
        <f>Shares!F101</f>
        <v>15.6</v>
      </c>
      <c r="AT19" s="152">
        <f>Shares!G101</f>
        <v>21.7</v>
      </c>
      <c r="AU19" s="152">
        <f>Shares!J101</f>
        <v>14.6</v>
      </c>
      <c r="AV19" s="152">
        <f>Shares!K101</f>
        <v>9.5</v>
      </c>
      <c r="AW19" s="152">
        <f>Shares!L101</f>
        <v>11.3</v>
      </c>
      <c r="AX19" s="152">
        <f>Shares!M101</f>
        <v>10.7</v>
      </c>
      <c r="AY19" s="46"/>
      <c r="AZ19" s="152">
        <v>3.9</v>
      </c>
      <c r="BA19" s="152">
        <v>10.1</v>
      </c>
      <c r="BB19" s="152">
        <v>15.2</v>
      </c>
      <c r="BC19" s="152">
        <v>22</v>
      </c>
      <c r="BD19" s="152">
        <v>15.3</v>
      </c>
      <c r="BE19" s="152">
        <v>10.1</v>
      </c>
      <c r="BF19" s="152">
        <v>12.2</v>
      </c>
      <c r="BG19" s="152">
        <v>12</v>
      </c>
      <c r="BI19" s="146">
        <f>TxRt!B64</f>
        <v>10.7</v>
      </c>
      <c r="BJ19" s="146">
        <f>TxRt!B107</f>
        <v>15</v>
      </c>
      <c r="BK19" s="146">
        <f>TxRt!B147</f>
        <v>18.2</v>
      </c>
      <c r="BL19" s="146">
        <f>TxRt!B187</f>
        <v>20.8</v>
      </c>
      <c r="BM19" s="146">
        <f>TxRt!B267</f>
        <v>23</v>
      </c>
      <c r="BN19" s="146">
        <f>TxRt!B307</f>
        <v>24.1</v>
      </c>
      <c r="BO19" s="146">
        <f>TxRt!B347</f>
        <v>25.2</v>
      </c>
      <c r="BP19" s="146">
        <f>TxRt!B387</f>
        <v>27.7</v>
      </c>
      <c r="BQ19" s="46"/>
      <c r="BR19" s="60">
        <f>'HH inc'!$I61</f>
        <v>21100</v>
      </c>
      <c r="BS19" s="60">
        <f>'HH inc'!$I101</f>
        <v>33200</v>
      </c>
      <c r="BT19" s="60">
        <f>'HH inc'!$I141</f>
        <v>48900</v>
      </c>
      <c r="BU19" s="60">
        <f>'HH inc'!$I181</f>
        <v>66400</v>
      </c>
      <c r="BV19" s="60">
        <f>'HH inc'!$I261</f>
        <v>87000</v>
      </c>
      <c r="BW19" s="60">
        <f>'HH inc'!$I301</f>
        <v>109600</v>
      </c>
      <c r="BX19" s="60">
        <f>'HH inc'!$I341</f>
        <v>161400</v>
      </c>
      <c r="BY19" s="60">
        <f>'HH inc'!$I381</f>
        <v>630100</v>
      </c>
      <c r="CA19" s="60">
        <f>'HH inc'!$I61</f>
        <v>21100</v>
      </c>
      <c r="CB19" s="60">
        <f>'HH inc'!$I101</f>
        <v>33200</v>
      </c>
      <c r="CC19" s="60">
        <f>'HH inc'!$I141</f>
        <v>48900</v>
      </c>
      <c r="CD19" s="60">
        <f>'HH inc'!$I181</f>
        <v>66400</v>
      </c>
      <c r="CE19" s="60">
        <f>'HH inc'!$I261</f>
        <v>87000</v>
      </c>
      <c r="CF19" s="60">
        <f>'HH inc'!$I301</f>
        <v>109600</v>
      </c>
      <c r="CG19" s="60">
        <f>'HH inc'!$I341</f>
        <v>161400</v>
      </c>
      <c r="CH19" s="60">
        <f>'HH inc'!$I381</f>
        <v>630100</v>
      </c>
      <c r="CJ19" s="153">
        <f t="shared" si="29"/>
        <v>382437.5</v>
      </c>
      <c r="CK19" s="153">
        <f t="shared" si="30"/>
        <v>634950</v>
      </c>
      <c r="CL19" s="153">
        <f t="shared" si="5"/>
        <v>896092.5</v>
      </c>
      <c r="CM19" s="153">
        <f t="shared" si="6"/>
        <v>1243340</v>
      </c>
      <c r="CN19" s="153">
        <f t="shared" si="7"/>
        <v>843899.99999999988</v>
      </c>
      <c r="CO19" s="153">
        <f t="shared" si="8"/>
        <v>548000</v>
      </c>
      <c r="CP19" s="153">
        <f t="shared" si="9"/>
        <v>645600</v>
      </c>
      <c r="CQ19" s="153">
        <f t="shared" si="10"/>
        <v>630100</v>
      </c>
      <c r="CR19" s="153">
        <f t="shared" si="31"/>
        <v>5824420</v>
      </c>
      <c r="CT19" s="39">
        <v>246.7</v>
      </c>
      <c r="CU19" s="276">
        <f>Dem!B61+(DD19/4)</f>
        <v>18.125</v>
      </c>
      <c r="CV19" s="276">
        <f>Dem!B101+(DD19/4)</f>
        <v>19.125</v>
      </c>
      <c r="CW19" s="276">
        <f>Dem!B141+(DD19/4)</f>
        <v>18.324999999999999</v>
      </c>
      <c r="CX19" s="276">
        <f>Dem!B181+(DD19/4)</f>
        <v>18.725000000000001</v>
      </c>
      <c r="CY19" s="276">
        <f>Dem!B261</f>
        <v>9.6999999999999993</v>
      </c>
      <c r="CZ19" s="276">
        <f>Dem!B301</f>
        <v>5</v>
      </c>
      <c r="DA19" s="276">
        <f>Dem!B341</f>
        <v>4</v>
      </c>
      <c r="DB19" s="276">
        <f>Dem!B381</f>
        <v>1</v>
      </c>
      <c r="DC19" s="275">
        <v>94.6</v>
      </c>
      <c r="DD19" s="46">
        <v>-0.29999999999999716</v>
      </c>
      <c r="DE19" s="275"/>
      <c r="DF19" s="276">
        <f>Dem!$D61+(DO19/4)</f>
        <v>47.775000000000006</v>
      </c>
      <c r="DG19" s="276">
        <f>Dem!$D101+(DO19/4)</f>
        <v>48.975000000000001</v>
      </c>
      <c r="DH19" s="276">
        <f>Dem!$D141+(DO19/4)</f>
        <v>48.975000000000001</v>
      </c>
      <c r="DI19" s="276">
        <f>Dem!$D181+(DO19/4)</f>
        <v>48.975000000000001</v>
      </c>
      <c r="DJ19" s="275">
        <f>Dem!$D261</f>
        <v>24.7</v>
      </c>
      <c r="DK19" s="275">
        <f>Dem!$D301</f>
        <v>12.3</v>
      </c>
      <c r="DL19" s="275">
        <f>Dem!$D341</f>
        <v>9.9</v>
      </c>
      <c r="DM19" s="275">
        <f>Dem!$D381</f>
        <v>2.5</v>
      </c>
      <c r="DN19" s="276">
        <f t="shared" si="32"/>
        <v>246.7</v>
      </c>
      <c r="DO19" s="44">
        <v>-1.2999999999999829</v>
      </c>
    </row>
    <row r="20" spans="1:119">
      <c r="A20" s="46">
        <f t="shared" si="33"/>
        <v>1991</v>
      </c>
      <c r="B20" s="141">
        <f t="shared" si="11"/>
        <v>7.0883210991906642E-2</v>
      </c>
      <c r="D20" s="141">
        <f t="shared" si="12"/>
        <v>0.40676916996047441</v>
      </c>
      <c r="E20" s="141">
        <f t="shared" si="13"/>
        <v>0.47765238095238105</v>
      </c>
      <c r="F20" s="46"/>
      <c r="G20" s="157">
        <f t="shared" si="14"/>
        <v>2.6166007905138344E-2</v>
      </c>
      <c r="H20" s="157">
        <f t="shared" si="1"/>
        <v>4.4031620553359692E-2</v>
      </c>
      <c r="I20" s="157">
        <f t="shared" si="1"/>
        <v>5.2411067193675914E-2</v>
      </c>
      <c r="J20" s="157">
        <f t="shared" si="1"/>
        <v>4.9328063241106723E-2</v>
      </c>
      <c r="K20" s="157">
        <f t="shared" si="1"/>
        <v>2.0138339920948614E-2</v>
      </c>
      <c r="L20" s="157">
        <f t="shared" si="1"/>
        <v>7.8754940711462437E-3</v>
      </c>
      <c r="M20" s="157">
        <f t="shared" si="1"/>
        <v>3.4339920948616601E-3</v>
      </c>
      <c r="N20" s="157">
        <f t="shared" si="1"/>
        <v>0</v>
      </c>
      <c r="O20" s="46"/>
      <c r="P20" s="154">
        <f t="shared" si="15"/>
        <v>6.9169960474308304E-2</v>
      </c>
      <c r="Q20" s="154">
        <f t="shared" si="16"/>
        <v>0.17984189723320157</v>
      </c>
      <c r="R20" s="154">
        <f t="shared" si="17"/>
        <v>0.33794466403162055</v>
      </c>
      <c r="S20" s="154">
        <f t="shared" si="18"/>
        <v>0.55335968379446643</v>
      </c>
      <c r="T20" s="154">
        <f t="shared" si="19"/>
        <v>0.69861660079051391</v>
      </c>
      <c r="U20" s="154">
        <f t="shared" si="20"/>
        <v>0.79249011857707519</v>
      </c>
      <c r="V20" s="154">
        <f t="shared" si="21"/>
        <v>0.90415019762845861</v>
      </c>
      <c r="W20" s="162">
        <f t="shared" si="34"/>
        <v>1</v>
      </c>
      <c r="X20" s="154"/>
      <c r="Y20" s="142">
        <f t="shared" si="35"/>
        <v>3.2063492063492065E-2</v>
      </c>
      <c r="Z20" s="142">
        <f t="shared" si="3"/>
        <v>5.2023809523809528E-2</v>
      </c>
      <c r="AA20" s="142">
        <f t="shared" si="3"/>
        <v>6.1071428571428589E-2</v>
      </c>
      <c r="AB20" s="142">
        <f t="shared" si="3"/>
        <v>5.7222222222222223E-2</v>
      </c>
      <c r="AC20" s="142">
        <f t="shared" si="3"/>
        <v>2.3333333333333331E-2</v>
      </c>
      <c r="AD20" s="142">
        <f t="shared" si="3"/>
        <v>9.1071428571428588E-3</v>
      </c>
      <c r="AE20" s="142">
        <f t="shared" si="3"/>
        <v>4.0047619047619068E-3</v>
      </c>
      <c r="AF20" s="142">
        <f t="shared" si="3"/>
        <v>0</v>
      </c>
      <c r="AH20" s="158">
        <f t="shared" si="22"/>
        <v>3.968253968253968E-2</v>
      </c>
      <c r="AI20" s="158">
        <f t="shared" si="23"/>
        <v>0.13988095238095238</v>
      </c>
      <c r="AJ20" s="158">
        <f t="shared" si="24"/>
        <v>0.29464285714285715</v>
      </c>
      <c r="AK20" s="158">
        <f t="shared" si="25"/>
        <v>0.51388888888888895</v>
      </c>
      <c r="AL20" s="158">
        <f t="shared" si="26"/>
        <v>0.66666666666666674</v>
      </c>
      <c r="AM20" s="158">
        <f t="shared" si="27"/>
        <v>0.7678571428571429</v>
      </c>
      <c r="AN20" s="158">
        <f t="shared" si="28"/>
        <v>0.88988095238095244</v>
      </c>
      <c r="AO20" s="158">
        <v>1</v>
      </c>
      <c r="AP20" s="143"/>
      <c r="AQ20" s="152">
        <f>Shares!D102</f>
        <v>7</v>
      </c>
      <c r="AR20" s="152">
        <f>Shares!E102</f>
        <v>11.2</v>
      </c>
      <c r="AS20" s="152">
        <f>Shares!F102</f>
        <v>16</v>
      </c>
      <c r="AT20" s="152">
        <f>Shares!G102</f>
        <v>21.8</v>
      </c>
      <c r="AU20" s="152">
        <f>Shares!J102</f>
        <v>14.7</v>
      </c>
      <c r="AV20" s="152">
        <f>Shares!K102</f>
        <v>9.5</v>
      </c>
      <c r="AW20" s="152">
        <f>Shares!L102</f>
        <v>11.3</v>
      </c>
      <c r="AX20" s="152">
        <f>Shares!M102</f>
        <v>9.6999999999999993</v>
      </c>
      <c r="AY20" s="46"/>
      <c r="AZ20" s="152">
        <v>4</v>
      </c>
      <c r="BA20" s="152">
        <v>10.1</v>
      </c>
      <c r="BB20" s="152">
        <v>15.6</v>
      </c>
      <c r="BC20" s="152">
        <v>22.1</v>
      </c>
      <c r="BD20" s="152">
        <v>15.4</v>
      </c>
      <c r="BE20" s="152">
        <v>10.199999999999999</v>
      </c>
      <c r="BF20" s="152">
        <v>12.3</v>
      </c>
      <c r="BG20" s="152">
        <v>11.1</v>
      </c>
      <c r="BI20" s="146">
        <f>TxRt!B65</f>
        <v>10.199999999999999</v>
      </c>
      <c r="BJ20" s="146">
        <f>TxRt!B108</f>
        <v>14.5</v>
      </c>
      <c r="BK20" s="146">
        <f>TxRt!B148</f>
        <v>17.8</v>
      </c>
      <c r="BL20" s="146">
        <f>TxRt!B188</f>
        <v>20.5</v>
      </c>
      <c r="BM20" s="146">
        <f>TxRt!B268</f>
        <v>22.9</v>
      </c>
      <c r="BN20" s="146">
        <f>TxRt!B308</f>
        <v>24.2</v>
      </c>
      <c r="BO20" s="146">
        <f>TxRt!B348</f>
        <v>25.5</v>
      </c>
      <c r="BP20" s="146">
        <f>TxRt!B388</f>
        <v>28.9</v>
      </c>
      <c r="BQ20" s="46"/>
      <c r="BR20" s="60">
        <f>'HH inc'!$I62</f>
        <v>21900</v>
      </c>
      <c r="BS20" s="60">
        <f>'HH inc'!$I102</f>
        <v>32900</v>
      </c>
      <c r="BT20" s="60">
        <f>'HH inc'!$I142</f>
        <v>48300</v>
      </c>
      <c r="BU20" s="60">
        <f>'HH inc'!$I182</f>
        <v>66000</v>
      </c>
      <c r="BV20" s="60">
        <f>'HH inc'!$I262</f>
        <v>85900</v>
      </c>
      <c r="BW20" s="60">
        <f>'HH inc'!$I302</f>
        <v>108500</v>
      </c>
      <c r="BX20" s="60">
        <f>'HH inc'!$I342</f>
        <v>158000</v>
      </c>
      <c r="BY20" s="60">
        <f>'HH inc'!$I382</f>
        <v>557700</v>
      </c>
      <c r="CA20" s="60">
        <f>'HH inc'!$I62</f>
        <v>21900</v>
      </c>
      <c r="CB20" s="60">
        <f>'HH inc'!$I102</f>
        <v>32900</v>
      </c>
      <c r="CC20" s="60">
        <f>'HH inc'!$I142</f>
        <v>48300</v>
      </c>
      <c r="CD20" s="60">
        <f>'HH inc'!$I182</f>
        <v>66000</v>
      </c>
      <c r="CE20" s="60">
        <f>'HH inc'!$I262</f>
        <v>85900</v>
      </c>
      <c r="CF20" s="60">
        <f>'HH inc'!$I302</f>
        <v>108500</v>
      </c>
      <c r="CG20" s="60">
        <f>'HH inc'!$I342</f>
        <v>158000</v>
      </c>
      <c r="CH20" s="60">
        <f>'HH inc'!$I382</f>
        <v>557700</v>
      </c>
      <c r="CJ20" s="153">
        <f t="shared" si="29"/>
        <v>395842.49999999988</v>
      </c>
      <c r="CK20" s="153">
        <f t="shared" si="30"/>
        <v>637437.49999999988</v>
      </c>
      <c r="CL20" s="153">
        <f t="shared" si="5"/>
        <v>911662.49999999988</v>
      </c>
      <c r="CM20" s="153">
        <f t="shared" si="6"/>
        <v>1239149.9999999998</v>
      </c>
      <c r="CN20" s="153">
        <f t="shared" si="7"/>
        <v>841820.00000000012</v>
      </c>
      <c r="CO20" s="153">
        <f t="shared" si="8"/>
        <v>542500</v>
      </c>
      <c r="CP20" s="153">
        <f t="shared" si="9"/>
        <v>647800</v>
      </c>
      <c r="CQ20" s="153">
        <f t="shared" si="10"/>
        <v>557700</v>
      </c>
      <c r="CR20" s="153">
        <f t="shared" si="31"/>
        <v>5773912.4999999991</v>
      </c>
      <c r="CT20" s="39">
        <v>249</v>
      </c>
      <c r="CU20" s="276">
        <f>Dem!B62+(DD20/4)</f>
        <v>18.074999999999996</v>
      </c>
      <c r="CV20" s="276">
        <f>Dem!B102+(DD20/4)</f>
        <v>19.374999999999996</v>
      </c>
      <c r="CW20" s="276">
        <f>Dem!B142+(DD20/4)</f>
        <v>18.874999999999996</v>
      </c>
      <c r="CX20" s="276">
        <f>Dem!B182+(DD20/4)</f>
        <v>18.774999999999995</v>
      </c>
      <c r="CY20" s="276">
        <f>Dem!B262</f>
        <v>9.8000000000000007</v>
      </c>
      <c r="CZ20" s="276">
        <f>Dem!B302</f>
        <v>5</v>
      </c>
      <c r="DA20" s="276">
        <f>Dem!B342</f>
        <v>4.0999999999999996</v>
      </c>
      <c r="DB20" s="276">
        <f>Dem!B382</f>
        <v>1</v>
      </c>
      <c r="DC20" s="275">
        <v>96</v>
      </c>
      <c r="DD20" s="46">
        <v>-0.50000000000001421</v>
      </c>
      <c r="DE20" s="275"/>
      <c r="DF20" s="276">
        <f>Dem!$D62+(DO20/4)</f>
        <v>48.174999999999997</v>
      </c>
      <c r="DG20" s="276">
        <f>Dem!$D102+(DO20/4)</f>
        <v>49.474999999999994</v>
      </c>
      <c r="DH20" s="276">
        <f>Dem!$D142+(DO20/4)</f>
        <v>49.474999999999994</v>
      </c>
      <c r="DI20" s="276">
        <f>Dem!$D182+(DO20/4)</f>
        <v>49.474999999999994</v>
      </c>
      <c r="DJ20" s="275">
        <f>Dem!$D262</f>
        <v>24.9</v>
      </c>
      <c r="DK20" s="275">
        <f>Dem!$D302</f>
        <v>12.4</v>
      </c>
      <c r="DL20" s="275">
        <f>Dem!$D342</f>
        <v>10</v>
      </c>
      <c r="DM20" s="275">
        <f>Dem!$D382</f>
        <v>2.5</v>
      </c>
      <c r="DN20" s="276">
        <f t="shared" si="32"/>
        <v>249</v>
      </c>
      <c r="DO20" s="44">
        <v>-1.3000000000000114</v>
      </c>
    </row>
    <row r="21" spans="1:119">
      <c r="A21" s="46">
        <f t="shared" si="33"/>
        <v>1992</v>
      </c>
      <c r="B21" s="141">
        <f t="shared" si="11"/>
        <v>7.4154354100006148E-2</v>
      </c>
      <c r="D21" s="141">
        <f t="shared" si="12"/>
        <v>0.41609723320158126</v>
      </c>
      <c r="E21" s="141">
        <f t="shared" si="13"/>
        <v>0.49025158730158741</v>
      </c>
      <c r="F21" s="46"/>
      <c r="G21" s="157">
        <f t="shared" si="14"/>
        <v>2.6561264822134389E-2</v>
      </c>
      <c r="H21" s="157">
        <f t="shared" si="1"/>
        <v>4.4426877470355744E-2</v>
      </c>
      <c r="I21" s="157">
        <f t="shared" si="1"/>
        <v>5.3399209486166034E-2</v>
      </c>
      <c r="J21" s="157">
        <f t="shared" si="1"/>
        <v>5.0711462450592909E-2</v>
      </c>
      <c r="K21" s="157">
        <f t="shared" si="1"/>
        <v>2.0928853754940725E-2</v>
      </c>
      <c r="L21" s="157">
        <f t="shared" si="1"/>
        <v>8.2707509881423009E-3</v>
      </c>
      <c r="M21" s="157">
        <f t="shared" si="1"/>
        <v>3.7501976284585047E-3</v>
      </c>
      <c r="N21" s="157">
        <f t="shared" si="1"/>
        <v>0</v>
      </c>
      <c r="O21" s="46"/>
      <c r="P21" s="154">
        <f t="shared" si="15"/>
        <v>6.7193675889328064E-2</v>
      </c>
      <c r="Q21" s="154">
        <f t="shared" si="16"/>
        <v>0.17786561264822132</v>
      </c>
      <c r="R21" s="154">
        <f t="shared" si="17"/>
        <v>0.33300395256916993</v>
      </c>
      <c r="S21" s="154">
        <f t="shared" si="18"/>
        <v>0.54644268774703553</v>
      </c>
      <c r="T21" s="154">
        <f t="shared" si="19"/>
        <v>0.69071146245059278</v>
      </c>
      <c r="U21" s="154">
        <f t="shared" si="20"/>
        <v>0.78458498023715406</v>
      </c>
      <c r="V21" s="154">
        <f t="shared" si="21"/>
        <v>0.89624505928853748</v>
      </c>
      <c r="W21" s="162">
        <f t="shared" si="34"/>
        <v>1</v>
      </c>
      <c r="X21" s="154"/>
      <c r="Y21" s="142">
        <f t="shared" si="35"/>
        <v>3.246031746031746E-2</v>
      </c>
      <c r="Z21" s="142">
        <f t="shared" si="3"/>
        <v>5.2817460317460319E-2</v>
      </c>
      <c r="AA21" s="142">
        <f t="shared" si="3"/>
        <v>6.2460317460317473E-2</v>
      </c>
      <c r="AB21" s="142">
        <f t="shared" si="3"/>
        <v>5.9007936507936523E-2</v>
      </c>
      <c r="AC21" s="142">
        <f t="shared" si="3"/>
        <v>2.432539682539683E-2</v>
      </c>
      <c r="AD21" s="142">
        <f t="shared" si="3"/>
        <v>9.6527777777777827E-3</v>
      </c>
      <c r="AE21" s="142">
        <f t="shared" si="3"/>
        <v>4.4015873015873066E-3</v>
      </c>
      <c r="AF21" s="142">
        <f t="shared" si="3"/>
        <v>0</v>
      </c>
      <c r="AH21" s="158">
        <f t="shared" si="22"/>
        <v>3.7698412698412696E-2</v>
      </c>
      <c r="AI21" s="158">
        <f t="shared" si="23"/>
        <v>0.13591269841269843</v>
      </c>
      <c r="AJ21" s="158">
        <f t="shared" si="24"/>
        <v>0.28769841269841273</v>
      </c>
      <c r="AK21" s="158">
        <f t="shared" si="25"/>
        <v>0.50496031746031744</v>
      </c>
      <c r="AL21" s="158">
        <f t="shared" si="26"/>
        <v>0.65674603174603174</v>
      </c>
      <c r="AM21" s="158">
        <f t="shared" si="27"/>
        <v>0.75694444444444442</v>
      </c>
      <c r="AN21" s="158">
        <f t="shared" si="28"/>
        <v>0.87996031746031744</v>
      </c>
      <c r="AO21" s="158">
        <v>1</v>
      </c>
      <c r="AP21" s="143"/>
      <c r="AQ21" s="152">
        <f>Shares!D103</f>
        <v>6.8</v>
      </c>
      <c r="AR21" s="152">
        <f>Shares!E103</f>
        <v>11.2</v>
      </c>
      <c r="AS21" s="152">
        <f>Shares!F103</f>
        <v>15.7</v>
      </c>
      <c r="AT21" s="152">
        <f>Shares!G103</f>
        <v>21.6</v>
      </c>
      <c r="AU21" s="152">
        <f>Shares!J103</f>
        <v>14.6</v>
      </c>
      <c r="AV21" s="152">
        <f>Shares!K103</f>
        <v>9.5</v>
      </c>
      <c r="AW21" s="152">
        <f>Shares!L103</f>
        <v>11.3</v>
      </c>
      <c r="AX21" s="152">
        <f>Shares!M103</f>
        <v>10.5</v>
      </c>
      <c r="AY21" s="46"/>
      <c r="AZ21" s="152">
        <v>3.8</v>
      </c>
      <c r="BA21" s="152">
        <v>9.9</v>
      </c>
      <c r="BB21" s="152">
        <v>15.3</v>
      </c>
      <c r="BC21" s="152">
        <v>21.9</v>
      </c>
      <c r="BD21" s="152">
        <v>15.3</v>
      </c>
      <c r="BE21" s="152">
        <v>10.1</v>
      </c>
      <c r="BF21" s="152">
        <v>12.4</v>
      </c>
      <c r="BG21" s="152">
        <v>12.1</v>
      </c>
      <c r="BI21" s="146">
        <f>TxRt!B66</f>
        <v>10</v>
      </c>
      <c r="BJ21" s="146">
        <f>TxRt!B109</f>
        <v>13.9</v>
      </c>
      <c r="BK21" s="146">
        <f>TxRt!B149</f>
        <v>17.7</v>
      </c>
      <c r="BL21" s="146">
        <f>TxRt!B189</f>
        <v>20.3</v>
      </c>
      <c r="BM21" s="146">
        <f>TxRt!B269</f>
        <v>22.7</v>
      </c>
      <c r="BN21" s="146">
        <f>TxRt!B309</f>
        <v>24.1</v>
      </c>
      <c r="BO21" s="146">
        <f>TxRt!B349</f>
        <v>25.6</v>
      </c>
      <c r="BP21" s="146">
        <f>TxRt!B389</f>
        <v>29.6</v>
      </c>
      <c r="BQ21" s="46"/>
      <c r="BR21" s="60">
        <f>'HH inc'!$I63</f>
        <v>22700</v>
      </c>
      <c r="BS21" s="60">
        <f>'HH inc'!$I103</f>
        <v>33200</v>
      </c>
      <c r="BT21" s="60">
        <f>'HH inc'!$I143</f>
        <v>48700</v>
      </c>
      <c r="BU21" s="60">
        <f>'HH inc'!$I183</f>
        <v>67000</v>
      </c>
      <c r="BV21" s="60">
        <f>'HH inc'!$I263</f>
        <v>87100</v>
      </c>
      <c r="BW21" s="60">
        <f>'HH inc'!$I303</f>
        <v>110700</v>
      </c>
      <c r="BX21" s="60">
        <f>'HH inc'!$I343</f>
        <v>163000</v>
      </c>
      <c r="BY21" s="60">
        <f>'HH inc'!$I383</f>
        <v>622700</v>
      </c>
      <c r="CA21" s="60">
        <f>'HH inc'!$I63</f>
        <v>22700</v>
      </c>
      <c r="CB21" s="60">
        <f>'HH inc'!$I103</f>
        <v>33200</v>
      </c>
      <c r="CC21" s="60">
        <f>'HH inc'!$I143</f>
        <v>48700</v>
      </c>
      <c r="CD21" s="60">
        <f>'HH inc'!$I183</f>
        <v>67000</v>
      </c>
      <c r="CE21" s="60">
        <f>'HH inc'!$I263</f>
        <v>87100</v>
      </c>
      <c r="CF21" s="60">
        <f>'HH inc'!$I303</f>
        <v>110700</v>
      </c>
      <c r="CG21" s="60">
        <f>'HH inc'!$I343</f>
        <v>163000</v>
      </c>
      <c r="CH21" s="60">
        <f>'HH inc'!$I383</f>
        <v>622700</v>
      </c>
      <c r="CJ21" s="153">
        <f t="shared" si="29"/>
        <v>401790.00000000006</v>
      </c>
      <c r="CK21" s="153">
        <f t="shared" si="30"/>
        <v>657360</v>
      </c>
      <c r="CL21" s="153">
        <f t="shared" si="5"/>
        <v>925300.00000000012</v>
      </c>
      <c r="CM21" s="153">
        <f t="shared" si="6"/>
        <v>1266300.0000000002</v>
      </c>
      <c r="CN21" s="153">
        <f t="shared" si="7"/>
        <v>862290</v>
      </c>
      <c r="CO21" s="153">
        <f t="shared" si="8"/>
        <v>564570</v>
      </c>
      <c r="CP21" s="153">
        <f t="shared" si="9"/>
        <v>668300</v>
      </c>
      <c r="CQ21" s="153">
        <f t="shared" si="10"/>
        <v>622700</v>
      </c>
      <c r="CR21" s="153">
        <f t="shared" si="31"/>
        <v>5968610</v>
      </c>
      <c r="CT21" s="39">
        <v>250.4</v>
      </c>
      <c r="CU21" s="276">
        <f>Dem!B63+(DD21/4)</f>
        <v>17.700000000000003</v>
      </c>
      <c r="CV21" s="276">
        <f>Dem!B103+(DD21/4)</f>
        <v>19.8</v>
      </c>
      <c r="CW21" s="276">
        <f>Dem!B143+(DD21/4)</f>
        <v>19.000000000000004</v>
      </c>
      <c r="CX21" s="276">
        <f>Dem!B183+(DD21/4)</f>
        <v>18.900000000000002</v>
      </c>
      <c r="CY21" s="276">
        <f>Dem!B263</f>
        <v>9.9</v>
      </c>
      <c r="CZ21" s="276">
        <f>Dem!B303</f>
        <v>5.0999999999999996</v>
      </c>
      <c r="DA21" s="276">
        <f>Dem!B343</f>
        <v>4.0999999999999996</v>
      </c>
      <c r="DB21" s="276">
        <f>Dem!B383</f>
        <v>1</v>
      </c>
      <c r="DC21" s="275">
        <v>96.3</v>
      </c>
      <c r="DD21" s="46">
        <v>-0.39999999999999147</v>
      </c>
      <c r="DE21" s="275"/>
      <c r="DF21" s="276">
        <f>Dem!$D63+(DO21/4)</f>
        <v>48.599999999999994</v>
      </c>
      <c r="DG21" s="276">
        <f>Dem!$D103+(DO21/4)</f>
        <v>49.8</v>
      </c>
      <c r="DH21" s="276">
        <f>Dem!$D143+(DO21/4)</f>
        <v>49.8</v>
      </c>
      <c r="DI21" s="276">
        <f>Dem!$D183+(DO21/4)</f>
        <v>49.8</v>
      </c>
      <c r="DJ21" s="275">
        <f>Dem!$D263</f>
        <v>25</v>
      </c>
      <c r="DK21" s="275">
        <f>Dem!$D303</f>
        <v>12.5</v>
      </c>
      <c r="DL21" s="275">
        <f>Dem!$D343</f>
        <v>10</v>
      </c>
      <c r="DM21" s="275">
        <f>Dem!$D383</f>
        <v>2.5</v>
      </c>
      <c r="DN21" s="276">
        <f t="shared" si="32"/>
        <v>250.4</v>
      </c>
      <c r="DO21" s="44">
        <v>-1.2000000000000171</v>
      </c>
    </row>
    <row r="22" spans="1:119">
      <c r="A22" s="46">
        <f t="shared" si="33"/>
        <v>1993</v>
      </c>
      <c r="B22" s="141">
        <f t="shared" si="11"/>
        <v>7.9992706568793648E-2</v>
      </c>
      <c r="D22" s="141">
        <f t="shared" si="12"/>
        <v>0.40736205533596842</v>
      </c>
      <c r="E22" s="141">
        <f t="shared" si="13"/>
        <v>0.48735476190476207</v>
      </c>
      <c r="F22" s="46"/>
      <c r="G22" s="157">
        <f t="shared" si="14"/>
        <v>2.6166007905138344E-2</v>
      </c>
      <c r="H22" s="157">
        <f t="shared" si="1"/>
        <v>4.3833992094861662E-2</v>
      </c>
      <c r="I22" s="157">
        <f t="shared" si="1"/>
        <v>5.2608695652173923E-2</v>
      </c>
      <c r="J22" s="157">
        <f t="shared" si="1"/>
        <v>4.9525691699604746E-2</v>
      </c>
      <c r="K22" s="157">
        <f t="shared" si="1"/>
        <v>2.0237154150197636E-2</v>
      </c>
      <c r="L22" s="157">
        <f t="shared" si="1"/>
        <v>7.8754940711462506E-3</v>
      </c>
      <c r="M22" s="157">
        <f t="shared" si="1"/>
        <v>3.4339920948616644E-3</v>
      </c>
      <c r="N22" s="157">
        <f t="shared" si="1"/>
        <v>0</v>
      </c>
      <c r="O22" s="46"/>
      <c r="P22" s="154">
        <f t="shared" si="15"/>
        <v>6.9169960474308304E-2</v>
      </c>
      <c r="Q22" s="154">
        <f t="shared" si="16"/>
        <v>0.18083003952569171</v>
      </c>
      <c r="R22" s="154">
        <f t="shared" si="17"/>
        <v>0.33695652173913049</v>
      </c>
      <c r="S22" s="154">
        <f t="shared" si="18"/>
        <v>0.55237154150197632</v>
      </c>
      <c r="T22" s="154">
        <f t="shared" si="19"/>
        <v>0.69762845849802368</v>
      </c>
      <c r="U22" s="154">
        <f t="shared" si="20"/>
        <v>0.79249011857707508</v>
      </c>
      <c r="V22" s="154">
        <f t="shared" si="21"/>
        <v>0.9041501976284585</v>
      </c>
      <c r="W22" s="162">
        <f t="shared" si="34"/>
        <v>1</v>
      </c>
      <c r="X22" s="154"/>
      <c r="Y22" s="142">
        <f t="shared" si="35"/>
        <v>3.2460317460317467E-2</v>
      </c>
      <c r="Z22" s="142">
        <f t="shared" si="3"/>
        <v>5.2619047619047635E-2</v>
      </c>
      <c r="AA22" s="142">
        <f t="shared" si="3"/>
        <v>6.2261904761904789E-2</v>
      </c>
      <c r="AB22" s="142">
        <f t="shared" si="3"/>
        <v>5.8611111111111128E-2</v>
      </c>
      <c r="AC22" s="142">
        <f t="shared" si="3"/>
        <v>2.4027777777777783E-2</v>
      </c>
      <c r="AD22" s="142">
        <f t="shared" si="3"/>
        <v>9.454365079365085E-3</v>
      </c>
      <c r="AE22" s="142">
        <f t="shared" si="3"/>
        <v>4.242857142857148E-3</v>
      </c>
      <c r="AF22" s="142">
        <f t="shared" si="3"/>
        <v>0</v>
      </c>
      <c r="AH22" s="158">
        <f t="shared" si="22"/>
        <v>3.7698412698412689E-2</v>
      </c>
      <c r="AI22" s="158">
        <f t="shared" si="23"/>
        <v>0.13690476190476189</v>
      </c>
      <c r="AJ22" s="158">
        <f t="shared" si="24"/>
        <v>0.28869047619047616</v>
      </c>
      <c r="AK22" s="158">
        <f t="shared" si="25"/>
        <v>0.50694444444444442</v>
      </c>
      <c r="AL22" s="158">
        <f t="shared" si="26"/>
        <v>0.65972222222222221</v>
      </c>
      <c r="AM22" s="158">
        <f t="shared" si="27"/>
        <v>0.76091269841269837</v>
      </c>
      <c r="AN22" s="158">
        <f t="shared" si="28"/>
        <v>0.8839285714285714</v>
      </c>
      <c r="AO22" s="158">
        <v>1</v>
      </c>
      <c r="AP22" s="143"/>
      <c r="AQ22" s="152">
        <f>Shares!D104</f>
        <v>7</v>
      </c>
      <c r="AR22" s="152">
        <f>Shares!E104</f>
        <v>11.3</v>
      </c>
      <c r="AS22" s="152">
        <f>Shares!F104</f>
        <v>15.8</v>
      </c>
      <c r="AT22" s="152">
        <f>Shares!G104</f>
        <v>21.8</v>
      </c>
      <c r="AU22" s="152">
        <f>Shares!J104</f>
        <v>14.7</v>
      </c>
      <c r="AV22" s="152">
        <f>Shares!K104</f>
        <v>9.6</v>
      </c>
      <c r="AW22" s="152">
        <f>Shares!L104</f>
        <v>11.3</v>
      </c>
      <c r="AX22" s="152">
        <f>Shares!M104</f>
        <v>9.6999999999999993</v>
      </c>
      <c r="AY22" s="46"/>
      <c r="AZ22" s="152">
        <v>3.8</v>
      </c>
      <c r="BA22" s="152">
        <v>10</v>
      </c>
      <c r="BB22" s="152">
        <v>15.3</v>
      </c>
      <c r="BC22" s="152">
        <v>22</v>
      </c>
      <c r="BD22" s="152">
        <v>15.4</v>
      </c>
      <c r="BE22" s="152">
        <v>10.199999999999999</v>
      </c>
      <c r="BF22" s="152">
        <v>12.4</v>
      </c>
      <c r="BG22" s="152">
        <v>11.7</v>
      </c>
      <c r="BI22" s="146">
        <f>TxRt!B67</f>
        <v>10</v>
      </c>
      <c r="BJ22" s="146">
        <f>TxRt!B110</f>
        <v>13.8</v>
      </c>
      <c r="BK22" s="146">
        <f>TxRt!B150</f>
        <v>17.600000000000001</v>
      </c>
      <c r="BL22" s="146">
        <f>TxRt!B190</f>
        <v>20.3</v>
      </c>
      <c r="BM22" s="146">
        <f>TxRt!B270</f>
        <v>22.7</v>
      </c>
      <c r="BN22" s="146">
        <f>TxRt!B310</f>
        <v>24.4</v>
      </c>
      <c r="BO22" s="146">
        <f>TxRt!B350</f>
        <v>26.4</v>
      </c>
      <c r="BP22" s="146">
        <f>TxRt!B390</f>
        <v>33.200000000000003</v>
      </c>
      <c r="BQ22" s="46"/>
      <c r="BR22" s="60">
        <f>'HH inc'!$I64</f>
        <v>23400</v>
      </c>
      <c r="BS22" s="60">
        <f>'HH inc'!$I104</f>
        <v>33500</v>
      </c>
      <c r="BT22" s="60">
        <f>'HH inc'!$I144</f>
        <v>49000</v>
      </c>
      <c r="BU22" s="60">
        <f>'HH inc'!$I184</f>
        <v>67600</v>
      </c>
      <c r="BV22" s="60">
        <f>'HH inc'!$I264</f>
        <v>88200</v>
      </c>
      <c r="BW22" s="60">
        <f>'HH inc'!$I304</f>
        <v>111500</v>
      </c>
      <c r="BX22" s="60">
        <f>'HH inc'!$I344</f>
        <v>162600</v>
      </c>
      <c r="BY22" s="60">
        <f>'HH inc'!$I384</f>
        <v>568100</v>
      </c>
      <c r="CA22" s="60">
        <f>'HH inc'!$I64</f>
        <v>23400</v>
      </c>
      <c r="CB22" s="60">
        <f>'HH inc'!$I104</f>
        <v>33500</v>
      </c>
      <c r="CC22" s="60">
        <f>'HH inc'!$I144</f>
        <v>49000</v>
      </c>
      <c r="CD22" s="60">
        <f>'HH inc'!$I184</f>
        <v>67600</v>
      </c>
      <c r="CE22" s="60">
        <f>'HH inc'!$I264</f>
        <v>88200</v>
      </c>
      <c r="CF22" s="60">
        <f>'HH inc'!$I304</f>
        <v>111500</v>
      </c>
      <c r="CG22" s="60">
        <f>'HH inc'!$I344</f>
        <v>162600</v>
      </c>
      <c r="CH22" s="60">
        <f>'HH inc'!$I384</f>
        <v>568100</v>
      </c>
      <c r="CJ22" s="153">
        <f t="shared" si="29"/>
        <v>413594.99999999994</v>
      </c>
      <c r="CK22" s="153">
        <f t="shared" si="30"/>
        <v>672512.49999999988</v>
      </c>
      <c r="CL22" s="153">
        <f t="shared" si="5"/>
        <v>939574.99999999988</v>
      </c>
      <c r="CM22" s="153">
        <f t="shared" si="6"/>
        <v>1296229.9999999998</v>
      </c>
      <c r="CN22" s="153">
        <f t="shared" si="7"/>
        <v>882000</v>
      </c>
      <c r="CO22" s="153">
        <f t="shared" si="8"/>
        <v>568650</v>
      </c>
      <c r="CP22" s="153">
        <f t="shared" si="9"/>
        <v>666660</v>
      </c>
      <c r="CQ22" s="153">
        <f t="shared" si="10"/>
        <v>568100</v>
      </c>
      <c r="CR22" s="153">
        <f t="shared" si="31"/>
        <v>6007322.4999999991</v>
      </c>
      <c r="CT22" s="39">
        <v>255</v>
      </c>
      <c r="CU22" s="276">
        <f>Dem!B64+(DD22/4)</f>
        <v>17.674999999999997</v>
      </c>
      <c r="CV22" s="276">
        <f>Dem!B104+(DD22/4)</f>
        <v>20.074999999999996</v>
      </c>
      <c r="CW22" s="276">
        <f>Dem!B144+(DD22/4)</f>
        <v>19.174999999999997</v>
      </c>
      <c r="CX22" s="276">
        <f>Dem!B184+(DD22/4)</f>
        <v>19.174999999999997</v>
      </c>
      <c r="CY22" s="276">
        <f>Dem!B264</f>
        <v>10</v>
      </c>
      <c r="CZ22" s="276">
        <f>Dem!B304</f>
        <v>5.0999999999999996</v>
      </c>
      <c r="DA22" s="276">
        <f>Dem!B344</f>
        <v>4.0999999999999996</v>
      </c>
      <c r="DB22" s="276">
        <f>Dem!B384</f>
        <v>1</v>
      </c>
      <c r="DC22" s="275">
        <v>97.3</v>
      </c>
      <c r="DD22" s="46">
        <v>-0.50000000000001421</v>
      </c>
      <c r="DE22" s="275"/>
      <c r="DF22" s="276">
        <f>Dem!$D64+(DO22/4)</f>
        <v>49.499999999999993</v>
      </c>
      <c r="DG22" s="276">
        <f>Dem!$D104+(DO22/4)</f>
        <v>50.699999999999996</v>
      </c>
      <c r="DH22" s="276">
        <f>Dem!$D144+(DO22/4)</f>
        <v>50.699999999999996</v>
      </c>
      <c r="DI22" s="276">
        <f>Dem!$D184+(DO22/4)</f>
        <v>50.699999999999996</v>
      </c>
      <c r="DJ22" s="275">
        <f>Dem!$D264</f>
        <v>25.5</v>
      </c>
      <c r="DK22" s="275">
        <f>Dem!$D304</f>
        <v>12.7</v>
      </c>
      <c r="DL22" s="275">
        <f>Dem!$D344</f>
        <v>10.199999999999999</v>
      </c>
      <c r="DM22" s="275">
        <f>Dem!$D384</f>
        <v>2.6</v>
      </c>
      <c r="DN22" s="276">
        <f t="shared" si="32"/>
        <v>255</v>
      </c>
      <c r="DO22" s="44">
        <v>-1.2000000000000171</v>
      </c>
    </row>
    <row r="23" spans="1:119">
      <c r="A23" s="46">
        <f t="shared" si="33"/>
        <v>1994</v>
      </c>
      <c r="B23" s="141">
        <f t="shared" si="11"/>
        <v>8.4166419223848932E-2</v>
      </c>
      <c r="D23" s="141">
        <f t="shared" si="12"/>
        <v>0.40606138613861403</v>
      </c>
      <c r="E23" s="141">
        <f t="shared" si="13"/>
        <v>0.49022780536246297</v>
      </c>
      <c r="F23" s="46"/>
      <c r="G23" s="157">
        <f t="shared" si="14"/>
        <v>2.6138613861386141E-2</v>
      </c>
      <c r="H23" s="157">
        <f t="shared" si="1"/>
        <v>4.3762376237623773E-2</v>
      </c>
      <c r="I23" s="157">
        <f t="shared" si="1"/>
        <v>5.2475247524752501E-2</v>
      </c>
      <c r="J23" s="157">
        <f t="shared" si="1"/>
        <v>4.930693069306933E-2</v>
      </c>
      <c r="K23" s="157">
        <f t="shared" si="1"/>
        <v>2.0099009900990106E-2</v>
      </c>
      <c r="L23" s="157">
        <f t="shared" si="1"/>
        <v>7.8465346534653535E-3</v>
      </c>
      <c r="M23" s="157">
        <f t="shared" si="1"/>
        <v>3.4019801980198095E-3</v>
      </c>
      <c r="N23" s="157">
        <f t="shared" si="1"/>
        <v>0</v>
      </c>
      <c r="O23" s="46"/>
      <c r="P23" s="154">
        <f t="shared" si="15"/>
        <v>6.9306930693069313E-2</v>
      </c>
      <c r="Q23" s="154">
        <f t="shared" si="16"/>
        <v>0.18118811881188118</v>
      </c>
      <c r="R23" s="154">
        <f t="shared" si="17"/>
        <v>0.33762376237623759</v>
      </c>
      <c r="S23" s="154">
        <f t="shared" si="18"/>
        <v>0.5534653465346534</v>
      </c>
      <c r="T23" s="154">
        <f t="shared" si="19"/>
        <v>0.69900990099009896</v>
      </c>
      <c r="U23" s="154">
        <f t="shared" si="20"/>
        <v>0.793069306930693</v>
      </c>
      <c r="V23" s="154">
        <f t="shared" si="21"/>
        <v>0.90495049504950487</v>
      </c>
      <c r="W23" s="162">
        <f t="shared" si="34"/>
        <v>1</v>
      </c>
      <c r="X23" s="154"/>
      <c r="Y23" s="142">
        <f t="shared" si="35"/>
        <v>3.2651439920556115E-2</v>
      </c>
      <c r="Z23" s="142">
        <f t="shared" si="3"/>
        <v>5.2989076464746779E-2</v>
      </c>
      <c r="AA23" s="142">
        <f t="shared" si="3"/>
        <v>6.2601787487586921E-2</v>
      </c>
      <c r="AB23" s="142">
        <f t="shared" si="3"/>
        <v>5.8907646474677278E-2</v>
      </c>
      <c r="AC23" s="142">
        <f t="shared" si="3"/>
        <v>2.4160873882820268E-2</v>
      </c>
      <c r="AD23" s="142">
        <f t="shared" si="3"/>
        <v>9.5158887785501585E-3</v>
      </c>
      <c r="AE23" s="142">
        <f t="shared" si="3"/>
        <v>4.2871896722939517E-3</v>
      </c>
      <c r="AF23" s="142">
        <f t="shared" si="3"/>
        <v>0</v>
      </c>
      <c r="AH23" s="158">
        <f t="shared" si="22"/>
        <v>3.6742800397219458E-2</v>
      </c>
      <c r="AI23" s="158">
        <f t="shared" si="23"/>
        <v>0.13505461767626611</v>
      </c>
      <c r="AJ23" s="158">
        <f t="shared" si="24"/>
        <v>0.28699106256206552</v>
      </c>
      <c r="AK23" s="158">
        <f t="shared" si="25"/>
        <v>0.50546176762661366</v>
      </c>
      <c r="AL23" s="158">
        <f t="shared" si="26"/>
        <v>0.65839126117179736</v>
      </c>
      <c r="AM23" s="158">
        <f t="shared" si="27"/>
        <v>0.75968222442899691</v>
      </c>
      <c r="AN23" s="158">
        <f t="shared" si="28"/>
        <v>0.88282025819265131</v>
      </c>
      <c r="AO23" s="158">
        <v>1</v>
      </c>
      <c r="AP23" s="143"/>
      <c r="AQ23" s="152">
        <f>Shares!D105</f>
        <v>7</v>
      </c>
      <c r="AR23" s="152">
        <f>Shares!E105</f>
        <v>11.3</v>
      </c>
      <c r="AS23" s="152">
        <f>Shares!F105</f>
        <v>15.8</v>
      </c>
      <c r="AT23" s="152">
        <f>Shares!G105</f>
        <v>21.8</v>
      </c>
      <c r="AU23" s="152">
        <f>Shares!J105</f>
        <v>14.7</v>
      </c>
      <c r="AV23" s="152">
        <f>Shares!K105</f>
        <v>9.5</v>
      </c>
      <c r="AW23" s="152">
        <f>Shares!L105</f>
        <v>11.3</v>
      </c>
      <c r="AX23" s="152">
        <f>Shares!M105</f>
        <v>9.6</v>
      </c>
      <c r="AY23" s="46"/>
      <c r="AZ23" s="152">
        <v>3.7</v>
      </c>
      <c r="BA23" s="152">
        <v>9.9</v>
      </c>
      <c r="BB23" s="152">
        <v>15.3</v>
      </c>
      <c r="BC23" s="152">
        <v>22</v>
      </c>
      <c r="BD23" s="152">
        <v>15.4</v>
      </c>
      <c r="BE23" s="152">
        <v>10.199999999999999</v>
      </c>
      <c r="BF23" s="152">
        <v>12.4</v>
      </c>
      <c r="BG23" s="152">
        <v>11.8</v>
      </c>
      <c r="BI23" s="146">
        <f>TxRt!B68</f>
        <v>8.1999999999999993</v>
      </c>
      <c r="BJ23" s="146">
        <f>TxRt!B111</f>
        <v>13.5</v>
      </c>
      <c r="BK23" s="146">
        <f>TxRt!B151</f>
        <v>17.8</v>
      </c>
      <c r="BL23" s="146">
        <f>TxRt!B191</f>
        <v>20.7</v>
      </c>
      <c r="BM23" s="146">
        <f>TxRt!B271</f>
        <v>23.1</v>
      </c>
      <c r="BN23" s="146">
        <f>TxRt!B311</f>
        <v>24.8</v>
      </c>
      <c r="BO23" s="146">
        <f>TxRt!B351</f>
        <v>26.7</v>
      </c>
      <c r="BP23" s="146">
        <f>TxRt!B391</f>
        <v>34.4</v>
      </c>
      <c r="BQ23" s="46"/>
      <c r="BR23" s="60">
        <f>'HH inc'!$I65</f>
        <v>23600</v>
      </c>
      <c r="BS23" s="60">
        <f>'HH inc'!$I105</f>
        <v>34000</v>
      </c>
      <c r="BT23" s="60">
        <f>'HH inc'!$I145</f>
        <v>49100</v>
      </c>
      <c r="BU23" s="60">
        <f>'HH inc'!$I185</f>
        <v>68100</v>
      </c>
      <c r="BV23" s="60">
        <f>'HH inc'!$I265</f>
        <v>89700</v>
      </c>
      <c r="BW23" s="60">
        <f>'HH inc'!$I305</f>
        <v>112800</v>
      </c>
      <c r="BX23" s="60">
        <f>'HH inc'!$I345</f>
        <v>166200</v>
      </c>
      <c r="BY23" s="60">
        <f>'HH inc'!$I385</f>
        <v>574600</v>
      </c>
      <c r="CA23" s="60">
        <f>'HH inc'!$I65</f>
        <v>23600</v>
      </c>
      <c r="CB23" s="60">
        <f>'HH inc'!$I105</f>
        <v>34000</v>
      </c>
      <c r="CC23" s="60">
        <f>'HH inc'!$I145</f>
        <v>49100</v>
      </c>
      <c r="CD23" s="60">
        <f>'HH inc'!$I185</f>
        <v>68100</v>
      </c>
      <c r="CE23" s="60">
        <f>'HH inc'!$I265</f>
        <v>89700</v>
      </c>
      <c r="CF23" s="60">
        <f>'HH inc'!$I305</f>
        <v>112800</v>
      </c>
      <c r="CG23" s="60">
        <f>'HH inc'!$I345</f>
        <v>166200</v>
      </c>
      <c r="CH23" s="60">
        <f>'HH inc'!$I385</f>
        <v>574600</v>
      </c>
      <c r="CJ23" s="153">
        <f t="shared" si="29"/>
        <v>428930</v>
      </c>
      <c r="CK23" s="153">
        <f t="shared" si="30"/>
        <v>692750</v>
      </c>
      <c r="CL23" s="153">
        <f t="shared" si="5"/>
        <v>966042.5</v>
      </c>
      <c r="CM23" s="153">
        <f t="shared" si="6"/>
        <v>1326247.5</v>
      </c>
      <c r="CN23" s="153">
        <f t="shared" si="7"/>
        <v>897000</v>
      </c>
      <c r="CO23" s="153">
        <f t="shared" si="8"/>
        <v>586560</v>
      </c>
      <c r="CP23" s="153">
        <f t="shared" si="9"/>
        <v>698040</v>
      </c>
      <c r="CQ23" s="153">
        <f t="shared" si="10"/>
        <v>574600</v>
      </c>
      <c r="CR23" s="153">
        <f t="shared" si="31"/>
        <v>6170170</v>
      </c>
      <c r="CT23" s="39">
        <v>257.8</v>
      </c>
      <c r="CU23" s="276">
        <f>Dem!B65+(DD23/4)</f>
        <v>18.175000000000001</v>
      </c>
      <c r="CV23" s="276">
        <f>Dem!B105+(DD23/4)</f>
        <v>20.375</v>
      </c>
      <c r="CW23" s="276">
        <f>Dem!B145+(DD23/4)</f>
        <v>19.675000000000001</v>
      </c>
      <c r="CX23" s="276">
        <f>Dem!B185+(DD23/4)</f>
        <v>19.475000000000001</v>
      </c>
      <c r="CY23" s="276">
        <f>Dem!B265</f>
        <v>10</v>
      </c>
      <c r="CZ23" s="276">
        <f>Dem!B305</f>
        <v>5.2</v>
      </c>
      <c r="DA23" s="276">
        <f>Dem!B345</f>
        <v>4.2</v>
      </c>
      <c r="DB23" s="276">
        <f>Dem!B385</f>
        <v>1</v>
      </c>
      <c r="DC23" s="275">
        <v>99.1</v>
      </c>
      <c r="DD23" s="46">
        <v>-0.5</v>
      </c>
      <c r="DE23" s="275"/>
      <c r="DF23" s="276">
        <f>Dem!$D65+(DO23/4)</f>
        <v>50.15</v>
      </c>
      <c r="DG23" s="276">
        <f>Dem!$D105+(DO23/4)</f>
        <v>51.35</v>
      </c>
      <c r="DH23" s="276">
        <f>Dem!$D145+(DO23/4)</f>
        <v>51.35</v>
      </c>
      <c r="DI23" s="276">
        <f>Dem!$D185+(DO23/4)</f>
        <v>51.35</v>
      </c>
      <c r="DJ23" s="275">
        <f>Dem!$D265</f>
        <v>25.8</v>
      </c>
      <c r="DK23" s="275">
        <f>Dem!$D305</f>
        <v>12.9</v>
      </c>
      <c r="DL23" s="275">
        <f>Dem!$D345</f>
        <v>10.3</v>
      </c>
      <c r="DM23" s="275">
        <f>Dem!$D385</f>
        <v>2.6</v>
      </c>
      <c r="DN23" s="276">
        <f t="shared" si="32"/>
        <v>257.8</v>
      </c>
      <c r="DO23" s="44">
        <v>-1</v>
      </c>
    </row>
    <row r="24" spans="1:119">
      <c r="A24" s="46">
        <f t="shared" si="33"/>
        <v>1995</v>
      </c>
      <c r="B24" s="141">
        <f t="shared" si="11"/>
        <v>8.5481969207822583E-2</v>
      </c>
      <c r="D24" s="141">
        <f t="shared" si="12"/>
        <v>0.40550693069306948</v>
      </c>
      <c r="E24" s="141">
        <f t="shared" si="13"/>
        <v>0.49098889990089206</v>
      </c>
      <c r="F24" s="46"/>
      <c r="G24" s="157">
        <f t="shared" si="14"/>
        <v>2.5544554455445546E-2</v>
      </c>
      <c r="H24" s="157">
        <f t="shared" si="14"/>
        <v>4.3168316831683179E-2</v>
      </c>
      <c r="I24" s="157">
        <f t="shared" si="14"/>
        <v>5.2277227722772303E-2</v>
      </c>
      <c r="J24" s="157">
        <f t="shared" si="14"/>
        <v>4.9702970297029726E-2</v>
      </c>
      <c r="K24" s="157">
        <f t="shared" si="14"/>
        <v>2.0495049504950503E-2</v>
      </c>
      <c r="L24" s="157">
        <f t="shared" si="14"/>
        <v>8.0445544554455517E-3</v>
      </c>
      <c r="M24" s="157">
        <f t="shared" si="14"/>
        <v>3.5207920792079284E-3</v>
      </c>
      <c r="N24" s="157">
        <f t="shared" si="14"/>
        <v>0</v>
      </c>
      <c r="O24" s="46"/>
      <c r="P24" s="154">
        <f t="shared" si="15"/>
        <v>7.2277227722772272E-2</v>
      </c>
      <c r="Q24" s="154">
        <f t="shared" si="16"/>
        <v>0.18415841584158416</v>
      </c>
      <c r="R24" s="154">
        <f t="shared" si="17"/>
        <v>0.33861386138613858</v>
      </c>
      <c r="S24" s="154">
        <f t="shared" si="18"/>
        <v>0.55148514851485142</v>
      </c>
      <c r="T24" s="154">
        <f t="shared" si="19"/>
        <v>0.695049504950495</v>
      </c>
      <c r="U24" s="154">
        <f t="shared" si="20"/>
        <v>0.78910891089108903</v>
      </c>
      <c r="V24" s="154">
        <f t="shared" si="21"/>
        <v>0.90198019801980189</v>
      </c>
      <c r="W24" s="162">
        <f t="shared" si="34"/>
        <v>1</v>
      </c>
      <c r="X24" s="154"/>
      <c r="Y24" s="142">
        <f t="shared" si="35"/>
        <v>3.2071357779980179E-2</v>
      </c>
      <c r="Z24" s="142">
        <f t="shared" si="35"/>
        <v>5.2447968285431128E-2</v>
      </c>
      <c r="AA24" s="142">
        <f t="shared" si="35"/>
        <v>6.2517343904856318E-2</v>
      </c>
      <c r="AB24" s="142">
        <f t="shared" si="35"/>
        <v>5.9504459861248776E-2</v>
      </c>
      <c r="AC24" s="142">
        <f t="shared" si="35"/>
        <v>2.4687809712586717E-2</v>
      </c>
      <c r="AD24" s="142">
        <f t="shared" si="35"/>
        <v>9.7893954410307252E-3</v>
      </c>
      <c r="AE24" s="142">
        <f t="shared" si="35"/>
        <v>4.4761149653121945E-3</v>
      </c>
      <c r="AF24" s="142">
        <f t="shared" si="35"/>
        <v>0</v>
      </c>
      <c r="AH24" s="158">
        <f t="shared" si="22"/>
        <v>3.9643211100099107E-2</v>
      </c>
      <c r="AI24" s="158">
        <f t="shared" si="23"/>
        <v>0.1377601585728444</v>
      </c>
      <c r="AJ24" s="158">
        <f t="shared" si="24"/>
        <v>0.28741328047571851</v>
      </c>
      <c r="AK24" s="158">
        <f t="shared" si="25"/>
        <v>0.50247770069375619</v>
      </c>
      <c r="AL24" s="158">
        <f t="shared" si="26"/>
        <v>0.65312190287413285</v>
      </c>
      <c r="AM24" s="158">
        <f t="shared" si="27"/>
        <v>0.75421209117938559</v>
      </c>
      <c r="AN24" s="158">
        <f t="shared" si="28"/>
        <v>0.87809712586719524</v>
      </c>
      <c r="AO24" s="158">
        <v>1</v>
      </c>
      <c r="AP24" s="143"/>
      <c r="AQ24" s="152">
        <f>Shares!D106</f>
        <v>7.3</v>
      </c>
      <c r="AR24" s="152">
        <f>Shares!E106</f>
        <v>11.3</v>
      </c>
      <c r="AS24" s="152">
        <f>Shares!F106</f>
        <v>15.6</v>
      </c>
      <c r="AT24" s="152">
        <f>Shares!G106</f>
        <v>21.5</v>
      </c>
      <c r="AU24" s="152">
        <f>Shares!J106</f>
        <v>14.5</v>
      </c>
      <c r="AV24" s="152">
        <f>Shares!K106</f>
        <v>9.5</v>
      </c>
      <c r="AW24" s="152">
        <f>Shares!L106</f>
        <v>11.4</v>
      </c>
      <c r="AX24" s="152">
        <f>Shares!M106</f>
        <v>9.9</v>
      </c>
      <c r="AY24" s="46"/>
      <c r="AZ24" s="152">
        <v>4</v>
      </c>
      <c r="BA24" s="152">
        <v>9.9</v>
      </c>
      <c r="BB24" s="152">
        <v>15.1</v>
      </c>
      <c r="BC24" s="152">
        <v>21.7</v>
      </c>
      <c r="BD24" s="152">
        <v>15.2</v>
      </c>
      <c r="BE24" s="152">
        <v>10.199999999999999</v>
      </c>
      <c r="BF24" s="152">
        <v>12.5</v>
      </c>
      <c r="BG24" s="152">
        <v>12.3</v>
      </c>
      <c r="BI24" s="146">
        <f>TxRt!B69</f>
        <v>7.6</v>
      </c>
      <c r="BJ24" s="146">
        <f>TxRt!B112</f>
        <v>13.8</v>
      </c>
      <c r="BK24" s="146">
        <f>TxRt!B152</f>
        <v>17.8</v>
      </c>
      <c r="BL24" s="146">
        <f>TxRt!B192</f>
        <v>20.7</v>
      </c>
      <c r="BM24" s="146">
        <f>TxRt!B272</f>
        <v>23.3</v>
      </c>
      <c r="BN24" s="146">
        <f>TxRt!B312</f>
        <v>25.2</v>
      </c>
      <c r="BO24" s="146">
        <f>TxRt!B352</f>
        <v>27.2</v>
      </c>
      <c r="BP24" s="146">
        <f>TxRt!B392</f>
        <v>34.9</v>
      </c>
      <c r="BQ24" s="46"/>
      <c r="BR24" s="60">
        <f>'HH inc'!$I66</f>
        <v>24700</v>
      </c>
      <c r="BS24" s="60">
        <f>'HH inc'!$I106</f>
        <v>35700</v>
      </c>
      <c r="BT24" s="60">
        <f>'HH inc'!$I146</f>
        <v>50900</v>
      </c>
      <c r="BU24" s="60">
        <f>'HH inc'!$I186</f>
        <v>69600</v>
      </c>
      <c r="BV24" s="60">
        <f>'HH inc'!$I266</f>
        <v>91900</v>
      </c>
      <c r="BW24" s="60">
        <f>'HH inc'!$I306</f>
        <v>115500</v>
      </c>
      <c r="BX24" s="60">
        <f>'HH inc'!$I346</f>
        <v>173700</v>
      </c>
      <c r="BY24" s="60">
        <f>'HH inc'!$I386</f>
        <v>633700</v>
      </c>
      <c r="CA24" s="60">
        <f>'HH inc'!$I66</f>
        <v>24700</v>
      </c>
      <c r="CB24" s="60">
        <f>'HH inc'!$I106</f>
        <v>35700</v>
      </c>
      <c r="CC24" s="60">
        <f>'HH inc'!$I146</f>
        <v>50900</v>
      </c>
      <c r="CD24" s="60">
        <f>'HH inc'!$I186</f>
        <v>69600</v>
      </c>
      <c r="CE24" s="60">
        <f>'HH inc'!$I266</f>
        <v>91900</v>
      </c>
      <c r="CF24" s="60">
        <f>'HH inc'!$I306</f>
        <v>115500</v>
      </c>
      <c r="CG24" s="60">
        <f>'HH inc'!$I346</f>
        <v>173700</v>
      </c>
      <c r="CH24" s="60">
        <f>'HH inc'!$I386</f>
        <v>633700</v>
      </c>
      <c r="CJ24" s="153">
        <f t="shared" si="29"/>
        <v>464359.99999999994</v>
      </c>
      <c r="CK24" s="153">
        <f t="shared" si="30"/>
        <v>721140</v>
      </c>
      <c r="CL24" s="153">
        <f t="shared" si="5"/>
        <v>997639.99999999988</v>
      </c>
      <c r="CM24" s="153">
        <f t="shared" si="6"/>
        <v>1371120</v>
      </c>
      <c r="CN24" s="153">
        <f t="shared" si="7"/>
        <v>928190</v>
      </c>
      <c r="CO24" s="153">
        <f t="shared" si="8"/>
        <v>612150</v>
      </c>
      <c r="CP24" s="153">
        <f t="shared" si="9"/>
        <v>729540</v>
      </c>
      <c r="CQ24" s="153">
        <f t="shared" si="10"/>
        <v>633700</v>
      </c>
      <c r="CR24" s="153">
        <f t="shared" si="31"/>
        <v>6457840</v>
      </c>
      <c r="CT24" s="39">
        <v>258.60000000000002</v>
      </c>
      <c r="CU24" s="276">
        <f>Dem!B66+(DD24/4)</f>
        <v>18.799999999999997</v>
      </c>
      <c r="CV24" s="276">
        <f>Dem!B106+(DD24/4)</f>
        <v>20.2</v>
      </c>
      <c r="CW24" s="276">
        <f>Dem!B146+(DD24/4)</f>
        <v>19.599999999999998</v>
      </c>
      <c r="CX24" s="276">
        <f>Dem!B186+(DD24/4)</f>
        <v>19.7</v>
      </c>
      <c r="CY24" s="276">
        <f>Dem!B266</f>
        <v>10.1</v>
      </c>
      <c r="CZ24" s="276">
        <f>Dem!B306</f>
        <v>5.3</v>
      </c>
      <c r="DA24" s="276">
        <f>Dem!B346</f>
        <v>4.2</v>
      </c>
      <c r="DB24" s="276">
        <f>Dem!B386</f>
        <v>1</v>
      </c>
      <c r="DC24" s="275">
        <v>99.7</v>
      </c>
      <c r="DD24" s="46">
        <v>-0.40000000000000568</v>
      </c>
      <c r="DE24" s="275"/>
      <c r="DF24" s="276">
        <f>Dem!$D66+(DO24/4)</f>
        <v>50.675000000000004</v>
      </c>
      <c r="DG24" s="276">
        <f>Dem!$D106+(DO24/4)</f>
        <v>51.475000000000009</v>
      </c>
      <c r="DH24" s="276">
        <f>Dem!$D146+(DO24/4)</f>
        <v>51.475000000000009</v>
      </c>
      <c r="DI24" s="276">
        <f>Dem!$D186+(DO24/4)</f>
        <v>51.475000000000009</v>
      </c>
      <c r="DJ24" s="275">
        <f>Dem!$D266</f>
        <v>25.9</v>
      </c>
      <c r="DK24" s="275">
        <f>Dem!$D306</f>
        <v>12.9</v>
      </c>
      <c r="DL24" s="275">
        <f>Dem!$D346</f>
        <v>10.3</v>
      </c>
      <c r="DM24" s="275">
        <f>Dem!$D386</f>
        <v>2.6</v>
      </c>
      <c r="DN24" s="276">
        <f t="shared" si="32"/>
        <v>258.60000000000002</v>
      </c>
      <c r="DO24" s="44">
        <v>-0.89999999999997726</v>
      </c>
    </row>
    <row r="25" spans="1:119">
      <c r="A25" s="46">
        <f t="shared" si="33"/>
        <v>1996</v>
      </c>
      <c r="B25" s="141">
        <f t="shared" si="11"/>
        <v>8.5330109865859372E-2</v>
      </c>
      <c r="D25" s="141">
        <f t="shared" si="12"/>
        <v>0.42162063492063523</v>
      </c>
      <c r="E25" s="141">
        <f t="shared" si="13"/>
        <v>0.5069507447864946</v>
      </c>
      <c r="F25" s="46"/>
      <c r="G25" s="157">
        <f t="shared" si="14"/>
        <v>2.6309523809523817E-2</v>
      </c>
      <c r="H25" s="157">
        <f t="shared" si="14"/>
        <v>4.4484126984126994E-2</v>
      </c>
      <c r="I25" s="157">
        <f t="shared" si="14"/>
        <v>5.3928571428571465E-2</v>
      </c>
      <c r="J25" s="157">
        <f t="shared" si="14"/>
        <v>5.1865079365079406E-2</v>
      </c>
      <c r="K25" s="157">
        <f t="shared" si="14"/>
        <v>2.1646825396825421E-2</v>
      </c>
      <c r="L25" s="157">
        <f t="shared" si="14"/>
        <v>8.6111111111111249E-3</v>
      </c>
      <c r="M25" s="157">
        <f t="shared" si="14"/>
        <v>3.9650793650793806E-3</v>
      </c>
      <c r="N25" s="157">
        <f t="shared" si="14"/>
        <v>0</v>
      </c>
      <c r="O25" s="46"/>
      <c r="P25" s="154">
        <f t="shared" si="15"/>
        <v>6.8452380952380945E-2</v>
      </c>
      <c r="Q25" s="154">
        <f t="shared" si="16"/>
        <v>0.17757936507936506</v>
      </c>
      <c r="R25" s="154">
        <f t="shared" si="17"/>
        <v>0.33035714285714279</v>
      </c>
      <c r="S25" s="154">
        <f t="shared" si="18"/>
        <v>0.54067460317460303</v>
      </c>
      <c r="T25" s="154">
        <f t="shared" si="19"/>
        <v>0.68353174603174582</v>
      </c>
      <c r="U25" s="154">
        <f t="shared" si="20"/>
        <v>0.77777777777777757</v>
      </c>
      <c r="V25" s="154">
        <f t="shared" si="21"/>
        <v>0.89087301587301559</v>
      </c>
      <c r="W25" s="162">
        <f t="shared" si="34"/>
        <v>1</v>
      </c>
      <c r="X25" s="154"/>
      <c r="Y25" s="142">
        <f t="shared" si="35"/>
        <v>3.2452830188679248E-2</v>
      </c>
      <c r="Z25" s="142">
        <f t="shared" si="35"/>
        <v>5.3386295928500506E-2</v>
      </c>
      <c r="AA25" s="142">
        <f t="shared" si="35"/>
        <v>6.4190665342601802E-2</v>
      </c>
      <c r="AB25" s="142">
        <f t="shared" si="35"/>
        <v>6.18867924528302E-2</v>
      </c>
      <c r="AC25" s="142">
        <f t="shared" si="35"/>
        <v>2.6047666335650446E-2</v>
      </c>
      <c r="AD25" s="142">
        <f t="shared" si="35"/>
        <v>1.0508937437934457E-2</v>
      </c>
      <c r="AE25" s="142">
        <f t="shared" si="35"/>
        <v>5.0021847070506453E-3</v>
      </c>
      <c r="AF25" s="142">
        <f t="shared" si="35"/>
        <v>0</v>
      </c>
      <c r="AH25" s="158">
        <f t="shared" si="22"/>
        <v>3.7735849056603779E-2</v>
      </c>
      <c r="AI25" s="158">
        <f t="shared" si="23"/>
        <v>0.13306852035749753</v>
      </c>
      <c r="AJ25" s="158">
        <f t="shared" si="24"/>
        <v>0.27904667328699106</v>
      </c>
      <c r="AK25" s="158">
        <f t="shared" si="25"/>
        <v>0.49056603773584906</v>
      </c>
      <c r="AL25" s="158">
        <f t="shared" si="26"/>
        <v>0.63952333664349559</v>
      </c>
      <c r="AM25" s="158">
        <f t="shared" si="27"/>
        <v>0.73982125124131093</v>
      </c>
      <c r="AN25" s="158">
        <f t="shared" si="28"/>
        <v>0.86494538232373397</v>
      </c>
      <c r="AO25" s="158">
        <v>1</v>
      </c>
      <c r="AP25" s="143"/>
      <c r="AQ25" s="152">
        <f>Shares!D107</f>
        <v>6.9</v>
      </c>
      <c r="AR25" s="152">
        <f>Shares!E107</f>
        <v>11</v>
      </c>
      <c r="AS25" s="152">
        <f>Shares!F107</f>
        <v>15.4</v>
      </c>
      <c r="AT25" s="152">
        <f>Shares!G107</f>
        <v>21.2</v>
      </c>
      <c r="AU25" s="152">
        <f>Shares!J107</f>
        <v>14.4</v>
      </c>
      <c r="AV25" s="152">
        <f>Shares!K107</f>
        <v>9.5</v>
      </c>
      <c r="AW25" s="152">
        <f>Shares!L107</f>
        <v>11.4</v>
      </c>
      <c r="AX25" s="152">
        <f>Shares!M107</f>
        <v>11</v>
      </c>
      <c r="AY25" s="46"/>
      <c r="AZ25" s="152">
        <v>3.8</v>
      </c>
      <c r="BA25" s="152">
        <v>9.6</v>
      </c>
      <c r="BB25" s="152">
        <v>14.7</v>
      </c>
      <c r="BC25" s="152">
        <v>21.3</v>
      </c>
      <c r="BD25" s="152">
        <v>15</v>
      </c>
      <c r="BE25" s="152">
        <v>10.1</v>
      </c>
      <c r="BF25" s="152">
        <v>12.6</v>
      </c>
      <c r="BG25" s="152">
        <v>13.6</v>
      </c>
      <c r="BI25" s="146">
        <f>TxRt!B70</f>
        <v>6.8</v>
      </c>
      <c r="BJ25" s="146">
        <f>TxRt!B113</f>
        <v>13.7</v>
      </c>
      <c r="BK25" s="146">
        <f>TxRt!B153</f>
        <v>17.8</v>
      </c>
      <c r="BL25" s="146">
        <f>TxRt!B193</f>
        <v>20.7</v>
      </c>
      <c r="BM25" s="146">
        <f>TxRt!B273</f>
        <v>23.2</v>
      </c>
      <c r="BN25" s="146">
        <f>TxRt!B313</f>
        <v>25.1</v>
      </c>
      <c r="BO25" s="146">
        <f>TxRt!B353</f>
        <v>27.4</v>
      </c>
      <c r="BP25" s="146">
        <f>TxRt!B393</f>
        <v>34.799999999999997</v>
      </c>
      <c r="BQ25" s="46"/>
      <c r="BR25" s="60">
        <f>'HH inc'!$I67</f>
        <v>24600</v>
      </c>
      <c r="BS25" s="60">
        <f>'HH inc'!$I107</f>
        <v>35600</v>
      </c>
      <c r="BT25" s="60">
        <f>'HH inc'!$I147</f>
        <v>51700</v>
      </c>
      <c r="BU25" s="60">
        <f>'HH inc'!$I187</f>
        <v>71000</v>
      </c>
      <c r="BV25" s="60">
        <f>'HH inc'!$I267</f>
        <v>94000</v>
      </c>
      <c r="BW25" s="60">
        <f>'HH inc'!$I307</f>
        <v>119900</v>
      </c>
      <c r="BX25" s="60">
        <f>'HH inc'!$I347</f>
        <v>180200</v>
      </c>
      <c r="BY25" s="60">
        <f>'HH inc'!$I387</f>
        <v>702400</v>
      </c>
      <c r="CA25" s="60">
        <f>'HH inc'!$I67</f>
        <v>24600</v>
      </c>
      <c r="CB25" s="60">
        <f>'HH inc'!$I107</f>
        <v>35600</v>
      </c>
      <c r="CC25" s="60">
        <f>'HH inc'!$I147</f>
        <v>51700</v>
      </c>
      <c r="CD25" s="60">
        <f>'HH inc'!$I187</f>
        <v>71000</v>
      </c>
      <c r="CE25" s="60">
        <f>'HH inc'!$I267</f>
        <v>94000</v>
      </c>
      <c r="CF25" s="60">
        <f>'HH inc'!$I307</f>
        <v>119900</v>
      </c>
      <c r="CG25" s="60">
        <f>'HH inc'!$I347</f>
        <v>180200</v>
      </c>
      <c r="CH25" s="60">
        <f>'HH inc'!$I387</f>
        <v>702400</v>
      </c>
      <c r="CJ25" s="153">
        <f t="shared" si="29"/>
        <v>463095</v>
      </c>
      <c r="CK25" s="153">
        <f t="shared" si="30"/>
        <v>737810</v>
      </c>
      <c r="CL25" s="153">
        <f t="shared" si="5"/>
        <v>1030122.5</v>
      </c>
      <c r="CM25" s="153">
        <f t="shared" si="6"/>
        <v>1421775.0000000002</v>
      </c>
      <c r="CN25" s="153">
        <f t="shared" si="7"/>
        <v>968200.00000000012</v>
      </c>
      <c r="CO25" s="153">
        <f t="shared" si="8"/>
        <v>635470</v>
      </c>
      <c r="CP25" s="153">
        <f t="shared" si="9"/>
        <v>774860</v>
      </c>
      <c r="CQ25" s="153">
        <f t="shared" si="10"/>
        <v>772640.00000000012</v>
      </c>
      <c r="CR25" s="153">
        <f t="shared" si="31"/>
        <v>6803972.5</v>
      </c>
      <c r="CT25" s="39">
        <v>261.89999999999998</v>
      </c>
      <c r="CU25" s="276">
        <f>Dem!B67+(DD25/4)</f>
        <v>18.824999999999999</v>
      </c>
      <c r="CV25" s="276">
        <f>Dem!B107+(DD25/4)</f>
        <v>20.725000000000001</v>
      </c>
      <c r="CW25" s="276">
        <f>Dem!B147+(DD25/4)</f>
        <v>19.925000000000001</v>
      </c>
      <c r="CX25" s="276">
        <f>Dem!B187+(DD25/4)</f>
        <v>20.025000000000002</v>
      </c>
      <c r="CY25" s="276">
        <f>Dem!B267</f>
        <v>10.3</v>
      </c>
      <c r="CZ25" s="276">
        <f>Dem!B307</f>
        <v>5.3</v>
      </c>
      <c r="DA25" s="276">
        <f>Dem!B347</f>
        <v>4.3</v>
      </c>
      <c r="DB25" s="276">
        <f>Dem!B387</f>
        <v>1.1000000000000001</v>
      </c>
      <c r="DC25" s="275">
        <v>101.1</v>
      </c>
      <c r="DD25" s="46">
        <v>-0.29999999999999716</v>
      </c>
      <c r="DE25" s="275"/>
      <c r="DF25" s="276">
        <f>Dem!$D67+(DO25/4)</f>
        <v>51.300000000000011</v>
      </c>
      <c r="DG25" s="276">
        <f>Dem!$D107+(DO25/4)</f>
        <v>52.20000000000001</v>
      </c>
      <c r="DH25" s="276">
        <f>Dem!$D147+(DO25/4)</f>
        <v>52.20000000000001</v>
      </c>
      <c r="DI25" s="276">
        <f>Dem!$D187+(DO25/4)</f>
        <v>52.20000000000001</v>
      </c>
      <c r="DJ25" s="275">
        <f>Dem!$D267</f>
        <v>26.2</v>
      </c>
      <c r="DK25" s="275">
        <f>Dem!$D307</f>
        <v>13.1</v>
      </c>
      <c r="DL25" s="275">
        <f>Dem!$D347</f>
        <v>10.5</v>
      </c>
      <c r="DM25" s="275">
        <f>Dem!$D387</f>
        <v>2.6</v>
      </c>
      <c r="DN25" s="276">
        <f t="shared" si="32"/>
        <v>261.89999999999998</v>
      </c>
      <c r="DO25" s="44">
        <v>-0.79999999999995453</v>
      </c>
    </row>
    <row r="26" spans="1:119">
      <c r="A26" s="46">
        <f t="shared" si="33"/>
        <v>1997</v>
      </c>
      <c r="B26" s="141">
        <f t="shared" si="11"/>
        <v>8.1157487281792506E-2</v>
      </c>
      <c r="D26" s="141">
        <f t="shared" si="12"/>
        <v>0.43699484638255714</v>
      </c>
      <c r="E26" s="141">
        <f t="shared" si="13"/>
        <v>0.51815233366434965</v>
      </c>
      <c r="F26" s="46"/>
      <c r="G26" s="157">
        <f t="shared" si="14"/>
        <v>2.6521308225966309E-2</v>
      </c>
      <c r="H26" s="157">
        <f t="shared" si="14"/>
        <v>4.531219028741329E-2</v>
      </c>
      <c r="I26" s="157">
        <f t="shared" si="14"/>
        <v>5.5579781962338974E-2</v>
      </c>
      <c r="J26" s="157">
        <f t="shared" si="14"/>
        <v>5.4350842418235894E-2</v>
      </c>
      <c r="K26" s="157">
        <f t="shared" si="14"/>
        <v>2.3002973240832503E-2</v>
      </c>
      <c r="L26" s="157">
        <f t="shared" si="14"/>
        <v>9.2938553022794863E-3</v>
      </c>
      <c r="M26" s="157">
        <f t="shared" si="14"/>
        <v>4.4364717542120947E-3</v>
      </c>
      <c r="N26" s="157">
        <f t="shared" si="14"/>
        <v>0</v>
      </c>
      <c r="O26" s="46"/>
      <c r="P26" s="154">
        <f t="shared" si="15"/>
        <v>6.7393458870168482E-2</v>
      </c>
      <c r="Q26" s="154">
        <f t="shared" si="16"/>
        <v>0.1734390485629336</v>
      </c>
      <c r="R26" s="154">
        <f t="shared" si="17"/>
        <v>0.32210109018830524</v>
      </c>
      <c r="S26" s="154">
        <f t="shared" si="18"/>
        <v>0.5282457879088206</v>
      </c>
      <c r="T26" s="154">
        <f t="shared" si="19"/>
        <v>0.66997026759167499</v>
      </c>
      <c r="U26" s="154">
        <f t="shared" si="20"/>
        <v>0.76412289395441035</v>
      </c>
      <c r="V26" s="154">
        <f t="shared" si="21"/>
        <v>0.87908820614469774</v>
      </c>
      <c r="W26" s="162">
        <f t="shared" si="34"/>
        <v>1</v>
      </c>
      <c r="X26" s="154"/>
      <c r="Y26" s="142">
        <f t="shared" si="35"/>
        <v>3.2254220456802388E-2</v>
      </c>
      <c r="Z26" s="142">
        <f t="shared" si="35"/>
        <v>5.3783515392254233E-2</v>
      </c>
      <c r="AA26" s="142">
        <f t="shared" si="35"/>
        <v>6.5183714001986123E-2</v>
      </c>
      <c r="AB26" s="142">
        <f t="shared" si="35"/>
        <v>6.4071499503475696E-2</v>
      </c>
      <c r="AC26" s="142">
        <f t="shared" si="35"/>
        <v>2.723932472691163E-2</v>
      </c>
      <c r="AD26" s="142">
        <f t="shared" si="35"/>
        <v>1.110476663356505E-2</v>
      </c>
      <c r="AE26" s="142">
        <f t="shared" si="35"/>
        <v>5.4391261171797467E-3</v>
      </c>
      <c r="AF26" s="142">
        <f t="shared" si="35"/>
        <v>0</v>
      </c>
      <c r="AH26" s="158">
        <f t="shared" si="22"/>
        <v>3.872889771598808E-2</v>
      </c>
      <c r="AI26" s="158">
        <f t="shared" si="23"/>
        <v>0.13108242303872888</v>
      </c>
      <c r="AJ26" s="158">
        <f t="shared" si="24"/>
        <v>0.27408142999006946</v>
      </c>
      <c r="AK26" s="158">
        <f t="shared" si="25"/>
        <v>0.47964250248262158</v>
      </c>
      <c r="AL26" s="158">
        <f t="shared" si="26"/>
        <v>0.62760675273088373</v>
      </c>
      <c r="AM26" s="158">
        <f t="shared" si="27"/>
        <v>0.72790466732869907</v>
      </c>
      <c r="AN26" s="158">
        <f t="shared" si="28"/>
        <v>0.85402184707050643</v>
      </c>
      <c r="AO26" s="158">
        <v>1</v>
      </c>
      <c r="AP26" s="143"/>
      <c r="AQ26" s="152">
        <f>Shares!D108</f>
        <v>6.8</v>
      </c>
      <c r="AR26" s="152">
        <f>Shares!E108</f>
        <v>10.7</v>
      </c>
      <c r="AS26" s="152">
        <f>Shares!F108</f>
        <v>15</v>
      </c>
      <c r="AT26" s="152">
        <f>Shares!G108</f>
        <v>20.8</v>
      </c>
      <c r="AU26" s="152">
        <f>Shares!J108</f>
        <v>14.3</v>
      </c>
      <c r="AV26" s="152">
        <f>Shares!K108</f>
        <v>9.5</v>
      </c>
      <c r="AW26" s="152">
        <f>Shares!L108</f>
        <v>11.6</v>
      </c>
      <c r="AX26" s="152">
        <f>Shares!M108</f>
        <v>12.2</v>
      </c>
      <c r="AY26" s="46"/>
      <c r="AZ26" s="152">
        <v>3.9</v>
      </c>
      <c r="BA26" s="152">
        <v>9.3000000000000007</v>
      </c>
      <c r="BB26" s="152">
        <v>14.4</v>
      </c>
      <c r="BC26" s="152">
        <v>20.7</v>
      </c>
      <c r="BD26" s="152">
        <v>14.9</v>
      </c>
      <c r="BE26" s="152">
        <v>10.1</v>
      </c>
      <c r="BF26" s="152">
        <v>12.7</v>
      </c>
      <c r="BG26" s="152">
        <v>14.7</v>
      </c>
      <c r="BI26" s="146">
        <f>TxRt!B71</f>
        <v>7</v>
      </c>
      <c r="BJ26" s="146">
        <f>TxRt!B114</f>
        <v>14</v>
      </c>
      <c r="BK26" s="146">
        <f>TxRt!B154</f>
        <v>18.100000000000001</v>
      </c>
      <c r="BL26" s="146">
        <f>TxRt!B194</f>
        <v>20.7</v>
      </c>
      <c r="BM26" s="146">
        <f>TxRt!B274</f>
        <v>23.5</v>
      </c>
      <c r="BN26" s="146">
        <f>TxRt!B314</f>
        <v>25.2</v>
      </c>
      <c r="BO26" s="146">
        <f>TxRt!B354</f>
        <v>27.6</v>
      </c>
      <c r="BP26" s="146">
        <f>TxRt!B394</f>
        <v>33.799999999999997</v>
      </c>
      <c r="BQ26" s="46"/>
      <c r="BR26" s="60">
        <f>'HH inc'!$I68</f>
        <v>24900</v>
      </c>
      <c r="BS26" s="60">
        <f>'HH inc'!$I108</f>
        <v>36700</v>
      </c>
      <c r="BT26" s="60">
        <f>'HH inc'!$I148</f>
        <v>52400</v>
      </c>
      <c r="BU26" s="60">
        <f>'HH inc'!$I188</f>
        <v>72700</v>
      </c>
      <c r="BV26" s="60">
        <f>'HH inc'!$I268</f>
        <v>95900</v>
      </c>
      <c r="BW26" s="60">
        <f>'HH inc'!$I308</f>
        <v>124300</v>
      </c>
      <c r="BX26" s="60">
        <f>'HH inc'!$I348</f>
        <v>191800</v>
      </c>
      <c r="BY26" s="60">
        <f>'HH inc'!$I388</f>
        <v>823800</v>
      </c>
      <c r="CA26" s="60">
        <f>'HH inc'!$I68</f>
        <v>24900</v>
      </c>
      <c r="CB26" s="60">
        <f>'HH inc'!$I108</f>
        <v>36700</v>
      </c>
      <c r="CC26" s="60">
        <f>'HH inc'!$I148</f>
        <v>52400</v>
      </c>
      <c r="CD26" s="60">
        <f>'HH inc'!$I188</f>
        <v>72700</v>
      </c>
      <c r="CE26" s="60">
        <f>'HH inc'!$I268</f>
        <v>95900</v>
      </c>
      <c r="CF26" s="60">
        <f>'HH inc'!$I308</f>
        <v>124300</v>
      </c>
      <c r="CG26" s="60">
        <f>'HH inc'!$I348</f>
        <v>191800</v>
      </c>
      <c r="CH26" s="60">
        <f>'HH inc'!$I388</f>
        <v>823800</v>
      </c>
      <c r="CJ26" s="153">
        <f t="shared" si="29"/>
        <v>481815.00000000006</v>
      </c>
      <c r="CK26" s="153">
        <f t="shared" si="30"/>
        <v>750515.00000000012</v>
      </c>
      <c r="CL26" s="153">
        <f t="shared" si="5"/>
        <v>1055860</v>
      </c>
      <c r="CM26" s="153">
        <f t="shared" si="6"/>
        <v>1464905.0000000002</v>
      </c>
      <c r="CN26" s="153">
        <f t="shared" si="7"/>
        <v>1016540</v>
      </c>
      <c r="CO26" s="153">
        <f t="shared" si="8"/>
        <v>671220</v>
      </c>
      <c r="CP26" s="153">
        <f t="shared" si="9"/>
        <v>824740</v>
      </c>
      <c r="CQ26" s="153">
        <f t="shared" si="10"/>
        <v>823800</v>
      </c>
      <c r="CR26" s="153">
        <f t="shared" si="31"/>
        <v>7089395</v>
      </c>
      <c r="CT26" s="39">
        <v>264.2</v>
      </c>
      <c r="CU26" s="276">
        <f>Dem!B68+(DD26/4)</f>
        <v>19.350000000000001</v>
      </c>
      <c r="CV26" s="276">
        <f>Dem!B108+(DD26/4)</f>
        <v>20.450000000000003</v>
      </c>
      <c r="CW26" s="276">
        <f>Dem!B148+(DD26/4)</f>
        <v>20.150000000000002</v>
      </c>
      <c r="CX26" s="276">
        <f>Dem!B188+(DD26/4)</f>
        <v>20.150000000000002</v>
      </c>
      <c r="CY26" s="276">
        <f>Dem!B268</f>
        <v>10.6</v>
      </c>
      <c r="CZ26" s="276">
        <f>Dem!B308</f>
        <v>5.4</v>
      </c>
      <c r="DA26" s="276">
        <f>Dem!B348</f>
        <v>4.3</v>
      </c>
      <c r="DB26" s="276">
        <f>Dem!B388</f>
        <v>1</v>
      </c>
      <c r="DC26" s="275">
        <v>102.6</v>
      </c>
      <c r="DD26" s="46">
        <v>-0.59999999999999432</v>
      </c>
      <c r="DE26" s="275"/>
      <c r="DF26" s="276">
        <f>Dem!$D68+(DO26/4)</f>
        <v>51.375000000000014</v>
      </c>
      <c r="DG26" s="276">
        <f>Dem!$D108+(DO26/4)</f>
        <v>52.475000000000009</v>
      </c>
      <c r="DH26" s="276">
        <f>Dem!$D148+(DO26/4)</f>
        <v>52.475000000000009</v>
      </c>
      <c r="DI26" s="276">
        <f>Dem!$D188+(DO26/4)</f>
        <v>52.475000000000009</v>
      </c>
      <c r="DJ26" s="275">
        <f>Dem!$D268</f>
        <v>26.4</v>
      </c>
      <c r="DK26" s="275">
        <f>Dem!$D308</f>
        <v>13.2</v>
      </c>
      <c r="DL26" s="275">
        <f>Dem!$D348</f>
        <v>10.6</v>
      </c>
      <c r="DM26" s="275">
        <f>Dem!$D388</f>
        <v>2.6</v>
      </c>
      <c r="DN26" s="276">
        <f t="shared" si="32"/>
        <v>264.2</v>
      </c>
      <c r="DO26" s="44">
        <v>-1.2999999999999545</v>
      </c>
    </row>
    <row r="27" spans="1:119">
      <c r="A27" s="46">
        <f t="shared" si="33"/>
        <v>1998</v>
      </c>
      <c r="B27" s="141">
        <f t="shared" si="11"/>
        <v>8.1783846080410449E-2</v>
      </c>
      <c r="D27" s="141">
        <f t="shared" si="12"/>
        <v>0.44236650148662038</v>
      </c>
      <c r="E27" s="141">
        <f t="shared" si="13"/>
        <v>0.52415034756703083</v>
      </c>
      <c r="F27" s="46"/>
      <c r="G27" s="157">
        <f t="shared" si="14"/>
        <v>2.6323092170465807E-2</v>
      </c>
      <c r="H27" s="157">
        <f t="shared" si="14"/>
        <v>4.5312190287413283E-2</v>
      </c>
      <c r="I27" s="157">
        <f t="shared" si="14"/>
        <v>5.5976214073339949E-2</v>
      </c>
      <c r="J27" s="157">
        <f t="shared" si="14"/>
        <v>5.5341922695738344E-2</v>
      </c>
      <c r="K27" s="157">
        <f t="shared" si="14"/>
        <v>2.3696729435084232E-2</v>
      </c>
      <c r="L27" s="157">
        <f t="shared" si="14"/>
        <v>9.7398414271555947E-3</v>
      </c>
      <c r="M27" s="157">
        <f t="shared" si="14"/>
        <v>4.7932606541129762E-3</v>
      </c>
      <c r="N27" s="157">
        <f t="shared" si="14"/>
        <v>0</v>
      </c>
      <c r="O27" s="46"/>
      <c r="P27" s="154">
        <f t="shared" si="15"/>
        <v>6.8384539147670981E-2</v>
      </c>
      <c r="Q27" s="154">
        <f t="shared" si="16"/>
        <v>0.17343904856293363</v>
      </c>
      <c r="R27" s="154">
        <f t="shared" si="17"/>
        <v>0.32011892963330035</v>
      </c>
      <c r="S27" s="154">
        <f t="shared" si="18"/>
        <v>0.52329038652130833</v>
      </c>
      <c r="T27" s="154">
        <f t="shared" si="19"/>
        <v>0.66303270564915773</v>
      </c>
      <c r="U27" s="154">
        <f t="shared" si="20"/>
        <v>0.7552031714568882</v>
      </c>
      <c r="V27" s="154">
        <f t="shared" si="21"/>
        <v>0.87016848364717569</v>
      </c>
      <c r="W27" s="162">
        <f t="shared" si="34"/>
        <v>1</v>
      </c>
      <c r="X27" s="154"/>
      <c r="Y27" s="142">
        <f t="shared" si="35"/>
        <v>3.2055610724925521E-2</v>
      </c>
      <c r="Z27" s="142">
        <f t="shared" si="35"/>
        <v>5.3982125124131086E-2</v>
      </c>
      <c r="AA27" s="142">
        <f t="shared" si="35"/>
        <v>6.5779543197616697E-2</v>
      </c>
      <c r="AB27" s="142">
        <f t="shared" si="35"/>
        <v>6.5064548162859989E-2</v>
      </c>
      <c r="AC27" s="142">
        <f t="shared" si="35"/>
        <v>2.7934458788480634E-2</v>
      </c>
      <c r="AD27" s="142">
        <f t="shared" si="35"/>
        <v>1.1501986097318768E-2</v>
      </c>
      <c r="AE27" s="142">
        <f t="shared" si="35"/>
        <v>5.7569016881827209E-3</v>
      </c>
      <c r="AF27" s="142">
        <f t="shared" si="35"/>
        <v>0</v>
      </c>
      <c r="AH27" s="158">
        <f t="shared" si="22"/>
        <v>3.9721946375372394E-2</v>
      </c>
      <c r="AI27" s="158">
        <f t="shared" si="23"/>
        <v>0.13008937437934459</v>
      </c>
      <c r="AJ27" s="158">
        <f t="shared" si="24"/>
        <v>0.27110228401191661</v>
      </c>
      <c r="AK27" s="158">
        <f t="shared" si="25"/>
        <v>0.47467725918570014</v>
      </c>
      <c r="AL27" s="158">
        <f t="shared" si="26"/>
        <v>0.62065541211519371</v>
      </c>
      <c r="AM27" s="158">
        <f t="shared" si="27"/>
        <v>0.71996027805362472</v>
      </c>
      <c r="AN27" s="158">
        <f t="shared" si="28"/>
        <v>0.84607745779543209</v>
      </c>
      <c r="AO27" s="158">
        <v>1</v>
      </c>
      <c r="AP27" s="143"/>
      <c r="AQ27" s="152">
        <f>Shares!D109</f>
        <v>6.9</v>
      </c>
      <c r="AR27" s="152">
        <f>Shares!E109</f>
        <v>10.6</v>
      </c>
      <c r="AS27" s="152">
        <f>Shares!F109</f>
        <v>14.8</v>
      </c>
      <c r="AT27" s="152">
        <f>Shares!G109</f>
        <v>20.5</v>
      </c>
      <c r="AU27" s="152">
        <f>Shares!J109</f>
        <v>14.1</v>
      </c>
      <c r="AV27" s="152">
        <f>Shares!K109</f>
        <v>9.3000000000000007</v>
      </c>
      <c r="AW27" s="152">
        <f>Shares!L109</f>
        <v>11.6</v>
      </c>
      <c r="AX27" s="152">
        <f>Shares!M109</f>
        <v>13.1</v>
      </c>
      <c r="AY27" s="46"/>
      <c r="AZ27" s="152">
        <v>4</v>
      </c>
      <c r="BA27" s="152">
        <v>9.1</v>
      </c>
      <c r="BB27" s="152">
        <v>14.2</v>
      </c>
      <c r="BC27" s="152">
        <v>20.5</v>
      </c>
      <c r="BD27" s="152">
        <v>14.7</v>
      </c>
      <c r="BE27" s="152">
        <v>10</v>
      </c>
      <c r="BF27" s="152">
        <v>12.7</v>
      </c>
      <c r="BG27" s="152">
        <v>15.5</v>
      </c>
      <c r="BI27" s="146">
        <f>TxRt!B72</f>
        <v>6.9</v>
      </c>
      <c r="BJ27" s="146">
        <f>TxRt!B115</f>
        <v>13.4</v>
      </c>
      <c r="BK27" s="146">
        <f>TxRt!B155</f>
        <v>17.399999999999999</v>
      </c>
      <c r="BL27" s="146">
        <f>TxRt!B195</f>
        <v>20.6</v>
      </c>
      <c r="BM27" s="146">
        <f>TxRt!B275</f>
        <v>23.4</v>
      </c>
      <c r="BN27" s="146">
        <f>TxRt!B315</f>
        <v>25.2</v>
      </c>
      <c r="BO27" s="146">
        <f>TxRt!B355</f>
        <v>27.4</v>
      </c>
      <c r="BP27" s="146">
        <f>TxRt!B395</f>
        <v>32.4</v>
      </c>
      <c r="BQ27" s="46"/>
      <c r="BR27" s="60">
        <f>'HH inc'!$I69</f>
        <v>26200</v>
      </c>
      <c r="BS27" s="60">
        <f>'HH inc'!$I109</f>
        <v>38900</v>
      </c>
      <c r="BT27" s="60">
        <f>'HH inc'!$I149</f>
        <v>54700</v>
      </c>
      <c r="BU27" s="60">
        <f>'HH inc'!$I189</f>
        <v>75600</v>
      </c>
      <c r="BV27" s="60">
        <f>'HH inc'!$I269</f>
        <v>100100</v>
      </c>
      <c r="BW27" s="60">
        <f>'HH inc'!$I309</f>
        <v>129500</v>
      </c>
      <c r="BX27" s="60">
        <f>'HH inc'!$I349</f>
        <v>203000</v>
      </c>
      <c r="BY27" s="60">
        <f>'HH inc'!$I389</f>
        <v>955200</v>
      </c>
      <c r="CA27" s="60">
        <f>'HH inc'!$I69</f>
        <v>26200</v>
      </c>
      <c r="CB27" s="60">
        <f>'HH inc'!$I109</f>
        <v>38900</v>
      </c>
      <c r="CC27" s="60">
        <f>'HH inc'!$I149</f>
        <v>54700</v>
      </c>
      <c r="CD27" s="60">
        <f>'HH inc'!$I189</f>
        <v>75600</v>
      </c>
      <c r="CE27" s="60">
        <f>'HH inc'!$I269</f>
        <v>100100</v>
      </c>
      <c r="CF27" s="60">
        <f>'HH inc'!$I309</f>
        <v>129500</v>
      </c>
      <c r="CG27" s="60">
        <f>'HH inc'!$I349</f>
        <v>203000</v>
      </c>
      <c r="CH27" s="60">
        <f>'HH inc'!$I389</f>
        <v>955200</v>
      </c>
      <c r="CJ27" s="153">
        <f t="shared" si="29"/>
        <v>520725</v>
      </c>
      <c r="CK27" s="153">
        <f t="shared" si="30"/>
        <v>800367.5</v>
      </c>
      <c r="CL27" s="153">
        <f t="shared" si="5"/>
        <v>1125452.5</v>
      </c>
      <c r="CM27" s="153">
        <f t="shared" si="6"/>
        <v>1547910</v>
      </c>
      <c r="CN27" s="153">
        <f t="shared" si="7"/>
        <v>1071070</v>
      </c>
      <c r="CO27" s="153">
        <f t="shared" si="8"/>
        <v>712250</v>
      </c>
      <c r="CP27" s="153">
        <f t="shared" si="9"/>
        <v>872900</v>
      </c>
      <c r="CQ27" s="153">
        <f t="shared" si="10"/>
        <v>955200</v>
      </c>
      <c r="CR27" s="153">
        <f t="shared" si="31"/>
        <v>7605875</v>
      </c>
      <c r="CT27" s="39">
        <v>266.3</v>
      </c>
      <c r="CU27" s="276">
        <f>Dem!B69+(DD27/4)</f>
        <v>19.875</v>
      </c>
      <c r="CV27" s="276">
        <f>Dem!B109+(DD27/4)</f>
        <v>20.574999999999999</v>
      </c>
      <c r="CW27" s="276">
        <f>Dem!B149+(DD27/4)</f>
        <v>20.574999999999999</v>
      </c>
      <c r="CX27" s="276">
        <f>Dem!B189+(DD27/4)</f>
        <v>20.475000000000001</v>
      </c>
      <c r="CY27" s="276">
        <f>Dem!B269</f>
        <v>10.7</v>
      </c>
      <c r="CZ27" s="276">
        <f>Dem!B309</f>
        <v>5.5</v>
      </c>
      <c r="DA27" s="276">
        <f>Dem!B349</f>
        <v>4.3</v>
      </c>
      <c r="DB27" s="276">
        <f>Dem!B389</f>
        <v>1</v>
      </c>
      <c r="DC27" s="275">
        <v>104</v>
      </c>
      <c r="DD27" s="46">
        <v>-0.5</v>
      </c>
      <c r="DE27" s="275"/>
      <c r="DF27" s="276">
        <f>Dem!$D69+(DO27/4)</f>
        <v>51.975000000000009</v>
      </c>
      <c r="DG27" s="276">
        <f>Dem!$D109+(DO27/4)</f>
        <v>53.075000000000003</v>
      </c>
      <c r="DH27" s="276">
        <f>Dem!$D149+(DO27/4)</f>
        <v>53.075000000000003</v>
      </c>
      <c r="DI27" s="276">
        <f>Dem!$D189+(DO27/4)</f>
        <v>53.075000000000003</v>
      </c>
      <c r="DJ27" s="275">
        <f>Dem!$D269</f>
        <v>26.6</v>
      </c>
      <c r="DK27" s="275">
        <f>Dem!$D309</f>
        <v>13.3</v>
      </c>
      <c r="DL27" s="275">
        <f>Dem!$D349</f>
        <v>10.7</v>
      </c>
      <c r="DM27" s="275">
        <f>Dem!$D389</f>
        <v>2.7</v>
      </c>
      <c r="DN27" s="276">
        <f t="shared" si="32"/>
        <v>266.3</v>
      </c>
      <c r="DO27" s="44">
        <v>-0.89999999999997726</v>
      </c>
    </row>
    <row r="28" spans="1:119">
      <c r="A28" s="46">
        <f t="shared" si="33"/>
        <v>1999</v>
      </c>
      <c r="B28" s="141">
        <f t="shared" si="11"/>
        <v>8.1470343776467224E-2</v>
      </c>
      <c r="D28" s="141">
        <f t="shared" si="12"/>
        <v>0.45336583912611739</v>
      </c>
      <c r="E28" s="141">
        <f t="shared" si="13"/>
        <v>0.53483618290258461</v>
      </c>
      <c r="F28" s="46"/>
      <c r="G28" s="157">
        <f t="shared" si="14"/>
        <v>2.6693147964250253E-2</v>
      </c>
      <c r="H28" s="157">
        <f t="shared" si="14"/>
        <v>4.603773584905662E-2</v>
      </c>
      <c r="I28" s="157">
        <f t="shared" si="14"/>
        <v>5.7040714995034783E-2</v>
      </c>
      <c r="J28" s="157">
        <f t="shared" si="14"/>
        <v>5.6921549155908663E-2</v>
      </c>
      <c r="K28" s="157">
        <f t="shared" si="14"/>
        <v>2.4657398212512418E-2</v>
      </c>
      <c r="L28" s="157">
        <f t="shared" si="14"/>
        <v>1.0211022840119172E-2</v>
      </c>
      <c r="M28" s="157">
        <f t="shared" si="14"/>
        <v>5.1213505461767681E-3</v>
      </c>
      <c r="N28" s="157">
        <f t="shared" si="14"/>
        <v>0</v>
      </c>
      <c r="O28" s="46"/>
      <c r="P28" s="154">
        <f t="shared" si="15"/>
        <v>6.653426017874875E-2</v>
      </c>
      <c r="Q28" s="154">
        <f t="shared" si="16"/>
        <v>0.16981132075471694</v>
      </c>
      <c r="R28" s="154">
        <f t="shared" si="17"/>
        <v>0.31479642502482619</v>
      </c>
      <c r="S28" s="154">
        <f t="shared" si="18"/>
        <v>0.51539225422045676</v>
      </c>
      <c r="T28" s="154">
        <f t="shared" si="19"/>
        <v>0.65342601787487586</v>
      </c>
      <c r="U28" s="154">
        <f t="shared" si="20"/>
        <v>0.74577954319761663</v>
      </c>
      <c r="V28" s="154">
        <f t="shared" si="21"/>
        <v>0.86196623634558089</v>
      </c>
      <c r="W28" s="162">
        <f t="shared" si="34"/>
        <v>1</v>
      </c>
      <c r="X28" s="154"/>
      <c r="Y28" s="142">
        <f t="shared" si="35"/>
        <v>3.204771371769384E-2</v>
      </c>
      <c r="Z28" s="142">
        <f t="shared" si="35"/>
        <v>5.4353876739562636E-2</v>
      </c>
      <c r="AA28" s="142">
        <f t="shared" si="35"/>
        <v>6.6918489065606379E-2</v>
      </c>
      <c r="AB28" s="142">
        <f t="shared" si="35"/>
        <v>6.6759443339960242E-2</v>
      </c>
      <c r="AC28" s="142">
        <f t="shared" si="35"/>
        <v>2.9065606361829033E-2</v>
      </c>
      <c r="AD28" s="142">
        <f t="shared" si="35"/>
        <v>1.2112326043737583E-2</v>
      </c>
      <c r="AE28" s="142">
        <f t="shared" si="35"/>
        <v>6.1606361829025904E-3</v>
      </c>
      <c r="AF28" s="142">
        <f t="shared" si="35"/>
        <v>0</v>
      </c>
      <c r="AH28" s="158">
        <f t="shared" si="22"/>
        <v>3.9761431411530809E-2</v>
      </c>
      <c r="AI28" s="158">
        <f t="shared" si="23"/>
        <v>0.12823061630218685</v>
      </c>
      <c r="AJ28" s="158">
        <f t="shared" si="24"/>
        <v>0.26540755467196819</v>
      </c>
      <c r="AK28" s="158">
        <f t="shared" si="25"/>
        <v>0.46620278330019882</v>
      </c>
      <c r="AL28" s="158">
        <f t="shared" si="26"/>
        <v>0.60934393638170969</v>
      </c>
      <c r="AM28" s="158">
        <f t="shared" si="27"/>
        <v>0.70775347912524844</v>
      </c>
      <c r="AN28" s="158">
        <f t="shared" si="28"/>
        <v>0.83598409542743535</v>
      </c>
      <c r="AO28" s="158">
        <v>1</v>
      </c>
      <c r="AP28" s="143"/>
      <c r="AQ28" s="152">
        <f>Shares!D110</f>
        <v>6.7</v>
      </c>
      <c r="AR28" s="152">
        <f>Shares!E110</f>
        <v>10.4</v>
      </c>
      <c r="AS28" s="152">
        <f>Shares!F110</f>
        <v>14.6</v>
      </c>
      <c r="AT28" s="152">
        <f>Shares!G110</f>
        <v>20.2</v>
      </c>
      <c r="AU28" s="152">
        <f>Shares!J110</f>
        <v>13.9</v>
      </c>
      <c r="AV28" s="152">
        <f>Shares!K110</f>
        <v>9.3000000000000007</v>
      </c>
      <c r="AW28" s="152">
        <f>Shares!L110</f>
        <v>11.7</v>
      </c>
      <c r="AX28" s="152">
        <f>Shares!M110</f>
        <v>13.9</v>
      </c>
      <c r="AY28" s="46"/>
      <c r="AZ28" s="152">
        <v>4</v>
      </c>
      <c r="BA28" s="152">
        <v>8.9</v>
      </c>
      <c r="BB28" s="152">
        <v>13.8</v>
      </c>
      <c r="BC28" s="152">
        <v>20.2</v>
      </c>
      <c r="BD28" s="152">
        <v>14.4</v>
      </c>
      <c r="BE28" s="152">
        <v>9.9</v>
      </c>
      <c r="BF28" s="152">
        <v>12.9</v>
      </c>
      <c r="BG28" s="152">
        <v>16.5</v>
      </c>
      <c r="BI28" s="146">
        <f>TxRt!B73</f>
        <v>7.2</v>
      </c>
      <c r="BJ28" s="146">
        <f>TxRt!B116</f>
        <v>13.7</v>
      </c>
      <c r="BK28" s="146">
        <f>TxRt!B156</f>
        <v>17.5</v>
      </c>
      <c r="BL28" s="146">
        <f>TxRt!B196</f>
        <v>20.7</v>
      </c>
      <c r="BM28" s="146">
        <f>TxRt!B276</f>
        <v>23.7</v>
      </c>
      <c r="BN28" s="146">
        <f>TxRt!B316</f>
        <v>25.5</v>
      </c>
      <c r="BO28" s="146">
        <f>TxRt!B356</f>
        <v>28</v>
      </c>
      <c r="BP28" s="146">
        <f>TxRt!B396</f>
        <v>32.6</v>
      </c>
      <c r="BQ28" s="46"/>
      <c r="BR28" s="60">
        <f>'HH inc'!$I70</f>
        <v>26500</v>
      </c>
      <c r="BS28" s="60">
        <f>'HH inc'!$I110</f>
        <v>40000</v>
      </c>
      <c r="BT28" s="60">
        <f>'HH inc'!$I150</f>
        <v>56400</v>
      </c>
      <c r="BU28" s="60">
        <f>'HH inc'!$I190</f>
        <v>77500</v>
      </c>
      <c r="BV28" s="60">
        <f>'HH inc'!$I270</f>
        <v>103600</v>
      </c>
      <c r="BW28" s="60">
        <f>'HH inc'!$I310</f>
        <v>134100</v>
      </c>
      <c r="BX28" s="60">
        <f>'HH inc'!$I350</f>
        <v>211000</v>
      </c>
      <c r="BY28" s="60">
        <f>'HH inc'!$I390</f>
        <v>1039400</v>
      </c>
      <c r="CA28" s="60">
        <f>'HH inc'!$I70</f>
        <v>26500</v>
      </c>
      <c r="CB28" s="60">
        <f>'HH inc'!$I110</f>
        <v>40000</v>
      </c>
      <c r="CC28" s="60">
        <f>'HH inc'!$I150</f>
        <v>56400</v>
      </c>
      <c r="CD28" s="60">
        <f>'HH inc'!$I190</f>
        <v>77500</v>
      </c>
      <c r="CE28" s="60">
        <f>'HH inc'!$I270</f>
        <v>103600</v>
      </c>
      <c r="CF28" s="60">
        <f>'HH inc'!$I310</f>
        <v>134100</v>
      </c>
      <c r="CG28" s="60">
        <f>'HH inc'!$I350</f>
        <v>211000</v>
      </c>
      <c r="CH28" s="60">
        <f>'HH inc'!$I390</f>
        <v>1039400</v>
      </c>
      <c r="CJ28" s="153">
        <f t="shared" si="29"/>
        <v>537949.99999999988</v>
      </c>
      <c r="CK28" s="153">
        <f t="shared" si="30"/>
        <v>823999.99999999988</v>
      </c>
      <c r="CL28" s="153">
        <f t="shared" si="5"/>
        <v>1161839.9999999998</v>
      </c>
      <c r="CM28" s="153">
        <f t="shared" si="6"/>
        <v>1611999.9999999998</v>
      </c>
      <c r="CN28" s="153">
        <f t="shared" si="7"/>
        <v>1108520</v>
      </c>
      <c r="CO28" s="153">
        <f t="shared" si="8"/>
        <v>737550</v>
      </c>
      <c r="CP28" s="153">
        <f t="shared" si="9"/>
        <v>928400.00000000012</v>
      </c>
      <c r="CQ28" s="153">
        <f t="shared" si="10"/>
        <v>1143340</v>
      </c>
      <c r="CR28" s="153">
        <f t="shared" si="31"/>
        <v>8053599.9999999991</v>
      </c>
      <c r="CT28" s="39">
        <v>269.60000000000002</v>
      </c>
      <c r="CU28" s="276">
        <f>Dem!B70+(DD28/4)</f>
        <v>20.299999999999997</v>
      </c>
      <c r="CV28" s="276">
        <f>Dem!B110+(DD28/4)</f>
        <v>20.599999999999998</v>
      </c>
      <c r="CW28" s="276">
        <f>Dem!B150+(DD28/4)</f>
        <v>20.599999999999998</v>
      </c>
      <c r="CX28" s="276">
        <f>Dem!B190+(DD28/4)</f>
        <v>20.799999999999997</v>
      </c>
      <c r="CY28" s="276">
        <f>Dem!B270</f>
        <v>10.7</v>
      </c>
      <c r="CZ28" s="276">
        <f>Dem!B310</f>
        <v>5.5</v>
      </c>
      <c r="DA28" s="276">
        <f>Dem!B350</f>
        <v>4.4000000000000004</v>
      </c>
      <c r="DB28" s="276">
        <f>Dem!B390</f>
        <v>1.1000000000000001</v>
      </c>
      <c r="DC28" s="275">
        <v>104.8</v>
      </c>
      <c r="DD28" s="46">
        <v>-0.40000000000000568</v>
      </c>
      <c r="DE28" s="275"/>
      <c r="DF28" s="276">
        <f>Dem!$D70+(DO28/4)</f>
        <v>52.649999999999984</v>
      </c>
      <c r="DG28" s="276">
        <f>Dem!$D110+(DO28/4)</f>
        <v>53.649999999999984</v>
      </c>
      <c r="DH28" s="276">
        <f>Dem!$D150+(DO28/4)</f>
        <v>53.649999999999984</v>
      </c>
      <c r="DI28" s="276">
        <f>Dem!$D190+(DO28/4)</f>
        <v>53.649999999999984</v>
      </c>
      <c r="DJ28" s="275">
        <f>Dem!$D270</f>
        <v>27</v>
      </c>
      <c r="DK28" s="275">
        <f>Dem!$D310</f>
        <v>13.5</v>
      </c>
      <c r="DL28" s="275">
        <f>Dem!$D350</f>
        <v>10.8</v>
      </c>
      <c r="DM28" s="275">
        <f>Dem!$D390</f>
        <v>2.7</v>
      </c>
      <c r="DN28" s="276">
        <f t="shared" si="32"/>
        <v>269.60000000000002</v>
      </c>
      <c r="DO28" s="44">
        <v>-1.0000000000000568</v>
      </c>
    </row>
    <row r="29" spans="1:119">
      <c r="A29" s="46">
        <f t="shared" si="33"/>
        <v>2000</v>
      </c>
      <c r="B29" s="141">
        <f t="shared" si="11"/>
        <v>8.4162236116567757E-2</v>
      </c>
      <c r="D29" s="141">
        <f t="shared" si="12"/>
        <v>0.46140953326713025</v>
      </c>
      <c r="E29" s="141">
        <f t="shared" si="13"/>
        <v>0.545571769383698</v>
      </c>
      <c r="F29" s="46"/>
      <c r="G29" s="157">
        <f t="shared" si="14"/>
        <v>2.6891757696127117E-2</v>
      </c>
      <c r="H29" s="157">
        <f t="shared" si="14"/>
        <v>4.6434955312810333E-2</v>
      </c>
      <c r="I29" s="157">
        <f t="shared" si="14"/>
        <v>5.7636544190665363E-2</v>
      </c>
      <c r="J29" s="157">
        <f t="shared" si="14"/>
        <v>5.8113207547169823E-2</v>
      </c>
      <c r="K29" s="157">
        <f t="shared" si="14"/>
        <v>2.5451837140019862E-2</v>
      </c>
      <c r="L29" s="157">
        <f t="shared" si="14"/>
        <v>1.0657894736842111E-2</v>
      </c>
      <c r="M29" s="157">
        <f t="shared" si="14"/>
        <v>5.5185700099304926E-3</v>
      </c>
      <c r="N29" s="157">
        <f t="shared" si="14"/>
        <v>0</v>
      </c>
      <c r="O29" s="46"/>
      <c r="P29" s="154">
        <f t="shared" si="15"/>
        <v>6.5541211519364442E-2</v>
      </c>
      <c r="Q29" s="154">
        <f t="shared" si="16"/>
        <v>0.16782522343594836</v>
      </c>
      <c r="R29" s="154">
        <f t="shared" si="17"/>
        <v>0.31181727904667328</v>
      </c>
      <c r="S29" s="154">
        <f t="shared" si="18"/>
        <v>0.50943396226415094</v>
      </c>
      <c r="T29" s="154">
        <f t="shared" si="19"/>
        <v>0.6454816285998014</v>
      </c>
      <c r="U29" s="154">
        <f t="shared" si="20"/>
        <v>0.73684210526315785</v>
      </c>
      <c r="V29" s="154">
        <f t="shared" si="21"/>
        <v>0.85203574975173779</v>
      </c>
      <c r="W29" s="162">
        <f t="shared" si="34"/>
        <v>1</v>
      </c>
      <c r="X29" s="154"/>
      <c r="Y29" s="142">
        <f t="shared" si="35"/>
        <v>3.2445328031809155E-2</v>
      </c>
      <c r="Z29" s="142">
        <f t="shared" si="35"/>
        <v>5.4950298210735597E-2</v>
      </c>
      <c r="AA29" s="142">
        <f t="shared" si="35"/>
        <v>6.7912524850894648E-2</v>
      </c>
      <c r="AB29" s="142">
        <f t="shared" si="35"/>
        <v>6.8349900596421487E-2</v>
      </c>
      <c r="AC29" s="142">
        <f t="shared" si="35"/>
        <v>2.9960238568588482E-2</v>
      </c>
      <c r="AD29" s="142">
        <f t="shared" si="35"/>
        <v>1.2609343936381717E-2</v>
      </c>
      <c r="AE29" s="142">
        <f t="shared" si="35"/>
        <v>6.5582504970178989E-3</v>
      </c>
      <c r="AF29" s="142">
        <f t="shared" si="35"/>
        <v>0</v>
      </c>
      <c r="AH29" s="158">
        <f t="shared" si="22"/>
        <v>3.7773359840954271E-2</v>
      </c>
      <c r="AI29" s="158">
        <f t="shared" si="23"/>
        <v>0.12524850894632206</v>
      </c>
      <c r="AJ29" s="158">
        <f t="shared" si="24"/>
        <v>0.26043737574552683</v>
      </c>
      <c r="AK29" s="158">
        <f t="shared" si="25"/>
        <v>0.45825049701789261</v>
      </c>
      <c r="AL29" s="158">
        <f t="shared" si="26"/>
        <v>0.6003976143141152</v>
      </c>
      <c r="AM29" s="158">
        <f t="shared" si="27"/>
        <v>0.69781312127236572</v>
      </c>
      <c r="AN29" s="158">
        <f t="shared" si="28"/>
        <v>0.82604373757455263</v>
      </c>
      <c r="AO29" s="158">
        <v>1</v>
      </c>
      <c r="AP29" s="143"/>
      <c r="AQ29" s="152">
        <f>Shares!D111</f>
        <v>6.6</v>
      </c>
      <c r="AR29" s="152">
        <f>Shares!E111</f>
        <v>10.3</v>
      </c>
      <c r="AS29" s="152">
        <f>Shares!F111</f>
        <v>14.5</v>
      </c>
      <c r="AT29" s="152">
        <f>Shares!G111</f>
        <v>19.899999999999999</v>
      </c>
      <c r="AU29" s="152">
        <f>Shares!J111</f>
        <v>13.7</v>
      </c>
      <c r="AV29" s="152">
        <f>Shares!K111</f>
        <v>9.1999999999999993</v>
      </c>
      <c r="AW29" s="152">
        <f>Shares!L111</f>
        <v>11.6</v>
      </c>
      <c r="AX29" s="152">
        <f>Shares!M111</f>
        <v>14.9</v>
      </c>
      <c r="AY29" s="46"/>
      <c r="AZ29" s="152">
        <v>3.8</v>
      </c>
      <c r="BA29" s="152">
        <v>8.8000000000000007</v>
      </c>
      <c r="BB29" s="152">
        <v>13.6</v>
      </c>
      <c r="BC29" s="152">
        <v>19.899999999999999</v>
      </c>
      <c r="BD29" s="152">
        <v>14.3</v>
      </c>
      <c r="BE29" s="152">
        <v>9.8000000000000007</v>
      </c>
      <c r="BF29" s="152">
        <v>12.9</v>
      </c>
      <c r="BG29" s="152">
        <v>17.5</v>
      </c>
      <c r="BI29" s="146">
        <f>TxRt!B74</f>
        <v>6.6</v>
      </c>
      <c r="BJ29" s="146">
        <f>TxRt!B117</f>
        <v>13.6</v>
      </c>
      <c r="BK29" s="146">
        <f>TxRt!B157</f>
        <v>17.3</v>
      </c>
      <c r="BL29" s="146">
        <f>TxRt!B197</f>
        <v>20.7</v>
      </c>
      <c r="BM29" s="146">
        <f>TxRt!B277</f>
        <v>23.7</v>
      </c>
      <c r="BN29" s="146">
        <f>TxRt!B317</f>
        <v>25.5</v>
      </c>
      <c r="BO29" s="146">
        <f>TxRt!B357</f>
        <v>28</v>
      </c>
      <c r="BP29" s="146">
        <f>TxRt!B397</f>
        <v>32.299999999999997</v>
      </c>
      <c r="BQ29" s="46"/>
      <c r="BR29" s="60">
        <f>'HH inc'!$I71</f>
        <v>26500</v>
      </c>
      <c r="BS29" s="60">
        <f>'HH inc'!$I111</f>
        <v>40300</v>
      </c>
      <c r="BT29" s="60">
        <f>'HH inc'!$I151</f>
        <v>57000</v>
      </c>
      <c r="BU29" s="60">
        <f>'HH inc'!$I191</f>
        <v>78900</v>
      </c>
      <c r="BV29" s="60">
        <f>'HH inc'!$I271</f>
        <v>105800</v>
      </c>
      <c r="BW29" s="60">
        <f>'HH inc'!$I311</f>
        <v>138400</v>
      </c>
      <c r="BX29" s="60">
        <f>'HH inc'!$I351</f>
        <v>217500</v>
      </c>
      <c r="BY29" s="60">
        <f>'HH inc'!$I391</f>
        <v>1148400</v>
      </c>
      <c r="CA29" s="60">
        <f>'HH inc'!$I71</f>
        <v>26500</v>
      </c>
      <c r="CB29" s="60">
        <f>'HH inc'!$I111</f>
        <v>40300</v>
      </c>
      <c r="CC29" s="60">
        <f>'HH inc'!$I151</f>
        <v>57000</v>
      </c>
      <c r="CD29" s="60">
        <f>'HH inc'!$I191</f>
        <v>78900</v>
      </c>
      <c r="CE29" s="60">
        <f>'HH inc'!$I271</f>
        <v>105800</v>
      </c>
      <c r="CF29" s="60">
        <f>'HH inc'!$I311</f>
        <v>138400</v>
      </c>
      <c r="CG29" s="60">
        <f>'HH inc'!$I351</f>
        <v>217500</v>
      </c>
      <c r="CH29" s="60">
        <f>'HH inc'!$I391</f>
        <v>1148400</v>
      </c>
      <c r="CJ29" s="153">
        <f t="shared" si="29"/>
        <v>553849.99999999988</v>
      </c>
      <c r="CK29" s="153">
        <f t="shared" si="30"/>
        <v>866449.99999999988</v>
      </c>
      <c r="CL29" s="153">
        <f t="shared" si="5"/>
        <v>1219799.9999999998</v>
      </c>
      <c r="CM29" s="153">
        <f t="shared" si="6"/>
        <v>1688459.9999999995</v>
      </c>
      <c r="CN29" s="153">
        <f t="shared" si="7"/>
        <v>1163800</v>
      </c>
      <c r="CO29" s="153">
        <f t="shared" si="8"/>
        <v>775040</v>
      </c>
      <c r="CP29" s="153">
        <f t="shared" si="9"/>
        <v>1000499.9999999999</v>
      </c>
      <c r="CQ29" s="153">
        <f t="shared" si="10"/>
        <v>1263240</v>
      </c>
      <c r="CR29" s="153">
        <f t="shared" si="31"/>
        <v>8531140</v>
      </c>
      <c r="CT29" s="39">
        <v>276.5</v>
      </c>
      <c r="CU29" s="276">
        <f>Dem!B71+(DD29/4)</f>
        <v>20.899999999999995</v>
      </c>
      <c r="CV29" s="276">
        <f>Dem!B111+(DD29/4)</f>
        <v>21.499999999999996</v>
      </c>
      <c r="CW29" s="276">
        <f>Dem!B151+(DD29/4)</f>
        <v>21.399999999999995</v>
      </c>
      <c r="CX29" s="276">
        <f>Dem!B191+(DD29/4)</f>
        <v>21.399999999999995</v>
      </c>
      <c r="CY29" s="276">
        <f>Dem!B271</f>
        <v>11</v>
      </c>
      <c r="CZ29" s="276">
        <f>Dem!B311</f>
        <v>5.6</v>
      </c>
      <c r="DA29" s="276">
        <f>Dem!B351</f>
        <v>4.5999999999999996</v>
      </c>
      <c r="DB29" s="276">
        <f>Dem!B391</f>
        <v>1.1000000000000001</v>
      </c>
      <c r="DC29" s="275">
        <v>108.3</v>
      </c>
      <c r="DD29" s="46">
        <v>-0.4000000000000199</v>
      </c>
      <c r="DE29" s="275"/>
      <c r="DF29" s="276">
        <f>Dem!$D71+(DO29/4)</f>
        <v>54.20000000000001</v>
      </c>
      <c r="DG29" s="276">
        <f>Dem!$D111+(DO29/4)</f>
        <v>55.100000000000009</v>
      </c>
      <c r="DH29" s="276">
        <f>Dem!$D151+(DO29/4)</f>
        <v>55.100000000000009</v>
      </c>
      <c r="DI29" s="276">
        <f>Dem!$D191+(DO29/4)</f>
        <v>55.100000000000009</v>
      </c>
      <c r="DJ29" s="275">
        <f>Dem!$D271</f>
        <v>27.7</v>
      </c>
      <c r="DK29" s="275">
        <f>Dem!$D311</f>
        <v>13.8</v>
      </c>
      <c r="DL29" s="275">
        <f>Dem!$D351</f>
        <v>11.1</v>
      </c>
      <c r="DM29" s="275">
        <f>Dem!$D391</f>
        <v>2.8</v>
      </c>
      <c r="DN29" s="276">
        <f t="shared" si="32"/>
        <v>276.5</v>
      </c>
      <c r="DO29" s="44">
        <v>-0.79999999999995453</v>
      </c>
    </row>
    <row r="30" spans="1:119">
      <c r="A30" s="46">
        <f t="shared" si="33"/>
        <v>2001</v>
      </c>
      <c r="B30" s="141">
        <f t="shared" si="11"/>
        <v>8.4194594573293591E-2</v>
      </c>
      <c r="D30" s="141">
        <f t="shared" si="12"/>
        <v>0.43412071357780002</v>
      </c>
      <c r="E30" s="141">
        <f t="shared" si="13"/>
        <v>0.51831530815109361</v>
      </c>
      <c r="F30" s="46"/>
      <c r="G30" s="157">
        <f t="shared" si="14"/>
        <v>2.6521308225966309E-2</v>
      </c>
      <c r="H30" s="157">
        <f t="shared" si="14"/>
        <v>4.5113974231912796E-2</v>
      </c>
      <c r="I30" s="157">
        <f t="shared" si="14"/>
        <v>5.5183349851337986E-2</v>
      </c>
      <c r="J30" s="157">
        <f t="shared" si="14"/>
        <v>5.3756194251734418E-2</v>
      </c>
      <c r="K30" s="157">
        <f t="shared" si="14"/>
        <v>2.2804757185332026E-2</v>
      </c>
      <c r="L30" s="157">
        <f t="shared" si="14"/>
        <v>9.2443012884043715E-3</v>
      </c>
      <c r="M30" s="157">
        <f t="shared" si="14"/>
        <v>4.4364717542121034E-3</v>
      </c>
      <c r="N30" s="157">
        <f t="shared" si="14"/>
        <v>0</v>
      </c>
      <c r="O30" s="46"/>
      <c r="P30" s="154">
        <f t="shared" si="15"/>
        <v>6.7393458870168482E-2</v>
      </c>
      <c r="Q30" s="154">
        <f t="shared" si="16"/>
        <v>0.17443012884043607</v>
      </c>
      <c r="R30" s="154">
        <f t="shared" si="17"/>
        <v>0.32408325074331018</v>
      </c>
      <c r="S30" s="154">
        <f t="shared" si="18"/>
        <v>0.53121902874132798</v>
      </c>
      <c r="T30" s="154">
        <f t="shared" si="19"/>
        <v>0.67195242814667977</v>
      </c>
      <c r="U30" s="154">
        <f t="shared" si="20"/>
        <v>0.76511397423191263</v>
      </c>
      <c r="V30" s="154">
        <f t="shared" si="21"/>
        <v>0.87908820614469751</v>
      </c>
      <c r="W30" s="162">
        <f t="shared" si="34"/>
        <v>1</v>
      </c>
      <c r="X30" s="154"/>
      <c r="Y30" s="142">
        <f t="shared" si="35"/>
        <v>3.2246520874751494E-2</v>
      </c>
      <c r="Z30" s="142">
        <f t="shared" si="35"/>
        <v>5.3956262425447321E-2</v>
      </c>
      <c r="AA30" s="142">
        <f t="shared" si="35"/>
        <v>6.5526838966202802E-2</v>
      </c>
      <c r="AB30" s="142">
        <f t="shared" si="35"/>
        <v>6.3777335984095435E-2</v>
      </c>
      <c r="AC30" s="142">
        <f t="shared" si="35"/>
        <v>2.7176938369781314E-2</v>
      </c>
      <c r="AD30" s="142">
        <f t="shared" si="35"/>
        <v>1.1068588469184893E-2</v>
      </c>
      <c r="AE30" s="142">
        <f t="shared" si="35"/>
        <v>5.4051689860835014E-3</v>
      </c>
      <c r="AF30" s="142">
        <f t="shared" si="35"/>
        <v>0</v>
      </c>
      <c r="AH30" s="158">
        <f t="shared" si="22"/>
        <v>3.8767395626242547E-2</v>
      </c>
      <c r="AI30" s="158">
        <f t="shared" si="23"/>
        <v>0.13021868787276342</v>
      </c>
      <c r="AJ30" s="158">
        <f t="shared" si="24"/>
        <v>0.27236580516898612</v>
      </c>
      <c r="AK30" s="158">
        <f t="shared" si="25"/>
        <v>0.4811133200795229</v>
      </c>
      <c r="AL30" s="158">
        <f t="shared" si="26"/>
        <v>0.62823061630218691</v>
      </c>
      <c r="AM30" s="158">
        <f t="shared" si="27"/>
        <v>0.72862823061630222</v>
      </c>
      <c r="AN30" s="158">
        <f t="shared" si="28"/>
        <v>0.85487077534791256</v>
      </c>
      <c r="AO30" s="158">
        <v>1</v>
      </c>
      <c r="AP30" s="143"/>
      <c r="AQ30" s="152">
        <f>Shares!D112</f>
        <v>6.8</v>
      </c>
      <c r="AR30" s="152">
        <f>Shares!E112</f>
        <v>10.8</v>
      </c>
      <c r="AS30" s="152">
        <f>Shares!F112</f>
        <v>15.1</v>
      </c>
      <c r="AT30" s="152">
        <f>Shares!G112</f>
        <v>20.9</v>
      </c>
      <c r="AU30" s="152">
        <f>Shares!J112</f>
        <v>14.2</v>
      </c>
      <c r="AV30" s="152">
        <f>Shares!K112</f>
        <v>9.4</v>
      </c>
      <c r="AW30" s="152">
        <f>Shares!L112</f>
        <v>11.5</v>
      </c>
      <c r="AX30" s="152">
        <f>Shares!M112</f>
        <v>12.2</v>
      </c>
      <c r="AY30" s="46"/>
      <c r="AZ30" s="152">
        <v>3.9</v>
      </c>
      <c r="BA30" s="152">
        <v>9.1999999999999993</v>
      </c>
      <c r="BB30" s="152">
        <v>14.3</v>
      </c>
      <c r="BC30" s="152">
        <v>21</v>
      </c>
      <c r="BD30" s="152">
        <v>14.8</v>
      </c>
      <c r="BE30" s="152">
        <v>10.1</v>
      </c>
      <c r="BF30" s="152">
        <v>12.7</v>
      </c>
      <c r="BG30" s="152">
        <v>14.6</v>
      </c>
      <c r="BI30" s="146">
        <f>TxRt!B75</f>
        <v>6.1</v>
      </c>
      <c r="BJ30" s="146">
        <f>TxRt!B118</f>
        <v>11.7</v>
      </c>
      <c r="BK30" s="146">
        <f>TxRt!B158</f>
        <v>15.7</v>
      </c>
      <c r="BL30" s="146">
        <f>TxRt!B198</f>
        <v>19.3</v>
      </c>
      <c r="BM30" s="146">
        <f>TxRt!B278</f>
        <v>22.5</v>
      </c>
      <c r="BN30" s="146">
        <f>TxRt!B318</f>
        <v>24.6</v>
      </c>
      <c r="BO30" s="146">
        <f>TxRt!B358</f>
        <v>26.8</v>
      </c>
      <c r="BP30" s="146">
        <f>TxRt!B398</f>
        <v>32</v>
      </c>
      <c r="BQ30" s="46"/>
      <c r="BR30" s="60">
        <f>'HH inc'!$I72</f>
        <v>26900</v>
      </c>
      <c r="BS30" s="60">
        <f>'HH inc'!$I112</f>
        <v>41000</v>
      </c>
      <c r="BT30" s="60">
        <f>'HH inc'!$I152</f>
        <v>57800</v>
      </c>
      <c r="BU30" s="60">
        <f>'HH inc'!$I192</f>
        <v>79300</v>
      </c>
      <c r="BV30" s="60">
        <f>'HH inc'!$I272</f>
        <v>106300</v>
      </c>
      <c r="BW30" s="60">
        <f>'HH inc'!$I312</f>
        <v>136100</v>
      </c>
      <c r="BX30" s="60">
        <f>'HH inc'!$I352</f>
        <v>208800</v>
      </c>
      <c r="BY30" s="60">
        <f>'HH inc'!$I392</f>
        <v>921500</v>
      </c>
      <c r="CA30" s="60">
        <f>'HH inc'!$I72</f>
        <v>26900</v>
      </c>
      <c r="CB30" s="60">
        <f>'HH inc'!$I112</f>
        <v>41000</v>
      </c>
      <c r="CC30" s="60">
        <f>'HH inc'!$I152</f>
        <v>57800</v>
      </c>
      <c r="CD30" s="60">
        <f>'HH inc'!$I192</f>
        <v>79300</v>
      </c>
      <c r="CE30" s="60">
        <f>'HH inc'!$I272</f>
        <v>106300</v>
      </c>
      <c r="CF30" s="60">
        <f>'HH inc'!$I312</f>
        <v>136100</v>
      </c>
      <c r="CG30" s="60">
        <f>'HH inc'!$I352</f>
        <v>208800</v>
      </c>
      <c r="CH30" s="60">
        <f>'HH inc'!$I392</f>
        <v>921500</v>
      </c>
      <c r="CJ30" s="153">
        <f t="shared" si="29"/>
        <v>564899.99999999988</v>
      </c>
      <c r="CK30" s="153">
        <f t="shared" si="30"/>
        <v>889699.99999999977</v>
      </c>
      <c r="CL30" s="153">
        <f t="shared" si="5"/>
        <v>1248479.9999999998</v>
      </c>
      <c r="CM30" s="153">
        <f t="shared" si="6"/>
        <v>1728739.9999999995</v>
      </c>
      <c r="CN30" s="153">
        <f t="shared" si="7"/>
        <v>1179930</v>
      </c>
      <c r="CO30" s="153">
        <f t="shared" si="8"/>
        <v>775770</v>
      </c>
      <c r="CP30" s="153">
        <f t="shared" si="9"/>
        <v>960479.99999999988</v>
      </c>
      <c r="CQ30" s="153">
        <f t="shared" si="10"/>
        <v>1013650.0000000001</v>
      </c>
      <c r="CR30" s="153">
        <f t="shared" si="31"/>
        <v>8361649.9999999981</v>
      </c>
      <c r="CT30" s="39">
        <v>277.8</v>
      </c>
      <c r="CU30" s="276">
        <f>Dem!B72+(DD30/4)</f>
        <v>20.999999999999996</v>
      </c>
      <c r="CV30" s="276">
        <f>Dem!B112+(DD30/4)</f>
        <v>21.699999999999996</v>
      </c>
      <c r="CW30" s="276">
        <f>Dem!B152+(DD30/4)</f>
        <v>21.599999999999994</v>
      </c>
      <c r="CX30" s="276">
        <f>Dem!B192+(DD30/4)</f>
        <v>21.799999999999994</v>
      </c>
      <c r="CY30" s="276">
        <f>Dem!B272</f>
        <v>11.1</v>
      </c>
      <c r="CZ30" s="276">
        <f>Dem!B312</f>
        <v>5.7</v>
      </c>
      <c r="DA30" s="276">
        <f>Dem!B352</f>
        <v>4.5999999999999996</v>
      </c>
      <c r="DB30" s="276">
        <f>Dem!B392</f>
        <v>1.1000000000000001</v>
      </c>
      <c r="DC30" s="275">
        <v>109.4</v>
      </c>
      <c r="DD30" s="46">
        <v>-0.4000000000000199</v>
      </c>
      <c r="DE30" s="275"/>
      <c r="DF30" s="276">
        <f>Dem!$D72+(DO30/4)</f>
        <v>54.275000000000006</v>
      </c>
      <c r="DG30" s="276">
        <f>Dem!$D112+(DO30/4)</f>
        <v>55.375000000000007</v>
      </c>
      <c r="DH30" s="276">
        <f>Dem!$D152+(DO30/4)</f>
        <v>55.375000000000007</v>
      </c>
      <c r="DI30" s="276">
        <f>Dem!$D192+(DO30/4)</f>
        <v>55.375000000000007</v>
      </c>
      <c r="DJ30" s="275">
        <f>Dem!$D272</f>
        <v>27.8</v>
      </c>
      <c r="DK30" s="275">
        <f>Dem!$D312</f>
        <v>13.9</v>
      </c>
      <c r="DL30" s="275">
        <f>Dem!$D352</f>
        <v>11.1</v>
      </c>
      <c r="DM30" s="275">
        <f>Dem!$D392</f>
        <v>2.8</v>
      </c>
      <c r="DN30" s="276">
        <f t="shared" si="32"/>
        <v>277.8</v>
      </c>
      <c r="DO30" s="44">
        <v>-0.89999999999997726</v>
      </c>
    </row>
    <row r="31" spans="1:119">
      <c r="A31" s="46">
        <f t="shared" si="33"/>
        <v>2002</v>
      </c>
      <c r="B31" s="141">
        <f t="shared" si="11"/>
        <v>8.8551722103689945E-2</v>
      </c>
      <c r="D31" s="141">
        <f t="shared" si="12"/>
        <v>0.41806138613861404</v>
      </c>
      <c r="E31" s="141">
        <f t="shared" si="13"/>
        <v>0.50661310824230399</v>
      </c>
      <c r="F31" s="46"/>
      <c r="G31" s="157">
        <f t="shared" si="14"/>
        <v>2.5940594059405943E-2</v>
      </c>
      <c r="H31" s="157">
        <f t="shared" si="14"/>
        <v>4.3960396039603972E-2</v>
      </c>
      <c r="I31" s="157">
        <f t="shared" si="14"/>
        <v>5.3465346534653492E-2</v>
      </c>
      <c r="J31" s="157">
        <f t="shared" si="14"/>
        <v>5.148514851485151E-2</v>
      </c>
      <c r="K31" s="157">
        <f t="shared" si="14"/>
        <v>2.1584158415841593E-2</v>
      </c>
      <c r="L31" s="157">
        <f t="shared" si="14"/>
        <v>8.6386138613861463E-3</v>
      </c>
      <c r="M31" s="157">
        <f t="shared" si="14"/>
        <v>3.9564356435643645E-3</v>
      </c>
      <c r="N31" s="157">
        <f t="shared" si="14"/>
        <v>0</v>
      </c>
      <c r="O31" s="46"/>
      <c r="P31" s="154">
        <f t="shared" si="15"/>
        <v>7.029702970297029E-2</v>
      </c>
      <c r="Q31" s="154">
        <f t="shared" si="16"/>
        <v>0.18019801980198019</v>
      </c>
      <c r="R31" s="154">
        <f t="shared" si="17"/>
        <v>0.33267326732673264</v>
      </c>
      <c r="S31" s="154">
        <f t="shared" si="18"/>
        <v>0.5425742574257425</v>
      </c>
      <c r="T31" s="154">
        <f t="shared" si="19"/>
        <v>0.6841584158415841</v>
      </c>
      <c r="U31" s="154">
        <f t="shared" si="20"/>
        <v>0.77722772277227714</v>
      </c>
      <c r="V31" s="154">
        <f t="shared" si="21"/>
        <v>0.89108910891089099</v>
      </c>
      <c r="W31" s="162">
        <f t="shared" si="34"/>
        <v>1</v>
      </c>
      <c r="X31" s="154"/>
      <c r="Y31" s="142">
        <f t="shared" si="35"/>
        <v>3.2055610724925521E-2</v>
      </c>
      <c r="Z31" s="142">
        <f t="shared" si="35"/>
        <v>5.3386295928500506E-2</v>
      </c>
      <c r="AA31" s="142">
        <f t="shared" si="35"/>
        <v>6.4389275074478669E-2</v>
      </c>
      <c r="AB31" s="142">
        <f t="shared" si="35"/>
        <v>6.2085402184707067E-2</v>
      </c>
      <c r="AC31" s="142">
        <f t="shared" si="35"/>
        <v>2.6047666335650446E-2</v>
      </c>
      <c r="AD31" s="142">
        <f t="shared" si="35"/>
        <v>1.0459285004965242E-2</v>
      </c>
      <c r="AE31" s="142">
        <f t="shared" si="35"/>
        <v>4.8830188679245268E-3</v>
      </c>
      <c r="AF31" s="142">
        <f t="shared" si="35"/>
        <v>0</v>
      </c>
      <c r="AH31" s="158">
        <f t="shared" si="22"/>
        <v>3.9721946375372401E-2</v>
      </c>
      <c r="AI31" s="158">
        <f t="shared" si="23"/>
        <v>0.13306852035749753</v>
      </c>
      <c r="AJ31" s="158">
        <f t="shared" si="24"/>
        <v>0.27805362462760674</v>
      </c>
      <c r="AK31" s="158">
        <f t="shared" si="25"/>
        <v>0.48957298907646474</v>
      </c>
      <c r="AL31" s="158">
        <f t="shared" si="26"/>
        <v>0.63952333664349559</v>
      </c>
      <c r="AM31" s="158">
        <f t="shared" si="27"/>
        <v>0.74081429990069525</v>
      </c>
      <c r="AN31" s="158">
        <f t="shared" si="28"/>
        <v>0.86792452830188693</v>
      </c>
      <c r="AO31" s="158">
        <v>1</v>
      </c>
      <c r="AP31" s="143"/>
      <c r="AQ31" s="152">
        <f>Shares!D113</f>
        <v>7.1</v>
      </c>
      <c r="AR31" s="152">
        <f>Shares!E113</f>
        <v>11.1</v>
      </c>
      <c r="AS31" s="152">
        <f>Shares!F113</f>
        <v>15.4</v>
      </c>
      <c r="AT31" s="152">
        <f>Shares!G113</f>
        <v>21.2</v>
      </c>
      <c r="AU31" s="152">
        <f>Shares!J113</f>
        <v>14.3</v>
      </c>
      <c r="AV31" s="152">
        <f>Shares!K113</f>
        <v>9.4</v>
      </c>
      <c r="AW31" s="152">
        <f>Shares!L113</f>
        <v>11.5</v>
      </c>
      <c r="AX31" s="152">
        <f>Shares!M113</f>
        <v>11</v>
      </c>
      <c r="AY31" s="46"/>
      <c r="AZ31" s="152">
        <v>4</v>
      </c>
      <c r="BA31" s="152">
        <v>9.4</v>
      </c>
      <c r="BB31" s="152">
        <v>14.6</v>
      </c>
      <c r="BC31" s="152">
        <v>21.3</v>
      </c>
      <c r="BD31" s="152">
        <v>15.1</v>
      </c>
      <c r="BE31" s="152">
        <v>10.199999999999999</v>
      </c>
      <c r="BF31" s="152">
        <v>12.8</v>
      </c>
      <c r="BG31" s="152">
        <v>13.3</v>
      </c>
      <c r="BI31" s="146">
        <f>TxRt!B76</f>
        <v>5.6</v>
      </c>
      <c r="BJ31" s="146">
        <f>TxRt!B119</f>
        <v>11</v>
      </c>
      <c r="BK31" s="146">
        <f>TxRt!B159</f>
        <v>15.1</v>
      </c>
      <c r="BL31" s="146">
        <f>TxRt!B199</f>
        <v>18.5</v>
      </c>
      <c r="BM31" s="146">
        <f>TxRt!B279</f>
        <v>21.8</v>
      </c>
      <c r="BN31" s="146">
        <f>TxRt!B319</f>
        <v>23.8</v>
      </c>
      <c r="BO31" s="146">
        <f>TxRt!B359</f>
        <v>26.1</v>
      </c>
      <c r="BP31" s="146">
        <f>TxRt!B399</f>
        <v>31.9</v>
      </c>
      <c r="BQ31" s="46"/>
      <c r="BR31" s="60">
        <f>'HH inc'!$I73</f>
        <v>27400</v>
      </c>
      <c r="BS31" s="60">
        <f>'HH inc'!$I113</f>
        <v>40600</v>
      </c>
      <c r="BT31" s="60">
        <f>'HH inc'!$I153</f>
        <v>57300</v>
      </c>
      <c r="BU31" s="60">
        <f>'HH inc'!$I193</f>
        <v>78800</v>
      </c>
      <c r="BV31" s="60">
        <f>'HH inc'!$I273</f>
        <v>105500</v>
      </c>
      <c r="BW31" s="60">
        <f>'HH inc'!$I313</f>
        <v>135500</v>
      </c>
      <c r="BX31" s="60">
        <f>'HH inc'!$I353</f>
        <v>202200</v>
      </c>
      <c r="BY31" s="60">
        <f>'HH inc'!$I393</f>
        <v>818100</v>
      </c>
      <c r="CA31" s="60">
        <f>'HH inc'!$I73</f>
        <v>27400</v>
      </c>
      <c r="CB31" s="60">
        <f>'HH inc'!$I113</f>
        <v>40600</v>
      </c>
      <c r="CC31" s="60">
        <f>'HH inc'!$I153</f>
        <v>57300</v>
      </c>
      <c r="CD31" s="60">
        <f>'HH inc'!$I193</f>
        <v>78800</v>
      </c>
      <c r="CE31" s="60">
        <f>'HH inc'!$I273</f>
        <v>105500</v>
      </c>
      <c r="CF31" s="60">
        <f>'HH inc'!$I313</f>
        <v>135500</v>
      </c>
      <c r="CG31" s="60">
        <f>'HH inc'!$I353</f>
        <v>202200</v>
      </c>
      <c r="CH31" s="60">
        <f>'HH inc'!$I393</f>
        <v>818100</v>
      </c>
      <c r="CJ31" s="153">
        <f t="shared" si="29"/>
        <v>579510.00000000012</v>
      </c>
      <c r="CK31" s="153">
        <f t="shared" si="30"/>
        <v>907410</v>
      </c>
      <c r="CL31" s="153">
        <f t="shared" si="5"/>
        <v>1257735.0000000002</v>
      </c>
      <c r="CM31" s="153">
        <f t="shared" si="6"/>
        <v>1737540</v>
      </c>
      <c r="CN31" s="153">
        <f t="shared" si="7"/>
        <v>1181600</v>
      </c>
      <c r="CO31" s="153">
        <f t="shared" si="8"/>
        <v>772350</v>
      </c>
      <c r="CP31" s="153">
        <f t="shared" si="9"/>
        <v>950340</v>
      </c>
      <c r="CQ31" s="153">
        <f t="shared" si="10"/>
        <v>899910.00000000012</v>
      </c>
      <c r="CR31" s="153">
        <f t="shared" si="31"/>
        <v>8286395</v>
      </c>
      <c r="CT31" s="39">
        <v>282.10000000000002</v>
      </c>
      <c r="CU31" s="276">
        <f>Dem!B73+(DD31/4)</f>
        <v>21.150000000000002</v>
      </c>
      <c r="CV31" s="276">
        <f>Dem!B113+(DD31/4)</f>
        <v>22.35</v>
      </c>
      <c r="CW31" s="276">
        <f>Dem!B153+(DD31/4)</f>
        <v>21.950000000000003</v>
      </c>
      <c r="CX31" s="276">
        <f>Dem!B193+(DD31/4)</f>
        <v>22.05</v>
      </c>
      <c r="CY31" s="276">
        <f>Dem!B273</f>
        <v>11.2</v>
      </c>
      <c r="CZ31" s="276">
        <f>Dem!B313</f>
        <v>5.7</v>
      </c>
      <c r="DA31" s="276">
        <f>Dem!B353</f>
        <v>4.7</v>
      </c>
      <c r="DB31" s="276">
        <f>Dem!B393</f>
        <v>1.1000000000000001</v>
      </c>
      <c r="DC31" s="275">
        <v>111.4</v>
      </c>
      <c r="DD31" s="46">
        <v>-0.59999999999999432</v>
      </c>
      <c r="DE31" s="275"/>
      <c r="DF31" s="276">
        <f>Dem!$D73+(DO31/4)</f>
        <v>54.625</v>
      </c>
      <c r="DG31" s="276">
        <f>Dem!$D113+(DO31/4)</f>
        <v>56.024999999999999</v>
      </c>
      <c r="DH31" s="276">
        <f>Dem!$D153+(DO31/4)</f>
        <v>56.024999999999999</v>
      </c>
      <c r="DI31" s="276">
        <f>Dem!$D193+(DO31/4)</f>
        <v>56.024999999999999</v>
      </c>
      <c r="DJ31" s="275">
        <f>Dem!$D273</f>
        <v>28.2</v>
      </c>
      <c r="DK31" s="275">
        <f>Dem!$D313</f>
        <v>14.1</v>
      </c>
      <c r="DL31" s="275">
        <f>Dem!$D353</f>
        <v>11.3</v>
      </c>
      <c r="DM31" s="275">
        <f>Dem!$D393</f>
        <v>2.8</v>
      </c>
      <c r="DN31" s="276">
        <f t="shared" si="32"/>
        <v>282.10000000000002</v>
      </c>
      <c r="DO31" s="44">
        <v>-1.5</v>
      </c>
    </row>
    <row r="32" spans="1:119">
      <c r="A32" s="46">
        <f t="shared" si="33"/>
        <v>2003</v>
      </c>
      <c r="B32" s="141">
        <f t="shared" si="11"/>
        <v>8.9456931269369044E-2</v>
      </c>
      <c r="D32" s="141">
        <f t="shared" si="12"/>
        <v>0.42678671952428171</v>
      </c>
      <c r="E32" s="141">
        <f t="shared" si="13"/>
        <v>0.51624365079365075</v>
      </c>
      <c r="F32" s="46"/>
      <c r="G32" s="157">
        <f t="shared" si="14"/>
        <v>2.6124876114965313E-2</v>
      </c>
      <c r="H32" s="157">
        <f t="shared" si="14"/>
        <v>4.4519326065411306E-2</v>
      </c>
      <c r="I32" s="157">
        <f t="shared" si="14"/>
        <v>5.4390485629335995E-2</v>
      </c>
      <c r="J32" s="157">
        <f t="shared" si="14"/>
        <v>5.2963330029732442E-2</v>
      </c>
      <c r="K32" s="157">
        <f t="shared" si="14"/>
        <v>2.221010901883054E-2</v>
      </c>
      <c r="L32" s="157">
        <f t="shared" si="14"/>
        <v>8.9469772051536285E-3</v>
      </c>
      <c r="M32" s="157">
        <f t="shared" si="14"/>
        <v>4.238255698711604E-3</v>
      </c>
      <c r="N32" s="157">
        <f t="shared" si="14"/>
        <v>0</v>
      </c>
      <c r="O32" s="46"/>
      <c r="P32" s="154">
        <f t="shared" si="15"/>
        <v>6.9375619425173438E-2</v>
      </c>
      <c r="Q32" s="154">
        <f t="shared" si="16"/>
        <v>0.17740336967294351</v>
      </c>
      <c r="R32" s="154">
        <f t="shared" si="17"/>
        <v>0.32804757185332012</v>
      </c>
      <c r="S32" s="154">
        <f t="shared" si="18"/>
        <v>0.53518334985133786</v>
      </c>
      <c r="T32" s="154">
        <f t="shared" si="19"/>
        <v>0.67789890981169465</v>
      </c>
      <c r="U32" s="154">
        <f t="shared" si="20"/>
        <v>0.77106045589692751</v>
      </c>
      <c r="V32" s="154">
        <f t="shared" si="21"/>
        <v>0.88404360753221001</v>
      </c>
      <c r="W32" s="162">
        <f t="shared" si="34"/>
        <v>1</v>
      </c>
      <c r="X32" s="154"/>
      <c r="Y32" s="142">
        <f t="shared" si="35"/>
        <v>3.2261904761904762E-2</v>
      </c>
      <c r="Z32" s="142">
        <f t="shared" si="35"/>
        <v>5.4007936507936519E-2</v>
      </c>
      <c r="AA32" s="142">
        <f t="shared" si="35"/>
        <v>6.5436507936507946E-2</v>
      </c>
      <c r="AB32" s="142">
        <f t="shared" si="35"/>
        <v>6.357142857142857E-2</v>
      </c>
      <c r="AC32" s="142">
        <f t="shared" si="35"/>
        <v>2.6805555555555551E-2</v>
      </c>
      <c r="AD32" s="142">
        <f t="shared" si="35"/>
        <v>1.0843253968253969E-2</v>
      </c>
      <c r="AE32" s="142">
        <f t="shared" si="35"/>
        <v>5.1952380952380974E-3</v>
      </c>
      <c r="AF32" s="142">
        <f t="shared" si="35"/>
        <v>0</v>
      </c>
      <c r="AH32" s="158">
        <f t="shared" si="22"/>
        <v>3.8690476190476192E-2</v>
      </c>
      <c r="AI32" s="158">
        <f t="shared" si="23"/>
        <v>0.12996031746031744</v>
      </c>
      <c r="AJ32" s="158">
        <f t="shared" si="24"/>
        <v>0.27281746031746035</v>
      </c>
      <c r="AK32" s="158">
        <f t="shared" si="25"/>
        <v>0.48214285714285721</v>
      </c>
      <c r="AL32" s="158">
        <f t="shared" si="26"/>
        <v>0.63194444444444453</v>
      </c>
      <c r="AM32" s="158">
        <f t="shared" si="27"/>
        <v>0.73313492063492069</v>
      </c>
      <c r="AN32" s="158">
        <f t="shared" si="28"/>
        <v>0.86011904761904767</v>
      </c>
      <c r="AO32" s="158">
        <v>1</v>
      </c>
      <c r="AP32" s="143"/>
      <c r="AQ32" s="152">
        <f>Shares!D114</f>
        <v>7</v>
      </c>
      <c r="AR32" s="152">
        <f>Shares!E114</f>
        <v>10.9</v>
      </c>
      <c r="AS32" s="152">
        <f>Shares!F114</f>
        <v>15.2</v>
      </c>
      <c r="AT32" s="152">
        <f>Shares!G114</f>
        <v>20.9</v>
      </c>
      <c r="AU32" s="152">
        <f>Shares!J114</f>
        <v>14.4</v>
      </c>
      <c r="AV32" s="152">
        <f>Shares!K114</f>
        <v>9.4</v>
      </c>
      <c r="AW32" s="152">
        <f>Shares!L114</f>
        <v>11.4</v>
      </c>
      <c r="AX32" s="152">
        <f>Shares!M114</f>
        <v>11.7</v>
      </c>
      <c r="AY32" s="46"/>
      <c r="AZ32" s="152">
        <v>3.9</v>
      </c>
      <c r="BA32" s="152">
        <v>9.1999999999999993</v>
      </c>
      <c r="BB32" s="152">
        <v>14.4</v>
      </c>
      <c r="BC32" s="152">
        <v>21.1</v>
      </c>
      <c r="BD32" s="152">
        <v>15.1</v>
      </c>
      <c r="BE32" s="152">
        <v>10.199999999999999</v>
      </c>
      <c r="BF32" s="152">
        <v>12.8</v>
      </c>
      <c r="BG32" s="152">
        <v>14.1</v>
      </c>
      <c r="BI32" s="146">
        <f>TxRt!B77</f>
        <v>5.7</v>
      </c>
      <c r="BJ32" s="146">
        <f>TxRt!B120</f>
        <v>10.1</v>
      </c>
      <c r="BK32" s="146">
        <f>TxRt!B160</f>
        <v>14.3</v>
      </c>
      <c r="BL32" s="146">
        <f>TxRt!B200</f>
        <v>17.8</v>
      </c>
      <c r="BM32" s="146">
        <f>TxRt!B280</f>
        <v>20.8</v>
      </c>
      <c r="BN32" s="146">
        <f>TxRt!B320</f>
        <v>22.7</v>
      </c>
      <c r="BO32" s="146">
        <f>TxRt!B360</f>
        <v>25.1</v>
      </c>
      <c r="BP32" s="146">
        <f>TxRt!B400</f>
        <v>30.3</v>
      </c>
      <c r="BQ32" s="46"/>
      <c r="BR32" s="60">
        <f>'HH inc'!$I74</f>
        <v>27600</v>
      </c>
      <c r="BS32" s="60">
        <f>'HH inc'!$I114</f>
        <v>41000</v>
      </c>
      <c r="BT32" s="60">
        <f>'HH inc'!$I154</f>
        <v>57900</v>
      </c>
      <c r="BU32" s="60">
        <f>'HH inc'!$I194</f>
        <v>80600</v>
      </c>
      <c r="BV32" s="60">
        <f>'HH inc'!$I274</f>
        <v>108500</v>
      </c>
      <c r="BW32" s="60">
        <f>'HH inc'!$I314</f>
        <v>140400</v>
      </c>
      <c r="BX32" s="60">
        <f>'HH inc'!$I354</f>
        <v>211900</v>
      </c>
      <c r="BY32" s="60">
        <f>'HH inc'!$I394</f>
        <v>891200</v>
      </c>
      <c r="CA32" s="60">
        <f>'HH inc'!$I74</f>
        <v>27600</v>
      </c>
      <c r="CB32" s="60">
        <f>'HH inc'!$I114</f>
        <v>41000</v>
      </c>
      <c r="CC32" s="60">
        <f>'HH inc'!$I154</f>
        <v>57900</v>
      </c>
      <c r="CD32" s="60">
        <f>'HH inc'!$I194</f>
        <v>80600</v>
      </c>
      <c r="CE32" s="60">
        <f>'HH inc'!$I274</f>
        <v>108500</v>
      </c>
      <c r="CF32" s="60">
        <f>'HH inc'!$I314</f>
        <v>140400</v>
      </c>
      <c r="CG32" s="60">
        <f>'HH inc'!$I354</f>
        <v>211900</v>
      </c>
      <c r="CH32" s="60">
        <f>'HH inc'!$I394</f>
        <v>891200</v>
      </c>
      <c r="CJ32" s="153">
        <f t="shared" si="29"/>
        <v>589949.99999999988</v>
      </c>
      <c r="CK32" s="153">
        <f t="shared" si="30"/>
        <v>929674.99999999988</v>
      </c>
      <c r="CL32" s="153">
        <f t="shared" si="5"/>
        <v>1289722.4999999998</v>
      </c>
      <c r="CM32" s="153">
        <f t="shared" si="6"/>
        <v>1779244.9999999998</v>
      </c>
      <c r="CN32" s="153">
        <f t="shared" si="7"/>
        <v>1226050</v>
      </c>
      <c r="CO32" s="153">
        <f t="shared" si="8"/>
        <v>800280</v>
      </c>
      <c r="CP32" s="153">
        <f t="shared" si="9"/>
        <v>974739.99999999988</v>
      </c>
      <c r="CQ32" s="153">
        <f t="shared" si="10"/>
        <v>980320.00000000012</v>
      </c>
      <c r="CR32" s="153">
        <f t="shared" si="31"/>
        <v>8569982.5</v>
      </c>
      <c r="CT32" s="39">
        <v>284</v>
      </c>
      <c r="CU32" s="276">
        <f>Dem!B74+(DD32/4)</f>
        <v>21.374999999999996</v>
      </c>
      <c r="CV32" s="276">
        <f>Dem!B114+(DD32/4)</f>
        <v>22.674999999999997</v>
      </c>
      <c r="CW32" s="276">
        <f>Dem!B154+(DD32/4)</f>
        <v>22.274999999999995</v>
      </c>
      <c r="CX32" s="276">
        <f>Dem!B194+(DD32/4)</f>
        <v>22.074999999999996</v>
      </c>
      <c r="CY32" s="276">
        <f>Dem!B274</f>
        <v>11.3</v>
      </c>
      <c r="CZ32" s="276">
        <f>Dem!B314</f>
        <v>5.7</v>
      </c>
      <c r="DA32" s="276">
        <f>Dem!B354</f>
        <v>4.5999999999999996</v>
      </c>
      <c r="DB32" s="276">
        <f>Dem!B394</f>
        <v>1.1000000000000001</v>
      </c>
      <c r="DC32" s="275">
        <v>112.1</v>
      </c>
      <c r="DD32" s="46">
        <v>-0.50000000000001421</v>
      </c>
      <c r="DE32" s="275"/>
      <c r="DF32" s="276">
        <f>Dem!$D74+(DO32/4)</f>
        <v>55.174999999999997</v>
      </c>
      <c r="DG32" s="276">
        <f>Dem!$D114+(DO32/4)</f>
        <v>56.474999999999994</v>
      </c>
      <c r="DH32" s="276">
        <f>Dem!$D154+(DO32/4)</f>
        <v>56.474999999999994</v>
      </c>
      <c r="DI32" s="276">
        <f>Dem!$D194+(DO32/4)</f>
        <v>56.474999999999994</v>
      </c>
      <c r="DJ32" s="275">
        <f>Dem!$D274</f>
        <v>28.4</v>
      </c>
      <c r="DK32" s="275">
        <f>Dem!$D314</f>
        <v>14.2</v>
      </c>
      <c r="DL32" s="275">
        <f>Dem!$D354</f>
        <v>11.4</v>
      </c>
      <c r="DM32" s="275">
        <f>Dem!$D394</f>
        <v>2.8</v>
      </c>
      <c r="DN32" s="276">
        <f t="shared" si="32"/>
        <v>284</v>
      </c>
      <c r="DO32" s="44">
        <v>-1.3000000000000114</v>
      </c>
    </row>
    <row r="33" spans="1:119">
      <c r="A33" s="46">
        <f t="shared" si="33"/>
        <v>2004</v>
      </c>
      <c r="B33" s="141">
        <f t="shared" si="11"/>
        <v>8.9311784800745475E-2</v>
      </c>
      <c r="D33" s="141">
        <f t="shared" si="12"/>
        <v>0.44268364717542147</v>
      </c>
      <c r="E33" s="141">
        <f t="shared" si="13"/>
        <v>0.53199543197616694</v>
      </c>
      <c r="F33" s="46"/>
      <c r="G33" s="157">
        <f t="shared" si="14"/>
        <v>2.6521308225966312E-2</v>
      </c>
      <c r="H33" s="157">
        <f t="shared" si="14"/>
        <v>4.5113974231912796E-2</v>
      </c>
      <c r="I33" s="157">
        <f t="shared" si="14"/>
        <v>5.5777998017839475E-2</v>
      </c>
      <c r="J33" s="157">
        <f t="shared" si="14"/>
        <v>5.5341922695738392E-2</v>
      </c>
      <c r="K33" s="157">
        <f t="shared" si="14"/>
        <v>2.3795837462834504E-2</v>
      </c>
      <c r="L33" s="157">
        <f t="shared" si="14"/>
        <v>9.8389494549058609E-3</v>
      </c>
      <c r="M33" s="157">
        <f t="shared" si="14"/>
        <v>4.9518334985133939E-3</v>
      </c>
      <c r="N33" s="157">
        <f t="shared" si="14"/>
        <v>0</v>
      </c>
      <c r="O33" s="46"/>
      <c r="P33" s="154">
        <f t="shared" si="15"/>
        <v>6.7393458870168468E-2</v>
      </c>
      <c r="Q33" s="154">
        <f t="shared" si="16"/>
        <v>0.17443012884043604</v>
      </c>
      <c r="R33" s="154">
        <f t="shared" si="17"/>
        <v>0.32111000991080274</v>
      </c>
      <c r="S33" s="154">
        <f t="shared" si="18"/>
        <v>0.5232903865213081</v>
      </c>
      <c r="T33" s="154">
        <f t="shared" si="19"/>
        <v>0.66204162537165501</v>
      </c>
      <c r="U33" s="154">
        <f t="shared" si="20"/>
        <v>0.75322101090188287</v>
      </c>
      <c r="V33" s="154">
        <f t="shared" si="21"/>
        <v>0.86620416253716526</v>
      </c>
      <c r="W33" s="162">
        <f t="shared" si="34"/>
        <v>1</v>
      </c>
      <c r="X33" s="154"/>
      <c r="Y33" s="142">
        <f t="shared" si="35"/>
        <v>3.2452830188679248E-2</v>
      </c>
      <c r="Z33" s="142">
        <f t="shared" si="35"/>
        <v>5.4577954319761673E-2</v>
      </c>
      <c r="AA33" s="142">
        <f t="shared" si="35"/>
        <v>6.6772591857001018E-2</v>
      </c>
      <c r="AB33" s="142">
        <f t="shared" si="35"/>
        <v>6.6057596822244311E-2</v>
      </c>
      <c r="AC33" s="142">
        <f t="shared" si="35"/>
        <v>2.8430983118172794E-2</v>
      </c>
      <c r="AD33" s="142">
        <f t="shared" si="35"/>
        <v>1.1750248262164848E-2</v>
      </c>
      <c r="AE33" s="142">
        <f t="shared" si="35"/>
        <v>5.9555114200595853E-3</v>
      </c>
      <c r="AF33" s="142">
        <f t="shared" si="35"/>
        <v>0</v>
      </c>
      <c r="AH33" s="158">
        <f t="shared" si="22"/>
        <v>3.7735849056603772E-2</v>
      </c>
      <c r="AI33" s="158">
        <f t="shared" si="23"/>
        <v>0.12711022840119166</v>
      </c>
      <c r="AJ33" s="158">
        <f t="shared" si="24"/>
        <v>0.266137040714995</v>
      </c>
      <c r="AK33" s="158">
        <f t="shared" si="25"/>
        <v>0.46971201588877853</v>
      </c>
      <c r="AL33" s="158">
        <f t="shared" si="26"/>
        <v>0.6156901688182721</v>
      </c>
      <c r="AM33" s="158">
        <f t="shared" si="27"/>
        <v>0.71499503475670312</v>
      </c>
      <c r="AN33" s="158">
        <f t="shared" si="28"/>
        <v>0.84111221449851048</v>
      </c>
      <c r="AO33" s="158">
        <v>1</v>
      </c>
      <c r="AP33" s="143"/>
      <c r="AQ33" s="152">
        <f>Shares!D115</f>
        <v>6.8</v>
      </c>
      <c r="AR33" s="152">
        <f>Shares!E115</f>
        <v>10.8</v>
      </c>
      <c r="AS33" s="152">
        <f>Shares!F115</f>
        <v>14.8</v>
      </c>
      <c r="AT33" s="152">
        <f>Shares!G115</f>
        <v>20.399999999999999</v>
      </c>
      <c r="AU33" s="152">
        <f>Shares!J115</f>
        <v>14</v>
      </c>
      <c r="AV33" s="152">
        <f>Shares!K115</f>
        <v>9.1999999999999993</v>
      </c>
      <c r="AW33" s="152">
        <f>Shares!L115</f>
        <v>11.4</v>
      </c>
      <c r="AX33" s="152">
        <f>Shares!M115</f>
        <v>13.5</v>
      </c>
      <c r="AY33" s="46"/>
      <c r="AZ33" s="152">
        <v>3.8</v>
      </c>
      <c r="BA33" s="152">
        <v>9</v>
      </c>
      <c r="BB33" s="152">
        <v>14</v>
      </c>
      <c r="BC33" s="152">
        <v>20.5</v>
      </c>
      <c r="BD33" s="152">
        <v>14.7</v>
      </c>
      <c r="BE33" s="152">
        <v>10</v>
      </c>
      <c r="BF33" s="152">
        <v>12.7</v>
      </c>
      <c r="BG33" s="152">
        <v>16</v>
      </c>
      <c r="BI33" s="146">
        <f>TxRt!B78</f>
        <v>5.3</v>
      </c>
      <c r="BJ33" s="146">
        <f>TxRt!B121</f>
        <v>10.3</v>
      </c>
      <c r="BK33" s="146">
        <f>TxRt!B161</f>
        <v>14.6</v>
      </c>
      <c r="BL33" s="146">
        <f>TxRt!B201</f>
        <v>18</v>
      </c>
      <c r="BM33" s="146">
        <f>TxRt!B281</f>
        <v>20.9</v>
      </c>
      <c r="BN33" s="146">
        <f>TxRt!B321</f>
        <v>22.9</v>
      </c>
      <c r="BO33" s="146">
        <f>TxRt!B361</f>
        <v>25.4</v>
      </c>
      <c r="BP33" s="146">
        <f>TxRt!B401</f>
        <v>30</v>
      </c>
      <c r="BQ33" s="46"/>
      <c r="BR33" s="60">
        <f>'HH inc'!$I75</f>
        <v>28200</v>
      </c>
      <c r="BS33" s="60">
        <f>'HH inc'!$I115</f>
        <v>42100</v>
      </c>
      <c r="BT33" s="60">
        <f>'HH inc'!$I155</f>
        <v>59700</v>
      </c>
      <c r="BU33" s="60">
        <f>'HH inc'!$I195</f>
        <v>83100</v>
      </c>
      <c r="BV33" s="60">
        <f>'HH inc'!$I275</f>
        <v>112300</v>
      </c>
      <c r="BW33" s="60">
        <f>'HH inc'!$I315</f>
        <v>144600</v>
      </c>
      <c r="BX33" s="60">
        <f>'HH inc'!$I355</f>
        <v>224000</v>
      </c>
      <c r="BY33" s="60">
        <f>'HH inc'!$I395</f>
        <v>1068000</v>
      </c>
      <c r="CA33" s="60">
        <f>'HH inc'!$I75</f>
        <v>28200</v>
      </c>
      <c r="CB33" s="60">
        <f>'HH inc'!$I115</f>
        <v>42100</v>
      </c>
      <c r="CC33" s="60">
        <f>'HH inc'!$I155</f>
        <v>59700</v>
      </c>
      <c r="CD33" s="60">
        <f>'HH inc'!$I195</f>
        <v>83100</v>
      </c>
      <c r="CE33" s="60">
        <f>'HH inc'!$I275</f>
        <v>112300</v>
      </c>
      <c r="CF33" s="60">
        <f>'HH inc'!$I315</f>
        <v>144600</v>
      </c>
      <c r="CG33" s="60">
        <f>'HH inc'!$I355</f>
        <v>224000</v>
      </c>
      <c r="CH33" s="60">
        <f>'HH inc'!$I395</f>
        <v>1068000</v>
      </c>
      <c r="CJ33" s="153">
        <f t="shared" si="29"/>
        <v>609824.99999999988</v>
      </c>
      <c r="CK33" s="153">
        <f t="shared" si="30"/>
        <v>969352.49999999977</v>
      </c>
      <c r="CL33" s="153">
        <f t="shared" si="5"/>
        <v>1332802.4999999998</v>
      </c>
      <c r="CM33" s="153">
        <f t="shared" si="6"/>
        <v>1838587.4999999998</v>
      </c>
      <c r="CN33" s="153">
        <f t="shared" si="7"/>
        <v>1268990</v>
      </c>
      <c r="CO33" s="153">
        <f t="shared" si="8"/>
        <v>838680</v>
      </c>
      <c r="CP33" s="153">
        <f t="shared" si="9"/>
        <v>1030399.9999999999</v>
      </c>
      <c r="CQ33" s="153">
        <f t="shared" si="10"/>
        <v>1174800</v>
      </c>
      <c r="CR33" s="153">
        <f t="shared" si="31"/>
        <v>9063437.5</v>
      </c>
      <c r="CT33" s="39">
        <v>288</v>
      </c>
      <c r="CU33" s="276">
        <f>Dem!B75+(DD33/4)</f>
        <v>21.624999999999996</v>
      </c>
      <c r="CV33" s="276">
        <f>Dem!B115+(DD33/4)</f>
        <v>23.024999999999995</v>
      </c>
      <c r="CW33" s="276">
        <f>Dem!B155+(DD33/4)</f>
        <v>22.324999999999996</v>
      </c>
      <c r="CX33" s="276">
        <f>Dem!B195+(DD33/4)</f>
        <v>22.124999999999996</v>
      </c>
      <c r="CY33" s="276">
        <f>Dem!B275</f>
        <v>11.3</v>
      </c>
      <c r="CZ33" s="276">
        <f>Dem!B315</f>
        <v>5.8</v>
      </c>
      <c r="DA33" s="276">
        <f>Dem!B355</f>
        <v>4.5999999999999996</v>
      </c>
      <c r="DB33" s="276">
        <f>Dem!B395</f>
        <v>1.1000000000000001</v>
      </c>
      <c r="DC33" s="275">
        <v>113.3</v>
      </c>
      <c r="DD33" s="46">
        <v>-0.70000000000001705</v>
      </c>
      <c r="DE33" s="275"/>
      <c r="DF33" s="276">
        <f>Dem!$D75+(DO33/4)</f>
        <v>55.97499999999998</v>
      </c>
      <c r="DG33" s="276">
        <f>Dem!$D115+(DO33/4)</f>
        <v>57.274999999999984</v>
      </c>
      <c r="DH33" s="276">
        <f>Dem!$D155+(DO33/4)</f>
        <v>57.274999999999984</v>
      </c>
      <c r="DI33" s="276">
        <f>Dem!$D195+(DO33/4)</f>
        <v>57.274999999999984</v>
      </c>
      <c r="DJ33" s="275">
        <f>Dem!$D275</f>
        <v>28.8</v>
      </c>
      <c r="DK33" s="275">
        <f>Dem!$D315</f>
        <v>14.4</v>
      </c>
      <c r="DL33" s="275">
        <f>Dem!$D355</f>
        <v>11.5</v>
      </c>
      <c r="DM33" s="275">
        <f>Dem!$D395</f>
        <v>2.9</v>
      </c>
      <c r="DN33" s="276">
        <f t="shared" si="32"/>
        <v>288</v>
      </c>
      <c r="DO33" s="44">
        <v>-1.3000000000000682</v>
      </c>
    </row>
    <row r="34" spans="1:119">
      <c r="A34" s="46">
        <f t="shared" si="33"/>
        <v>2005</v>
      </c>
      <c r="B34" s="141">
        <f t="shared" si="11"/>
        <v>8.8343007676423835E-2</v>
      </c>
      <c r="D34" s="141">
        <f t="shared" si="12"/>
        <v>0.46444826216484608</v>
      </c>
      <c r="E34" s="141">
        <f t="shared" si="13"/>
        <v>0.55279126984126992</v>
      </c>
      <c r="F34" s="46"/>
      <c r="G34" s="157">
        <f t="shared" si="14"/>
        <v>2.6891757696127117E-2</v>
      </c>
      <c r="H34" s="157">
        <f t="shared" si="14"/>
        <v>4.6434955312810333E-2</v>
      </c>
      <c r="I34" s="157">
        <f t="shared" si="14"/>
        <v>5.8033763654419084E-2</v>
      </c>
      <c r="J34" s="157">
        <f t="shared" si="14"/>
        <v>5.8709036742800397E-2</v>
      </c>
      <c r="K34" s="157">
        <f t="shared" si="14"/>
        <v>2.5749751737835148E-2</v>
      </c>
      <c r="L34" s="157">
        <f t="shared" si="14"/>
        <v>1.0806852035749754E-2</v>
      </c>
      <c r="M34" s="157">
        <f t="shared" si="14"/>
        <v>5.5980139026812334E-3</v>
      </c>
      <c r="N34" s="157">
        <f t="shared" si="14"/>
        <v>0</v>
      </c>
      <c r="O34" s="46"/>
      <c r="P34" s="154">
        <f t="shared" si="15"/>
        <v>6.5541211519364442E-2</v>
      </c>
      <c r="Q34" s="154">
        <f t="shared" si="16"/>
        <v>0.16782522343594836</v>
      </c>
      <c r="R34" s="154">
        <f t="shared" si="17"/>
        <v>0.30983118172790469</v>
      </c>
      <c r="S34" s="154">
        <f t="shared" si="18"/>
        <v>0.50645481628599809</v>
      </c>
      <c r="T34" s="154">
        <f t="shared" si="19"/>
        <v>0.64250248262164855</v>
      </c>
      <c r="U34" s="154">
        <f t="shared" si="20"/>
        <v>0.733862959285005</v>
      </c>
      <c r="V34" s="154">
        <f t="shared" si="21"/>
        <v>0.85004965243296926</v>
      </c>
      <c r="W34" s="162">
        <f t="shared" si="34"/>
        <v>1</v>
      </c>
      <c r="X34" s="154"/>
      <c r="Y34" s="142">
        <f t="shared" si="35"/>
        <v>3.2658730158730165E-2</v>
      </c>
      <c r="Z34" s="142">
        <f t="shared" si="35"/>
        <v>5.55952380952381E-2</v>
      </c>
      <c r="AA34" s="142">
        <f t="shared" si="35"/>
        <v>6.8809523809523834E-2</v>
      </c>
      <c r="AB34" s="142">
        <f t="shared" si="35"/>
        <v>6.9325396825396846E-2</v>
      </c>
      <c r="AC34" s="142">
        <f t="shared" si="35"/>
        <v>3.047619047619049E-2</v>
      </c>
      <c r="AD34" s="142">
        <f t="shared" si="35"/>
        <v>1.2827380952380963E-2</v>
      </c>
      <c r="AE34" s="142">
        <f t="shared" si="35"/>
        <v>6.7031746031746137E-3</v>
      </c>
      <c r="AF34" s="142">
        <f t="shared" si="35"/>
        <v>0</v>
      </c>
      <c r="AH34" s="158">
        <f t="shared" si="22"/>
        <v>3.6706349206349201E-2</v>
      </c>
      <c r="AI34" s="158">
        <f t="shared" si="23"/>
        <v>0.12202380952380951</v>
      </c>
      <c r="AJ34" s="158">
        <f t="shared" si="24"/>
        <v>0.25595238095238093</v>
      </c>
      <c r="AK34" s="158">
        <f t="shared" si="25"/>
        <v>0.45337301587301582</v>
      </c>
      <c r="AL34" s="158">
        <f t="shared" si="26"/>
        <v>0.59523809523809512</v>
      </c>
      <c r="AM34" s="158">
        <f t="shared" si="27"/>
        <v>0.69345238095238082</v>
      </c>
      <c r="AN34" s="158">
        <f t="shared" si="28"/>
        <v>0.82242063492063477</v>
      </c>
      <c r="AO34" s="158">
        <v>1</v>
      </c>
      <c r="AP34" s="143"/>
      <c r="AQ34" s="152">
        <f>Shares!D116</f>
        <v>6.6</v>
      </c>
      <c r="AR34" s="152">
        <f>Shares!E116</f>
        <v>10.3</v>
      </c>
      <c r="AS34" s="152">
        <f>Shares!F116</f>
        <v>14.3</v>
      </c>
      <c r="AT34" s="152">
        <f>Shares!G116</f>
        <v>19.8</v>
      </c>
      <c r="AU34" s="152">
        <f>Shares!J116</f>
        <v>13.7</v>
      </c>
      <c r="AV34" s="152">
        <f>Shares!K116</f>
        <v>9.1999999999999993</v>
      </c>
      <c r="AW34" s="152">
        <f>Shares!L116</f>
        <v>11.7</v>
      </c>
      <c r="AX34" s="152">
        <f>Shares!M116</f>
        <v>15.1</v>
      </c>
      <c r="AY34" s="46"/>
      <c r="AZ34" s="152">
        <v>3.7</v>
      </c>
      <c r="BA34" s="152">
        <v>8.6</v>
      </c>
      <c r="BB34" s="152">
        <v>13.5</v>
      </c>
      <c r="BC34" s="152">
        <v>19.899999999999999</v>
      </c>
      <c r="BD34" s="152">
        <v>14.3</v>
      </c>
      <c r="BE34" s="152">
        <v>9.9</v>
      </c>
      <c r="BF34" s="152">
        <v>13</v>
      </c>
      <c r="BG34" s="152">
        <v>17.899999999999999</v>
      </c>
      <c r="BI34" s="146">
        <f>TxRt!B79</f>
        <v>5.5</v>
      </c>
      <c r="BJ34" s="146">
        <f>TxRt!B122</f>
        <v>10.5</v>
      </c>
      <c r="BK34" s="146">
        <f>TxRt!B162</f>
        <v>14.8</v>
      </c>
      <c r="BL34" s="146">
        <f>TxRt!B202</f>
        <v>18.3</v>
      </c>
      <c r="BM34" s="146">
        <f>TxRt!B282</f>
        <v>21</v>
      </c>
      <c r="BN34" s="146">
        <f>TxRt!B322</f>
        <v>23</v>
      </c>
      <c r="BO34" s="146">
        <f>TxRt!B362</f>
        <v>25.9</v>
      </c>
      <c r="BP34" s="146">
        <f>TxRt!B402</f>
        <v>30.2</v>
      </c>
      <c r="BQ34" s="46"/>
      <c r="BR34" s="60">
        <f>'HH inc'!$I76</f>
        <v>28700</v>
      </c>
      <c r="BS34" s="60">
        <f>'HH inc'!$I116</f>
        <v>42300</v>
      </c>
      <c r="BT34" s="60">
        <f>'HH inc'!$I156</f>
        <v>60600</v>
      </c>
      <c r="BU34" s="60">
        <f>'HH inc'!$I196</f>
        <v>84200</v>
      </c>
      <c r="BV34" s="60">
        <f>'HH inc'!$I276</f>
        <v>114400</v>
      </c>
      <c r="BW34" s="60">
        <f>'HH inc'!$I316</f>
        <v>150300</v>
      </c>
      <c r="BX34" s="60">
        <f>'HH inc'!$I356</f>
        <v>240100</v>
      </c>
      <c r="BY34" s="60">
        <f>'HH inc'!$I396</f>
        <v>1286500</v>
      </c>
      <c r="CA34" s="60">
        <f>'HH inc'!$I76</f>
        <v>28700</v>
      </c>
      <c r="CB34" s="60">
        <f>'HH inc'!$I116</f>
        <v>42300</v>
      </c>
      <c r="CC34" s="60">
        <f>'HH inc'!$I156</f>
        <v>60600</v>
      </c>
      <c r="CD34" s="60">
        <f>'HH inc'!$I196</f>
        <v>84200</v>
      </c>
      <c r="CE34" s="60">
        <f>'HH inc'!$I276</f>
        <v>114400</v>
      </c>
      <c r="CF34" s="60">
        <f>'HH inc'!$I316</f>
        <v>150300</v>
      </c>
      <c r="CG34" s="60">
        <f>'HH inc'!$I356</f>
        <v>240100</v>
      </c>
      <c r="CH34" s="60">
        <f>'HH inc'!$I396</f>
        <v>1286500</v>
      </c>
      <c r="CJ34" s="153">
        <f t="shared" si="29"/>
        <v>633552.49999999988</v>
      </c>
      <c r="CK34" s="153">
        <f t="shared" si="30"/>
        <v>984532.49999999977</v>
      </c>
      <c r="CL34" s="153">
        <f t="shared" si="5"/>
        <v>1361984.9999999998</v>
      </c>
      <c r="CM34" s="153">
        <f t="shared" si="6"/>
        <v>1892394.9999999998</v>
      </c>
      <c r="CN34" s="153">
        <f t="shared" si="7"/>
        <v>1315600</v>
      </c>
      <c r="CO34" s="153">
        <f t="shared" si="8"/>
        <v>886770</v>
      </c>
      <c r="CP34" s="153">
        <f t="shared" si="9"/>
        <v>1128470</v>
      </c>
      <c r="CQ34" s="153">
        <f t="shared" si="10"/>
        <v>1415150</v>
      </c>
      <c r="CR34" s="153">
        <f t="shared" si="31"/>
        <v>9618455</v>
      </c>
      <c r="CT34" s="39">
        <v>289.3</v>
      </c>
      <c r="CU34" s="276">
        <f>Dem!B76+(DD34/4)</f>
        <v>22.074999999999996</v>
      </c>
      <c r="CV34" s="276">
        <f>Dem!B116+(DD34/4)</f>
        <v>23.274999999999995</v>
      </c>
      <c r="CW34" s="276">
        <f>Dem!B156+(DD34/4)</f>
        <v>22.474999999999998</v>
      </c>
      <c r="CX34" s="276">
        <f>Dem!B196+(DD34/4)</f>
        <v>22.474999999999998</v>
      </c>
      <c r="CY34" s="276">
        <f>Dem!B276</f>
        <v>11.5</v>
      </c>
      <c r="CZ34" s="276">
        <f>Dem!B316</f>
        <v>5.9</v>
      </c>
      <c r="DA34" s="276">
        <f>Dem!B356</f>
        <v>4.7</v>
      </c>
      <c r="DB34" s="276">
        <f>Dem!B396</f>
        <v>1.1000000000000001</v>
      </c>
      <c r="DC34" s="275">
        <v>114.5</v>
      </c>
      <c r="DD34" s="46">
        <v>-0.50000000000001421</v>
      </c>
      <c r="DE34" s="275"/>
      <c r="DF34" s="276">
        <f>Dem!$D76+(DO34/4)</f>
        <v>56.324999999999996</v>
      </c>
      <c r="DG34" s="276">
        <f>Dem!$D116+(DO34/4)</f>
        <v>57.624999999999993</v>
      </c>
      <c r="DH34" s="276">
        <f>Dem!$D156+(DO34/4)</f>
        <v>57.624999999999993</v>
      </c>
      <c r="DI34" s="276">
        <f>Dem!$D196+(DO34/4)</f>
        <v>57.624999999999993</v>
      </c>
      <c r="DJ34" s="275">
        <f>Dem!$D276</f>
        <v>28.9</v>
      </c>
      <c r="DK34" s="275">
        <f>Dem!$D316</f>
        <v>14.5</v>
      </c>
      <c r="DL34" s="275">
        <f>Dem!$D356</f>
        <v>11.6</v>
      </c>
      <c r="DM34" s="275">
        <f>Dem!$D396</f>
        <v>2.9</v>
      </c>
      <c r="DN34" s="276">
        <f t="shared" si="32"/>
        <v>289.3</v>
      </c>
      <c r="DO34" s="44">
        <v>-1.1000000000000227</v>
      </c>
    </row>
    <row r="35" spans="1:119">
      <c r="A35" s="46">
        <f t="shared" si="33"/>
        <v>2006</v>
      </c>
      <c r="B35" s="141">
        <f t="shared" si="11"/>
        <v>8.7115345587525539E-2</v>
      </c>
      <c r="D35" s="141">
        <f t="shared" si="12"/>
        <v>0.4735458870168483</v>
      </c>
      <c r="E35" s="141">
        <f t="shared" si="13"/>
        <v>0.56066123260437384</v>
      </c>
      <c r="F35" s="46"/>
      <c r="G35" s="157">
        <f t="shared" si="14"/>
        <v>2.7314172447968289E-2</v>
      </c>
      <c r="H35" s="157">
        <f t="shared" si="14"/>
        <v>4.7096134786917744E-2</v>
      </c>
      <c r="I35" s="157">
        <f t="shared" si="14"/>
        <v>5.8949454905847389E-2</v>
      </c>
      <c r="J35" s="157">
        <f t="shared" si="14"/>
        <v>5.9900891972249751E-2</v>
      </c>
      <c r="K35" s="157">
        <f t="shared" si="14"/>
        <v>2.6471754212091171E-2</v>
      </c>
      <c r="L35" s="157">
        <f t="shared" si="14"/>
        <v>1.1176907829534189E-2</v>
      </c>
      <c r="M35" s="157">
        <f t="shared" si="14"/>
        <v>5.8636273538156571E-3</v>
      </c>
      <c r="N35" s="157">
        <f t="shared" si="14"/>
        <v>0</v>
      </c>
      <c r="O35" s="46"/>
      <c r="P35" s="154">
        <f t="shared" si="15"/>
        <v>6.3429137760158585E-2</v>
      </c>
      <c r="Q35" s="154">
        <f t="shared" si="16"/>
        <v>0.16451932606541131</v>
      </c>
      <c r="R35" s="154">
        <f t="shared" si="17"/>
        <v>0.30525272547076315</v>
      </c>
      <c r="S35" s="154">
        <f t="shared" si="18"/>
        <v>0.5004955401387513</v>
      </c>
      <c r="T35" s="154">
        <f t="shared" si="19"/>
        <v>0.63528245787908832</v>
      </c>
      <c r="U35" s="154">
        <f t="shared" si="20"/>
        <v>0.7264618434093163</v>
      </c>
      <c r="V35" s="154">
        <f t="shared" si="21"/>
        <v>0.84340931615460868</v>
      </c>
      <c r="W35" s="162">
        <f t="shared" si="34"/>
        <v>1</v>
      </c>
      <c r="X35" s="154"/>
      <c r="Y35" s="142">
        <f t="shared" si="35"/>
        <v>3.2842942345924456E-2</v>
      </c>
      <c r="Z35" s="142">
        <f t="shared" si="35"/>
        <v>5.5944333996023859E-2</v>
      </c>
      <c r="AA35" s="142">
        <f t="shared" si="35"/>
        <v>6.9502982107355879E-2</v>
      </c>
      <c r="AB35" s="142">
        <f t="shared" si="35"/>
        <v>7.0536779324055665E-2</v>
      </c>
      <c r="AC35" s="142">
        <f t="shared" si="35"/>
        <v>3.1252485089463225E-2</v>
      </c>
      <c r="AD35" s="142">
        <f t="shared" si="35"/>
        <v>1.3255467196819089E-2</v>
      </c>
      <c r="AE35" s="142">
        <f t="shared" si="35"/>
        <v>6.9956262425447373E-3</v>
      </c>
      <c r="AF35" s="142">
        <f t="shared" si="35"/>
        <v>0</v>
      </c>
      <c r="AH35" s="158">
        <f t="shared" si="22"/>
        <v>3.5785288270377739E-2</v>
      </c>
      <c r="AI35" s="158">
        <f t="shared" si="23"/>
        <v>0.12027833001988072</v>
      </c>
      <c r="AJ35" s="158">
        <f t="shared" si="24"/>
        <v>0.25248508946322068</v>
      </c>
      <c r="AK35" s="158">
        <f t="shared" si="25"/>
        <v>0.44731610337972172</v>
      </c>
      <c r="AL35" s="158">
        <f t="shared" si="26"/>
        <v>0.5874751491053678</v>
      </c>
      <c r="AM35" s="158">
        <f t="shared" si="27"/>
        <v>0.68489065606361832</v>
      </c>
      <c r="AN35" s="158">
        <f t="shared" si="28"/>
        <v>0.81510934393638168</v>
      </c>
      <c r="AO35" s="158">
        <v>1</v>
      </c>
      <c r="AP35" s="143"/>
      <c r="AQ35" s="152">
        <f>Shares!D117</f>
        <v>6.4</v>
      </c>
      <c r="AR35" s="152">
        <f>Shares!E117</f>
        <v>10.199999999999999</v>
      </c>
      <c r="AS35" s="152">
        <f>Shares!F117</f>
        <v>14.2</v>
      </c>
      <c r="AT35" s="152">
        <f>Shares!G117</f>
        <v>19.7</v>
      </c>
      <c r="AU35" s="152">
        <f>Shares!J117</f>
        <v>13.6</v>
      </c>
      <c r="AV35" s="152">
        <f>Shares!K117</f>
        <v>9.1999999999999993</v>
      </c>
      <c r="AW35" s="152">
        <f>Shares!L117</f>
        <v>11.8</v>
      </c>
      <c r="AX35" s="152">
        <f>Shares!M117</f>
        <v>15.8</v>
      </c>
      <c r="AY35" s="46"/>
      <c r="AZ35" s="152">
        <v>3.6</v>
      </c>
      <c r="BA35" s="152">
        <v>8.5</v>
      </c>
      <c r="BB35" s="152">
        <v>13.3</v>
      </c>
      <c r="BC35" s="152">
        <v>19.600000000000001</v>
      </c>
      <c r="BD35" s="152">
        <v>14.1</v>
      </c>
      <c r="BE35" s="152">
        <v>9.8000000000000007</v>
      </c>
      <c r="BF35" s="152">
        <v>13.1</v>
      </c>
      <c r="BG35" s="152">
        <v>18.600000000000001</v>
      </c>
      <c r="BI35" s="146">
        <f>TxRt!B80</f>
        <v>5.9</v>
      </c>
      <c r="BJ35" s="146">
        <f>TxRt!B123</f>
        <v>10.6</v>
      </c>
      <c r="BK35" s="146">
        <f>TxRt!B163</f>
        <v>14.9</v>
      </c>
      <c r="BL35" s="146">
        <f>TxRt!B203</f>
        <v>18.3</v>
      </c>
      <c r="BM35" s="146">
        <f>TxRt!B283</f>
        <v>21.2</v>
      </c>
      <c r="BN35" s="146">
        <f>TxRt!B323</f>
        <v>23.1</v>
      </c>
      <c r="BO35" s="146">
        <f>TxRt!B363</f>
        <v>25.9</v>
      </c>
      <c r="BP35" s="146">
        <f>TxRt!B403</f>
        <v>29.8</v>
      </c>
      <c r="BQ35" s="46"/>
      <c r="BR35" s="60">
        <f>'HH inc'!$I77</f>
        <v>29300</v>
      </c>
      <c r="BS35" s="60">
        <f>'HH inc'!$I117</f>
        <v>43300</v>
      </c>
      <c r="BT35" s="60">
        <f>'HH inc'!$I157</f>
        <v>61100</v>
      </c>
      <c r="BU35" s="60">
        <f>'HH inc'!$I197</f>
        <v>85800</v>
      </c>
      <c r="BV35" s="60">
        <f>'HH inc'!$I277</f>
        <v>117100</v>
      </c>
      <c r="BW35" s="60">
        <f>'HH inc'!$I317</f>
        <v>154200</v>
      </c>
      <c r="BX35" s="60">
        <f>'HH inc'!$I357</f>
        <v>247500</v>
      </c>
      <c r="BY35" s="60">
        <f>'HH inc'!$I397</f>
        <v>1399400</v>
      </c>
      <c r="CA35" s="60">
        <f>'HH inc'!$I77</f>
        <v>29300</v>
      </c>
      <c r="CB35" s="60">
        <f>'HH inc'!$I117</f>
        <v>43300</v>
      </c>
      <c r="CC35" s="60">
        <f>'HH inc'!$I157</f>
        <v>61100</v>
      </c>
      <c r="CD35" s="60">
        <f>'HH inc'!$I197</f>
        <v>85800</v>
      </c>
      <c r="CE35" s="60">
        <f>'HH inc'!$I277</f>
        <v>117100</v>
      </c>
      <c r="CF35" s="60">
        <f>'HH inc'!$I317</f>
        <v>154200</v>
      </c>
      <c r="CG35" s="60">
        <f>'HH inc'!$I357</f>
        <v>247500</v>
      </c>
      <c r="CH35" s="60">
        <f>'HH inc'!$I397</f>
        <v>1399400</v>
      </c>
      <c r="CJ35" s="153">
        <f t="shared" si="29"/>
        <v>635810</v>
      </c>
      <c r="CK35" s="153">
        <f t="shared" si="30"/>
        <v>1026210</v>
      </c>
      <c r="CL35" s="153">
        <f t="shared" si="5"/>
        <v>1423629.9999999998</v>
      </c>
      <c r="CM35" s="153">
        <f t="shared" si="6"/>
        <v>1973400</v>
      </c>
      <c r="CN35" s="153">
        <f t="shared" si="7"/>
        <v>1370070</v>
      </c>
      <c r="CO35" s="153">
        <f t="shared" si="8"/>
        <v>925200</v>
      </c>
      <c r="CP35" s="153">
        <f t="shared" si="9"/>
        <v>1188000</v>
      </c>
      <c r="CQ35" s="153">
        <f t="shared" si="10"/>
        <v>1539340.0000000002</v>
      </c>
      <c r="CR35" s="153">
        <f t="shared" si="31"/>
        <v>10081660</v>
      </c>
      <c r="CT35" s="39">
        <v>292.7</v>
      </c>
      <c r="CU35" s="276">
        <f>Dem!B77+(DD35/4)</f>
        <v>21.7</v>
      </c>
      <c r="CV35" s="276">
        <f>Dem!B117+(DD35/4)</f>
        <v>23.7</v>
      </c>
      <c r="CW35" s="276">
        <f>Dem!B157+(DD35/4)</f>
        <v>23.299999999999997</v>
      </c>
      <c r="CX35" s="276">
        <f>Dem!B197+(DD35/4)</f>
        <v>23</v>
      </c>
      <c r="CY35" s="276">
        <f>Dem!B277</f>
        <v>11.7</v>
      </c>
      <c r="CZ35" s="276">
        <f>Dem!B317</f>
        <v>6</v>
      </c>
      <c r="DA35" s="276">
        <f>Dem!B357</f>
        <v>4.8</v>
      </c>
      <c r="DB35" s="276">
        <f>Dem!B397</f>
        <v>1.1000000000000001</v>
      </c>
      <c r="DC35" s="275">
        <v>116.1</v>
      </c>
      <c r="DD35" s="46">
        <v>-0.40000000000000568</v>
      </c>
      <c r="DE35" s="275"/>
      <c r="DF35" s="276">
        <f>Dem!$D77+(DO35/4)</f>
        <v>56.95</v>
      </c>
      <c r="DG35" s="276">
        <f>Dem!$D117+(DO35/4)</f>
        <v>58.150000000000006</v>
      </c>
      <c r="DH35" s="276">
        <f>Dem!$D157+(DO35/4)</f>
        <v>58.150000000000006</v>
      </c>
      <c r="DI35" s="276">
        <f>Dem!$D197+(DO35/4)</f>
        <v>58.150000000000006</v>
      </c>
      <c r="DJ35" s="275">
        <f>Dem!$D277</f>
        <v>29.3</v>
      </c>
      <c r="DK35" s="275">
        <f>Dem!$D317</f>
        <v>14.6</v>
      </c>
      <c r="DL35" s="275">
        <f>Dem!$D357</f>
        <v>11.7</v>
      </c>
      <c r="DM35" s="275">
        <f>Dem!$D397</f>
        <v>2.9</v>
      </c>
      <c r="DN35" s="276">
        <f t="shared" si="32"/>
        <v>292.7</v>
      </c>
      <c r="DO35" s="44">
        <v>-1.3999999999999773</v>
      </c>
    </row>
    <row r="36" spans="1:119">
      <c r="A36" s="46">
        <f t="shared" si="33"/>
        <v>2007</v>
      </c>
      <c r="B36" s="141">
        <f t="shared" si="11"/>
        <v>8.2442324633850761E-2</v>
      </c>
      <c r="D36" s="164">
        <f t="shared" si="12"/>
        <v>0.47606323092170483</v>
      </c>
      <c r="E36" s="164">
        <f t="shared" si="13"/>
        <v>0.55850555555555559</v>
      </c>
      <c r="F36" s="37"/>
      <c r="G36" s="165">
        <f t="shared" si="14"/>
        <v>2.69177403369673E-2</v>
      </c>
      <c r="H36" s="165">
        <f t="shared" si="14"/>
        <v>4.6699702675916756E-2</v>
      </c>
      <c r="I36" s="165">
        <f t="shared" si="14"/>
        <v>5.8949454905847402E-2</v>
      </c>
      <c r="J36" s="165">
        <f t="shared" si="14"/>
        <v>6.0693756194251748E-2</v>
      </c>
      <c r="K36" s="165">
        <f t="shared" si="14"/>
        <v>2.7066402378592671E-2</v>
      </c>
      <c r="L36" s="165">
        <f t="shared" si="14"/>
        <v>1.1523785926660063E-2</v>
      </c>
      <c r="M36" s="165">
        <f t="shared" si="14"/>
        <v>6.1807730426164569E-3</v>
      </c>
      <c r="N36" s="165">
        <f t="shared" si="14"/>
        <v>0</v>
      </c>
      <c r="O36" s="37"/>
      <c r="P36" s="154">
        <f t="shared" si="15"/>
        <v>6.5411298315163527E-2</v>
      </c>
      <c r="Q36" s="154">
        <f t="shared" si="16"/>
        <v>0.16650148662041625</v>
      </c>
      <c r="R36" s="154">
        <f t="shared" si="17"/>
        <v>0.3052527254707631</v>
      </c>
      <c r="S36" s="154">
        <f t="shared" si="18"/>
        <v>0.49653121902874131</v>
      </c>
      <c r="T36" s="154">
        <f t="shared" si="19"/>
        <v>0.62933597621407333</v>
      </c>
      <c r="U36" s="154">
        <f t="shared" si="20"/>
        <v>0.71952428146679881</v>
      </c>
      <c r="V36" s="154">
        <f t="shared" si="21"/>
        <v>0.83548067393458869</v>
      </c>
      <c r="W36" s="162">
        <f t="shared" si="34"/>
        <v>1</v>
      </c>
      <c r="X36" s="154"/>
      <c r="Y36" s="142">
        <f t="shared" si="35"/>
        <v>3.2261904761904762E-2</v>
      </c>
      <c r="Z36" s="142">
        <f t="shared" si="35"/>
        <v>5.5198412698412705E-2</v>
      </c>
      <c r="AA36" s="142">
        <f t="shared" si="35"/>
        <v>6.9007936507936532E-2</v>
      </c>
      <c r="AB36" s="142">
        <f t="shared" si="35"/>
        <v>7.071428571428573E-2</v>
      </c>
      <c r="AC36" s="142">
        <f t="shared" si="35"/>
        <v>3.1468253968253979E-2</v>
      </c>
      <c r="AD36" s="142">
        <f t="shared" si="35"/>
        <v>1.3422619047619056E-2</v>
      </c>
      <c r="AE36" s="142">
        <f t="shared" si="35"/>
        <v>7.1793650793650875E-3</v>
      </c>
      <c r="AF36" s="142">
        <f t="shared" si="35"/>
        <v>0</v>
      </c>
      <c r="AH36" s="158">
        <f t="shared" si="22"/>
        <v>3.8690476190476185E-2</v>
      </c>
      <c r="AI36" s="158">
        <f t="shared" si="23"/>
        <v>0.12400793650793648</v>
      </c>
      <c r="AJ36" s="158">
        <f t="shared" si="24"/>
        <v>0.25496031746031744</v>
      </c>
      <c r="AK36" s="158">
        <f t="shared" si="25"/>
        <v>0.4464285714285714</v>
      </c>
      <c r="AL36" s="158">
        <f t="shared" si="26"/>
        <v>0.58531746031746024</v>
      </c>
      <c r="AM36" s="158">
        <f t="shared" si="27"/>
        <v>0.68154761904761896</v>
      </c>
      <c r="AN36" s="158">
        <f t="shared" si="28"/>
        <v>0.81051587301587291</v>
      </c>
      <c r="AO36" s="158">
        <v>1</v>
      </c>
      <c r="AP36" s="143"/>
      <c r="AQ36" s="152">
        <f>Shares!D118</f>
        <v>6.6</v>
      </c>
      <c r="AR36" s="152">
        <f>Shares!E118</f>
        <v>10.199999999999999</v>
      </c>
      <c r="AS36" s="152">
        <f>Shares!F118</f>
        <v>14</v>
      </c>
      <c r="AT36" s="152">
        <f>Shares!G118</f>
        <v>19.3</v>
      </c>
      <c r="AU36" s="152">
        <f>Shares!J118</f>
        <v>13.4</v>
      </c>
      <c r="AV36" s="152">
        <f>Shares!K118</f>
        <v>9.1</v>
      </c>
      <c r="AW36" s="152">
        <f>Shares!L118</f>
        <v>11.7</v>
      </c>
      <c r="AX36" s="152">
        <f>Shares!M118</f>
        <v>16.600000000000001</v>
      </c>
      <c r="AY36" s="46"/>
      <c r="AZ36" s="152">
        <v>3.9</v>
      </c>
      <c r="BA36" s="152">
        <v>8.6</v>
      </c>
      <c r="BB36" s="152">
        <v>13.2</v>
      </c>
      <c r="BC36" s="152">
        <v>19.3</v>
      </c>
      <c r="BD36" s="152">
        <v>14</v>
      </c>
      <c r="BE36" s="152">
        <v>9.6999999999999993</v>
      </c>
      <c r="BF36" s="152">
        <v>13</v>
      </c>
      <c r="BG36" s="152">
        <v>19.100000000000001</v>
      </c>
      <c r="BI36" s="146">
        <f>TxRt!B81</f>
        <v>5.3</v>
      </c>
      <c r="BJ36" s="146">
        <f>TxRt!B124</f>
        <v>11</v>
      </c>
      <c r="BK36" s="146">
        <f>TxRt!B164</f>
        <v>14.8</v>
      </c>
      <c r="BL36" s="146">
        <f>TxRt!B204</f>
        <v>18.100000000000001</v>
      </c>
      <c r="BM36" s="146">
        <f>TxRt!B284</f>
        <v>20.9</v>
      </c>
      <c r="BN36" s="146">
        <f>TxRt!B324</f>
        <v>22.7</v>
      </c>
      <c r="BO36" s="146">
        <f>TxRt!B364</f>
        <v>25.4</v>
      </c>
      <c r="BP36" s="146">
        <f>TxRt!B404</f>
        <v>28.2</v>
      </c>
      <c r="BQ36" s="46"/>
      <c r="BR36" s="60">
        <f>'HH inc'!$I78</f>
        <v>30600</v>
      </c>
      <c r="BS36" s="60">
        <f>'HH inc'!$I118</f>
        <v>45000</v>
      </c>
      <c r="BT36" s="60">
        <f>'HH inc'!$I158</f>
        <v>63400</v>
      </c>
      <c r="BU36" s="60">
        <f>'HH inc'!$I198</f>
        <v>88400</v>
      </c>
      <c r="BV36" s="60">
        <f>'HH inc'!$I278</f>
        <v>119800</v>
      </c>
      <c r="BW36" s="60">
        <f>'HH inc'!$I318</f>
        <v>159000</v>
      </c>
      <c r="BX36" s="60">
        <f>'HH inc'!$I358</f>
        <v>257500</v>
      </c>
      <c r="BY36" s="60">
        <f>'HH inc'!$I398</f>
        <v>1507600</v>
      </c>
      <c r="CA36" s="60">
        <f>'HH inc'!$I78</f>
        <v>30600</v>
      </c>
      <c r="CB36" s="60">
        <f>'HH inc'!$I118</f>
        <v>45000</v>
      </c>
      <c r="CC36" s="60">
        <f>'HH inc'!$I158</f>
        <v>63400</v>
      </c>
      <c r="CD36" s="60">
        <f>'HH inc'!$I198</f>
        <v>88400</v>
      </c>
      <c r="CE36" s="60">
        <f>'HH inc'!$I278</f>
        <v>119800</v>
      </c>
      <c r="CF36" s="60">
        <f>'HH inc'!$I318</f>
        <v>159000</v>
      </c>
      <c r="CG36" s="60">
        <f>'HH inc'!$I358</f>
        <v>257500</v>
      </c>
      <c r="CH36" s="60">
        <f>'HH inc'!$I398</f>
        <v>1507600</v>
      </c>
      <c r="CJ36" s="153">
        <f t="shared" si="29"/>
        <v>691559.99999999988</v>
      </c>
      <c r="CK36" s="153">
        <f t="shared" si="30"/>
        <v>1066500</v>
      </c>
      <c r="CL36" s="153">
        <f t="shared" si="5"/>
        <v>1464539.9999999998</v>
      </c>
      <c r="CM36" s="153">
        <f t="shared" si="6"/>
        <v>2024359.9999999998</v>
      </c>
      <c r="CN36" s="153">
        <f t="shared" si="7"/>
        <v>1413640</v>
      </c>
      <c r="CO36" s="153">
        <f t="shared" si="8"/>
        <v>954000</v>
      </c>
      <c r="CP36" s="153">
        <f t="shared" si="9"/>
        <v>1236000</v>
      </c>
      <c r="CQ36" s="153">
        <f t="shared" si="10"/>
        <v>1809120</v>
      </c>
      <c r="CR36" s="153">
        <f t="shared" si="31"/>
        <v>10659720</v>
      </c>
      <c r="CT36" s="39">
        <v>292.89999999999998</v>
      </c>
      <c r="CU36" s="276">
        <f>Dem!B78+(DD36/4)</f>
        <v>22.599999999999998</v>
      </c>
      <c r="CV36" s="276">
        <f>Dem!B118+(DD36/4)</f>
        <v>23.7</v>
      </c>
      <c r="CW36" s="276">
        <f>Dem!B158+(DD36/4)</f>
        <v>23.099999999999998</v>
      </c>
      <c r="CX36" s="276">
        <f>Dem!B198+(DD36/4)</f>
        <v>22.9</v>
      </c>
      <c r="CY36" s="276">
        <f>Dem!B278</f>
        <v>11.8</v>
      </c>
      <c r="CZ36" s="276">
        <f>Dem!B318</f>
        <v>6</v>
      </c>
      <c r="DA36" s="276">
        <f>Dem!B358</f>
        <v>4.8</v>
      </c>
      <c r="DB36" s="276">
        <f>Dem!B398</f>
        <v>1.2</v>
      </c>
      <c r="DC36" s="275">
        <v>116.9</v>
      </c>
      <c r="DD36" s="46">
        <v>-0.40000000000000568</v>
      </c>
      <c r="DE36" s="275"/>
      <c r="DF36" s="276">
        <f>Dem!$D78+(DO36/4)</f>
        <v>56.974999999999994</v>
      </c>
      <c r="DG36" s="276">
        <f>Dem!$D118+(DO36/4)</f>
        <v>58.274999999999999</v>
      </c>
      <c r="DH36" s="276">
        <f>Dem!$D158+(DO36/4)</f>
        <v>58.274999999999999</v>
      </c>
      <c r="DI36" s="276">
        <f>Dem!$D198+(DO36/4)</f>
        <v>58.274999999999999</v>
      </c>
      <c r="DJ36" s="275">
        <f>Dem!$D278</f>
        <v>29.3</v>
      </c>
      <c r="DK36" s="275">
        <f>Dem!$D318</f>
        <v>14.6</v>
      </c>
      <c r="DL36" s="275">
        <f>Dem!$D358</f>
        <v>11.7</v>
      </c>
      <c r="DM36" s="275">
        <f>Dem!$D398</f>
        <v>2.9</v>
      </c>
      <c r="DN36" s="276">
        <f t="shared" si="32"/>
        <v>292.89999999999998</v>
      </c>
      <c r="DO36" s="44">
        <v>-1.3000000000000114</v>
      </c>
    </row>
    <row r="37" spans="1:119">
      <c r="A37" s="46">
        <f t="shared" si="33"/>
        <v>2008</v>
      </c>
      <c r="B37" s="141">
        <f t="shared" si="11"/>
        <v>9.2687026616561752E-2</v>
      </c>
      <c r="D37" s="164">
        <f>SUM(G37:N37)*2</f>
        <v>0.44062364532019732</v>
      </c>
      <c r="E37" s="164">
        <f t="shared" si="13"/>
        <v>0.53331067193675907</v>
      </c>
      <c r="F37" s="37"/>
      <c r="G37" s="165">
        <f>(P$4-P37)*P$3</f>
        <v>2.6009852216748775E-2</v>
      </c>
      <c r="H37" s="165">
        <f t="shared" si="14"/>
        <v>4.4532019704433518E-2</v>
      </c>
      <c r="I37" s="165">
        <f t="shared" si="14"/>
        <v>5.5369458128078856E-2</v>
      </c>
      <c r="J37" s="165">
        <f t="shared" si="14"/>
        <v>5.5369458128078856E-2</v>
      </c>
      <c r="K37" s="165">
        <f t="shared" si="14"/>
        <v>2.3990147783251248E-2</v>
      </c>
      <c r="L37" s="165">
        <f t="shared" si="14"/>
        <v>9.9630541871921288E-3</v>
      </c>
      <c r="M37" s="165">
        <f t="shared" si="14"/>
        <v>5.0778325123152787E-3</v>
      </c>
      <c r="N37" s="165">
        <f t="shared" si="14"/>
        <v>0</v>
      </c>
      <c r="O37" s="37"/>
      <c r="P37" s="154">
        <f t="shared" si="15"/>
        <v>6.9950738916256139E-2</v>
      </c>
      <c r="Q37" s="154">
        <f t="shared" si="16"/>
        <v>0.17733990147783246</v>
      </c>
      <c r="R37" s="154">
        <f t="shared" si="17"/>
        <v>0.32315270935960583</v>
      </c>
      <c r="S37" s="154">
        <f t="shared" si="18"/>
        <v>0.52315270935960578</v>
      </c>
      <c r="T37" s="154">
        <f t="shared" si="19"/>
        <v>0.66009852216748754</v>
      </c>
      <c r="U37" s="154">
        <f t="shared" si="20"/>
        <v>0.75073891625615752</v>
      </c>
      <c r="V37" s="154">
        <f t="shared" si="21"/>
        <v>0.86305418719211813</v>
      </c>
      <c r="W37" s="162">
        <f t="shared" si="34"/>
        <v>1</v>
      </c>
      <c r="X37" s="154"/>
      <c r="Y37" s="142">
        <f t="shared" si="35"/>
        <v>3.2094861660079056E-2</v>
      </c>
      <c r="Z37" s="142">
        <f t="shared" si="35"/>
        <v>5.4308300395256928E-2</v>
      </c>
      <c r="AA37" s="142">
        <f t="shared" si="35"/>
        <v>6.6837944664031645E-2</v>
      </c>
      <c r="AB37" s="142">
        <f t="shared" si="35"/>
        <v>6.6521739130434812E-2</v>
      </c>
      <c r="AC37" s="142">
        <f t="shared" si="35"/>
        <v>2.8833992094861673E-2</v>
      </c>
      <c r="AD37" s="142">
        <f t="shared" si="35"/>
        <v>1.1976284584980247E-2</v>
      </c>
      <c r="AE37" s="142">
        <f t="shared" si="35"/>
        <v>6.0822134387351892E-3</v>
      </c>
      <c r="AF37" s="142">
        <f t="shared" si="35"/>
        <v>0</v>
      </c>
      <c r="AH37" s="158">
        <f t="shared" si="22"/>
        <v>3.9525691699604737E-2</v>
      </c>
      <c r="AI37" s="158">
        <f t="shared" si="23"/>
        <v>0.1284584980237154</v>
      </c>
      <c r="AJ37" s="158">
        <f t="shared" si="24"/>
        <v>0.26581027667984186</v>
      </c>
      <c r="AK37" s="158">
        <f t="shared" si="25"/>
        <v>0.467391304347826</v>
      </c>
      <c r="AL37" s="158">
        <f t="shared" si="26"/>
        <v>0.61166007905138331</v>
      </c>
      <c r="AM37" s="158">
        <f t="shared" si="27"/>
        <v>0.71047430830039515</v>
      </c>
      <c r="AN37" s="158">
        <f t="shared" si="28"/>
        <v>0.83794466403162038</v>
      </c>
      <c r="AO37" s="158">
        <v>1</v>
      </c>
      <c r="AP37" s="143"/>
      <c r="AQ37" s="152">
        <f>Shares!D119</f>
        <v>7.1</v>
      </c>
      <c r="AR37" s="152">
        <f>Shares!E119</f>
        <v>10.9</v>
      </c>
      <c r="AS37" s="152">
        <f>Shares!F119</f>
        <v>14.8</v>
      </c>
      <c r="AT37" s="152">
        <f>Shares!G119</f>
        <v>20.3</v>
      </c>
      <c r="AU37" s="152">
        <f>Shares!J119</f>
        <v>13.9</v>
      </c>
      <c r="AV37" s="152">
        <f>Shares!K119</f>
        <v>9.1999999999999993</v>
      </c>
      <c r="AW37" s="152">
        <f>Shares!L119</f>
        <v>11.4</v>
      </c>
      <c r="AX37" s="152">
        <f>Shares!M119</f>
        <v>13.9</v>
      </c>
      <c r="AY37" s="46"/>
      <c r="AZ37" s="152">
        <v>4</v>
      </c>
      <c r="BA37" s="152">
        <v>9</v>
      </c>
      <c r="BB37" s="152">
        <v>13.9</v>
      </c>
      <c r="BC37" s="152">
        <v>20.399999999999999</v>
      </c>
      <c r="BD37" s="152">
        <v>14.6</v>
      </c>
      <c r="BE37" s="152">
        <v>10</v>
      </c>
      <c r="BF37" s="152">
        <v>12.9</v>
      </c>
      <c r="BG37" s="152">
        <v>16.399999999999999</v>
      </c>
      <c r="BI37" s="146">
        <f>TxRt!B82</f>
        <v>0.9</v>
      </c>
      <c r="BJ37" s="146">
        <f>TxRt!B125</f>
        <v>7.8</v>
      </c>
      <c r="BK37" s="146">
        <f>TxRt!B165</f>
        <v>12.2</v>
      </c>
      <c r="BL37" s="146">
        <f>TxRt!B205</f>
        <v>16</v>
      </c>
      <c r="BM37" s="146">
        <f>TxRt!B285</f>
        <v>19.3</v>
      </c>
      <c r="BN37" s="146">
        <f>TxRt!B325</f>
        <v>21.8</v>
      </c>
      <c r="BO37" s="146">
        <f>TxRt!B365</f>
        <v>24.6</v>
      </c>
      <c r="BP37" s="146">
        <f>TxRt!B405</f>
        <v>28.1</v>
      </c>
      <c r="BQ37" s="46"/>
      <c r="BR37" s="60">
        <f>'HH inc'!$I79</f>
        <v>31500</v>
      </c>
      <c r="BS37" s="60">
        <f>'HH inc'!$I119</f>
        <v>45500</v>
      </c>
      <c r="BT37" s="60">
        <f>'HH inc'!$I159</f>
        <v>63400</v>
      </c>
      <c r="BU37" s="60">
        <f>'HH inc'!$I199</f>
        <v>88400</v>
      </c>
      <c r="BV37" s="60">
        <f>'HH inc'!$I279</f>
        <v>119800</v>
      </c>
      <c r="BW37" s="60">
        <f>'HH inc'!$I319</f>
        <v>155600</v>
      </c>
      <c r="BX37" s="60">
        <f>'HH inc'!$I359</f>
        <v>240800</v>
      </c>
      <c r="BY37" s="60">
        <f>'HH inc'!$I399</f>
        <v>1234600</v>
      </c>
      <c r="CA37" s="60">
        <f>'HH inc'!$I79</f>
        <v>31500</v>
      </c>
      <c r="CB37" s="60">
        <f>'HH inc'!$I119</f>
        <v>45500</v>
      </c>
      <c r="CC37" s="60">
        <f>'HH inc'!$I159</f>
        <v>63400</v>
      </c>
      <c r="CD37" s="60">
        <f>'HH inc'!$I199</f>
        <v>88400</v>
      </c>
      <c r="CE37" s="60">
        <f>'HH inc'!$I279</f>
        <v>119800</v>
      </c>
      <c r="CF37" s="60">
        <f>'HH inc'!$I319</f>
        <v>155600</v>
      </c>
      <c r="CG37" s="60">
        <f>'HH inc'!$I359</f>
        <v>240800</v>
      </c>
      <c r="CH37" s="60">
        <f>'HH inc'!$I399</f>
        <v>1234600</v>
      </c>
      <c r="CJ37" s="153">
        <f t="shared" si="29"/>
        <v>703237.49999999988</v>
      </c>
      <c r="CK37" s="153">
        <f t="shared" si="30"/>
        <v>1088587.4999999998</v>
      </c>
      <c r="CL37" s="153">
        <f t="shared" si="5"/>
        <v>1472464.9999999995</v>
      </c>
      <c r="CM37" s="153">
        <f t="shared" si="6"/>
        <v>2026569.9999999998</v>
      </c>
      <c r="CN37" s="153">
        <f t="shared" si="7"/>
        <v>1389680</v>
      </c>
      <c r="CO37" s="153">
        <f t="shared" si="8"/>
        <v>933600</v>
      </c>
      <c r="CP37" s="153">
        <f t="shared" si="9"/>
        <v>1155840</v>
      </c>
      <c r="CQ37" s="153">
        <f t="shared" si="10"/>
        <v>1358060</v>
      </c>
      <c r="CR37" s="153">
        <f t="shared" si="31"/>
        <v>10128040</v>
      </c>
      <c r="CT37" s="39">
        <v>295.10000000000002</v>
      </c>
      <c r="CU37" s="276">
        <f>Dem!B79+(DD37/4)</f>
        <v>22.324999999999996</v>
      </c>
      <c r="CV37" s="276">
        <f>Dem!B119+(DD37/4)</f>
        <v>23.924999999999997</v>
      </c>
      <c r="CW37" s="276">
        <f>Dem!B159+(DD37/4)</f>
        <v>23.224999999999994</v>
      </c>
      <c r="CX37" s="276">
        <f>Dem!B199+(DD37/4)</f>
        <v>22.924999999999997</v>
      </c>
      <c r="CY37" s="276">
        <f>Dem!B279</f>
        <v>11.6</v>
      </c>
      <c r="CZ37" s="276">
        <f>Dem!B319</f>
        <v>6</v>
      </c>
      <c r="DA37" s="276">
        <f>Dem!B359</f>
        <v>4.8</v>
      </c>
      <c r="DB37" s="276">
        <f>Dem!B399</f>
        <v>1.1000000000000001</v>
      </c>
      <c r="DC37" s="275">
        <v>117.3</v>
      </c>
      <c r="DD37" s="46">
        <v>-0.70000000000001705</v>
      </c>
      <c r="DE37" s="275"/>
      <c r="DF37" s="276">
        <f>Dem!$D79+(DO37/4)</f>
        <v>57.125</v>
      </c>
      <c r="DG37" s="276">
        <f>Dem!$D119+(DO37/4)</f>
        <v>58.625</v>
      </c>
      <c r="DH37" s="276">
        <f>Dem!$D159+(DO37/4)</f>
        <v>58.625</v>
      </c>
      <c r="DI37" s="276">
        <f>Dem!$D199+(DO37/4)</f>
        <v>58.625</v>
      </c>
      <c r="DJ37" s="275">
        <f>Dem!$D279</f>
        <v>29.5</v>
      </c>
      <c r="DK37" s="275">
        <f>Dem!$D319</f>
        <v>14.8</v>
      </c>
      <c r="DL37" s="275">
        <f>Dem!$D359</f>
        <v>11.8</v>
      </c>
      <c r="DM37" s="275">
        <f>Dem!$D399</f>
        <v>3</v>
      </c>
      <c r="DN37" s="276">
        <f t="shared" si="32"/>
        <v>295.10000000000002</v>
      </c>
      <c r="DO37" s="44">
        <v>-1.5</v>
      </c>
    </row>
    <row r="38" spans="1:119">
      <c r="A38" s="46">
        <f t="shared" si="33"/>
        <v>2009</v>
      </c>
      <c r="B38" s="141">
        <f t="shared" si="11"/>
        <v>9.5711169394253393E-2</v>
      </c>
      <c r="D38" s="164">
        <f t="shared" si="12"/>
        <v>0.41647897838899806</v>
      </c>
      <c r="E38" s="164">
        <f t="shared" si="13"/>
        <v>0.51219014778325145</v>
      </c>
      <c r="F38" s="37"/>
      <c r="G38" s="165">
        <f t="shared" si="14"/>
        <v>2.5854616895874261E-2</v>
      </c>
      <c r="H38" s="165">
        <f t="shared" si="14"/>
        <v>4.3457760314341849E-2</v>
      </c>
      <c r="I38" s="165">
        <f t="shared" si="14"/>
        <v>5.3202357563850701E-2</v>
      </c>
      <c r="J38" s="165">
        <f t="shared" si="14"/>
        <v>5.1552062868369358E-2</v>
      </c>
      <c r="K38" s="165">
        <f t="shared" si="14"/>
        <v>2.153241650294695E-2</v>
      </c>
      <c r="L38" s="165">
        <f t="shared" si="14"/>
        <v>8.6001964636542253E-3</v>
      </c>
      <c r="M38" s="165">
        <f t="shared" si="14"/>
        <v>4.0400785854616929E-3</v>
      </c>
      <c r="N38" s="165">
        <f t="shared" si="14"/>
        <v>0</v>
      </c>
      <c r="O38" s="37"/>
      <c r="P38" s="154">
        <f t="shared" si="15"/>
        <v>7.0726915520628694E-2</v>
      </c>
      <c r="Q38" s="154">
        <f t="shared" si="16"/>
        <v>0.18271119842829078</v>
      </c>
      <c r="R38" s="154">
        <f t="shared" si="17"/>
        <v>0.33398821218074659</v>
      </c>
      <c r="S38" s="154">
        <f t="shared" si="18"/>
        <v>0.54223968565815328</v>
      </c>
      <c r="T38" s="154">
        <f t="shared" si="19"/>
        <v>0.68467583497053053</v>
      </c>
      <c r="U38" s="154">
        <f t="shared" si="20"/>
        <v>0.77799607072691557</v>
      </c>
      <c r="V38" s="154">
        <f t="shared" si="21"/>
        <v>0.88899803536345778</v>
      </c>
      <c r="W38" s="162">
        <f t="shared" si="34"/>
        <v>1</v>
      </c>
      <c r="X38" s="154"/>
      <c r="Y38" s="142">
        <f t="shared" si="35"/>
        <v>3.2315270935960594E-2</v>
      </c>
      <c r="Z38" s="142">
        <f t="shared" si="35"/>
        <v>5.379310344827587E-2</v>
      </c>
      <c r="AA38" s="142">
        <f t="shared" si="35"/>
        <v>6.522167487684731E-2</v>
      </c>
      <c r="AB38" s="142">
        <f t="shared" si="35"/>
        <v>6.2857142857142875E-2</v>
      </c>
      <c r="AC38" s="142">
        <f t="shared" si="35"/>
        <v>2.6354679802955673E-2</v>
      </c>
      <c r="AD38" s="142">
        <f t="shared" si="35"/>
        <v>1.0554187192118231E-2</v>
      </c>
      <c r="AE38" s="142">
        <f t="shared" si="35"/>
        <v>4.9990147783251261E-3</v>
      </c>
      <c r="AF38" s="142">
        <f t="shared" si="35"/>
        <v>0</v>
      </c>
      <c r="AH38" s="158">
        <f t="shared" si="22"/>
        <v>3.8423645320197042E-2</v>
      </c>
      <c r="AI38" s="158">
        <f t="shared" si="23"/>
        <v>0.13103448275862067</v>
      </c>
      <c r="AJ38" s="158">
        <f t="shared" si="24"/>
        <v>0.27389162561576352</v>
      </c>
      <c r="AK38" s="158">
        <f t="shared" si="25"/>
        <v>0.48571428571428565</v>
      </c>
      <c r="AL38" s="158">
        <f t="shared" si="26"/>
        <v>0.63645320197044331</v>
      </c>
      <c r="AM38" s="158">
        <f t="shared" si="27"/>
        <v>0.73891625615763545</v>
      </c>
      <c r="AN38" s="158">
        <f t="shared" si="28"/>
        <v>0.86502463054187195</v>
      </c>
      <c r="AO38" s="158">
        <v>1</v>
      </c>
      <c r="AP38" s="143"/>
      <c r="AQ38" s="152">
        <f>Shares!D120</f>
        <v>7.2</v>
      </c>
      <c r="AR38" s="152">
        <f>Shares!E120</f>
        <v>11.4</v>
      </c>
      <c r="AS38" s="152">
        <f>Shares!F120</f>
        <v>15.4</v>
      </c>
      <c r="AT38" s="152">
        <f>Shares!G120</f>
        <v>21.2</v>
      </c>
      <c r="AU38" s="152">
        <f>Shares!J120</f>
        <v>14.5</v>
      </c>
      <c r="AV38" s="152">
        <f>Shares!K120</f>
        <v>9.5</v>
      </c>
      <c r="AW38" s="152">
        <f>Shares!L120</f>
        <v>11.3</v>
      </c>
      <c r="AX38" s="152">
        <f>Shares!M120</f>
        <v>11.3</v>
      </c>
      <c r="AY38" s="46"/>
      <c r="AZ38" s="152">
        <v>3.9</v>
      </c>
      <c r="BA38" s="152">
        <v>9.4</v>
      </c>
      <c r="BB38" s="152">
        <v>14.5</v>
      </c>
      <c r="BC38" s="152">
        <v>21.5</v>
      </c>
      <c r="BD38" s="152">
        <v>15.3</v>
      </c>
      <c r="BE38" s="152">
        <v>10.4</v>
      </c>
      <c r="BF38" s="152">
        <v>12.8</v>
      </c>
      <c r="BG38" s="152">
        <v>13.7</v>
      </c>
      <c r="BI38" s="146">
        <f>TxRt!B83</f>
        <v>-0.3</v>
      </c>
      <c r="BJ38" s="146">
        <f>TxRt!B126</f>
        <v>7.2</v>
      </c>
      <c r="BK38" s="146">
        <f>TxRt!B166</f>
        <v>11.8</v>
      </c>
      <c r="BL38" s="146">
        <f>TxRt!B206</f>
        <v>15.5</v>
      </c>
      <c r="BM38" s="146">
        <f>TxRt!B286</f>
        <v>18.899999999999999</v>
      </c>
      <c r="BN38" s="146">
        <f>TxRt!B326</f>
        <v>21.2</v>
      </c>
      <c r="BO38" s="146">
        <f>TxRt!B366</f>
        <v>24.2</v>
      </c>
      <c r="BP38" s="146">
        <f>TxRt!B406</f>
        <v>28.7</v>
      </c>
      <c r="BQ38" s="46"/>
      <c r="BR38" s="60">
        <f>'HH inc'!$I80</f>
        <v>32300</v>
      </c>
      <c r="BS38" s="60">
        <f>'HH inc'!$I120</f>
        <v>45200</v>
      </c>
      <c r="BT38" s="60">
        <f>'HH inc'!$I160</f>
        <v>62700</v>
      </c>
      <c r="BU38" s="60">
        <f>'HH inc'!$I200</f>
        <v>87100</v>
      </c>
      <c r="BV38" s="60">
        <f>'HH inc'!$I280</f>
        <v>117700</v>
      </c>
      <c r="BW38" s="60">
        <f>'HH inc'!$I320</f>
        <v>152500</v>
      </c>
      <c r="BX38" s="60">
        <f>'HH inc'!$I360</f>
        <v>227600</v>
      </c>
      <c r="BY38" s="60">
        <f>'HH inc'!$I400</f>
        <v>954400</v>
      </c>
      <c r="CA38" s="60">
        <f>'HH inc'!$I80</f>
        <v>32300</v>
      </c>
      <c r="CB38" s="60">
        <f>'HH inc'!$I120</f>
        <v>45200</v>
      </c>
      <c r="CC38" s="60">
        <f>'HH inc'!$I160</f>
        <v>62700</v>
      </c>
      <c r="CD38" s="60">
        <f>'HH inc'!$I200</f>
        <v>87100</v>
      </c>
      <c r="CE38" s="60">
        <f>'HH inc'!$I280</f>
        <v>117700</v>
      </c>
      <c r="CF38" s="60">
        <f>'HH inc'!$I320</f>
        <v>152500</v>
      </c>
      <c r="CG38" s="60">
        <f>'HH inc'!$I360</f>
        <v>227600</v>
      </c>
      <c r="CH38" s="60">
        <f>'HH inc'!$I400</f>
        <v>954400</v>
      </c>
      <c r="CJ38" s="153">
        <f t="shared" si="29"/>
        <v>692027.50000000012</v>
      </c>
      <c r="CK38" s="153">
        <f t="shared" si="30"/>
        <v>1090450.0000000002</v>
      </c>
      <c r="CL38" s="153">
        <f t="shared" si="5"/>
        <v>1475017.5000000002</v>
      </c>
      <c r="CM38" s="153">
        <f t="shared" si="6"/>
        <v>2031607.5000000002</v>
      </c>
      <c r="CN38" s="153">
        <f t="shared" si="7"/>
        <v>1400630</v>
      </c>
      <c r="CO38" s="153">
        <f t="shared" si="8"/>
        <v>915000</v>
      </c>
      <c r="CP38" s="153">
        <f t="shared" si="9"/>
        <v>1092480</v>
      </c>
      <c r="CQ38" s="153">
        <f t="shared" si="10"/>
        <v>1049840</v>
      </c>
      <c r="CR38" s="153">
        <f t="shared" si="31"/>
        <v>9747052.5</v>
      </c>
      <c r="CT38" s="39">
        <v>298</v>
      </c>
      <c r="CU38" s="276">
        <f>Dem!B80+(DD38/4)</f>
        <v>21.425000000000004</v>
      </c>
      <c r="CV38" s="276">
        <f>Dem!B120+(DD38/4)</f>
        <v>24.125000000000004</v>
      </c>
      <c r="CW38" s="276">
        <f>Dem!B160+(DD38/4)</f>
        <v>23.525000000000002</v>
      </c>
      <c r="CX38" s="276">
        <f>Dem!B200+(DD38/4)</f>
        <v>23.325000000000003</v>
      </c>
      <c r="CY38" s="276">
        <f>Dem!B280</f>
        <v>11.9</v>
      </c>
      <c r="CZ38" s="276">
        <f>Dem!B320</f>
        <v>6</v>
      </c>
      <c r="DA38" s="276">
        <f>Dem!B360</f>
        <v>4.8</v>
      </c>
      <c r="DB38" s="276">
        <f>Dem!B400</f>
        <v>1.1000000000000001</v>
      </c>
      <c r="DC38" s="275">
        <v>117.6</v>
      </c>
      <c r="DD38" s="46">
        <v>-0.69999999999998863</v>
      </c>
      <c r="DE38" s="275"/>
      <c r="DF38" s="276">
        <f>Dem!$D80+(DO38/4)</f>
        <v>57.474999999999987</v>
      </c>
      <c r="DG38" s="276">
        <f>Dem!$D120+(DO38/4)</f>
        <v>59.17499999999999</v>
      </c>
      <c r="DH38" s="276">
        <f>Dem!$D160+(DO38/4)</f>
        <v>59.17499999999999</v>
      </c>
      <c r="DI38" s="276">
        <f>Dem!$D200+(DO38/4)</f>
        <v>59.17499999999999</v>
      </c>
      <c r="DJ38" s="275">
        <f>Dem!$D280</f>
        <v>29.8</v>
      </c>
      <c r="DK38" s="275">
        <f>Dem!$D320</f>
        <v>14.9</v>
      </c>
      <c r="DL38" s="275">
        <f>Dem!$D360</f>
        <v>11.9</v>
      </c>
      <c r="DM38" s="275">
        <f>Dem!$D400</f>
        <v>3</v>
      </c>
      <c r="DN38" s="276">
        <f t="shared" si="32"/>
        <v>298</v>
      </c>
      <c r="DO38" s="44">
        <v>-1.7000000000000455</v>
      </c>
    </row>
    <row r="39" spans="1:119">
      <c r="A39" s="46">
        <f t="shared" si="33"/>
        <v>2010</v>
      </c>
      <c r="B39" s="141">
        <f t="shared" si="11"/>
        <v>0.10075490378791424</v>
      </c>
      <c r="D39" s="141">
        <f t="shared" si="12"/>
        <v>0.42693622047244101</v>
      </c>
      <c r="E39" s="141">
        <f t="shared" si="13"/>
        <v>0.52769112426035525</v>
      </c>
      <c r="F39" s="46"/>
      <c r="G39" s="157">
        <f t="shared" si="14"/>
        <v>2.5826771653543315E-2</v>
      </c>
      <c r="H39" s="157">
        <f t="shared" si="14"/>
        <v>4.377952755905512E-2</v>
      </c>
      <c r="I39" s="157">
        <f t="shared" si="14"/>
        <v>5.4055118110236236E-2</v>
      </c>
      <c r="J39" s="157">
        <f t="shared" si="14"/>
        <v>5.330708661417323E-2</v>
      </c>
      <c r="K39" s="157">
        <f t="shared" si="14"/>
        <v>2.267716535433071E-2</v>
      </c>
      <c r="L39" s="157">
        <f t="shared" si="14"/>
        <v>9.261811023622047E-3</v>
      </c>
      <c r="M39" s="157">
        <f t="shared" si="14"/>
        <v>4.5606299212598419E-3</v>
      </c>
      <c r="N39" s="157">
        <f t="shared" si="14"/>
        <v>0</v>
      </c>
      <c r="O39" s="46"/>
      <c r="P39" s="154">
        <f t="shared" si="15"/>
        <v>7.0866141732283464E-2</v>
      </c>
      <c r="Q39" s="154">
        <f t="shared" si="16"/>
        <v>0.18110236220472442</v>
      </c>
      <c r="R39" s="154">
        <f t="shared" si="17"/>
        <v>0.32972440944881892</v>
      </c>
      <c r="S39" s="154">
        <f t="shared" si="18"/>
        <v>0.53346456692913391</v>
      </c>
      <c r="T39" s="154">
        <f t="shared" si="19"/>
        <v>0.67322834645669294</v>
      </c>
      <c r="U39" s="154">
        <f t="shared" si="20"/>
        <v>0.76476377952755914</v>
      </c>
      <c r="V39" s="154">
        <f t="shared" si="21"/>
        <v>0.87598425196850405</v>
      </c>
      <c r="W39" s="162">
        <f t="shared" si="34"/>
        <v>1</v>
      </c>
      <c r="X39" s="154"/>
      <c r="Y39" s="142">
        <f t="shared" si="35"/>
        <v>3.2504930966469434E-2</v>
      </c>
      <c r="Z39" s="142">
        <f t="shared" si="35"/>
        <v>5.4556213017751487E-2</v>
      </c>
      <c r="AA39" s="142">
        <f t="shared" si="35"/>
        <v>6.6548323471400425E-2</v>
      </c>
      <c r="AB39" s="142">
        <f t="shared" si="35"/>
        <v>6.5325443786982268E-2</v>
      </c>
      <c r="AC39" s="142">
        <f t="shared" si="35"/>
        <v>2.786982248520711E-2</v>
      </c>
      <c r="AD39" s="142">
        <f t="shared" si="35"/>
        <v>1.1405325443786991E-2</v>
      </c>
      <c r="AE39" s="142">
        <f t="shared" si="35"/>
        <v>5.6355029585798896E-3</v>
      </c>
      <c r="AF39" s="142">
        <f t="shared" si="35"/>
        <v>0</v>
      </c>
      <c r="AH39" s="158">
        <f t="shared" si="22"/>
        <v>3.7475345167652857E-2</v>
      </c>
      <c r="AI39" s="158">
        <f t="shared" si="23"/>
        <v>0.12721893491124259</v>
      </c>
      <c r="AJ39" s="158">
        <f t="shared" si="24"/>
        <v>0.267258382642998</v>
      </c>
      <c r="AK39" s="158">
        <f t="shared" si="25"/>
        <v>0.47337278106508873</v>
      </c>
      <c r="AL39" s="158">
        <f t="shared" si="26"/>
        <v>0.62130177514792895</v>
      </c>
      <c r="AM39" s="158">
        <f t="shared" si="27"/>
        <v>0.72189349112426027</v>
      </c>
      <c r="AN39" s="158">
        <f t="shared" si="28"/>
        <v>0.84911242603550285</v>
      </c>
      <c r="AO39" s="158">
        <v>1</v>
      </c>
      <c r="AP39" s="143"/>
      <c r="AQ39" s="152">
        <f>Shares!D121</f>
        <v>7.2</v>
      </c>
      <c r="AR39" s="152">
        <f>Shares!E121</f>
        <v>11.2</v>
      </c>
      <c r="AS39" s="152">
        <f>Shares!F121</f>
        <v>15.1</v>
      </c>
      <c r="AT39" s="152">
        <f>Shares!G121</f>
        <v>20.7</v>
      </c>
      <c r="AU39" s="152">
        <f>Shares!J121</f>
        <v>14.2</v>
      </c>
      <c r="AV39" s="152">
        <f>Shares!K121</f>
        <v>9.3000000000000007</v>
      </c>
      <c r="AW39" s="152">
        <f>Shares!L121</f>
        <v>11.3</v>
      </c>
      <c r="AX39" s="152">
        <f>Shares!M121</f>
        <v>12.6</v>
      </c>
      <c r="AY39" s="46"/>
      <c r="AZ39" s="152">
        <v>3.8</v>
      </c>
      <c r="BA39" s="152">
        <v>9.1</v>
      </c>
      <c r="BB39" s="152">
        <v>14.2</v>
      </c>
      <c r="BC39" s="152">
        <v>20.9</v>
      </c>
      <c r="BD39" s="152">
        <v>15</v>
      </c>
      <c r="BE39" s="152">
        <v>10.199999999999999</v>
      </c>
      <c r="BF39" s="152">
        <v>12.9</v>
      </c>
      <c r="BG39" s="152">
        <v>15.3</v>
      </c>
      <c r="BI39" s="146">
        <f>TxRt!B84</f>
        <v>0</v>
      </c>
      <c r="BJ39" s="146">
        <f>TxRt!B127</f>
        <v>7.6</v>
      </c>
      <c r="BK39" s="146">
        <f>TxRt!B167</f>
        <v>12.1</v>
      </c>
      <c r="BL39" s="146">
        <f>TxRt!B207</f>
        <v>15.9</v>
      </c>
      <c r="BM39" s="146">
        <f>TxRt!B287</f>
        <v>19.399999999999999</v>
      </c>
      <c r="BN39" s="146">
        <f>TxRt!B327</f>
        <v>21.6</v>
      </c>
      <c r="BO39" s="146">
        <f>TxRt!B367</f>
        <v>24.8</v>
      </c>
      <c r="BP39" s="146">
        <f>TxRt!B407</f>
        <v>29.3</v>
      </c>
      <c r="BQ39" s="46"/>
      <c r="BR39" s="60">
        <f>'HH inc'!$I81</f>
        <v>32300</v>
      </c>
      <c r="BS39" s="60">
        <f>'HH inc'!$I121</f>
        <v>44700</v>
      </c>
      <c r="BT39" s="60">
        <f>'HH inc'!$I161</f>
        <v>61900</v>
      </c>
      <c r="BU39" s="60">
        <f>'HH inc'!$I201</f>
        <v>86300</v>
      </c>
      <c r="BV39" s="60">
        <f>'HH inc'!$I281</f>
        <v>117100</v>
      </c>
      <c r="BW39" s="60">
        <f>'HH inc'!$I321</f>
        <v>152700</v>
      </c>
      <c r="BX39" s="60">
        <f>'HH inc'!$I361</f>
        <v>232100</v>
      </c>
      <c r="BY39" s="60">
        <f>'HH inc'!$I401</f>
        <v>1088100</v>
      </c>
      <c r="CA39" s="60">
        <f>'HH inc'!$I81</f>
        <v>32300</v>
      </c>
      <c r="CB39" s="60">
        <f>'HH inc'!$I121</f>
        <v>44700</v>
      </c>
      <c r="CC39" s="60">
        <f>'HH inc'!$I161</f>
        <v>61900</v>
      </c>
      <c r="CD39" s="60">
        <f>'HH inc'!$I201</f>
        <v>86300</v>
      </c>
      <c r="CE39" s="60">
        <f>'HH inc'!$I281</f>
        <v>117100</v>
      </c>
      <c r="CF39" s="60">
        <f>'HH inc'!$I321</f>
        <v>152700</v>
      </c>
      <c r="CG39" s="60">
        <f>'HH inc'!$I361</f>
        <v>232100</v>
      </c>
      <c r="CH39" s="60">
        <f>'HH inc'!$I401</f>
        <v>1088100</v>
      </c>
      <c r="CJ39" s="153">
        <f t="shared" si="29"/>
        <v>716252.5</v>
      </c>
      <c r="CK39" s="153">
        <f t="shared" si="30"/>
        <v>1107442.5</v>
      </c>
      <c r="CL39" s="153">
        <f t="shared" si="5"/>
        <v>1496432.5</v>
      </c>
      <c r="CM39" s="153">
        <f t="shared" si="6"/>
        <v>2051782.4999999998</v>
      </c>
      <c r="CN39" s="153">
        <f t="shared" si="7"/>
        <v>1405200</v>
      </c>
      <c r="CO39" s="153">
        <f t="shared" si="8"/>
        <v>931470</v>
      </c>
      <c r="CP39" s="153">
        <f t="shared" si="9"/>
        <v>1114080</v>
      </c>
      <c r="CQ39" s="153">
        <f t="shared" si="10"/>
        <v>1305720</v>
      </c>
      <c r="CR39" s="153">
        <f t="shared" si="31"/>
        <v>10128380</v>
      </c>
      <c r="CT39" s="39">
        <v>301.39999999999998</v>
      </c>
      <c r="CU39" s="276">
        <f>Dem!B81+(DD39/4)</f>
        <v>22.175000000000001</v>
      </c>
      <c r="CV39" s="276">
        <f>Dem!B121+(DD39/4)</f>
        <v>24.774999999999999</v>
      </c>
      <c r="CW39" s="276">
        <f>Dem!B161+(DD39/4)</f>
        <v>24.175000000000001</v>
      </c>
      <c r="CX39" s="276">
        <f>Dem!B201+(DD39/4)</f>
        <v>23.774999999999999</v>
      </c>
      <c r="CY39" s="276">
        <f>Dem!B281</f>
        <v>12</v>
      </c>
      <c r="CZ39" s="276">
        <f>Dem!B321</f>
        <v>6.1</v>
      </c>
      <c r="DA39" s="276">
        <f>Dem!B361</f>
        <v>4.8</v>
      </c>
      <c r="DB39" s="276">
        <f>Dem!B401</f>
        <v>1.2</v>
      </c>
      <c r="DC39" s="275">
        <v>120</v>
      </c>
      <c r="DD39" s="46">
        <v>-0.5</v>
      </c>
      <c r="DE39" s="275"/>
      <c r="DF39" s="276">
        <f>Dem!$D81+(DO39/4)</f>
        <v>58.325000000000031</v>
      </c>
      <c r="DG39" s="276">
        <f>Dem!$D121+(DO39/4)</f>
        <v>59.925000000000026</v>
      </c>
      <c r="DH39" s="276">
        <f>Dem!$D161+(DO39/4)</f>
        <v>59.925000000000026</v>
      </c>
      <c r="DI39" s="276">
        <f>Dem!$D201+(DO39/4)</f>
        <v>59.925000000000026</v>
      </c>
      <c r="DJ39" s="275">
        <f>Dem!$D281</f>
        <v>30.1</v>
      </c>
      <c r="DK39" s="275">
        <f>Dem!$D321</f>
        <v>15.1</v>
      </c>
      <c r="DL39" s="275">
        <f>Dem!$D361</f>
        <v>12.1</v>
      </c>
      <c r="DM39" s="275">
        <f>Dem!$D401</f>
        <v>3</v>
      </c>
      <c r="DN39" s="276">
        <f t="shared" si="32"/>
        <v>301.39999999999998</v>
      </c>
      <c r="DO39" s="44">
        <v>-1.4999999999998863</v>
      </c>
    </row>
    <row r="40" spans="1:119">
      <c r="A40" s="46">
        <f t="shared" si="33"/>
        <v>2011</v>
      </c>
      <c r="B40" s="141">
        <f t="shared" si="11"/>
        <v>9.8123858861351054E-2</v>
      </c>
      <c r="D40" s="141">
        <f t="shared" si="12"/>
        <v>0.42906725663716833</v>
      </c>
      <c r="E40" s="141">
        <f t="shared" si="13"/>
        <v>0.52719111549851938</v>
      </c>
      <c r="F40" s="46"/>
      <c r="G40" s="157">
        <f t="shared" si="14"/>
        <v>2.5644051130776804E-2</v>
      </c>
      <c r="H40" s="157">
        <f t="shared" si="14"/>
        <v>4.381514257620453E-2</v>
      </c>
      <c r="I40" s="157">
        <f t="shared" si="14"/>
        <v>5.4513274336283217E-2</v>
      </c>
      <c r="J40" s="157">
        <f t="shared" si="14"/>
        <v>5.38053097345133E-2</v>
      </c>
      <c r="K40" s="157">
        <f t="shared" si="14"/>
        <v>2.2940019665683389E-2</v>
      </c>
      <c r="L40" s="157">
        <f t="shared" si="14"/>
        <v>9.2994100294985279E-3</v>
      </c>
      <c r="M40" s="157">
        <f t="shared" si="14"/>
        <v>4.5164208456243892E-3</v>
      </c>
      <c r="N40" s="157">
        <f t="shared" si="14"/>
        <v>0</v>
      </c>
      <c r="O40" s="46"/>
      <c r="P40" s="154">
        <f t="shared" si="15"/>
        <v>7.1779744346116017E-2</v>
      </c>
      <c r="Q40" s="154">
        <f t="shared" si="16"/>
        <v>0.18092428711897737</v>
      </c>
      <c r="R40" s="154">
        <f t="shared" si="17"/>
        <v>0.32743362831858402</v>
      </c>
      <c r="S40" s="154">
        <f t="shared" si="18"/>
        <v>0.53097345132743357</v>
      </c>
      <c r="T40" s="154">
        <f t="shared" si="19"/>
        <v>0.67059980334316616</v>
      </c>
      <c r="U40" s="154">
        <f t="shared" si="20"/>
        <v>0.7640117994100295</v>
      </c>
      <c r="V40" s="154">
        <f t="shared" si="21"/>
        <v>0.87708947885939037</v>
      </c>
      <c r="W40" s="162">
        <f t="shared" si="34"/>
        <v>1</v>
      </c>
      <c r="X40" s="154"/>
      <c r="Y40" s="142">
        <f t="shared" si="35"/>
        <v>3.2300098716683122E-2</v>
      </c>
      <c r="Z40" s="142">
        <f t="shared" si="35"/>
        <v>5.4333662388943743E-2</v>
      </c>
      <c r="AA40" s="142">
        <f t="shared" si="35"/>
        <v>6.6692991115498534E-2</v>
      </c>
      <c r="AB40" s="142">
        <f t="shared" si="35"/>
        <v>6.5429417571569601E-2</v>
      </c>
      <c r="AC40" s="142">
        <f t="shared" si="35"/>
        <v>2.7907206317867729E-2</v>
      </c>
      <c r="AD40" s="142">
        <f t="shared" si="35"/>
        <v>1.1369693978282337E-2</v>
      </c>
      <c r="AE40" s="142">
        <f t="shared" si="35"/>
        <v>5.5624876604146193E-3</v>
      </c>
      <c r="AF40" s="142">
        <f t="shared" si="35"/>
        <v>0</v>
      </c>
      <c r="AH40" s="158">
        <f t="shared" si="22"/>
        <v>3.8499506416584402E-2</v>
      </c>
      <c r="AI40" s="158">
        <f t="shared" si="23"/>
        <v>0.12833168805528133</v>
      </c>
      <c r="AJ40" s="158">
        <f t="shared" si="24"/>
        <v>0.26653504442250742</v>
      </c>
      <c r="AK40" s="158">
        <f t="shared" si="25"/>
        <v>0.47285291214215203</v>
      </c>
      <c r="AL40" s="158">
        <f t="shared" si="26"/>
        <v>0.62092793682132275</v>
      </c>
      <c r="AM40" s="158">
        <f t="shared" si="27"/>
        <v>0.72260612043435335</v>
      </c>
      <c r="AN40" s="158">
        <f t="shared" si="28"/>
        <v>0.85093780848963463</v>
      </c>
      <c r="AO40" s="158">
        <v>1</v>
      </c>
      <c r="AP40" s="143"/>
      <c r="AQ40" s="152">
        <f>Shares!D122</f>
        <v>7.3</v>
      </c>
      <c r="AR40" s="152">
        <f>Shares!E122</f>
        <v>11.1</v>
      </c>
      <c r="AS40" s="152">
        <f>Shares!F122</f>
        <v>14.9</v>
      </c>
      <c r="AT40" s="152">
        <f>Shares!G122</f>
        <v>20.7</v>
      </c>
      <c r="AU40" s="152">
        <f>Shares!J122</f>
        <v>14.2</v>
      </c>
      <c r="AV40" s="152">
        <f>Shares!K122</f>
        <v>9.5</v>
      </c>
      <c r="AW40" s="152">
        <f>Shares!L122</f>
        <v>11.5</v>
      </c>
      <c r="AX40" s="152">
        <f>Shares!M122</f>
        <v>12.5</v>
      </c>
      <c r="AY40" s="46"/>
      <c r="AZ40" s="152">
        <v>3.9</v>
      </c>
      <c r="BA40" s="152">
        <v>9.1</v>
      </c>
      <c r="BB40" s="152">
        <v>14</v>
      </c>
      <c r="BC40" s="152">
        <v>20.9</v>
      </c>
      <c r="BD40" s="152">
        <v>15</v>
      </c>
      <c r="BE40" s="152">
        <v>10.3</v>
      </c>
      <c r="BF40" s="152">
        <v>13</v>
      </c>
      <c r="BG40" s="152">
        <v>15.1</v>
      </c>
      <c r="BI40" s="146">
        <f>TxRt!B85</f>
        <v>0.6</v>
      </c>
      <c r="BJ40" s="146">
        <f>TxRt!B128</f>
        <v>7.7</v>
      </c>
      <c r="BK40" s="146">
        <f>TxRt!B168</f>
        <v>12</v>
      </c>
      <c r="BL40" s="146">
        <f>TxRt!B208</f>
        <v>15.7</v>
      </c>
      <c r="BM40" s="146">
        <f>TxRt!B288</f>
        <v>18.899999999999999</v>
      </c>
      <c r="BN40" s="146">
        <f>TxRt!B328</f>
        <v>21.2</v>
      </c>
      <c r="BO40" s="146">
        <f>TxRt!B368</f>
        <v>24.3</v>
      </c>
      <c r="BP40" s="146">
        <f>TxRt!B408</f>
        <v>29</v>
      </c>
      <c r="BQ40" s="46"/>
      <c r="BR40" s="60">
        <f>'HH inc'!$I82</f>
        <v>31900</v>
      </c>
      <c r="BS40" s="60">
        <f>'HH inc'!$I122</f>
        <v>44600</v>
      </c>
      <c r="BT40" s="60">
        <f>'HH inc'!$I162</f>
        <v>61400</v>
      </c>
      <c r="BU40" s="60">
        <f>'HH inc'!$I202</f>
        <v>86400</v>
      </c>
      <c r="BV40" s="60">
        <f>'HH inc'!$I282</f>
        <v>118800</v>
      </c>
      <c r="BW40" s="60">
        <f>'HH inc'!$I322</f>
        <v>155800</v>
      </c>
      <c r="BX40" s="60">
        <f>'HH inc'!$I362</f>
        <v>239000</v>
      </c>
      <c r="BY40" s="60">
        <f>'HH inc'!$I402</f>
        <v>1091300</v>
      </c>
      <c r="CA40" s="60">
        <f>'HH inc'!$I82</f>
        <v>31900</v>
      </c>
      <c r="CB40" s="60">
        <f>'HH inc'!$I122</f>
        <v>44600</v>
      </c>
      <c r="CC40" s="60">
        <f>'HH inc'!$I162</f>
        <v>61400</v>
      </c>
      <c r="CD40" s="60">
        <f>'HH inc'!$I202</f>
        <v>86400</v>
      </c>
      <c r="CE40" s="60">
        <f>'HH inc'!$I282</f>
        <v>118800</v>
      </c>
      <c r="CF40" s="60">
        <f>'HH inc'!$I322</f>
        <v>155800</v>
      </c>
      <c r="CG40" s="60">
        <f>'HH inc'!$I362</f>
        <v>239000</v>
      </c>
      <c r="CH40" s="60">
        <f>'HH inc'!$I402</f>
        <v>1091300</v>
      </c>
      <c r="CJ40" s="153">
        <f t="shared" si="29"/>
        <v>724927.49999999977</v>
      </c>
      <c r="CK40" s="153">
        <f t="shared" si="30"/>
        <v>1111654.9999999998</v>
      </c>
      <c r="CL40" s="153">
        <f t="shared" si="5"/>
        <v>1487414.9999999998</v>
      </c>
      <c r="CM40" s="153">
        <f t="shared" si="6"/>
        <v>2067119.9999999998</v>
      </c>
      <c r="CN40" s="153">
        <f t="shared" si="7"/>
        <v>1425600</v>
      </c>
      <c r="CO40" s="153">
        <f t="shared" si="8"/>
        <v>950380</v>
      </c>
      <c r="CP40" s="153">
        <f t="shared" si="9"/>
        <v>1147200</v>
      </c>
      <c r="CQ40" s="153">
        <f t="shared" si="10"/>
        <v>1200430</v>
      </c>
      <c r="CR40" s="153">
        <f t="shared" si="31"/>
        <v>10114727.5</v>
      </c>
      <c r="CT40" s="39">
        <v>302.5</v>
      </c>
      <c r="CU40" s="276">
        <f>Dem!B82+(DD40/4)</f>
        <v>22.724999999999994</v>
      </c>
      <c r="CV40" s="276">
        <f>Dem!B122+(DD40/4)</f>
        <v>24.924999999999997</v>
      </c>
      <c r="CW40" s="276">
        <f>Dem!B162+(DD40/4)</f>
        <v>24.224999999999994</v>
      </c>
      <c r="CX40" s="276">
        <f>Dem!B202+(DD40/4)</f>
        <v>23.924999999999997</v>
      </c>
      <c r="CY40" s="276">
        <f>Dem!B282</f>
        <v>12</v>
      </c>
      <c r="CZ40" s="276">
        <f>Dem!B322</f>
        <v>6.1</v>
      </c>
      <c r="DA40" s="276">
        <f>Dem!B362</f>
        <v>4.8</v>
      </c>
      <c r="DB40" s="276">
        <f>Dem!B402</f>
        <v>1.1000000000000001</v>
      </c>
      <c r="DC40" s="275">
        <v>121.2</v>
      </c>
      <c r="DD40" s="46">
        <v>-0.70000000000001705</v>
      </c>
      <c r="DE40" s="275"/>
      <c r="DF40" s="276">
        <f>Dem!$D82+(DO40/4)</f>
        <v>58.625000000000014</v>
      </c>
      <c r="DG40" s="276">
        <f>Dem!$D122+(DO40/4)</f>
        <v>60.125000000000014</v>
      </c>
      <c r="DH40" s="276">
        <f>Dem!$D162+(DO40/4)</f>
        <v>60.125000000000014</v>
      </c>
      <c r="DI40" s="276">
        <f>Dem!$D202+(DO40/4)</f>
        <v>60.125000000000014</v>
      </c>
      <c r="DJ40" s="275">
        <f>Dem!$D282</f>
        <v>30.3</v>
      </c>
      <c r="DK40" s="275">
        <f>Dem!$D322</f>
        <v>15.1</v>
      </c>
      <c r="DL40" s="275">
        <f>Dem!$D362</f>
        <v>12.1</v>
      </c>
      <c r="DM40" s="275">
        <f>Dem!$D402</f>
        <v>3</v>
      </c>
      <c r="DN40" s="276">
        <f t="shared" si="32"/>
        <v>302.5</v>
      </c>
      <c r="DO40" s="44">
        <v>-1.4999999999999432</v>
      </c>
    </row>
    <row r="41" spans="1:119">
      <c r="A41" s="46">
        <f t="shared" si="33"/>
        <v>2012</v>
      </c>
      <c r="B41" s="141">
        <f t="shared" si="11"/>
        <v>9.8490081693884846E-2</v>
      </c>
      <c r="D41" s="141">
        <f t="shared" si="12"/>
        <v>0.45768425196850404</v>
      </c>
      <c r="E41" s="141">
        <f t="shared" si="13"/>
        <v>0.55617433366238889</v>
      </c>
      <c r="F41" s="46"/>
      <c r="G41" s="157">
        <f t="shared" si="14"/>
        <v>2.6614173228346461E-2</v>
      </c>
      <c r="H41" s="157">
        <f t="shared" si="14"/>
        <v>4.5748031496062991E-2</v>
      </c>
      <c r="I41" s="157">
        <f t="shared" si="14"/>
        <v>5.7401574803149627E-2</v>
      </c>
      <c r="J41" s="157">
        <f t="shared" si="14"/>
        <v>5.7834645669291355E-2</v>
      </c>
      <c r="K41" s="157">
        <f t="shared" si="14"/>
        <v>2.5236220472440951E-2</v>
      </c>
      <c r="L41" s="157">
        <f t="shared" si="14"/>
        <v>1.0541338582677168E-2</v>
      </c>
      <c r="M41" s="157">
        <f t="shared" si="14"/>
        <v>5.4661417322834673E-3</v>
      </c>
      <c r="N41" s="157">
        <f t="shared" si="14"/>
        <v>0</v>
      </c>
      <c r="O41" s="46"/>
      <c r="P41" s="154">
        <f t="shared" si="15"/>
        <v>6.6929133858267723E-2</v>
      </c>
      <c r="Q41" s="154">
        <f t="shared" si="16"/>
        <v>0.17125984251968507</v>
      </c>
      <c r="R41" s="154">
        <f t="shared" si="17"/>
        <v>0.31299212598425197</v>
      </c>
      <c r="S41" s="154">
        <f t="shared" si="18"/>
        <v>0.51082677165354329</v>
      </c>
      <c r="T41" s="154">
        <f t="shared" si="19"/>
        <v>0.64763779527559051</v>
      </c>
      <c r="U41" s="154">
        <f t="shared" si="20"/>
        <v>0.73917322834645671</v>
      </c>
      <c r="V41" s="154">
        <f t="shared" si="21"/>
        <v>0.85334645669291342</v>
      </c>
      <c r="W41" s="162">
        <f t="shared" si="34"/>
        <v>1</v>
      </c>
      <c r="X41" s="154"/>
      <c r="Y41" s="142">
        <f t="shared" si="35"/>
        <v>3.2892398815399806E-2</v>
      </c>
      <c r="Z41" s="142">
        <f t="shared" si="35"/>
        <v>5.6110562685093783E-2</v>
      </c>
      <c r="AA41" s="142">
        <f t="shared" si="35"/>
        <v>6.9457058242843053E-2</v>
      </c>
      <c r="AB41" s="142">
        <f t="shared" si="35"/>
        <v>6.9772951628825269E-2</v>
      </c>
      <c r="AC41" s="142">
        <f t="shared" si="35"/>
        <v>3.0473840078973347E-2</v>
      </c>
      <c r="AD41" s="142">
        <f t="shared" si="35"/>
        <v>1.2751727541954595E-2</v>
      </c>
      <c r="AE41" s="142">
        <f t="shared" si="35"/>
        <v>6.6286278381046462E-3</v>
      </c>
      <c r="AF41" s="142">
        <f t="shared" si="35"/>
        <v>0</v>
      </c>
      <c r="AH41" s="158">
        <f t="shared" si="22"/>
        <v>3.5538005923000986E-2</v>
      </c>
      <c r="AI41" s="158">
        <f t="shared" si="23"/>
        <v>0.1194471865745311</v>
      </c>
      <c r="AJ41" s="158">
        <f t="shared" si="24"/>
        <v>0.25271470878578484</v>
      </c>
      <c r="AK41" s="158">
        <f t="shared" si="25"/>
        <v>0.45113524185587373</v>
      </c>
      <c r="AL41" s="158">
        <f t="shared" si="26"/>
        <v>0.59526159921026656</v>
      </c>
      <c r="AM41" s="158">
        <f t="shared" si="27"/>
        <v>0.69496544916090819</v>
      </c>
      <c r="AN41" s="158">
        <f t="shared" si="28"/>
        <v>0.82428430404738395</v>
      </c>
      <c r="AO41" s="158">
        <v>1</v>
      </c>
      <c r="AP41" s="143"/>
      <c r="AQ41" s="152">
        <f>Shares!D123</f>
        <v>6.8</v>
      </c>
      <c r="AR41" s="152">
        <f>Shares!E123</f>
        <v>10.6</v>
      </c>
      <c r="AS41" s="152">
        <f>Shares!F123</f>
        <v>14.4</v>
      </c>
      <c r="AT41" s="152">
        <f>Shares!G123</f>
        <v>20.100000000000001</v>
      </c>
      <c r="AU41" s="152">
        <f>Shares!J123</f>
        <v>13.9</v>
      </c>
      <c r="AV41" s="152">
        <f>Shares!K123</f>
        <v>9.3000000000000007</v>
      </c>
      <c r="AW41" s="152">
        <f>Shares!L123</f>
        <v>11.6</v>
      </c>
      <c r="AX41" s="152">
        <f>Shares!M123</f>
        <v>14.9</v>
      </c>
      <c r="AY41" s="46"/>
      <c r="AZ41" s="152">
        <v>3.6</v>
      </c>
      <c r="BA41" s="152">
        <v>8.5</v>
      </c>
      <c r="BB41" s="152">
        <v>13.5</v>
      </c>
      <c r="BC41" s="152">
        <v>20.100000000000001</v>
      </c>
      <c r="BD41" s="152">
        <v>14.6</v>
      </c>
      <c r="BE41" s="152">
        <v>10.1</v>
      </c>
      <c r="BF41" s="152">
        <v>13.1</v>
      </c>
      <c r="BG41" s="152">
        <v>17.8</v>
      </c>
      <c r="BI41" s="146">
        <f>TxRt!B86</f>
        <v>0.9</v>
      </c>
      <c r="BJ41" s="146">
        <f>TxRt!B129</f>
        <v>7.7</v>
      </c>
      <c r="BK41" s="146">
        <f>TxRt!B169</f>
        <v>12.2</v>
      </c>
      <c r="BL41" s="146">
        <f>TxRt!B209</f>
        <v>15.9</v>
      </c>
      <c r="BM41" s="146">
        <f>TxRt!B289</f>
        <v>19.2</v>
      </c>
      <c r="BN41" s="146">
        <f>TxRt!B329</f>
        <v>21.6</v>
      </c>
      <c r="BO41" s="146">
        <f>TxRt!B369</f>
        <v>24.8</v>
      </c>
      <c r="BP41" s="146">
        <f>TxRt!B409</f>
        <v>28.6</v>
      </c>
      <c r="BQ41" s="46"/>
      <c r="BR41" s="60">
        <f>'HH inc'!$I83</f>
        <v>31200</v>
      </c>
      <c r="BS41" s="60">
        <f>'HH inc'!$I123</f>
        <v>44300</v>
      </c>
      <c r="BT41" s="60">
        <f>'HH inc'!$I163</f>
        <v>61300</v>
      </c>
      <c r="BU41" s="60">
        <f>'HH inc'!$I203</f>
        <v>86700</v>
      </c>
      <c r="BV41" s="60">
        <f>'HH inc'!$I283</f>
        <v>119300</v>
      </c>
      <c r="BW41" s="60">
        <f>'HH inc'!$I323</f>
        <v>157400</v>
      </c>
      <c r="BX41" s="60">
        <f>'HH inc'!$I363</f>
        <v>248500</v>
      </c>
      <c r="BY41" s="60">
        <f>'HH inc'!$I403</f>
        <v>1356600</v>
      </c>
      <c r="CA41" s="60">
        <f>'HH inc'!$I83</f>
        <v>31200</v>
      </c>
      <c r="CB41" s="60">
        <f>'HH inc'!$I123</f>
        <v>44300</v>
      </c>
      <c r="CC41" s="60">
        <f>'HH inc'!$I163</f>
        <v>61300</v>
      </c>
      <c r="CD41" s="60">
        <f>'HH inc'!$I203</f>
        <v>86700</v>
      </c>
      <c r="CE41" s="60">
        <f>'HH inc'!$I283</f>
        <v>119300</v>
      </c>
      <c r="CF41" s="60">
        <f>'HH inc'!$I323</f>
        <v>157400</v>
      </c>
      <c r="CG41" s="60">
        <f>'HH inc'!$I363</f>
        <v>248500</v>
      </c>
      <c r="CH41" s="60">
        <f>'HH inc'!$I403</f>
        <v>1356600</v>
      </c>
      <c r="CJ41" s="153">
        <f t="shared" si="29"/>
        <v>713700.00000000012</v>
      </c>
      <c r="CK41" s="153">
        <f t="shared" si="30"/>
        <v>1110822.5000000002</v>
      </c>
      <c r="CL41" s="153">
        <f t="shared" si="5"/>
        <v>1512577.5000000002</v>
      </c>
      <c r="CM41" s="153">
        <f t="shared" si="6"/>
        <v>2104642.5</v>
      </c>
      <c r="CN41" s="153">
        <f t="shared" si="7"/>
        <v>1467390</v>
      </c>
      <c r="CO41" s="153">
        <f t="shared" si="8"/>
        <v>975880</v>
      </c>
      <c r="CP41" s="153">
        <f t="shared" si="9"/>
        <v>1217650</v>
      </c>
      <c r="CQ41" s="153">
        <f t="shared" si="10"/>
        <v>1627920</v>
      </c>
      <c r="CR41" s="153">
        <f t="shared" si="31"/>
        <v>10730582.5</v>
      </c>
      <c r="CT41" s="39">
        <v>305.8</v>
      </c>
      <c r="CU41" s="276">
        <f>Dem!B83+(DD41/4)</f>
        <v>22.875000000000004</v>
      </c>
      <c r="CV41" s="276">
        <f>Dem!B123+(DD41/4)</f>
        <v>25.075000000000003</v>
      </c>
      <c r="CW41" s="276">
        <f>Dem!B163+(DD41/4)</f>
        <v>24.675000000000004</v>
      </c>
      <c r="CX41" s="276">
        <f>Dem!B203+(DD41/4)</f>
        <v>24.275000000000002</v>
      </c>
      <c r="CY41" s="276">
        <f>Dem!B283</f>
        <v>12.3</v>
      </c>
      <c r="CZ41" s="276">
        <f>Dem!B323</f>
        <v>6.2</v>
      </c>
      <c r="DA41" s="276">
        <f>Dem!B363</f>
        <v>4.9000000000000004</v>
      </c>
      <c r="DB41" s="276">
        <f>Dem!B403</f>
        <v>1.2</v>
      </c>
      <c r="DC41" s="275">
        <v>122.5</v>
      </c>
      <c r="DD41" s="46">
        <v>-0.49999999999998579</v>
      </c>
      <c r="DE41" s="275"/>
      <c r="DF41" s="276">
        <f>Dem!$D83+(DO41/4)</f>
        <v>59.5</v>
      </c>
      <c r="DG41" s="276">
        <f>Dem!$D123+(DO41/4)</f>
        <v>60.900000000000006</v>
      </c>
      <c r="DH41" s="276">
        <f>Dem!$D163+(DO41/4)</f>
        <v>60.900000000000006</v>
      </c>
      <c r="DI41" s="276">
        <f>Dem!$D203+(DO41/4)</f>
        <v>60.900000000000006</v>
      </c>
      <c r="DJ41" s="275">
        <f>Dem!$D283</f>
        <v>30.6</v>
      </c>
      <c r="DK41" s="275">
        <f>Dem!$D323</f>
        <v>15.3</v>
      </c>
      <c r="DL41" s="275">
        <f>Dem!$D363</f>
        <v>12.2</v>
      </c>
      <c r="DM41" s="275">
        <f>Dem!$D403</f>
        <v>3.1</v>
      </c>
      <c r="DN41" s="276">
        <f t="shared" si="32"/>
        <v>305.8</v>
      </c>
      <c r="DO41" s="44">
        <v>-1.1999999999999886</v>
      </c>
    </row>
    <row r="42" spans="1:119">
      <c r="A42" s="46">
        <f t="shared" si="33"/>
        <v>2013</v>
      </c>
      <c r="B42" s="141">
        <f t="shared" si="11"/>
        <v>0.10496570178234144</v>
      </c>
      <c r="D42" s="141">
        <f t="shared" si="12"/>
        <v>0.43095196850393724</v>
      </c>
      <c r="E42" s="141">
        <f t="shared" si="13"/>
        <v>0.53591767028627868</v>
      </c>
      <c r="F42" s="46"/>
      <c r="G42" s="157">
        <f t="shared" si="14"/>
        <v>2.5826771653543315E-2</v>
      </c>
      <c r="H42" s="157">
        <f t="shared" si="14"/>
        <v>4.4173228346456705E-2</v>
      </c>
      <c r="I42" s="157">
        <f t="shared" si="14"/>
        <v>5.4842519685039393E-2</v>
      </c>
      <c r="J42" s="157">
        <f t="shared" si="14"/>
        <v>5.40944881889764E-2</v>
      </c>
      <c r="K42" s="157">
        <f t="shared" si="14"/>
        <v>2.2874015748031509E-2</v>
      </c>
      <c r="L42" s="157">
        <f t="shared" si="14"/>
        <v>9.2618110236220574E-3</v>
      </c>
      <c r="M42" s="157">
        <f t="shared" si="14"/>
        <v>4.4031496062992212E-3</v>
      </c>
      <c r="N42" s="157">
        <f t="shared" si="14"/>
        <v>0</v>
      </c>
      <c r="O42" s="46"/>
      <c r="P42" s="154">
        <f t="shared" si="15"/>
        <v>7.0866141732283464E-2</v>
      </c>
      <c r="Q42" s="154">
        <f t="shared" si="16"/>
        <v>0.17913385826771652</v>
      </c>
      <c r="R42" s="154">
        <f t="shared" si="17"/>
        <v>0.32578740157480313</v>
      </c>
      <c r="S42" s="154">
        <f t="shared" si="18"/>
        <v>0.52952755905511806</v>
      </c>
      <c r="T42" s="154">
        <f t="shared" si="19"/>
        <v>0.67125984251968496</v>
      </c>
      <c r="U42" s="154">
        <f t="shared" si="20"/>
        <v>0.76476377952755892</v>
      </c>
      <c r="V42" s="154">
        <f t="shared" si="21"/>
        <v>0.87992125984251957</v>
      </c>
      <c r="W42" s="162">
        <f t="shared" si="34"/>
        <v>1</v>
      </c>
      <c r="X42" s="154"/>
      <c r="Y42" s="142">
        <f t="shared" si="35"/>
        <v>3.2497532082922019E-2</v>
      </c>
      <c r="Z42" s="142">
        <f t="shared" si="35"/>
        <v>5.5123395853899318E-2</v>
      </c>
      <c r="AA42" s="142">
        <f t="shared" si="35"/>
        <v>6.768015794669302E-2</v>
      </c>
      <c r="AB42" s="142">
        <f t="shared" si="35"/>
        <v>6.6811451135241881E-2</v>
      </c>
      <c r="AC42" s="142">
        <f t="shared" si="35"/>
        <v>2.8499506416584421E-2</v>
      </c>
      <c r="AD42" s="142">
        <f t="shared" si="35"/>
        <v>1.1665844027640683E-2</v>
      </c>
      <c r="AE42" s="142">
        <f t="shared" si="35"/>
        <v>5.6809476801579573E-3</v>
      </c>
      <c r="AF42" s="142">
        <f t="shared" si="35"/>
        <v>0</v>
      </c>
      <c r="AH42" s="158">
        <f t="shared" si="22"/>
        <v>3.7512339585389923E-2</v>
      </c>
      <c r="AI42" s="158">
        <f t="shared" si="23"/>
        <v>0.12438302073050345</v>
      </c>
      <c r="AJ42" s="158">
        <f t="shared" si="24"/>
        <v>0.26159921026653499</v>
      </c>
      <c r="AK42" s="158">
        <f t="shared" si="25"/>
        <v>0.46594274432379063</v>
      </c>
      <c r="AL42" s="158">
        <f t="shared" si="26"/>
        <v>0.61500493583415583</v>
      </c>
      <c r="AM42" s="158">
        <f t="shared" si="27"/>
        <v>0.71668311944718643</v>
      </c>
      <c r="AN42" s="158">
        <f t="shared" si="28"/>
        <v>0.84797630799605117</v>
      </c>
      <c r="AO42" s="158">
        <v>1</v>
      </c>
      <c r="AP42" s="143"/>
      <c r="AQ42" s="152">
        <f>Shares!D124</f>
        <v>7.2</v>
      </c>
      <c r="AR42" s="152">
        <f>Shares!E124</f>
        <v>11</v>
      </c>
      <c r="AS42" s="152">
        <f>Shares!F124</f>
        <v>14.9</v>
      </c>
      <c r="AT42" s="152">
        <f>Shares!G124</f>
        <v>20.7</v>
      </c>
      <c r="AU42" s="152">
        <f>Shares!J124</f>
        <v>14.4</v>
      </c>
      <c r="AV42" s="152">
        <f>Shares!K124</f>
        <v>9.5</v>
      </c>
      <c r="AW42" s="152">
        <f>Shares!L124</f>
        <v>11.7</v>
      </c>
      <c r="AX42" s="152">
        <f>Shares!M124</f>
        <v>12.2</v>
      </c>
      <c r="AY42" s="46"/>
      <c r="AZ42" s="152">
        <v>3.8</v>
      </c>
      <c r="BA42" s="152">
        <v>8.8000000000000007</v>
      </c>
      <c r="BB42" s="152">
        <v>13.9</v>
      </c>
      <c r="BC42" s="152">
        <v>20.7</v>
      </c>
      <c r="BD42" s="152">
        <v>15.1</v>
      </c>
      <c r="BE42" s="152">
        <v>10.3</v>
      </c>
      <c r="BF42" s="152">
        <v>13.3</v>
      </c>
      <c r="BG42" s="152">
        <v>15.4</v>
      </c>
      <c r="BI42" s="146">
        <f>TxRt!B87</f>
        <v>2.2999999999999998</v>
      </c>
      <c r="BJ42" s="146">
        <f>TxRt!B130</f>
        <v>9.1</v>
      </c>
      <c r="BK42" s="146">
        <f>TxRt!B170</f>
        <v>13.7</v>
      </c>
      <c r="BL42" s="146">
        <f>TxRt!B210</f>
        <v>17.399999999999999</v>
      </c>
      <c r="BM42" s="146">
        <f>TxRt!B290</f>
        <v>20.9</v>
      </c>
      <c r="BN42" s="146">
        <f>TxRt!B330</f>
        <v>23.2</v>
      </c>
      <c r="BO42" s="146">
        <f>TxRt!B370</f>
        <v>26.3</v>
      </c>
      <c r="BP42" s="146">
        <f>TxRt!B410</f>
        <v>33.6</v>
      </c>
      <c r="BQ42" s="46"/>
      <c r="BR42" s="60">
        <f>'HH inc'!$I84</f>
        <v>32000</v>
      </c>
      <c r="BS42" s="60">
        <f>'HH inc'!$I124</f>
        <v>44400</v>
      </c>
      <c r="BT42" s="60">
        <f>'HH inc'!$I164</f>
        <v>61400</v>
      </c>
      <c r="BU42" s="60">
        <f>'HH inc'!$I204</f>
        <v>87200</v>
      </c>
      <c r="BV42" s="60">
        <f>'HH inc'!$I284</f>
        <v>118900</v>
      </c>
      <c r="BW42" s="60">
        <f>'HH inc'!$I324</f>
        <v>158400</v>
      </c>
      <c r="BX42" s="60">
        <f>'HH inc'!$I364</f>
        <v>246300</v>
      </c>
      <c r="BY42" s="60">
        <f>'HH inc'!$I404</f>
        <v>1060500</v>
      </c>
      <c r="CA42" s="60">
        <f>'HH inc'!$I84</f>
        <v>32000</v>
      </c>
      <c r="CB42" s="60">
        <f>'HH inc'!$I124</f>
        <v>44400</v>
      </c>
      <c r="CC42" s="60">
        <f>'HH inc'!$I164</f>
        <v>61400</v>
      </c>
      <c r="CD42" s="60">
        <f>'HH inc'!$I204</f>
        <v>87200</v>
      </c>
      <c r="CE42" s="60">
        <f>'HH inc'!$I284</f>
        <v>118900</v>
      </c>
      <c r="CF42" s="60">
        <f>'HH inc'!$I324</f>
        <v>158400</v>
      </c>
      <c r="CG42" s="60">
        <f>'HH inc'!$I364</f>
        <v>246300</v>
      </c>
      <c r="CH42" s="60">
        <f>'HH inc'!$I404</f>
        <v>1060500</v>
      </c>
      <c r="CJ42" s="153">
        <f t="shared" si="29"/>
        <v>738400.00000000023</v>
      </c>
      <c r="CK42" s="153">
        <f t="shared" si="30"/>
        <v>1122210.0000000002</v>
      </c>
      <c r="CL42" s="153">
        <f t="shared" si="5"/>
        <v>1521185.0000000002</v>
      </c>
      <c r="CM42" s="153">
        <f t="shared" si="6"/>
        <v>2116780.0000000005</v>
      </c>
      <c r="CN42" s="153">
        <f t="shared" si="7"/>
        <v>1474360</v>
      </c>
      <c r="CO42" s="153">
        <f t="shared" si="8"/>
        <v>982080</v>
      </c>
      <c r="CP42" s="153">
        <f t="shared" si="9"/>
        <v>1206870</v>
      </c>
      <c r="CQ42" s="153">
        <f t="shared" si="10"/>
        <v>1272600</v>
      </c>
      <c r="CR42" s="153">
        <f t="shared" si="31"/>
        <v>10434485.000000002</v>
      </c>
      <c r="CT42" s="39">
        <v>306</v>
      </c>
      <c r="CU42" s="276">
        <f>Dem!B84+(DD42/4)</f>
        <v>23.075000000000006</v>
      </c>
      <c r="CV42" s="276">
        <f>Dem!B124+(DD42/4)</f>
        <v>25.275000000000006</v>
      </c>
      <c r="CW42" s="276">
        <f>Dem!B164+(DD42/4)</f>
        <v>24.775000000000006</v>
      </c>
      <c r="CX42" s="276">
        <f>Dem!B204+(DD42/4)</f>
        <v>24.275000000000006</v>
      </c>
      <c r="CY42" s="276">
        <f>Dem!B284</f>
        <v>12.4</v>
      </c>
      <c r="CZ42" s="276">
        <f>Dem!B324</f>
        <v>6.2</v>
      </c>
      <c r="DA42" s="276">
        <f>Dem!B364</f>
        <v>4.9000000000000004</v>
      </c>
      <c r="DB42" s="276">
        <f>Dem!B404</f>
        <v>1.2</v>
      </c>
      <c r="DC42" s="275">
        <v>123.1</v>
      </c>
      <c r="DD42" s="46">
        <v>-0.49999999999997158</v>
      </c>
      <c r="DE42" s="275"/>
      <c r="DF42" s="276">
        <f>Dem!$D84+(DO42/4)</f>
        <v>59.57500000000001</v>
      </c>
      <c r="DG42" s="276">
        <f>Dem!$D124+(DO42/4)</f>
        <v>60.875000000000014</v>
      </c>
      <c r="DH42" s="276">
        <f>Dem!$D164+(DO42/4)</f>
        <v>60.875000000000014</v>
      </c>
      <c r="DI42" s="276">
        <f>Dem!$D204+(DO42/4)</f>
        <v>60.875000000000014</v>
      </c>
      <c r="DJ42" s="275">
        <f>Dem!$D284</f>
        <v>30.6</v>
      </c>
      <c r="DK42" s="275">
        <f>Dem!$D324</f>
        <v>15.3</v>
      </c>
      <c r="DL42" s="275">
        <f>Dem!$D364</f>
        <v>12.2</v>
      </c>
      <c r="DM42" s="275">
        <f>Dem!$D404</f>
        <v>3.1</v>
      </c>
      <c r="DN42" s="276">
        <f t="shared" si="32"/>
        <v>306</v>
      </c>
      <c r="DO42" s="44">
        <v>-1.2999999999999545</v>
      </c>
    </row>
    <row r="43" spans="1:119">
      <c r="A43" s="46">
        <f t="shared" si="33"/>
        <v>2014</v>
      </c>
      <c r="B43" s="141">
        <f t="shared" si="11"/>
        <v>0.11253158943076769</v>
      </c>
      <c r="D43" s="141">
        <f t="shared" si="12"/>
        <v>0.43969212598425211</v>
      </c>
      <c r="E43" s="141">
        <f t="shared" si="13"/>
        <v>0.5522237154150198</v>
      </c>
      <c r="F43" s="46"/>
      <c r="G43" s="157">
        <f t="shared" si="14"/>
        <v>2.5629921259842526E-2</v>
      </c>
      <c r="H43" s="157">
        <f t="shared" si="14"/>
        <v>4.4173228346456699E-2</v>
      </c>
      <c r="I43" s="157">
        <f t="shared" si="14"/>
        <v>5.5629921259842542E-2</v>
      </c>
      <c r="J43" s="157">
        <f t="shared" si="14"/>
        <v>5.5669291338582699E-2</v>
      </c>
      <c r="K43" s="157">
        <f t="shared" si="14"/>
        <v>2.405511811023623E-2</v>
      </c>
      <c r="L43" s="157">
        <f t="shared" si="14"/>
        <v>9.8523622047244144E-3</v>
      </c>
      <c r="M43" s="157">
        <f t="shared" si="14"/>
        <v>4.8362204724409488E-3</v>
      </c>
      <c r="N43" s="157">
        <f t="shared" si="14"/>
        <v>0</v>
      </c>
      <c r="O43" s="46"/>
      <c r="P43" s="154">
        <f t="shared" si="15"/>
        <v>7.1850393700787399E-2</v>
      </c>
      <c r="Q43" s="154">
        <f t="shared" si="16"/>
        <v>0.17913385826771655</v>
      </c>
      <c r="R43" s="154">
        <f t="shared" si="17"/>
        <v>0.32185039370078738</v>
      </c>
      <c r="S43" s="154">
        <f t="shared" si="18"/>
        <v>0.52165354330708658</v>
      </c>
      <c r="T43" s="154">
        <f t="shared" si="19"/>
        <v>0.65944881889763773</v>
      </c>
      <c r="U43" s="154">
        <f t="shared" si="20"/>
        <v>0.75295275590551181</v>
      </c>
      <c r="V43" s="154">
        <f t="shared" si="21"/>
        <v>0.86909448818897639</v>
      </c>
      <c r="W43" s="162">
        <f t="shared" si="34"/>
        <v>1</v>
      </c>
      <c r="X43" s="154"/>
      <c r="Y43" s="142">
        <f t="shared" si="35"/>
        <v>3.2885375494071147E-2</v>
      </c>
      <c r="Z43" s="142">
        <f t="shared" si="35"/>
        <v>5.5889328063241123E-2</v>
      </c>
      <c r="AA43" s="142">
        <f t="shared" si="35"/>
        <v>6.9407114624505953E-2</v>
      </c>
      <c r="AB43" s="142">
        <f t="shared" si="35"/>
        <v>6.9288537549407128E-2</v>
      </c>
      <c r="AC43" s="142">
        <f t="shared" si="35"/>
        <v>3.0019762845849809E-2</v>
      </c>
      <c r="AD43" s="142">
        <f t="shared" si="35"/>
        <v>1.2420948616600798E-2</v>
      </c>
      <c r="AE43" s="142">
        <f t="shared" si="35"/>
        <v>6.2007905138339982E-3</v>
      </c>
      <c r="AF43" s="142">
        <f t="shared" si="35"/>
        <v>0</v>
      </c>
      <c r="AH43" s="158">
        <f t="shared" si="22"/>
        <v>3.5573122529644272E-2</v>
      </c>
      <c r="AI43" s="158">
        <f t="shared" si="23"/>
        <v>0.12055335968379446</v>
      </c>
      <c r="AJ43" s="158">
        <f t="shared" si="24"/>
        <v>0.25296442687747034</v>
      </c>
      <c r="AK43" s="158">
        <f t="shared" si="25"/>
        <v>0.45355731225296442</v>
      </c>
      <c r="AL43" s="158">
        <f t="shared" si="26"/>
        <v>0.59980237154150196</v>
      </c>
      <c r="AM43" s="158">
        <f t="shared" si="27"/>
        <v>0.70158102766798414</v>
      </c>
      <c r="AN43" s="158">
        <f t="shared" si="28"/>
        <v>0.83498023715415015</v>
      </c>
      <c r="AO43" s="158">
        <v>1</v>
      </c>
      <c r="AP43" s="143"/>
      <c r="AQ43" s="152">
        <f>Shares!D125</f>
        <v>7.3</v>
      </c>
      <c r="AR43" s="152">
        <f>Shares!E125</f>
        <v>10.9</v>
      </c>
      <c r="AS43" s="152">
        <f>Shares!F125</f>
        <v>14.5</v>
      </c>
      <c r="AT43" s="152">
        <f>Shares!G125</f>
        <v>20.3</v>
      </c>
      <c r="AU43" s="152">
        <f>Shares!J125</f>
        <v>14</v>
      </c>
      <c r="AV43" s="152">
        <f>Shares!K125</f>
        <v>9.5</v>
      </c>
      <c r="AW43" s="152">
        <f>Shares!L125</f>
        <v>11.8</v>
      </c>
      <c r="AX43" s="152">
        <f>Shares!M125</f>
        <v>13.3</v>
      </c>
      <c r="AY43" s="46"/>
      <c r="AZ43" s="152">
        <v>3.6</v>
      </c>
      <c r="BA43" s="152">
        <v>8.6</v>
      </c>
      <c r="BB43" s="152">
        <v>13.4</v>
      </c>
      <c r="BC43" s="152">
        <v>20.3</v>
      </c>
      <c r="BD43" s="152">
        <v>14.8</v>
      </c>
      <c r="BE43" s="152">
        <v>10.3</v>
      </c>
      <c r="BF43" s="152">
        <v>13.5</v>
      </c>
      <c r="BG43" s="152">
        <v>16.7</v>
      </c>
      <c r="BI43" s="146">
        <f>TxRt!B88</f>
        <v>1.9</v>
      </c>
      <c r="BJ43" s="146">
        <f>TxRt!B131</f>
        <v>9</v>
      </c>
      <c r="BK43" s="146">
        <f>TxRt!B171</f>
        <v>14</v>
      </c>
      <c r="BL43" s="146">
        <f>TxRt!B211</f>
        <v>17.8</v>
      </c>
      <c r="BM43" s="146">
        <f>TxRt!B291</f>
        <v>21.2</v>
      </c>
      <c r="BN43" s="146">
        <f>TxRt!B331</f>
        <v>23.4</v>
      </c>
      <c r="BO43" s="146">
        <f>TxRt!B371</f>
        <v>26.7</v>
      </c>
      <c r="BP43" s="146">
        <f>TxRt!B411</f>
        <v>33.6</v>
      </c>
      <c r="BQ43" s="46"/>
      <c r="BR43" s="60">
        <f>'HH inc'!$I85</f>
        <v>33100</v>
      </c>
      <c r="BS43" s="60">
        <f>'HH inc'!$I125</f>
        <v>45300</v>
      </c>
      <c r="BT43" s="60">
        <f>'HH inc'!$I165</f>
        <v>62800</v>
      </c>
      <c r="BU43" s="60">
        <f>'HH inc'!$I205</f>
        <v>88500</v>
      </c>
      <c r="BV43" s="60">
        <f>'HH inc'!$I285</f>
        <v>121700</v>
      </c>
      <c r="BW43" s="60">
        <f>'HH inc'!$I325</f>
        <v>160900</v>
      </c>
      <c r="BX43" s="60">
        <f>'HH inc'!$I365</f>
        <v>254600</v>
      </c>
      <c r="BY43" s="60">
        <f>'HH inc'!$I405</f>
        <v>1194100</v>
      </c>
      <c r="CA43" s="60">
        <f>'HH inc'!$I85</f>
        <v>33100</v>
      </c>
      <c r="CB43" s="60">
        <f>'HH inc'!$I125</f>
        <v>45300</v>
      </c>
      <c r="CC43" s="60">
        <f>'HH inc'!$I165</f>
        <v>62800</v>
      </c>
      <c r="CD43" s="60">
        <f>'HH inc'!$I205</f>
        <v>88500</v>
      </c>
      <c r="CE43" s="60">
        <f>'HH inc'!$I285</f>
        <v>121700</v>
      </c>
      <c r="CF43" s="60">
        <f>'HH inc'!$I325</f>
        <v>160900</v>
      </c>
      <c r="CG43" s="60">
        <f>'HH inc'!$I365</f>
        <v>254600</v>
      </c>
      <c r="CH43" s="60">
        <f>'HH inc'!$I405</f>
        <v>1194100</v>
      </c>
      <c r="CJ43" s="153">
        <f t="shared" si="29"/>
        <v>780332.50000000012</v>
      </c>
      <c r="CK43" s="153">
        <f t="shared" si="30"/>
        <v>1172137.5000000002</v>
      </c>
      <c r="CL43" s="153">
        <f t="shared" si="5"/>
        <v>1549590.0000000002</v>
      </c>
      <c r="CM43" s="153">
        <f t="shared" si="6"/>
        <v>2174887.5000000005</v>
      </c>
      <c r="CN43" s="153">
        <f t="shared" si="7"/>
        <v>1509080</v>
      </c>
      <c r="CO43" s="153">
        <f t="shared" si="8"/>
        <v>1029760</v>
      </c>
      <c r="CP43" s="153">
        <f t="shared" si="9"/>
        <v>1273000</v>
      </c>
      <c r="CQ43" s="153">
        <f t="shared" si="10"/>
        <v>1432920</v>
      </c>
      <c r="CR43" s="153">
        <f t="shared" si="31"/>
        <v>10921707.500000002</v>
      </c>
      <c r="CT43" s="39">
        <v>310.39999999999998</v>
      </c>
      <c r="CU43" s="276">
        <f>Dem!B85+(DD43/4)</f>
        <v>23.575000000000003</v>
      </c>
      <c r="CV43" s="276">
        <f>Dem!B125+(DD43/4)</f>
        <v>25.875000000000004</v>
      </c>
      <c r="CW43" s="276">
        <f>Dem!B165+(DD43/4)</f>
        <v>24.675000000000004</v>
      </c>
      <c r="CX43" s="276">
        <f>Dem!B205+(DD43/4)</f>
        <v>24.575000000000003</v>
      </c>
      <c r="CY43" s="276">
        <f>Dem!B285</f>
        <v>12.4</v>
      </c>
      <c r="CZ43" s="276">
        <f>Dem!B325</f>
        <v>6.4</v>
      </c>
      <c r="DA43" s="276">
        <f>Dem!B365</f>
        <v>5</v>
      </c>
      <c r="DB43" s="276">
        <f>Dem!B405</f>
        <v>1.2</v>
      </c>
      <c r="DC43" s="275">
        <v>124.7</v>
      </c>
      <c r="DD43" s="46">
        <v>-0.49999999999998579</v>
      </c>
      <c r="DE43" s="275"/>
      <c r="DF43" s="276">
        <f>Dem!$D85+(DO43/4)</f>
        <v>60.350000000000009</v>
      </c>
      <c r="DG43" s="276">
        <f>Dem!$D125+(DO43/4)</f>
        <v>61.750000000000007</v>
      </c>
      <c r="DH43" s="276">
        <f>Dem!$D165+(DO43/4)</f>
        <v>61.750000000000007</v>
      </c>
      <c r="DI43" s="276">
        <f>Dem!$D205+(DO43/4)</f>
        <v>61.750000000000007</v>
      </c>
      <c r="DJ43" s="275">
        <f>Dem!$D285</f>
        <v>31</v>
      </c>
      <c r="DK43" s="275">
        <f>Dem!$D325</f>
        <v>15.5</v>
      </c>
      <c r="DL43" s="275">
        <f>Dem!$D365</f>
        <v>12.4</v>
      </c>
      <c r="DM43" s="275">
        <f>Dem!$D405</f>
        <v>3.1</v>
      </c>
      <c r="DN43" s="276">
        <f t="shared" si="32"/>
        <v>310.39999999999998</v>
      </c>
      <c r="DO43" s="44">
        <v>-1.3999999999999773</v>
      </c>
    </row>
    <row r="44" spans="1:119">
      <c r="A44" s="46">
        <f t="shared" si="33"/>
        <v>2015</v>
      </c>
      <c r="B44" s="141">
        <f t="shared" si="11"/>
        <v>0.11336538302559329</v>
      </c>
      <c r="D44" s="141">
        <f t="shared" si="12"/>
        <v>0.43376650246305437</v>
      </c>
      <c r="E44" s="141">
        <f t="shared" si="13"/>
        <v>0.54713188548864766</v>
      </c>
      <c r="F44" s="46"/>
      <c r="G44" s="157">
        <f t="shared" si="14"/>
        <v>2.5221674876847296E-2</v>
      </c>
      <c r="H44" s="157">
        <f t="shared" si="14"/>
        <v>4.354679802955666E-2</v>
      </c>
      <c r="I44" s="157">
        <f t="shared" si="14"/>
        <v>5.4778325123152741E-2</v>
      </c>
      <c r="J44" s="157">
        <f t="shared" si="14"/>
        <v>5.4975369458128115E-2</v>
      </c>
      <c r="K44" s="157">
        <f t="shared" si="14"/>
        <v>2.3793103448275878E-2</v>
      </c>
      <c r="L44" s="157">
        <f t="shared" si="14"/>
        <v>9.7660098522167563E-3</v>
      </c>
      <c r="M44" s="157">
        <f t="shared" si="14"/>
        <v>4.8019704433497614E-3</v>
      </c>
      <c r="N44" s="157">
        <f t="shared" si="14"/>
        <v>0</v>
      </c>
      <c r="O44" s="161">
        <v>0</v>
      </c>
      <c r="P44" s="154">
        <f t="shared" si="15"/>
        <v>7.389162561576354E-2</v>
      </c>
      <c r="Q44" s="154">
        <f t="shared" si="16"/>
        <v>0.18226600985221672</v>
      </c>
      <c r="R44" s="154">
        <f t="shared" si="17"/>
        <v>0.3261083743842364</v>
      </c>
      <c r="S44" s="154">
        <f t="shared" si="18"/>
        <v>0.5251231527093595</v>
      </c>
      <c r="T44" s="154">
        <f t="shared" si="19"/>
        <v>0.66206896551724126</v>
      </c>
      <c r="U44" s="154">
        <f t="shared" si="20"/>
        <v>0.75467980295566495</v>
      </c>
      <c r="V44" s="154">
        <f t="shared" si="21"/>
        <v>0.86995073891625607</v>
      </c>
      <c r="W44" s="162">
        <f t="shared" si="34"/>
        <v>1</v>
      </c>
      <c r="X44" s="154"/>
      <c r="Y44" s="142">
        <f t="shared" si="35"/>
        <v>3.2694965449160909E-2</v>
      </c>
      <c r="Z44" s="142">
        <f t="shared" si="35"/>
        <v>5.5518262586377098E-2</v>
      </c>
      <c r="AA44" s="142">
        <f t="shared" si="35"/>
        <v>6.8667324777887478E-2</v>
      </c>
      <c r="AB44" s="142">
        <f t="shared" si="35"/>
        <v>6.85883514313919E-2</v>
      </c>
      <c r="AC44" s="142">
        <f t="shared" si="35"/>
        <v>2.9684106614017759E-2</v>
      </c>
      <c r="AD44" s="142">
        <f t="shared" si="35"/>
        <v>1.2258144126357352E-2</v>
      </c>
      <c r="AE44" s="142">
        <f t="shared" si="35"/>
        <v>6.1547877591312927E-3</v>
      </c>
      <c r="AF44" s="142">
        <f t="shared" si="35"/>
        <v>0</v>
      </c>
      <c r="AG44" s="161">
        <v>0</v>
      </c>
      <c r="AH44" s="158">
        <f t="shared" si="22"/>
        <v>3.6525172754195465E-2</v>
      </c>
      <c r="AI44" s="158">
        <f t="shared" si="23"/>
        <v>0.12240868706811453</v>
      </c>
      <c r="AJ44" s="158">
        <f t="shared" si="24"/>
        <v>0.25666337611056272</v>
      </c>
      <c r="AK44" s="158">
        <f t="shared" si="25"/>
        <v>0.45705824284304053</v>
      </c>
      <c r="AL44" s="158">
        <f t="shared" si="26"/>
        <v>0.60315893385982244</v>
      </c>
      <c r="AM44" s="158">
        <f t="shared" si="27"/>
        <v>0.70483711747285305</v>
      </c>
      <c r="AN44" s="158">
        <f t="shared" si="28"/>
        <v>0.83613030602171778</v>
      </c>
      <c r="AO44" s="158">
        <v>1</v>
      </c>
      <c r="AP44" s="143"/>
      <c r="AQ44" s="152">
        <f>Shares!D126</f>
        <v>7.5</v>
      </c>
      <c r="AR44" s="152">
        <f>Shares!E126</f>
        <v>11</v>
      </c>
      <c r="AS44" s="152">
        <f>Shares!F126</f>
        <v>14.6</v>
      </c>
      <c r="AT44" s="152">
        <f>Shares!G126</f>
        <v>20.2</v>
      </c>
      <c r="AU44" s="152">
        <f>Shares!J126</f>
        <v>13.9</v>
      </c>
      <c r="AV44" s="152">
        <f>Shares!K126</f>
        <v>9.4</v>
      </c>
      <c r="AW44" s="152">
        <f>Shares!L126</f>
        <v>11.7</v>
      </c>
      <c r="AX44" s="152">
        <f>Shares!M126</f>
        <v>13.2</v>
      </c>
      <c r="AY44" s="46"/>
      <c r="AZ44" s="152">
        <v>3.7</v>
      </c>
      <c r="BA44" s="152">
        <v>8.6999999999999993</v>
      </c>
      <c r="BB44" s="152">
        <v>13.6</v>
      </c>
      <c r="BC44" s="152">
        <v>20.3</v>
      </c>
      <c r="BD44" s="152">
        <v>14.8</v>
      </c>
      <c r="BE44" s="152">
        <v>10.3</v>
      </c>
      <c r="BF44" s="152">
        <v>13.3</v>
      </c>
      <c r="BG44" s="152">
        <v>16.600000000000001</v>
      </c>
      <c r="BI44" s="146">
        <f>TxRt!B89</f>
        <v>1.5</v>
      </c>
      <c r="BJ44" s="146">
        <f>TxRt!B132</f>
        <v>9.1999999999999993</v>
      </c>
      <c r="BK44" s="146">
        <f>TxRt!B172</f>
        <v>14</v>
      </c>
      <c r="BL44" s="146">
        <f>TxRt!B212</f>
        <v>17.899999999999999</v>
      </c>
      <c r="BM44" s="146">
        <f>TxRt!B292</f>
        <v>21.3</v>
      </c>
      <c r="BN44" s="146">
        <f>TxRt!B332</f>
        <v>23.6</v>
      </c>
      <c r="BO44" s="146">
        <f>TxRt!B372</f>
        <v>26.7</v>
      </c>
      <c r="BP44" s="146">
        <f>TxRt!B412</f>
        <v>33.299999999999997</v>
      </c>
      <c r="BQ44" s="46"/>
      <c r="BR44" s="60">
        <f>'HH inc'!$I86</f>
        <v>34900</v>
      </c>
      <c r="BS44" s="60">
        <f>'HH inc'!$I126</f>
        <v>47300</v>
      </c>
      <c r="BT44" s="60">
        <f>'HH inc'!$I166</f>
        <v>65200</v>
      </c>
      <c r="BU44" s="60">
        <f>'HH inc'!$I206</f>
        <v>91400</v>
      </c>
      <c r="BV44" s="60">
        <f>'HH inc'!$I286</f>
        <v>125900</v>
      </c>
      <c r="BW44" s="60">
        <f>'HH inc'!$I326</f>
        <v>166300</v>
      </c>
      <c r="BX44" s="60">
        <f>'HH inc'!$I366</f>
        <v>264300</v>
      </c>
      <c r="BY44" s="60">
        <f>'HH inc'!$I406</f>
        <v>1251800</v>
      </c>
      <c r="CA44" s="60">
        <f>'HH inc'!$I86</f>
        <v>34900</v>
      </c>
      <c r="CB44" s="60">
        <f>'HH inc'!$I126</f>
        <v>47300</v>
      </c>
      <c r="CC44" s="60">
        <f>'HH inc'!$I166</f>
        <v>65200</v>
      </c>
      <c r="CD44" s="60">
        <f>'HH inc'!$I206</f>
        <v>91400</v>
      </c>
      <c r="CE44" s="60">
        <f>'HH inc'!$I286</f>
        <v>125900</v>
      </c>
      <c r="CF44" s="60">
        <f>'HH inc'!$I326</f>
        <v>166300</v>
      </c>
      <c r="CG44" s="60">
        <f>'HH inc'!$I366</f>
        <v>264300</v>
      </c>
      <c r="CH44" s="60">
        <f>'HH inc'!$I406</f>
        <v>1251800</v>
      </c>
      <c r="CJ44" s="153">
        <f t="shared" si="29"/>
        <v>842835.00000000012</v>
      </c>
      <c r="CK44" s="153">
        <f t="shared" si="30"/>
        <v>1227435.0000000002</v>
      </c>
      <c r="CL44" s="153">
        <f t="shared" si="5"/>
        <v>1633260</v>
      </c>
      <c r="CM44" s="153">
        <f t="shared" si="6"/>
        <v>2262150</v>
      </c>
      <c r="CN44" s="153">
        <f t="shared" si="7"/>
        <v>1573750</v>
      </c>
      <c r="CO44" s="153">
        <f t="shared" si="8"/>
        <v>1047690</v>
      </c>
      <c r="CP44" s="153">
        <f t="shared" si="9"/>
        <v>1321500</v>
      </c>
      <c r="CQ44" s="153">
        <f t="shared" si="10"/>
        <v>1502160</v>
      </c>
      <c r="CR44" s="153">
        <f t="shared" si="31"/>
        <v>11410780</v>
      </c>
      <c r="CT44" s="39">
        <v>311.5</v>
      </c>
      <c r="CU44" s="276">
        <f>Dem!B86+(DD44/4)</f>
        <v>24.150000000000002</v>
      </c>
      <c r="CV44" s="276">
        <f>Dem!B126+(DD44/4)</f>
        <v>25.950000000000003</v>
      </c>
      <c r="CW44" s="276">
        <f>Dem!B166+(DD44/4)</f>
        <v>25.05</v>
      </c>
      <c r="CX44" s="276">
        <f>Dem!B206+(DD44/4)</f>
        <v>24.75</v>
      </c>
      <c r="CY44" s="276">
        <f>Dem!B286</f>
        <v>12.5</v>
      </c>
      <c r="CZ44" s="276">
        <f>Dem!B326</f>
        <v>6.3</v>
      </c>
      <c r="DA44" s="276">
        <f>Dem!B366</f>
        <v>5</v>
      </c>
      <c r="DB44" s="276">
        <f>Dem!B406</f>
        <v>1.2</v>
      </c>
      <c r="DC44" s="275">
        <v>126.1</v>
      </c>
      <c r="DD44" s="46">
        <v>-0.59999999999999432</v>
      </c>
      <c r="DE44" s="275"/>
      <c r="DF44" s="276">
        <f>Dem!$D86+(DO44/4)</f>
        <v>60.7</v>
      </c>
      <c r="DG44" s="276">
        <f>Dem!$D126+(DO44/4)</f>
        <v>62</v>
      </c>
      <c r="DH44" s="276">
        <f>Dem!$D166+(DO44/4)</f>
        <v>62</v>
      </c>
      <c r="DI44" s="276">
        <f>Dem!$D206+(DO44/4)</f>
        <v>62</v>
      </c>
      <c r="DJ44" s="275">
        <f>Dem!$D286</f>
        <v>31.2</v>
      </c>
      <c r="DK44" s="275">
        <f>Dem!$D326</f>
        <v>15.6</v>
      </c>
      <c r="DL44" s="275">
        <f>Dem!$D366</f>
        <v>12.5</v>
      </c>
      <c r="DM44" s="275">
        <f>Dem!$D406</f>
        <v>3.1</v>
      </c>
      <c r="DN44" s="276">
        <f t="shared" si="32"/>
        <v>311.5</v>
      </c>
      <c r="DO44" s="44">
        <v>-1.1999999999999886</v>
      </c>
    </row>
    <row r="45" spans="1:119">
      <c r="A45" s="46">
        <f t="shared" si="33"/>
        <v>2016</v>
      </c>
      <c r="B45" s="141">
        <f t="shared" si="11"/>
        <v>0.11393903745193407</v>
      </c>
      <c r="D45" s="141">
        <f t="shared" si="12"/>
        <v>0.4249889546351085</v>
      </c>
      <c r="E45" s="141">
        <f t="shared" si="13"/>
        <v>0.53892799208704256</v>
      </c>
      <c r="F45" s="46"/>
      <c r="G45" s="157">
        <f t="shared" si="14"/>
        <v>2.4812623274161737E-2</v>
      </c>
      <c r="H45" s="157">
        <f t="shared" si="14"/>
        <v>4.2919132149901389E-2</v>
      </c>
      <c r="I45" s="157">
        <f t="shared" si="14"/>
        <v>5.3925049309664713E-2</v>
      </c>
      <c r="J45" s="157">
        <f t="shared" si="14"/>
        <v>5.3885601577909274E-2</v>
      </c>
      <c r="K45" s="157">
        <f t="shared" si="14"/>
        <v>2.3037475345167646E-2</v>
      </c>
      <c r="L45" s="157">
        <f t="shared" si="14"/>
        <v>9.3836291913214978E-3</v>
      </c>
      <c r="M45" s="157">
        <f t="shared" si="14"/>
        <v>4.530966469428006E-3</v>
      </c>
      <c r="N45" s="157">
        <f t="shared" si="14"/>
        <v>0</v>
      </c>
      <c r="O45" s="46"/>
      <c r="P45" s="154">
        <f t="shared" si="15"/>
        <v>7.5936883629191335E-2</v>
      </c>
      <c r="Q45" s="154">
        <f t="shared" si="16"/>
        <v>0.1854043392504931</v>
      </c>
      <c r="R45" s="154">
        <f t="shared" si="17"/>
        <v>0.33037475345167655</v>
      </c>
      <c r="S45" s="154">
        <f t="shared" si="18"/>
        <v>0.53057199211045369</v>
      </c>
      <c r="T45" s="154">
        <f t="shared" si="19"/>
        <v>0.66962524654832356</v>
      </c>
      <c r="U45" s="154">
        <f t="shared" si="20"/>
        <v>0.76232741617357014</v>
      </c>
      <c r="V45" s="154">
        <f t="shared" si="21"/>
        <v>0.87672583826429995</v>
      </c>
      <c r="W45" s="162">
        <f t="shared" si="34"/>
        <v>1</v>
      </c>
      <c r="X45" s="154"/>
      <c r="Y45" s="142">
        <f t="shared" si="35"/>
        <v>3.2482690405539076E-2</v>
      </c>
      <c r="Z45" s="142">
        <f t="shared" si="35"/>
        <v>5.4876360039564788E-2</v>
      </c>
      <c r="AA45" s="142">
        <f t="shared" si="35"/>
        <v>6.797230464886253E-2</v>
      </c>
      <c r="AB45" s="142">
        <f t="shared" si="35"/>
        <v>6.7418397626112778E-2</v>
      </c>
      <c r="AC45" s="142">
        <f t="shared" si="35"/>
        <v>2.8971315529179031E-2</v>
      </c>
      <c r="AD45" s="142">
        <f t="shared" si="35"/>
        <v>1.1891691394658755E-2</v>
      </c>
      <c r="AE45" s="142">
        <f t="shared" si="35"/>
        <v>5.8512363996043558E-3</v>
      </c>
      <c r="AF45" s="142">
        <f t="shared" si="35"/>
        <v>0</v>
      </c>
      <c r="AH45" s="158">
        <f t="shared" si="22"/>
        <v>3.7586547972304651E-2</v>
      </c>
      <c r="AI45" s="158">
        <f t="shared" si="23"/>
        <v>0.12561819980217609</v>
      </c>
      <c r="AJ45" s="158">
        <f t="shared" si="24"/>
        <v>0.26013847675568746</v>
      </c>
      <c r="AK45" s="158">
        <f t="shared" si="25"/>
        <v>0.4629080118694362</v>
      </c>
      <c r="AL45" s="158">
        <f t="shared" si="26"/>
        <v>0.61028684470820971</v>
      </c>
      <c r="AM45" s="158">
        <f t="shared" si="27"/>
        <v>0.71216617210682498</v>
      </c>
      <c r="AN45" s="158">
        <f t="shared" si="28"/>
        <v>0.8437190900098912</v>
      </c>
      <c r="AO45" s="158">
        <v>1</v>
      </c>
      <c r="AP45" s="143"/>
      <c r="AQ45" s="152">
        <f>Shares!D127</f>
        <v>7.7</v>
      </c>
      <c r="AR45" s="152">
        <f>Shares!E127</f>
        <v>11.1</v>
      </c>
      <c r="AS45" s="152">
        <f>Shares!F127</f>
        <v>14.7</v>
      </c>
      <c r="AT45" s="152">
        <f>Shares!G127</f>
        <v>20.3</v>
      </c>
      <c r="AU45" s="152">
        <f>Shares!J127</f>
        <v>14.1</v>
      </c>
      <c r="AV45" s="152">
        <f>Shares!K127</f>
        <v>9.4</v>
      </c>
      <c r="AW45" s="152">
        <f>Shares!L127</f>
        <v>11.6</v>
      </c>
      <c r="AX45" s="152">
        <f>Shares!M127</f>
        <v>12.5</v>
      </c>
      <c r="AY45" s="46"/>
      <c r="AZ45" s="152">
        <v>3.8</v>
      </c>
      <c r="BA45" s="152">
        <v>8.9</v>
      </c>
      <c r="BB45" s="152">
        <v>13.6</v>
      </c>
      <c r="BC45" s="152">
        <v>20.5</v>
      </c>
      <c r="BD45" s="152">
        <v>14.9</v>
      </c>
      <c r="BE45" s="152">
        <v>10.3</v>
      </c>
      <c r="BF45" s="152">
        <v>13.3</v>
      </c>
      <c r="BG45" s="152">
        <v>15.8</v>
      </c>
      <c r="BI45" s="146">
        <f>TxRt!B90</f>
        <v>1.7</v>
      </c>
      <c r="BJ45" s="146">
        <f>TxRt!B133</f>
        <v>9.4</v>
      </c>
      <c r="BK45" s="146">
        <f>TxRt!B173</f>
        <v>13.9</v>
      </c>
      <c r="BL45" s="146">
        <f>TxRt!B213</f>
        <v>17.899999999999999</v>
      </c>
      <c r="BM45" s="146">
        <f>TxRt!B293</f>
        <v>21.2</v>
      </c>
      <c r="BN45" s="146">
        <f>TxRt!B333</f>
        <v>23.6</v>
      </c>
      <c r="BO45" s="146">
        <f>TxRt!B373</f>
        <v>26.8</v>
      </c>
      <c r="BP45" s="146">
        <f>TxRt!B413</f>
        <v>33.299999999999997</v>
      </c>
      <c r="BQ45" s="46"/>
      <c r="BR45" s="60">
        <f>'HH inc'!$I87</f>
        <v>35000</v>
      </c>
      <c r="BS45" s="60">
        <f>'HH inc'!$I127</f>
        <v>48000</v>
      </c>
      <c r="BT45" s="60">
        <f>'HH inc'!$I167</f>
        <v>65900</v>
      </c>
      <c r="BU45" s="60">
        <f>'HH inc'!$I207</f>
        <v>91700</v>
      </c>
      <c r="BV45" s="60">
        <f>'HH inc'!$I287</f>
        <v>126800</v>
      </c>
      <c r="BW45" s="60">
        <f>'HH inc'!$I327</f>
        <v>167700</v>
      </c>
      <c r="BX45" s="60">
        <f>'HH inc'!$I367</f>
        <v>264100</v>
      </c>
      <c r="BY45" s="60">
        <f>'HH inc'!$I407</f>
        <v>1193900</v>
      </c>
      <c r="CA45" s="60">
        <f>'HH inc'!$I87</f>
        <v>35000</v>
      </c>
      <c r="CB45" s="60">
        <f>'HH inc'!$I127</f>
        <v>48000</v>
      </c>
      <c r="CC45" s="60">
        <f>'HH inc'!$I167</f>
        <v>65900</v>
      </c>
      <c r="CD45" s="60">
        <f>'HH inc'!$I207</f>
        <v>91700</v>
      </c>
      <c r="CE45" s="60">
        <f>'HH inc'!$I287</f>
        <v>126800</v>
      </c>
      <c r="CF45" s="60">
        <f>'HH inc'!$I327</f>
        <v>167700</v>
      </c>
      <c r="CG45" s="60">
        <f>'HH inc'!$I367</f>
        <v>264100</v>
      </c>
      <c r="CH45" s="60">
        <f>'HH inc'!$I407</f>
        <v>1193900</v>
      </c>
      <c r="CJ45" s="153">
        <f>CA45*CU45</f>
        <v>867125</v>
      </c>
      <c r="CK45" s="153">
        <f t="shared" ref="CK45:CQ45" si="36">CB45*CV45</f>
        <v>1246800</v>
      </c>
      <c r="CL45" s="153">
        <f t="shared" si="36"/>
        <v>1645852.5</v>
      </c>
      <c r="CM45" s="153">
        <f t="shared" si="36"/>
        <v>2281037.5</v>
      </c>
      <c r="CN45" s="153">
        <f t="shared" si="36"/>
        <v>1585000</v>
      </c>
      <c r="CO45" s="153">
        <f t="shared" si="36"/>
        <v>1056510</v>
      </c>
      <c r="CP45" s="153">
        <f t="shared" si="36"/>
        <v>1294090</v>
      </c>
      <c r="CQ45" s="153">
        <f t="shared" si="36"/>
        <v>1432680</v>
      </c>
      <c r="CR45" s="153">
        <f>SUM(CJ45:CQ45)</f>
        <v>11409095</v>
      </c>
      <c r="CT45" s="39">
        <v>311.89999999999998</v>
      </c>
      <c r="CU45" s="276">
        <f>Dem!B87+(DD45/4)</f>
        <v>24.774999999999999</v>
      </c>
      <c r="CV45" s="276">
        <f>Dem!B127+(DD45/4)</f>
        <v>25.975000000000001</v>
      </c>
      <c r="CW45" s="276">
        <f>Dem!B167+(DD45/4)</f>
        <v>24.975000000000001</v>
      </c>
      <c r="CX45" s="276">
        <f>Dem!B207+(DD45/4)</f>
        <v>24.875</v>
      </c>
      <c r="CY45" s="276">
        <f>Dem!B287</f>
        <v>12.5</v>
      </c>
      <c r="CZ45" s="276">
        <f>Dem!B327</f>
        <v>6.3</v>
      </c>
      <c r="DA45" s="276">
        <f>Dem!B367</f>
        <v>4.9000000000000004</v>
      </c>
      <c r="DB45" s="276">
        <f>Dem!B407</f>
        <v>1.2</v>
      </c>
      <c r="DC45" s="275">
        <v>126.5</v>
      </c>
      <c r="DD45" s="46">
        <v>-0.5</v>
      </c>
      <c r="DE45" s="275"/>
      <c r="DF45" s="276">
        <f>Dem!$D87+(DO45/4)</f>
        <v>60.925000000000026</v>
      </c>
      <c r="DG45" s="276">
        <f>Dem!$D127+(DO45/4)</f>
        <v>62.125000000000021</v>
      </c>
      <c r="DH45" s="276">
        <f>Dem!$D167+(DO45/4)</f>
        <v>62.125000000000021</v>
      </c>
      <c r="DI45" s="276">
        <f>Dem!$D207+(DO45/4)</f>
        <v>62.125000000000021</v>
      </c>
      <c r="DJ45" s="275">
        <f>Dem!$D287</f>
        <v>31.2</v>
      </c>
      <c r="DK45" s="275">
        <f>Dem!$D327</f>
        <v>15.6</v>
      </c>
      <c r="DL45" s="275">
        <f>Dem!$D367</f>
        <v>12.5</v>
      </c>
      <c r="DM45" s="275">
        <f>Dem!$D407</f>
        <v>3.1</v>
      </c>
      <c r="DN45" s="276">
        <f t="shared" si="32"/>
        <v>311.89999999999998</v>
      </c>
      <c r="DO45" s="44">
        <v>-1.0999999999999091</v>
      </c>
    </row>
    <row r="46" spans="1:119">
      <c r="A46" s="201" t="s">
        <v>154</v>
      </c>
      <c r="B46" s="574">
        <f>(B45-B8)/B8</f>
        <v>0.63567111714495228</v>
      </c>
      <c r="W46" s="162"/>
      <c r="CU46" s="275"/>
      <c r="CV46" s="275"/>
      <c r="CW46" s="275"/>
      <c r="CX46" s="275"/>
    </row>
    <row r="47" spans="1:119" s="437" customFormat="1">
      <c r="A47" s="201" t="s">
        <v>791</v>
      </c>
      <c r="B47" s="574">
        <f>(B45-B15)/B15</f>
        <v>1.1337036331842378</v>
      </c>
      <c r="CU47" s="275"/>
      <c r="CV47" s="275"/>
      <c r="CW47" s="275"/>
      <c r="CX47" s="275"/>
    </row>
  </sheetData>
  <mergeCells count="16">
    <mergeCell ref="CJ6:CR6"/>
    <mergeCell ref="CT6:CT7"/>
    <mergeCell ref="CU6:DC6"/>
    <mergeCell ref="DF6:DN6"/>
    <mergeCell ref="AH6:AO6"/>
    <mergeCell ref="AQ6:AX6"/>
    <mergeCell ref="AZ6:BG6"/>
    <mergeCell ref="BI6:BP6"/>
    <mergeCell ref="BR6:BY6"/>
    <mergeCell ref="CA6:CH6"/>
    <mergeCell ref="Y6:AF6"/>
    <mergeCell ref="B6:B7"/>
    <mergeCell ref="D6:D7"/>
    <mergeCell ref="E6:E7"/>
    <mergeCell ref="G6:N6"/>
    <mergeCell ref="P6:W6"/>
  </mergeCells>
  <phoneticPr fontId="46" type="noConversion"/>
  <hyperlinks>
    <hyperlink ref="AH1" location="Index!A1" display="index" xr:uid="{81AA3A3C-57EB-48FD-BE98-51E2F309838F}"/>
  </hyperlinks>
  <pageMargins left="0.7" right="0.7" top="0.75" bottom="0.75" header="0.3" footer="0.3"/>
  <pageSetup orientation="portrait" horizontalDpi="1200" verticalDpi="120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3F35A-84E5-4E4C-B5BB-ABFF909CEC36}">
  <sheetPr>
    <tabColor theme="9" tint="0.79998168889431442"/>
  </sheetPr>
  <dimension ref="A1:BG48"/>
  <sheetViews>
    <sheetView zoomScale="70" zoomScaleNormal="70" workbookViewId="0"/>
  </sheetViews>
  <sheetFormatPr defaultRowHeight="15"/>
  <cols>
    <col min="1" max="1" width="8.28515625" style="46" customWidth="1"/>
    <col min="2" max="2" width="12.7109375" style="474" customWidth="1"/>
    <col min="3" max="3" width="1.85546875" style="474" customWidth="1"/>
    <col min="4" max="4" width="18.85546875" style="474" customWidth="1"/>
    <col min="5" max="5" width="17.42578125" style="474" customWidth="1"/>
    <col min="6" max="10" width="5.5703125" style="474" customWidth="1"/>
    <col min="11" max="14" width="7" style="474" customWidth="1"/>
    <col min="15" max="15" width="1.85546875" style="474" customWidth="1"/>
    <col min="16" max="16" width="5.85546875" style="474" customWidth="1"/>
    <col min="17" max="18" width="5.5703125" style="474" customWidth="1"/>
    <col min="19" max="19" width="6" style="474" customWidth="1"/>
    <col min="20" max="23" width="6.5703125" style="474" customWidth="1"/>
    <col min="24" max="24" width="3.42578125" style="474" customWidth="1"/>
    <col min="25" max="28" width="5" style="474" customWidth="1"/>
    <col min="29" max="32" width="5.7109375" style="474" customWidth="1"/>
    <col min="33" max="33" width="2.140625" style="474" customWidth="1"/>
    <col min="34" max="37" width="5.5703125" style="474" customWidth="1"/>
    <col min="38" max="39" width="6.7109375" style="474" customWidth="1"/>
    <col min="40" max="40" width="7.140625" style="474" customWidth="1"/>
    <col min="41" max="41" width="7.28515625" style="474" customWidth="1"/>
    <col min="42" max="42" width="2.28515625" style="474" customWidth="1"/>
    <col min="43" max="50" width="6.140625" style="474" customWidth="1"/>
    <col min="51" max="51" width="3.140625" style="474" customWidth="1"/>
    <col min="52" max="59" width="6.140625" style="474" customWidth="1"/>
    <col min="60" max="16384" width="9.140625" style="474"/>
  </cols>
  <sheetData>
    <row r="1" spans="1:59">
      <c r="A1" s="147" t="s">
        <v>617</v>
      </c>
      <c r="Y1" s="641" t="s">
        <v>762</v>
      </c>
      <c r="AI1" s="127"/>
    </row>
    <row r="2" spans="1:59">
      <c r="A2" s="103"/>
    </row>
    <row r="3" spans="1:59">
      <c r="A3" s="103"/>
      <c r="M3" s="149" t="s">
        <v>200</v>
      </c>
      <c r="P3" s="45">
        <v>0.2</v>
      </c>
      <c r="Q3" s="45">
        <v>0.2</v>
      </c>
      <c r="R3" s="45">
        <v>0.2</v>
      </c>
      <c r="S3" s="45">
        <v>0.2</v>
      </c>
      <c r="T3" s="45">
        <v>0.1</v>
      </c>
      <c r="U3" s="45">
        <v>0.05</v>
      </c>
      <c r="V3" s="45">
        <v>0.04</v>
      </c>
      <c r="W3" s="45">
        <v>0.01</v>
      </c>
      <c r="X3" s="45"/>
      <c r="Y3" s="45"/>
      <c r="Z3" s="45"/>
      <c r="AA3" s="45"/>
      <c r="AB3" s="45"/>
      <c r="AC3" s="45"/>
      <c r="AD3" s="45"/>
      <c r="AE3" s="45"/>
      <c r="AF3" s="45"/>
    </row>
    <row r="4" spans="1:59">
      <c r="A4" s="103"/>
      <c r="F4" s="148"/>
      <c r="G4" s="148"/>
      <c r="H4" s="148"/>
      <c r="I4" s="148"/>
      <c r="J4" s="148"/>
      <c r="K4" s="148"/>
      <c r="L4" s="148"/>
      <c r="M4" s="149" t="s">
        <v>203</v>
      </c>
      <c r="N4" s="148"/>
      <c r="O4" s="474">
        <v>0</v>
      </c>
      <c r="P4" s="45">
        <v>0.2</v>
      </c>
      <c r="Q4" s="45">
        <f>P4+Q3</f>
        <v>0.4</v>
      </c>
      <c r="R4" s="45">
        <f t="shared" ref="R4:W4" si="0">Q4+R3</f>
        <v>0.60000000000000009</v>
      </c>
      <c r="S4" s="45">
        <f t="shared" si="0"/>
        <v>0.8</v>
      </c>
      <c r="T4" s="45">
        <f t="shared" si="0"/>
        <v>0.9</v>
      </c>
      <c r="U4" s="45">
        <f t="shared" si="0"/>
        <v>0.95000000000000007</v>
      </c>
      <c r="V4" s="45">
        <f t="shared" si="0"/>
        <v>0.9900000000000001</v>
      </c>
      <c r="W4" s="45">
        <f t="shared" si="0"/>
        <v>1</v>
      </c>
      <c r="X4" s="45"/>
      <c r="Y4" s="45"/>
      <c r="Z4" s="45"/>
      <c r="AA4" s="45"/>
      <c r="AB4" s="45"/>
      <c r="AC4" s="45"/>
      <c r="AD4" s="45"/>
      <c r="AE4" s="45"/>
      <c r="AF4" s="45"/>
      <c r="AG4" s="45"/>
    </row>
    <row r="6" spans="1:59" ht="15" customHeight="1">
      <c r="A6" s="144"/>
      <c r="B6" s="729" t="s">
        <v>281</v>
      </c>
      <c r="C6" s="468"/>
      <c r="D6" s="733" t="s">
        <v>590</v>
      </c>
      <c r="E6" s="733" t="s">
        <v>341</v>
      </c>
      <c r="F6" s="469"/>
      <c r="G6" s="731" t="s">
        <v>589</v>
      </c>
      <c r="H6" s="731"/>
      <c r="I6" s="731"/>
      <c r="J6" s="731"/>
      <c r="K6" s="731"/>
      <c r="L6" s="731"/>
      <c r="M6" s="731"/>
      <c r="N6" s="731"/>
      <c r="O6" s="468"/>
      <c r="P6" s="731" t="s">
        <v>591</v>
      </c>
      <c r="Q6" s="731"/>
      <c r="R6" s="731"/>
      <c r="S6" s="731"/>
      <c r="T6" s="731"/>
      <c r="U6" s="731"/>
      <c r="V6" s="731"/>
      <c r="W6" s="731"/>
      <c r="X6" s="467"/>
      <c r="Y6" s="731" t="s">
        <v>348</v>
      </c>
      <c r="Z6" s="731"/>
      <c r="AA6" s="731"/>
      <c r="AB6" s="731"/>
      <c r="AC6" s="731"/>
      <c r="AD6" s="731"/>
      <c r="AE6" s="731"/>
      <c r="AF6" s="731"/>
      <c r="AG6" s="134"/>
      <c r="AH6" s="731" t="s">
        <v>347</v>
      </c>
      <c r="AI6" s="731"/>
      <c r="AJ6" s="731"/>
      <c r="AK6" s="731"/>
      <c r="AL6" s="731"/>
      <c r="AM6" s="731"/>
      <c r="AN6" s="731"/>
      <c r="AO6" s="731"/>
      <c r="AP6" s="467"/>
      <c r="AQ6" s="731" t="s">
        <v>592</v>
      </c>
      <c r="AR6" s="731"/>
      <c r="AS6" s="731"/>
      <c r="AT6" s="731"/>
      <c r="AU6" s="731"/>
      <c r="AV6" s="731"/>
      <c r="AW6" s="731"/>
      <c r="AX6" s="731"/>
      <c r="AY6" s="134"/>
      <c r="AZ6" s="731" t="s">
        <v>349</v>
      </c>
      <c r="BA6" s="731"/>
      <c r="BB6" s="731"/>
      <c r="BC6" s="731"/>
      <c r="BD6" s="731"/>
      <c r="BE6" s="731"/>
      <c r="BF6" s="731"/>
      <c r="BG6" s="731"/>
    </row>
    <row r="7" spans="1:59" ht="24.75" customHeight="1">
      <c r="A7" s="53"/>
      <c r="B7" s="730"/>
      <c r="C7" s="6"/>
      <c r="D7" s="734"/>
      <c r="E7" s="734"/>
      <c r="F7" s="470"/>
      <c r="G7" s="6" t="s">
        <v>158</v>
      </c>
      <c r="H7" s="6" t="s">
        <v>159</v>
      </c>
      <c r="I7" s="6" t="s">
        <v>160</v>
      </c>
      <c r="J7" s="6" t="s">
        <v>161</v>
      </c>
      <c r="K7" s="51" t="s">
        <v>33</v>
      </c>
      <c r="L7" s="51" t="s">
        <v>51</v>
      </c>
      <c r="M7" s="51" t="s">
        <v>52</v>
      </c>
      <c r="N7" s="51" t="s">
        <v>28</v>
      </c>
      <c r="O7" s="6"/>
      <c r="P7" s="6" t="s">
        <v>158</v>
      </c>
      <c r="Q7" s="6" t="s">
        <v>159</v>
      </c>
      <c r="R7" s="6" t="s">
        <v>160</v>
      </c>
      <c r="S7" s="6" t="s">
        <v>161</v>
      </c>
      <c r="T7" s="51" t="s">
        <v>33</v>
      </c>
      <c r="U7" s="51" t="s">
        <v>51</v>
      </c>
      <c r="V7" s="51" t="s">
        <v>52</v>
      </c>
      <c r="W7" s="51" t="s">
        <v>28</v>
      </c>
      <c r="X7" s="51"/>
      <c r="Y7" s="6" t="s">
        <v>158</v>
      </c>
      <c r="Z7" s="6" t="s">
        <v>159</v>
      </c>
      <c r="AA7" s="6" t="s">
        <v>160</v>
      </c>
      <c r="AB7" s="6" t="s">
        <v>161</v>
      </c>
      <c r="AC7" s="51" t="s">
        <v>33</v>
      </c>
      <c r="AD7" s="51" t="s">
        <v>51</v>
      </c>
      <c r="AE7" s="51" t="s">
        <v>52</v>
      </c>
      <c r="AF7" s="51" t="s">
        <v>28</v>
      </c>
      <c r="AG7" s="5"/>
      <c r="AH7" s="6" t="s">
        <v>158</v>
      </c>
      <c r="AI7" s="6" t="s">
        <v>159</v>
      </c>
      <c r="AJ7" s="6" t="s">
        <v>160</v>
      </c>
      <c r="AK7" s="6" t="s">
        <v>161</v>
      </c>
      <c r="AL7" s="51" t="s">
        <v>33</v>
      </c>
      <c r="AM7" s="51" t="s">
        <v>51</v>
      </c>
      <c r="AN7" s="51" t="s">
        <v>52</v>
      </c>
      <c r="AO7" s="51" t="s">
        <v>28</v>
      </c>
      <c r="AP7" s="51"/>
      <c r="AQ7" s="6" t="s">
        <v>158</v>
      </c>
      <c r="AR7" s="6" t="s">
        <v>159</v>
      </c>
      <c r="AS7" s="6" t="s">
        <v>160</v>
      </c>
      <c r="AT7" s="6" t="s">
        <v>161</v>
      </c>
      <c r="AU7" s="51" t="s">
        <v>33</v>
      </c>
      <c r="AV7" s="51" t="s">
        <v>51</v>
      </c>
      <c r="AW7" s="51" t="s">
        <v>52</v>
      </c>
      <c r="AX7" s="51" t="s">
        <v>28</v>
      </c>
      <c r="AY7" s="5"/>
      <c r="AZ7" s="6" t="s">
        <v>158</v>
      </c>
      <c r="BA7" s="6" t="s">
        <v>159</v>
      </c>
      <c r="BB7" s="6" t="s">
        <v>160</v>
      </c>
      <c r="BC7" s="6" t="s">
        <v>161</v>
      </c>
      <c r="BD7" s="51" t="s">
        <v>33</v>
      </c>
      <c r="BE7" s="51" t="s">
        <v>51</v>
      </c>
      <c r="BF7" s="51" t="s">
        <v>52</v>
      </c>
      <c r="BG7" s="51" t="s">
        <v>28</v>
      </c>
    </row>
    <row r="8" spans="1:59">
      <c r="A8" s="46">
        <v>1979</v>
      </c>
      <c r="B8" s="141">
        <f>E8-D8</f>
        <v>7.165231165756919E-2</v>
      </c>
      <c r="C8" s="46"/>
      <c r="D8" s="141">
        <f>SUM(G8:N8)*2</f>
        <v>0.40472116790374696</v>
      </c>
      <c r="E8" s="141">
        <f>SUM(Y8:AF8)*2</f>
        <v>0.47637347956131615</v>
      </c>
      <c r="F8" s="46"/>
      <c r="G8" s="157">
        <f>(P$4-P8)*P$3</f>
        <v>2.961133956327865E-2</v>
      </c>
      <c r="H8" s="157">
        <f t="shared" ref="H8:N23" si="1">(Q$4-Q8)*Q$3</f>
        <v>4.6645254160199934E-2</v>
      </c>
      <c r="I8" s="157">
        <f t="shared" si="1"/>
        <v>5.303262046879325E-2</v>
      </c>
      <c r="J8" s="157">
        <f t="shared" si="1"/>
        <v>4.6586549507434218E-2</v>
      </c>
      <c r="K8" s="157">
        <f t="shared" si="1"/>
        <v>1.7688715296500703E-2</v>
      </c>
      <c r="L8" s="157">
        <f t="shared" si="1"/>
        <v>6.4210441175781121E-3</v>
      </c>
      <c r="M8" s="157">
        <f t="shared" si="1"/>
        <v>2.3750608380886363E-3</v>
      </c>
      <c r="N8" s="157">
        <f t="shared" si="1"/>
        <v>0</v>
      </c>
      <c r="O8" s="46"/>
      <c r="P8" s="154">
        <f>AQ8/SUM($AQ8:$AX8)</f>
        <v>5.1943302183606779E-2</v>
      </c>
      <c r="Q8" s="154">
        <f t="shared" ref="Q8:V8" si="2">P8+AR8/SUM($AQ8:$AX8)</f>
        <v>0.16677372919900035</v>
      </c>
      <c r="R8" s="154">
        <f t="shared" si="2"/>
        <v>0.33483689765603386</v>
      </c>
      <c r="S8" s="154">
        <f t="shared" si="2"/>
        <v>0.56706725246282896</v>
      </c>
      <c r="T8" s="154">
        <f t="shared" si="2"/>
        <v>0.72311284703499301</v>
      </c>
      <c r="U8" s="154">
        <f t="shared" si="2"/>
        <v>0.82157911764843783</v>
      </c>
      <c r="V8" s="154">
        <f t="shared" si="2"/>
        <v>0.9306234790477842</v>
      </c>
      <c r="W8" s="162">
        <v>1</v>
      </c>
      <c r="X8" s="154"/>
      <c r="Y8" s="142">
        <f>(P$4-AH8)*P$3</f>
        <v>3.4217347956131607E-2</v>
      </c>
      <c r="Z8" s="142">
        <f t="shared" ref="Z8:AF23" si="3">(Q$4-AI8)*Q$3</f>
        <v>5.3479561316051853E-2</v>
      </c>
      <c r="AA8" s="142">
        <f t="shared" si="3"/>
        <v>6.1375872382851471E-2</v>
      </c>
      <c r="AB8" s="142">
        <f t="shared" si="3"/>
        <v>5.5513459621136609E-2</v>
      </c>
      <c r="AC8" s="142">
        <f t="shared" si="3"/>
        <v>2.1904287138584257E-2</v>
      </c>
      <c r="AD8" s="142">
        <f t="shared" si="3"/>
        <v>8.2676969092721885E-3</v>
      </c>
      <c r="AE8" s="142">
        <f t="shared" si="3"/>
        <v>3.4285144566301141E-3</v>
      </c>
      <c r="AF8" s="142">
        <f>(W$4-AO8)*W$3</f>
        <v>0</v>
      </c>
      <c r="AH8" s="158">
        <f>AZ8/SUM($AZ8:$BG8)</f>
        <v>2.8913260219341971E-2</v>
      </c>
      <c r="AI8" s="158">
        <f t="shared" ref="AI8:AN8" si="4">AH8+BA8/SUM($AZ8:$BG8)</f>
        <v>0.13260219341974078</v>
      </c>
      <c r="AJ8" s="158">
        <f t="shared" si="4"/>
        <v>0.29312063808574274</v>
      </c>
      <c r="AK8" s="158">
        <f t="shared" si="4"/>
        <v>0.52243270189431701</v>
      </c>
      <c r="AL8" s="158">
        <f t="shared" si="4"/>
        <v>0.68095712861415747</v>
      </c>
      <c r="AM8" s="158">
        <f t="shared" si="4"/>
        <v>0.78464606181455632</v>
      </c>
      <c r="AN8" s="158">
        <f t="shared" si="4"/>
        <v>0.90428713858424725</v>
      </c>
      <c r="AO8" s="158">
        <v>1</v>
      </c>
      <c r="AP8" s="143"/>
      <c r="AQ8" s="152">
        <f>('B2-RdTr'!$E117+'B2-RdTr'!$G117-'B2-RdTr'!$K117)*'B2-RdTr'!$H117/(('B2-RdTr'!$E79+'B2-RdTr'!$G79-'B2-RdTr'!$K79)*'B2-RdTr'!$H79)*100</f>
        <v>5.1937944517635373</v>
      </c>
      <c r="AR8" s="152">
        <f>('B2-RdTr'!$E155+'B2-RdTr'!$G155-'B2-RdTr'!$K155)*'B2-RdTr'!$H155/(('B2-RdTr'!$E79+'B2-RdTr'!$G79-'B2-RdTr'!$K79)*'B2-RdTr'!$H79)*100</f>
        <v>11.481858288832733</v>
      </c>
      <c r="AS8" s="152">
        <f>('B2-RdTr'!$E193+'B2-RdTr'!$G193-'B2-RdTr'!$K193)*'B2-RdTr'!$H193/(('B2-RdTr'!$E79+'B2-RdTr'!$G79-'B2-RdTr'!$K79)*'B2-RdTr'!$H79)*100</f>
        <v>16.804583366542737</v>
      </c>
      <c r="AT8" s="152">
        <f>('B2-RdTr'!$E231+'B2-RdTr'!$G231-'B2-RdTr'!$K231)*'B2-RdTr'!$H231/(('B2-RdTr'!$E79+'B2-RdTr'!$G79-'B2-RdTr'!$K79)*'B2-RdTr'!$H79)*100</f>
        <v>23.22064015227879</v>
      </c>
      <c r="AU8" s="152">
        <f>('B2-RdTr'!$E307+'B2-RdTr'!$G307-'B2-RdTr'!$K307)*'B2-RdTr'!$H307/(('B2-RdTr'!$E79+'B2-RdTr'!$G79-'B2-RdTr'!$K79)*'B2-RdTr'!$H79)*100</f>
        <v>15.602949932721655</v>
      </c>
      <c r="AV8" s="152">
        <f>('B2-RdTr'!$E345+'B2-RdTr'!$G345-'B2-RdTr'!$K345)*'B2-RdTr'!$H345/(('B2-RdTr'!$E79+'B2-RdTr'!$G79-'B2-RdTr'!$K79)*'B2-RdTr'!$H79)*100</f>
        <v>9.8456114359121027</v>
      </c>
      <c r="AW8" s="152">
        <f>('B2-RdTr'!$E383+'B2-RdTr'!$G383-'B2-RdTr'!$K383)*'B2-RdTr'!$H383/(('B2-RdTr'!$E79+'B2-RdTr'!$G79-'B2-RdTr'!$K79)*'B2-RdTr'!$H79)*100</f>
        <v>10.903311407312945</v>
      </c>
      <c r="AX8" s="152">
        <f>('B2-RdTr'!$E421+'B2-RdTr'!$G421-'B2-RdTr'!$K421)*'B2-RdTr'!$H421/(('B2-RdTr'!$E79+'B2-RdTr'!$G79-'B2-RdTr'!$K79)*'B2-RdTr'!$H79)*100</f>
        <v>6.9369365145597843</v>
      </c>
      <c r="AZ8" s="152">
        <f>'B2-RdTr'!$N117</f>
        <v>2.9</v>
      </c>
      <c r="BA8" s="152">
        <f>'B2-RdTr'!$N155</f>
        <v>10.4</v>
      </c>
      <c r="BB8" s="152">
        <f>'B2-RdTr'!$N193</f>
        <v>16.100000000000001</v>
      </c>
      <c r="BC8" s="152">
        <f>'B2-RdTr'!$N231</f>
        <v>23</v>
      </c>
      <c r="BD8" s="152">
        <f>'B2-RdTr'!$N307</f>
        <v>15.9</v>
      </c>
      <c r="BE8" s="152">
        <f>'B2-RdTr'!$N345</f>
        <v>10.4</v>
      </c>
      <c r="BF8" s="152">
        <f>'B2-RdTr'!$N383</f>
        <v>12</v>
      </c>
      <c r="BG8" s="152">
        <f>'B2-RdTr'!$N421</f>
        <v>9.6</v>
      </c>
    </row>
    <row r="9" spans="1:59">
      <c r="A9" s="46">
        <f>A8+1</f>
        <v>1980</v>
      </c>
      <c r="B9" s="141">
        <f t="shared" ref="B9:B45" si="5">E9-D9</f>
        <v>6.8283965101620658E-2</v>
      </c>
      <c r="D9" s="141">
        <f t="shared" ref="D9:D45" si="6">SUM(G9:N9)*2</f>
        <v>0.41665308669120804</v>
      </c>
      <c r="E9" s="141">
        <f t="shared" ref="E9:E45" si="7">SUM(Y9:AF9)*2</f>
        <v>0.4849370517928287</v>
      </c>
      <c r="F9" s="46"/>
      <c r="G9" s="157">
        <f t="shared" ref="G9:N45" si="8">(P$4-P9)*P$3</f>
        <v>2.9817500904338701E-2</v>
      </c>
      <c r="H9" s="157">
        <f t="shared" si="1"/>
        <v>4.7471705429105761E-2</v>
      </c>
      <c r="I9" s="157">
        <f t="shared" si="1"/>
        <v>5.4419012627641816E-2</v>
      </c>
      <c r="J9" s="157">
        <f t="shared" si="1"/>
        <v>4.8478606774619903E-2</v>
      </c>
      <c r="K9" s="157">
        <f t="shared" si="1"/>
        <v>1.8593889271114838E-2</v>
      </c>
      <c r="L9" s="157">
        <f t="shared" si="1"/>
        <v>6.8306475065076982E-3</v>
      </c>
      <c r="M9" s="157">
        <f t="shared" si="1"/>
        <v>2.7151808322753235E-3</v>
      </c>
      <c r="N9" s="157">
        <f t="shared" si="1"/>
        <v>0</v>
      </c>
      <c r="O9" s="46"/>
      <c r="P9" s="154">
        <f t="shared" ref="P9:P45" si="9">AQ9/SUM($AQ9:$AX9)</f>
        <v>5.0912495478306508E-2</v>
      </c>
      <c r="Q9" s="154">
        <f t="shared" ref="Q9:Q45" si="10">P9+AR9/SUM($AQ9:$AX9)</f>
        <v>0.16264147285447123</v>
      </c>
      <c r="R9" s="154">
        <f t="shared" ref="R9:R45" si="11">Q9+AS9/SUM($AQ9:$AX9)</f>
        <v>0.32790493686179101</v>
      </c>
      <c r="S9" s="154">
        <f t="shared" ref="S9:S45" si="12">R9+AT9/SUM($AQ9:$AX9)</f>
        <v>0.55760696612690053</v>
      </c>
      <c r="T9" s="154">
        <f t="shared" ref="T9:T45" si="13">S9+AU9/SUM($AQ9:$AX9)</f>
        <v>0.71406110728885164</v>
      </c>
      <c r="U9" s="154">
        <f t="shared" ref="U9:U45" si="14">T9+AV9/SUM($AQ9:$AX9)</f>
        <v>0.81338704986984611</v>
      </c>
      <c r="V9" s="154">
        <f t="shared" ref="V9:V45" si="15">U9+AW9/SUM($AQ9:$AX9)</f>
        <v>0.92212047919311702</v>
      </c>
      <c r="W9" s="162">
        <v>1</v>
      </c>
      <c r="X9" s="154"/>
      <c r="Y9" s="142">
        <f>(P$4-AH9)*P$3</f>
        <v>3.4621513944223109E-2</v>
      </c>
      <c r="Z9" s="142">
        <f t="shared" si="3"/>
        <v>5.4501992031872518E-2</v>
      </c>
      <c r="AA9" s="142">
        <f t="shared" si="3"/>
        <v>6.2629482071713163E-2</v>
      </c>
      <c r="AB9" s="142">
        <f t="shared" si="3"/>
        <v>5.6613545816733057E-2</v>
      </c>
      <c r="AC9" s="142">
        <f t="shared" si="3"/>
        <v>2.2270916334661352E-2</v>
      </c>
      <c r="AD9" s="142">
        <f t="shared" si="3"/>
        <v>8.4063745019920307E-3</v>
      </c>
      <c r="AE9" s="142">
        <f t="shared" si="3"/>
        <v>3.4247011952191243E-3</v>
      </c>
      <c r="AF9" s="142">
        <f>(W$4-AO9)*W$3</f>
        <v>0</v>
      </c>
      <c r="AH9" s="158">
        <f t="shared" ref="AH9:AH45" si="16">AZ9/SUM($AZ9:$BG9)</f>
        <v>2.6892430278884466E-2</v>
      </c>
      <c r="AI9" s="158">
        <f t="shared" ref="AI9:AI45" si="17">AH9+BA9/SUM($AZ9:$BG9)</f>
        <v>0.12749003984063745</v>
      </c>
      <c r="AJ9" s="158">
        <f t="shared" ref="AJ9:AJ45" si="18">AI9+BB9/SUM($AZ9:$BG9)</f>
        <v>0.28685258964143429</v>
      </c>
      <c r="AK9" s="158">
        <f t="shared" ref="AK9:AK45" si="19">AJ9+BC9/SUM($AZ9:$BG9)</f>
        <v>0.51693227091633476</v>
      </c>
      <c r="AL9" s="158">
        <f t="shared" ref="AL9:AL45" si="20">AK9+BD9/SUM($AZ9:$BG9)</f>
        <v>0.67729083665338652</v>
      </c>
      <c r="AM9" s="158">
        <f t="shared" ref="AM9:AM45" si="21">AL9+BE9/SUM($AZ9:$BG9)</f>
        <v>0.78187250996015945</v>
      </c>
      <c r="AN9" s="158">
        <f t="shared" ref="AN9:AN45" si="22">AM9+BF9/SUM($AZ9:$BG9)</f>
        <v>0.904382470119522</v>
      </c>
      <c r="AO9" s="158">
        <v>1</v>
      </c>
      <c r="AP9" s="143"/>
      <c r="AQ9" s="152">
        <f>('B2-RdTr'!$E118+'B2-RdTr'!$G118-'B2-RdTr'!$K118)*'B2-RdTr'!$H118/(('B2-RdTr'!$E80+'B2-RdTr'!$G80-'B2-RdTr'!$K80)*'B2-RdTr'!$H80)*100</f>
        <v>5.1420548161095754</v>
      </c>
      <c r="AR9" s="152">
        <f>('B2-RdTr'!$E156+'B2-RdTr'!$G156-'B2-RdTr'!$K156)*'B2-RdTr'!$H156/(('B2-RdTr'!$E80+'B2-RdTr'!$G80-'B2-RdTr'!$K80)*'B2-RdTr'!$H80)*100</f>
        <v>11.284391401731691</v>
      </c>
      <c r="AS9" s="152">
        <f>('B2-RdTr'!$E194+'B2-RdTr'!$G194-'B2-RdTr'!$K194)*'B2-RdTr'!$H194/(('B2-RdTr'!$E80+'B2-RdTr'!$G80-'B2-RdTr'!$K80)*'B2-RdTr'!$H80)*100</f>
        <v>16.691261802083186</v>
      </c>
      <c r="AT9" s="152">
        <f>('B2-RdTr'!$E232+'B2-RdTr'!$G232-'B2-RdTr'!$K232)*'B2-RdTr'!$H232/(('B2-RdTr'!$E80+'B2-RdTr'!$G80-'B2-RdTr'!$K80)*'B2-RdTr'!$H80)*100</f>
        <v>23.199421178560687</v>
      </c>
      <c r="AU9" s="152">
        <f>('B2-RdTr'!$E308+'B2-RdTr'!$G308-'B2-RdTr'!$K308)*'B2-RdTr'!$H308/(('B2-RdTr'!$E80+'B2-RdTr'!$G80-'B2-RdTr'!$K80)*'B2-RdTr'!$H80)*100</f>
        <v>15.801538748083729</v>
      </c>
      <c r="AV9" s="152">
        <f>('B2-RdTr'!$E346+'B2-RdTr'!$G346-'B2-RdTr'!$K346)*'B2-RdTr'!$H346/(('B2-RdTr'!$E80+'B2-RdTr'!$G80-'B2-RdTr'!$K80)*'B2-RdTr'!$H80)*100</f>
        <v>10.031711009546735</v>
      </c>
      <c r="AW9" s="152">
        <f>('B2-RdTr'!$E384+'B2-RdTr'!$G384-'B2-RdTr'!$K384)*'B2-RdTr'!$H384/(('B2-RdTr'!$E80+'B2-RdTr'!$G80-'B2-RdTr'!$K80)*'B2-RdTr'!$H80)*100</f>
        <v>10.981847357336276</v>
      </c>
      <c r="AX9" s="152">
        <f>('B2-RdTr'!$E422+'B2-RdTr'!$G422-'B2-RdTr'!$K422)*'B2-RdTr'!$H422/(('B2-RdTr'!$E80+'B2-RdTr'!$G80-'B2-RdTr'!$K80)*'B2-RdTr'!$H80)*100</f>
        <v>7.8656675788357679</v>
      </c>
      <c r="AZ9" s="152">
        <f>'B2-RdTr'!$N118</f>
        <v>2.7</v>
      </c>
      <c r="BA9" s="152">
        <f>'B2-RdTr'!$N156</f>
        <v>10.1</v>
      </c>
      <c r="BB9" s="152">
        <f>'B2-RdTr'!$N194</f>
        <v>16</v>
      </c>
      <c r="BC9" s="152">
        <f>'B2-RdTr'!$N232</f>
        <v>23.1</v>
      </c>
      <c r="BD9" s="152">
        <f>'B2-RdTr'!$N308</f>
        <v>16.100000000000001</v>
      </c>
      <c r="BE9" s="152">
        <f>'B2-RdTr'!$N346</f>
        <v>10.5</v>
      </c>
      <c r="BF9" s="152">
        <f>'B2-RdTr'!$N384</f>
        <v>12.3</v>
      </c>
      <c r="BG9" s="152">
        <f>'B2-RdTr'!$N422</f>
        <v>9.6</v>
      </c>
    </row>
    <row r="10" spans="1:59">
      <c r="A10" s="46">
        <f t="shared" ref="A10:A45" si="23">A9+1</f>
        <v>1981</v>
      </c>
      <c r="B10" s="141">
        <f t="shared" si="5"/>
        <v>6.7742060793039405E-2</v>
      </c>
      <c r="D10" s="141">
        <f t="shared" si="6"/>
        <v>0.4207663969184034</v>
      </c>
      <c r="E10" s="141">
        <f t="shared" si="7"/>
        <v>0.4885084577114428</v>
      </c>
      <c r="F10" s="46"/>
      <c r="G10" s="157">
        <f t="shared" si="8"/>
        <v>2.9995975873851791E-2</v>
      </c>
      <c r="H10" s="157">
        <f t="shared" si="1"/>
        <v>4.7825599490122286E-2</v>
      </c>
      <c r="I10" s="157">
        <f t="shared" si="1"/>
        <v>5.4870099812284995E-2</v>
      </c>
      <c r="J10" s="157">
        <f t="shared" si="1"/>
        <v>4.9018322567439016E-2</v>
      </c>
      <c r="K10" s="157">
        <f t="shared" si="1"/>
        <v>1.8928814836697241E-2</v>
      </c>
      <c r="L10" s="157">
        <f t="shared" si="1"/>
        <v>6.9698388256064728E-3</v>
      </c>
      <c r="M10" s="157">
        <f t="shared" si="1"/>
        <v>2.7745470531998829E-3</v>
      </c>
      <c r="N10" s="157">
        <f t="shared" si="1"/>
        <v>0</v>
      </c>
      <c r="O10" s="46"/>
      <c r="P10" s="154">
        <f t="shared" si="9"/>
        <v>5.0020120630741072E-2</v>
      </c>
      <c r="Q10" s="154">
        <f t="shared" si="10"/>
        <v>0.1608720025493886</v>
      </c>
      <c r="R10" s="154">
        <f t="shared" si="11"/>
        <v>0.32564950093857514</v>
      </c>
      <c r="S10" s="154">
        <f t="shared" si="12"/>
        <v>0.55490838716280499</v>
      </c>
      <c r="T10" s="154">
        <f t="shared" si="13"/>
        <v>0.71071185163302764</v>
      </c>
      <c r="U10" s="154">
        <f t="shared" si="14"/>
        <v>0.81060322348787062</v>
      </c>
      <c r="V10" s="154">
        <f t="shared" si="15"/>
        <v>0.92063632367000303</v>
      </c>
      <c r="W10" s="162">
        <v>1</v>
      </c>
      <c r="X10" s="154"/>
      <c r="Y10" s="142">
        <f t="shared" ref="Y10:AF45" si="24">(P$4-AH10)*P$3</f>
        <v>3.482587064676617E-2</v>
      </c>
      <c r="Z10" s="142">
        <f t="shared" si="3"/>
        <v>5.492537313432836E-2</v>
      </c>
      <c r="AA10" s="142">
        <f t="shared" si="3"/>
        <v>6.3084577114427873E-2</v>
      </c>
      <c r="AB10" s="142">
        <f t="shared" si="3"/>
        <v>5.7114427860696516E-2</v>
      </c>
      <c r="AC10" s="142">
        <f t="shared" si="3"/>
        <v>2.2437810945273629E-2</v>
      </c>
      <c r="AD10" s="142">
        <f t="shared" si="3"/>
        <v>8.4452736318407946E-3</v>
      </c>
      <c r="AE10" s="142">
        <f t="shared" si="3"/>
        <v>3.4208955223880588E-3</v>
      </c>
      <c r="AF10" s="142">
        <f t="shared" si="3"/>
        <v>0</v>
      </c>
      <c r="AH10" s="158">
        <f t="shared" si="16"/>
        <v>2.5870646766169157E-2</v>
      </c>
      <c r="AI10" s="158">
        <f t="shared" si="17"/>
        <v>0.12537313432835823</v>
      </c>
      <c r="AJ10" s="158">
        <f t="shared" si="18"/>
        <v>0.28457711442786071</v>
      </c>
      <c r="AK10" s="158">
        <f t="shared" si="19"/>
        <v>0.51442786069651747</v>
      </c>
      <c r="AL10" s="158">
        <f t="shared" si="20"/>
        <v>0.67562189054726374</v>
      </c>
      <c r="AM10" s="158">
        <f t="shared" si="21"/>
        <v>0.78109452736318419</v>
      </c>
      <c r="AN10" s="158">
        <f t="shared" si="22"/>
        <v>0.90447761194029863</v>
      </c>
      <c r="AO10" s="158">
        <v>1</v>
      </c>
      <c r="AP10" s="143"/>
      <c r="AQ10" s="152">
        <f>('B2-RdTr'!$E119+'B2-RdTr'!$G119-'B2-RdTr'!$K119)*'B2-RdTr'!$H119/(('B2-RdTr'!$E81+'B2-RdTr'!$G81-'B2-RdTr'!$K81)*'B2-RdTr'!$H81)*100</f>
        <v>5.0414730554083773</v>
      </c>
      <c r="AR10" s="152">
        <f>('B2-RdTr'!$E157+'B2-RdTr'!$G157-'B2-RdTr'!$K157)*'B2-RdTr'!$H157/(('B2-RdTr'!$E81+'B2-RdTr'!$G81-'B2-RdTr'!$K81)*'B2-RdTr'!$H81)*100</f>
        <v>11.172639505605545</v>
      </c>
      <c r="AS10" s="152">
        <f>('B2-RdTr'!$E195+'B2-RdTr'!$G195-'B2-RdTr'!$K195)*'B2-RdTr'!$H195/(('B2-RdTr'!$E81+'B2-RdTr'!$G81-'B2-RdTr'!$K81)*'B2-RdTr'!$H81)*100</f>
        <v>16.60774319996624</v>
      </c>
      <c r="AT10" s="152">
        <f>('B2-RdTr'!$E233+'B2-RdTr'!$G233-'B2-RdTr'!$K233)*'B2-RdTr'!$H233/(('B2-RdTr'!$E81+'B2-RdTr'!$G81-'B2-RdTr'!$K81)*'B2-RdTr'!$H81)*100</f>
        <v>23.10675150395506</v>
      </c>
      <c r="AU10" s="152">
        <f>('B2-RdTr'!$E309+'B2-RdTr'!$G309-'B2-RdTr'!$K309)*'B2-RdTr'!$H309/(('B2-RdTr'!$E81+'B2-RdTr'!$G81-'B2-RdTr'!$K81)*'B2-RdTr'!$H81)*100</f>
        <v>15.70326017133131</v>
      </c>
      <c r="AV10" s="152">
        <f>('B2-RdTr'!$E347+'B2-RdTr'!$G347-'B2-RdTr'!$K347)*'B2-RdTr'!$H347/(('B2-RdTr'!$E81+'B2-RdTr'!$G81-'B2-RdTr'!$K81)*'B2-RdTr'!$H81)*100</f>
        <v>10.067941726723278</v>
      </c>
      <c r="AW10" s="152">
        <f>('B2-RdTr'!$E385+'B2-RdTr'!$G385-'B2-RdTr'!$K385)*'B2-RdTr'!$H385/(('B2-RdTr'!$E81+'B2-RdTr'!$G81-'B2-RdTr'!$K81)*'B2-RdTr'!$H81)*100</f>
        <v>11.09011539309142</v>
      </c>
      <c r="AX10" s="152">
        <f>('B2-RdTr'!$E423+'B2-RdTr'!$G423-'B2-RdTr'!$K423)*'B2-RdTr'!$H423/(('B2-RdTr'!$E81+'B2-RdTr'!$G81-'B2-RdTr'!$K81)*'B2-RdTr'!$H81)*100</f>
        <v>7.9989778263336326</v>
      </c>
      <c r="AZ10" s="152">
        <f>'B2-RdTr'!$N119</f>
        <v>2.6</v>
      </c>
      <c r="BA10" s="152">
        <f>'B2-RdTr'!$N157</f>
        <v>10</v>
      </c>
      <c r="BB10" s="152">
        <f>'B2-RdTr'!$N195</f>
        <v>16</v>
      </c>
      <c r="BC10" s="152">
        <f>'B2-RdTr'!$N233</f>
        <v>23.1</v>
      </c>
      <c r="BD10" s="152">
        <f>'B2-RdTr'!$N309</f>
        <v>16.2</v>
      </c>
      <c r="BE10" s="152">
        <f>'B2-RdTr'!$N347</f>
        <v>10.6</v>
      </c>
      <c r="BF10" s="152">
        <f>'B2-RdTr'!$N385</f>
        <v>12.4</v>
      </c>
      <c r="BG10" s="152">
        <f>'B2-RdTr'!$N423</f>
        <v>9.6</v>
      </c>
    </row>
    <row r="11" spans="1:59">
      <c r="A11" s="46">
        <f t="shared" si="23"/>
        <v>1982</v>
      </c>
      <c r="B11" s="141">
        <f t="shared" si="5"/>
        <v>6.1574945459007102E-2</v>
      </c>
      <c r="D11" s="141">
        <f t="shared" si="6"/>
        <v>0.43987430975449859</v>
      </c>
      <c r="E11" s="141">
        <f t="shared" si="7"/>
        <v>0.5014492552135057</v>
      </c>
      <c r="F11" s="46"/>
      <c r="G11" s="157">
        <f t="shared" si="8"/>
        <v>3.0570590806439868E-2</v>
      </c>
      <c r="H11" s="157">
        <f t="shared" si="1"/>
        <v>4.9605521964012536E-2</v>
      </c>
      <c r="I11" s="157">
        <f t="shared" si="1"/>
        <v>5.7424419028192633E-2</v>
      </c>
      <c r="J11" s="157">
        <f t="shared" si="1"/>
        <v>5.1824506447147978E-2</v>
      </c>
      <c r="K11" s="157">
        <f t="shared" si="1"/>
        <v>2.0044802214613546E-2</v>
      </c>
      <c r="L11" s="157">
        <f t="shared" si="1"/>
        <v>7.4104411014788429E-3</v>
      </c>
      <c r="M11" s="157">
        <f t="shared" si="1"/>
        <v>3.0568733153638885E-3</v>
      </c>
      <c r="N11" s="157">
        <f t="shared" si="1"/>
        <v>0</v>
      </c>
      <c r="O11" s="46"/>
      <c r="P11" s="154">
        <f t="shared" si="9"/>
        <v>4.7147045967800678E-2</v>
      </c>
      <c r="Q11" s="154">
        <f t="shared" si="10"/>
        <v>0.15197239017993736</v>
      </c>
      <c r="R11" s="154">
        <f t="shared" si="11"/>
        <v>0.31287790485903694</v>
      </c>
      <c r="S11" s="154">
        <f t="shared" si="12"/>
        <v>0.54087746776426016</v>
      </c>
      <c r="T11" s="154">
        <f t="shared" si="13"/>
        <v>0.69955197785386458</v>
      </c>
      <c r="U11" s="154">
        <f t="shared" si="14"/>
        <v>0.80179117797042321</v>
      </c>
      <c r="V11" s="154">
        <f t="shared" si="15"/>
        <v>0.91357816711590289</v>
      </c>
      <c r="W11" s="162">
        <v>1</v>
      </c>
      <c r="X11" s="154"/>
      <c r="Y11" s="142">
        <f t="shared" si="24"/>
        <v>3.5233366434955317E-2</v>
      </c>
      <c r="Z11" s="142">
        <f t="shared" si="3"/>
        <v>5.6166832174776575E-2</v>
      </c>
      <c r="AA11" s="142">
        <f t="shared" si="3"/>
        <v>6.4786494538232403E-2</v>
      </c>
      <c r="AB11" s="142">
        <f t="shared" si="3"/>
        <v>5.8907646474677278E-2</v>
      </c>
      <c r="AC11" s="142">
        <f t="shared" si="3"/>
        <v>2.3167825223435957E-2</v>
      </c>
      <c r="AD11" s="142">
        <f t="shared" si="3"/>
        <v>8.7711022840119227E-3</v>
      </c>
      <c r="AE11" s="142">
        <f t="shared" si="3"/>
        <v>3.6913604766633636E-3</v>
      </c>
      <c r="AF11" s="142">
        <f t="shared" si="3"/>
        <v>0</v>
      </c>
      <c r="AH11" s="158">
        <f t="shared" si="16"/>
        <v>2.383316782522343E-2</v>
      </c>
      <c r="AI11" s="158">
        <f t="shared" si="17"/>
        <v>0.11916583912611715</v>
      </c>
      <c r="AJ11" s="158">
        <f t="shared" si="18"/>
        <v>0.2760675273088381</v>
      </c>
      <c r="AK11" s="158">
        <f t="shared" si="19"/>
        <v>0.50546176762661366</v>
      </c>
      <c r="AL11" s="158">
        <f t="shared" si="20"/>
        <v>0.66832174776564046</v>
      </c>
      <c r="AM11" s="158">
        <f t="shared" si="21"/>
        <v>0.77457795431976162</v>
      </c>
      <c r="AN11" s="158">
        <f t="shared" si="22"/>
        <v>0.89771598808341602</v>
      </c>
      <c r="AO11" s="158">
        <v>1</v>
      </c>
      <c r="AP11" s="143"/>
      <c r="AQ11" s="152">
        <f>('B2-RdTr'!$E120+'B2-RdTr'!$G120-'B2-RdTr'!$K120)*'B2-RdTr'!$H120/(('B2-RdTr'!$E82+'B2-RdTr'!$G82-'B2-RdTr'!$K82)*'B2-RdTr'!$H82)*100</f>
        <v>4.7518418836659162</v>
      </c>
      <c r="AR11" s="152">
        <f>('B2-RdTr'!$E158+'B2-RdTr'!$G158-'B2-RdTr'!$K158)*'B2-RdTr'!$H158/(('B2-RdTr'!$E82+'B2-RdTr'!$G82-'B2-RdTr'!$K82)*'B2-RdTr'!$H82)*100</f>
        <v>10.565104363847457</v>
      </c>
      <c r="AS11" s="152">
        <f>('B2-RdTr'!$E196+'B2-RdTr'!$G196-'B2-RdTr'!$K196)*'B2-RdTr'!$H196/(('B2-RdTr'!$E82+'B2-RdTr'!$G82-'B2-RdTr'!$K82)*'B2-RdTr'!$H82)*100</f>
        <v>16.21729523599744</v>
      </c>
      <c r="AT11" s="152">
        <f>('B2-RdTr'!$E234+'B2-RdTr'!$G234-'B2-RdTr'!$K234)*'B2-RdTr'!$H234/(('B2-RdTr'!$E82+'B2-RdTr'!$G82-'B2-RdTr'!$K82)*'B2-RdTr'!$H82)*100</f>
        <v>22.979549412501633</v>
      </c>
      <c r="AU11" s="152">
        <f>('B2-RdTr'!$E310+'B2-RdTr'!$G310-'B2-RdTr'!$K310)*'B2-RdTr'!$H310/(('B2-RdTr'!$E82+'B2-RdTr'!$G82-'B2-RdTr'!$K82)*'B2-RdTr'!$H82)*100</f>
        <v>15.992437435611508</v>
      </c>
      <c r="AV11" s="152">
        <f>('B2-RdTr'!$E348+'B2-RdTr'!$G348-'B2-RdTr'!$K348)*'B2-RdTr'!$H348/(('B2-RdTr'!$E82+'B2-RdTr'!$G82-'B2-RdTr'!$K82)*'B2-RdTr'!$H82)*100</f>
        <v>10.304452872787847</v>
      </c>
      <c r="AW11" s="152">
        <f>('B2-RdTr'!$E386+'B2-RdTr'!$G386-'B2-RdTr'!$K386)*'B2-RdTr'!$H386/(('B2-RdTr'!$E82+'B2-RdTr'!$G82-'B2-RdTr'!$K82)*'B2-RdTr'!$H82)*100</f>
        <v>11.266752479745589</v>
      </c>
      <c r="AX11" s="152">
        <f>('B2-RdTr'!$E424+'B2-RdTr'!$G424-'B2-RdTr'!$K424)*'B2-RdTr'!$H424/(('B2-RdTr'!$E82+'B2-RdTr'!$G82-'B2-RdTr'!$K82)*'B2-RdTr'!$H82)*100</f>
        <v>8.7102569573986255</v>
      </c>
      <c r="AZ11" s="152">
        <f>'B2-RdTr'!$N120</f>
        <v>2.4</v>
      </c>
      <c r="BA11" s="152">
        <f>'B2-RdTr'!$N158</f>
        <v>9.6</v>
      </c>
      <c r="BB11" s="152">
        <f>'B2-RdTr'!$N196</f>
        <v>15.8</v>
      </c>
      <c r="BC11" s="152">
        <f>'B2-RdTr'!$N234</f>
        <v>23.1</v>
      </c>
      <c r="BD11" s="152">
        <f>'B2-RdTr'!$N310</f>
        <v>16.399999999999999</v>
      </c>
      <c r="BE11" s="152">
        <f>'B2-RdTr'!$N348</f>
        <v>10.7</v>
      </c>
      <c r="BF11" s="152">
        <f>'B2-RdTr'!$N386</f>
        <v>12.4</v>
      </c>
      <c r="BG11" s="152">
        <f>'B2-RdTr'!$N424</f>
        <v>10.3</v>
      </c>
    </row>
    <row r="12" spans="1:59">
      <c r="A12" s="46">
        <f t="shared" si="23"/>
        <v>1983</v>
      </c>
      <c r="B12" s="141">
        <f t="shared" si="5"/>
        <v>6.2667417846481166E-2</v>
      </c>
      <c r="D12" s="141">
        <f t="shared" si="6"/>
        <v>0.45317940755034419</v>
      </c>
      <c r="E12" s="141">
        <f t="shared" si="7"/>
        <v>0.51584682539682536</v>
      </c>
      <c r="F12" s="46"/>
      <c r="G12" s="157">
        <f t="shared" si="8"/>
        <v>3.0891368038981487E-2</v>
      </c>
      <c r="H12" s="157">
        <f t="shared" si="1"/>
        <v>5.0807161324081057E-2</v>
      </c>
      <c r="I12" s="157">
        <f t="shared" si="1"/>
        <v>5.9283293555559016E-2</v>
      </c>
      <c r="J12" s="157">
        <f t="shared" si="1"/>
        <v>5.3642106006848711E-2</v>
      </c>
      <c r="K12" s="157">
        <f t="shared" si="1"/>
        <v>2.0890661532721178E-2</v>
      </c>
      <c r="L12" s="157">
        <f t="shared" si="1"/>
        <v>7.8038418485736338E-3</v>
      </c>
      <c r="M12" s="157">
        <f t="shared" si="1"/>
        <v>3.2712714684070311E-3</v>
      </c>
      <c r="N12" s="157">
        <f t="shared" si="1"/>
        <v>0</v>
      </c>
      <c r="O12" s="46"/>
      <c r="P12" s="154">
        <f t="shared" si="9"/>
        <v>4.5543159805092583E-2</v>
      </c>
      <c r="Q12" s="154">
        <f t="shared" si="10"/>
        <v>0.14596419337959476</v>
      </c>
      <c r="R12" s="154">
        <f t="shared" si="11"/>
        <v>0.30358353222220502</v>
      </c>
      <c r="S12" s="154">
        <f t="shared" si="12"/>
        <v>0.53178946996575649</v>
      </c>
      <c r="T12" s="154">
        <f t="shared" si="13"/>
        <v>0.69109338467278825</v>
      </c>
      <c r="U12" s="154">
        <f t="shared" si="14"/>
        <v>0.79392316302852739</v>
      </c>
      <c r="V12" s="154">
        <f t="shared" si="15"/>
        <v>0.90821821328982433</v>
      </c>
      <c r="W12" s="162">
        <v>1</v>
      </c>
      <c r="X12" s="154"/>
      <c r="Y12" s="142">
        <f t="shared" si="24"/>
        <v>3.5634920634920637E-2</v>
      </c>
      <c r="Z12" s="142">
        <f t="shared" si="3"/>
        <v>5.7182539682539682E-2</v>
      </c>
      <c r="AA12" s="142">
        <f t="shared" si="3"/>
        <v>6.6626984126984132E-2</v>
      </c>
      <c r="AB12" s="142">
        <f t="shared" si="3"/>
        <v>6.0992063492063479E-2</v>
      </c>
      <c r="AC12" s="142">
        <f t="shared" si="3"/>
        <v>2.4226190476190471E-2</v>
      </c>
      <c r="AD12" s="142">
        <f t="shared" si="3"/>
        <v>9.2559523809523769E-3</v>
      </c>
      <c r="AE12" s="142">
        <f t="shared" si="3"/>
        <v>4.0047619047619025E-3</v>
      </c>
      <c r="AF12" s="142">
        <f t="shared" si="3"/>
        <v>0</v>
      </c>
      <c r="AH12" s="158">
        <f t="shared" si="16"/>
        <v>2.1825396825396831E-2</v>
      </c>
      <c r="AI12" s="158">
        <f t="shared" si="17"/>
        <v>0.11408730158730161</v>
      </c>
      <c r="AJ12" s="158">
        <f t="shared" si="18"/>
        <v>0.26686507936507942</v>
      </c>
      <c r="AK12" s="158">
        <f t="shared" si="19"/>
        <v>0.49503968253968267</v>
      </c>
      <c r="AL12" s="158">
        <f t="shared" si="20"/>
        <v>0.65773809523809534</v>
      </c>
      <c r="AM12" s="158">
        <f t="shared" si="21"/>
        <v>0.76488095238095255</v>
      </c>
      <c r="AN12" s="158">
        <f t="shared" si="22"/>
        <v>0.88988095238095255</v>
      </c>
      <c r="AO12" s="158">
        <v>1</v>
      </c>
      <c r="AP12" s="143"/>
      <c r="AQ12" s="152">
        <f>('B2-RdTr'!$E121+'B2-RdTr'!$G121-'B2-RdTr'!$K121)*'B2-RdTr'!$H121/(('B2-RdTr'!$E83+'B2-RdTr'!$G83-'B2-RdTr'!$K83)*'B2-RdTr'!$H83)*100</f>
        <v>4.5881599316713828</v>
      </c>
      <c r="AR12" s="152">
        <f>('B2-RdTr'!$E159+'B2-RdTr'!$G159-'B2-RdTr'!$K159)*'B2-RdTr'!$H159/(('B2-RdTr'!$E83+'B2-RdTr'!$G83-'B2-RdTr'!$K83)*'B2-RdTr'!$H83)*100</f>
        <v>10.116728055659355</v>
      </c>
      <c r="AS12" s="152">
        <f>('B2-RdTr'!$E197+'B2-RdTr'!$G197-'B2-RdTr'!$K197)*'B2-RdTr'!$H197/(('B2-RdTr'!$E83+'B2-RdTr'!$G83-'B2-RdTr'!$K83)*'B2-RdTr'!$H83)*100</f>
        <v>15.879063684407196</v>
      </c>
      <c r="AT12" s="152">
        <f>('B2-RdTr'!$E235+'B2-RdTr'!$G235-'B2-RdTr'!$K235)*'B2-RdTr'!$H235/(('B2-RdTr'!$E83+'B2-RdTr'!$G83-'B2-RdTr'!$K83)*'B2-RdTr'!$H83)*100</f>
        <v>22.990177761170131</v>
      </c>
      <c r="AU12" s="152">
        <f>('B2-RdTr'!$E311+'B2-RdTr'!$G311-'B2-RdTr'!$K311)*'B2-RdTr'!$H311/(('B2-RdTr'!$E83+'B2-RdTr'!$G83-'B2-RdTr'!$K83)*'B2-RdTr'!$H83)*100</f>
        <v>16.048773109841814</v>
      </c>
      <c r="AV12" s="152">
        <f>('B2-RdTr'!$E349+'B2-RdTr'!$G349-'B2-RdTr'!$K349)*'B2-RdTr'!$H349/(('B2-RdTr'!$E83+'B2-RdTr'!$G83-'B2-RdTr'!$K83)*'B2-RdTr'!$H83)*100</f>
        <v>10.359392515881066</v>
      </c>
      <c r="AW12" s="152">
        <f>('B2-RdTr'!$E387+'B2-RdTr'!$G387-'B2-RdTr'!$K387)*'B2-RdTr'!$H387/(('B2-RdTr'!$E83+'B2-RdTr'!$G83-'B2-RdTr'!$K83)*'B2-RdTr'!$H83)*100</f>
        <v>11.514439758714568</v>
      </c>
      <c r="AX12" s="152">
        <f>('B2-RdTr'!$E425+'B2-RdTr'!$G425-'B2-RdTr'!$K425)*'B2-RdTr'!$H425/(('B2-RdTr'!$E83+'B2-RdTr'!$G83-'B2-RdTr'!$K83)*'B2-RdTr'!$H83)*100</f>
        <v>9.2463833876047623</v>
      </c>
      <c r="AZ12" s="152">
        <f>'B2-RdTr'!$N121</f>
        <v>2.2000000000000002</v>
      </c>
      <c r="BA12" s="152">
        <f>'B2-RdTr'!$N159</f>
        <v>9.3000000000000007</v>
      </c>
      <c r="BB12" s="152">
        <f>'B2-RdTr'!$N197</f>
        <v>15.4</v>
      </c>
      <c r="BC12" s="152">
        <f>'B2-RdTr'!$N235</f>
        <v>23</v>
      </c>
      <c r="BD12" s="152">
        <f>'B2-RdTr'!$N311</f>
        <v>16.399999999999999</v>
      </c>
      <c r="BE12" s="152">
        <f>'B2-RdTr'!$N349</f>
        <v>10.8</v>
      </c>
      <c r="BF12" s="152">
        <f>'B2-RdTr'!$N387</f>
        <v>12.6</v>
      </c>
      <c r="BG12" s="152">
        <f>'B2-RdTr'!$N425</f>
        <v>11.1</v>
      </c>
    </row>
    <row r="13" spans="1:59">
      <c r="A13" s="46">
        <f t="shared" si="23"/>
        <v>1984</v>
      </c>
      <c r="B13" s="141">
        <f t="shared" si="5"/>
        <v>5.791525247690632E-2</v>
      </c>
      <c r="D13" s="141">
        <f t="shared" si="6"/>
        <v>0.45053077926912566</v>
      </c>
      <c r="E13" s="141">
        <f t="shared" si="7"/>
        <v>0.50844603174603198</v>
      </c>
      <c r="F13" s="46"/>
      <c r="G13" s="157">
        <f t="shared" si="8"/>
        <v>3.0556644180538113E-2</v>
      </c>
      <c r="H13" s="157">
        <f t="shared" si="1"/>
        <v>5.0213584130711357E-2</v>
      </c>
      <c r="I13" s="157">
        <f t="shared" si="1"/>
        <v>5.8731095084005938E-2</v>
      </c>
      <c r="J13" s="157">
        <f t="shared" si="1"/>
        <v>5.3454613883582108E-2</v>
      </c>
      <c r="K13" s="157">
        <f t="shared" si="1"/>
        <v>2.0983607898644674E-2</v>
      </c>
      <c r="L13" s="157">
        <f t="shared" si="1"/>
        <v>7.9608565455906496E-3</v>
      </c>
      <c r="M13" s="157">
        <f t="shared" si="1"/>
        <v>3.3649879114900074E-3</v>
      </c>
      <c r="N13" s="157">
        <f t="shared" si="1"/>
        <v>0</v>
      </c>
      <c r="O13" s="46"/>
      <c r="P13" s="154">
        <f t="shared" si="9"/>
        <v>4.7216779097309446E-2</v>
      </c>
      <c r="Q13" s="154">
        <f t="shared" si="10"/>
        <v>0.14893207934644323</v>
      </c>
      <c r="R13" s="154">
        <f t="shared" si="11"/>
        <v>0.30634452457997041</v>
      </c>
      <c r="S13" s="154">
        <f t="shared" si="12"/>
        <v>0.53272693058208953</v>
      </c>
      <c r="T13" s="154">
        <f t="shared" si="13"/>
        <v>0.69016392101355328</v>
      </c>
      <c r="U13" s="154">
        <f t="shared" si="14"/>
        <v>0.79078286908818707</v>
      </c>
      <c r="V13" s="154">
        <f t="shared" si="15"/>
        <v>0.90587530221274992</v>
      </c>
      <c r="W13" s="162">
        <v>1</v>
      </c>
      <c r="X13" s="154"/>
      <c r="Y13" s="142">
        <f t="shared" si="24"/>
        <v>3.4841269841269847E-2</v>
      </c>
      <c r="Z13" s="142">
        <f t="shared" si="3"/>
        <v>5.5992063492063496E-2</v>
      </c>
      <c r="AA13" s="142">
        <f t="shared" si="3"/>
        <v>6.5436507936507959E-2</v>
      </c>
      <c r="AB13" s="142">
        <f t="shared" si="3"/>
        <v>6.0396825396825421E-2</v>
      </c>
      <c r="AC13" s="142">
        <f t="shared" si="3"/>
        <v>2.4126984126984143E-2</v>
      </c>
      <c r="AD13" s="142">
        <f t="shared" si="3"/>
        <v>9.3055555555555669E-3</v>
      </c>
      <c r="AE13" s="142">
        <f t="shared" si="3"/>
        <v>4.1238095238095339E-3</v>
      </c>
      <c r="AF13" s="142">
        <f t="shared" si="3"/>
        <v>0</v>
      </c>
      <c r="AH13" s="158">
        <f t="shared" si="16"/>
        <v>2.5793650793650792E-2</v>
      </c>
      <c r="AI13" s="158">
        <f t="shared" si="17"/>
        <v>0.12003968253968253</v>
      </c>
      <c r="AJ13" s="158">
        <f t="shared" si="18"/>
        <v>0.27281746031746029</v>
      </c>
      <c r="AK13" s="158">
        <f t="shared" si="19"/>
        <v>0.49801587301587297</v>
      </c>
      <c r="AL13" s="158">
        <f t="shared" si="20"/>
        <v>0.65873015873015861</v>
      </c>
      <c r="AM13" s="158">
        <f t="shared" si="21"/>
        <v>0.76388888888888873</v>
      </c>
      <c r="AN13" s="158">
        <f t="shared" si="22"/>
        <v>0.88690476190476175</v>
      </c>
      <c r="AO13" s="158">
        <v>1</v>
      </c>
      <c r="AP13" s="143"/>
      <c r="AQ13" s="152">
        <f>('B2-RdTr'!$E122+'B2-RdTr'!$G122-'B2-RdTr'!$K122)*'B2-RdTr'!$H122/(('B2-RdTr'!$E84+'B2-RdTr'!$G84-'B2-RdTr'!$K84)*'B2-RdTr'!$H84)*100</f>
        <v>4.7612368820539892</v>
      </c>
      <c r="AR13" s="152">
        <f>('B2-RdTr'!$E160+'B2-RdTr'!$G160-'B2-RdTr'!$K160)*'B2-RdTr'!$H160/(('B2-RdTr'!$E84+'B2-RdTr'!$G84-'B2-RdTr'!$K84)*'B2-RdTr'!$H84)*100</f>
        <v>10.256748729456802</v>
      </c>
      <c r="AS13" s="152">
        <f>('B2-RdTr'!$E198+'B2-RdTr'!$G198-'B2-RdTr'!$K198)*'B2-RdTr'!$H198/(('B2-RdTr'!$E84+'B2-RdTr'!$G84-'B2-RdTr'!$K84)*'B2-RdTr'!$H84)*100</f>
        <v>15.873127186324338</v>
      </c>
      <c r="AT13" s="152">
        <f>('B2-RdTr'!$E236+'B2-RdTr'!$G236-'B2-RdTr'!$K236)*'B2-RdTr'!$H236/(('B2-RdTr'!$E84+'B2-RdTr'!$G84-'B2-RdTr'!$K84)*'B2-RdTr'!$H84)*100</f>
        <v>22.827907398851561</v>
      </c>
      <c r="AU13" s="152">
        <f>('B2-RdTr'!$E312+'B2-RdTr'!$G312-'B2-RdTr'!$K312)*'B2-RdTr'!$H312/(('B2-RdTr'!$E84+'B2-RdTr'!$G84-'B2-RdTr'!$K84)*'B2-RdTr'!$H84)*100</f>
        <v>15.875602270477195</v>
      </c>
      <c r="AV13" s="152">
        <f>('B2-RdTr'!$E350+'B2-RdTr'!$G350-'B2-RdTr'!$K350)*'B2-RdTr'!$H350/(('B2-RdTr'!$E84+'B2-RdTr'!$G84-'B2-RdTr'!$K84)*'B2-RdTr'!$H84)*100</f>
        <v>10.146194970629002</v>
      </c>
      <c r="AW13" s="152">
        <f>('B2-RdTr'!$E388+'B2-RdTr'!$G388-'B2-RdTr'!$K388)*'B2-RdTr'!$H388/(('B2-RdTr'!$E84+'B2-RdTr'!$G84-'B2-RdTr'!$K84)*'B2-RdTr'!$H84)*100</f>
        <v>11.605669592766155</v>
      </c>
      <c r="AX13" s="152">
        <f>('B2-RdTr'!$E426+'B2-RdTr'!$G426-'B2-RdTr'!$K426)*'B2-RdTr'!$H426/(('B2-RdTr'!$E84+'B2-RdTr'!$G84-'B2-RdTr'!$K84)*'B2-RdTr'!$H84)*100</f>
        <v>9.4913289551844766</v>
      </c>
      <c r="AZ13" s="152">
        <f>'B2-RdTr'!$N122</f>
        <v>2.6</v>
      </c>
      <c r="BA13" s="152">
        <f>'B2-RdTr'!$N160</f>
        <v>9.5</v>
      </c>
      <c r="BB13" s="152">
        <f>'B2-RdTr'!$N198</f>
        <v>15.4</v>
      </c>
      <c r="BC13" s="152">
        <f>'B2-RdTr'!$N236</f>
        <v>22.7</v>
      </c>
      <c r="BD13" s="152">
        <f>'B2-RdTr'!$N312</f>
        <v>16.2</v>
      </c>
      <c r="BE13" s="152">
        <f>'B2-RdTr'!$N350</f>
        <v>10.6</v>
      </c>
      <c r="BF13" s="152">
        <f>'B2-RdTr'!$N388</f>
        <v>12.4</v>
      </c>
      <c r="BG13" s="152">
        <f>'B2-RdTr'!$N426</f>
        <v>11.4</v>
      </c>
    </row>
    <row r="14" spans="1:59">
      <c r="A14" s="46">
        <f t="shared" si="23"/>
        <v>1985</v>
      </c>
      <c r="B14" s="141">
        <f t="shared" si="5"/>
        <v>6.2747866043820322E-2</v>
      </c>
      <c r="D14" s="141">
        <f t="shared" si="6"/>
        <v>0.4574104259124856</v>
      </c>
      <c r="E14" s="141">
        <f t="shared" si="7"/>
        <v>0.52015829195630592</v>
      </c>
      <c r="F14" s="46"/>
      <c r="G14" s="157">
        <f t="shared" si="8"/>
        <v>3.0640157689546723E-2</v>
      </c>
      <c r="H14" s="157">
        <f t="shared" si="1"/>
        <v>5.063349475095285E-2</v>
      </c>
      <c r="I14" s="157">
        <f t="shared" si="1"/>
        <v>5.9538591502373686E-2</v>
      </c>
      <c r="J14" s="157">
        <f t="shared" si="1"/>
        <v>5.4572481270400312E-2</v>
      </c>
      <c r="K14" s="157">
        <f t="shared" si="1"/>
        <v>2.1578759503611079E-2</v>
      </c>
      <c r="L14" s="157">
        <f t="shared" si="1"/>
        <v>8.2039315303738813E-3</v>
      </c>
      <c r="M14" s="157">
        <f t="shared" si="1"/>
        <v>3.5377967089842643E-3</v>
      </c>
      <c r="N14" s="157">
        <f t="shared" si="1"/>
        <v>0</v>
      </c>
      <c r="O14" s="46"/>
      <c r="P14" s="154">
        <f t="shared" si="9"/>
        <v>4.67992115522664E-2</v>
      </c>
      <c r="Q14" s="154">
        <f t="shared" si="10"/>
        <v>0.14683252624523582</v>
      </c>
      <c r="R14" s="154">
        <f t="shared" si="11"/>
        <v>0.30230704248813167</v>
      </c>
      <c r="S14" s="154">
        <f t="shared" si="12"/>
        <v>0.5271375936479985</v>
      </c>
      <c r="T14" s="154">
        <f t="shared" si="13"/>
        <v>0.68421240496388924</v>
      </c>
      <c r="U14" s="154">
        <f t="shared" si="14"/>
        <v>0.78592136939252244</v>
      </c>
      <c r="V14" s="154">
        <f t="shared" si="15"/>
        <v>0.90155508227539349</v>
      </c>
      <c r="W14" s="162">
        <v>1</v>
      </c>
      <c r="X14" s="154"/>
      <c r="Y14" s="142">
        <f t="shared" si="24"/>
        <v>3.5233366434955317E-2</v>
      </c>
      <c r="Z14" s="142">
        <f t="shared" si="3"/>
        <v>5.6762661370407155E-2</v>
      </c>
      <c r="AA14" s="142">
        <f t="shared" si="3"/>
        <v>6.6772591857001004E-2</v>
      </c>
      <c r="AB14" s="142">
        <f t="shared" si="3"/>
        <v>6.2085402184707053E-2</v>
      </c>
      <c r="AC14" s="142">
        <f t="shared" si="3"/>
        <v>2.5054617676266135E-2</v>
      </c>
      <c r="AD14" s="142">
        <f t="shared" si="3"/>
        <v>9.7641509433962284E-3</v>
      </c>
      <c r="AE14" s="142">
        <f t="shared" si="3"/>
        <v>4.4063555114200615E-3</v>
      </c>
      <c r="AF14" s="142">
        <f t="shared" si="3"/>
        <v>0</v>
      </c>
      <c r="AH14" s="158">
        <f t="shared" si="16"/>
        <v>2.3833167825223437E-2</v>
      </c>
      <c r="AI14" s="158">
        <f t="shared" si="17"/>
        <v>0.11618669314796426</v>
      </c>
      <c r="AJ14" s="158">
        <f t="shared" si="18"/>
        <v>0.26613704071499505</v>
      </c>
      <c r="AK14" s="158">
        <f t="shared" si="19"/>
        <v>0.48957298907646479</v>
      </c>
      <c r="AL14" s="158">
        <f t="shared" si="20"/>
        <v>0.64945382323733869</v>
      </c>
      <c r="AM14" s="158">
        <f t="shared" si="21"/>
        <v>0.75471698113207553</v>
      </c>
      <c r="AN14" s="158">
        <f t="shared" si="22"/>
        <v>0.87984111221449857</v>
      </c>
      <c r="AO14" s="158">
        <v>1</v>
      </c>
      <c r="AP14" s="143"/>
      <c r="AQ14" s="152">
        <f>('B2-RdTr'!$E123+'B2-RdTr'!$G123-'B2-RdTr'!$K123)*'B2-RdTr'!$H123/(('B2-RdTr'!$E85+'B2-RdTr'!$G85-'B2-RdTr'!$K85)*'B2-RdTr'!$H85)*100</f>
        <v>4.6955082290771344</v>
      </c>
      <c r="AR14" s="152">
        <f>('B2-RdTr'!$E161+'B2-RdTr'!$G161-'B2-RdTr'!$K161)*'B2-RdTr'!$H161/(('B2-RdTr'!$E85+'B2-RdTr'!$G85-'B2-RdTr'!$K85)*'B2-RdTr'!$H85)*100</f>
        <v>10.036648839652376</v>
      </c>
      <c r="AS14" s="152">
        <f>('B2-RdTr'!$E199+'B2-RdTr'!$G199-'B2-RdTr'!$K199)*'B2-RdTr'!$H199/(('B2-RdTr'!$E85+'B2-RdTr'!$G85-'B2-RdTr'!$K85)*'B2-RdTr'!$H85)*100</f>
        <v>15.599234393404004</v>
      </c>
      <c r="AT14" s="152">
        <f>('B2-RdTr'!$E237+'B2-RdTr'!$G237-'B2-RdTr'!$K237)*'B2-RdTr'!$H237/(('B2-RdTr'!$E85+'B2-RdTr'!$G85-'B2-RdTr'!$K85)*'B2-RdTr'!$H85)*100</f>
        <v>22.557937796453697</v>
      </c>
      <c r="AU14" s="152">
        <f>('B2-RdTr'!$E313+'B2-RdTr'!$G313-'B2-RdTr'!$K313)*'B2-RdTr'!$H313/(('B2-RdTr'!$E85+'B2-RdTr'!$G85-'B2-RdTr'!$K85)*'B2-RdTr'!$H85)*100</f>
        <v>15.759796899372871</v>
      </c>
      <c r="AV14" s="152">
        <f>('B2-RdTr'!$E351+'B2-RdTr'!$G351-'B2-RdTr'!$K351)*'B2-RdTr'!$H351/(('B2-RdTr'!$E85+'B2-RdTr'!$G85-'B2-RdTr'!$K85)*'B2-RdTr'!$H85)*100</f>
        <v>10.204771909718904</v>
      </c>
      <c r="AW14" s="152">
        <f>('B2-RdTr'!$E389+'B2-RdTr'!$G389-'B2-RdTr'!$K389)*'B2-RdTr'!$H389/(('B2-RdTr'!$E85+'B2-RdTr'!$G85-'B2-RdTr'!$K85)*'B2-RdTr'!$H85)*100</f>
        <v>11.601884570082451</v>
      </c>
      <c r="AX14" s="152">
        <f>('B2-RdTr'!$E427+'B2-RdTr'!$G427-'B2-RdTr'!$K427)*'B2-RdTr'!$H427/(('B2-RdTr'!$E85+'B2-RdTr'!$G85-'B2-RdTr'!$K85)*'B2-RdTr'!$H85)*100</f>
        <v>9.8772801069620861</v>
      </c>
      <c r="AZ14" s="152">
        <f>'B2-RdTr'!$N123</f>
        <v>2.4</v>
      </c>
      <c r="BA14" s="152">
        <f>'B2-RdTr'!$N161</f>
        <v>9.3000000000000007</v>
      </c>
      <c r="BB14" s="152">
        <f>'B2-RdTr'!$N199</f>
        <v>15.1</v>
      </c>
      <c r="BC14" s="152">
        <f>'B2-RdTr'!$N237</f>
        <v>22.5</v>
      </c>
      <c r="BD14" s="152">
        <f>'B2-RdTr'!$N313</f>
        <v>16.100000000000001</v>
      </c>
      <c r="BE14" s="152">
        <f>'B2-RdTr'!$N351</f>
        <v>10.6</v>
      </c>
      <c r="BF14" s="152">
        <f>'B2-RdTr'!$N389</f>
        <v>12.6</v>
      </c>
      <c r="BG14" s="152">
        <f>'B2-RdTr'!$N427</f>
        <v>12.1</v>
      </c>
    </row>
    <row r="15" spans="1:59">
      <c r="A15" s="46">
        <f t="shared" si="23"/>
        <v>1986</v>
      </c>
      <c r="B15" s="141">
        <f t="shared" si="5"/>
        <v>5.4764739100254367E-2</v>
      </c>
      <c r="D15" s="141">
        <f t="shared" si="6"/>
        <v>0.49447494343942811</v>
      </c>
      <c r="E15" s="141">
        <f t="shared" si="7"/>
        <v>0.54923968253968247</v>
      </c>
      <c r="F15" s="46"/>
      <c r="G15" s="157">
        <f t="shared" si="8"/>
        <v>3.1367902670385889E-2</v>
      </c>
      <c r="H15" s="157">
        <f t="shared" si="1"/>
        <v>5.2756794083173575E-2</v>
      </c>
      <c r="I15" s="157">
        <f t="shared" si="1"/>
        <v>6.3194468421483047E-2</v>
      </c>
      <c r="J15" s="157">
        <f t="shared" si="1"/>
        <v>6.0087407663162506E-2</v>
      </c>
      <c r="K15" s="157">
        <f t="shared" si="1"/>
        <v>2.4905641519548619E-2</v>
      </c>
      <c r="L15" s="157">
        <f t="shared" si="1"/>
        <v>9.986302801224806E-3</v>
      </c>
      <c r="M15" s="157">
        <f t="shared" si="1"/>
        <v>4.9389545607356131E-3</v>
      </c>
      <c r="N15" s="157">
        <f t="shared" si="1"/>
        <v>0</v>
      </c>
      <c r="O15" s="46"/>
      <c r="P15" s="154">
        <f t="shared" si="9"/>
        <v>4.3160486648070567E-2</v>
      </c>
      <c r="Q15" s="154">
        <f t="shared" si="10"/>
        <v>0.13621602958413212</v>
      </c>
      <c r="R15" s="154">
        <f t="shared" si="11"/>
        <v>0.28402765789258488</v>
      </c>
      <c r="S15" s="154">
        <f t="shared" si="12"/>
        <v>0.49956296168418751</v>
      </c>
      <c r="T15" s="154">
        <f t="shared" si="13"/>
        <v>0.65094358480451386</v>
      </c>
      <c r="U15" s="154">
        <f t="shared" si="14"/>
        <v>0.75027394397550395</v>
      </c>
      <c r="V15" s="154">
        <f t="shared" si="15"/>
        <v>0.86652613598160977</v>
      </c>
      <c r="W15" s="162">
        <v>1</v>
      </c>
      <c r="X15" s="154"/>
      <c r="Y15" s="142">
        <f t="shared" si="24"/>
        <v>3.5634920634920637E-2</v>
      </c>
      <c r="Z15" s="142">
        <f t="shared" si="3"/>
        <v>5.8373015873015882E-2</v>
      </c>
      <c r="AA15" s="142">
        <f t="shared" si="3"/>
        <v>6.9603174603174611E-2</v>
      </c>
      <c r="AB15" s="142">
        <f t="shared" si="3"/>
        <v>6.6547619047619036E-2</v>
      </c>
      <c r="AC15" s="142">
        <f t="shared" si="3"/>
        <v>2.779761904761904E-2</v>
      </c>
      <c r="AD15" s="142">
        <f t="shared" si="3"/>
        <v>1.119047619047619E-2</v>
      </c>
      <c r="AE15" s="142">
        <f t="shared" si="3"/>
        <v>5.4730158730158743E-3</v>
      </c>
      <c r="AF15" s="142">
        <f t="shared" si="3"/>
        <v>0</v>
      </c>
      <c r="AH15" s="158">
        <f t="shared" si="16"/>
        <v>2.1825396825396831E-2</v>
      </c>
      <c r="AI15" s="158">
        <f t="shared" si="17"/>
        <v>0.10813492063492065</v>
      </c>
      <c r="AJ15" s="158">
        <f t="shared" si="18"/>
        <v>0.25198412698412703</v>
      </c>
      <c r="AK15" s="158">
        <f t="shared" si="19"/>
        <v>0.46726190476190488</v>
      </c>
      <c r="AL15" s="158">
        <f t="shared" si="20"/>
        <v>0.62202380952380965</v>
      </c>
      <c r="AM15" s="158">
        <f t="shared" si="21"/>
        <v>0.72619047619047628</v>
      </c>
      <c r="AN15" s="158">
        <f t="shared" si="22"/>
        <v>0.85317460317460325</v>
      </c>
      <c r="AO15" s="158">
        <v>1</v>
      </c>
      <c r="AP15" s="143"/>
      <c r="AQ15" s="152">
        <f>('B2-RdTr'!$E124+'B2-RdTr'!$G124-'B2-RdTr'!$K124)*'B2-RdTr'!$H124/(('B2-RdTr'!$E86+'B2-RdTr'!$G86-'B2-RdTr'!$K86)*'B2-RdTr'!$H86)*100</f>
        <v>4.3668355105305245</v>
      </c>
      <c r="AR15" s="152">
        <f>('B2-RdTr'!$E162+'B2-RdTr'!$G162-'B2-RdTr'!$K162)*'B2-RdTr'!$H162/(('B2-RdTr'!$E86+'B2-RdTr'!$G86-'B2-RdTr'!$K86)*'B2-RdTr'!$H86)*100</f>
        <v>9.4150525377140806</v>
      </c>
      <c r="AS15" s="152">
        <f>('B2-RdTr'!$E200+'B2-RdTr'!$G200-'B2-RdTr'!$K200)*'B2-RdTr'!$H200/(('B2-RdTr'!$E86+'B2-RdTr'!$G86-'B2-RdTr'!$K86)*'B2-RdTr'!$H86)*100</f>
        <v>14.955092435120751</v>
      </c>
      <c r="AT15" s="152">
        <f>('B2-RdTr'!$E238+'B2-RdTr'!$G238-'B2-RdTr'!$K238)*'B2-RdTr'!$H238/(('B2-RdTr'!$E86+'B2-RdTr'!$G86-'B2-RdTr'!$K86)*'B2-RdTr'!$H86)*100</f>
        <v>21.807150277167466</v>
      </c>
      <c r="AU15" s="152">
        <f>('B2-RdTr'!$E314+'B2-RdTr'!$G314-'B2-RdTr'!$K314)*'B2-RdTr'!$H314/(('B2-RdTr'!$E86+'B2-RdTr'!$G86-'B2-RdTr'!$K86)*'B2-RdTr'!$H86)*100</f>
        <v>15.316191544323813</v>
      </c>
      <c r="AV15" s="152">
        <f>('B2-RdTr'!$E352+'B2-RdTr'!$G352-'B2-RdTr'!$K352)*'B2-RdTr'!$H352/(('B2-RdTr'!$E86+'B2-RdTr'!$G86-'B2-RdTr'!$K86)*'B2-RdTr'!$H86)*100</f>
        <v>10.049917723089935</v>
      </c>
      <c r="AW15" s="152">
        <f>('B2-RdTr'!$E390+'B2-RdTr'!$G390-'B2-RdTr'!$K390)*'B2-RdTr'!$H390/(('B2-RdTr'!$E86+'B2-RdTr'!$G86-'B2-RdTr'!$K86)*'B2-RdTr'!$H86)*100</f>
        <v>11.762012888517086</v>
      </c>
      <c r="AX15" s="152">
        <f>('B2-RdTr'!$E428+'B2-RdTr'!$G428-'B2-RdTr'!$K428)*'B2-RdTr'!$H428/(('B2-RdTr'!$E86+'B2-RdTr'!$G86-'B2-RdTr'!$K86)*'B2-RdTr'!$H86)*100</f>
        <v>13.5044447917337</v>
      </c>
      <c r="AZ15" s="152">
        <f>'B2-RdTr'!$N124</f>
        <v>2.2000000000000002</v>
      </c>
      <c r="BA15" s="152">
        <f>'B2-RdTr'!$N162</f>
        <v>8.6999999999999993</v>
      </c>
      <c r="BB15" s="152">
        <f>'B2-RdTr'!$N200</f>
        <v>14.5</v>
      </c>
      <c r="BC15" s="152">
        <f>'B2-RdTr'!$N238</f>
        <v>21.7</v>
      </c>
      <c r="BD15" s="152">
        <f>'B2-RdTr'!$N314</f>
        <v>15.6</v>
      </c>
      <c r="BE15" s="152">
        <f>'B2-RdTr'!$N352</f>
        <v>10.5</v>
      </c>
      <c r="BF15" s="152">
        <f>'B2-RdTr'!$N390</f>
        <v>12.8</v>
      </c>
      <c r="BG15" s="152">
        <f>'B2-RdTr'!$N428</f>
        <v>14.8</v>
      </c>
    </row>
    <row r="16" spans="1:59">
      <c r="A16" s="46">
        <f t="shared" si="23"/>
        <v>1987</v>
      </c>
      <c r="B16" s="141">
        <f t="shared" si="5"/>
        <v>6.7132409662756742E-2</v>
      </c>
      <c r="D16" s="141">
        <f>SUM(G16:N16)*2</f>
        <v>0.46258790748293227</v>
      </c>
      <c r="E16" s="141">
        <f t="shared" si="7"/>
        <v>0.52972031714568901</v>
      </c>
      <c r="F16" s="46"/>
      <c r="G16" s="157">
        <f t="shared" si="8"/>
        <v>3.1430446709563055E-2</v>
      </c>
      <c r="H16" s="157">
        <f t="shared" si="1"/>
        <v>5.208369095903527E-2</v>
      </c>
      <c r="I16" s="157">
        <f t="shared" si="1"/>
        <v>6.0628336671173233E-2</v>
      </c>
      <c r="J16" s="157">
        <f>(S$4-S16)*S$3</f>
        <v>5.4571008102442711E-2</v>
      </c>
      <c r="K16" s="157">
        <f t="shared" si="1"/>
        <v>2.1239002425309995E-2</v>
      </c>
      <c r="L16" s="157">
        <f t="shared" si="1"/>
        <v>8.0315860629757881E-3</v>
      </c>
      <c r="M16" s="157">
        <f t="shared" si="1"/>
        <v>3.3098828109660739E-3</v>
      </c>
      <c r="N16" s="157">
        <f t="shared" si="1"/>
        <v>0</v>
      </c>
      <c r="O16" s="46"/>
      <c r="P16" s="154">
        <f t="shared" si="9"/>
        <v>4.2847766452184743E-2</v>
      </c>
      <c r="Q16" s="154">
        <f t="shared" si="10"/>
        <v>0.13958154520482369</v>
      </c>
      <c r="R16" s="154">
        <f t="shared" si="11"/>
        <v>0.29685831664413392</v>
      </c>
      <c r="S16" s="154">
        <f t="shared" si="12"/>
        <v>0.5271449594877865</v>
      </c>
      <c r="T16" s="154">
        <f t="shared" si="13"/>
        <v>0.68760997574690008</v>
      </c>
      <c r="U16" s="154">
        <f t="shared" si="14"/>
        <v>0.78936827874048432</v>
      </c>
      <c r="V16" s="154">
        <f t="shared" si="15"/>
        <v>0.90725292972584826</v>
      </c>
      <c r="W16" s="162">
        <v>1</v>
      </c>
      <c r="X16" s="154"/>
      <c r="Y16" s="142">
        <f t="shared" si="24"/>
        <v>3.603567888999009E-2</v>
      </c>
      <c r="Z16" s="142">
        <f t="shared" si="3"/>
        <v>5.8394449950445994E-2</v>
      </c>
      <c r="AA16" s="142">
        <f t="shared" si="3"/>
        <v>6.826560951437069E-2</v>
      </c>
      <c r="AB16" s="142">
        <f t="shared" si="3"/>
        <v>6.2874132804757218E-2</v>
      </c>
      <c r="AC16" s="142">
        <f t="shared" si="3"/>
        <v>2.518334985133798E-2</v>
      </c>
      <c r="AD16" s="142">
        <f t="shared" si="3"/>
        <v>9.7893954410307356E-3</v>
      </c>
      <c r="AE16" s="142">
        <f t="shared" si="3"/>
        <v>4.3175421209118037E-3</v>
      </c>
      <c r="AF16" s="142">
        <f t="shared" si="3"/>
        <v>0</v>
      </c>
      <c r="AH16" s="158">
        <f t="shared" si="16"/>
        <v>1.982160555004955E-2</v>
      </c>
      <c r="AI16" s="158">
        <f t="shared" si="17"/>
        <v>0.10802775024777006</v>
      </c>
      <c r="AJ16" s="158">
        <f t="shared" si="18"/>
        <v>0.25867195242814667</v>
      </c>
      <c r="AK16" s="158">
        <f t="shared" si="19"/>
        <v>0.48562933597621399</v>
      </c>
      <c r="AL16" s="158">
        <f t="shared" si="20"/>
        <v>0.64816650148662025</v>
      </c>
      <c r="AM16" s="158">
        <f t="shared" si="21"/>
        <v>0.75421209117938537</v>
      </c>
      <c r="AN16" s="158">
        <f t="shared" si="22"/>
        <v>0.88206144697720501</v>
      </c>
      <c r="AO16" s="158">
        <v>1</v>
      </c>
      <c r="AP16" s="143"/>
      <c r="AQ16" s="152">
        <f>('B2-RdTr'!$E125+'B2-RdTr'!$G125-'B2-RdTr'!$K125)*'B2-RdTr'!$H125/(('B2-RdTr'!$E87+'B2-RdTr'!$G87-'B2-RdTr'!$K87)*'B2-RdTr'!$H87)*100</f>
        <v>4.3149779486812525</v>
      </c>
      <c r="AR16" s="152">
        <f>('B2-RdTr'!$E163+'B2-RdTr'!$G163-'B2-RdTr'!$K163)*'B2-RdTr'!$H163/(('B2-RdTr'!$E87+'B2-RdTr'!$G87-'B2-RdTr'!$K87)*'B2-RdTr'!$H87)*100</f>
        <v>9.7415608040163129</v>
      </c>
      <c r="AS16" s="152">
        <f>('B2-RdTr'!$E201+'B2-RdTr'!$G201-'B2-RdTr'!$K201)*'B2-RdTr'!$H201/(('B2-RdTr'!$E87+'B2-RdTr'!$G87-'B2-RdTr'!$K87)*'B2-RdTr'!$H87)*100</f>
        <v>15.838533879186645</v>
      </c>
      <c r="AT16" s="152">
        <f>('B2-RdTr'!$E239+'B2-RdTr'!$G239-'B2-RdTr'!$K239)*'B2-RdTr'!$H239/(('B2-RdTr'!$E87+'B2-RdTr'!$G87-'B2-RdTr'!$K87)*'B2-RdTr'!$H87)*100</f>
        <v>23.190982121672057</v>
      </c>
      <c r="AU16" s="152">
        <f>('B2-RdTr'!$E315+'B2-RdTr'!$G315-'B2-RdTr'!$K315)*'B2-RdTr'!$H315/(('B2-RdTr'!$E87+'B2-RdTr'!$G87-'B2-RdTr'!$K87)*'B2-RdTr'!$H87)*100</f>
        <v>16.159605599641456</v>
      </c>
      <c r="AV16" s="152">
        <f>('B2-RdTr'!$E353+'B2-RdTr'!$G353-'B2-RdTr'!$K353)*'B2-RdTr'!$H353/(('B2-RdTr'!$E87+'B2-RdTr'!$G87-'B2-RdTr'!$K87)*'B2-RdTr'!$H87)*100</f>
        <v>10.247554770504337</v>
      </c>
      <c r="AW16" s="152">
        <f>('B2-RdTr'!$E391+'B2-RdTr'!$G391-'B2-RdTr'!$K391)*'B2-RdTr'!$H391/(('B2-RdTr'!$E87+'B2-RdTr'!$G87-'B2-RdTr'!$K87)*'B2-RdTr'!$H87)*100</f>
        <v>11.871556246869314</v>
      </c>
      <c r="AX16" s="152">
        <f>('B2-RdTr'!$E429+'B2-RdTr'!$G429-'B2-RdTr'!$K429)*'B2-RdTr'!$H429/(('B2-RdTr'!$E87+'B2-RdTr'!$G87-'B2-RdTr'!$K87)*'B2-RdTr'!$H87)*100</f>
        <v>9.3400799195531743</v>
      </c>
      <c r="AZ16" s="152">
        <f>'B2-RdTr'!$N125</f>
        <v>2</v>
      </c>
      <c r="BA16" s="152">
        <f>'B2-RdTr'!$N163</f>
        <v>8.9</v>
      </c>
      <c r="BB16" s="152">
        <f>'B2-RdTr'!$N201</f>
        <v>15.2</v>
      </c>
      <c r="BC16" s="152">
        <f>'B2-RdTr'!$N239</f>
        <v>22.9</v>
      </c>
      <c r="BD16" s="152">
        <f>'B2-RdTr'!$N315</f>
        <v>16.399999999999999</v>
      </c>
      <c r="BE16" s="152">
        <f>'B2-RdTr'!$N353</f>
        <v>10.7</v>
      </c>
      <c r="BF16" s="152">
        <f>'B2-RdTr'!$N391</f>
        <v>12.9</v>
      </c>
      <c r="BG16" s="152">
        <f>'B2-RdTr'!$N429</f>
        <v>11.9</v>
      </c>
    </row>
    <row r="17" spans="1:59">
      <c r="A17" s="46">
        <f t="shared" si="23"/>
        <v>1988</v>
      </c>
      <c r="B17" s="141">
        <f t="shared" si="5"/>
        <v>7.0233247868515758E-2</v>
      </c>
      <c r="D17" s="141">
        <f t="shared" si="6"/>
        <v>0.4771944749037616</v>
      </c>
      <c r="E17" s="141">
        <f t="shared" si="7"/>
        <v>0.54742772277227736</v>
      </c>
      <c r="F17" s="46"/>
      <c r="G17" s="157">
        <f t="shared" si="8"/>
        <v>3.1604186771583408E-2</v>
      </c>
      <c r="H17" s="157">
        <f t="shared" si="1"/>
        <v>5.2416584479534525E-2</v>
      </c>
      <c r="I17" s="157">
        <f t="shared" si="1"/>
        <v>6.1961744983050029E-2</v>
      </c>
      <c r="J17" s="157">
        <f t="shared" si="1"/>
        <v>5.6912591775630905E-2</v>
      </c>
      <c r="K17" s="157">
        <f t="shared" si="1"/>
        <v>2.2758553647871438E-2</v>
      </c>
      <c r="L17" s="157">
        <f t="shared" si="1"/>
        <v>8.8825643092215745E-3</v>
      </c>
      <c r="M17" s="157">
        <f t="shared" si="1"/>
        <v>4.0610114849889186E-3</v>
      </c>
      <c r="N17" s="157">
        <f t="shared" si="1"/>
        <v>0</v>
      </c>
      <c r="O17" s="46"/>
      <c r="P17" s="154">
        <f t="shared" si="9"/>
        <v>4.1979066142082994E-2</v>
      </c>
      <c r="Q17" s="154">
        <f t="shared" si="10"/>
        <v>0.13791707760232741</v>
      </c>
      <c r="R17" s="154">
        <f t="shared" si="11"/>
        <v>0.29019127508474996</v>
      </c>
      <c r="S17" s="154">
        <f t="shared" si="12"/>
        <v>0.51543704112184552</v>
      </c>
      <c r="T17" s="154">
        <f t="shared" si="13"/>
        <v>0.67241446352128564</v>
      </c>
      <c r="U17" s="154">
        <f t="shared" si="14"/>
        <v>0.77234871381556858</v>
      </c>
      <c r="V17" s="154">
        <f t="shared" si="15"/>
        <v>0.88847471287527713</v>
      </c>
      <c r="W17" s="162">
        <v>1</v>
      </c>
      <c r="X17" s="154"/>
      <c r="Y17" s="142">
        <f t="shared" si="24"/>
        <v>3.6039603960396044E-2</v>
      </c>
      <c r="Z17" s="142">
        <f t="shared" si="3"/>
        <v>5.8811881188118822E-2</v>
      </c>
      <c r="AA17" s="142">
        <f t="shared" si="3"/>
        <v>6.9900990099009921E-2</v>
      </c>
      <c r="AB17" s="142">
        <f t="shared" si="3"/>
        <v>6.5742574257425759E-2</v>
      </c>
      <c r="AC17" s="142">
        <f t="shared" si="3"/>
        <v>2.7128712871287132E-2</v>
      </c>
      <c r="AD17" s="142">
        <f t="shared" si="3"/>
        <v>1.0866336633663371E-2</v>
      </c>
      <c r="AE17" s="142">
        <f t="shared" si="3"/>
        <v>5.2237623762376286E-3</v>
      </c>
      <c r="AF17" s="142">
        <f t="shared" si="3"/>
        <v>0</v>
      </c>
      <c r="AH17" s="158">
        <f t="shared" si="16"/>
        <v>1.9801980198019802E-2</v>
      </c>
      <c r="AI17" s="158">
        <f t="shared" si="17"/>
        <v>0.10594059405940594</v>
      </c>
      <c r="AJ17" s="158">
        <f t="shared" si="18"/>
        <v>0.2504950495049505</v>
      </c>
      <c r="AK17" s="158">
        <f t="shared" si="19"/>
        <v>0.47128712871287126</v>
      </c>
      <c r="AL17" s="158">
        <f t="shared" si="20"/>
        <v>0.62871287128712872</v>
      </c>
      <c r="AM17" s="158">
        <f t="shared" si="21"/>
        <v>0.73267326732673266</v>
      </c>
      <c r="AN17" s="158">
        <f t="shared" si="22"/>
        <v>0.85940594059405939</v>
      </c>
      <c r="AO17" s="158">
        <v>1</v>
      </c>
      <c r="AP17" s="143"/>
      <c r="AQ17" s="152">
        <f>('B2-RdTr'!$E126+'B2-RdTr'!$G126-'B2-RdTr'!$K126)*'B2-RdTr'!$H126/(('B2-RdTr'!$E88+'B2-RdTr'!$G88-'B2-RdTr'!$K88)*'B2-RdTr'!$H88)*100</f>
        <v>4.2097818804436828</v>
      </c>
      <c r="AR17" s="152">
        <f>('B2-RdTr'!$E164+'B2-RdTr'!$G164-'B2-RdTr'!$K164)*'B2-RdTr'!$H164/(('B2-RdTr'!$E88+'B2-RdTr'!$G88-'B2-RdTr'!$K88)*'B2-RdTr'!$H88)*100</f>
        <v>9.6209406117840572</v>
      </c>
      <c r="AS17" s="152">
        <f>('B2-RdTr'!$E202+'B2-RdTr'!$G202-'B2-RdTr'!$K202)*'B2-RdTr'!$H202/(('B2-RdTr'!$E88+'B2-RdTr'!$G88-'B2-RdTr'!$K88)*'B2-RdTr'!$H88)*100</f>
        <v>15.270495900288203</v>
      </c>
      <c r="AT17" s="152">
        <f>('B2-RdTr'!$E240+'B2-RdTr'!$G240-'B2-RdTr'!$K240)*'B2-RdTr'!$H240/(('B2-RdTr'!$E88+'B2-RdTr'!$G88-'B2-RdTr'!$K88)*'B2-RdTr'!$H88)*100</f>
        <v>22.588295349406046</v>
      </c>
      <c r="AU17" s="152">
        <f>('B2-RdTr'!$E316+'B2-RdTr'!$G316-'B2-RdTr'!$K316)*'B2-RdTr'!$H316/(('B2-RdTr'!$E88+'B2-RdTr'!$G88-'B2-RdTr'!$K88)*'B2-RdTr'!$H88)*100</f>
        <v>15.74214886579958</v>
      </c>
      <c r="AV17" s="152">
        <f>('B2-RdTr'!$E354+'B2-RdTr'!$G354-'B2-RdTr'!$K354)*'B2-RdTr'!$H354/(('B2-RdTr'!$E88+'B2-RdTr'!$G88-'B2-RdTr'!$K88)*'B2-RdTr'!$H88)*100</f>
        <v>10.021694972934458</v>
      </c>
      <c r="AW17" s="152">
        <f>('B2-RdTr'!$E392+'B2-RdTr'!$G392-'B2-RdTr'!$K392)*'B2-RdTr'!$H392/(('B2-RdTr'!$E88+'B2-RdTr'!$G88-'B2-RdTr'!$K88)*'B2-RdTr'!$H88)*100</f>
        <v>11.645450259311646</v>
      </c>
      <c r="AX17" s="152">
        <f>('B2-RdTr'!$E430+'B2-RdTr'!$G430-'B2-RdTr'!$K430)*'B2-RdTr'!$H430/(('B2-RdTr'!$E88+'B2-RdTr'!$G88-'B2-RdTr'!$K88)*'B2-RdTr'!$H88)*100</f>
        <v>11.184077591432613</v>
      </c>
      <c r="AZ17" s="152">
        <f>'B2-RdTr'!$N126</f>
        <v>2</v>
      </c>
      <c r="BA17" s="152">
        <f>'B2-RdTr'!$N164</f>
        <v>8.6999999999999993</v>
      </c>
      <c r="BB17" s="152">
        <f>'B2-RdTr'!$N202</f>
        <v>14.6</v>
      </c>
      <c r="BC17" s="152">
        <f>'B2-RdTr'!$N240</f>
        <v>22.3</v>
      </c>
      <c r="BD17" s="152">
        <f>'B2-RdTr'!$N316</f>
        <v>15.9</v>
      </c>
      <c r="BE17" s="152">
        <f>'B2-RdTr'!$N354</f>
        <v>10.5</v>
      </c>
      <c r="BF17" s="152">
        <f>'B2-RdTr'!$N392</f>
        <v>12.8</v>
      </c>
      <c r="BG17" s="152">
        <f>'B2-RdTr'!$N430</f>
        <v>14.2</v>
      </c>
    </row>
    <row r="18" spans="1:59">
      <c r="A18" s="46">
        <f t="shared" si="23"/>
        <v>1989</v>
      </c>
      <c r="B18" s="141">
        <f t="shared" si="5"/>
        <v>6.1939683420047575E-2</v>
      </c>
      <c r="D18" s="141">
        <f t="shared" si="6"/>
        <v>0.47634356732326272</v>
      </c>
      <c r="E18" s="141">
        <f t="shared" si="7"/>
        <v>0.53828325074331029</v>
      </c>
      <c r="F18" s="46"/>
      <c r="G18" s="157">
        <f t="shared" si="8"/>
        <v>3.1215546744466794E-2</v>
      </c>
      <c r="H18" s="157">
        <f t="shared" si="1"/>
        <v>5.1900602218265063E-2</v>
      </c>
      <c r="I18" s="157">
        <f t="shared" si="1"/>
        <v>6.1617626604069414E-2</v>
      </c>
      <c r="J18" s="157">
        <f t="shared" si="1"/>
        <v>5.7113576613256362E-2</v>
      </c>
      <c r="K18" s="157">
        <f t="shared" si="1"/>
        <v>2.309796392872291E-2</v>
      </c>
      <c r="L18" s="157">
        <f t="shared" si="1"/>
        <v>9.0814110830827691E-3</v>
      </c>
      <c r="M18" s="157">
        <f t="shared" si="1"/>
        <v>4.1450564697680294E-3</v>
      </c>
      <c r="N18" s="157">
        <f t="shared" si="1"/>
        <v>0</v>
      </c>
      <c r="O18" s="46"/>
      <c r="P18" s="154">
        <f t="shared" si="9"/>
        <v>4.3922266277666058E-2</v>
      </c>
      <c r="Q18" s="154">
        <f t="shared" si="10"/>
        <v>0.14049698890867474</v>
      </c>
      <c r="R18" s="154">
        <f t="shared" si="11"/>
        <v>0.29191186697965305</v>
      </c>
      <c r="S18" s="154">
        <f t="shared" si="12"/>
        <v>0.51443211693371826</v>
      </c>
      <c r="T18" s="154">
        <f t="shared" si="13"/>
        <v>0.66902036071277093</v>
      </c>
      <c r="U18" s="154">
        <f t="shared" si="14"/>
        <v>0.76837177833834469</v>
      </c>
      <c r="V18" s="154">
        <f t="shared" si="15"/>
        <v>0.88637358825579937</v>
      </c>
      <c r="W18" s="162">
        <v>1</v>
      </c>
      <c r="X18" s="154"/>
      <c r="Y18" s="142">
        <f t="shared" si="24"/>
        <v>3.5639246778989102E-2</v>
      </c>
      <c r="Z18" s="142">
        <f t="shared" si="3"/>
        <v>5.8196233894945493E-2</v>
      </c>
      <c r="AA18" s="142">
        <f t="shared" si="3"/>
        <v>6.8860257680872158E-2</v>
      </c>
      <c r="AB18" s="142">
        <f t="shared" si="3"/>
        <v>6.4658077304261638E-2</v>
      </c>
      <c r="AC18" s="142">
        <f t="shared" si="3"/>
        <v>2.6471754212091171E-2</v>
      </c>
      <c r="AD18" s="142">
        <f t="shared" si="3"/>
        <v>1.0483151635282456E-2</v>
      </c>
      <c r="AE18" s="142">
        <f t="shared" si="3"/>
        <v>4.8329038652130804E-3</v>
      </c>
      <c r="AF18" s="142">
        <f t="shared" si="3"/>
        <v>0</v>
      </c>
      <c r="AH18" s="158">
        <f t="shared" si="16"/>
        <v>2.1803766105054512E-2</v>
      </c>
      <c r="AI18" s="158">
        <f t="shared" si="17"/>
        <v>0.10901883052527256</v>
      </c>
      <c r="AJ18" s="158">
        <f t="shared" si="18"/>
        <v>0.25569871159563928</v>
      </c>
      <c r="AK18" s="158">
        <f t="shared" si="19"/>
        <v>0.47670961347869184</v>
      </c>
      <c r="AL18" s="158">
        <f t="shared" si="20"/>
        <v>0.63528245787908832</v>
      </c>
      <c r="AM18" s="158">
        <f t="shared" si="21"/>
        <v>0.74033696729435094</v>
      </c>
      <c r="AN18" s="158">
        <f t="shared" si="22"/>
        <v>0.86917740336967309</v>
      </c>
      <c r="AO18" s="158">
        <v>1</v>
      </c>
      <c r="AP18" s="143"/>
      <c r="AQ18" s="152">
        <f>('B2-RdTr'!$E127+'B2-RdTr'!$G127-'B2-RdTr'!$K127)*'B2-RdTr'!$H127/(('B2-RdTr'!$E89+'B2-RdTr'!$G89-'B2-RdTr'!$K89)*'B2-RdTr'!$H89)*100</f>
        <v>4.4578993600200771</v>
      </c>
      <c r="AR18" s="152">
        <f>('B2-RdTr'!$E165+'B2-RdTr'!$G165-'B2-RdTr'!$K165)*'B2-RdTr'!$H165/(('B2-RdTr'!$E89+'B2-RdTr'!$G89-'B2-RdTr'!$K89)*'B2-RdTr'!$H89)*100</f>
        <v>9.8018711395546632</v>
      </c>
      <c r="AS18" s="152">
        <f>('B2-RdTr'!$E203+'B2-RdTr'!$G203-'B2-RdTr'!$K203)*'B2-RdTr'!$H203/(('B2-RdTr'!$E89+'B2-RdTr'!$G89-'B2-RdTr'!$K89)*'B2-RdTr'!$H89)*100</f>
        <v>15.367883883381438</v>
      </c>
      <c r="AT18" s="152">
        <f>('B2-RdTr'!$E241+'B2-RdTr'!$G241-'B2-RdTr'!$K241)*'B2-RdTr'!$H241/(('B2-RdTr'!$E89+'B2-RdTr'!$G89-'B2-RdTr'!$K89)*'B2-RdTr'!$H89)*100</f>
        <v>22.5847380822911</v>
      </c>
      <c r="AU18" s="152">
        <f>('B2-RdTr'!$E317+'B2-RdTr'!$G317-'B2-RdTr'!$K317)*'B2-RdTr'!$H317/(('B2-RdTr'!$E89+'B2-RdTr'!$G89-'B2-RdTr'!$K89)*'B2-RdTr'!$H89)*100</f>
        <v>15.68996528213494</v>
      </c>
      <c r="AV18" s="152">
        <f>('B2-RdTr'!$E355+'B2-RdTr'!$G355-'B2-RdTr'!$K355)*'B2-RdTr'!$H355/(('B2-RdTr'!$E89+'B2-RdTr'!$G89-'B2-RdTr'!$K89)*'B2-RdTr'!$H89)*100</f>
        <v>10.083692363463978</v>
      </c>
      <c r="AW18" s="152">
        <f>('B2-RdTr'!$E393+'B2-RdTr'!$G393-'B2-RdTr'!$K393)*'B2-RdTr'!$H393/(('B2-RdTr'!$E89+'B2-RdTr'!$G89-'B2-RdTr'!$K89)*'B2-RdTr'!$H89)*100</f>
        <v>11.976617727025557</v>
      </c>
      <c r="AX18" s="152">
        <f>('B2-RdTr'!$E431+'B2-RdTr'!$G431-'B2-RdTr'!$K431)*'B2-RdTr'!$H431/(('B2-RdTr'!$E89+'B2-RdTr'!$G89-'B2-RdTr'!$K89)*'B2-RdTr'!$H89)*100</f>
        <v>11.532535798441183</v>
      </c>
      <c r="AZ18" s="152">
        <f>'B2-RdTr'!$N127</f>
        <v>2.2000000000000002</v>
      </c>
      <c r="BA18" s="152">
        <f>'B2-RdTr'!$N165</f>
        <v>8.8000000000000007</v>
      </c>
      <c r="BB18" s="152">
        <f>'B2-RdTr'!$N203</f>
        <v>14.8</v>
      </c>
      <c r="BC18" s="152">
        <f>'B2-RdTr'!$N241</f>
        <v>22.3</v>
      </c>
      <c r="BD18" s="152">
        <f>'B2-RdTr'!$N317</f>
        <v>16</v>
      </c>
      <c r="BE18" s="152">
        <f>'B2-RdTr'!$N355</f>
        <v>10.6</v>
      </c>
      <c r="BF18" s="152">
        <f>'B2-RdTr'!$N393</f>
        <v>13</v>
      </c>
      <c r="BG18" s="152">
        <f>'B2-RdTr'!$N431</f>
        <v>13.2</v>
      </c>
    </row>
    <row r="19" spans="1:59">
      <c r="A19" s="46">
        <f t="shared" si="23"/>
        <v>1990</v>
      </c>
      <c r="B19" s="141">
        <f t="shared" si="5"/>
        <v>6.3290044356169528E-2</v>
      </c>
      <c r="D19" s="141">
        <f t="shared" si="6"/>
        <v>0.46920529756652635</v>
      </c>
      <c r="E19" s="141">
        <f t="shared" si="7"/>
        <v>0.53249534192269588</v>
      </c>
      <c r="F19" s="46"/>
      <c r="G19" s="157">
        <f t="shared" si="8"/>
        <v>3.0620752152242872E-2</v>
      </c>
      <c r="H19" s="157">
        <f t="shared" si="1"/>
        <v>5.0956730294244905E-2</v>
      </c>
      <c r="I19" s="157">
        <f t="shared" si="1"/>
        <v>6.0908796685869661E-2</v>
      </c>
      <c r="J19" s="157">
        <f t="shared" si="1"/>
        <v>5.6511441721658034E-2</v>
      </c>
      <c r="K19" s="157">
        <f t="shared" si="1"/>
        <v>2.2769281609097514E-2</v>
      </c>
      <c r="L19" s="157">
        <f t="shared" si="1"/>
        <v>8.8599585733704529E-3</v>
      </c>
      <c r="M19" s="157">
        <f t="shared" si="1"/>
        <v>3.9756877467797347E-3</v>
      </c>
      <c r="N19" s="157">
        <f t="shared" si="1"/>
        <v>0</v>
      </c>
      <c r="O19" s="46"/>
      <c r="P19" s="154">
        <f t="shared" si="9"/>
        <v>4.6896239238785678E-2</v>
      </c>
      <c r="Q19" s="154">
        <f t="shared" si="10"/>
        <v>0.14521634852877549</v>
      </c>
      <c r="R19" s="154">
        <f t="shared" si="11"/>
        <v>0.29545601657065179</v>
      </c>
      <c r="S19" s="154">
        <f t="shared" si="12"/>
        <v>0.5174427913917099</v>
      </c>
      <c r="T19" s="154">
        <f t="shared" si="13"/>
        <v>0.67230718390902489</v>
      </c>
      <c r="U19" s="154">
        <f t="shared" si="14"/>
        <v>0.77280082853259102</v>
      </c>
      <c r="V19" s="154">
        <f t="shared" si="15"/>
        <v>0.89060780633050673</v>
      </c>
      <c r="W19" s="162">
        <v>1</v>
      </c>
      <c r="X19" s="154"/>
      <c r="Y19" s="142">
        <f t="shared" si="24"/>
        <v>3.5441030723488608E-2</v>
      </c>
      <c r="Z19" s="142">
        <f t="shared" si="3"/>
        <v>5.760158572844401E-2</v>
      </c>
      <c r="AA19" s="142">
        <f t="shared" si="3"/>
        <v>6.826560951437069E-2</v>
      </c>
      <c r="AB19" s="142">
        <f t="shared" si="3"/>
        <v>6.3865213082259675E-2</v>
      </c>
      <c r="AC19" s="142">
        <f t="shared" si="3"/>
        <v>2.6075322101090193E-2</v>
      </c>
      <c r="AD19" s="142">
        <f t="shared" si="3"/>
        <v>1.0284935579781967E-2</v>
      </c>
      <c r="AE19" s="142">
        <f t="shared" si="3"/>
        <v>4.7139742319127894E-3</v>
      </c>
      <c r="AF19" s="142">
        <f t="shared" si="3"/>
        <v>0</v>
      </c>
      <c r="AH19" s="158">
        <f t="shared" si="16"/>
        <v>2.2794846382556983E-2</v>
      </c>
      <c r="AI19" s="158">
        <f t="shared" si="17"/>
        <v>0.11199207135777997</v>
      </c>
      <c r="AJ19" s="158">
        <f t="shared" si="18"/>
        <v>0.25867195242814667</v>
      </c>
      <c r="AK19" s="158">
        <f t="shared" si="19"/>
        <v>0.48067393458870167</v>
      </c>
      <c r="AL19" s="158">
        <f t="shared" si="20"/>
        <v>0.6392467789890981</v>
      </c>
      <c r="AM19" s="158">
        <f t="shared" si="21"/>
        <v>0.74430128840436072</v>
      </c>
      <c r="AN19" s="158">
        <f t="shared" si="22"/>
        <v>0.87215064420218036</v>
      </c>
      <c r="AO19" s="158">
        <v>1</v>
      </c>
      <c r="AP19" s="143"/>
      <c r="AQ19" s="152">
        <f>('B2-RdTr'!$E128+'B2-RdTr'!$G128-'B2-RdTr'!$K128)*'B2-RdTr'!$H128/(('B2-RdTr'!$E90+'B2-RdTr'!$G90-'B2-RdTr'!$K90)*'B2-RdTr'!$H90)*100</f>
        <v>4.7553165029225219</v>
      </c>
      <c r="AR19" s="152">
        <f>('B2-RdTr'!$E166+'B2-RdTr'!$G166-'B2-RdTr'!$K166)*'B2-RdTr'!$H166/(('B2-RdTr'!$E90+'B2-RdTr'!$G90-'B2-RdTr'!$K90)*'B2-RdTr'!$H90)*100</f>
        <v>9.9697384239107905</v>
      </c>
      <c r="AS19" s="152">
        <f>('B2-RdTr'!$E204+'B2-RdTr'!$G204-'B2-RdTr'!$K204)*'B2-RdTr'!$H204/(('B2-RdTr'!$E90+'B2-RdTr'!$G90-'B2-RdTr'!$K90)*'B2-RdTr'!$H90)*100</f>
        <v>15.234423579156822</v>
      </c>
      <c r="AT19" s="152">
        <f>('B2-RdTr'!$E242+'B2-RdTr'!$G242-'B2-RdTr'!$K242)*'B2-RdTr'!$H242/(('B2-RdTr'!$E90+'B2-RdTr'!$G90-'B2-RdTr'!$K90)*'B2-RdTr'!$H90)*100</f>
        <v>22.509638104713346</v>
      </c>
      <c r="AU19" s="152">
        <f>('B2-RdTr'!$E318+'B2-RdTr'!$G318-'B2-RdTr'!$K318)*'B2-RdTr'!$H318/(('B2-RdTr'!$E90+'B2-RdTr'!$G90-'B2-RdTr'!$K90)*'B2-RdTr'!$H90)*100</f>
        <v>15.703374373005015</v>
      </c>
      <c r="AV19" s="152">
        <f>('B2-RdTr'!$E356+'B2-RdTr'!$G356-'B2-RdTr'!$K356)*'B2-RdTr'!$H356/(('B2-RdTr'!$E90+'B2-RdTr'!$G90-'B2-RdTr'!$K90)*'B2-RdTr'!$H90)*100</f>
        <v>10.190136660724896</v>
      </c>
      <c r="AW19" s="152">
        <f>('B2-RdTr'!$E394+'B2-RdTr'!$G394-'B2-RdTr'!$K394)*'B2-RdTr'!$H394/(('B2-RdTr'!$E90+'B2-RdTr'!$G90-'B2-RdTr'!$K90)*'B2-RdTr'!$H90)*100</f>
        <v>11.945722616037253</v>
      </c>
      <c r="AX19" s="152">
        <f>('B2-RdTr'!$E432+'B2-RdTr'!$G432-'B2-RdTr'!$K432)*'B2-RdTr'!$H432/(('B2-RdTr'!$E90+'B2-RdTr'!$G90-'B2-RdTr'!$K90)*'B2-RdTr'!$H90)*100</f>
        <v>11.092456714891735</v>
      </c>
      <c r="AZ19" s="152">
        <f>'B2-RdTr'!$N128</f>
        <v>2.2999999999999998</v>
      </c>
      <c r="BA19" s="152">
        <f>'B2-RdTr'!$N166</f>
        <v>9</v>
      </c>
      <c r="BB19" s="152">
        <f>'B2-RdTr'!$N204</f>
        <v>14.8</v>
      </c>
      <c r="BC19" s="152">
        <f>'B2-RdTr'!$N242</f>
        <v>22.4</v>
      </c>
      <c r="BD19" s="152">
        <f>'B2-RdTr'!$N318</f>
        <v>16</v>
      </c>
      <c r="BE19" s="152">
        <f>'B2-RdTr'!$N356</f>
        <v>10.6</v>
      </c>
      <c r="BF19" s="152">
        <f>'B2-RdTr'!$N394</f>
        <v>12.9</v>
      </c>
      <c r="BG19" s="152">
        <f>'B2-RdTr'!$N432</f>
        <v>12.9</v>
      </c>
    </row>
    <row r="20" spans="1:59">
      <c r="A20" s="46">
        <f t="shared" si="23"/>
        <v>1991</v>
      </c>
      <c r="B20" s="141">
        <f t="shared" si="5"/>
        <v>7.1226326837957599E-2</v>
      </c>
      <c r="D20" s="141">
        <f t="shared" si="6"/>
        <v>0.45883915288508903</v>
      </c>
      <c r="E20" s="141">
        <f t="shared" si="7"/>
        <v>0.53006547972304663</v>
      </c>
      <c r="F20" s="46"/>
      <c r="G20" s="157">
        <f t="shared" si="8"/>
        <v>3.0017326724146844E-2</v>
      </c>
      <c r="H20" s="157">
        <f t="shared" si="1"/>
        <v>5.0435028229126128E-2</v>
      </c>
      <c r="I20" s="157">
        <f t="shared" si="1"/>
        <v>5.9884189967034457E-2</v>
      </c>
      <c r="J20" s="157">
        <f t="shared" si="1"/>
        <v>5.5180208265157439E-2</v>
      </c>
      <c r="K20" s="157">
        <f t="shared" si="1"/>
        <v>2.1948515861014175E-2</v>
      </c>
      <c r="L20" s="157">
        <f t="shared" si="1"/>
        <v>8.4232422675618208E-3</v>
      </c>
      <c r="M20" s="157">
        <f t="shared" si="1"/>
        <v>3.5310651285036655E-3</v>
      </c>
      <c r="N20" s="157">
        <f t="shared" si="1"/>
        <v>0</v>
      </c>
      <c r="O20" s="46"/>
      <c r="P20" s="154">
        <f t="shared" si="9"/>
        <v>4.99133663792658E-2</v>
      </c>
      <c r="Q20" s="154">
        <f t="shared" si="10"/>
        <v>0.14782485885436941</v>
      </c>
      <c r="R20" s="154">
        <f t="shared" si="11"/>
        <v>0.30057905016482783</v>
      </c>
      <c r="S20" s="154">
        <f t="shared" si="12"/>
        <v>0.52409895867421286</v>
      </c>
      <c r="T20" s="154">
        <f t="shared" si="13"/>
        <v>0.68051484138985829</v>
      </c>
      <c r="U20" s="154">
        <f t="shared" si="14"/>
        <v>0.78153515464876366</v>
      </c>
      <c r="V20" s="154">
        <f t="shared" si="15"/>
        <v>0.90172337178740847</v>
      </c>
      <c r="W20" s="162">
        <v>1</v>
      </c>
      <c r="X20" s="154"/>
      <c r="Y20" s="142">
        <f t="shared" si="24"/>
        <v>3.5450049455984178E-2</v>
      </c>
      <c r="Z20" s="142">
        <f t="shared" si="3"/>
        <v>5.7843719090009897E-2</v>
      </c>
      <c r="AA20" s="142">
        <f t="shared" si="3"/>
        <v>6.8170128585558862E-2</v>
      </c>
      <c r="AB20" s="142">
        <f t="shared" si="3"/>
        <v>6.3461918892185956E-2</v>
      </c>
      <c r="AC20" s="142">
        <f t="shared" si="3"/>
        <v>2.5707220573689418E-2</v>
      </c>
      <c r="AD20" s="142">
        <f t="shared" si="3"/>
        <v>1.0012363996043522E-2</v>
      </c>
      <c r="AE20" s="142">
        <f t="shared" si="3"/>
        <v>4.3873392680514331E-3</v>
      </c>
      <c r="AF20" s="142">
        <f t="shared" si="3"/>
        <v>0</v>
      </c>
      <c r="AH20" s="158">
        <f t="shared" si="16"/>
        <v>2.274975272007913E-2</v>
      </c>
      <c r="AI20" s="158">
        <f t="shared" si="17"/>
        <v>0.11078140454995056</v>
      </c>
      <c r="AJ20" s="158">
        <f t="shared" si="18"/>
        <v>0.25914935707220577</v>
      </c>
      <c r="AK20" s="158">
        <f t="shared" si="19"/>
        <v>0.48269040553907028</v>
      </c>
      <c r="AL20" s="158">
        <f t="shared" si="20"/>
        <v>0.64292779426310587</v>
      </c>
      <c r="AM20" s="158">
        <f t="shared" si="21"/>
        <v>0.74975272007912963</v>
      </c>
      <c r="AN20" s="158">
        <f t="shared" si="22"/>
        <v>0.88031651829871427</v>
      </c>
      <c r="AO20" s="158">
        <v>1</v>
      </c>
      <c r="AP20" s="143"/>
      <c r="AQ20" s="152">
        <f>('B2-RdTr'!$E129+'B2-RdTr'!$G129-'B2-RdTr'!$K129)*'B2-RdTr'!$H129/(('B2-RdTr'!$E91+'B2-RdTr'!$G91-'B2-RdTr'!$K91)*'B2-RdTr'!$H91)*100</f>
        <v>5.0565326633165828</v>
      </c>
      <c r="AR20" s="152">
        <f>('B2-RdTr'!$E167+'B2-RdTr'!$G167-'B2-RdTr'!$K167)*'B2-RdTr'!$H167/(('B2-RdTr'!$E91+'B2-RdTr'!$G91-'B2-RdTr'!$K91)*'B2-RdTr'!$H91)*100</f>
        <v>9.919039642657733</v>
      </c>
      <c r="AS20" s="152">
        <f>('B2-RdTr'!$E205+'B2-RdTr'!$G205-'B2-RdTr'!$K205)*'B2-RdTr'!$H205/(('B2-RdTr'!$E91+'B2-RdTr'!$G91-'B2-RdTr'!$K91)*'B2-RdTr'!$H91)*100</f>
        <v>15.474944165270802</v>
      </c>
      <c r="AT20" s="152">
        <f>('B2-RdTr'!$E243+'B2-RdTr'!$G243-'B2-RdTr'!$K243)*'B2-RdTr'!$H243/(('B2-RdTr'!$E91+'B2-RdTr'!$G91-'B2-RdTr'!$K91)*'B2-RdTr'!$H91)*100</f>
        <v>22.643948911222779</v>
      </c>
      <c r="AU20" s="152">
        <f>('B2-RdTr'!$E319+'B2-RdTr'!$G319-'B2-RdTr'!$K319)*'B2-RdTr'!$H319/(('B2-RdTr'!$E91+'B2-RdTr'!$G91-'B2-RdTr'!$K91)*'B2-RdTr'!$H91)*100</f>
        <v>15.845896147403685</v>
      </c>
      <c r="AV20" s="152">
        <f>('B2-RdTr'!$E357+'B2-RdTr'!$G357-'B2-RdTr'!$K357)*'B2-RdTr'!$H357/(('B2-RdTr'!$E91+'B2-RdTr'!$G91-'B2-RdTr'!$K91)*'B2-RdTr'!$H91)*100</f>
        <v>10.233982412060302</v>
      </c>
      <c r="AW20" s="152">
        <f>('B2-RdTr'!$E395+'B2-RdTr'!$G395-'B2-RdTr'!$K395)*'B2-RdTr'!$H395/(('B2-RdTr'!$E91+'B2-RdTr'!$G91-'B2-RdTr'!$K91)*'B2-RdTr'!$H91)*100</f>
        <v>12.17580960357342</v>
      </c>
      <c r="AX20" s="152">
        <f>('B2-RdTr'!$E433+'B2-RdTr'!$G433-'B2-RdTr'!$K433)*'B2-RdTr'!$H433/(('B2-RdTr'!$E91+'B2-RdTr'!$G91-'B2-RdTr'!$K91)*'B2-RdTr'!$H91)*100</f>
        <v>9.9560301507537687</v>
      </c>
      <c r="AZ20" s="152">
        <f>'B2-RdTr'!$N129</f>
        <v>2.2999999999999998</v>
      </c>
      <c r="BA20" s="152">
        <f>'B2-RdTr'!$N167</f>
        <v>8.9</v>
      </c>
      <c r="BB20" s="152">
        <f>'B2-RdTr'!$N205</f>
        <v>15</v>
      </c>
      <c r="BC20" s="152">
        <f>'B2-RdTr'!$N243</f>
        <v>22.6</v>
      </c>
      <c r="BD20" s="152">
        <f>'B2-RdTr'!$N319</f>
        <v>16.2</v>
      </c>
      <c r="BE20" s="152">
        <f>'B2-RdTr'!$N357</f>
        <v>10.8</v>
      </c>
      <c r="BF20" s="152">
        <f>'B2-RdTr'!$N395</f>
        <v>13.2</v>
      </c>
      <c r="BG20" s="152">
        <f>'B2-RdTr'!$N433</f>
        <v>12.1</v>
      </c>
    </row>
    <row r="21" spans="1:59">
      <c r="A21" s="46">
        <f t="shared" si="23"/>
        <v>1992</v>
      </c>
      <c r="B21" s="141">
        <f t="shared" si="5"/>
        <v>7.3969004407045347E-2</v>
      </c>
      <c r="D21" s="141">
        <f t="shared" si="6"/>
        <v>0.46893524880759385</v>
      </c>
      <c r="E21" s="141">
        <f t="shared" si="7"/>
        <v>0.5429042532146392</v>
      </c>
      <c r="F21" s="46"/>
      <c r="G21" s="157">
        <f t="shared" si="8"/>
        <v>3.0182577750270778E-2</v>
      </c>
      <c r="H21" s="157">
        <f t="shared" si="1"/>
        <v>5.100989579479176E-2</v>
      </c>
      <c r="I21" s="157">
        <f t="shared" si="1"/>
        <v>6.0979421321367813E-2</v>
      </c>
      <c r="J21" s="157">
        <f t="shared" si="1"/>
        <v>5.6779998520003531E-2</v>
      </c>
      <c r="K21" s="157">
        <f t="shared" si="1"/>
        <v>2.2810513356968445E-2</v>
      </c>
      <c r="L21" s="157">
        <f t="shared" si="1"/>
        <v>8.8051550969061431E-3</v>
      </c>
      <c r="M21" s="157">
        <f t="shared" si="1"/>
        <v>3.9000625634884934E-3</v>
      </c>
      <c r="N21" s="157">
        <f t="shared" si="1"/>
        <v>0</v>
      </c>
      <c r="O21" s="46"/>
      <c r="P21" s="154">
        <f t="shared" si="9"/>
        <v>4.9087111248646134E-2</v>
      </c>
      <c r="Q21" s="154">
        <f t="shared" si="10"/>
        <v>0.1449505210260412</v>
      </c>
      <c r="R21" s="154">
        <f t="shared" si="11"/>
        <v>0.29510289339316104</v>
      </c>
      <c r="S21" s="154">
        <f t="shared" si="12"/>
        <v>0.51610000739998241</v>
      </c>
      <c r="T21" s="154">
        <f t="shared" si="13"/>
        <v>0.6718948664303156</v>
      </c>
      <c r="U21" s="154">
        <f t="shared" si="14"/>
        <v>0.77389689806187723</v>
      </c>
      <c r="V21" s="154">
        <f t="shared" si="15"/>
        <v>0.89249843591278777</v>
      </c>
      <c r="W21" s="162">
        <v>1</v>
      </c>
      <c r="X21" s="154"/>
      <c r="Y21" s="142">
        <f t="shared" si="24"/>
        <v>3.5647873392680517E-2</v>
      </c>
      <c r="Z21" s="142">
        <f t="shared" si="3"/>
        <v>5.8635014836795257E-2</v>
      </c>
      <c r="AA21" s="142">
        <f t="shared" si="3"/>
        <v>6.9554896142433265E-2</v>
      </c>
      <c r="AB21" s="142">
        <f t="shared" si="3"/>
        <v>6.5440158259149381E-2</v>
      </c>
      <c r="AC21" s="142">
        <f t="shared" si="3"/>
        <v>2.6795252225519296E-2</v>
      </c>
      <c r="AD21" s="142">
        <f t="shared" si="3"/>
        <v>1.0556379821958463E-2</v>
      </c>
      <c r="AE21" s="142">
        <f t="shared" si="3"/>
        <v>4.82255192878339E-3</v>
      </c>
      <c r="AF21" s="142">
        <f t="shared" si="3"/>
        <v>0</v>
      </c>
      <c r="AH21" s="158">
        <f t="shared" si="16"/>
        <v>2.1760633036597428E-2</v>
      </c>
      <c r="AI21" s="158">
        <f t="shared" si="17"/>
        <v>0.10682492581602374</v>
      </c>
      <c r="AJ21" s="158">
        <f t="shared" si="18"/>
        <v>0.25222551928783377</v>
      </c>
      <c r="AK21" s="158">
        <f t="shared" si="19"/>
        <v>0.47279920870425318</v>
      </c>
      <c r="AL21" s="158">
        <f t="shared" si="20"/>
        <v>0.63204747774480707</v>
      </c>
      <c r="AM21" s="158">
        <f t="shared" si="21"/>
        <v>0.73887240356083084</v>
      </c>
      <c r="AN21" s="158">
        <f t="shared" si="22"/>
        <v>0.86943620178041536</v>
      </c>
      <c r="AO21" s="158">
        <v>1</v>
      </c>
      <c r="AP21" s="143"/>
      <c r="AQ21" s="152">
        <f>('B2-RdTr'!$E130+'B2-RdTr'!$G130-'B2-RdTr'!$K130)*'B2-RdTr'!$H130/(('B2-RdTr'!$E92+'B2-RdTr'!$G92-'B2-RdTr'!$K92)*'B2-RdTr'!$H92)*100</f>
        <v>4.9604601006470164</v>
      </c>
      <c r="AR21" s="152">
        <f>('B2-RdTr'!$E168+'B2-RdTr'!$G168-'B2-RdTr'!$K168)*'B2-RdTr'!$H168/(('B2-RdTr'!$E92+'B2-RdTr'!$G92-'B2-RdTr'!$K92)*'B2-RdTr'!$H92)*100</f>
        <v>9.687402807307361</v>
      </c>
      <c r="AS21" s="152">
        <f>('B2-RdTr'!$E206+'B2-RdTr'!$G206-'B2-RdTr'!$K206)*'B2-RdTr'!$H206/(('B2-RdTr'!$E92+'B2-RdTr'!$G92-'B2-RdTr'!$K92)*'B2-RdTr'!$H92)*100</f>
        <v>15.173531976077214</v>
      </c>
      <c r="AT21" s="152">
        <f>('B2-RdTr'!$E244+'B2-RdTr'!$G244-'B2-RdTr'!$K244)*'B2-RdTr'!$H244/(('B2-RdTr'!$E92+'B2-RdTr'!$G92-'B2-RdTr'!$K92)*'B2-RdTr'!$H92)*100</f>
        <v>22.33269260511257</v>
      </c>
      <c r="AU21" s="152">
        <f>('B2-RdTr'!$E320+'B2-RdTr'!$G320-'B2-RdTr'!$K320)*'B2-RdTr'!$H320/(('B2-RdTr'!$E92+'B2-RdTr'!$G92-'B2-RdTr'!$K92)*'B2-RdTr'!$H92)*100</f>
        <v>15.74372910622662</v>
      </c>
      <c r="AV21" s="152">
        <f>('B2-RdTr'!$E358+'B2-RdTr'!$G358-'B2-RdTr'!$K358)*'B2-RdTr'!$H358/(('B2-RdTr'!$E92+'B2-RdTr'!$G92-'B2-RdTr'!$K92)*'B2-RdTr'!$H92)*100</f>
        <v>10.307736495845464</v>
      </c>
      <c r="AW21" s="152">
        <f>('B2-RdTr'!$E396+'B2-RdTr'!$G396-'B2-RdTr'!$K396)*'B2-RdTr'!$H396/(('B2-RdTr'!$E92+'B2-RdTr'!$G92-'B2-RdTr'!$K92)*'B2-RdTr'!$H92)*100</f>
        <v>11.98518677142658</v>
      </c>
      <c r="AX21" s="152">
        <f>('B2-RdTr'!$E434+'B2-RdTr'!$G434-'B2-RdTr'!$K434)*'B2-RdTr'!$H434/(('B2-RdTr'!$E92+'B2-RdTr'!$G92-'B2-RdTr'!$K92)*'B2-RdTr'!$H92)*100</f>
        <v>10.863487499001517</v>
      </c>
      <c r="AZ21" s="152">
        <f>'B2-RdTr'!$N130</f>
        <v>2.2000000000000002</v>
      </c>
      <c r="BA21" s="152">
        <f>'B2-RdTr'!$N168</f>
        <v>8.6</v>
      </c>
      <c r="BB21" s="152">
        <f>'B2-RdTr'!$N206</f>
        <v>14.7</v>
      </c>
      <c r="BC21" s="152">
        <f>'B2-RdTr'!$N244</f>
        <v>22.3</v>
      </c>
      <c r="BD21" s="152">
        <f>'B2-RdTr'!$N320</f>
        <v>16.100000000000001</v>
      </c>
      <c r="BE21" s="152">
        <f>'B2-RdTr'!$N358</f>
        <v>10.8</v>
      </c>
      <c r="BF21" s="152">
        <f>'B2-RdTr'!$N396</f>
        <v>13.2</v>
      </c>
      <c r="BG21" s="152">
        <f>'B2-RdTr'!$N434</f>
        <v>13.2</v>
      </c>
    </row>
    <row r="22" spans="1:59">
      <c r="A22" s="46">
        <f t="shared" si="23"/>
        <v>1993</v>
      </c>
      <c r="B22" s="141">
        <f t="shared" si="5"/>
        <v>8.2598619565714737E-2</v>
      </c>
      <c r="D22" s="141">
        <f t="shared" si="6"/>
        <v>0.46104692498874084</v>
      </c>
      <c r="E22" s="141">
        <f t="shared" si="7"/>
        <v>0.54364554455445557</v>
      </c>
      <c r="F22" s="46"/>
      <c r="G22" s="157">
        <f t="shared" si="8"/>
        <v>2.9934112858834717E-2</v>
      </c>
      <c r="H22" s="157">
        <f t="shared" si="1"/>
        <v>5.0601658020716922E-2</v>
      </c>
      <c r="I22" s="157">
        <f t="shared" si="1"/>
        <v>6.0425680972794465E-2</v>
      </c>
      <c r="J22" s="157">
        <f t="shared" si="1"/>
        <v>5.5557371853680509E-2</v>
      </c>
      <c r="K22" s="157">
        <f t="shared" si="1"/>
        <v>2.2132741739086914E-2</v>
      </c>
      <c r="L22" s="157">
        <f t="shared" si="1"/>
        <v>8.3813864656135835E-3</v>
      </c>
      <c r="M22" s="157">
        <f t="shared" si="1"/>
        <v>3.4905105836433095E-3</v>
      </c>
      <c r="N22" s="157">
        <f t="shared" si="1"/>
        <v>0</v>
      </c>
      <c r="O22" s="46"/>
      <c r="P22" s="154">
        <f t="shared" si="9"/>
        <v>5.0329435705826431E-2</v>
      </c>
      <c r="Q22" s="154">
        <f t="shared" si="10"/>
        <v>0.14699170989641541</v>
      </c>
      <c r="R22" s="154">
        <f t="shared" si="11"/>
        <v>0.29787159513602779</v>
      </c>
      <c r="S22" s="154">
        <f t="shared" si="12"/>
        <v>0.52221314073159752</v>
      </c>
      <c r="T22" s="154">
        <f t="shared" si="13"/>
        <v>0.67867258260913088</v>
      </c>
      <c r="U22" s="154">
        <f t="shared" si="14"/>
        <v>0.78237227068772841</v>
      </c>
      <c r="V22" s="154">
        <f t="shared" si="15"/>
        <v>0.90273723540891737</v>
      </c>
      <c r="W22" s="162">
        <v>1</v>
      </c>
      <c r="X22" s="154"/>
      <c r="Y22" s="142">
        <f t="shared" si="24"/>
        <v>3.5841584158415846E-2</v>
      </c>
      <c r="Z22" s="142">
        <f t="shared" si="3"/>
        <v>5.9009900990099021E-2</v>
      </c>
      <c r="AA22" s="142">
        <f t="shared" si="3"/>
        <v>6.9900990099009921E-2</v>
      </c>
      <c r="AB22" s="142">
        <f t="shared" si="3"/>
        <v>6.5346534653465363E-2</v>
      </c>
      <c r="AC22" s="142">
        <f t="shared" si="3"/>
        <v>2.6633663366336637E-2</v>
      </c>
      <c r="AD22" s="142">
        <f t="shared" si="3"/>
        <v>1.0420792079207925E-2</v>
      </c>
      <c r="AE22" s="142">
        <f t="shared" si="3"/>
        <v>4.6693069306930736E-3</v>
      </c>
      <c r="AF22" s="142">
        <f t="shared" si="3"/>
        <v>0</v>
      </c>
      <c r="AH22" s="158">
        <f t="shared" si="16"/>
        <v>2.0792079207920793E-2</v>
      </c>
      <c r="AI22" s="158">
        <f t="shared" si="17"/>
        <v>0.10495049504950496</v>
      </c>
      <c r="AJ22" s="158">
        <f t="shared" si="18"/>
        <v>0.2504950495049505</v>
      </c>
      <c r="AK22" s="158">
        <f t="shared" si="19"/>
        <v>0.47326732673267324</v>
      </c>
      <c r="AL22" s="158">
        <f t="shared" si="20"/>
        <v>0.63366336633663367</v>
      </c>
      <c r="AM22" s="158">
        <f t="shared" si="21"/>
        <v>0.74158415841584158</v>
      </c>
      <c r="AN22" s="158">
        <f t="shared" si="22"/>
        <v>0.87326732673267327</v>
      </c>
      <c r="AO22" s="158">
        <v>1</v>
      </c>
      <c r="AP22" s="143"/>
      <c r="AQ22" s="152">
        <f>('B2-RdTr'!$E131+'B2-RdTr'!$G131-'B2-RdTr'!$K131)*'B2-RdTr'!$H131/(('B2-RdTr'!$E93+'B2-RdTr'!$G93-'B2-RdTr'!$K93)*'B2-RdTr'!$H93)*100</f>
        <v>5.0836520479167016</v>
      </c>
      <c r="AR22" s="152">
        <f>('B2-RdTr'!$E169+'B2-RdTr'!$G169-'B2-RdTr'!$K169)*'B2-RdTr'!$H169/(('B2-RdTr'!$E93+'B2-RdTr'!$G93-'B2-RdTr'!$K93)*'B2-RdTr'!$H93)*100</f>
        <v>9.7636176772867422</v>
      </c>
      <c r="AS22" s="152">
        <f>('B2-RdTr'!$E207+'B2-RdTr'!$G207-'B2-RdTr'!$K207)*'B2-RdTr'!$H207/(('B2-RdTr'!$E93+'B2-RdTr'!$G93-'B2-RdTr'!$K93)*'B2-RdTr'!$H93)*100</f>
        <v>15.240004717537445</v>
      </c>
      <c r="AT22" s="152">
        <f>('B2-RdTr'!$E245+'B2-RdTr'!$G245-'B2-RdTr'!$K245)*'B2-RdTr'!$H245/(('B2-RdTr'!$E93+'B2-RdTr'!$G93-'B2-RdTr'!$K93)*'B2-RdTr'!$H93)*100</f>
        <v>22.660185668795172</v>
      </c>
      <c r="AU22" s="152">
        <f>('B2-RdTr'!$E321+'B2-RdTr'!$G321-'B2-RdTr'!$K321)*'B2-RdTr'!$H321/(('B2-RdTr'!$E93+'B2-RdTr'!$G93-'B2-RdTr'!$K93)*'B2-RdTr'!$H93)*100</f>
        <v>15.803581958788939</v>
      </c>
      <c r="AV22" s="152">
        <f>('B2-RdTr'!$E359+'B2-RdTr'!$G359-'B2-RdTr'!$K359)*'B2-RdTr'!$H359/(('B2-RdTr'!$E93+'B2-RdTr'!$G93-'B2-RdTr'!$K93)*'B2-RdTr'!$H93)*100</f>
        <v>10.474449480228463</v>
      </c>
      <c r="AW22" s="152">
        <f>('B2-RdTr'!$E397+'B2-RdTr'!$G397-'B2-RdTr'!$K397)*'B2-RdTr'!$H397/(('B2-RdTr'!$E93+'B2-RdTr'!$G93-'B2-RdTr'!$K93)*'B2-RdTr'!$H93)*100</f>
        <v>12.157767930854378</v>
      </c>
      <c r="AX22" s="152">
        <f>('B2-RdTr'!$E435+'B2-RdTr'!$G435-'B2-RdTr'!$K435)*'B2-RdTr'!$H435/(('B2-RdTr'!$E93+'B2-RdTr'!$G93-'B2-RdTr'!$K93)*'B2-RdTr'!$H93)*100</f>
        <v>9.824271730156859</v>
      </c>
      <c r="AZ22" s="152">
        <f>'B2-RdTr'!$N131</f>
        <v>2.1</v>
      </c>
      <c r="BA22" s="152">
        <f>'B2-RdTr'!$N169</f>
        <v>8.5</v>
      </c>
      <c r="BB22" s="152">
        <f>'B2-RdTr'!$N207</f>
        <v>14.7</v>
      </c>
      <c r="BC22" s="152">
        <f>'B2-RdTr'!$N245</f>
        <v>22.5</v>
      </c>
      <c r="BD22" s="152">
        <f>'B2-RdTr'!$N321</f>
        <v>16.2</v>
      </c>
      <c r="BE22" s="152">
        <f>'B2-RdTr'!$N359</f>
        <v>10.9</v>
      </c>
      <c r="BF22" s="152">
        <f>'B2-RdTr'!$N397</f>
        <v>13.3</v>
      </c>
      <c r="BG22" s="152">
        <f>'B2-RdTr'!$N435</f>
        <v>12.8</v>
      </c>
    </row>
    <row r="23" spans="1:59">
      <c r="A23" s="46">
        <f t="shared" si="23"/>
        <v>1994</v>
      </c>
      <c r="B23" s="141">
        <f t="shared" si="5"/>
        <v>8.5926351299513037E-2</v>
      </c>
      <c r="D23" s="141">
        <f t="shared" si="6"/>
        <v>0.4575395217163602</v>
      </c>
      <c r="E23" s="141">
        <f t="shared" si="7"/>
        <v>0.54346587301587324</v>
      </c>
      <c r="F23" s="46"/>
      <c r="G23" s="157">
        <f t="shared" si="8"/>
        <v>2.996022680288676E-2</v>
      </c>
      <c r="H23" s="157">
        <f t="shared" si="1"/>
        <v>5.0394991787556326E-2</v>
      </c>
      <c r="I23" s="157">
        <f t="shared" si="1"/>
        <v>5.9953335808686559E-2</v>
      </c>
      <c r="J23" s="157">
        <f t="shared" si="1"/>
        <v>5.4900177868720881E-2</v>
      </c>
      <c r="K23" s="157">
        <f t="shared" si="1"/>
        <v>2.1798614342672107E-2</v>
      </c>
      <c r="L23" s="157">
        <f t="shared" si="1"/>
        <v>8.2930804689767441E-3</v>
      </c>
      <c r="M23" s="157">
        <f t="shared" si="1"/>
        <v>3.4693337786807234E-3</v>
      </c>
      <c r="N23" s="157">
        <f t="shared" si="1"/>
        <v>0</v>
      </c>
      <c r="O23" s="46"/>
      <c r="P23" s="154">
        <f t="shared" si="9"/>
        <v>5.0198865985566207E-2</v>
      </c>
      <c r="Q23" s="154">
        <f t="shared" si="10"/>
        <v>0.14802504106221842</v>
      </c>
      <c r="R23" s="154">
        <f t="shared" si="11"/>
        <v>0.3002333209565673</v>
      </c>
      <c r="S23" s="154">
        <f t="shared" si="12"/>
        <v>0.52549911065639565</v>
      </c>
      <c r="T23" s="154">
        <f t="shared" si="13"/>
        <v>0.68201385657327895</v>
      </c>
      <c r="U23" s="154">
        <f t="shared" si="14"/>
        <v>0.7841383906204652</v>
      </c>
      <c r="V23" s="154">
        <f t="shared" si="15"/>
        <v>0.90326665553298202</v>
      </c>
      <c r="W23" s="162">
        <v>1</v>
      </c>
      <c r="X23" s="154"/>
      <c r="Y23" s="142">
        <f t="shared" si="24"/>
        <v>3.603174603174604E-2</v>
      </c>
      <c r="Z23" s="142">
        <f t="shared" si="3"/>
        <v>5.8968253968253982E-2</v>
      </c>
      <c r="AA23" s="142">
        <f t="shared" si="3"/>
        <v>6.9801587301587323E-2</v>
      </c>
      <c r="AB23" s="142">
        <f t="shared" si="3"/>
        <v>6.515873015873018E-2</v>
      </c>
      <c r="AC23" s="142">
        <f t="shared" si="3"/>
        <v>2.6607142857142864E-2</v>
      </c>
      <c r="AD23" s="142">
        <f t="shared" si="3"/>
        <v>1.0446428571428579E-2</v>
      </c>
      <c r="AE23" s="142">
        <f t="shared" si="3"/>
        <v>4.719047619047627E-3</v>
      </c>
      <c r="AF23" s="142">
        <f t="shared" si="3"/>
        <v>0</v>
      </c>
      <c r="AH23" s="158">
        <f t="shared" si="16"/>
        <v>1.984126984126984E-2</v>
      </c>
      <c r="AI23" s="158">
        <f t="shared" si="17"/>
        <v>0.10515873015873015</v>
      </c>
      <c r="AJ23" s="158">
        <f t="shared" si="18"/>
        <v>0.25099206349206349</v>
      </c>
      <c r="AK23" s="158">
        <f t="shared" si="19"/>
        <v>0.47420634920634919</v>
      </c>
      <c r="AL23" s="158">
        <f t="shared" si="20"/>
        <v>0.6339285714285714</v>
      </c>
      <c r="AM23" s="158">
        <f t="shared" si="21"/>
        <v>0.74107142857142849</v>
      </c>
      <c r="AN23" s="158">
        <f t="shared" si="22"/>
        <v>0.87202380952380942</v>
      </c>
      <c r="AO23" s="158">
        <v>1</v>
      </c>
      <c r="AP23" s="143"/>
      <c r="AQ23" s="152">
        <f>('B2-RdTr'!$E132+'B2-RdTr'!$G132-'B2-RdTr'!$K132)*'B2-RdTr'!$H132/(('B2-RdTr'!$E94+'B2-RdTr'!$G94-'B2-RdTr'!$K94)*'B2-RdTr'!$H94)*100</f>
        <v>5.0716185933138505</v>
      </c>
      <c r="AR23" s="152">
        <f>('B2-RdTr'!$E170+'B2-RdTr'!$G170-'B2-RdTr'!$K170)*'B2-RdTr'!$H170/(('B2-RdTr'!$E94+'B2-RdTr'!$G94-'B2-RdTr'!$K94)*'B2-RdTr'!$H94)*100</f>
        <v>9.883431402099415</v>
      </c>
      <c r="AS23" s="152">
        <f>('B2-RdTr'!$E208+'B2-RdTr'!$G208-'B2-RdTr'!$K208)*'B2-RdTr'!$H208/(('B2-RdTr'!$E94+'B2-RdTr'!$G94-'B2-RdTr'!$K94)*'B2-RdTr'!$H94)*100</f>
        <v>15.377684878189418</v>
      </c>
      <c r="AT23" s="152">
        <f>('B2-RdTr'!$E246+'B2-RdTr'!$G246-'B2-RdTr'!$K246)*'B2-RdTr'!$H246/(('B2-RdTr'!$E94+'B2-RdTr'!$G94-'B2-RdTr'!$K94)*'B2-RdTr'!$H94)*100</f>
        <v>22.758724625525836</v>
      </c>
      <c r="AU23" s="152">
        <f>('B2-RdTr'!$E322+'B2-RdTr'!$G322-'B2-RdTr'!$K322)*'B2-RdTr'!$H322/(('B2-RdTr'!$E94+'B2-RdTr'!$G94-'B2-RdTr'!$K94)*'B2-RdTr'!$H94)*100</f>
        <v>15.812769470690762</v>
      </c>
      <c r="AV23" s="152">
        <f>('B2-RdTr'!$E360+'B2-RdTr'!$G360-'B2-RdTr'!$K360)*'B2-RdTr'!$H360/(('B2-RdTr'!$E94+'B2-RdTr'!$G94-'B2-RdTr'!$K94)*'B2-RdTr'!$H94)*100</f>
        <v>10.317696934750415</v>
      </c>
      <c r="AW23" s="152">
        <f>('B2-RdTr'!$E398+'B2-RdTr'!$G398-'B2-RdTr'!$K398)*'B2-RdTr'!$H398/(('B2-RdTr'!$E94+'B2-RdTr'!$G94-'B2-RdTr'!$K94)*'B2-RdTr'!$H94)*100</f>
        <v>12.035593064856434</v>
      </c>
      <c r="AX23" s="152">
        <f>('B2-RdTr'!$E436+'B2-RdTr'!$G436-'B2-RdTr'!$K436)*'B2-RdTr'!$H436/(('B2-RdTr'!$E94+'B2-RdTr'!$G94-'B2-RdTr'!$K94)*'B2-RdTr'!$H94)*100</f>
        <v>9.7730221342733952</v>
      </c>
      <c r="AZ23" s="152">
        <f>'B2-RdTr'!$N132</f>
        <v>2</v>
      </c>
      <c r="BA23" s="152">
        <f>'B2-RdTr'!$N170</f>
        <v>8.6</v>
      </c>
      <c r="BB23" s="152">
        <f>'B2-RdTr'!$N208</f>
        <v>14.7</v>
      </c>
      <c r="BC23" s="152">
        <f>'B2-RdTr'!$N246</f>
        <v>22.5</v>
      </c>
      <c r="BD23" s="152">
        <f>'B2-RdTr'!$N322</f>
        <v>16.100000000000001</v>
      </c>
      <c r="BE23" s="152">
        <f>'B2-RdTr'!$N360</f>
        <v>10.8</v>
      </c>
      <c r="BF23" s="152">
        <f>'B2-RdTr'!$N398</f>
        <v>13.2</v>
      </c>
      <c r="BG23" s="152">
        <f>'B2-RdTr'!$N436</f>
        <v>12.9</v>
      </c>
    </row>
    <row r="24" spans="1:59">
      <c r="A24" s="46">
        <f t="shared" si="23"/>
        <v>1995</v>
      </c>
      <c r="B24" s="141">
        <f t="shared" si="5"/>
        <v>8.7964790027389883E-2</v>
      </c>
      <c r="D24" s="141">
        <f t="shared" si="6"/>
        <v>0.45684907135874886</v>
      </c>
      <c r="E24" s="141">
        <f t="shared" si="7"/>
        <v>0.54481386138613874</v>
      </c>
      <c r="F24" s="46"/>
      <c r="G24" s="157">
        <f t="shared" si="8"/>
        <v>2.9273689273689275E-2</v>
      </c>
      <c r="H24" s="157">
        <f t="shared" si="8"/>
        <v>4.9611630901953495E-2</v>
      </c>
      <c r="I24" s="157">
        <f t="shared" si="8"/>
        <v>5.9597200887523495E-2</v>
      </c>
      <c r="J24" s="157">
        <f t="shared" si="8"/>
        <v>5.5376188924576034E-2</v>
      </c>
      <c r="K24" s="157">
        <f t="shared" si="8"/>
        <v>2.2345420409936534E-2</v>
      </c>
      <c r="L24" s="157">
        <f t="shared" si="8"/>
        <v>8.5452450775031445E-3</v>
      </c>
      <c r="M24" s="157">
        <f t="shared" si="8"/>
        <v>3.6751602041924648E-3</v>
      </c>
      <c r="N24" s="157">
        <f t="shared" si="8"/>
        <v>0</v>
      </c>
      <c r="O24" s="46"/>
      <c r="P24" s="154">
        <f t="shared" si="9"/>
        <v>5.3631553631553634E-2</v>
      </c>
      <c r="Q24" s="154">
        <f t="shared" si="10"/>
        <v>0.15194184549023257</v>
      </c>
      <c r="R24" s="154">
        <f t="shared" si="11"/>
        <v>0.30201399556238262</v>
      </c>
      <c r="S24" s="154">
        <f t="shared" si="12"/>
        <v>0.52311905537711989</v>
      </c>
      <c r="T24" s="154">
        <f t="shared" si="13"/>
        <v>0.67654579590063468</v>
      </c>
      <c r="U24" s="154">
        <f t="shared" si="14"/>
        <v>0.77909509844993718</v>
      </c>
      <c r="V24" s="154">
        <f t="shared" si="15"/>
        <v>0.89812099489518848</v>
      </c>
      <c r="W24" s="162">
        <v>1</v>
      </c>
      <c r="X24" s="154"/>
      <c r="Y24" s="142">
        <f t="shared" si="24"/>
        <v>3.5445544554455449E-2</v>
      </c>
      <c r="Z24" s="142">
        <f t="shared" si="24"/>
        <v>5.8415841584158426E-2</v>
      </c>
      <c r="AA24" s="142">
        <f t="shared" si="24"/>
        <v>6.9702970297029737E-2</v>
      </c>
      <c r="AB24" s="142">
        <f t="shared" si="24"/>
        <v>6.5940594059405971E-2</v>
      </c>
      <c r="AC24" s="142">
        <f t="shared" si="24"/>
        <v>2.7227722772277241E-2</v>
      </c>
      <c r="AD24" s="142">
        <f t="shared" si="24"/>
        <v>1.0767326732673277E-2</v>
      </c>
      <c r="AE24" s="142">
        <f t="shared" si="24"/>
        <v>4.9069306930693158E-3</v>
      </c>
      <c r="AF24" s="142">
        <f t="shared" si="24"/>
        <v>0</v>
      </c>
      <c r="AH24" s="158">
        <f t="shared" si="16"/>
        <v>2.2772277227722768E-2</v>
      </c>
      <c r="AI24" s="158">
        <f t="shared" si="17"/>
        <v>0.10792079207920789</v>
      </c>
      <c r="AJ24" s="158">
        <f t="shared" si="18"/>
        <v>0.25148514851485143</v>
      </c>
      <c r="AK24" s="158">
        <f t="shared" si="19"/>
        <v>0.47029702970297022</v>
      </c>
      <c r="AL24" s="158">
        <f t="shared" si="20"/>
        <v>0.62772277227722761</v>
      </c>
      <c r="AM24" s="158">
        <f t="shared" si="21"/>
        <v>0.73465346534653453</v>
      </c>
      <c r="AN24" s="158">
        <f t="shared" si="22"/>
        <v>0.86732673267326721</v>
      </c>
      <c r="AO24" s="158">
        <v>1</v>
      </c>
      <c r="AP24" s="143"/>
      <c r="AQ24" s="152">
        <f>('B2-RdTr'!$E133+'B2-RdTr'!$G133-'B2-RdTr'!$K133)*'B2-RdTr'!$H133/(('B2-RdTr'!$E95+'B2-RdTr'!$G95-'B2-RdTr'!$K95)*'B2-RdTr'!$H95)*100</f>
        <v>5.4085814385433997</v>
      </c>
      <c r="AR24" s="152">
        <f>('B2-RdTr'!$E171+'B2-RdTr'!$G171-'B2-RdTr'!$K171)*'B2-RdTr'!$H171/(('B2-RdTr'!$E95+'B2-RdTr'!$G95-'B2-RdTr'!$K95)*'B2-RdTr'!$H95)*100</f>
        <v>9.9142982770464272</v>
      </c>
      <c r="AS24" s="152">
        <f>('B2-RdTr'!$E209+'B2-RdTr'!$G209-'B2-RdTr'!$K209)*'B2-RdTr'!$H209/(('B2-RdTr'!$E95+'B2-RdTr'!$G95-'B2-RdTr'!$K95)*'B2-RdTr'!$H95)*100</f>
        <v>15.134326536551935</v>
      </c>
      <c r="AT24" s="152">
        <f>('B2-RdTr'!$E247+'B2-RdTr'!$G247-'B2-RdTr'!$K247)*'B2-RdTr'!$H247/(('B2-RdTr'!$E95+'B2-RdTr'!$G95-'B2-RdTr'!$K95)*'B2-RdTr'!$H95)*100</f>
        <v>22.297782583319382</v>
      </c>
      <c r="AU24" s="152">
        <f>('B2-RdTr'!$E323+'B2-RdTr'!$G323-'B2-RdTr'!$K323)*'B2-RdTr'!$H323/(('B2-RdTr'!$E95+'B2-RdTr'!$G95-'B2-RdTr'!$K95)*'B2-RdTr'!$H95)*100</f>
        <v>15.472626929149385</v>
      </c>
      <c r="AV24" s="152">
        <f>('B2-RdTr'!$E361+'B2-RdTr'!$G361-'B2-RdTr'!$K361)*'B2-RdTr'!$H361/(('B2-RdTr'!$E95+'B2-RdTr'!$G95-'B2-RdTr'!$K95)*'B2-RdTr'!$H95)*100</f>
        <v>10.341789799977155</v>
      </c>
      <c r="AW24" s="152">
        <f>('B2-RdTr'!$E399+'B2-RdTr'!$G399-'B2-RdTr'!$K399)*'B2-RdTr'!$H399/(('B2-RdTr'!$E95+'B2-RdTr'!$G95-'B2-RdTr'!$K95)*'B2-RdTr'!$H95)*100</f>
        <v>12.003404910519389</v>
      </c>
      <c r="AX24" s="152">
        <f>('B2-RdTr'!$E437+'B2-RdTr'!$G437-'B2-RdTr'!$K437)*'B2-RdTr'!$H437/(('B2-RdTr'!$E95+'B2-RdTr'!$G95-'B2-RdTr'!$K95)*'B2-RdTr'!$H95)*100</f>
        <v>10.274192311724565</v>
      </c>
      <c r="AZ24" s="152">
        <f>'B2-RdTr'!$N133</f>
        <v>2.2999999999999998</v>
      </c>
      <c r="BA24" s="152">
        <f>'B2-RdTr'!$N171</f>
        <v>8.6</v>
      </c>
      <c r="BB24" s="152">
        <f>'B2-RdTr'!$N209</f>
        <v>14.5</v>
      </c>
      <c r="BC24" s="152">
        <f>'B2-RdTr'!$N247</f>
        <v>22.1</v>
      </c>
      <c r="BD24" s="152">
        <f>'B2-RdTr'!$N323</f>
        <v>15.9</v>
      </c>
      <c r="BE24" s="152">
        <f>'B2-RdTr'!$N361</f>
        <v>10.8</v>
      </c>
      <c r="BF24" s="152">
        <f>'B2-RdTr'!$N399</f>
        <v>13.4</v>
      </c>
      <c r="BG24" s="152">
        <f>'B2-RdTr'!$N437</f>
        <v>13.4</v>
      </c>
    </row>
    <row r="25" spans="1:59">
      <c r="A25" s="46">
        <f t="shared" si="23"/>
        <v>1996</v>
      </c>
      <c r="B25" s="141">
        <f t="shared" si="5"/>
        <v>9.2668115568382947E-2</v>
      </c>
      <c r="D25" s="141">
        <f t="shared" si="6"/>
        <v>0.46718664633637907</v>
      </c>
      <c r="E25" s="141">
        <f t="shared" si="7"/>
        <v>0.55985476190476202</v>
      </c>
      <c r="F25" s="46"/>
      <c r="G25" s="157">
        <f t="shared" si="8"/>
        <v>2.9639891836515903E-2</v>
      </c>
      <c r="H25" s="157">
        <f t="shared" si="8"/>
        <v>5.0377738334901792E-2</v>
      </c>
      <c r="I25" s="157">
        <f t="shared" si="8"/>
        <v>6.0728078430438287E-2</v>
      </c>
      <c r="J25" s="157">
        <f t="shared" si="8"/>
        <v>5.6986193669815499E-2</v>
      </c>
      <c r="K25" s="157">
        <f t="shared" si="8"/>
        <v>2.3032746852180555E-2</v>
      </c>
      <c r="L25" s="157">
        <f t="shared" si="8"/>
        <v>8.9176206415952971E-3</v>
      </c>
      <c r="M25" s="157">
        <f t="shared" si="8"/>
        <v>3.9110534027422131E-3</v>
      </c>
      <c r="N25" s="157">
        <f t="shared" si="8"/>
        <v>0</v>
      </c>
      <c r="O25" s="46"/>
      <c r="P25" s="154">
        <f t="shared" si="9"/>
        <v>5.1800540817420505E-2</v>
      </c>
      <c r="Q25" s="154">
        <f t="shared" si="10"/>
        <v>0.14811130832549108</v>
      </c>
      <c r="R25" s="154">
        <f t="shared" si="11"/>
        <v>0.29635960784780868</v>
      </c>
      <c r="S25" s="154">
        <f t="shared" si="12"/>
        <v>0.51506903165092255</v>
      </c>
      <c r="T25" s="154">
        <f t="shared" si="13"/>
        <v>0.6696725314781945</v>
      </c>
      <c r="U25" s="154">
        <f t="shared" si="14"/>
        <v>0.77164758716809412</v>
      </c>
      <c r="V25" s="154">
        <f t="shared" si="15"/>
        <v>0.89222366493144478</v>
      </c>
      <c r="W25" s="162">
        <v>1</v>
      </c>
      <c r="X25" s="154"/>
      <c r="Y25" s="142">
        <f t="shared" si="24"/>
        <v>3.5634920634920637E-2</v>
      </c>
      <c r="Z25" s="142">
        <f t="shared" si="24"/>
        <v>5.9166666666666673E-2</v>
      </c>
      <c r="AA25" s="142">
        <f t="shared" si="24"/>
        <v>7.1190476190476207E-2</v>
      </c>
      <c r="AB25" s="142">
        <f t="shared" si="24"/>
        <v>6.8333333333333343E-2</v>
      </c>
      <c r="AC25" s="142">
        <f t="shared" si="24"/>
        <v>2.8591269841269841E-2</v>
      </c>
      <c r="AD25" s="142">
        <f t="shared" si="24"/>
        <v>1.1537698412698416E-2</v>
      </c>
      <c r="AE25" s="142">
        <f t="shared" si="24"/>
        <v>5.4730158730158787E-3</v>
      </c>
      <c r="AF25" s="142">
        <f t="shared" si="24"/>
        <v>0</v>
      </c>
      <c r="AH25" s="158">
        <f t="shared" si="16"/>
        <v>2.1825396825396828E-2</v>
      </c>
      <c r="AI25" s="158">
        <f t="shared" si="17"/>
        <v>0.10416666666666669</v>
      </c>
      <c r="AJ25" s="158">
        <f t="shared" si="18"/>
        <v>0.24404761904761907</v>
      </c>
      <c r="AK25" s="158">
        <f t="shared" si="19"/>
        <v>0.45833333333333337</v>
      </c>
      <c r="AL25" s="158">
        <f t="shared" si="20"/>
        <v>0.61408730158730163</v>
      </c>
      <c r="AM25" s="158">
        <f t="shared" si="21"/>
        <v>0.71924603174603174</v>
      </c>
      <c r="AN25" s="158">
        <f t="shared" si="22"/>
        <v>0.85317460317460314</v>
      </c>
      <c r="AO25" s="158">
        <v>1</v>
      </c>
      <c r="AP25" s="143"/>
      <c r="AQ25" s="152">
        <f>('B2-RdTr'!$E134+'B2-RdTr'!$G134-'B2-RdTr'!$K134)*'B2-RdTr'!$H134/(('B2-RdTr'!$E96+'B2-RdTr'!$G96-'B2-RdTr'!$K96)*'B2-RdTr'!$H96)*100</f>
        <v>5.2056725490108056</v>
      </c>
      <c r="AR25" s="152">
        <f>('B2-RdTr'!$E172+'B2-RdTr'!$G172-'B2-RdTr'!$K172)*'B2-RdTr'!$H172/(('B2-RdTr'!$E96+'B2-RdTr'!$G96-'B2-RdTr'!$K96)*'B2-RdTr'!$H96)*100</f>
        <v>9.6787081887437889</v>
      </c>
      <c r="AS25" s="152">
        <f>('B2-RdTr'!$E210+'B2-RdTr'!$G210-'B2-RdTr'!$K210)*'B2-RdTr'!$H210/(('B2-RdTr'!$E96+'B2-RdTr'!$G96-'B2-RdTr'!$K96)*'B2-RdTr'!$H96)*100</f>
        <v>14.898147607781873</v>
      </c>
      <c r="AT25" s="152">
        <f>('B2-RdTr'!$E248+'B2-RdTr'!$G248-'B2-RdTr'!$K248)*'B2-RdTr'!$H248/(('B2-RdTr'!$E96+'B2-RdTr'!$G96-'B2-RdTr'!$K96)*'B2-RdTr'!$H96)*100</f>
        <v>21.979107278334688</v>
      </c>
      <c r="AU25" s="152">
        <f>('B2-RdTr'!$E324+'B2-RdTr'!$G324-'B2-RdTr'!$K324)*'B2-RdTr'!$H324/(('B2-RdTr'!$E96+'B2-RdTr'!$G96-'B2-RdTr'!$K96)*'B2-RdTr'!$H96)*100</f>
        <v>15.536810665134354</v>
      </c>
      <c r="AV25" s="152">
        <f>('B2-RdTr'!$E362+'B2-RdTr'!$G362-'B2-RdTr'!$K362)*'B2-RdTr'!$H362/(('B2-RdTr'!$E96+'B2-RdTr'!$G96-'B2-RdTr'!$K96)*'B2-RdTr'!$H96)*100</f>
        <v>10.247938336393469</v>
      </c>
      <c r="AW25" s="152">
        <f>('B2-RdTr'!$E400+'B2-RdTr'!$G400-'B2-RdTr'!$K400)*'B2-RdTr'!$H400/(('B2-RdTr'!$E96+'B2-RdTr'!$G96-'B2-RdTr'!$K96)*'B2-RdTr'!$H96)*100</f>
        <v>12.117239862271443</v>
      </c>
      <c r="AX25" s="152">
        <f>('B2-RdTr'!$E438+'B2-RdTr'!$G438-'B2-RdTr'!$K438)*'B2-RdTr'!$H438/(('B2-RdTr'!$E96+'B2-RdTr'!$G96-'B2-RdTr'!$K96)*'B2-RdTr'!$H96)*100</f>
        <v>10.83093535407043</v>
      </c>
      <c r="AZ25" s="152">
        <f>'B2-RdTr'!$N134</f>
        <v>2.2000000000000002</v>
      </c>
      <c r="BA25" s="152">
        <f>'B2-RdTr'!$N172</f>
        <v>8.3000000000000007</v>
      </c>
      <c r="BB25" s="152">
        <f>'B2-RdTr'!$N210</f>
        <v>14.1</v>
      </c>
      <c r="BC25" s="152">
        <f>'B2-RdTr'!$N248</f>
        <v>21.6</v>
      </c>
      <c r="BD25" s="152">
        <f>'B2-RdTr'!$N324</f>
        <v>15.7</v>
      </c>
      <c r="BE25" s="152">
        <f>'B2-RdTr'!$N362</f>
        <v>10.6</v>
      </c>
      <c r="BF25" s="152">
        <f>'B2-RdTr'!$N400</f>
        <v>13.5</v>
      </c>
      <c r="BG25" s="152">
        <f>'B2-RdTr'!$N438</f>
        <v>14.8</v>
      </c>
    </row>
    <row r="26" spans="1:59">
      <c r="A26" s="46">
        <f t="shared" si="23"/>
        <v>1997</v>
      </c>
      <c r="B26" s="141">
        <f t="shared" si="5"/>
        <v>8.9576248391424362E-2</v>
      </c>
      <c r="D26" s="141">
        <f t="shared" si="6"/>
        <v>0.47898323522327285</v>
      </c>
      <c r="E26" s="141">
        <f t="shared" si="7"/>
        <v>0.56855948361469721</v>
      </c>
      <c r="F26" s="46"/>
      <c r="G26" s="157">
        <f t="shared" si="8"/>
        <v>2.9812893619958394E-2</v>
      </c>
      <c r="H26" s="157">
        <f t="shared" si="8"/>
        <v>5.0847296233221644E-2</v>
      </c>
      <c r="I26" s="157">
        <f t="shared" si="8"/>
        <v>6.175798015824388E-2</v>
      </c>
      <c r="J26" s="157">
        <f t="shared" si="8"/>
        <v>5.8963681669829043E-2</v>
      </c>
      <c r="K26" s="157">
        <f t="shared" si="8"/>
        <v>2.4189630618790661E-2</v>
      </c>
      <c r="L26" s="157">
        <f t="shared" si="8"/>
        <v>9.5330968268121548E-3</v>
      </c>
      <c r="M26" s="157">
        <f t="shared" si="8"/>
        <v>4.3870384847806186E-3</v>
      </c>
      <c r="N26" s="157">
        <f t="shared" si="8"/>
        <v>0</v>
      </c>
      <c r="O26" s="46"/>
      <c r="P26" s="154">
        <f t="shared" si="9"/>
        <v>5.0935531900208053E-2</v>
      </c>
      <c r="Q26" s="154">
        <f t="shared" si="10"/>
        <v>0.14576351883389185</v>
      </c>
      <c r="R26" s="154">
        <f t="shared" si="11"/>
        <v>0.29121009920878071</v>
      </c>
      <c r="S26" s="154">
        <f t="shared" si="12"/>
        <v>0.50518159165085486</v>
      </c>
      <c r="T26" s="154">
        <f t="shared" si="13"/>
        <v>0.65810369381209344</v>
      </c>
      <c r="U26" s="154">
        <f t="shared" si="14"/>
        <v>0.75933806346375698</v>
      </c>
      <c r="V26" s="154">
        <f t="shared" si="15"/>
        <v>0.88032403788048463</v>
      </c>
      <c r="W26" s="162">
        <v>1</v>
      </c>
      <c r="X26" s="154"/>
      <c r="Y26" s="142">
        <f t="shared" si="24"/>
        <v>3.5431976166832184E-2</v>
      </c>
      <c r="Z26" s="142">
        <f t="shared" si="24"/>
        <v>5.9145978152929504E-2</v>
      </c>
      <c r="AA26" s="142">
        <f t="shared" si="24"/>
        <v>7.1737835153922555E-2</v>
      </c>
      <c r="AB26" s="142">
        <f t="shared" si="24"/>
        <v>7.0228401191658407E-2</v>
      </c>
      <c r="AC26" s="142">
        <f t="shared" si="24"/>
        <v>2.9721946375372399E-2</v>
      </c>
      <c r="AD26" s="142">
        <f t="shared" si="24"/>
        <v>1.2097815292949361E-2</v>
      </c>
      <c r="AE26" s="142">
        <f t="shared" si="24"/>
        <v>5.9157894736842163E-3</v>
      </c>
      <c r="AF26" s="142">
        <f t="shared" si="24"/>
        <v>0</v>
      </c>
      <c r="AH26" s="158">
        <f t="shared" si="16"/>
        <v>2.2840119165839123E-2</v>
      </c>
      <c r="AI26" s="158">
        <f t="shared" si="17"/>
        <v>0.10427010923535253</v>
      </c>
      <c r="AJ26" s="158">
        <f t="shared" si="18"/>
        <v>0.2413108242303873</v>
      </c>
      <c r="AK26" s="158">
        <f t="shared" si="19"/>
        <v>0.44885799404170801</v>
      </c>
      <c r="AL26" s="158">
        <f t="shared" si="20"/>
        <v>0.60278053624627603</v>
      </c>
      <c r="AM26" s="158">
        <f t="shared" si="21"/>
        <v>0.70804369414101287</v>
      </c>
      <c r="AN26" s="158">
        <f t="shared" si="22"/>
        <v>0.84210526315789469</v>
      </c>
      <c r="AO26" s="158">
        <v>1</v>
      </c>
      <c r="AP26" s="143"/>
      <c r="AQ26" s="152">
        <f>('B2-RdTr'!$E135+'B2-RdTr'!$G135-'B2-RdTr'!$K135)*'B2-RdTr'!$H135/(('B2-RdTr'!$E97+'B2-RdTr'!$G97-'B2-RdTr'!$K97)*'B2-RdTr'!$H97)*100</f>
        <v>5.1077774952679604</v>
      </c>
      <c r="AR26" s="152">
        <f>('B2-RdTr'!$E173+'B2-RdTr'!$G173-'B2-RdTr'!$K173)*'B2-RdTr'!$H173/(('B2-RdTr'!$E97+'B2-RdTr'!$G97-'B2-RdTr'!$K97)*'B2-RdTr'!$H97)*100</f>
        <v>9.5092804474955503</v>
      </c>
      <c r="AS26" s="152">
        <f>('B2-RdTr'!$E211+'B2-RdTr'!$G211-'B2-RdTr'!$K211)*'B2-RdTr'!$H211/(('B2-RdTr'!$E97+'B2-RdTr'!$G97-'B2-RdTr'!$K97)*'B2-RdTr'!$H97)*100</f>
        <v>14.585275588326693</v>
      </c>
      <c r="AT26" s="152">
        <f>('B2-RdTr'!$E249+'B2-RdTr'!$G249-'B2-RdTr'!$K249)*'B2-RdTr'!$H249/(('B2-RdTr'!$E97+'B2-RdTr'!$G97-'B2-RdTr'!$K97)*'B2-RdTr'!$H97)*100</f>
        <v>21.456903127383676</v>
      </c>
      <c r="AU26" s="152">
        <f>('B2-RdTr'!$E325+'B2-RdTr'!$G325-'B2-RdTr'!$K325)*'B2-RdTr'!$H325/(('B2-RdTr'!$E97+'B2-RdTr'!$G97-'B2-RdTr'!$K97)*'B2-RdTr'!$H97)*100</f>
        <v>15.334915388309744</v>
      </c>
      <c r="AV26" s="152">
        <f>('B2-RdTr'!$E363+'B2-RdTr'!$G363-'B2-RdTr'!$K363)*'B2-RdTr'!$H363/(('B2-RdTr'!$E97+'B2-RdTr'!$G97-'B2-RdTr'!$K97)*'B2-RdTr'!$H97)*100</f>
        <v>10.151707771845071</v>
      </c>
      <c r="AW26" s="152">
        <f>('B2-RdTr'!$E401+'B2-RdTr'!$G401-'B2-RdTr'!$K401)*'B2-RdTr'!$H401/(('B2-RdTr'!$E97+'B2-RdTr'!$G97-'B2-RdTr'!$K97)*'B2-RdTr'!$H97)*100</f>
        <v>12.132384100347487</v>
      </c>
      <c r="AX26" s="152">
        <f>('B2-RdTr'!$E439+'B2-RdTr'!$G439-'B2-RdTr'!$K439)*'B2-RdTr'!$H439/(('B2-RdTr'!$E97+'B2-RdTr'!$G97-'B2-RdTr'!$K97)*'B2-RdTr'!$H97)*100</f>
        <v>12.001017035341977</v>
      </c>
      <c r="AZ26" s="152">
        <f>'B2-RdTr'!$N135</f>
        <v>2.2999999999999998</v>
      </c>
      <c r="BA26" s="152">
        <f>'B2-RdTr'!$N173</f>
        <v>8.1999999999999993</v>
      </c>
      <c r="BB26" s="152">
        <f>'B2-RdTr'!$N211</f>
        <v>13.8</v>
      </c>
      <c r="BC26" s="152">
        <f>'B2-RdTr'!$N249</f>
        <v>20.9</v>
      </c>
      <c r="BD26" s="152">
        <f>'B2-RdTr'!$N325</f>
        <v>15.5</v>
      </c>
      <c r="BE26" s="152">
        <f>'B2-RdTr'!$N363</f>
        <v>10.6</v>
      </c>
      <c r="BF26" s="152">
        <f>'B2-RdTr'!$N401</f>
        <v>13.5</v>
      </c>
      <c r="BG26" s="152">
        <f>'B2-RdTr'!$N439</f>
        <v>15.9</v>
      </c>
    </row>
    <row r="27" spans="1:59">
      <c r="A27" s="46">
        <f t="shared" si="23"/>
        <v>1998</v>
      </c>
      <c r="B27" s="141">
        <f t="shared" si="5"/>
        <v>8.6408046661432591E-2</v>
      </c>
      <c r="D27" s="141">
        <f t="shared" si="6"/>
        <v>0.4846706809727625</v>
      </c>
      <c r="E27" s="141">
        <f t="shared" si="7"/>
        <v>0.57107872763419509</v>
      </c>
      <c r="F27" s="46"/>
      <c r="G27" s="157">
        <f t="shared" si="8"/>
        <v>2.9676419046129998E-2</v>
      </c>
      <c r="H27" s="157">
        <f t="shared" si="8"/>
        <v>5.0810092442394518E-2</v>
      </c>
      <c r="I27" s="157">
        <f t="shared" si="8"/>
        <v>6.2208324375736992E-2</v>
      </c>
      <c r="J27" s="157">
        <f t="shared" si="8"/>
        <v>6.0002996723148398E-2</v>
      </c>
      <c r="K27" s="157">
        <f t="shared" si="8"/>
        <v>2.4952736464257566E-2</v>
      </c>
      <c r="L27" s="157">
        <f t="shared" si="8"/>
        <v>9.9809610360844583E-3</v>
      </c>
      <c r="M27" s="157">
        <f t="shared" si="8"/>
        <v>4.7038103986293267E-3</v>
      </c>
      <c r="N27" s="157">
        <f t="shared" si="8"/>
        <v>0</v>
      </c>
      <c r="O27" s="46"/>
      <c r="P27" s="154">
        <f t="shared" si="9"/>
        <v>5.1617904769350034E-2</v>
      </c>
      <c r="Q27" s="154">
        <f t="shared" si="10"/>
        <v>0.14594953778802744</v>
      </c>
      <c r="R27" s="154">
        <f t="shared" si="11"/>
        <v>0.28895837812131514</v>
      </c>
      <c r="S27" s="154">
        <f t="shared" si="12"/>
        <v>0.49998501638425807</v>
      </c>
      <c r="T27" s="154">
        <f t="shared" si="13"/>
        <v>0.65047263535742439</v>
      </c>
      <c r="U27" s="154">
        <f t="shared" si="14"/>
        <v>0.75038077927831093</v>
      </c>
      <c r="V27" s="154">
        <f t="shared" si="15"/>
        <v>0.87240474003426693</v>
      </c>
      <c r="W27" s="162">
        <v>1</v>
      </c>
      <c r="X27" s="154"/>
      <c r="Y27" s="142">
        <f t="shared" si="24"/>
        <v>3.5029821073558655E-2</v>
      </c>
      <c r="Z27" s="142">
        <f t="shared" si="24"/>
        <v>5.8926441351888674E-2</v>
      </c>
      <c r="AA27" s="142">
        <f t="shared" si="24"/>
        <v>7.1888667992047739E-2</v>
      </c>
      <c r="AB27" s="142">
        <f t="shared" si="24"/>
        <v>7.0735586481113347E-2</v>
      </c>
      <c r="AC27" s="142">
        <f t="shared" si="24"/>
        <v>3.0258449304174963E-2</v>
      </c>
      <c r="AD27" s="142">
        <f t="shared" si="24"/>
        <v>1.2460238568588479E-2</v>
      </c>
      <c r="AE27" s="142">
        <f t="shared" si="24"/>
        <v>6.2401590457256571E-3</v>
      </c>
      <c r="AF27" s="142">
        <f t="shared" si="24"/>
        <v>0</v>
      </c>
      <c r="AH27" s="158">
        <f t="shared" si="16"/>
        <v>2.4850894632206758E-2</v>
      </c>
      <c r="AI27" s="158">
        <f t="shared" si="17"/>
        <v>0.10536779324055665</v>
      </c>
      <c r="AJ27" s="158">
        <f t="shared" si="18"/>
        <v>0.24055666003976139</v>
      </c>
      <c r="AK27" s="158">
        <f t="shared" si="19"/>
        <v>0.44632206759443332</v>
      </c>
      <c r="AL27" s="158">
        <f t="shared" si="20"/>
        <v>0.59741550695825041</v>
      </c>
      <c r="AM27" s="158">
        <f t="shared" si="21"/>
        <v>0.70079522862823052</v>
      </c>
      <c r="AN27" s="158">
        <f t="shared" si="22"/>
        <v>0.83399602385685867</v>
      </c>
      <c r="AO27" s="158">
        <v>1</v>
      </c>
      <c r="AP27" s="143"/>
      <c r="AQ27" s="152">
        <f>('B2-RdTr'!$E136+'B2-RdTr'!$G136-'B2-RdTr'!$K136)*'B2-RdTr'!$H136/(('B2-RdTr'!$E98+'B2-RdTr'!$G98-'B2-RdTr'!$K98)*'B2-RdTr'!$H98)*100</f>
        <v>5.1827577184720042</v>
      </c>
      <c r="AR27" s="152">
        <f>('B2-RdTr'!$E174+'B2-RdTr'!$G174-'B2-RdTr'!$K174)*'B2-RdTr'!$H174/(('B2-RdTr'!$E98+'B2-RdTr'!$G98-'B2-RdTr'!$K98)*'B2-RdTr'!$H98)*100</f>
        <v>9.4714809000523292</v>
      </c>
      <c r="AS27" s="152">
        <f>('B2-RdTr'!$E212+'B2-RdTr'!$G212-'B2-RdTr'!$K212)*'B2-RdTr'!$H212/(('B2-RdTr'!$E98+'B2-RdTr'!$G98-'B2-RdTr'!$K98)*'B2-RdTr'!$H98)*100</f>
        <v>14.358974358974358</v>
      </c>
      <c r="AT27" s="152">
        <f>('B2-RdTr'!$E250+'B2-RdTr'!$G250-'B2-RdTr'!$K250)*'B2-RdTr'!$H250/(('B2-RdTr'!$E98+'B2-RdTr'!$G98-'B2-RdTr'!$K98)*'B2-RdTr'!$H98)*100</f>
        <v>21.188383045525903</v>
      </c>
      <c r="AU27" s="152">
        <f>('B2-RdTr'!$E326+'B2-RdTr'!$G326-'B2-RdTr'!$K326)*'B2-RdTr'!$H326/(('B2-RdTr'!$E98+'B2-RdTr'!$G98-'B2-RdTr'!$K98)*'B2-RdTr'!$H98)*100</f>
        <v>15.109890109890109</v>
      </c>
      <c r="AV27" s="152">
        <f>('B2-RdTr'!$E364+'B2-RdTr'!$G364-'B2-RdTr'!$K364)*'B2-RdTr'!$H364/(('B2-RdTr'!$E98+'B2-RdTr'!$G98-'B2-RdTr'!$K98)*'B2-RdTr'!$H98)*100</f>
        <v>10.031397174254316</v>
      </c>
      <c r="AW27" s="152">
        <f>('B2-RdTr'!$E402+'B2-RdTr'!$G402-'B2-RdTr'!$K402)*'B2-RdTr'!$H402/(('B2-RdTr'!$E98+'B2-RdTr'!$G98-'B2-RdTr'!$K98)*'B2-RdTr'!$H98)*100</f>
        <v>12.251962323390893</v>
      </c>
      <c r="AX27" s="152">
        <f>('B2-RdTr'!$E440+'B2-RdTr'!$G440-'B2-RdTr'!$K440)*'B2-RdTr'!$H440/(('B2-RdTr'!$E98+'B2-RdTr'!$G98-'B2-RdTr'!$K98)*'B2-RdTr'!$H98)*100</f>
        <v>12.81135531135531</v>
      </c>
      <c r="AZ27" s="152">
        <f>'B2-RdTr'!$N136</f>
        <v>2.5</v>
      </c>
      <c r="BA27" s="152">
        <f>'B2-RdTr'!$N174</f>
        <v>8.1</v>
      </c>
      <c r="BB27" s="152">
        <f>'B2-RdTr'!$N212</f>
        <v>13.6</v>
      </c>
      <c r="BC27" s="152">
        <f>'B2-RdTr'!$N250</f>
        <v>20.7</v>
      </c>
      <c r="BD27" s="152">
        <f>'B2-RdTr'!$N326</f>
        <v>15.2</v>
      </c>
      <c r="BE27" s="152">
        <f>'B2-RdTr'!$N364</f>
        <v>10.4</v>
      </c>
      <c r="BF27" s="152">
        <f>'B2-RdTr'!$N402</f>
        <v>13.4</v>
      </c>
      <c r="BG27" s="152">
        <f>'B2-RdTr'!$N440</f>
        <v>16.7</v>
      </c>
    </row>
    <row r="28" spans="1:59">
      <c r="A28" s="46">
        <f t="shared" si="23"/>
        <v>1999</v>
      </c>
      <c r="B28" s="141">
        <f t="shared" si="5"/>
        <v>8.2374649718254978E-2</v>
      </c>
      <c r="D28" s="141">
        <f t="shared" si="6"/>
        <v>0.49824044462136768</v>
      </c>
      <c r="E28" s="141">
        <f t="shared" si="7"/>
        <v>0.58061509433962266</v>
      </c>
      <c r="F28" s="46"/>
      <c r="G28" s="157">
        <f t="shared" si="8"/>
        <v>2.9914566555409264E-2</v>
      </c>
      <c r="H28" s="157">
        <f t="shared" si="8"/>
        <v>5.1351440732461652E-2</v>
      </c>
      <c r="I28" s="157">
        <f t="shared" si="8"/>
        <v>6.3312857886517457E-2</v>
      </c>
      <c r="J28" s="157">
        <f t="shared" si="8"/>
        <v>6.2010839942431964E-2</v>
      </c>
      <c r="K28" s="157">
        <f t="shared" si="8"/>
        <v>2.635679946106502E-2</v>
      </c>
      <c r="L28" s="157">
        <f t="shared" si="8"/>
        <v>1.081034693940044E-2</v>
      </c>
      <c r="M28" s="157">
        <f t="shared" si="8"/>
        <v>5.3633707933980505E-3</v>
      </c>
      <c r="N28" s="157">
        <f t="shared" si="8"/>
        <v>0</v>
      </c>
      <c r="O28" s="46"/>
      <c r="P28" s="154">
        <f t="shared" si="9"/>
        <v>5.042716722295372E-2</v>
      </c>
      <c r="Q28" s="154">
        <f t="shared" si="10"/>
        <v>0.14324279633769174</v>
      </c>
      <c r="R28" s="154">
        <f t="shared" si="11"/>
        <v>0.28343571056741279</v>
      </c>
      <c r="S28" s="154">
        <f t="shared" si="12"/>
        <v>0.48994580028784024</v>
      </c>
      <c r="T28" s="154">
        <f t="shared" si="13"/>
        <v>0.63643200538934985</v>
      </c>
      <c r="U28" s="154">
        <f t="shared" si="14"/>
        <v>0.73379306121199128</v>
      </c>
      <c r="V28" s="154">
        <f t="shared" si="15"/>
        <v>0.85591573016504885</v>
      </c>
      <c r="W28" s="162">
        <v>1</v>
      </c>
      <c r="X28" s="154"/>
      <c r="Y28" s="142">
        <f t="shared" si="24"/>
        <v>3.503475670307845E-2</v>
      </c>
      <c r="Z28" s="142">
        <f t="shared" si="24"/>
        <v>5.9145978152929504E-2</v>
      </c>
      <c r="AA28" s="142">
        <f t="shared" si="24"/>
        <v>7.2730883813306876E-2</v>
      </c>
      <c r="AB28" s="142">
        <f t="shared" si="24"/>
        <v>7.2413108242303889E-2</v>
      </c>
      <c r="AC28" s="142">
        <f t="shared" si="24"/>
        <v>3.1310824230387294E-2</v>
      </c>
      <c r="AD28" s="142">
        <f t="shared" si="24"/>
        <v>1.3041211519364455E-2</v>
      </c>
      <c r="AE28" s="142">
        <f t="shared" si="24"/>
        <v>6.6307845084409194E-3</v>
      </c>
      <c r="AF28" s="142">
        <f t="shared" si="24"/>
        <v>0</v>
      </c>
      <c r="AH28" s="158">
        <f t="shared" si="16"/>
        <v>2.4826216484607744E-2</v>
      </c>
      <c r="AI28" s="158">
        <f t="shared" si="17"/>
        <v>0.10427010923535253</v>
      </c>
      <c r="AJ28" s="158">
        <f t="shared" si="18"/>
        <v>0.23634558093346575</v>
      </c>
      <c r="AK28" s="158">
        <f t="shared" si="19"/>
        <v>0.43793445878848064</v>
      </c>
      <c r="AL28" s="158">
        <f t="shared" si="20"/>
        <v>0.58689175769612711</v>
      </c>
      <c r="AM28" s="158">
        <f t="shared" si="21"/>
        <v>0.68917576961271099</v>
      </c>
      <c r="AN28" s="158">
        <f t="shared" si="22"/>
        <v>0.82423038728897713</v>
      </c>
      <c r="AO28" s="158">
        <v>1</v>
      </c>
      <c r="AP28" s="143"/>
      <c r="AQ28" s="152">
        <f>('B2-RdTr'!$E137+'B2-RdTr'!$G137-'B2-RdTr'!$K137)*'B2-RdTr'!$H137/(('B2-RdTr'!$E99+'B2-RdTr'!$G99-'B2-RdTr'!$K99)*'B2-RdTr'!$H99)*100</f>
        <v>5.1018637850698916</v>
      </c>
      <c r="AR28" s="152">
        <f>('B2-RdTr'!$E175+'B2-RdTr'!$G175-'B2-RdTr'!$K175)*'B2-RdTr'!$H175/(('B2-RdTr'!$E99+'B2-RdTr'!$G99-'B2-RdTr'!$K99)*'B2-RdTr'!$H99)*100</f>
        <v>9.3904282740160596</v>
      </c>
      <c r="AS28" s="152">
        <f>('B2-RdTr'!$E213+'B2-RdTr'!$G213-'B2-RdTr'!$K213)*'B2-RdTr'!$H213/(('B2-RdTr'!$E99+'B2-RdTr'!$G99-'B2-RdTr'!$K99)*'B2-RdTr'!$H99)*100</f>
        <v>14.183726578764746</v>
      </c>
      <c r="AT28" s="152">
        <f>('B2-RdTr'!$E251+'B2-RdTr'!$G251-'B2-RdTr'!$K251)*'B2-RdTr'!$H251/(('B2-RdTr'!$E99+'B2-RdTr'!$G99-'B2-RdTr'!$K99)*'B2-RdTr'!$H99)*100</f>
        <v>20.893228908496084</v>
      </c>
      <c r="AU28" s="152">
        <f>('B2-RdTr'!$E327+'B2-RdTr'!$G327-'B2-RdTr'!$K327)*'B2-RdTr'!$H327/(('B2-RdTr'!$E99+'B2-RdTr'!$G99-'B2-RdTr'!$K99)*'B2-RdTr'!$H99)*100</f>
        <v>14.820437196391396</v>
      </c>
      <c r="AV28" s="152">
        <f>('B2-RdTr'!$E365+'B2-RdTr'!$G365-'B2-RdTr'!$K365)*'B2-RdTr'!$H365/(('B2-RdTr'!$E99+'B2-RdTr'!$G99-'B2-RdTr'!$K99)*'B2-RdTr'!$H99)*100</f>
        <v>9.8503023693863394</v>
      </c>
      <c r="AW28" s="152">
        <f>('B2-RdTr'!$E403+'B2-RdTr'!$G403-'B2-RdTr'!$K403)*'B2-RdTr'!$H403/(('B2-RdTr'!$E99+'B2-RdTr'!$G99-'B2-RdTr'!$K99)*'B2-RdTr'!$H99)*100</f>
        <v>12.355507088331517</v>
      </c>
      <c r="AX28" s="152">
        <f>('B2-RdTr'!$E441+'B2-RdTr'!$G441-'B2-RdTr'!$K441)*'B2-RdTr'!$H441/(('B2-RdTr'!$E99+'B2-RdTr'!$G99-'B2-RdTr'!$K99)*'B2-RdTr'!$H99)*100</f>
        <v>14.577426390403488</v>
      </c>
      <c r="AZ28" s="152">
        <f>'B2-RdTr'!$N137</f>
        <v>2.5</v>
      </c>
      <c r="BA28" s="152">
        <f>'B2-RdTr'!$N175</f>
        <v>8</v>
      </c>
      <c r="BB28" s="152">
        <f>'B2-RdTr'!$N213</f>
        <v>13.3</v>
      </c>
      <c r="BC28" s="152">
        <f>'B2-RdTr'!$N251</f>
        <v>20.3</v>
      </c>
      <c r="BD28" s="152">
        <f>'B2-RdTr'!$N327</f>
        <v>15</v>
      </c>
      <c r="BE28" s="152">
        <f>'B2-RdTr'!$N365</f>
        <v>10.3</v>
      </c>
      <c r="BF28" s="152">
        <f>'B2-RdTr'!$N403</f>
        <v>13.6</v>
      </c>
      <c r="BG28" s="152">
        <f>'B2-RdTr'!$N441</f>
        <v>17.7</v>
      </c>
    </row>
    <row r="29" spans="1:59">
      <c r="A29" s="46">
        <f t="shared" si="23"/>
        <v>2000</v>
      </c>
      <c r="B29" s="141">
        <f t="shared" si="5"/>
        <v>8.5318474544346157E-2</v>
      </c>
      <c r="D29" s="141">
        <f t="shared" si="6"/>
        <v>0.50454321699794258</v>
      </c>
      <c r="E29" s="141">
        <f t="shared" si="7"/>
        <v>0.58986169154228874</v>
      </c>
      <c r="F29" s="46"/>
      <c r="G29" s="157">
        <f t="shared" si="8"/>
        <v>2.9927299546939207E-2</v>
      </c>
      <c r="H29" s="157">
        <f t="shared" si="8"/>
        <v>5.1584647572425472E-2</v>
      </c>
      <c r="I29" s="157">
        <f t="shared" si="8"/>
        <v>6.3949444297142138E-2</v>
      </c>
      <c r="J29" s="157">
        <f t="shared" si="8"/>
        <v>6.3115849486094985E-2</v>
      </c>
      <c r="K29" s="157">
        <f t="shared" si="8"/>
        <v>2.6990046093407175E-2</v>
      </c>
      <c r="L29" s="157">
        <f t="shared" si="8"/>
        <v>1.108672935956679E-2</v>
      </c>
      <c r="M29" s="157">
        <f t="shared" si="8"/>
        <v>5.6175921433955405E-3</v>
      </c>
      <c r="N29" s="157">
        <f t="shared" si="8"/>
        <v>0</v>
      </c>
      <c r="O29" s="46"/>
      <c r="P29" s="154">
        <f t="shared" si="9"/>
        <v>5.0363502265303971E-2</v>
      </c>
      <c r="Q29" s="154">
        <f t="shared" si="10"/>
        <v>0.14207676213787265</v>
      </c>
      <c r="R29" s="154">
        <f t="shared" si="11"/>
        <v>0.28025277851428942</v>
      </c>
      <c r="S29" s="154">
        <f t="shared" si="12"/>
        <v>0.48442075256952516</v>
      </c>
      <c r="T29" s="154">
        <f t="shared" si="13"/>
        <v>0.6300995390659283</v>
      </c>
      <c r="U29" s="154">
        <f t="shared" si="14"/>
        <v>0.7282654128086643</v>
      </c>
      <c r="V29" s="154">
        <f t="shared" si="15"/>
        <v>0.8495601964151116</v>
      </c>
      <c r="W29" s="162">
        <v>1</v>
      </c>
      <c r="X29" s="154"/>
      <c r="Y29" s="142">
        <f t="shared" si="24"/>
        <v>3.502487562189055E-2</v>
      </c>
      <c r="Z29" s="142">
        <f t="shared" si="24"/>
        <v>5.9502487562189059E-2</v>
      </c>
      <c r="AA29" s="142">
        <f t="shared" si="24"/>
        <v>7.3631840796019921E-2</v>
      </c>
      <c r="AB29" s="142">
        <f t="shared" si="24"/>
        <v>7.3830845771144293E-2</v>
      </c>
      <c r="AC29" s="142">
        <f t="shared" si="24"/>
        <v>3.2288557213930362E-2</v>
      </c>
      <c r="AD29" s="142">
        <f t="shared" si="24"/>
        <v>1.3569651741293537E-2</v>
      </c>
      <c r="AE29" s="142">
        <f t="shared" si="24"/>
        <v>7.0825870646766247E-3</v>
      </c>
      <c r="AF29" s="142">
        <f t="shared" si="24"/>
        <v>0</v>
      </c>
      <c r="AH29" s="158">
        <f t="shared" si="16"/>
        <v>2.4875621890547265E-2</v>
      </c>
      <c r="AI29" s="158">
        <f t="shared" si="17"/>
        <v>0.10248756218905472</v>
      </c>
      <c r="AJ29" s="158">
        <f t="shared" si="18"/>
        <v>0.23184079601990049</v>
      </c>
      <c r="AK29" s="158">
        <f t="shared" si="19"/>
        <v>0.43084577114427858</v>
      </c>
      <c r="AL29" s="158">
        <f t="shared" si="20"/>
        <v>0.57711442786069644</v>
      </c>
      <c r="AM29" s="158">
        <f t="shared" si="21"/>
        <v>0.67860696517412933</v>
      </c>
      <c r="AN29" s="158">
        <f t="shared" si="22"/>
        <v>0.8129353233830845</v>
      </c>
      <c r="AO29" s="158">
        <v>1</v>
      </c>
      <c r="AP29" s="143"/>
      <c r="AQ29" s="152">
        <f>('B2-RdTr'!$E138+'B2-RdTr'!$G138-'B2-RdTr'!$K138)*'B2-RdTr'!$H138/(('B2-RdTr'!$E100+'B2-RdTr'!$G100-'B2-RdTr'!$K100)*'B2-RdTr'!$H100)*100</f>
        <v>5.0840959827950956</v>
      </c>
      <c r="AR29" s="152">
        <f>('B2-RdTr'!$E176+'B2-RdTr'!$G176-'B2-RdTr'!$K176)*'B2-RdTr'!$H176/(('B2-RdTr'!$E100+'B2-RdTr'!$G100-'B2-RdTr'!$K100)*'B2-RdTr'!$H100)*100</f>
        <v>9.2582722629358205</v>
      </c>
      <c r="AS29" s="152">
        <f>('B2-RdTr'!$E214+'B2-RdTr'!$G214-'B2-RdTr'!$K214)*'B2-RdTr'!$H214/(('B2-RdTr'!$E100+'B2-RdTr'!$G100-'B2-RdTr'!$K100)*'B2-RdTr'!$H100)*100</f>
        <v>13.948595673060066</v>
      </c>
      <c r="AT29" s="152">
        <f>('B2-RdTr'!$E252+'B2-RdTr'!$G252-'B2-RdTr'!$K252)*'B2-RdTr'!$H252/(('B2-RdTr'!$E100+'B2-RdTr'!$G100-'B2-RdTr'!$K100)*'B2-RdTr'!$H100)*100</f>
        <v>20.610353331697002</v>
      </c>
      <c r="AU29" s="152">
        <f>('B2-RdTr'!$E328+'B2-RdTr'!$G328-'B2-RdTr'!$K328)*'B2-RdTr'!$H328/(('B2-RdTr'!$E100+'B2-RdTr'!$G100-'B2-RdTr'!$K100)*'B2-RdTr'!$H100)*100</f>
        <v>14.705985483361969</v>
      </c>
      <c r="AV29" s="152">
        <f>('B2-RdTr'!$E366+'B2-RdTr'!$G366-'B2-RdTr'!$K366)*'B2-RdTr'!$H366/(('B2-RdTr'!$E100+'B2-RdTr'!$G100-'B2-RdTr'!$K100)*'B2-RdTr'!$H100)*100</f>
        <v>9.9096508760241715</v>
      </c>
      <c r="AW29" s="152">
        <f>('B2-RdTr'!$E404+'B2-RdTr'!$G404-'B2-RdTr'!$K404)*'B2-RdTr'!$H404/(('B2-RdTr'!$E100+'B2-RdTr'!$G100-'B2-RdTr'!$K100)*'B2-RdTr'!$H100)*100</f>
        <v>12.244468599880781</v>
      </c>
      <c r="AX29" s="152">
        <f>('B2-RdTr'!$E442+'B2-RdTr'!$G442-'B2-RdTr'!$K442)*'B2-RdTr'!$H442/(('B2-RdTr'!$E100+'B2-RdTr'!$G100-'B2-RdTr'!$K100)*'B2-RdTr'!$H100)*100</f>
        <v>15.186600745701694</v>
      </c>
      <c r="AZ29" s="152">
        <f>'B2-RdTr'!$N138</f>
        <v>2.5</v>
      </c>
      <c r="BA29" s="152">
        <f>'B2-RdTr'!$N176</f>
        <v>7.8</v>
      </c>
      <c r="BB29" s="152">
        <f>'B2-RdTr'!$N214</f>
        <v>13</v>
      </c>
      <c r="BC29" s="152">
        <f>'B2-RdTr'!$N252</f>
        <v>20</v>
      </c>
      <c r="BD29" s="152">
        <f>'B2-RdTr'!$N328</f>
        <v>14.7</v>
      </c>
      <c r="BE29" s="152">
        <f>'B2-RdTr'!$N366</f>
        <v>10.199999999999999</v>
      </c>
      <c r="BF29" s="152">
        <f>'B2-RdTr'!$N404</f>
        <v>13.5</v>
      </c>
      <c r="BG29" s="152">
        <f>'B2-RdTr'!$N442</f>
        <v>18.8</v>
      </c>
    </row>
    <row r="30" spans="1:59">
      <c r="A30" s="46">
        <f t="shared" si="23"/>
        <v>2001</v>
      </c>
      <c r="B30" s="141">
        <f t="shared" si="5"/>
        <v>8.6690922405209148E-2</v>
      </c>
      <c r="D30" s="141">
        <f t="shared" si="6"/>
        <v>0.4814912027189221</v>
      </c>
      <c r="E30" s="141">
        <f t="shared" si="7"/>
        <v>0.56818212512413124</v>
      </c>
      <c r="F30" s="46"/>
      <c r="G30" s="157">
        <f t="shared" si="8"/>
        <v>2.9861796057087858E-2</v>
      </c>
      <c r="H30" s="157">
        <f t="shared" si="8"/>
        <v>5.0805575691316808E-2</v>
      </c>
      <c r="I30" s="157">
        <f t="shared" si="8"/>
        <v>6.1962187020950459E-2</v>
      </c>
      <c r="J30" s="157">
        <f t="shared" si="8"/>
        <v>5.9293413031336555E-2</v>
      </c>
      <c r="K30" s="157">
        <f t="shared" si="8"/>
        <v>2.4504759301731419E-2</v>
      </c>
      <c r="L30" s="157">
        <f t="shared" si="8"/>
        <v>9.7380601537712004E-3</v>
      </c>
      <c r="M30" s="157">
        <f t="shared" si="8"/>
        <v>4.5798101032667486E-3</v>
      </c>
      <c r="N30" s="157">
        <f t="shared" si="8"/>
        <v>0</v>
      </c>
      <c r="O30" s="46"/>
      <c r="P30" s="154">
        <f t="shared" si="9"/>
        <v>5.0691019714560727E-2</v>
      </c>
      <c r="Q30" s="154">
        <f t="shared" si="10"/>
        <v>0.14597212154341602</v>
      </c>
      <c r="R30" s="154">
        <f t="shared" si="11"/>
        <v>0.29018906489524782</v>
      </c>
      <c r="S30" s="154">
        <f t="shared" si="12"/>
        <v>0.50353293484331729</v>
      </c>
      <c r="T30" s="154">
        <f t="shared" si="13"/>
        <v>0.65495240698268586</v>
      </c>
      <c r="U30" s="154">
        <f t="shared" si="14"/>
        <v>0.75523879692457607</v>
      </c>
      <c r="V30" s="154">
        <f t="shared" si="15"/>
        <v>0.8755047474183314</v>
      </c>
      <c r="W30" s="162">
        <v>1</v>
      </c>
      <c r="X30" s="154"/>
      <c r="Y30" s="142">
        <f t="shared" si="24"/>
        <v>3.5233366434955317E-2</v>
      </c>
      <c r="Z30" s="142">
        <f t="shared" si="24"/>
        <v>5.9145978152929504E-2</v>
      </c>
      <c r="AA30" s="142">
        <f t="shared" si="24"/>
        <v>7.2135054617676289E-2</v>
      </c>
      <c r="AB30" s="142">
        <f t="shared" si="24"/>
        <v>7.002979145978154E-2</v>
      </c>
      <c r="AC30" s="142">
        <f t="shared" si="24"/>
        <v>2.9622641509433969E-2</v>
      </c>
      <c r="AD30" s="142">
        <f t="shared" si="24"/>
        <v>1.2048162859980144E-2</v>
      </c>
      <c r="AE30" s="142">
        <f t="shared" si="24"/>
        <v>5.8760675273088437E-3</v>
      </c>
      <c r="AF30" s="142">
        <f t="shared" si="24"/>
        <v>0</v>
      </c>
      <c r="AH30" s="158">
        <f t="shared" si="16"/>
        <v>2.3833167825223437E-2</v>
      </c>
      <c r="AI30" s="158">
        <f t="shared" si="17"/>
        <v>0.10427010923535253</v>
      </c>
      <c r="AJ30" s="158">
        <f t="shared" si="18"/>
        <v>0.23932472691161866</v>
      </c>
      <c r="AK30" s="158">
        <f t="shared" si="19"/>
        <v>0.44985104270109233</v>
      </c>
      <c r="AL30" s="158">
        <f t="shared" si="20"/>
        <v>0.60377358490566035</v>
      </c>
      <c r="AM30" s="158">
        <f t="shared" si="21"/>
        <v>0.70903674280039719</v>
      </c>
      <c r="AN30" s="158">
        <f t="shared" si="22"/>
        <v>0.84309831181727901</v>
      </c>
      <c r="AO30" s="158">
        <v>1</v>
      </c>
      <c r="AP30" s="143"/>
      <c r="AQ30" s="152">
        <f>('B2-RdTr'!$E139+'B2-RdTr'!$G139-'B2-RdTr'!$K139)*'B2-RdTr'!$H139/(('B2-RdTr'!$E101+'B2-RdTr'!$G101-'B2-RdTr'!$K101)*'B2-RdTr'!$H101)*100</f>
        <v>5.1237547055135284</v>
      </c>
      <c r="AR30" s="152">
        <f>('B2-RdTr'!$E177+'B2-RdTr'!$G177-'B2-RdTr'!$K177)*'B2-RdTr'!$H177/(('B2-RdTr'!$E101+'B2-RdTr'!$G101-'B2-RdTr'!$K101)*'B2-RdTr'!$H101)*100</f>
        <v>9.6308378997134056</v>
      </c>
      <c r="AS30" s="152">
        <f>('B2-RdTr'!$E215+'B2-RdTr'!$G215-'B2-RdTr'!$K215)*'B2-RdTr'!$H215/(('B2-RdTr'!$E101+'B2-RdTr'!$G101-'B2-RdTr'!$K101)*'B2-RdTr'!$H101)*100</f>
        <v>14.577182433390107</v>
      </c>
      <c r="AT30" s="152">
        <f>('B2-RdTr'!$E253+'B2-RdTr'!$G253-'B2-RdTr'!$K253)*'B2-RdTr'!$H253/(('B2-RdTr'!$E101+'B2-RdTr'!$G101-'B2-RdTr'!$K101)*'B2-RdTr'!$H101)*100</f>
        <v>21.564404576870132</v>
      </c>
      <c r="AU30" s="152">
        <f>('B2-RdTr'!$E329+'B2-RdTr'!$G329-'B2-RdTr'!$K329)*'B2-RdTr'!$H329/(('B2-RdTr'!$E101+'B2-RdTr'!$G101-'B2-RdTr'!$K101)*'B2-RdTr'!$H101)*100</f>
        <v>15.305200748558018</v>
      </c>
      <c r="AV30" s="152">
        <f>('B2-RdTr'!$E367+'B2-RdTr'!$G367-'B2-RdTr'!$K367)*'B2-RdTr'!$H367/(('B2-RdTr'!$E101+'B2-RdTr'!$G101-'B2-RdTr'!$K101)*'B2-RdTr'!$H101)*100</f>
        <v>10.136763183245369</v>
      </c>
      <c r="AW30" s="152">
        <f>('B2-RdTr'!$E405+'B2-RdTr'!$G405-'B2-RdTr'!$K405)*'B2-RdTr'!$H405/(('B2-RdTr'!$E101+'B2-RdTr'!$G101-'B2-RdTr'!$K101)*'B2-RdTr'!$H101)*100</f>
        <v>12.156260284865244</v>
      </c>
      <c r="AX30" s="152">
        <f>('B2-RdTr'!$E443+'B2-RdTr'!$G443-'B2-RdTr'!$K443)*'B2-RdTr'!$H443/(('B2-RdTr'!$E101+'B2-RdTr'!$G101-'B2-RdTr'!$K101)*'B2-RdTr'!$H101)*100</f>
        <v>12.58375033331972</v>
      </c>
      <c r="AZ30" s="152">
        <f>'B2-RdTr'!$N139</f>
        <v>2.4</v>
      </c>
      <c r="BA30" s="152">
        <f>'B2-RdTr'!$N177</f>
        <v>8.1</v>
      </c>
      <c r="BB30" s="152">
        <f>'B2-RdTr'!$N215</f>
        <v>13.6</v>
      </c>
      <c r="BC30" s="152">
        <f>'B2-RdTr'!$N253</f>
        <v>21.2</v>
      </c>
      <c r="BD30" s="152">
        <f>'B2-RdTr'!$N329</f>
        <v>15.5</v>
      </c>
      <c r="BE30" s="152">
        <f>'B2-RdTr'!$N367</f>
        <v>10.6</v>
      </c>
      <c r="BF30" s="152">
        <f>'B2-RdTr'!$N405</f>
        <v>13.5</v>
      </c>
      <c r="BG30" s="152">
        <f>'B2-RdTr'!$N443</f>
        <v>15.8</v>
      </c>
    </row>
    <row r="31" spans="1:59">
      <c r="A31" s="46">
        <f t="shared" si="23"/>
        <v>2002</v>
      </c>
      <c r="B31" s="141">
        <f t="shared" si="5"/>
        <v>9.0006177388435138E-2</v>
      </c>
      <c r="D31" s="141">
        <f t="shared" si="6"/>
        <v>0.47061602280978104</v>
      </c>
      <c r="E31" s="141">
        <f t="shared" si="7"/>
        <v>0.56062220019821618</v>
      </c>
      <c r="F31" s="46"/>
      <c r="G31" s="157">
        <f t="shared" si="8"/>
        <v>2.9428766472323606E-2</v>
      </c>
      <c r="H31" s="157">
        <f t="shared" si="8"/>
        <v>5.0161303939849348E-2</v>
      </c>
      <c r="I31" s="157">
        <f t="shared" si="8"/>
        <v>6.1021422764914061E-2</v>
      </c>
      <c r="J31" s="157">
        <f t="shared" si="8"/>
        <v>5.7758099570869283E-2</v>
      </c>
      <c r="K31" s="157">
        <f t="shared" si="8"/>
        <v>2.3642255987688113E-2</v>
      </c>
      <c r="L31" s="157">
        <f t="shared" si="8"/>
        <v>9.2028577355696035E-3</v>
      </c>
      <c r="M31" s="157">
        <f t="shared" si="8"/>
        <v>4.0933049336765092E-3</v>
      </c>
      <c r="N31" s="157">
        <f t="shared" si="8"/>
        <v>0</v>
      </c>
      <c r="O31" s="46"/>
      <c r="P31" s="154">
        <f t="shared" si="9"/>
        <v>5.2856167638381989E-2</v>
      </c>
      <c r="Q31" s="154">
        <f t="shared" si="10"/>
        <v>0.14919348030075333</v>
      </c>
      <c r="R31" s="154">
        <f t="shared" si="11"/>
        <v>0.2948928861754298</v>
      </c>
      <c r="S31" s="154">
        <f t="shared" si="12"/>
        <v>0.51120950214565364</v>
      </c>
      <c r="T31" s="154">
        <f t="shared" si="13"/>
        <v>0.66357744012311892</v>
      </c>
      <c r="U31" s="154">
        <f t="shared" si="14"/>
        <v>0.76594284528860801</v>
      </c>
      <c r="V31" s="154">
        <f t="shared" si="15"/>
        <v>0.88766737665808737</v>
      </c>
      <c r="W31" s="162">
        <v>1</v>
      </c>
      <c r="X31" s="154"/>
      <c r="Y31" s="142">
        <f t="shared" si="24"/>
        <v>3.5242814667988114E-2</v>
      </c>
      <c r="Z31" s="142">
        <f t="shared" si="24"/>
        <v>5.8989098116947483E-2</v>
      </c>
      <c r="AA31" s="142">
        <f t="shared" si="24"/>
        <v>7.1635282457879104E-2</v>
      </c>
      <c r="AB31" s="142">
        <f t="shared" si="24"/>
        <v>6.8820614469772057E-2</v>
      </c>
      <c r="AC31" s="142">
        <f t="shared" si="24"/>
        <v>2.8751238850346885E-2</v>
      </c>
      <c r="AD31" s="142">
        <f t="shared" si="24"/>
        <v>1.1523785926660063E-2</v>
      </c>
      <c r="AE31" s="142">
        <f t="shared" si="24"/>
        <v>5.3482656095143752E-3</v>
      </c>
      <c r="AF31" s="142">
        <f t="shared" si="24"/>
        <v>0</v>
      </c>
      <c r="AH31" s="158">
        <f t="shared" si="16"/>
        <v>2.3785926660059464E-2</v>
      </c>
      <c r="AI31" s="158">
        <f t="shared" si="17"/>
        <v>0.10505450941526263</v>
      </c>
      <c r="AJ31" s="158">
        <f t="shared" si="18"/>
        <v>0.24182358771060458</v>
      </c>
      <c r="AK31" s="158">
        <f t="shared" si="19"/>
        <v>0.45589692765113976</v>
      </c>
      <c r="AL31" s="158">
        <f t="shared" si="20"/>
        <v>0.61248761149653119</v>
      </c>
      <c r="AM31" s="158">
        <f t="shared" si="21"/>
        <v>0.71952428146679881</v>
      </c>
      <c r="AN31" s="158">
        <f t="shared" si="22"/>
        <v>0.85629335976214072</v>
      </c>
      <c r="AO31" s="158">
        <v>1</v>
      </c>
      <c r="AP31" s="143"/>
      <c r="AQ31" s="152">
        <f>('B2-RdTr'!$E140+'B2-RdTr'!$G140-'B2-RdTr'!$K140)*'B2-RdTr'!$H140/(('B2-RdTr'!$E102+'B2-RdTr'!$G102-'B2-RdTr'!$K102)*'B2-RdTr'!$H102)*100</f>
        <v>5.3450160018733897</v>
      </c>
      <c r="AR31" s="152">
        <f>('B2-RdTr'!$E178+'B2-RdTr'!$G178-'B2-RdTr'!$K178)*'B2-RdTr'!$H178/(('B2-RdTr'!$E102+'B2-RdTr'!$G102-'B2-RdTr'!$K102)*'B2-RdTr'!$H102)*100</f>
        <v>9.7419941846850371</v>
      </c>
      <c r="AS31" s="152">
        <f>('B2-RdTr'!$E216+'B2-RdTr'!$G216-'B2-RdTr'!$K216)*'B2-RdTr'!$H216/(('B2-RdTr'!$E102+'B2-RdTr'!$G102-'B2-RdTr'!$K102)*'B2-RdTr'!$H102)*100</f>
        <v>14.733676137694168</v>
      </c>
      <c r="AT31" s="152">
        <f>('B2-RdTr'!$E254+'B2-RdTr'!$G254-'B2-RdTr'!$K254)*'B2-RdTr'!$H254/(('B2-RdTr'!$E102+'B2-RdTr'!$G102-'B2-RdTr'!$K102)*'B2-RdTr'!$H102)*100</f>
        <v>21.874756069003201</v>
      </c>
      <c r="AU31" s="152">
        <f>('B2-RdTr'!$E330+'B2-RdTr'!$G330-'B2-RdTr'!$K330)*'B2-RdTr'!$H330/(('B2-RdTr'!$E102+'B2-RdTr'!$G102-'B2-RdTr'!$K102)*'B2-RdTr'!$H102)*100</f>
        <v>15.408023378346734</v>
      </c>
      <c r="AV31" s="152">
        <f>('B2-RdTr'!$E368+'B2-RdTr'!$G368-'B2-RdTr'!$K368)*'B2-RdTr'!$H368/(('B2-RdTr'!$E102+'B2-RdTr'!$G102-'B2-RdTr'!$K102)*'B2-RdTr'!$H102)*100</f>
        <v>10.351577745687299</v>
      </c>
      <c r="AW31" s="152">
        <f>('B2-RdTr'!$E406+'B2-RdTr'!$G406-'B2-RdTr'!$K406)*'B2-RdTr'!$H406/(('B2-RdTr'!$E102+'B2-RdTr'!$G102-'B2-RdTr'!$K102)*'B2-RdTr'!$H102)*100</f>
        <v>12.309245960502691</v>
      </c>
      <c r="AX31" s="152">
        <f>('B2-RdTr'!$E444+'B2-RdTr'!$G444-'B2-RdTr'!$K444)*'B2-RdTr'!$H444/(('B2-RdTr'!$E102+'B2-RdTr'!$G102-'B2-RdTr'!$K102)*'B2-RdTr'!$H102)*100</f>
        <v>11.359500624463353</v>
      </c>
      <c r="AZ31" s="152">
        <f>'B2-RdTr'!$N140</f>
        <v>2.4</v>
      </c>
      <c r="BA31" s="152">
        <f>'B2-RdTr'!$N178</f>
        <v>8.1999999999999993</v>
      </c>
      <c r="BB31" s="152">
        <f>'B2-RdTr'!$N216</f>
        <v>13.8</v>
      </c>
      <c r="BC31" s="152">
        <f>'B2-RdTr'!$N254</f>
        <v>21.6</v>
      </c>
      <c r="BD31" s="152">
        <f>'B2-RdTr'!$N330</f>
        <v>15.8</v>
      </c>
      <c r="BE31" s="152">
        <f>'B2-RdTr'!$N368</f>
        <v>10.8</v>
      </c>
      <c r="BF31" s="152">
        <f>'B2-RdTr'!$N406</f>
        <v>13.8</v>
      </c>
      <c r="BG31" s="152">
        <f>'B2-RdTr'!$N444</f>
        <v>14.5</v>
      </c>
    </row>
    <row r="32" spans="1:59">
      <c r="A32" s="46">
        <f t="shared" si="23"/>
        <v>2003</v>
      </c>
      <c r="B32" s="141">
        <f t="shared" si="5"/>
        <v>9.2328219885872698E-2</v>
      </c>
      <c r="D32" s="141">
        <f t="shared" si="6"/>
        <v>0.47891836088716999</v>
      </c>
      <c r="E32" s="141">
        <f t="shared" si="7"/>
        <v>0.57124658077304269</v>
      </c>
      <c r="F32" s="46"/>
      <c r="G32" s="157">
        <f t="shared" si="8"/>
        <v>2.9675359109037337E-2</v>
      </c>
      <c r="H32" s="157">
        <f t="shared" si="8"/>
        <v>5.0749191997349778E-2</v>
      </c>
      <c r="I32" s="157">
        <f t="shared" si="8"/>
        <v>6.198769237252523E-2</v>
      </c>
      <c r="J32" s="157">
        <f t="shared" si="8"/>
        <v>5.9054979298041488E-2</v>
      </c>
      <c r="K32" s="157">
        <f t="shared" si="8"/>
        <v>2.4191534965063623E-2</v>
      </c>
      <c r="L32" s="157">
        <f t="shared" si="8"/>
        <v>9.4680380958178222E-3</v>
      </c>
      <c r="M32" s="157">
        <f t="shared" si="8"/>
        <v>4.3323846057497263E-3</v>
      </c>
      <c r="N32" s="157">
        <f t="shared" si="8"/>
        <v>0</v>
      </c>
      <c r="O32" s="46"/>
      <c r="P32" s="154">
        <f t="shared" si="9"/>
        <v>5.1623204454813318E-2</v>
      </c>
      <c r="Q32" s="154">
        <f t="shared" si="10"/>
        <v>0.14625404001325115</v>
      </c>
      <c r="R32" s="154">
        <f t="shared" si="11"/>
        <v>0.29006153813737395</v>
      </c>
      <c r="S32" s="154">
        <f t="shared" si="12"/>
        <v>0.50472510350979261</v>
      </c>
      <c r="T32" s="154">
        <f t="shared" si="13"/>
        <v>0.65808465034936381</v>
      </c>
      <c r="U32" s="154">
        <f t="shared" si="14"/>
        <v>0.76063923808364364</v>
      </c>
      <c r="V32" s="154">
        <f t="shared" si="15"/>
        <v>0.88169038485625695</v>
      </c>
      <c r="W32" s="162">
        <v>1</v>
      </c>
      <c r="X32" s="154"/>
      <c r="Y32" s="142">
        <f t="shared" si="24"/>
        <v>3.5441030723488608E-2</v>
      </c>
      <c r="Z32" s="142">
        <f t="shared" si="24"/>
        <v>5.978196233894946E-2</v>
      </c>
      <c r="AA32" s="142">
        <f t="shared" si="24"/>
        <v>7.2824578790882083E-2</v>
      </c>
      <c r="AB32" s="142">
        <f t="shared" si="24"/>
        <v>7.0406342913776038E-2</v>
      </c>
      <c r="AC32" s="142">
        <f t="shared" si="24"/>
        <v>2.9544103072348862E-2</v>
      </c>
      <c r="AD32" s="142">
        <f t="shared" si="24"/>
        <v>1.1920218037661051E-2</v>
      </c>
      <c r="AE32" s="142">
        <f t="shared" si="24"/>
        <v>5.7050545094152662E-3</v>
      </c>
      <c r="AF32" s="142">
        <f t="shared" si="24"/>
        <v>0</v>
      </c>
      <c r="AH32" s="158">
        <f t="shared" si="16"/>
        <v>2.2794846382556983E-2</v>
      </c>
      <c r="AI32" s="158">
        <f t="shared" si="17"/>
        <v>0.10109018830525272</v>
      </c>
      <c r="AJ32" s="158">
        <f t="shared" si="18"/>
        <v>0.2358771060455897</v>
      </c>
      <c r="AK32" s="158">
        <f t="shared" si="19"/>
        <v>0.44796828543111988</v>
      </c>
      <c r="AL32" s="158">
        <f t="shared" si="20"/>
        <v>0.60455896927651143</v>
      </c>
      <c r="AM32" s="158">
        <f t="shared" si="21"/>
        <v>0.71159563924677904</v>
      </c>
      <c r="AN32" s="158">
        <f t="shared" si="22"/>
        <v>0.84737363726461845</v>
      </c>
      <c r="AO32" s="158">
        <v>1</v>
      </c>
      <c r="AP32" s="143"/>
      <c r="AQ32" s="152">
        <f>('B2-RdTr'!$E141+'B2-RdTr'!$G141-'B2-RdTr'!$K141)*'B2-RdTr'!$H141/(('B2-RdTr'!$E103+'B2-RdTr'!$G103-'B2-RdTr'!$K103)*'B2-RdTr'!$H103)*100</f>
        <v>5.19681309266943</v>
      </c>
      <c r="AR32" s="152">
        <f>('B2-RdTr'!$E179+'B2-RdTr'!$G179-'B2-RdTr'!$K179)*'B2-RdTr'!$H179/(('B2-RdTr'!$E103+'B2-RdTr'!$G103-'B2-RdTr'!$K103)*'B2-RdTr'!$H103)*100</f>
        <v>9.5263122542266814</v>
      </c>
      <c r="AS32" s="152">
        <f>('B2-RdTr'!$E217+'B2-RdTr'!$G217-'B2-RdTr'!$K217)*'B2-RdTr'!$H217/(('B2-RdTr'!$E103+'B2-RdTr'!$G103-'B2-RdTr'!$K103)*'B2-RdTr'!$H103)*100</f>
        <v>14.476836472436268</v>
      </c>
      <c r="AT32" s="152">
        <f>('B2-RdTr'!$E255+'B2-RdTr'!$G255-'B2-RdTr'!$K255)*'B2-RdTr'!$H255/(('B2-RdTr'!$E103+'B2-RdTr'!$G103-'B2-RdTr'!$K103)*'B2-RdTr'!$H103)*100</f>
        <v>21.609786506433558</v>
      </c>
      <c r="AU32" s="152">
        <f>('B2-RdTr'!$E331+'B2-RdTr'!$G331-'B2-RdTr'!$K331)*'B2-RdTr'!$H331/(('B2-RdTr'!$E103+'B2-RdTr'!$G103-'B2-RdTr'!$K103)*'B2-RdTr'!$H103)*100</f>
        <v>15.438423656930203</v>
      </c>
      <c r="AV32" s="152">
        <f>('B2-RdTr'!$E369+'B2-RdTr'!$G369-'B2-RdTr'!$K369)*'B2-RdTr'!$H369/(('B2-RdTr'!$E103+'B2-RdTr'!$G103-'B2-RdTr'!$K103)*'B2-RdTr'!$H103)*100</f>
        <v>10.323981819403086</v>
      </c>
      <c r="AW32" s="152">
        <f>('B2-RdTr'!$E407+'B2-RdTr'!$G407-'B2-RdTr'!$K407)*'B2-RdTr'!$H407/(('B2-RdTr'!$E103+'B2-RdTr'!$G103-'B2-RdTr'!$K103)*'B2-RdTr'!$H103)*100</f>
        <v>12.18599641525954</v>
      </c>
      <c r="AX32" s="152">
        <f>('B2-RdTr'!$E445+'B2-RdTr'!$G445-'B2-RdTr'!$K445)*'B2-RdTr'!$H445/(('B2-RdTr'!$E103+'B2-RdTr'!$G103-'B2-RdTr'!$K103)*'B2-RdTr'!$H103)*100</f>
        <v>11.910011465984443</v>
      </c>
      <c r="AZ32" s="152">
        <f>'B2-RdTr'!$N141</f>
        <v>2.2999999999999998</v>
      </c>
      <c r="BA32" s="152">
        <f>'B2-RdTr'!$N179</f>
        <v>7.9</v>
      </c>
      <c r="BB32" s="152">
        <f>'B2-RdTr'!$N217</f>
        <v>13.6</v>
      </c>
      <c r="BC32" s="152">
        <f>'B2-RdTr'!$N255</f>
        <v>21.4</v>
      </c>
      <c r="BD32" s="152">
        <f>'B2-RdTr'!$N331</f>
        <v>15.8</v>
      </c>
      <c r="BE32" s="152">
        <f>'B2-RdTr'!$N369</f>
        <v>10.8</v>
      </c>
      <c r="BF32" s="152">
        <f>'B2-RdTr'!$N407</f>
        <v>13.7</v>
      </c>
      <c r="BG32" s="152">
        <f>'B2-RdTr'!$N445</f>
        <v>15.4</v>
      </c>
    </row>
    <row r="33" spans="1:59">
      <c r="A33" s="46">
        <f t="shared" si="23"/>
        <v>2004</v>
      </c>
      <c r="B33" s="141">
        <f t="shared" si="5"/>
        <v>9.5844643770903182E-2</v>
      </c>
      <c r="D33" s="141">
        <f t="shared" si="6"/>
        <v>0.49097440384814461</v>
      </c>
      <c r="E33" s="141">
        <f t="shared" si="7"/>
        <v>0.5868190476190478</v>
      </c>
      <c r="F33" s="46"/>
      <c r="G33" s="157">
        <f t="shared" si="8"/>
        <v>2.9811403035435443E-2</v>
      </c>
      <c r="H33" s="157">
        <f t="shared" si="8"/>
        <v>5.1162702599127391E-2</v>
      </c>
      <c r="I33" s="157">
        <f t="shared" si="8"/>
        <v>6.2874479392648633E-2</v>
      </c>
      <c r="J33" s="157">
        <f t="shared" si="8"/>
        <v>6.0973488944733582E-2</v>
      </c>
      <c r="K33" s="157">
        <f t="shared" si="8"/>
        <v>2.550052088265934E-2</v>
      </c>
      <c r="L33" s="157">
        <f t="shared" si="8"/>
        <v>1.024433581404159E-2</v>
      </c>
      <c r="M33" s="157">
        <f t="shared" si="8"/>
        <v>4.9202712554263211E-3</v>
      </c>
      <c r="N33" s="157">
        <f t="shared" si="8"/>
        <v>0</v>
      </c>
      <c r="O33" s="46"/>
      <c r="P33" s="154">
        <f t="shared" si="9"/>
        <v>5.0942984822822814E-2</v>
      </c>
      <c r="Q33" s="154">
        <f t="shared" si="10"/>
        <v>0.1441864870043631</v>
      </c>
      <c r="R33" s="154">
        <f t="shared" si="11"/>
        <v>0.28562760303675694</v>
      </c>
      <c r="S33" s="154">
        <f t="shared" si="12"/>
        <v>0.49513255527633215</v>
      </c>
      <c r="T33" s="154">
        <f t="shared" si="13"/>
        <v>0.64499479117340663</v>
      </c>
      <c r="U33" s="154">
        <f t="shared" si="14"/>
        <v>0.7451132837191683</v>
      </c>
      <c r="V33" s="154">
        <f t="shared" si="15"/>
        <v>0.86699321861434209</v>
      </c>
      <c r="W33" s="162">
        <v>1</v>
      </c>
      <c r="X33" s="154"/>
      <c r="Y33" s="142">
        <f t="shared" si="24"/>
        <v>3.5634920634920637E-2</v>
      </c>
      <c r="Z33" s="142">
        <f t="shared" si="24"/>
        <v>6.0357142857142866E-2</v>
      </c>
      <c r="AA33" s="142">
        <f t="shared" si="24"/>
        <v>7.3968253968254002E-2</v>
      </c>
      <c r="AB33" s="142">
        <f t="shared" si="24"/>
        <v>7.2896825396825418E-2</v>
      </c>
      <c r="AC33" s="142">
        <f t="shared" si="24"/>
        <v>3.1170634920634932E-2</v>
      </c>
      <c r="AD33" s="142">
        <f t="shared" si="24"/>
        <v>1.2876984126984138E-2</v>
      </c>
      <c r="AE33" s="142">
        <f t="shared" si="24"/>
        <v>6.504761904761916E-3</v>
      </c>
      <c r="AF33" s="142">
        <f t="shared" si="24"/>
        <v>0</v>
      </c>
      <c r="AH33" s="158">
        <f t="shared" si="16"/>
        <v>2.1825396825396824E-2</v>
      </c>
      <c r="AI33" s="158">
        <f t="shared" si="17"/>
        <v>9.8214285714285698E-2</v>
      </c>
      <c r="AJ33" s="158">
        <f t="shared" si="18"/>
        <v>0.23015873015873015</v>
      </c>
      <c r="AK33" s="158">
        <f t="shared" si="19"/>
        <v>0.43551587301587297</v>
      </c>
      <c r="AL33" s="158">
        <f t="shared" si="20"/>
        <v>0.5882936507936507</v>
      </c>
      <c r="AM33" s="158">
        <f t="shared" si="21"/>
        <v>0.69246031746031733</v>
      </c>
      <c r="AN33" s="158">
        <f t="shared" si="22"/>
        <v>0.82738095238095222</v>
      </c>
      <c r="AO33" s="158">
        <v>1</v>
      </c>
      <c r="AP33" s="143"/>
      <c r="AQ33" s="152">
        <f>('B2-RdTr'!$E142+'B2-RdTr'!$G142-'B2-RdTr'!$K142)*'B2-RdTr'!$H142/(('B2-RdTr'!$E104+'B2-RdTr'!$G104-'B2-RdTr'!$K104)*'B2-RdTr'!$H104)*100</f>
        <v>5.1229179148195847</v>
      </c>
      <c r="AR33" s="152">
        <f>('B2-RdTr'!$E180+'B2-RdTr'!$G180-'B2-RdTr'!$K180)*'B2-RdTr'!$H180/(('B2-RdTr'!$E104+'B2-RdTr'!$G104-'B2-RdTr'!$K104)*'B2-RdTr'!$H104)*100</f>
        <v>9.3767338020666635</v>
      </c>
      <c r="AS33" s="152">
        <f>('B2-RdTr'!$E218+'B2-RdTr'!$G218-'B2-RdTr'!$K218)*'B2-RdTr'!$H218/(('B2-RdTr'!$E104+'B2-RdTr'!$G104-'B2-RdTr'!$K104)*'B2-RdTr'!$H104)*100</f>
        <v>14.22357228840278</v>
      </c>
      <c r="AT33" s="152">
        <f>('B2-RdTr'!$E256+'B2-RdTr'!$G256-'B2-RdTr'!$K256)*'B2-RdTr'!$H256/(('B2-RdTr'!$E104+'B2-RdTr'!$G104-'B2-RdTr'!$K104)*'B2-RdTr'!$H104)*100</f>
        <v>21.068193722930538</v>
      </c>
      <c r="AU33" s="152">
        <f>('B2-RdTr'!$E332+'B2-RdTr'!$G332-'B2-RdTr'!$K332)*'B2-RdTr'!$H332/(('B2-RdTr'!$E104+'B2-RdTr'!$G104-'B2-RdTr'!$K104)*'B2-RdTr'!$H104)*100</f>
        <v>15.070415204412841</v>
      </c>
      <c r="AV33" s="152">
        <f>('B2-RdTr'!$E370+'B2-RdTr'!$G370-'B2-RdTr'!$K370)*'B2-RdTr'!$H370/(('B2-RdTr'!$E104+'B2-RdTr'!$G104-'B2-RdTr'!$K104)*'B2-RdTr'!$H104)*100</f>
        <v>10.068095162685314</v>
      </c>
      <c r="AW33" s="152">
        <f>('B2-RdTr'!$E408+'B2-RdTr'!$G408-'B2-RdTr'!$K408)*'B2-RdTr'!$H408/(('B2-RdTr'!$E104+'B2-RdTr'!$G104-'B2-RdTr'!$K104)*'B2-RdTr'!$H104)*100</f>
        <v>12.256464832264859</v>
      </c>
      <c r="AX33" s="152">
        <f>('B2-RdTr'!$E446+'B2-RdTr'!$G446-'B2-RdTr'!$K446)*'B2-RdTr'!$H446/(('B2-RdTr'!$E104+'B2-RdTr'!$G104-'B2-RdTr'!$K104)*'B2-RdTr'!$H104)*100</f>
        <v>13.37540047020989</v>
      </c>
      <c r="AZ33" s="152">
        <f>'B2-RdTr'!$N142</f>
        <v>2.2000000000000002</v>
      </c>
      <c r="BA33" s="152">
        <f>'B2-RdTr'!$N180</f>
        <v>7.7</v>
      </c>
      <c r="BB33" s="152">
        <f>'B2-RdTr'!$N218</f>
        <v>13.3</v>
      </c>
      <c r="BC33" s="152">
        <f>'B2-RdTr'!$N256</f>
        <v>20.7</v>
      </c>
      <c r="BD33" s="152">
        <f>'B2-RdTr'!$N332</f>
        <v>15.4</v>
      </c>
      <c r="BE33" s="152">
        <f>'B2-RdTr'!$N370</f>
        <v>10.5</v>
      </c>
      <c r="BF33" s="152">
        <f>'B2-RdTr'!$N408</f>
        <v>13.6</v>
      </c>
      <c r="BG33" s="152">
        <f>'B2-RdTr'!$N446</f>
        <v>17.399999999999999</v>
      </c>
    </row>
    <row r="34" spans="1:59">
      <c r="A34" s="46">
        <f t="shared" si="23"/>
        <v>2005</v>
      </c>
      <c r="B34" s="141">
        <f t="shared" si="5"/>
        <v>9.6643966284217786E-2</v>
      </c>
      <c r="D34" s="141">
        <f t="shared" si="6"/>
        <v>0.50805206546181403</v>
      </c>
      <c r="E34" s="141">
        <f t="shared" si="7"/>
        <v>0.60469603174603181</v>
      </c>
      <c r="F34" s="46"/>
      <c r="G34" s="157">
        <f t="shared" si="8"/>
        <v>2.989214624802199E-2</v>
      </c>
      <c r="H34" s="157">
        <f t="shared" si="8"/>
        <v>5.1819355376030656E-2</v>
      </c>
      <c r="I34" s="157">
        <f t="shared" si="8"/>
        <v>6.4385358540851187E-2</v>
      </c>
      <c r="J34" s="157">
        <f t="shared" si="8"/>
        <v>6.38190222370284E-2</v>
      </c>
      <c r="K34" s="157">
        <f t="shared" si="8"/>
        <v>2.7286895144499036E-2</v>
      </c>
      <c r="L34" s="157">
        <f t="shared" si="8"/>
        <v>1.1189150079120514E-2</v>
      </c>
      <c r="M34" s="157">
        <f t="shared" si="8"/>
        <v>5.6341051053552119E-3</v>
      </c>
      <c r="N34" s="157">
        <f t="shared" si="8"/>
        <v>0</v>
      </c>
      <c r="O34" s="46"/>
      <c r="P34" s="154">
        <f t="shared" si="9"/>
        <v>5.0539268759890066E-2</v>
      </c>
      <c r="Q34" s="154">
        <f t="shared" si="10"/>
        <v>0.14090322311984677</v>
      </c>
      <c r="R34" s="154">
        <f t="shared" si="11"/>
        <v>0.27807320729574414</v>
      </c>
      <c r="S34" s="154">
        <f t="shared" si="12"/>
        <v>0.48090488881485804</v>
      </c>
      <c r="T34" s="154">
        <f t="shared" si="13"/>
        <v>0.62713104855500967</v>
      </c>
      <c r="U34" s="154">
        <f t="shared" si="14"/>
        <v>0.7262169984175898</v>
      </c>
      <c r="V34" s="154">
        <f t="shared" si="15"/>
        <v>0.84914737236611981</v>
      </c>
      <c r="W34" s="162">
        <v>1</v>
      </c>
      <c r="X34" s="154"/>
      <c r="Y34" s="142">
        <f t="shared" si="24"/>
        <v>3.5634920634920637E-2</v>
      </c>
      <c r="Z34" s="142">
        <f t="shared" si="24"/>
        <v>6.0952380952380959E-2</v>
      </c>
      <c r="AA34" s="142">
        <f t="shared" si="24"/>
        <v>7.555555555555557E-2</v>
      </c>
      <c r="AB34" s="142">
        <f t="shared" si="24"/>
        <v>7.587301587301587E-2</v>
      </c>
      <c r="AC34" s="142">
        <f t="shared" si="24"/>
        <v>3.3154761904761902E-2</v>
      </c>
      <c r="AD34" s="142">
        <f t="shared" si="24"/>
        <v>1.3918650793650796E-2</v>
      </c>
      <c r="AE34" s="142">
        <f t="shared" si="24"/>
        <v>7.2587301587301624E-3</v>
      </c>
      <c r="AF34" s="142">
        <f t="shared" si="24"/>
        <v>0</v>
      </c>
      <c r="AH34" s="158">
        <f t="shared" si="16"/>
        <v>2.1825396825396828E-2</v>
      </c>
      <c r="AI34" s="158">
        <f t="shared" si="17"/>
        <v>9.5238095238095247E-2</v>
      </c>
      <c r="AJ34" s="158">
        <f t="shared" si="18"/>
        <v>0.22222222222222227</v>
      </c>
      <c r="AK34" s="158">
        <f t="shared" si="19"/>
        <v>0.42063492063492069</v>
      </c>
      <c r="AL34" s="158">
        <f t="shared" si="20"/>
        <v>0.56845238095238104</v>
      </c>
      <c r="AM34" s="158">
        <f t="shared" si="21"/>
        <v>0.67162698412698418</v>
      </c>
      <c r="AN34" s="158">
        <f t="shared" si="22"/>
        <v>0.80853174603174605</v>
      </c>
      <c r="AO34" s="158">
        <v>1</v>
      </c>
      <c r="AP34" s="143"/>
      <c r="AQ34" s="152">
        <f>('B2-RdTr'!$E143+'B2-RdTr'!$G143-'B2-RdTr'!$K143)*'B2-RdTr'!$H143/(('B2-RdTr'!$E105+'B2-RdTr'!$G105-'B2-RdTr'!$K105)*'B2-RdTr'!$H105)*100</f>
        <v>5.0959439032583136</v>
      </c>
      <c r="AR34" s="152">
        <f>('B2-RdTr'!$E181+'B2-RdTr'!$G181-'B2-RdTr'!$K181)*'B2-RdTr'!$H181/(('B2-RdTr'!$E105+'B2-RdTr'!$G105-'B2-RdTr'!$K105)*'B2-RdTr'!$H105)*100</f>
        <v>9.1115216661068192</v>
      </c>
      <c r="AS34" s="152">
        <f>('B2-RdTr'!$E219+'B2-RdTr'!$G219-'B2-RdTr'!$K219)*'B2-RdTr'!$H219/(('B2-RdTr'!$E105+'B2-RdTr'!$G105-'B2-RdTr'!$K105)*'B2-RdTr'!$H105)*100</f>
        <v>13.831037957675512</v>
      </c>
      <c r="AT34" s="152">
        <f>('B2-RdTr'!$E257+'B2-RdTr'!$G257-'B2-RdTr'!$K257)*'B2-RdTr'!$H257/(('B2-RdTr'!$E105+'B2-RdTr'!$G105-'B2-RdTr'!$K105)*'B2-RdTr'!$H105)*100</f>
        <v>20.451797111185758</v>
      </c>
      <c r="AU34" s="152">
        <f>('B2-RdTr'!$E333+'B2-RdTr'!$G333-'B2-RdTr'!$K333)*'B2-RdTr'!$H333/(('B2-RdTr'!$E105+'B2-RdTr'!$G105-'B2-RdTr'!$K105)*'B2-RdTr'!$H105)*100</f>
        <v>14.744184581793752</v>
      </c>
      <c r="AV34" s="152">
        <f>('B2-RdTr'!$E371+'B2-RdTr'!$G371-'B2-RdTr'!$K371)*'B2-RdTr'!$H371/(('B2-RdTr'!$E105+'B2-RdTr'!$G105-'B2-RdTr'!$K105)*'B2-RdTr'!$H105)*100</f>
        <v>9.9909724554921056</v>
      </c>
      <c r="AW34" s="152">
        <f>('B2-RdTr'!$E409+'B2-RdTr'!$G409-'B2-RdTr'!$K409)*'B2-RdTr'!$H409/(('B2-RdTr'!$E105+'B2-RdTr'!$G105-'B2-RdTr'!$K105)*'B2-RdTr'!$H105)*100</f>
        <v>12.395238495129325</v>
      </c>
      <c r="AX34" s="152">
        <f>('B2-RdTr'!$E447+'B2-RdTr'!$G447-'B2-RdTr'!$K447)*'B2-RdTr'!$H447/(('B2-RdTr'!$E105+'B2-RdTr'!$G105-'B2-RdTr'!$K105)*'B2-RdTr'!$H105)*100</f>
        <v>15.21067769566678</v>
      </c>
      <c r="AZ34" s="152">
        <f>'B2-RdTr'!$N143</f>
        <v>2.2000000000000002</v>
      </c>
      <c r="BA34" s="152">
        <f>'B2-RdTr'!$N181</f>
        <v>7.4</v>
      </c>
      <c r="BB34" s="152">
        <f>'B2-RdTr'!$N219</f>
        <v>12.8</v>
      </c>
      <c r="BC34" s="152">
        <f>'B2-RdTr'!$N257</f>
        <v>20</v>
      </c>
      <c r="BD34" s="152">
        <f>'B2-RdTr'!$N333</f>
        <v>14.9</v>
      </c>
      <c r="BE34" s="152">
        <f>'B2-RdTr'!$N371</f>
        <v>10.4</v>
      </c>
      <c r="BF34" s="152">
        <f>'B2-RdTr'!$N409</f>
        <v>13.8</v>
      </c>
      <c r="BG34" s="152">
        <f>'B2-RdTr'!$N447</f>
        <v>19.3</v>
      </c>
    </row>
    <row r="35" spans="1:59">
      <c r="A35" s="46">
        <f t="shared" si="23"/>
        <v>2006</v>
      </c>
      <c r="B35" s="141">
        <f t="shared" si="5"/>
        <v>9.5361819051738239E-2</v>
      </c>
      <c r="D35" s="141">
        <f t="shared" si="6"/>
        <v>0.51602072063080151</v>
      </c>
      <c r="E35" s="141">
        <f t="shared" si="7"/>
        <v>0.61138253968253975</v>
      </c>
      <c r="F35" s="46"/>
      <c r="G35" s="157">
        <f t="shared" si="8"/>
        <v>3.0073260804471508E-2</v>
      </c>
      <c r="H35" s="157">
        <f t="shared" si="8"/>
        <v>5.2330971154805873E-2</v>
      </c>
      <c r="I35" s="157">
        <f t="shared" si="8"/>
        <v>6.5254017367002717E-2</v>
      </c>
      <c r="J35" s="157">
        <f t="shared" si="8"/>
        <v>6.4931829523904597E-2</v>
      </c>
      <c r="K35" s="157">
        <f t="shared" si="8"/>
        <v>2.7969857271184752E-2</v>
      </c>
      <c r="L35" s="157">
        <f t="shared" si="8"/>
        <v>1.1558938017766246E-2</v>
      </c>
      <c r="M35" s="157">
        <f t="shared" si="8"/>
        <v>5.8914861762651019E-3</v>
      </c>
      <c r="N35" s="157">
        <f t="shared" si="8"/>
        <v>0</v>
      </c>
      <c r="O35" s="46"/>
      <c r="P35" s="154">
        <f t="shared" si="9"/>
        <v>4.9633695977642479E-2</v>
      </c>
      <c r="Q35" s="154">
        <f t="shared" si="10"/>
        <v>0.13834514422597066</v>
      </c>
      <c r="R35" s="154">
        <f t="shared" si="11"/>
        <v>0.27372991316498652</v>
      </c>
      <c r="S35" s="154">
        <f t="shared" si="12"/>
        <v>0.47534085238047707</v>
      </c>
      <c r="T35" s="154">
        <f t="shared" si="13"/>
        <v>0.62030142728815252</v>
      </c>
      <c r="U35" s="154">
        <f t="shared" si="14"/>
        <v>0.71882123964467515</v>
      </c>
      <c r="V35" s="154">
        <f t="shared" si="15"/>
        <v>0.84271284559337256</v>
      </c>
      <c r="W35" s="162">
        <v>1</v>
      </c>
      <c r="X35" s="154"/>
      <c r="Y35" s="142">
        <f t="shared" si="24"/>
        <v>3.543650793650794E-2</v>
      </c>
      <c r="Z35" s="142">
        <f t="shared" si="24"/>
        <v>6.1150793650793657E-2</v>
      </c>
      <c r="AA35" s="142">
        <f t="shared" si="24"/>
        <v>7.6150793650793677E-2</v>
      </c>
      <c r="AB35" s="142">
        <f t="shared" si="24"/>
        <v>7.7063492063492084E-2</v>
      </c>
      <c r="AC35" s="142">
        <f t="shared" si="24"/>
        <v>3.39484126984127E-2</v>
      </c>
      <c r="AD35" s="142">
        <f t="shared" si="24"/>
        <v>1.4365079365079371E-2</v>
      </c>
      <c r="AE35" s="142">
        <f t="shared" si="24"/>
        <v>7.5761904761904829E-3</v>
      </c>
      <c r="AF35" s="142">
        <f t="shared" si="24"/>
        <v>0</v>
      </c>
      <c r="AH35" s="158">
        <f t="shared" si="16"/>
        <v>2.2817460317460313E-2</v>
      </c>
      <c r="AI35" s="158">
        <f t="shared" si="17"/>
        <v>9.4246031746031744E-2</v>
      </c>
      <c r="AJ35" s="158">
        <f t="shared" si="18"/>
        <v>0.21924603174603174</v>
      </c>
      <c r="AK35" s="158">
        <f t="shared" si="19"/>
        <v>0.41468253968253965</v>
      </c>
      <c r="AL35" s="158">
        <f t="shared" si="20"/>
        <v>0.56051587301587302</v>
      </c>
      <c r="AM35" s="158">
        <f t="shared" si="21"/>
        <v>0.66269841269841268</v>
      </c>
      <c r="AN35" s="158">
        <f t="shared" si="22"/>
        <v>0.80059523809523803</v>
      </c>
      <c r="AO35" s="158">
        <v>1</v>
      </c>
      <c r="AP35" s="143"/>
      <c r="AQ35" s="152">
        <f>('B2-RdTr'!$E144+'B2-RdTr'!$G144-'B2-RdTr'!$K144)*'B2-RdTr'!$H144/(('B2-RdTr'!$E106+'B2-RdTr'!$G106-'B2-RdTr'!$K106)*'B2-RdTr'!$H106)*100</f>
        <v>4.9804699236824712</v>
      </c>
      <c r="AR35" s="152">
        <f>('B2-RdTr'!$E182+'B2-RdTr'!$G182-'B2-RdTr'!$K182)*'B2-RdTr'!$H182/(('B2-RdTr'!$E106+'B2-RdTr'!$G106-'B2-RdTr'!$K106)*'B2-RdTr'!$H106)*100</f>
        <v>8.9017086312921911</v>
      </c>
      <c r="AS35" s="152">
        <f>('B2-RdTr'!$E220+'B2-RdTr'!$G220-'B2-RdTr'!$K220)*'B2-RdTr'!$H220/(('B2-RdTr'!$E106+'B2-RdTr'!$G106-'B2-RdTr'!$K106)*'B2-RdTr'!$H106)*100</f>
        <v>13.585121086473167</v>
      </c>
      <c r="AT35" s="152">
        <f>('B2-RdTr'!$E258+'B2-RdTr'!$G258-'B2-RdTr'!$K258)*'B2-RdTr'!$H258/(('B2-RdTr'!$E106+'B2-RdTr'!$G106-'B2-RdTr'!$K106)*'B2-RdTr'!$H106)*100</f>
        <v>20.230555054784372</v>
      </c>
      <c r="AU35" s="152">
        <f>('B2-RdTr'!$E334+'B2-RdTr'!$G334-'B2-RdTr'!$K334)*'B2-RdTr'!$H334/(('B2-RdTr'!$E106+'B2-RdTr'!$G106-'B2-RdTr'!$K106)*'B2-RdTr'!$H106)*100</f>
        <v>14.546000841295594</v>
      </c>
      <c r="AV35" s="152">
        <f>('B2-RdTr'!$E372+'B2-RdTr'!$G372-'B2-RdTr'!$K372)*'B2-RdTr'!$H372/(('B2-RdTr'!$E106+'B2-RdTr'!$G106-'B2-RdTr'!$K106)*'B2-RdTr'!$H106)*100</f>
        <v>9.8859243234581271</v>
      </c>
      <c r="AW35" s="152">
        <f>('B2-RdTr'!$E410+'B2-RdTr'!$G410-'B2-RdTr'!$K410)*'B2-RdTr'!$H410/(('B2-RdTr'!$E106+'B2-RdTr'!$G106-'B2-RdTr'!$K106)*'B2-RdTr'!$H106)*100</f>
        <v>12.431845041363699</v>
      </c>
      <c r="AX35" s="152">
        <f>('B2-RdTr'!$E448+'B2-RdTr'!$G448-'B2-RdTr'!$K448)*'B2-RdTr'!$H448/(('B2-RdTr'!$E106+'B2-RdTr'!$G106-'B2-RdTr'!$K106)*'B2-RdTr'!$H106)*100</f>
        <v>15.782905674739101</v>
      </c>
      <c r="AZ35" s="152">
        <f>'B2-RdTr'!$N144</f>
        <v>2.2999999999999998</v>
      </c>
      <c r="BA35" s="152">
        <f>'B2-RdTr'!$N182</f>
        <v>7.2</v>
      </c>
      <c r="BB35" s="152">
        <f>'B2-RdTr'!$N220</f>
        <v>12.6</v>
      </c>
      <c r="BC35" s="152">
        <f>'B2-RdTr'!$N258</f>
        <v>19.7</v>
      </c>
      <c r="BD35" s="152">
        <f>'B2-RdTr'!$N334</f>
        <v>14.7</v>
      </c>
      <c r="BE35" s="152">
        <f>'B2-RdTr'!$N372</f>
        <v>10.3</v>
      </c>
      <c r="BF35" s="152">
        <f>'B2-RdTr'!$N410</f>
        <v>13.9</v>
      </c>
      <c r="BG35" s="152">
        <f>'B2-RdTr'!$N448</f>
        <v>20.100000000000001</v>
      </c>
    </row>
    <row r="36" spans="1:59">
      <c r="A36" s="46">
        <f t="shared" si="23"/>
        <v>2007</v>
      </c>
      <c r="B36" s="141">
        <f t="shared" si="5"/>
        <v>9.4899275076662959E-2</v>
      </c>
      <c r="D36" s="164">
        <f t="shared" si="6"/>
        <v>0.51315602720282183</v>
      </c>
      <c r="E36" s="164">
        <f t="shared" si="7"/>
        <v>0.60805530227948479</v>
      </c>
      <c r="F36" s="37"/>
      <c r="G36" s="165">
        <f t="shared" si="8"/>
        <v>2.9372356542393299E-2</v>
      </c>
      <c r="H36" s="165">
        <f t="shared" si="8"/>
        <v>5.1378349574418274E-2</v>
      </c>
      <c r="I36" s="165">
        <f t="shared" si="8"/>
        <v>6.4630501378779723E-2</v>
      </c>
      <c r="J36" s="165">
        <f t="shared" si="8"/>
        <v>6.5086812939978908E-2</v>
      </c>
      <c r="K36" s="165">
        <f t="shared" si="8"/>
        <v>2.8253800605038182E-2</v>
      </c>
      <c r="L36" s="165">
        <f t="shared" si="8"/>
        <v>1.1768577682407549E-2</v>
      </c>
      <c r="M36" s="165">
        <f t="shared" si="8"/>
        <v>6.0876148783949894E-3</v>
      </c>
      <c r="N36" s="165">
        <f t="shared" si="8"/>
        <v>0</v>
      </c>
      <c r="O36" s="37"/>
      <c r="P36" s="154">
        <f t="shared" si="9"/>
        <v>5.3138217288033515E-2</v>
      </c>
      <c r="Q36" s="154">
        <f t="shared" si="10"/>
        <v>0.14310825212790867</v>
      </c>
      <c r="R36" s="154">
        <f t="shared" si="11"/>
        <v>0.27684749310610146</v>
      </c>
      <c r="S36" s="154">
        <f t="shared" si="12"/>
        <v>0.47456593530010549</v>
      </c>
      <c r="T36" s="154">
        <f t="shared" si="13"/>
        <v>0.6174619939496182</v>
      </c>
      <c r="U36" s="154">
        <f t="shared" si="14"/>
        <v>0.71462844635184908</v>
      </c>
      <c r="V36" s="154">
        <f t="shared" si="15"/>
        <v>0.83780962804012538</v>
      </c>
      <c r="W36" s="162">
        <v>1</v>
      </c>
      <c r="X36" s="154"/>
      <c r="Y36" s="142">
        <f t="shared" si="24"/>
        <v>3.5044598612487619E-2</v>
      </c>
      <c r="Z36" s="142">
        <f t="shared" si="24"/>
        <v>6.0178394449950462E-2</v>
      </c>
      <c r="AA36" s="142">
        <f t="shared" si="24"/>
        <v>7.5401387512388521E-2</v>
      </c>
      <c r="AB36" s="142">
        <f t="shared" si="24"/>
        <v>7.69474727452924E-2</v>
      </c>
      <c r="AC36" s="142">
        <f t="shared" si="24"/>
        <v>3.4103072348860265E-2</v>
      </c>
      <c r="AD36" s="142">
        <f t="shared" si="24"/>
        <v>1.4546580773042623E-2</v>
      </c>
      <c r="AE36" s="142">
        <f t="shared" si="24"/>
        <v>7.806144697720523E-3</v>
      </c>
      <c r="AF36" s="142">
        <f t="shared" si="24"/>
        <v>0</v>
      </c>
      <c r="AH36" s="158">
        <f t="shared" si="16"/>
        <v>2.4777006937561942E-2</v>
      </c>
      <c r="AI36" s="158">
        <f t="shared" si="17"/>
        <v>9.9108027750247768E-2</v>
      </c>
      <c r="AJ36" s="158">
        <f t="shared" si="18"/>
        <v>0.22299306243805747</v>
      </c>
      <c r="AK36" s="158">
        <f t="shared" si="19"/>
        <v>0.4152626362735381</v>
      </c>
      <c r="AL36" s="158">
        <f t="shared" si="20"/>
        <v>0.55896927651139738</v>
      </c>
      <c r="AM36" s="158">
        <f t="shared" si="21"/>
        <v>0.65906838453914762</v>
      </c>
      <c r="AN36" s="158">
        <f t="shared" si="22"/>
        <v>0.79484638255698703</v>
      </c>
      <c r="AO36" s="158">
        <v>1</v>
      </c>
      <c r="AP36" s="143"/>
      <c r="AQ36" s="152">
        <f>('B2-RdTr'!$E145+'B2-RdTr'!$G145-'B2-RdTr'!$K145)*'B2-RdTr'!$H145/(('B2-RdTr'!$E107+'B2-RdTr'!$G107-'B2-RdTr'!$K107)*'B2-RdTr'!$H107)*100</f>
        <v>5.3374732017446584</v>
      </c>
      <c r="AR36" s="152">
        <f>('B2-RdTr'!$E183+'B2-RdTr'!$G183-'B2-RdTr'!$K183)*'B2-RdTr'!$H183/(('B2-RdTr'!$E107+'B2-RdTr'!$G107-'B2-RdTr'!$K107)*'B2-RdTr'!$H107)*100</f>
        <v>9.0370485580066404</v>
      </c>
      <c r="AS36" s="152">
        <f>('B2-RdTr'!$E221+'B2-RdTr'!$G221-'B2-RdTr'!$K221)*'B2-RdTr'!$H221/(('B2-RdTr'!$E107+'B2-RdTr'!$G107-'B2-RdTr'!$K107)*'B2-RdTr'!$H107)*100</f>
        <v>13.433450559199061</v>
      </c>
      <c r="AT36" s="152">
        <f>('B2-RdTr'!$E259+'B2-RdTr'!$G259-'B2-RdTr'!$K259)*'B2-RdTr'!$H259/(('B2-RdTr'!$E107+'B2-RdTr'!$G107-'B2-RdTr'!$K107)*'B2-RdTr'!$H107)*100</f>
        <v>19.859847404757584</v>
      </c>
      <c r="AU36" s="152">
        <f>('B2-RdTr'!$E335+'B2-RdTr'!$G335-'B2-RdTr'!$K335)*'B2-RdTr'!$H335/(('B2-RdTr'!$E107+'B2-RdTr'!$G107-'B2-RdTr'!$K107)*'B2-RdTr'!$H107)*100</f>
        <v>14.353207965982417</v>
      </c>
      <c r="AV36" s="152">
        <f>('B2-RdTr'!$E373+'B2-RdTr'!$G373-'B2-RdTr'!$K373)*'B2-RdTr'!$H373/(('B2-RdTr'!$E107+'B2-RdTr'!$G107-'B2-RdTr'!$K107)*'B2-RdTr'!$H107)*100</f>
        <v>9.7598933926279248</v>
      </c>
      <c r="AW36" s="152">
        <f>('B2-RdTr'!$E411+'B2-RdTr'!$G411-'B2-RdTr'!$K411)*'B2-RdTr'!$H411/(('B2-RdTr'!$E107+'B2-RdTr'!$G107-'B2-RdTr'!$K107)*'B2-RdTr'!$H107)*100</f>
        <v>12.372945307077043</v>
      </c>
      <c r="AX36" s="152">
        <f>('B2-RdTr'!$E449+'B2-RdTr'!$G449-'B2-RdTr'!$K449)*'B2-RdTr'!$H449/(('B2-RdTr'!$E107+'B2-RdTr'!$G107-'B2-RdTr'!$K107)*'B2-RdTr'!$H107)*100</f>
        <v>16.291227069670185</v>
      </c>
      <c r="AZ36" s="152">
        <f>'B2-RdTr'!$N145</f>
        <v>2.5</v>
      </c>
      <c r="BA36" s="152">
        <f>'B2-RdTr'!$N183</f>
        <v>7.5</v>
      </c>
      <c r="BB36" s="152">
        <f>'B2-RdTr'!$N221</f>
        <v>12.5</v>
      </c>
      <c r="BC36" s="152">
        <f>'B2-RdTr'!$N259</f>
        <v>19.399999999999999</v>
      </c>
      <c r="BD36" s="152">
        <f>'B2-RdTr'!$N335</f>
        <v>14.5</v>
      </c>
      <c r="BE36" s="152">
        <f>'B2-RdTr'!$N373</f>
        <v>10.1</v>
      </c>
      <c r="BF36" s="152">
        <f>'B2-RdTr'!$N411</f>
        <v>13.7</v>
      </c>
      <c r="BG36" s="152">
        <f>'B2-RdTr'!$N449</f>
        <v>20.7</v>
      </c>
    </row>
    <row r="37" spans="1:59">
      <c r="A37" s="46">
        <f t="shared" si="23"/>
        <v>2008</v>
      </c>
      <c r="B37" s="141">
        <f t="shared" si="5"/>
        <v>9.997293598348761E-2</v>
      </c>
      <c r="D37" s="164">
        <f>SUM(G37:N37)*2</f>
        <v>0.48862548610724216</v>
      </c>
      <c r="E37" s="164">
        <f t="shared" si="7"/>
        <v>0.58859842209072977</v>
      </c>
      <c r="F37" s="37"/>
      <c r="G37" s="165">
        <f>(P$4-P37)*P$3</f>
        <v>2.8949467132544315E-2</v>
      </c>
      <c r="H37" s="165">
        <f t="shared" si="8"/>
        <v>5.0224289841691805E-2</v>
      </c>
      <c r="I37" s="165">
        <f t="shared" si="8"/>
        <v>6.2394998447958885E-2</v>
      </c>
      <c r="J37" s="165">
        <f t="shared" si="8"/>
        <v>6.1136969619789733E-2</v>
      </c>
      <c r="K37" s="165">
        <f t="shared" si="8"/>
        <v>2.5953430806822622E-2</v>
      </c>
      <c r="L37" s="165">
        <f t="shared" si="8"/>
        <v>1.0501975867750181E-2</v>
      </c>
      <c r="M37" s="165">
        <f t="shared" si="8"/>
        <v>5.1516113370635398E-3</v>
      </c>
      <c r="N37" s="165">
        <f t="shared" si="8"/>
        <v>0</v>
      </c>
      <c r="O37" s="37"/>
      <c r="P37" s="154">
        <f t="shared" si="9"/>
        <v>5.5252664337278434E-2</v>
      </c>
      <c r="Q37" s="154">
        <f t="shared" si="10"/>
        <v>0.148878550791541</v>
      </c>
      <c r="R37" s="154">
        <f t="shared" si="11"/>
        <v>0.28802500776020568</v>
      </c>
      <c r="S37" s="154">
        <f t="shared" si="12"/>
        <v>0.49431515190105141</v>
      </c>
      <c r="T37" s="154">
        <f t="shared" si="13"/>
        <v>0.64046569193177383</v>
      </c>
      <c r="U37" s="154">
        <f t="shared" si="14"/>
        <v>0.73996048264499648</v>
      </c>
      <c r="V37" s="154">
        <f t="shared" si="15"/>
        <v>0.86120971657341161</v>
      </c>
      <c r="W37" s="162">
        <v>1</v>
      </c>
      <c r="X37" s="154"/>
      <c r="Y37" s="142">
        <f t="shared" si="24"/>
        <v>3.5069033530571996E-2</v>
      </c>
      <c r="Z37" s="142">
        <f t="shared" si="24"/>
        <v>5.9881656804733729E-2</v>
      </c>
      <c r="AA37" s="142">
        <f t="shared" si="24"/>
        <v>7.4043392504930985E-2</v>
      </c>
      <c r="AB37" s="142">
        <f t="shared" si="24"/>
        <v>7.3609467455621316E-2</v>
      </c>
      <c r="AC37" s="142">
        <f t="shared" si="24"/>
        <v>3.1814595660749512E-2</v>
      </c>
      <c r="AD37" s="142">
        <f t="shared" si="24"/>
        <v>1.3180473372781071E-2</v>
      </c>
      <c r="AE37" s="142">
        <f t="shared" si="24"/>
        <v>6.700591715976336E-3</v>
      </c>
      <c r="AF37" s="142">
        <f t="shared" si="24"/>
        <v>0</v>
      </c>
      <c r="AH37" s="158">
        <f t="shared" si="16"/>
        <v>2.465483234714004E-2</v>
      </c>
      <c r="AI37" s="158">
        <f t="shared" si="17"/>
        <v>0.10059171597633138</v>
      </c>
      <c r="AJ37" s="158">
        <f t="shared" si="18"/>
        <v>0.22978303747534518</v>
      </c>
      <c r="AK37" s="158">
        <f t="shared" si="19"/>
        <v>0.43195266272189348</v>
      </c>
      <c r="AL37" s="158">
        <f t="shared" si="20"/>
        <v>0.5818540433925049</v>
      </c>
      <c r="AM37" s="158">
        <f t="shared" si="21"/>
        <v>0.68639053254437865</v>
      </c>
      <c r="AN37" s="158">
        <f t="shared" si="22"/>
        <v>0.8224852071005917</v>
      </c>
      <c r="AO37" s="158">
        <v>1</v>
      </c>
      <c r="AP37" s="143"/>
      <c r="AQ37" s="152">
        <f>('B2-RdTr'!$E146+'B2-RdTr'!$G146-'B2-RdTr'!$K146)*'B2-RdTr'!$H146/(('B2-RdTr'!$E108+'B2-RdTr'!$G108-'B2-RdTr'!$K108)*'B2-RdTr'!$H108)*100</f>
        <v>5.5963674399762988</v>
      </c>
      <c r="AR37" s="152">
        <f>('B2-RdTr'!$E184+'B2-RdTr'!$G184-'B2-RdTr'!$K184)*'B2-RdTr'!$H184/(('B2-RdTr'!$E108+'B2-RdTr'!$G108-'B2-RdTr'!$K108)*'B2-RdTr'!$H108)*100</f>
        <v>9.4830696180209166</v>
      </c>
      <c r="AS37" s="152">
        <f>('B2-RdTr'!$E222+'B2-RdTr'!$G222-'B2-RdTr'!$K222)*'B2-RdTr'!$H222/(('B2-RdTr'!$E108+'B2-RdTr'!$G108-'B2-RdTr'!$K108)*'B2-RdTr'!$H108)*100</f>
        <v>14.093704086630026</v>
      </c>
      <c r="AT37" s="152">
        <f>('B2-RdTr'!$E260+'B2-RdTr'!$G260-'B2-RdTr'!$K260)*'B2-RdTr'!$H260/(('B2-RdTr'!$E108+'B2-RdTr'!$G108-'B2-RdTr'!$K108)*'B2-RdTr'!$H108)*100</f>
        <v>20.894475582400705</v>
      </c>
      <c r="AU37" s="152">
        <f>('B2-RdTr'!$E336+'B2-RdTr'!$G336-'B2-RdTr'!$K336)*'B2-RdTr'!$H336/(('B2-RdTr'!$E108+'B2-RdTr'!$G108-'B2-RdTr'!$K108)*'B2-RdTr'!$H108)*100</f>
        <v>14.803125484956034</v>
      </c>
      <c r="AV37" s="152">
        <f>('B2-RdTr'!$E374+'B2-RdTr'!$G374-'B2-RdTr'!$K374)*'B2-RdTr'!$H374/(('B2-RdTr'!$E108+'B2-RdTr'!$G108-'B2-RdTr'!$K108)*'B2-RdTr'!$H108)*100</f>
        <v>10.077512349373917</v>
      </c>
      <c r="AW37" s="152">
        <f>('B2-RdTr'!$E412+'B2-RdTr'!$G412-'B2-RdTr'!$K412)*'B2-RdTr'!$H412/(('B2-RdTr'!$E108+'B2-RdTr'!$G108-'B2-RdTr'!$K108)*'B2-RdTr'!$H108)*100</f>
        <v>12.280951027754098</v>
      </c>
      <c r="AX37" s="152">
        <f>('B2-RdTr'!$E450+'B2-RdTr'!$G450-'B2-RdTr'!$K450)*'B2-RdTr'!$H450/(('B2-RdTr'!$E108+'B2-RdTr'!$G108-'B2-RdTr'!$K108)*'B2-RdTr'!$H108)*100</f>
        <v>14.057628396203789</v>
      </c>
      <c r="AZ37" s="152">
        <f>'B2-RdTr'!$N146</f>
        <v>2.5</v>
      </c>
      <c r="BA37" s="152">
        <f>'B2-RdTr'!$N184</f>
        <v>7.7</v>
      </c>
      <c r="BB37" s="152">
        <f>'B2-RdTr'!$N222</f>
        <v>13.1</v>
      </c>
      <c r="BC37" s="152">
        <f>'B2-RdTr'!$N260</f>
        <v>20.5</v>
      </c>
      <c r="BD37" s="152">
        <f>'B2-RdTr'!$N336</f>
        <v>15.2</v>
      </c>
      <c r="BE37" s="152">
        <f>'B2-RdTr'!$N374</f>
        <v>10.6</v>
      </c>
      <c r="BF37" s="152">
        <f>'B2-RdTr'!$N412</f>
        <v>13.8</v>
      </c>
      <c r="BG37" s="152">
        <f>'B2-RdTr'!$N450</f>
        <v>18</v>
      </c>
    </row>
    <row r="38" spans="1:59">
      <c r="A38" s="46">
        <f t="shared" si="23"/>
        <v>2009</v>
      </c>
      <c r="B38" s="141">
        <f t="shared" si="5"/>
        <v>0.10408802054638738</v>
      </c>
      <c r="D38" s="164">
        <f t="shared" si="6"/>
        <v>0.47260706786225698</v>
      </c>
      <c r="E38" s="164">
        <f t="shared" si="7"/>
        <v>0.57669508840864436</v>
      </c>
      <c r="F38" s="37"/>
      <c r="G38" s="165">
        <f t="shared" si="8"/>
        <v>2.8869385102324431E-2</v>
      </c>
      <c r="H38" s="165">
        <f t="shared" si="8"/>
        <v>4.9858019244284048E-2</v>
      </c>
      <c r="I38" s="165">
        <f t="shared" si="8"/>
        <v>6.1376478856122296E-2</v>
      </c>
      <c r="J38" s="165">
        <f t="shared" si="8"/>
        <v>5.8720957881332185E-2</v>
      </c>
      <c r="K38" s="165">
        <f t="shared" si="8"/>
        <v>2.3962409709856216E-2</v>
      </c>
      <c r="L38" s="165">
        <f t="shared" si="8"/>
        <v>9.3310074979788722E-3</v>
      </c>
      <c r="M38" s="165">
        <f t="shared" si="8"/>
        <v>4.185275639230439E-3</v>
      </c>
      <c r="N38" s="165">
        <f t="shared" si="8"/>
        <v>0</v>
      </c>
      <c r="O38" s="37"/>
      <c r="P38" s="154">
        <f t="shared" si="9"/>
        <v>5.565307448837787E-2</v>
      </c>
      <c r="Q38" s="154">
        <f t="shared" si="10"/>
        <v>0.15070990377857979</v>
      </c>
      <c r="R38" s="154">
        <f t="shared" si="11"/>
        <v>0.29311760571938861</v>
      </c>
      <c r="S38" s="154">
        <f t="shared" si="12"/>
        <v>0.50639521059333914</v>
      </c>
      <c r="T38" s="154">
        <f t="shared" si="13"/>
        <v>0.66037590290143788</v>
      </c>
      <c r="U38" s="154">
        <f t="shared" si="14"/>
        <v>0.76337985004042264</v>
      </c>
      <c r="V38" s="154">
        <f t="shared" si="15"/>
        <v>0.88536810901923912</v>
      </c>
      <c r="W38" s="162">
        <v>1</v>
      </c>
      <c r="X38" s="154"/>
      <c r="Y38" s="142">
        <f t="shared" si="24"/>
        <v>3.5481335952848726E-2</v>
      </c>
      <c r="Z38" s="142">
        <f t="shared" si="24"/>
        <v>6.0353634577603149E-2</v>
      </c>
      <c r="AA38" s="142">
        <f t="shared" si="24"/>
        <v>7.3831041257367405E-2</v>
      </c>
      <c r="AB38" s="142">
        <f t="shared" si="24"/>
        <v>7.1394891944990185E-2</v>
      </c>
      <c r="AC38" s="142">
        <f t="shared" si="24"/>
        <v>2.9783889980353629E-2</v>
      </c>
      <c r="AD38" s="142">
        <f t="shared" si="24"/>
        <v>1.1890962671905697E-2</v>
      </c>
      <c r="AE38" s="142">
        <f t="shared" si="24"/>
        <v>5.6117878192534403E-3</v>
      </c>
      <c r="AF38" s="142">
        <f t="shared" si="24"/>
        <v>0</v>
      </c>
      <c r="AH38" s="158">
        <f t="shared" si="16"/>
        <v>2.2593320235756383E-2</v>
      </c>
      <c r="AI38" s="158">
        <f t="shared" si="17"/>
        <v>9.8231827111984291E-2</v>
      </c>
      <c r="AJ38" s="158">
        <f t="shared" si="18"/>
        <v>0.23084479371316308</v>
      </c>
      <c r="AK38" s="158">
        <f t="shared" si="19"/>
        <v>0.44302554027504915</v>
      </c>
      <c r="AL38" s="158">
        <f t="shared" si="20"/>
        <v>0.60216110019646374</v>
      </c>
      <c r="AM38" s="158">
        <f t="shared" si="21"/>
        <v>0.71218074656188612</v>
      </c>
      <c r="AN38" s="158">
        <f t="shared" si="22"/>
        <v>0.84970530451866411</v>
      </c>
      <c r="AO38" s="158">
        <v>1</v>
      </c>
      <c r="AP38" s="143"/>
      <c r="AQ38" s="152">
        <f>('B2-RdTr'!$E147+'B2-RdTr'!$G147-'B2-RdTr'!$K147)*'B2-RdTr'!$H147/(('B2-RdTr'!$E109+'B2-RdTr'!$G109-'B2-RdTr'!$K109)*'B2-RdTr'!$H109)*100</f>
        <v>5.654117707689136</v>
      </c>
      <c r="AR38" s="152">
        <f>('B2-RdTr'!$E185+'B2-RdTr'!$G185-'B2-RdTr'!$K185)*'B2-RdTr'!$H185/(('B2-RdTr'!$E109+'B2-RdTr'!$G109-'B2-RdTr'!$K109)*'B2-RdTr'!$H109)*100</f>
        <v>9.6573730502301931</v>
      </c>
      <c r="AS38" s="152">
        <f>('B2-RdTr'!$E223+'B2-RdTr'!$G223-'B2-RdTr'!$K223)*'B2-RdTr'!$H223/(('B2-RdTr'!$E109+'B2-RdTr'!$G109-'B2-RdTr'!$K109)*'B2-RdTr'!$H109)*100</f>
        <v>14.468022057307772</v>
      </c>
      <c r="AT38" s="152">
        <f>('B2-RdTr'!$E261+'B2-RdTr'!$G261-'B2-RdTr'!$K261)*'B2-RdTr'!$H261/(('B2-RdTr'!$E109+'B2-RdTr'!$G109-'B2-RdTr'!$K109)*'B2-RdTr'!$H109)*100</f>
        <v>21.668105373462517</v>
      </c>
      <c r="AU38" s="152">
        <f>('B2-RdTr'!$E337+'B2-RdTr'!$G337-'B2-RdTr'!$K337)*'B2-RdTr'!$H337/(('B2-RdTr'!$E109+'B2-RdTr'!$G109-'B2-RdTr'!$K109)*'B2-RdTr'!$H109)*100</f>
        <v>15.64378908128908</v>
      </c>
      <c r="AV38" s="152">
        <f>('B2-RdTr'!$E375+'B2-RdTr'!$G375-'B2-RdTr'!$K375)*'B2-RdTr'!$H375/(('B2-RdTr'!$E109+'B2-RdTr'!$G109-'B2-RdTr'!$K109)*'B2-RdTr'!$H109)*100</f>
        <v>10.464766714766716</v>
      </c>
      <c r="AW38" s="152">
        <f>('B2-RdTr'!$E413+'B2-RdTr'!$G413-'B2-RdTr'!$K413)*'B2-RdTr'!$H413/(('B2-RdTr'!$E109+'B2-RdTr'!$G109-'B2-RdTr'!$K109)*'B2-RdTr'!$H109)*100</f>
        <v>12.393492750635609</v>
      </c>
      <c r="AX38" s="152">
        <f>('B2-RdTr'!$E451+'B2-RdTr'!$G451-'B2-RdTr'!$K451)*'B2-RdTr'!$H451/(('B2-RdTr'!$E109+'B2-RdTr'!$G109-'B2-RdTr'!$K109)*'B2-RdTr'!$H109)*100</f>
        <v>11.646116780045352</v>
      </c>
      <c r="AZ38" s="152">
        <f>'B2-RdTr'!$N147</f>
        <v>2.2999999999999998</v>
      </c>
      <c r="BA38" s="152">
        <f>'B2-RdTr'!$N185</f>
        <v>7.7</v>
      </c>
      <c r="BB38" s="152">
        <f>'B2-RdTr'!$N223</f>
        <v>13.5</v>
      </c>
      <c r="BC38" s="152">
        <f>'B2-RdTr'!$N261</f>
        <v>21.6</v>
      </c>
      <c r="BD38" s="152">
        <f>'B2-RdTr'!$N337</f>
        <v>16.2</v>
      </c>
      <c r="BE38" s="152">
        <f>'B2-RdTr'!$N375</f>
        <v>11.2</v>
      </c>
      <c r="BF38" s="152">
        <f>'B2-RdTr'!$N413</f>
        <v>14</v>
      </c>
      <c r="BG38" s="152">
        <f>'B2-RdTr'!$N451</f>
        <v>15.3</v>
      </c>
    </row>
    <row r="39" spans="1:59">
      <c r="A39" s="46">
        <f t="shared" si="23"/>
        <v>2010</v>
      </c>
      <c r="B39" s="141">
        <f t="shared" si="5"/>
        <v>0.11145405292951799</v>
      </c>
      <c r="D39" s="141">
        <f t="shared" si="6"/>
        <v>0.48308026368798446</v>
      </c>
      <c r="E39" s="141">
        <f t="shared" si="7"/>
        <v>0.59453431661750245</v>
      </c>
      <c r="F39" s="46"/>
      <c r="G39" s="157">
        <f t="shared" si="8"/>
        <v>2.8719281308053971E-2</v>
      </c>
      <c r="H39" s="157">
        <f t="shared" si="8"/>
        <v>5.003197185899412E-2</v>
      </c>
      <c r="I39" s="157">
        <f t="shared" si="8"/>
        <v>6.2414797520146004E-2</v>
      </c>
      <c r="J39" s="157">
        <f t="shared" si="8"/>
        <v>6.0504976090654611E-2</v>
      </c>
      <c r="K39" s="157">
        <f t="shared" si="8"/>
        <v>2.5147407476860853E-2</v>
      </c>
      <c r="L39" s="157">
        <f t="shared" si="8"/>
        <v>1.0034143328308648E-2</v>
      </c>
      <c r="M39" s="157">
        <f t="shared" si="8"/>
        <v>4.6875542609740384E-3</v>
      </c>
      <c r="N39" s="157">
        <f t="shared" si="8"/>
        <v>0</v>
      </c>
      <c r="O39" s="46"/>
      <c r="P39" s="154">
        <f t="shared" si="9"/>
        <v>5.6403593459730186E-2</v>
      </c>
      <c r="Q39" s="154">
        <f t="shared" si="10"/>
        <v>0.14984014070502943</v>
      </c>
      <c r="R39" s="154">
        <f t="shared" si="11"/>
        <v>0.28792601239927007</v>
      </c>
      <c r="S39" s="154">
        <f t="shared" si="12"/>
        <v>0.49747511954672702</v>
      </c>
      <c r="T39" s="154">
        <f t="shared" si="13"/>
        <v>0.64852592523139152</v>
      </c>
      <c r="U39" s="154">
        <f t="shared" si="14"/>
        <v>0.74931713343382711</v>
      </c>
      <c r="V39" s="154">
        <f t="shared" si="15"/>
        <v>0.87281114347564914</v>
      </c>
      <c r="W39" s="162">
        <v>1</v>
      </c>
      <c r="X39" s="154"/>
      <c r="Y39" s="142">
        <f t="shared" si="24"/>
        <v>3.5673549655850546E-2</v>
      </c>
      <c r="Z39" s="142">
        <f t="shared" si="24"/>
        <v>6.1120943952802369E-2</v>
      </c>
      <c r="AA39" s="142">
        <f t="shared" si="24"/>
        <v>7.555555555555557E-2</v>
      </c>
      <c r="AB39" s="142">
        <f t="shared" si="24"/>
        <v>7.4257620452310713E-2</v>
      </c>
      <c r="AC39" s="142">
        <f t="shared" si="24"/>
        <v>3.1494591937069806E-2</v>
      </c>
      <c r="AD39" s="142">
        <f t="shared" si="24"/>
        <v>1.283923303834808E-2</v>
      </c>
      <c r="AE39" s="142">
        <f t="shared" si="24"/>
        <v>6.3256637168141562E-3</v>
      </c>
      <c r="AF39" s="142">
        <f t="shared" si="24"/>
        <v>0</v>
      </c>
      <c r="AH39" s="158">
        <f t="shared" si="16"/>
        <v>2.16322517207473E-2</v>
      </c>
      <c r="AI39" s="158">
        <f t="shared" si="17"/>
        <v>9.4395280235988213E-2</v>
      </c>
      <c r="AJ39" s="158">
        <f t="shared" si="18"/>
        <v>0.22222222222222227</v>
      </c>
      <c r="AK39" s="158">
        <f t="shared" si="19"/>
        <v>0.42871189773844648</v>
      </c>
      <c r="AL39" s="158">
        <f t="shared" si="20"/>
        <v>0.58505408062930198</v>
      </c>
      <c r="AM39" s="158">
        <f t="shared" si="21"/>
        <v>0.69321533923303846</v>
      </c>
      <c r="AN39" s="158">
        <f t="shared" si="22"/>
        <v>0.8318584070796462</v>
      </c>
      <c r="AO39" s="158">
        <v>1</v>
      </c>
      <c r="AP39" s="143"/>
      <c r="AQ39" s="152">
        <f>('B2-RdTr'!$E148+'B2-RdTr'!$G148-'B2-RdTr'!$K148)*'B2-RdTr'!$H148/(('B2-RdTr'!$E110+'B2-RdTr'!$G110-'B2-RdTr'!$K110)*'B2-RdTr'!$H110)*100</f>
        <v>5.7094284522319567</v>
      </c>
      <c r="AR39" s="152">
        <f>('B2-RdTr'!$E186+'B2-RdTr'!$G186-'B2-RdTr'!$K186)*'B2-RdTr'!$H186/(('B2-RdTr'!$E110+'B2-RdTr'!$G110-'B2-RdTr'!$K110)*'B2-RdTr'!$H110)*100</f>
        <v>9.4580725907384231</v>
      </c>
      <c r="AS39" s="152">
        <f>('B2-RdTr'!$E224+'B2-RdTr'!$G224-'B2-RdTr'!$K224)*'B2-RdTr'!$H224/(('B2-RdTr'!$E110+'B2-RdTr'!$G110-'B2-RdTr'!$K110)*'B2-RdTr'!$H110)*100</f>
        <v>13.977680433875678</v>
      </c>
      <c r="AT39" s="152">
        <f>('B2-RdTr'!$E262+'B2-RdTr'!$G262-'B2-RdTr'!$K262)*'B2-RdTr'!$H262/(('B2-RdTr'!$E110+'B2-RdTr'!$G110-'B2-RdTr'!$K110)*'B2-RdTr'!$H110)*100</f>
        <v>21.211514392991241</v>
      </c>
      <c r="AU39" s="152">
        <f>('B2-RdTr'!$E338+'B2-RdTr'!$G338-'B2-RdTr'!$K338)*'B2-RdTr'!$H338/(('B2-RdTr'!$E110+'B2-RdTr'!$G110-'B2-RdTr'!$K110)*'B2-RdTr'!$H110)*100</f>
        <v>15.290050062578223</v>
      </c>
      <c r="AV39" s="152">
        <f>('B2-RdTr'!$E376+'B2-RdTr'!$G376-'B2-RdTr'!$K376)*'B2-RdTr'!$H376/(('B2-RdTr'!$E110+'B2-RdTr'!$G110-'B2-RdTr'!$K110)*'B2-RdTr'!$H110)*100</f>
        <v>10.202544847726326</v>
      </c>
      <c r="AW39" s="152">
        <f>('B2-RdTr'!$E414+'B2-RdTr'!$G414-'B2-RdTr'!$K414)*'B2-RdTr'!$H414/(('B2-RdTr'!$E110+'B2-RdTr'!$G110-'B2-RdTr'!$K110)*'B2-RdTr'!$H110)*100</f>
        <v>12.500625782227784</v>
      </c>
      <c r="AX39" s="152">
        <f>('B2-RdTr'!$E452+'B2-RdTr'!$G452-'B2-RdTr'!$K452)*'B2-RdTr'!$H452/(('B2-RdTr'!$E110+'B2-RdTr'!$G110-'B2-RdTr'!$K110)*'B2-RdTr'!$H110)*100</f>
        <v>12.874634960367127</v>
      </c>
      <c r="AZ39" s="152">
        <f>'B2-RdTr'!$N148</f>
        <v>2.2000000000000002</v>
      </c>
      <c r="BA39" s="152">
        <f>'B2-RdTr'!$N186</f>
        <v>7.4</v>
      </c>
      <c r="BB39" s="152">
        <f>'B2-RdTr'!$N224</f>
        <v>13</v>
      </c>
      <c r="BC39" s="152">
        <f>'B2-RdTr'!$N262</f>
        <v>21</v>
      </c>
      <c r="BD39" s="152">
        <f>'B2-RdTr'!$N338</f>
        <v>15.9</v>
      </c>
      <c r="BE39" s="152">
        <f>'B2-RdTr'!$N376</f>
        <v>11</v>
      </c>
      <c r="BF39" s="152">
        <f>'B2-RdTr'!$N414</f>
        <v>14.1</v>
      </c>
      <c r="BG39" s="152">
        <f>'B2-RdTr'!$N452</f>
        <v>17.100000000000001</v>
      </c>
    </row>
    <row r="40" spans="1:59">
      <c r="A40" s="46">
        <f t="shared" si="23"/>
        <v>2011</v>
      </c>
      <c r="B40" s="141">
        <f t="shared" si="5"/>
        <v>0.10697988589309643</v>
      </c>
      <c r="D40" s="141">
        <f t="shared" si="6"/>
        <v>0.48479646878670674</v>
      </c>
      <c r="E40" s="141">
        <f t="shared" si="7"/>
        <v>0.59177635467980316</v>
      </c>
      <c r="F40" s="46"/>
      <c r="G40" s="157">
        <f t="shared" si="8"/>
        <v>2.8813724706398459E-2</v>
      </c>
      <c r="H40" s="157">
        <f t="shared" si="8"/>
        <v>5.0142941775774323E-2</v>
      </c>
      <c r="I40" s="157">
        <f t="shared" si="8"/>
        <v>6.2561103355534123E-2</v>
      </c>
      <c r="J40" s="157">
        <f t="shared" si="8"/>
        <v>6.0834732412093785E-2</v>
      </c>
      <c r="K40" s="157">
        <f t="shared" si="8"/>
        <v>2.534329190420256E-2</v>
      </c>
      <c r="L40" s="157">
        <f t="shared" si="8"/>
        <v>1.0055015056752376E-2</v>
      </c>
      <c r="M40" s="157">
        <f t="shared" si="8"/>
        <v>4.6474251825977175E-3</v>
      </c>
      <c r="N40" s="157">
        <f t="shared" si="8"/>
        <v>0</v>
      </c>
      <c r="O40" s="46"/>
      <c r="P40" s="154">
        <f t="shared" si="9"/>
        <v>5.5931376468007735E-2</v>
      </c>
      <c r="Q40" s="154">
        <f t="shared" si="10"/>
        <v>0.14928529112112846</v>
      </c>
      <c r="R40" s="154">
        <f t="shared" si="11"/>
        <v>0.28719448322232949</v>
      </c>
      <c r="S40" s="154">
        <f t="shared" si="12"/>
        <v>0.49582633793953113</v>
      </c>
      <c r="T40" s="154">
        <f t="shared" si="13"/>
        <v>0.64656708095797444</v>
      </c>
      <c r="U40" s="154">
        <f t="shared" si="14"/>
        <v>0.74889969886495256</v>
      </c>
      <c r="V40" s="154">
        <f t="shared" si="15"/>
        <v>0.87381437043505716</v>
      </c>
      <c r="W40" s="162">
        <v>1</v>
      </c>
      <c r="X40" s="154"/>
      <c r="Y40" s="142">
        <f t="shared" si="24"/>
        <v>3.5467980295566505E-2</v>
      </c>
      <c r="Z40" s="142">
        <f t="shared" si="24"/>
        <v>6.0886699507389168E-2</v>
      </c>
      <c r="AA40" s="142">
        <f t="shared" si="24"/>
        <v>7.5270935960591159E-2</v>
      </c>
      <c r="AB40" s="142">
        <f t="shared" si="24"/>
        <v>7.3891625615763554E-2</v>
      </c>
      <c r="AC40" s="142">
        <f t="shared" si="24"/>
        <v>3.1379310344827584E-2</v>
      </c>
      <c r="AD40" s="142">
        <f t="shared" si="24"/>
        <v>1.2770935960591135E-2</v>
      </c>
      <c r="AE40" s="142">
        <f t="shared" si="24"/>
        <v>6.2206896551724178E-3</v>
      </c>
      <c r="AF40" s="142">
        <f t="shared" si="24"/>
        <v>0</v>
      </c>
      <c r="AH40" s="158">
        <f t="shared" si="16"/>
        <v>2.2660098522167486E-2</v>
      </c>
      <c r="AI40" s="158">
        <f t="shared" si="17"/>
        <v>9.5566502463054176E-2</v>
      </c>
      <c r="AJ40" s="158">
        <f t="shared" si="18"/>
        <v>0.22364532019704433</v>
      </c>
      <c r="AK40" s="158">
        <f t="shared" si="19"/>
        <v>0.43054187192118226</v>
      </c>
      <c r="AL40" s="158">
        <f t="shared" si="20"/>
        <v>0.5862068965517242</v>
      </c>
      <c r="AM40" s="158">
        <f t="shared" si="21"/>
        <v>0.69458128078817738</v>
      </c>
      <c r="AN40" s="158">
        <f t="shared" si="22"/>
        <v>0.83448275862068966</v>
      </c>
      <c r="AO40" s="158">
        <v>1</v>
      </c>
      <c r="AP40" s="143"/>
      <c r="AQ40" s="152">
        <f>('B2-RdTr'!$E149+'B2-RdTr'!$G149-'B2-RdTr'!$K149)*'B2-RdTr'!$H149/(('B2-RdTr'!$E111+'B2-RdTr'!$G111-'B2-RdTr'!$K111)*'B2-RdTr'!$H111)*100</f>
        <v>5.6705198227631328</v>
      </c>
      <c r="AR40" s="152">
        <f>('B2-RdTr'!$E187+'B2-RdTr'!$G187-'B2-RdTr'!$K187)*'B2-RdTr'!$H187/(('B2-RdTr'!$E111+'B2-RdTr'!$G111-'B2-RdTr'!$K111)*'B2-RdTr'!$H111)*100</f>
        <v>9.4645484699603468</v>
      </c>
      <c r="AS40" s="152">
        <f>('B2-RdTr'!$E225+'B2-RdTr'!$G225-'B2-RdTr'!$K225)*'B2-RdTr'!$H225/(('B2-RdTr'!$E111+'B2-RdTr'!$G111-'B2-RdTr'!$K111)*'B2-RdTr'!$H111)*100</f>
        <v>13.981719330623237</v>
      </c>
      <c r="AT40" s="152">
        <f>('B2-RdTr'!$E263+'B2-RdTr'!$G263-'B2-RdTr'!$K263)*'B2-RdTr'!$H263/(('B2-RdTr'!$E111+'B2-RdTr'!$G111-'B2-RdTr'!$K111)*'B2-RdTr'!$H111)*100</f>
        <v>21.151831807865925</v>
      </c>
      <c r="AU40" s="152">
        <f>('B2-RdTr'!$E339+'B2-RdTr'!$G339-'B2-RdTr'!$K339)*'B2-RdTr'!$H339/(('B2-RdTr'!$E111+'B2-RdTr'!$G111-'B2-RdTr'!$K111)*'B2-RdTr'!$H111)*100</f>
        <v>15.282627129211662</v>
      </c>
      <c r="AV40" s="152">
        <f>('B2-RdTr'!$E377+'B2-RdTr'!$G377-'B2-RdTr'!$K377)*'B2-RdTr'!$H377/(('B2-RdTr'!$E111+'B2-RdTr'!$G111-'B2-RdTr'!$K111)*'B2-RdTr'!$H111)*100</f>
        <v>10.374841010549417</v>
      </c>
      <c r="AW40" s="152">
        <f>('B2-RdTr'!$E415+'B2-RdTr'!$G415-'B2-RdTr'!$K415)*'B2-RdTr'!$H415/(('B2-RdTr'!$E111+'B2-RdTr'!$G111-'B2-RdTr'!$K111)*'B2-RdTr'!$H111)*100</f>
        <v>12.664289098935082</v>
      </c>
      <c r="AX40" s="152">
        <f>('B2-RdTr'!$E453+'B2-RdTr'!$G453-'B2-RdTr'!$K453)*'B2-RdTr'!$H453/(('B2-RdTr'!$E111+'B2-RdTr'!$G111-'B2-RdTr'!$K111)*'B2-RdTr'!$H111)*100</f>
        <v>12.793143294178282</v>
      </c>
      <c r="AZ40" s="152">
        <f>'B2-RdTr'!$N149</f>
        <v>2.2999999999999998</v>
      </c>
      <c r="BA40" s="152">
        <f>'B2-RdTr'!$N187</f>
        <v>7.4</v>
      </c>
      <c r="BB40" s="152">
        <f>'B2-RdTr'!$N225</f>
        <v>13</v>
      </c>
      <c r="BC40" s="152">
        <f>'B2-RdTr'!$N263</f>
        <v>21</v>
      </c>
      <c r="BD40" s="152">
        <f>'B2-RdTr'!$N339</f>
        <v>15.8</v>
      </c>
      <c r="BE40" s="152">
        <f>'B2-RdTr'!$N377</f>
        <v>11</v>
      </c>
      <c r="BF40" s="152">
        <f>'B2-RdTr'!$N415</f>
        <v>14.2</v>
      </c>
      <c r="BG40" s="152">
        <f>'B2-RdTr'!$N453</f>
        <v>16.8</v>
      </c>
    </row>
    <row r="41" spans="1:59">
      <c r="A41" s="46">
        <f t="shared" si="23"/>
        <v>2012</v>
      </c>
      <c r="B41" s="141">
        <f t="shared" si="5"/>
        <v>0.10215598745516585</v>
      </c>
      <c r="D41" s="141">
        <f t="shared" si="6"/>
        <v>0.51863178374799013</v>
      </c>
      <c r="E41" s="141">
        <f t="shared" si="7"/>
        <v>0.62078777120315598</v>
      </c>
      <c r="F41" s="46"/>
      <c r="G41" s="157">
        <f t="shared" si="8"/>
        <v>2.9611430640412884E-2</v>
      </c>
      <c r="H41" s="157">
        <f t="shared" si="8"/>
        <v>5.2017042566724403E-2</v>
      </c>
      <c r="I41" s="157">
        <f t="shared" si="8"/>
        <v>6.5828569437035758E-2</v>
      </c>
      <c r="J41" s="157">
        <f t="shared" si="8"/>
        <v>6.5776795040965494E-2</v>
      </c>
      <c r="K41" s="157">
        <f t="shared" si="8"/>
        <v>2.8326509788052203E-2</v>
      </c>
      <c r="L41" s="157">
        <f t="shared" si="8"/>
        <v>1.1705624124467668E-2</v>
      </c>
      <c r="M41" s="157">
        <f t="shared" si="8"/>
        <v>6.0499202763366492E-3</v>
      </c>
      <c r="N41" s="157">
        <f t="shared" si="8"/>
        <v>0</v>
      </c>
      <c r="O41" s="46"/>
      <c r="P41" s="154">
        <f t="shared" si="9"/>
        <v>5.19428467979356E-2</v>
      </c>
      <c r="Q41" s="154">
        <f t="shared" si="10"/>
        <v>0.13991478716637801</v>
      </c>
      <c r="R41" s="154">
        <f t="shared" si="11"/>
        <v>0.27085715281482131</v>
      </c>
      <c r="S41" s="154">
        <f t="shared" si="12"/>
        <v>0.47111602479517256</v>
      </c>
      <c r="T41" s="154">
        <f t="shared" si="13"/>
        <v>0.61673490211947801</v>
      </c>
      <c r="U41" s="154">
        <f t="shared" si="14"/>
        <v>0.71588751751064672</v>
      </c>
      <c r="V41" s="154">
        <f t="shared" si="15"/>
        <v>0.83875199309158388</v>
      </c>
      <c r="W41" s="162">
        <v>1</v>
      </c>
      <c r="X41" s="154"/>
      <c r="Y41" s="142">
        <f t="shared" si="24"/>
        <v>3.6055226824457602E-2</v>
      </c>
      <c r="Z41" s="142">
        <f t="shared" si="24"/>
        <v>6.2445759368836298E-2</v>
      </c>
      <c r="AA41" s="142">
        <f t="shared" si="24"/>
        <v>7.7988165680473398E-2</v>
      </c>
      <c r="AB41" s="142">
        <f t="shared" si="24"/>
        <v>7.8145956607495085E-2</v>
      </c>
      <c r="AC41" s="142">
        <f t="shared" si="24"/>
        <v>3.4082840236686396E-2</v>
      </c>
      <c r="AD41" s="142">
        <f t="shared" si="24"/>
        <v>1.4265285996055234E-2</v>
      </c>
      <c r="AE41" s="142">
        <f t="shared" si="24"/>
        <v>7.410650887573973E-3</v>
      </c>
      <c r="AF41" s="142">
        <f t="shared" si="24"/>
        <v>0</v>
      </c>
      <c r="AH41" s="158">
        <f t="shared" si="16"/>
        <v>1.9723865877712032E-2</v>
      </c>
      <c r="AI41" s="158">
        <f t="shared" si="17"/>
        <v>8.7771203155818545E-2</v>
      </c>
      <c r="AJ41" s="158">
        <f t="shared" si="18"/>
        <v>0.21005917159763315</v>
      </c>
      <c r="AK41" s="158">
        <f t="shared" si="19"/>
        <v>0.40927021696252464</v>
      </c>
      <c r="AL41" s="158">
        <f t="shared" si="20"/>
        <v>0.55917159763313606</v>
      </c>
      <c r="AM41" s="158">
        <f t="shared" si="21"/>
        <v>0.66469428007889542</v>
      </c>
      <c r="AN41" s="158">
        <f t="shared" si="22"/>
        <v>0.80473372781065078</v>
      </c>
      <c r="AO41" s="158">
        <v>1</v>
      </c>
      <c r="AP41" s="143"/>
      <c r="AQ41" s="152">
        <f>('B2-RdTr'!$E150+'B2-RdTr'!$G150-'B2-RdTr'!$K150)*'B2-RdTr'!$H150/(('B2-RdTr'!$E112+'B2-RdTr'!$G112-'B2-RdTr'!$K112)*'B2-RdTr'!$H112)*100</f>
        <v>5.3218935204701561</v>
      </c>
      <c r="AR41" s="152">
        <f>('B2-RdTr'!$E188+'B2-RdTr'!$G188-'B2-RdTr'!$K188)*'B2-RdTr'!$H188/(('B2-RdTr'!$E112+'B2-RdTr'!$G112-'B2-RdTr'!$K112)*'B2-RdTr'!$H112)*100</f>
        <v>9.0133161405509963</v>
      </c>
      <c r="AS41" s="152">
        <f>('B2-RdTr'!$E226+'B2-RdTr'!$G226-'B2-RdTr'!$K226)*'B2-RdTr'!$H226/(('B2-RdTr'!$E112+'B2-RdTr'!$G112-'B2-RdTr'!$K112)*'B2-RdTr'!$H112)*100</f>
        <v>13.415924814640315</v>
      </c>
      <c r="AT41" s="152">
        <f>('B2-RdTr'!$E264+'B2-RdTr'!$G264-'B2-RdTr'!$K264)*'B2-RdTr'!$H264/(('B2-RdTr'!$E112+'B2-RdTr'!$G112-'B2-RdTr'!$K112)*'B2-RdTr'!$H112)*100</f>
        <v>20.517866441837974</v>
      </c>
      <c r="AU41" s="152">
        <f>('B2-RdTr'!$E340+'B2-RdTr'!$G340-'B2-RdTr'!$K340)*'B2-RdTr'!$H340/(('B2-RdTr'!$E112+'B2-RdTr'!$G112-'B2-RdTr'!$K112)*'B2-RdTr'!$H112)*100</f>
        <v>14.919632008331888</v>
      </c>
      <c r="AV41" s="152">
        <f>('B2-RdTr'!$E378+'B2-RdTr'!$G378-'B2-RdTr'!$K378)*'B2-RdTr'!$H378/(('B2-RdTr'!$E112+'B2-RdTr'!$G112-'B2-RdTr'!$K112)*'B2-RdTr'!$H112)*100</f>
        <v>10.158851389887667</v>
      </c>
      <c r="AW41" s="152">
        <f>('B2-RdTr'!$E416+'B2-RdTr'!$G416-'B2-RdTr'!$K416)*'B2-RdTr'!$H416/(('B2-RdTr'!$E112+'B2-RdTr'!$G112-'B2-RdTr'!$K112)*'B2-RdTr'!$H112)*100</f>
        <v>12.588290723336723</v>
      </c>
      <c r="AX41" s="152">
        <f>('B2-RdTr'!$E454+'B2-RdTr'!$G454-'B2-RdTr'!$K454)*'B2-RdTr'!$H454/(('B2-RdTr'!$E112+'B2-RdTr'!$G112-'B2-RdTr'!$K112)*'B2-RdTr'!$H112)*100</f>
        <v>16.520941304832988</v>
      </c>
      <c r="AZ41" s="152">
        <f>'B2-RdTr'!$N150</f>
        <v>2</v>
      </c>
      <c r="BA41" s="152">
        <f>'B2-RdTr'!$N188</f>
        <v>6.9</v>
      </c>
      <c r="BB41" s="152">
        <f>'B2-RdTr'!$N226</f>
        <v>12.4</v>
      </c>
      <c r="BC41" s="152">
        <f>'B2-RdTr'!$N264</f>
        <v>20.2</v>
      </c>
      <c r="BD41" s="152">
        <f>'B2-RdTr'!$N340</f>
        <v>15.2</v>
      </c>
      <c r="BE41" s="152">
        <f>'B2-RdTr'!$N378</f>
        <v>10.7</v>
      </c>
      <c r="BF41" s="152">
        <f>'B2-RdTr'!$N416</f>
        <v>14.2</v>
      </c>
      <c r="BG41" s="152">
        <f>'B2-RdTr'!$N454</f>
        <v>19.8</v>
      </c>
    </row>
    <row r="42" spans="1:59">
      <c r="A42" s="46">
        <f t="shared" si="23"/>
        <v>2013</v>
      </c>
      <c r="B42" s="141">
        <f t="shared" si="5"/>
        <v>0.10710483222843697</v>
      </c>
      <c r="D42" s="141">
        <f t="shared" si="6"/>
        <v>0.48931957722038194</v>
      </c>
      <c r="E42" s="141">
        <f t="shared" si="7"/>
        <v>0.59642440944881892</v>
      </c>
      <c r="F42" s="46"/>
      <c r="G42" s="157">
        <f t="shared" si="8"/>
        <v>2.8806988483988018E-2</v>
      </c>
      <c r="H42" s="157">
        <f t="shared" si="8"/>
        <v>5.0395961508124323E-2</v>
      </c>
      <c r="I42" s="157">
        <f t="shared" si="8"/>
        <v>6.3012304779933775E-2</v>
      </c>
      <c r="J42" s="157">
        <f t="shared" si="8"/>
        <v>6.1661145291055403E-2</v>
      </c>
      <c r="K42" s="157">
        <f t="shared" si="8"/>
        <v>2.572172266919074E-2</v>
      </c>
      <c r="L42" s="157">
        <f t="shared" si="8"/>
        <v>1.0261476573592061E-2</v>
      </c>
      <c r="M42" s="157">
        <f t="shared" si="8"/>
        <v>4.8001893043066839E-3</v>
      </c>
      <c r="N42" s="157">
        <f t="shared" si="8"/>
        <v>0</v>
      </c>
      <c r="O42" s="46"/>
      <c r="P42" s="154">
        <f t="shared" si="9"/>
        <v>5.5965057580059943E-2</v>
      </c>
      <c r="Q42" s="154">
        <f t="shared" si="10"/>
        <v>0.14802019245937842</v>
      </c>
      <c r="R42" s="154">
        <f t="shared" si="11"/>
        <v>0.28493847610033124</v>
      </c>
      <c r="S42" s="154">
        <f t="shared" si="12"/>
        <v>0.49169427354472306</v>
      </c>
      <c r="T42" s="154">
        <f t="shared" si="13"/>
        <v>0.64278277330809264</v>
      </c>
      <c r="U42" s="154">
        <f t="shared" si="14"/>
        <v>0.74477046852815887</v>
      </c>
      <c r="V42" s="154">
        <f t="shared" si="15"/>
        <v>0.86999526739233302</v>
      </c>
      <c r="W42" s="162">
        <v>1</v>
      </c>
      <c r="X42" s="154"/>
      <c r="Y42" s="142">
        <f t="shared" si="24"/>
        <v>3.5472440944881896E-2</v>
      </c>
      <c r="Z42" s="142">
        <f t="shared" si="24"/>
        <v>6.1102362204724418E-2</v>
      </c>
      <c r="AA42" s="142">
        <f t="shared" si="24"/>
        <v>7.5708661417322853E-2</v>
      </c>
      <c r="AB42" s="142">
        <f t="shared" si="24"/>
        <v>7.4763779527559068E-2</v>
      </c>
      <c r="AC42" s="142">
        <f t="shared" si="24"/>
        <v>3.1830708661417316E-2</v>
      </c>
      <c r="AD42" s="142">
        <f t="shared" si="24"/>
        <v>1.3001968503937006E-2</v>
      </c>
      <c r="AE42" s="142">
        <f t="shared" si="24"/>
        <v>6.3322834645669302E-3</v>
      </c>
      <c r="AF42" s="142">
        <f t="shared" si="24"/>
        <v>0</v>
      </c>
      <c r="AH42" s="158">
        <f t="shared" si="16"/>
        <v>2.2637795275590549E-2</v>
      </c>
      <c r="AI42" s="158">
        <f t="shared" si="17"/>
        <v>9.4488188976377951E-2</v>
      </c>
      <c r="AJ42" s="158">
        <f t="shared" si="18"/>
        <v>0.22145669291338585</v>
      </c>
      <c r="AK42" s="158">
        <f t="shared" si="19"/>
        <v>0.42618110236220474</v>
      </c>
      <c r="AL42" s="158">
        <f t="shared" si="20"/>
        <v>0.58169291338582685</v>
      </c>
      <c r="AM42" s="158">
        <f t="shared" si="21"/>
        <v>0.68996062992125995</v>
      </c>
      <c r="AN42" s="158">
        <f t="shared" si="22"/>
        <v>0.83169291338582685</v>
      </c>
      <c r="AO42" s="158">
        <v>1</v>
      </c>
      <c r="AP42" s="143"/>
      <c r="AQ42" s="152">
        <f>('B2-RdTr'!$E151+'B2-RdTr'!$G151-'B2-RdTr'!$K151)*'B2-RdTr'!$H151/(('B2-RdTr'!$E113+'B2-RdTr'!$G113-'B2-RdTr'!$K113)*'B2-RdTr'!$H113)*100</f>
        <v>5.6996884159621803</v>
      </c>
      <c r="AR42" s="152">
        <f>('B2-RdTr'!$E189+'B2-RdTr'!$G189-'B2-RdTr'!$K189)*'B2-RdTr'!$H189/(('B2-RdTr'!$E113+'B2-RdTr'!$G113-'B2-RdTr'!$K113)*'B2-RdTr'!$H113)*100</f>
        <v>9.3752353448561525</v>
      </c>
      <c r="AS42" s="152">
        <f>('B2-RdTr'!$E227+'B2-RdTr'!$G227-'B2-RdTr'!$K227)*'B2-RdTr'!$H227/(('B2-RdTr'!$E113+'B2-RdTr'!$G113-'B2-RdTr'!$K113)*'B2-RdTr'!$H113)*100</f>
        <v>13.944264313234841</v>
      </c>
      <c r="AT42" s="152">
        <f>('B2-RdTr'!$E265+'B2-RdTr'!$G265-'B2-RdTr'!$K265)*'B2-RdTr'!$H265/(('B2-RdTr'!$E113+'B2-RdTr'!$G113-'B2-RdTr'!$K113)*'B2-RdTr'!$H113)*100</f>
        <v>21.056774969649929</v>
      </c>
      <c r="AU42" s="152">
        <f>('B2-RdTr'!$E341+'B2-RdTr'!$G341-'B2-RdTr'!$K341)*'B2-RdTr'!$H341/(('B2-RdTr'!$E113+'B2-RdTr'!$G113-'B2-RdTr'!$K113)*'B2-RdTr'!$H113)*100</f>
        <v>15.387411522885813</v>
      </c>
      <c r="AV42" s="152">
        <f>('B2-RdTr'!$E379+'B2-RdTr'!$G379-'B2-RdTr'!$K379)*'B2-RdTr'!$H379/(('B2-RdTr'!$E113+'B2-RdTr'!$G113-'B2-RdTr'!$K113)*'B2-RdTr'!$H113)*100</f>
        <v>10.386804019363797</v>
      </c>
      <c r="AW42" s="152">
        <f>('B2-RdTr'!$E417+'B2-RdTr'!$G417-'B2-RdTr'!$K417)*'B2-RdTr'!$H417/(('B2-RdTr'!$E113+'B2-RdTr'!$G113-'B2-RdTr'!$K113)*'B2-RdTr'!$H113)*100</f>
        <v>12.753356582476385</v>
      </c>
      <c r="AX42" s="152">
        <f>('B2-RdTr'!$E455+'B2-RdTr'!$G455-'B2-RdTr'!$K455)*'B2-RdTr'!$H455/(('B2-RdTr'!$E113+'B2-RdTr'!$G113-'B2-RdTr'!$K113)*'B2-RdTr'!$H113)*100</f>
        <v>13.240162710530095</v>
      </c>
      <c r="AZ42" s="152">
        <f>'B2-RdTr'!$N151</f>
        <v>2.2999999999999998</v>
      </c>
      <c r="BA42" s="152">
        <f>'B2-RdTr'!$N189</f>
        <v>7.3</v>
      </c>
      <c r="BB42" s="152">
        <f>'B2-RdTr'!$N227</f>
        <v>12.9</v>
      </c>
      <c r="BC42" s="152">
        <f>'B2-RdTr'!$N265</f>
        <v>20.8</v>
      </c>
      <c r="BD42" s="152">
        <f>'B2-RdTr'!$N341</f>
        <v>15.8</v>
      </c>
      <c r="BE42" s="152">
        <f>'B2-RdTr'!$N379</f>
        <v>11</v>
      </c>
      <c r="BF42" s="152">
        <f>'B2-RdTr'!$N417</f>
        <v>14.4</v>
      </c>
      <c r="BG42" s="152">
        <f>'B2-RdTr'!$N455</f>
        <v>17.100000000000001</v>
      </c>
    </row>
    <row r="43" spans="1:59">
      <c r="A43" s="46">
        <f t="shared" si="23"/>
        <v>2014</v>
      </c>
      <c r="B43" s="141">
        <f t="shared" si="5"/>
        <v>0.11704687499595384</v>
      </c>
      <c r="D43" s="141">
        <f t="shared" si="6"/>
        <v>0.49439450431439097</v>
      </c>
      <c r="E43" s="141">
        <f t="shared" si="7"/>
        <v>0.61144137931034481</v>
      </c>
      <c r="F43" s="46"/>
      <c r="G43" s="157">
        <f t="shared" si="8"/>
        <v>2.8724006638680077E-2</v>
      </c>
      <c r="H43" s="157">
        <f t="shared" si="8"/>
        <v>5.0147342650515549E-2</v>
      </c>
      <c r="I43" s="157">
        <f t="shared" si="8"/>
        <v>6.3216755908350172E-2</v>
      </c>
      <c r="J43" s="157">
        <f t="shared" si="8"/>
        <v>6.2714424109523201E-2</v>
      </c>
      <c r="K43" s="157">
        <f t="shared" si="8"/>
        <v>2.6545595866595564E-2</v>
      </c>
      <c r="L43" s="157">
        <f t="shared" si="8"/>
        <v>1.0700572248214536E-2</v>
      </c>
      <c r="M43" s="157">
        <f t="shared" si="8"/>
        <v>5.148554735316422E-3</v>
      </c>
      <c r="N43" s="157">
        <f t="shared" si="8"/>
        <v>0</v>
      </c>
      <c r="O43" s="46"/>
      <c r="P43" s="154">
        <f t="shared" si="9"/>
        <v>5.6379966806599638E-2</v>
      </c>
      <c r="Q43" s="154">
        <f t="shared" si="10"/>
        <v>0.14926328674742229</v>
      </c>
      <c r="R43" s="154">
        <f t="shared" si="11"/>
        <v>0.28391622045824921</v>
      </c>
      <c r="S43" s="154">
        <f t="shared" si="12"/>
        <v>0.48642787945238408</v>
      </c>
      <c r="T43" s="154">
        <f t="shared" si="13"/>
        <v>0.63454404133404441</v>
      </c>
      <c r="U43" s="154">
        <f t="shared" si="14"/>
        <v>0.73598855503570937</v>
      </c>
      <c r="V43" s="154">
        <f t="shared" si="15"/>
        <v>0.86128613161708956</v>
      </c>
      <c r="W43" s="162">
        <v>1</v>
      </c>
      <c r="X43" s="154"/>
      <c r="Y43" s="142">
        <f t="shared" si="24"/>
        <v>3.5862068965517246E-2</v>
      </c>
      <c r="Z43" s="142">
        <f t="shared" si="24"/>
        <v>6.1871921182266011E-2</v>
      </c>
      <c r="AA43" s="142">
        <f t="shared" si="24"/>
        <v>7.7044334975369486E-2</v>
      </c>
      <c r="AB43" s="142">
        <f t="shared" si="24"/>
        <v>7.7044334975369472E-2</v>
      </c>
      <c r="AC43" s="142">
        <f t="shared" si="24"/>
        <v>3.3251231527093597E-2</v>
      </c>
      <c r="AD43" s="142">
        <f t="shared" si="24"/>
        <v>1.3756157635467982E-2</v>
      </c>
      <c r="AE43" s="142">
        <f t="shared" si="24"/>
        <v>6.8906403940886696E-3</v>
      </c>
      <c r="AF43" s="142">
        <f t="shared" si="24"/>
        <v>0</v>
      </c>
      <c r="AH43" s="158">
        <f t="shared" si="16"/>
        <v>2.0689655172413793E-2</v>
      </c>
      <c r="AI43" s="158">
        <f t="shared" si="17"/>
        <v>9.0640394088669946E-2</v>
      </c>
      <c r="AJ43" s="158">
        <f t="shared" si="18"/>
        <v>0.2147783251231527</v>
      </c>
      <c r="AK43" s="158">
        <f t="shared" si="19"/>
        <v>0.41477832512315271</v>
      </c>
      <c r="AL43" s="158">
        <f t="shared" si="20"/>
        <v>0.56748768472906408</v>
      </c>
      <c r="AM43" s="158">
        <f t="shared" si="21"/>
        <v>0.67487684729064046</v>
      </c>
      <c r="AN43" s="158">
        <f t="shared" si="22"/>
        <v>0.81773399014778336</v>
      </c>
      <c r="AO43" s="158">
        <v>1</v>
      </c>
      <c r="AP43" s="143"/>
      <c r="AQ43" s="152">
        <f>('B2-RdTr'!$E152+'B2-RdTr'!$G152-'B2-RdTr'!$K152)*'B2-RdTr'!$H152/(('B2-RdTr'!$E114+'B2-RdTr'!$G114-'B2-RdTr'!$K114)*'B2-RdTr'!$H114)*100</f>
        <v>5.7337610264635126</v>
      </c>
      <c r="AR43" s="152">
        <f>('B2-RdTr'!$E190+'B2-RdTr'!$G190-'B2-RdTr'!$K190)*'B2-RdTr'!$H190/(('B2-RdTr'!$E114+'B2-RdTr'!$G114-'B2-RdTr'!$K114)*'B2-RdTr'!$H114)*100</f>
        <v>9.4460992095314467</v>
      </c>
      <c r="AS43" s="152">
        <f>('B2-RdTr'!$E228+'B2-RdTr'!$G228-'B2-RdTr'!$K228)*'B2-RdTr'!$H228/(('B2-RdTr'!$E114+'B2-RdTr'!$G114-'B2-RdTr'!$K114)*'B2-RdTr'!$H114)*100</f>
        <v>13.694008477488831</v>
      </c>
      <c r="AT43" s="152">
        <f>('B2-RdTr'!$E266+'B2-RdTr'!$G266-'B2-RdTr'!$K266)*'B2-RdTr'!$H266/(('B2-RdTr'!$E114+'B2-RdTr'!$G114-'B2-RdTr'!$K114)*'B2-RdTr'!$H114)*100</f>
        <v>20.595142628021538</v>
      </c>
      <c r="AU43" s="152">
        <f>('B2-RdTr'!$E342+'B2-RdTr'!$G342-'B2-RdTr'!$K342)*'B2-RdTr'!$H342/(('B2-RdTr'!$E114+'B2-RdTr'!$G114-'B2-RdTr'!$K114)*'B2-RdTr'!$H114)*100</f>
        <v>15.063199297361285</v>
      </c>
      <c r="AV43" s="152">
        <f>('B2-RdTr'!$E380+'B2-RdTr'!$G380-'B2-RdTr'!$K380)*'B2-RdTr'!$H380/(('B2-RdTr'!$E114+'B2-RdTr'!$G114-'B2-RdTr'!$K114)*'B2-RdTr'!$H114)*100</f>
        <v>10.316760224538893</v>
      </c>
      <c r="AW43" s="152">
        <f>('B2-RdTr'!$E418+'B2-RdTr'!$G418-'B2-RdTr'!$K418)*'B2-RdTr'!$H418/(('B2-RdTr'!$E114+'B2-RdTr'!$G114-'B2-RdTr'!$K114)*'B2-RdTr'!$H114)*100</f>
        <v>12.742582197273455</v>
      </c>
      <c r="AX43" s="152">
        <f>('B2-RdTr'!$E456+'B2-RdTr'!$G456-'B2-RdTr'!$K456)*'B2-RdTr'!$H456/(('B2-RdTr'!$E114+'B2-RdTr'!$G114-'B2-RdTr'!$K114)*'B2-RdTr'!$H114)*100</f>
        <v>14.10699965631802</v>
      </c>
      <c r="AZ43" s="152">
        <f>'B2-RdTr'!$N152</f>
        <v>2.1</v>
      </c>
      <c r="BA43" s="152">
        <f>'B2-RdTr'!$N190</f>
        <v>7.1</v>
      </c>
      <c r="BB43" s="152">
        <f>'B2-RdTr'!$N228</f>
        <v>12.6</v>
      </c>
      <c r="BC43" s="152">
        <f>'B2-RdTr'!$N266</f>
        <v>20.3</v>
      </c>
      <c r="BD43" s="152">
        <f>'B2-RdTr'!$N342</f>
        <v>15.5</v>
      </c>
      <c r="BE43" s="152">
        <f>'B2-RdTr'!$N380</f>
        <v>10.9</v>
      </c>
      <c r="BF43" s="152">
        <f>'B2-RdTr'!$N418</f>
        <v>14.5</v>
      </c>
      <c r="BG43" s="152">
        <f>'B2-RdTr'!$N456</f>
        <v>18.5</v>
      </c>
    </row>
    <row r="44" spans="1:59">
      <c r="A44" s="46">
        <f t="shared" si="23"/>
        <v>2015</v>
      </c>
      <c r="B44" s="141">
        <f t="shared" si="5"/>
        <v>0.11826740269080549</v>
      </c>
      <c r="D44" s="141">
        <f t="shared" si="6"/>
        <v>0.48958151249657134</v>
      </c>
      <c r="E44" s="141">
        <f t="shared" si="7"/>
        <v>0.60784891518737683</v>
      </c>
      <c r="F44" s="46"/>
      <c r="G44" s="157">
        <f t="shared" si="8"/>
        <v>2.8535531998429533E-2</v>
      </c>
      <c r="H44" s="157">
        <f t="shared" si="8"/>
        <v>4.9646804459718932E-2</v>
      </c>
      <c r="I44" s="157">
        <f t="shared" si="8"/>
        <v>6.2438682450299682E-2</v>
      </c>
      <c r="J44" s="157">
        <f t="shared" si="8"/>
        <v>6.2031757300647375E-2</v>
      </c>
      <c r="K44" s="157">
        <f t="shared" si="8"/>
        <v>2.6329964700166544E-2</v>
      </c>
      <c r="L44" s="157">
        <f t="shared" si="8"/>
        <v>1.0657569205780638E-2</v>
      </c>
      <c r="M44" s="157">
        <f t="shared" si="8"/>
        <v>5.150446133242976E-3</v>
      </c>
      <c r="N44" s="157">
        <f t="shared" si="8"/>
        <v>0</v>
      </c>
      <c r="O44" s="161">
        <v>0</v>
      </c>
      <c r="P44" s="154">
        <f t="shared" si="9"/>
        <v>5.7322340007852371E-2</v>
      </c>
      <c r="Q44" s="154">
        <f t="shared" si="10"/>
        <v>0.15176597770140537</v>
      </c>
      <c r="R44" s="154">
        <f t="shared" si="11"/>
        <v>0.28780658774850171</v>
      </c>
      <c r="S44" s="154">
        <f t="shared" si="12"/>
        <v>0.48984121349676318</v>
      </c>
      <c r="T44" s="154">
        <f t="shared" si="13"/>
        <v>0.63670035299833461</v>
      </c>
      <c r="U44" s="154">
        <f t="shared" si="14"/>
        <v>0.73684861588438733</v>
      </c>
      <c r="V44" s="154">
        <f t="shared" si="15"/>
        <v>0.86123884666892569</v>
      </c>
      <c r="W44" s="162">
        <v>1</v>
      </c>
      <c r="X44" s="154"/>
      <c r="Y44" s="142">
        <f t="shared" si="24"/>
        <v>3.5660749506903358E-2</v>
      </c>
      <c r="Z44" s="142">
        <f t="shared" si="24"/>
        <v>6.1459566074950692E-2</v>
      </c>
      <c r="AA44" s="142">
        <f t="shared" si="24"/>
        <v>7.6607495069033554E-2</v>
      </c>
      <c r="AB44" s="142">
        <f t="shared" si="24"/>
        <v>7.6568047337278122E-2</v>
      </c>
      <c r="AC44" s="142">
        <f t="shared" si="24"/>
        <v>3.3096646942800789E-2</v>
      </c>
      <c r="AD44" s="142">
        <f t="shared" si="24"/>
        <v>1.367357001972387E-2</v>
      </c>
      <c r="AE44" s="142">
        <f t="shared" si="24"/>
        <v>6.858382642998033E-3</v>
      </c>
      <c r="AF44" s="142">
        <f t="shared" si="24"/>
        <v>0</v>
      </c>
      <c r="AG44" s="161">
        <v>0</v>
      </c>
      <c r="AH44" s="158">
        <f t="shared" si="16"/>
        <v>2.1696252465483234E-2</v>
      </c>
      <c r="AI44" s="158">
        <f t="shared" si="17"/>
        <v>9.270216962524655E-2</v>
      </c>
      <c r="AJ44" s="158">
        <f t="shared" si="18"/>
        <v>0.21696252465483234</v>
      </c>
      <c r="AK44" s="158">
        <f t="shared" si="19"/>
        <v>0.41715976331360949</v>
      </c>
      <c r="AL44" s="158">
        <f t="shared" si="20"/>
        <v>0.56903353057199213</v>
      </c>
      <c r="AM44" s="158">
        <f t="shared" si="21"/>
        <v>0.6765285996055227</v>
      </c>
      <c r="AN44" s="158">
        <f t="shared" si="22"/>
        <v>0.81854043392504927</v>
      </c>
      <c r="AO44" s="158">
        <v>1</v>
      </c>
      <c r="AP44" s="143"/>
      <c r="AQ44" s="152">
        <f>('B2-RdTr'!$E153+'B2-RdTr'!$G153-'B2-RdTr'!$K153)*'B2-RdTr'!$H153/(('B2-RdTr'!$E115+'B2-RdTr'!$G115-'B2-RdTr'!$K115)*'B2-RdTr'!$H115)*100</f>
        <v>5.828980830758292</v>
      </c>
      <c r="AR44" s="152">
        <f>('B2-RdTr'!$E191+'B2-RdTr'!$G191-'B2-RdTr'!$K191)*'B2-RdTr'!$H191/(('B2-RdTr'!$E115+'B2-RdTr'!$G115-'B2-RdTr'!$K115)*'B2-RdTr'!$H115)*100</f>
        <v>9.6037627498701088</v>
      </c>
      <c r="AS44" s="152">
        <f>('B2-RdTr'!$E229+'B2-RdTr'!$G229-'B2-RdTr'!$K229)*'B2-RdTr'!$H229/(('B2-RdTr'!$E115+'B2-RdTr'!$G115-'B2-RdTr'!$K115)*'B2-RdTr'!$H115)*100</f>
        <v>13.83366603771865</v>
      </c>
      <c r="AT44" s="152">
        <f>('B2-RdTr'!$E267+'B2-RdTr'!$G267-'B2-RdTr'!$K267)*'B2-RdTr'!$H267/(('B2-RdTr'!$E115+'B2-RdTr'!$G115-'B2-RdTr'!$K115)*'B2-RdTr'!$H115)*100</f>
        <v>20.544450217397252</v>
      </c>
      <c r="AU44" s="152">
        <f>('B2-RdTr'!$E343+'B2-RdTr'!$G343-'B2-RdTr'!$K343)*'B2-RdTr'!$H343/(('B2-RdTr'!$E115+'B2-RdTr'!$G115-'B2-RdTr'!$K115)*'B2-RdTr'!$H115)*100</f>
        <v>14.933778154538906</v>
      </c>
      <c r="AV44" s="152">
        <f>('B2-RdTr'!$E381+'B2-RdTr'!$G381-'B2-RdTr'!$K381)*'B2-RdTr'!$H381/(('B2-RdTr'!$E115+'B2-RdTr'!$G115-'B2-RdTr'!$K115)*'B2-RdTr'!$H115)*100</f>
        <v>10.183853354845178</v>
      </c>
      <c r="AW44" s="152">
        <f>('B2-RdTr'!$E419+'B2-RdTr'!$G419-'B2-RdTr'!$K419)*'B2-RdTr'!$H419/(('B2-RdTr'!$E115+'B2-RdTr'!$G115-'B2-RdTr'!$K115)*'B2-RdTr'!$H115)*100</f>
        <v>12.648964970330063</v>
      </c>
      <c r="AX44" s="152">
        <f>('B2-RdTr'!$E457+'B2-RdTr'!$G457-'B2-RdTr'!$K457)*'B2-RdTr'!$H457/(('B2-RdTr'!$E115+'B2-RdTr'!$G115-'B2-RdTr'!$K115)*'B2-RdTr'!$H115)*100</f>
        <v>14.110312012907105</v>
      </c>
      <c r="AZ44" s="152">
        <f>'B2-RdTr'!$N153</f>
        <v>2.2000000000000002</v>
      </c>
      <c r="BA44" s="152">
        <f>'B2-RdTr'!$N191</f>
        <v>7.2</v>
      </c>
      <c r="BB44" s="152">
        <f>'B2-RdTr'!$N229</f>
        <v>12.6</v>
      </c>
      <c r="BC44" s="152">
        <f>'B2-RdTr'!$N267</f>
        <v>20.3</v>
      </c>
      <c r="BD44" s="152">
        <f>'B2-RdTr'!$N343</f>
        <v>15.4</v>
      </c>
      <c r="BE44" s="152">
        <f>'B2-RdTr'!$N381</f>
        <v>10.9</v>
      </c>
      <c r="BF44" s="152">
        <f>'B2-RdTr'!$N419</f>
        <v>14.4</v>
      </c>
      <c r="BG44" s="152">
        <f>'B2-RdTr'!$N457</f>
        <v>18.399999999999999</v>
      </c>
    </row>
    <row r="45" spans="1:59">
      <c r="A45" s="46">
        <f t="shared" si="23"/>
        <v>2016</v>
      </c>
      <c r="B45" s="141">
        <f t="shared" si="5"/>
        <v>0.11705469517975237</v>
      </c>
      <c r="D45" s="141">
        <f t="shared" si="6"/>
        <v>0.48389752594561802</v>
      </c>
      <c r="E45" s="141">
        <f t="shared" si="7"/>
        <v>0.60095222112537039</v>
      </c>
      <c r="F45" s="46"/>
      <c r="G45" s="157">
        <f t="shared" si="8"/>
        <v>2.8407984590826024E-2</v>
      </c>
      <c r="H45" s="157">
        <f t="shared" si="8"/>
        <v>4.9306058354448651E-2</v>
      </c>
      <c r="I45" s="157">
        <f t="shared" si="8"/>
        <v>6.191587515987737E-2</v>
      </c>
      <c r="J45" s="157">
        <f t="shared" si="8"/>
        <v>6.1214574898785436E-2</v>
      </c>
      <c r="K45" s="157">
        <f t="shared" si="8"/>
        <v>2.5836099162946283E-2</v>
      </c>
      <c r="L45" s="157">
        <f t="shared" si="8"/>
        <v>1.0358351580489006E-2</v>
      </c>
      <c r="M45" s="157">
        <f t="shared" si="8"/>
        <v>4.9098192254362558E-3</v>
      </c>
      <c r="N45" s="157">
        <f t="shared" si="8"/>
        <v>0</v>
      </c>
      <c r="O45" s="161">
        <v>0</v>
      </c>
      <c r="P45" s="154">
        <f t="shared" si="9"/>
        <v>5.7960077045869897E-2</v>
      </c>
      <c r="Q45" s="154">
        <f t="shared" si="10"/>
        <v>0.15346970822775677</v>
      </c>
      <c r="R45" s="154">
        <f t="shared" si="11"/>
        <v>0.29042062420061326</v>
      </c>
      <c r="S45" s="154">
        <f t="shared" si="12"/>
        <v>0.49392712550607287</v>
      </c>
      <c r="T45" s="154">
        <f t="shared" si="13"/>
        <v>0.64163900837053722</v>
      </c>
      <c r="U45" s="154">
        <f t="shared" si="14"/>
        <v>0.74283296839021995</v>
      </c>
      <c r="V45" s="154">
        <f t="shared" si="15"/>
        <v>0.8672545193640937</v>
      </c>
      <c r="W45" s="162">
        <v>1</v>
      </c>
      <c r="X45" s="154"/>
      <c r="Y45" s="142">
        <f t="shared" si="24"/>
        <v>3.5656465942744325E-2</v>
      </c>
      <c r="Z45" s="142">
        <f t="shared" si="24"/>
        <v>6.124383020730504E-2</v>
      </c>
      <c r="AA45" s="142">
        <f t="shared" si="24"/>
        <v>7.5972359328726591E-2</v>
      </c>
      <c r="AB45" s="142">
        <f t="shared" si="24"/>
        <v>7.5498519249753232E-2</v>
      </c>
      <c r="AC45" s="142">
        <f t="shared" si="24"/>
        <v>3.2349457058242846E-2</v>
      </c>
      <c r="AD45" s="142">
        <f t="shared" si="24"/>
        <v>1.3245310957551833E-2</v>
      </c>
      <c r="AE45" s="142">
        <f t="shared" si="24"/>
        <v>6.5101678183613074E-3</v>
      </c>
      <c r="AF45" s="142">
        <f t="shared" si="24"/>
        <v>0</v>
      </c>
      <c r="AG45" s="161">
        <v>0</v>
      </c>
      <c r="AH45" s="158">
        <f t="shared" si="16"/>
        <v>2.1717670286278381E-2</v>
      </c>
      <c r="AI45" s="158">
        <f t="shared" si="17"/>
        <v>9.3780848963474814E-2</v>
      </c>
      <c r="AJ45" s="158">
        <f t="shared" si="18"/>
        <v>0.22013820335636719</v>
      </c>
      <c r="AK45" s="158">
        <f t="shared" si="19"/>
        <v>0.42250740375123391</v>
      </c>
      <c r="AL45" s="158">
        <f t="shared" si="20"/>
        <v>0.57650542941757155</v>
      </c>
      <c r="AM45" s="158">
        <f t="shared" si="21"/>
        <v>0.68509378084896344</v>
      </c>
      <c r="AN45" s="158">
        <f t="shared" si="22"/>
        <v>0.82724580454096741</v>
      </c>
      <c r="AO45" s="158">
        <v>1</v>
      </c>
      <c r="AP45" s="143"/>
      <c r="AQ45" s="152">
        <f>('B2-RdTr'!$E154+'B2-RdTr'!$G154-'B2-RdTr'!$K154)*'B2-RdTr'!$H154/(('B2-RdTr'!$E116+'B2-RdTr'!$G116-'B2-RdTr'!$K116)*'B2-RdTr'!$H116)*100</f>
        <v>5.9165934709412973</v>
      </c>
      <c r="AR45" s="152">
        <f>('B2-RdTr'!$E192+'B2-RdTr'!$G192-'B2-RdTr'!$K192)*'B2-RdTr'!$H192/(('B2-RdTr'!$E116+'B2-RdTr'!$G116-'B2-RdTr'!$K116)*'B2-RdTr'!$H116)*100</f>
        <v>9.749670619235836</v>
      </c>
      <c r="AS45" s="152">
        <f>('B2-RdTr'!$E230+'B2-RdTr'!$G230-'B2-RdTr'!$K230)*'B2-RdTr'!$H230/(('B2-RdTr'!$E116+'B2-RdTr'!$G116-'B2-RdTr'!$K116)*'B2-RdTr'!$H116)*100</f>
        <v>13.980017566974091</v>
      </c>
      <c r="AT45" s="152">
        <f>('B2-RdTr'!$E268+'B2-RdTr'!$G268-'B2-RdTr'!$K268)*'B2-RdTr'!$H268/(('B2-RdTr'!$E116+'B2-RdTr'!$G116-'B2-RdTr'!$K116)*'B2-RdTr'!$H116)*100</f>
        <v>20.774044795783926</v>
      </c>
      <c r="AU45" s="152">
        <f>('B2-RdTr'!$E344+'B2-RdTr'!$G344-'B2-RdTr'!$K344)*'B2-RdTr'!$H344/(('B2-RdTr'!$E116+'B2-RdTr'!$G116-'B2-RdTr'!$K116)*'B2-RdTr'!$H116)*100</f>
        <v>15.078502415458935</v>
      </c>
      <c r="AV45" s="152">
        <f>('B2-RdTr'!$E382+'B2-RdTr'!$G382-'B2-RdTr'!$K382)*'B2-RdTr'!$H382/(('B2-RdTr'!$E116+'B2-RdTr'!$G116-'B2-RdTr'!$K116)*'B2-RdTr'!$H116)*100</f>
        <v>10.329929732103645</v>
      </c>
      <c r="AW45" s="152">
        <f>('B2-RdTr'!$E420+'B2-RdTr'!$G420-'B2-RdTr'!$K420)*'B2-RdTr'!$H420/(('B2-RdTr'!$E116+'B2-RdTr'!$G116-'B2-RdTr'!$K116)*'B2-RdTr'!$H116)*100</f>
        <v>12.70101376079637</v>
      </c>
      <c r="AX45" s="152">
        <f>('B2-RdTr'!$E458+'B2-RdTr'!$G458-'B2-RdTr'!$K458)*'B2-RdTr'!$H458/(('B2-RdTr'!$E116+'B2-RdTr'!$G116-'B2-RdTr'!$K116)*'B2-RdTr'!$H116)*100</f>
        <v>13.55072463768116</v>
      </c>
      <c r="AZ45" s="152">
        <f>'B2-RdTr'!$N154</f>
        <v>2.2000000000000002</v>
      </c>
      <c r="BA45" s="152">
        <f>'B2-RdTr'!$N192</f>
        <v>7.3</v>
      </c>
      <c r="BB45" s="152">
        <f>'B2-RdTr'!$N230</f>
        <v>12.8</v>
      </c>
      <c r="BC45" s="152">
        <f>'B2-RdTr'!$N268</f>
        <v>20.5</v>
      </c>
      <c r="BD45" s="152">
        <f>'B2-RdTr'!$N344</f>
        <v>15.6</v>
      </c>
      <c r="BE45" s="152">
        <f>'B2-RdTr'!$N382</f>
        <v>11</v>
      </c>
      <c r="BF45" s="152">
        <f>'B2-RdTr'!$N420</f>
        <v>14.4</v>
      </c>
      <c r="BG45" s="152">
        <f>'B2-RdTr'!$N458</f>
        <v>17.5</v>
      </c>
    </row>
    <row r="46" spans="1:59">
      <c r="A46" s="201" t="s">
        <v>154</v>
      </c>
      <c r="B46" s="451">
        <f>(B45-B8)/B8</f>
        <v>0.63364855190107428</v>
      </c>
    </row>
    <row r="47" spans="1:59">
      <c r="A47" s="201" t="s">
        <v>791</v>
      </c>
      <c r="B47" s="574">
        <f>(B45-B15)/B15</f>
        <v>1.137409893717702</v>
      </c>
    </row>
    <row r="48" spans="1:59">
      <c r="B48" s="45"/>
    </row>
  </sheetData>
  <mergeCells count="9">
    <mergeCell ref="AH6:AO6"/>
    <mergeCell ref="AQ6:AX6"/>
    <mergeCell ref="AZ6:BG6"/>
    <mergeCell ref="B6:B7"/>
    <mergeCell ref="D6:D7"/>
    <mergeCell ref="E6:E7"/>
    <mergeCell ref="G6:N6"/>
    <mergeCell ref="P6:W6"/>
    <mergeCell ref="Y6:AF6"/>
  </mergeCells>
  <hyperlinks>
    <hyperlink ref="Y1" location="Index!A1" display="index" xr:uid="{E7DB8E2F-AF14-497E-998E-59F59C4FD481}"/>
  </hyperlinks>
  <pageMargins left="0.7" right="0.7" top="0.75" bottom="0.75" header="0.3" footer="0.3"/>
  <pageSetup orientation="portrait" horizontalDpi="1200" verticalDpi="120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78F6B-B539-4EEF-BDCC-5E6E7ACBD409}">
  <sheetPr>
    <tabColor theme="9" tint="0.79998168889431442"/>
  </sheetPr>
  <dimension ref="A1:BG51"/>
  <sheetViews>
    <sheetView zoomScale="85" zoomScaleNormal="85" workbookViewId="0"/>
  </sheetViews>
  <sheetFormatPr defaultRowHeight="15"/>
  <cols>
    <col min="1" max="1" width="8.28515625" style="46" customWidth="1"/>
    <col min="2" max="2" width="11.42578125" style="556" customWidth="1"/>
    <col min="3" max="3" width="2.5703125" style="556" customWidth="1"/>
    <col min="4" max="4" width="18.85546875" style="556" customWidth="1"/>
    <col min="5" max="5" width="17.42578125" style="556" customWidth="1"/>
    <col min="6" max="6" width="6.140625" style="556" customWidth="1"/>
    <col min="7" max="10" width="5.5703125" style="556" customWidth="1"/>
    <col min="11" max="14" width="7" style="556" customWidth="1"/>
    <col min="15" max="15" width="1.85546875" style="556" customWidth="1"/>
    <col min="16" max="16" width="5.85546875" style="556" customWidth="1"/>
    <col min="17" max="18" width="5.5703125" style="556" customWidth="1"/>
    <col min="19" max="19" width="6" style="556" customWidth="1"/>
    <col min="20" max="23" width="6.5703125" style="556" customWidth="1"/>
    <col min="24" max="24" width="3.42578125" style="556" customWidth="1"/>
    <col min="25" max="28" width="5" style="556" customWidth="1"/>
    <col min="29" max="32" width="5.7109375" style="556" customWidth="1"/>
    <col min="33" max="33" width="2.140625" style="556" customWidth="1"/>
    <col min="34" max="37" width="5.5703125" style="556" customWidth="1"/>
    <col min="38" max="39" width="6.7109375" style="556" customWidth="1"/>
    <col min="40" max="40" width="7.140625" style="556" customWidth="1"/>
    <col min="41" max="41" width="7.28515625" style="556" customWidth="1"/>
    <col min="42" max="42" width="2.28515625" style="556" customWidth="1"/>
    <col min="43" max="50" width="6.140625" style="556" customWidth="1"/>
    <col min="51" max="51" width="3.85546875" style="556" customWidth="1"/>
    <col min="52" max="59" width="6.140625" style="556" customWidth="1"/>
    <col min="60" max="16384" width="9.140625" style="556"/>
  </cols>
  <sheetData>
    <row r="1" spans="1:59">
      <c r="A1" s="147" t="s">
        <v>619</v>
      </c>
      <c r="V1" s="641" t="s">
        <v>762</v>
      </c>
      <c r="AI1" s="127"/>
    </row>
    <row r="2" spans="1:59">
      <c r="A2" s="103"/>
    </row>
    <row r="3" spans="1:59">
      <c r="A3" s="103"/>
      <c r="M3" s="149" t="s">
        <v>200</v>
      </c>
      <c r="P3" s="45">
        <v>0.2</v>
      </c>
      <c r="Q3" s="45">
        <v>0.2</v>
      </c>
      <c r="R3" s="45">
        <v>0.2</v>
      </c>
      <c r="S3" s="45">
        <v>0.2</v>
      </c>
      <c r="T3" s="45">
        <v>0.1</v>
      </c>
      <c r="U3" s="45">
        <v>0.05</v>
      </c>
      <c r="V3" s="45">
        <v>0.04</v>
      </c>
      <c r="W3" s="45">
        <v>0.01</v>
      </c>
      <c r="X3" s="45"/>
      <c r="Y3" s="45"/>
      <c r="Z3" s="45"/>
      <c r="AA3" s="45"/>
      <c r="AB3" s="45"/>
      <c r="AC3" s="45"/>
      <c r="AD3" s="45"/>
      <c r="AE3" s="45"/>
      <c r="AF3" s="45"/>
    </row>
    <row r="4" spans="1:59">
      <c r="A4" s="103"/>
      <c r="F4" s="148"/>
      <c r="G4" s="148"/>
      <c r="H4" s="148"/>
      <c r="I4" s="148"/>
      <c r="J4" s="148"/>
      <c r="K4" s="148"/>
      <c r="L4" s="148"/>
      <c r="M4" s="149" t="s">
        <v>203</v>
      </c>
      <c r="N4" s="148"/>
      <c r="O4" s="556">
        <v>0</v>
      </c>
      <c r="P4" s="45">
        <v>0.2</v>
      </c>
      <c r="Q4" s="45">
        <f>P4+Q3</f>
        <v>0.4</v>
      </c>
      <c r="R4" s="45">
        <f t="shared" ref="R4:W4" si="0">Q4+R3</f>
        <v>0.60000000000000009</v>
      </c>
      <c r="S4" s="45">
        <f t="shared" si="0"/>
        <v>0.8</v>
      </c>
      <c r="T4" s="45">
        <f t="shared" si="0"/>
        <v>0.9</v>
      </c>
      <c r="U4" s="45">
        <f t="shared" si="0"/>
        <v>0.95000000000000007</v>
      </c>
      <c r="V4" s="45">
        <f t="shared" si="0"/>
        <v>0.9900000000000001</v>
      </c>
      <c r="W4" s="45">
        <f t="shared" si="0"/>
        <v>1</v>
      </c>
      <c r="X4" s="45"/>
      <c r="Y4" s="45"/>
      <c r="Z4" s="45"/>
      <c r="AA4" s="45"/>
      <c r="AB4" s="45"/>
      <c r="AC4" s="45"/>
      <c r="AD4" s="45"/>
      <c r="AE4" s="45"/>
      <c r="AF4" s="45"/>
      <c r="AG4" s="45"/>
      <c r="AW4" s="44"/>
    </row>
    <row r="6" spans="1:59" ht="15" customHeight="1">
      <c r="A6" s="144"/>
      <c r="B6" s="729" t="s">
        <v>281</v>
      </c>
      <c r="C6" s="486"/>
      <c r="D6" s="733" t="s">
        <v>590</v>
      </c>
      <c r="E6" s="733" t="s">
        <v>341</v>
      </c>
      <c r="F6" s="487"/>
      <c r="G6" s="731" t="s">
        <v>620</v>
      </c>
      <c r="H6" s="731"/>
      <c r="I6" s="731"/>
      <c r="J6" s="731"/>
      <c r="K6" s="731"/>
      <c r="L6" s="731"/>
      <c r="M6" s="731"/>
      <c r="N6" s="731"/>
      <c r="O6" s="486"/>
      <c r="P6" s="731" t="s">
        <v>621</v>
      </c>
      <c r="Q6" s="731"/>
      <c r="R6" s="731"/>
      <c r="S6" s="731"/>
      <c r="T6" s="731"/>
      <c r="U6" s="731"/>
      <c r="V6" s="731"/>
      <c r="W6" s="731"/>
      <c r="X6" s="485"/>
      <c r="Y6" s="731" t="s">
        <v>348</v>
      </c>
      <c r="Z6" s="731"/>
      <c r="AA6" s="731"/>
      <c r="AB6" s="731"/>
      <c r="AC6" s="731"/>
      <c r="AD6" s="731"/>
      <c r="AE6" s="731"/>
      <c r="AF6" s="731"/>
      <c r="AG6" s="134"/>
      <c r="AH6" s="731" t="s">
        <v>347</v>
      </c>
      <c r="AI6" s="731"/>
      <c r="AJ6" s="731"/>
      <c r="AK6" s="731"/>
      <c r="AL6" s="731"/>
      <c r="AM6" s="731"/>
      <c r="AN6" s="731"/>
      <c r="AO6" s="731"/>
      <c r="AP6" s="485"/>
      <c r="AQ6" s="731" t="s">
        <v>622</v>
      </c>
      <c r="AR6" s="731"/>
      <c r="AS6" s="731"/>
      <c r="AT6" s="731"/>
      <c r="AU6" s="731"/>
      <c r="AV6" s="731"/>
      <c r="AW6" s="731"/>
      <c r="AX6" s="731"/>
      <c r="AY6" s="134"/>
      <c r="AZ6" s="731" t="s">
        <v>349</v>
      </c>
      <c r="BA6" s="731"/>
      <c r="BB6" s="731"/>
      <c r="BC6" s="731"/>
      <c r="BD6" s="731"/>
      <c r="BE6" s="731"/>
      <c r="BF6" s="731"/>
      <c r="BG6" s="731"/>
    </row>
    <row r="7" spans="1:59" ht="24.75" customHeight="1">
      <c r="A7" s="53"/>
      <c r="B7" s="730"/>
      <c r="C7" s="6"/>
      <c r="D7" s="734"/>
      <c r="E7" s="734"/>
      <c r="F7" s="488"/>
      <c r="G7" s="6" t="s">
        <v>158</v>
      </c>
      <c r="H7" s="6" t="s">
        <v>159</v>
      </c>
      <c r="I7" s="6" t="s">
        <v>160</v>
      </c>
      <c r="J7" s="6" t="s">
        <v>161</v>
      </c>
      <c r="K7" s="51" t="s">
        <v>33</v>
      </c>
      <c r="L7" s="51" t="s">
        <v>51</v>
      </c>
      <c r="M7" s="51" t="s">
        <v>52</v>
      </c>
      <c r="N7" s="51" t="s">
        <v>28</v>
      </c>
      <c r="O7" s="6"/>
      <c r="P7" s="6" t="s">
        <v>158</v>
      </c>
      <c r="Q7" s="6" t="s">
        <v>159</v>
      </c>
      <c r="R7" s="6" t="s">
        <v>160</v>
      </c>
      <c r="S7" s="6" t="s">
        <v>161</v>
      </c>
      <c r="T7" s="51" t="s">
        <v>33</v>
      </c>
      <c r="U7" s="51" t="s">
        <v>51</v>
      </c>
      <c r="V7" s="51" t="s">
        <v>52</v>
      </c>
      <c r="W7" s="51" t="s">
        <v>28</v>
      </c>
      <c r="X7" s="51"/>
      <c r="Y7" s="6" t="s">
        <v>158</v>
      </c>
      <c r="Z7" s="6" t="s">
        <v>159</v>
      </c>
      <c r="AA7" s="6" t="s">
        <v>160</v>
      </c>
      <c r="AB7" s="6" t="s">
        <v>161</v>
      </c>
      <c r="AC7" s="51" t="s">
        <v>33</v>
      </c>
      <c r="AD7" s="51" t="s">
        <v>51</v>
      </c>
      <c r="AE7" s="51" t="s">
        <v>52</v>
      </c>
      <c r="AF7" s="51" t="s">
        <v>28</v>
      </c>
      <c r="AG7" s="5"/>
      <c r="AH7" s="6" t="s">
        <v>158</v>
      </c>
      <c r="AI7" s="6" t="s">
        <v>159</v>
      </c>
      <c r="AJ7" s="6" t="s">
        <v>160</v>
      </c>
      <c r="AK7" s="6" t="s">
        <v>161</v>
      </c>
      <c r="AL7" s="51" t="s">
        <v>33</v>
      </c>
      <c r="AM7" s="51" t="s">
        <v>51</v>
      </c>
      <c r="AN7" s="51" t="s">
        <v>52</v>
      </c>
      <c r="AO7" s="51" t="s">
        <v>28</v>
      </c>
      <c r="AP7" s="51"/>
      <c r="AQ7" s="6" t="s">
        <v>158</v>
      </c>
      <c r="AR7" s="6" t="s">
        <v>159</v>
      </c>
      <c r="AS7" s="6" t="s">
        <v>160</v>
      </c>
      <c r="AT7" s="6" t="s">
        <v>161</v>
      </c>
      <c r="AU7" s="51" t="s">
        <v>33</v>
      </c>
      <c r="AV7" s="51" t="s">
        <v>51</v>
      </c>
      <c r="AW7" s="51" t="s">
        <v>52</v>
      </c>
      <c r="AX7" s="51" t="s">
        <v>28</v>
      </c>
      <c r="AY7" s="5"/>
      <c r="AZ7" s="6" t="s">
        <v>158</v>
      </c>
      <c r="BA7" s="6" t="s">
        <v>159</v>
      </c>
      <c r="BB7" s="6" t="s">
        <v>160</v>
      </c>
      <c r="BC7" s="6" t="s">
        <v>161</v>
      </c>
      <c r="BD7" s="51" t="s">
        <v>33</v>
      </c>
      <c r="BE7" s="51" t="s">
        <v>51</v>
      </c>
      <c r="BF7" s="51" t="s">
        <v>52</v>
      </c>
      <c r="BG7" s="51" t="s">
        <v>28</v>
      </c>
    </row>
    <row r="8" spans="1:59">
      <c r="A8" s="46">
        <v>1979</v>
      </c>
      <c r="B8" s="141">
        <f>E8-D8</f>
        <v>3.5017740077925297E-2</v>
      </c>
      <c r="C8" s="46"/>
      <c r="D8" s="141">
        <f>SUM(G8:N8)*2</f>
        <v>0.44135573948339085</v>
      </c>
      <c r="E8" s="141">
        <f>SUM(Y8:AF8)*2</f>
        <v>0.47637347956131615</v>
      </c>
      <c r="F8" s="46"/>
      <c r="G8" s="157">
        <f>(P$4-P8)*P$3</f>
        <v>3.332885273836677E-2</v>
      </c>
      <c r="H8" s="157">
        <f t="shared" ref="H8:N23" si="1">(Q$4-Q8)*Q$3</f>
        <v>5.0771526700994378E-2</v>
      </c>
      <c r="I8" s="157">
        <f t="shared" si="1"/>
        <v>5.7161772410471906E-2</v>
      </c>
      <c r="J8" s="157">
        <f t="shared" si="1"/>
        <v>5.0334615771341462E-2</v>
      </c>
      <c r="K8" s="157">
        <f t="shared" si="1"/>
        <v>1.9312352153596193E-2</v>
      </c>
      <c r="L8" s="157">
        <f t="shared" si="1"/>
        <v>7.1051872588813632E-3</v>
      </c>
      <c r="M8" s="157">
        <f t="shared" si="1"/>
        <v>2.6635627080433678E-3</v>
      </c>
      <c r="N8" s="157">
        <f t="shared" si="1"/>
        <v>0</v>
      </c>
      <c r="O8" s="46"/>
      <c r="P8" s="154">
        <f>AQ8/SUM($AQ8:$AX8)</f>
        <v>3.3355736308166156E-2</v>
      </c>
      <c r="Q8" s="154">
        <f t="shared" ref="Q8:V8" si="2">P8+AR8/SUM($AQ8:$AX8)</f>
        <v>0.14614236649502815</v>
      </c>
      <c r="R8" s="154">
        <f t="shared" si="2"/>
        <v>0.31419113794764059</v>
      </c>
      <c r="S8" s="154">
        <f t="shared" si="2"/>
        <v>0.54832692114329273</v>
      </c>
      <c r="T8" s="154">
        <f t="shared" si="2"/>
        <v>0.70687647846403812</v>
      </c>
      <c r="U8" s="154">
        <f t="shared" si="2"/>
        <v>0.80789625482237282</v>
      </c>
      <c r="V8" s="154">
        <f t="shared" si="2"/>
        <v>0.92341093229891591</v>
      </c>
      <c r="W8" s="162">
        <v>1</v>
      </c>
      <c r="X8" s="154"/>
      <c r="Y8" s="142">
        <f>(P$4-AH8)*P$3</f>
        <v>3.4217347956131607E-2</v>
      </c>
      <c r="Z8" s="142">
        <f t="shared" ref="Z8:AF23" si="3">(Q$4-AI8)*Q$3</f>
        <v>5.3479561316051853E-2</v>
      </c>
      <c r="AA8" s="142">
        <f t="shared" si="3"/>
        <v>6.1375872382851471E-2</v>
      </c>
      <c r="AB8" s="142">
        <f t="shared" si="3"/>
        <v>5.5513459621136609E-2</v>
      </c>
      <c r="AC8" s="142">
        <f t="shared" si="3"/>
        <v>2.1904287138584257E-2</v>
      </c>
      <c r="AD8" s="142">
        <f t="shared" si="3"/>
        <v>8.2676969092721885E-3</v>
      </c>
      <c r="AE8" s="142">
        <f t="shared" si="3"/>
        <v>3.4285144566301141E-3</v>
      </c>
      <c r="AF8" s="142">
        <f>(W$4-AO8)*W$3</f>
        <v>0</v>
      </c>
      <c r="AH8" s="158">
        <f>AZ8/SUM($AZ8:$BG8)</f>
        <v>2.8913260219341971E-2</v>
      </c>
      <c r="AI8" s="158">
        <f t="shared" ref="AI8:AN8" si="4">AH8+BA8/SUM($AZ8:$BG8)</f>
        <v>0.13260219341974078</v>
      </c>
      <c r="AJ8" s="158">
        <f t="shared" si="4"/>
        <v>0.29312063808574274</v>
      </c>
      <c r="AK8" s="158">
        <f t="shared" si="4"/>
        <v>0.52243270189431701</v>
      </c>
      <c r="AL8" s="158">
        <f t="shared" si="4"/>
        <v>0.68095712861415747</v>
      </c>
      <c r="AM8" s="158">
        <f t="shared" si="4"/>
        <v>0.78464606181455632</v>
      </c>
      <c r="AN8" s="158">
        <f t="shared" si="4"/>
        <v>0.90428713858424725</v>
      </c>
      <c r="AO8" s="158">
        <v>1</v>
      </c>
      <c r="AP8" s="143"/>
      <c r="AQ8" s="152">
        <f>('B2-RdTr'!$E117-'B2-RdTr'!$D117)*'B2-RdTr'!$H117/(('B2-RdTr'!$E79-'B2-RdTr'!$D79)*'B2-RdTr'!$H79)*100</f>
        <v>3.3355736308166155</v>
      </c>
      <c r="AR8" s="152">
        <f>('B2-RdTr'!$E155-'B2-RdTr'!$D155)*'B2-RdTr'!$H155/(('B2-RdTr'!$E79-'B2-RdTr'!$D79)*'B2-RdTr'!$H79)*100</f>
        <v>11.278663018686199</v>
      </c>
      <c r="AS8" s="152">
        <f>('B2-RdTr'!$E193-'B2-RdTr'!$D193)*'B2-RdTr'!$H193/(('B2-RdTr'!$E79-'B2-RdTr'!$D79)*'B2-RdTr'!$H79)*100</f>
        <v>16.804877145261244</v>
      </c>
      <c r="AT8" s="152">
        <f>('B2-RdTr'!$E231-'B2-RdTr'!$D231)*'B2-RdTr'!$H231/(('B2-RdTr'!$E79-'B2-RdTr'!$D79)*'B2-RdTr'!$H79)*100</f>
        <v>23.413578319565211</v>
      </c>
      <c r="AU8" s="152">
        <f>('B2-RdTr'!$E307-'B2-RdTr'!$D307)*'B2-RdTr'!$H307/(('B2-RdTr'!$E79-'B2-RdTr'!$D79)*'B2-RdTr'!$H79)*100</f>
        <v>15.854955732074535</v>
      </c>
      <c r="AV8" s="152">
        <f>('B2-RdTr'!$E345-'B2-RdTr'!$D345)*'B2-RdTr'!$H345/(('B2-RdTr'!$E79-'B2-RdTr'!$D79)*'B2-RdTr'!$H79)*100</f>
        <v>10.101977635833471</v>
      </c>
      <c r="AW8" s="152">
        <f>('B2-RdTr'!$E383-'B2-RdTr'!$D383)*'B2-RdTr'!$H383/(('B2-RdTr'!$E79-'B2-RdTr'!$D79)*'B2-RdTr'!$H79)*100</f>
        <v>11.551467747654304</v>
      </c>
      <c r="AX8" s="152">
        <f>100-SUM(AQ8:AW8)</f>
        <v>7.6589067701084161</v>
      </c>
      <c r="AY8" s="44"/>
      <c r="AZ8" s="152">
        <f>'B2-RdTr'!$N117</f>
        <v>2.9</v>
      </c>
      <c r="BA8" s="152">
        <f>'B2-RdTr'!$N155</f>
        <v>10.4</v>
      </c>
      <c r="BB8" s="152">
        <f>'B2-RdTr'!$N193</f>
        <v>16.100000000000001</v>
      </c>
      <c r="BC8" s="152">
        <f>'B2-RdTr'!$N231</f>
        <v>23</v>
      </c>
      <c r="BD8" s="152">
        <f>'B2-RdTr'!$N307</f>
        <v>15.9</v>
      </c>
      <c r="BE8" s="152">
        <f>'B2-RdTr'!$N345</f>
        <v>10.4</v>
      </c>
      <c r="BF8" s="152">
        <f>'B2-RdTr'!$N383</f>
        <v>12</v>
      </c>
      <c r="BG8" s="152">
        <f>'B2-RdTr'!$N421</f>
        <v>9.6</v>
      </c>
    </row>
    <row r="9" spans="1:59">
      <c r="A9" s="46">
        <f>A8+1</f>
        <v>1980</v>
      </c>
      <c r="B9" s="141">
        <f t="shared" ref="B9:B45" si="5">E9-D9</f>
        <v>3.7866691955115828E-2</v>
      </c>
      <c r="C9" s="46"/>
      <c r="D9" s="141">
        <f t="shared" ref="D9:D45" si="6">SUM(G9:N9)*2</f>
        <v>0.44707035983771287</v>
      </c>
      <c r="E9" s="141">
        <f t="shared" ref="E9:E45" si="7">SUM(Y9:AF9)*2</f>
        <v>0.4849370517928287</v>
      </c>
      <c r="F9" s="46"/>
      <c r="G9" s="157">
        <f t="shared" ref="G9:N45" si="8">(P$4-P9)*P$3</f>
        <v>3.3694850252693503E-2</v>
      </c>
      <c r="H9" s="157">
        <f t="shared" si="1"/>
        <v>5.1583491774596313E-2</v>
      </c>
      <c r="I9" s="157">
        <f t="shared" si="1"/>
        <v>5.8026444794730563E-2</v>
      </c>
      <c r="J9" s="157">
        <f t="shared" si="1"/>
        <v>5.1118080721083793E-2</v>
      </c>
      <c r="K9" s="157">
        <f t="shared" si="1"/>
        <v>1.9457616285053436E-2</v>
      </c>
      <c r="L9" s="157">
        <f t="shared" si="1"/>
        <v>7.0637583892617485E-3</v>
      </c>
      <c r="M9" s="157">
        <f t="shared" si="1"/>
        <v>2.5909377014370796E-3</v>
      </c>
      <c r="N9" s="157">
        <f t="shared" si="1"/>
        <v>0</v>
      </c>
      <c r="O9" s="46"/>
      <c r="P9" s="154">
        <f t="shared" ref="P9:P45" si="9">AQ9/SUM($AQ9:$AX9)</f>
        <v>3.1525748736532494E-2</v>
      </c>
      <c r="Q9" s="154">
        <f t="shared" ref="Q9:Q45" si="10">P9+AR9/SUM($AQ9:$AX9)</f>
        <v>0.14208254112701846</v>
      </c>
      <c r="R9" s="154">
        <f t="shared" ref="R9:R45" si="11">Q9+AS9/SUM($AQ9:$AX9)</f>
        <v>0.3098677760263473</v>
      </c>
      <c r="S9" s="154">
        <f t="shared" ref="S9:S45" si="12">R9+AT9/SUM($AQ9:$AX9)</f>
        <v>0.54440959639458109</v>
      </c>
      <c r="T9" s="154">
        <f t="shared" ref="T9:T45" si="13">S9+AU9/SUM($AQ9:$AX9)</f>
        <v>0.70542383714946566</v>
      </c>
      <c r="U9" s="154">
        <f t="shared" ref="U9:U45" si="14">T9+AV9/SUM($AQ9:$AX9)</f>
        <v>0.8087248322147651</v>
      </c>
      <c r="V9" s="154">
        <f t="shared" ref="V9:V45" si="15">U9+AW9/SUM($AQ9:$AX9)</f>
        <v>0.92522655746407312</v>
      </c>
      <c r="W9" s="162">
        <v>1</v>
      </c>
      <c r="X9" s="154"/>
      <c r="Y9" s="142">
        <f>(P$4-AH9)*P$3</f>
        <v>3.4621513944223109E-2</v>
      </c>
      <c r="Z9" s="142">
        <f t="shared" si="3"/>
        <v>5.4501992031872518E-2</v>
      </c>
      <c r="AA9" s="142">
        <f t="shared" si="3"/>
        <v>6.2629482071713163E-2</v>
      </c>
      <c r="AB9" s="142">
        <f t="shared" si="3"/>
        <v>5.6613545816733057E-2</v>
      </c>
      <c r="AC9" s="142">
        <f t="shared" si="3"/>
        <v>2.2270916334661352E-2</v>
      </c>
      <c r="AD9" s="142">
        <f t="shared" si="3"/>
        <v>8.4063745019920307E-3</v>
      </c>
      <c r="AE9" s="142">
        <f t="shared" si="3"/>
        <v>3.4247011952191243E-3</v>
      </c>
      <c r="AF9" s="142">
        <f>(W$4-AO9)*W$3</f>
        <v>0</v>
      </c>
      <c r="AH9" s="158">
        <f t="shared" ref="AH9:AH45" si="16">AZ9/SUM($AZ9:$BG9)</f>
        <v>2.6892430278884466E-2</v>
      </c>
      <c r="AI9" s="158">
        <f t="shared" ref="AI9:AI45" si="17">AH9+BA9/SUM($AZ9:$BG9)</f>
        <v>0.12749003984063745</v>
      </c>
      <c r="AJ9" s="158">
        <f t="shared" ref="AJ9:AJ45" si="18">AI9+BB9/SUM($AZ9:$BG9)</f>
        <v>0.28685258964143429</v>
      </c>
      <c r="AK9" s="158">
        <f t="shared" ref="AK9:AK45" si="19">AJ9+BC9/SUM($AZ9:$BG9)</f>
        <v>0.51693227091633476</v>
      </c>
      <c r="AL9" s="158">
        <f t="shared" ref="AL9:AL45" si="20">AK9+BD9/SUM($AZ9:$BG9)</f>
        <v>0.67729083665338652</v>
      </c>
      <c r="AM9" s="158">
        <f t="shared" ref="AM9:AM45" si="21">AL9+BE9/SUM($AZ9:$BG9)</f>
        <v>0.78187250996015945</v>
      </c>
      <c r="AN9" s="158">
        <f t="shared" ref="AN9:AN45" si="22">AM9+BF9/SUM($AZ9:$BG9)</f>
        <v>0.904382470119522</v>
      </c>
      <c r="AO9" s="158">
        <v>1</v>
      </c>
      <c r="AP9" s="143"/>
      <c r="AQ9" s="152">
        <f>('B2-RdTr'!$E118-'B2-RdTr'!$D118)*'B2-RdTr'!$H118/(('B2-RdTr'!$E80-'B2-RdTr'!$D80)*'B2-RdTr'!$H80)*100</f>
        <v>3.1525748736532493</v>
      </c>
      <c r="AR9" s="152">
        <f>('B2-RdTr'!$E156-'B2-RdTr'!$D156)*'B2-RdTr'!$H156/(('B2-RdTr'!$E80-'B2-RdTr'!$D80)*'B2-RdTr'!$H80)*100</f>
        <v>11.055679239048596</v>
      </c>
      <c r="AS9" s="152">
        <f>('B2-RdTr'!$E194-'B2-RdTr'!$D194)*'B2-RdTr'!$H194/(('B2-RdTr'!$E80-'B2-RdTr'!$D80)*'B2-RdTr'!$H80)*100</f>
        <v>16.778523489932887</v>
      </c>
      <c r="AT9" s="152">
        <f>('B2-RdTr'!$E232-'B2-RdTr'!$D232)*'B2-RdTr'!$H232/(('B2-RdTr'!$E80-'B2-RdTr'!$D80)*'B2-RdTr'!$H80)*100</f>
        <v>23.454182036823379</v>
      </c>
      <c r="AU9" s="152">
        <f>('B2-RdTr'!$E308-'B2-RdTr'!$D308)*'B2-RdTr'!$H308/(('B2-RdTr'!$E80-'B2-RdTr'!$D80)*'B2-RdTr'!$H80)*100</f>
        <v>16.10142407548846</v>
      </c>
      <c r="AV9" s="152">
        <f>('B2-RdTr'!$E346-'B2-RdTr'!$D346)*'B2-RdTr'!$H346/(('B2-RdTr'!$E80-'B2-RdTr'!$D80)*'B2-RdTr'!$H80)*100</f>
        <v>10.330099506529947</v>
      </c>
      <c r="AW9" s="152">
        <f>('B2-RdTr'!$E384-'B2-RdTr'!$D384)*'B2-RdTr'!$H384/(('B2-RdTr'!$E80-'B2-RdTr'!$D80)*'B2-RdTr'!$H80)*100</f>
        <v>11.650172524930802</v>
      </c>
      <c r="AX9" s="152">
        <f t="shared" ref="AX9:AX45" si="23">100-SUM(AQ9:AW9)</f>
        <v>7.4773442535926904</v>
      </c>
      <c r="AY9" s="44"/>
      <c r="AZ9" s="152">
        <f>'B2-RdTr'!$N118</f>
        <v>2.7</v>
      </c>
      <c r="BA9" s="152">
        <f>'B2-RdTr'!$N156</f>
        <v>10.1</v>
      </c>
      <c r="BB9" s="152">
        <f>'B2-RdTr'!$N194</f>
        <v>16</v>
      </c>
      <c r="BC9" s="152">
        <f>'B2-RdTr'!$N232</f>
        <v>23.1</v>
      </c>
      <c r="BD9" s="152">
        <f>'B2-RdTr'!$N308</f>
        <v>16.100000000000001</v>
      </c>
      <c r="BE9" s="152">
        <f>'B2-RdTr'!$N346</f>
        <v>10.5</v>
      </c>
      <c r="BF9" s="152">
        <f>'B2-RdTr'!$N384</f>
        <v>12.3</v>
      </c>
      <c r="BG9" s="152">
        <f>'B2-RdTr'!$N422</f>
        <v>9.6</v>
      </c>
    </row>
    <row r="10" spans="1:59">
      <c r="A10" s="46">
        <f t="shared" ref="A10:A45" si="24">A9+1</f>
        <v>1981</v>
      </c>
      <c r="B10" s="141">
        <f t="shared" si="5"/>
        <v>3.3429469730236083E-2</v>
      </c>
      <c r="C10" s="46"/>
      <c r="D10" s="141">
        <f t="shared" si="6"/>
        <v>0.45507898798120672</v>
      </c>
      <c r="E10" s="141">
        <f t="shared" si="7"/>
        <v>0.4885084577114428</v>
      </c>
      <c r="F10" s="46"/>
      <c r="G10" s="157">
        <f t="shared" si="8"/>
        <v>3.4040904566713402E-2</v>
      </c>
      <c r="H10" s="157">
        <f t="shared" si="1"/>
        <v>5.2157710542932681E-2</v>
      </c>
      <c r="I10" s="157">
        <f t="shared" si="1"/>
        <v>5.8753384633496386E-2</v>
      </c>
      <c r="J10" s="157">
        <f t="shared" si="1"/>
        <v>5.2192600361741073E-2</v>
      </c>
      <c r="K10" s="157">
        <f t="shared" si="1"/>
        <v>2.0151331913481809E-2</v>
      </c>
      <c r="L10" s="157">
        <f t="shared" si="1"/>
        <v>7.4133640848914224E-3</v>
      </c>
      <c r="M10" s="157">
        <f t="shared" si="1"/>
        <v>2.830197887346553E-3</v>
      </c>
      <c r="N10" s="157">
        <f t="shared" si="1"/>
        <v>0</v>
      </c>
      <c r="O10" s="46"/>
      <c r="P10" s="154">
        <f t="shared" si="9"/>
        <v>2.9795477166432997E-2</v>
      </c>
      <c r="Q10" s="154">
        <f t="shared" si="10"/>
        <v>0.13921144728533666</v>
      </c>
      <c r="R10" s="154">
        <f t="shared" si="11"/>
        <v>0.30623307683251816</v>
      </c>
      <c r="S10" s="154">
        <f t="shared" si="12"/>
        <v>0.53903699819129469</v>
      </c>
      <c r="T10" s="154">
        <f t="shared" si="13"/>
        <v>0.69848668086518195</v>
      </c>
      <c r="U10" s="154">
        <f t="shared" si="14"/>
        <v>0.80173271830217163</v>
      </c>
      <c r="V10" s="154">
        <f t="shared" si="15"/>
        <v>0.91924505281633628</v>
      </c>
      <c r="W10" s="162">
        <v>1</v>
      </c>
      <c r="X10" s="154"/>
      <c r="Y10" s="142">
        <f t="shared" ref="Y10:AF45" si="25">(P$4-AH10)*P$3</f>
        <v>3.482587064676617E-2</v>
      </c>
      <c r="Z10" s="142">
        <f t="shared" si="3"/>
        <v>5.492537313432836E-2</v>
      </c>
      <c r="AA10" s="142">
        <f t="shared" si="3"/>
        <v>6.3084577114427873E-2</v>
      </c>
      <c r="AB10" s="142">
        <f t="shared" si="3"/>
        <v>5.7114427860696516E-2</v>
      </c>
      <c r="AC10" s="142">
        <f t="shared" si="3"/>
        <v>2.2437810945273629E-2</v>
      </c>
      <c r="AD10" s="142">
        <f t="shared" si="3"/>
        <v>8.4452736318407946E-3</v>
      </c>
      <c r="AE10" s="142">
        <f t="shared" si="3"/>
        <v>3.4208955223880588E-3</v>
      </c>
      <c r="AF10" s="142">
        <f t="shared" si="3"/>
        <v>0</v>
      </c>
      <c r="AH10" s="158">
        <f t="shared" si="16"/>
        <v>2.5870646766169157E-2</v>
      </c>
      <c r="AI10" s="158">
        <f t="shared" si="17"/>
        <v>0.12537313432835823</v>
      </c>
      <c r="AJ10" s="158">
        <f t="shared" si="18"/>
        <v>0.28457711442786071</v>
      </c>
      <c r="AK10" s="158">
        <f t="shared" si="19"/>
        <v>0.51442786069651747</v>
      </c>
      <c r="AL10" s="158">
        <f t="shared" si="20"/>
        <v>0.67562189054726374</v>
      </c>
      <c r="AM10" s="158">
        <f t="shared" si="21"/>
        <v>0.78109452736318419</v>
      </c>
      <c r="AN10" s="158">
        <f t="shared" si="22"/>
        <v>0.90447761194029863</v>
      </c>
      <c r="AO10" s="158">
        <v>1</v>
      </c>
      <c r="AP10" s="143"/>
      <c r="AQ10" s="152">
        <f>('B2-RdTr'!$E119-'B2-RdTr'!$D119)*'B2-RdTr'!$H119/(('B2-RdTr'!$E81-'B2-RdTr'!$D81)*'B2-RdTr'!$H81)*100</f>
        <v>2.9795477166432995</v>
      </c>
      <c r="AR10" s="152">
        <f>('B2-RdTr'!$E157-'B2-RdTr'!$D157)*'B2-RdTr'!$H157/(('B2-RdTr'!$E81-'B2-RdTr'!$D81)*'B2-RdTr'!$H81)*100</f>
        <v>10.941597011890366</v>
      </c>
      <c r="AS10" s="152">
        <f>('B2-RdTr'!$E195-'B2-RdTr'!$D195)*'B2-RdTr'!$H195/(('B2-RdTr'!$E81-'B2-RdTr'!$D81)*'B2-RdTr'!$H81)*100</f>
        <v>16.702162954718151</v>
      </c>
      <c r="AT10" s="152">
        <f>('B2-RdTr'!$E233-'B2-RdTr'!$D233)*'B2-RdTr'!$H233/(('B2-RdTr'!$E81-'B2-RdTr'!$D81)*'B2-RdTr'!$H81)*100</f>
        <v>23.280392135877651</v>
      </c>
      <c r="AU10" s="152">
        <f>('B2-RdTr'!$E309-'B2-RdTr'!$D309)*'B2-RdTr'!$H309/(('B2-RdTr'!$E81-'B2-RdTr'!$D81)*'B2-RdTr'!$H81)*100</f>
        <v>15.94496826738872</v>
      </c>
      <c r="AV10" s="152">
        <f>('B2-RdTr'!$E347-'B2-RdTr'!$D347)*'B2-RdTr'!$H347/(('B2-RdTr'!$E81-'B2-RdTr'!$D81)*'B2-RdTr'!$H81)*100</f>
        <v>10.324603743698965</v>
      </c>
      <c r="AW10" s="152">
        <f>('B2-RdTr'!$E385-'B2-RdTr'!$D385)*'B2-RdTr'!$H385/(('B2-RdTr'!$E81-'B2-RdTr'!$D81)*'B2-RdTr'!$H81)*100</f>
        <v>11.751233451416462</v>
      </c>
      <c r="AX10" s="152">
        <f t="shared" si="23"/>
        <v>8.0754947183663859</v>
      </c>
      <c r="AY10" s="44"/>
      <c r="AZ10" s="152">
        <f>'B2-RdTr'!$N119</f>
        <v>2.6</v>
      </c>
      <c r="BA10" s="152">
        <f>'B2-RdTr'!$N157</f>
        <v>10</v>
      </c>
      <c r="BB10" s="152">
        <f>'B2-RdTr'!$N195</f>
        <v>16</v>
      </c>
      <c r="BC10" s="152">
        <f>'B2-RdTr'!$N233</f>
        <v>23.1</v>
      </c>
      <c r="BD10" s="152">
        <f>'B2-RdTr'!$N309</f>
        <v>16.2</v>
      </c>
      <c r="BE10" s="152">
        <f>'B2-RdTr'!$N347</f>
        <v>10.6</v>
      </c>
      <c r="BF10" s="152">
        <f>'B2-RdTr'!$N385</f>
        <v>12.4</v>
      </c>
      <c r="BG10" s="152">
        <f>'B2-RdTr'!$N423</f>
        <v>9.6</v>
      </c>
    </row>
    <row r="11" spans="1:59">
      <c r="A11" s="46">
        <f t="shared" si="24"/>
        <v>1982</v>
      </c>
      <c r="B11" s="141">
        <f t="shared" si="5"/>
        <v>2.8081089380872726E-2</v>
      </c>
      <c r="C11" s="46"/>
      <c r="D11" s="141">
        <f t="shared" si="6"/>
        <v>0.47336816583263297</v>
      </c>
      <c r="E11" s="141">
        <f t="shared" si="7"/>
        <v>0.5014492552135057</v>
      </c>
      <c r="F11" s="46"/>
      <c r="G11" s="157">
        <f t="shared" si="8"/>
        <v>3.4626570196318728E-2</v>
      </c>
      <c r="H11" s="157">
        <f t="shared" si="1"/>
        <v>5.3883874211464892E-2</v>
      </c>
      <c r="I11" s="157">
        <f t="shared" si="1"/>
        <v>6.1250500813084786E-2</v>
      </c>
      <c r="J11" s="157">
        <f t="shared" si="1"/>
        <v>5.4844178391584779E-2</v>
      </c>
      <c r="K11" s="157">
        <f t="shared" si="1"/>
        <v>2.1173486889826367E-2</v>
      </c>
      <c r="L11" s="157">
        <f t="shared" si="1"/>
        <v>7.813476258186498E-3</v>
      </c>
      <c r="M11" s="157">
        <f t="shared" si="1"/>
        <v>3.091996155850416E-3</v>
      </c>
      <c r="N11" s="157">
        <f t="shared" si="1"/>
        <v>0</v>
      </c>
      <c r="O11" s="46"/>
      <c r="P11" s="154">
        <f t="shared" si="9"/>
        <v>2.6867149018406353E-2</v>
      </c>
      <c r="Q11" s="154">
        <f t="shared" si="10"/>
        <v>0.13058062894267558</v>
      </c>
      <c r="R11" s="154">
        <f t="shared" si="11"/>
        <v>0.29374749593457616</v>
      </c>
      <c r="S11" s="154">
        <f t="shared" si="12"/>
        <v>0.52577910804207617</v>
      </c>
      <c r="T11" s="154">
        <f t="shared" si="13"/>
        <v>0.68826513110173637</v>
      </c>
      <c r="U11" s="154">
        <f t="shared" si="14"/>
        <v>0.79373047483627013</v>
      </c>
      <c r="V11" s="154">
        <f t="shared" si="15"/>
        <v>0.9127000961037397</v>
      </c>
      <c r="W11" s="162">
        <v>1</v>
      </c>
      <c r="X11" s="154"/>
      <c r="Y11" s="142">
        <f t="shared" si="25"/>
        <v>3.5233366434955317E-2</v>
      </c>
      <c r="Z11" s="142">
        <f t="shared" si="3"/>
        <v>5.6166832174776575E-2</v>
      </c>
      <c r="AA11" s="142">
        <f t="shared" si="3"/>
        <v>6.4786494538232403E-2</v>
      </c>
      <c r="AB11" s="142">
        <f t="shared" si="3"/>
        <v>5.8907646474677278E-2</v>
      </c>
      <c r="AC11" s="142">
        <f t="shared" si="3"/>
        <v>2.3167825223435957E-2</v>
      </c>
      <c r="AD11" s="142">
        <f t="shared" si="3"/>
        <v>8.7711022840119227E-3</v>
      </c>
      <c r="AE11" s="142">
        <f t="shared" si="3"/>
        <v>3.6913604766633636E-3</v>
      </c>
      <c r="AF11" s="142">
        <f t="shared" si="3"/>
        <v>0</v>
      </c>
      <c r="AH11" s="158">
        <f t="shared" si="16"/>
        <v>2.383316782522343E-2</v>
      </c>
      <c r="AI11" s="158">
        <f t="shared" si="17"/>
        <v>0.11916583912611715</v>
      </c>
      <c r="AJ11" s="158">
        <f t="shared" si="18"/>
        <v>0.2760675273088381</v>
      </c>
      <c r="AK11" s="158">
        <f t="shared" si="19"/>
        <v>0.50546176762661366</v>
      </c>
      <c r="AL11" s="158">
        <f t="shared" si="20"/>
        <v>0.66832174776564046</v>
      </c>
      <c r="AM11" s="158">
        <f t="shared" si="21"/>
        <v>0.77457795431976162</v>
      </c>
      <c r="AN11" s="158">
        <f t="shared" si="22"/>
        <v>0.89771598808341602</v>
      </c>
      <c r="AO11" s="158">
        <v>1</v>
      </c>
      <c r="AP11" s="143"/>
      <c r="AQ11" s="152">
        <f>('B2-RdTr'!$E120-'B2-RdTr'!$D120)*'B2-RdTr'!$H120/(('B2-RdTr'!$E82-'B2-RdTr'!$D82)*'B2-RdTr'!$H82)*100</f>
        <v>2.6867149018406353</v>
      </c>
      <c r="AR11" s="152">
        <f>('B2-RdTr'!$E158-'B2-RdTr'!$D158)*'B2-RdTr'!$H158/(('B2-RdTr'!$E82-'B2-RdTr'!$D82)*'B2-RdTr'!$H82)*100</f>
        <v>10.371347992426921</v>
      </c>
      <c r="AS11" s="152">
        <f>('B2-RdTr'!$E196-'B2-RdTr'!$D196)*'B2-RdTr'!$H196/(('B2-RdTr'!$E82-'B2-RdTr'!$D82)*'B2-RdTr'!$H82)*100</f>
        <v>16.316686699190058</v>
      </c>
      <c r="AT11" s="152">
        <f>('B2-RdTr'!$E234-'B2-RdTr'!$D234)*'B2-RdTr'!$H234/(('B2-RdTr'!$E82-'B2-RdTr'!$D82)*'B2-RdTr'!$H82)*100</f>
        <v>23.20316121075</v>
      </c>
      <c r="AU11" s="152">
        <f>('B2-RdTr'!$E310-'B2-RdTr'!$D310)*'B2-RdTr'!$H310/(('B2-RdTr'!$E82-'B2-RdTr'!$D82)*'B2-RdTr'!$H82)*100</f>
        <v>16.248602305966024</v>
      </c>
      <c r="AV11" s="152">
        <f>('B2-RdTr'!$E348-'B2-RdTr'!$D348)*'B2-RdTr'!$H348/(('B2-RdTr'!$E82-'B2-RdTr'!$D82)*'B2-RdTr'!$H82)*100</f>
        <v>10.546534373453371</v>
      </c>
      <c r="AW11" s="152">
        <f>('B2-RdTr'!$E386-'B2-RdTr'!$D386)*'B2-RdTr'!$H386/(('B2-RdTr'!$E82-'B2-RdTr'!$D82)*'B2-RdTr'!$H82)*100</f>
        <v>11.896962126746955</v>
      </c>
      <c r="AX11" s="152">
        <f t="shared" si="23"/>
        <v>8.7299903896260389</v>
      </c>
      <c r="AY11" s="44"/>
      <c r="AZ11" s="152">
        <f>'B2-RdTr'!$N120</f>
        <v>2.4</v>
      </c>
      <c r="BA11" s="152">
        <f>'B2-RdTr'!$N158</f>
        <v>9.6</v>
      </c>
      <c r="BB11" s="152">
        <f>'B2-RdTr'!$N196</f>
        <v>15.8</v>
      </c>
      <c r="BC11" s="152">
        <f>'B2-RdTr'!$N234</f>
        <v>23.1</v>
      </c>
      <c r="BD11" s="152">
        <f>'B2-RdTr'!$N310</f>
        <v>16.399999999999999</v>
      </c>
      <c r="BE11" s="152">
        <f>'B2-RdTr'!$N348</f>
        <v>10.7</v>
      </c>
      <c r="BF11" s="152">
        <f>'B2-RdTr'!$N386</f>
        <v>12.4</v>
      </c>
      <c r="BG11" s="152">
        <f>'B2-RdTr'!$N424</f>
        <v>10.3</v>
      </c>
    </row>
    <row r="12" spans="1:59">
      <c r="A12" s="46">
        <f t="shared" si="24"/>
        <v>1983</v>
      </c>
      <c r="B12" s="141">
        <f t="shared" si="5"/>
        <v>2.6461155993764529E-2</v>
      </c>
      <c r="C12" s="46"/>
      <c r="D12" s="141">
        <f t="shared" si="6"/>
        <v>0.48938566940306083</v>
      </c>
      <c r="E12" s="141">
        <f t="shared" si="7"/>
        <v>0.51584682539682536</v>
      </c>
      <c r="F12" s="46"/>
      <c r="G12" s="157">
        <f t="shared" si="8"/>
        <v>3.5160636464984296E-2</v>
      </c>
      <c r="H12" s="157">
        <f t="shared" si="1"/>
        <v>5.5308604439039226E-2</v>
      </c>
      <c r="I12" s="157">
        <f t="shared" si="1"/>
        <v>6.3321678321678343E-2</v>
      </c>
      <c r="J12" s="157">
        <f t="shared" si="1"/>
        <v>5.6981351981351992E-2</v>
      </c>
      <c r="K12" s="157">
        <f t="shared" si="1"/>
        <v>2.2213692104996453E-2</v>
      </c>
      <c r="L12" s="157">
        <f t="shared" si="1"/>
        <v>8.3107834194790734E-3</v>
      </c>
      <c r="M12" s="157">
        <f t="shared" si="1"/>
        <v>3.396087970001016E-3</v>
      </c>
      <c r="N12" s="157">
        <f t="shared" si="1"/>
        <v>0</v>
      </c>
      <c r="O12" s="46"/>
      <c r="P12" s="154">
        <f t="shared" si="9"/>
        <v>2.4196817675078544E-2</v>
      </c>
      <c r="Q12" s="154">
        <f t="shared" si="10"/>
        <v>0.1234569778048039</v>
      </c>
      <c r="R12" s="154">
        <f t="shared" si="11"/>
        <v>0.28339160839160837</v>
      </c>
      <c r="S12" s="154">
        <f t="shared" si="12"/>
        <v>0.51509324009324009</v>
      </c>
      <c r="T12" s="154">
        <f t="shared" si="13"/>
        <v>0.6778630789500355</v>
      </c>
      <c r="U12" s="154">
        <f t="shared" si="14"/>
        <v>0.78378433161041861</v>
      </c>
      <c r="V12" s="154">
        <f t="shared" si="15"/>
        <v>0.9050978007499747</v>
      </c>
      <c r="W12" s="162">
        <v>1</v>
      </c>
      <c r="X12" s="154"/>
      <c r="Y12" s="142">
        <f t="shared" si="25"/>
        <v>3.5634920634920637E-2</v>
      </c>
      <c r="Z12" s="142">
        <f t="shared" si="3"/>
        <v>5.7182539682539682E-2</v>
      </c>
      <c r="AA12" s="142">
        <f t="shared" si="3"/>
        <v>6.6626984126984132E-2</v>
      </c>
      <c r="AB12" s="142">
        <f t="shared" si="3"/>
        <v>6.0992063492063479E-2</v>
      </c>
      <c r="AC12" s="142">
        <f t="shared" si="3"/>
        <v>2.4226190476190471E-2</v>
      </c>
      <c r="AD12" s="142">
        <f t="shared" si="3"/>
        <v>9.2559523809523769E-3</v>
      </c>
      <c r="AE12" s="142">
        <f t="shared" si="3"/>
        <v>4.0047619047619025E-3</v>
      </c>
      <c r="AF12" s="142">
        <f t="shared" si="3"/>
        <v>0</v>
      </c>
      <c r="AH12" s="158">
        <f t="shared" si="16"/>
        <v>2.1825396825396831E-2</v>
      </c>
      <c r="AI12" s="158">
        <f t="shared" si="17"/>
        <v>0.11408730158730161</v>
      </c>
      <c r="AJ12" s="158">
        <f t="shared" si="18"/>
        <v>0.26686507936507942</v>
      </c>
      <c r="AK12" s="158">
        <f t="shared" si="19"/>
        <v>0.49503968253968267</v>
      </c>
      <c r="AL12" s="158">
        <f t="shared" si="20"/>
        <v>0.65773809523809534</v>
      </c>
      <c r="AM12" s="158">
        <f t="shared" si="21"/>
        <v>0.76488095238095255</v>
      </c>
      <c r="AN12" s="158">
        <f t="shared" si="22"/>
        <v>0.88988095238095255</v>
      </c>
      <c r="AO12" s="158">
        <v>1</v>
      </c>
      <c r="AP12" s="143"/>
      <c r="AQ12" s="152">
        <f>('B2-RdTr'!$E121-'B2-RdTr'!$D121)*'B2-RdTr'!$H121/(('B2-RdTr'!$E83-'B2-RdTr'!$D83)*'B2-RdTr'!$H83)*100</f>
        <v>2.4196817675078544</v>
      </c>
      <c r="AR12" s="152">
        <f>('B2-RdTr'!$E159-'B2-RdTr'!$D159)*'B2-RdTr'!$H159/(('B2-RdTr'!$E83-'B2-RdTr'!$D83)*'B2-RdTr'!$H83)*100</f>
        <v>9.9260160129725357</v>
      </c>
      <c r="AS12" s="152">
        <f>('B2-RdTr'!$E197-'B2-RdTr'!$D197)*'B2-RdTr'!$H197/(('B2-RdTr'!$E83-'B2-RdTr'!$D83)*'B2-RdTr'!$H83)*100</f>
        <v>15.993463058680449</v>
      </c>
      <c r="AT12" s="152">
        <f>('B2-RdTr'!$E235-'B2-RdTr'!$D235)*'B2-RdTr'!$H235/(('B2-RdTr'!$E83-'B2-RdTr'!$D83)*'B2-RdTr'!$H83)*100</f>
        <v>23.170163170163175</v>
      </c>
      <c r="AU12" s="152">
        <f>('B2-RdTr'!$E311-'B2-RdTr'!$D311)*'B2-RdTr'!$H311/(('B2-RdTr'!$E83-'B2-RdTr'!$D83)*'B2-RdTr'!$H83)*100</f>
        <v>16.276983885679538</v>
      </c>
      <c r="AV12" s="152">
        <f>('B2-RdTr'!$E349-'B2-RdTr'!$D349)*'B2-RdTr'!$H349/(('B2-RdTr'!$E83-'B2-RdTr'!$D83)*'B2-RdTr'!$H83)*100</f>
        <v>10.592125266038309</v>
      </c>
      <c r="AW12" s="152">
        <f>('B2-RdTr'!$E387-'B2-RdTr'!$D387)*'B2-RdTr'!$H387/(('B2-RdTr'!$E83-'B2-RdTr'!$D83)*'B2-RdTr'!$H83)*100</f>
        <v>12.13134691395561</v>
      </c>
      <c r="AX12" s="152">
        <f t="shared" si="23"/>
        <v>9.4902199250025205</v>
      </c>
      <c r="AY12" s="44"/>
      <c r="AZ12" s="152">
        <f>'B2-RdTr'!$N121</f>
        <v>2.2000000000000002</v>
      </c>
      <c r="BA12" s="152">
        <f>'B2-RdTr'!$N159</f>
        <v>9.3000000000000007</v>
      </c>
      <c r="BB12" s="152">
        <f>'B2-RdTr'!$N197</f>
        <v>15.4</v>
      </c>
      <c r="BC12" s="152">
        <f>'B2-RdTr'!$N235</f>
        <v>23</v>
      </c>
      <c r="BD12" s="152">
        <f>'B2-RdTr'!$N311</f>
        <v>16.399999999999999</v>
      </c>
      <c r="BE12" s="152">
        <f>'B2-RdTr'!$N349</f>
        <v>10.8</v>
      </c>
      <c r="BF12" s="152">
        <f>'B2-RdTr'!$N387</f>
        <v>12.6</v>
      </c>
      <c r="BG12" s="152">
        <f>'B2-RdTr'!$N425</f>
        <v>11.1</v>
      </c>
    </row>
    <row r="13" spans="1:59">
      <c r="A13" s="46">
        <f t="shared" si="24"/>
        <v>1984</v>
      </c>
      <c r="B13" s="141">
        <f t="shared" si="5"/>
        <v>2.6399363074051108E-2</v>
      </c>
      <c r="C13" s="46"/>
      <c r="D13" s="141">
        <f t="shared" si="6"/>
        <v>0.48204666867198087</v>
      </c>
      <c r="E13" s="141">
        <f t="shared" si="7"/>
        <v>0.50844603174603198</v>
      </c>
      <c r="F13" s="46"/>
      <c r="G13" s="157">
        <f t="shared" si="8"/>
        <v>3.4294724770642208E-2</v>
      </c>
      <c r="H13" s="157">
        <f t="shared" si="1"/>
        <v>5.4160118062866608E-2</v>
      </c>
      <c r="I13" s="157">
        <f t="shared" si="1"/>
        <v>6.2303353887802698E-2</v>
      </c>
      <c r="J13" s="157">
        <f t="shared" si="1"/>
        <v>5.6337795157166505E-2</v>
      </c>
      <c r="K13" s="157">
        <f t="shared" si="1"/>
        <v>2.21223116258084E-2</v>
      </c>
      <c r="L13" s="157">
        <f t="shared" si="1"/>
        <v>8.386035494059264E-3</v>
      </c>
      <c r="M13" s="157">
        <f t="shared" si="1"/>
        <v>3.4189953376447635E-3</v>
      </c>
      <c r="N13" s="157">
        <f t="shared" si="1"/>
        <v>0</v>
      </c>
      <c r="O13" s="46"/>
      <c r="P13" s="154">
        <f t="shared" si="9"/>
        <v>2.8526376146788986E-2</v>
      </c>
      <c r="Q13" s="154">
        <f t="shared" si="10"/>
        <v>0.12919940968566701</v>
      </c>
      <c r="R13" s="154">
        <f t="shared" si="11"/>
        <v>0.28848323056098663</v>
      </c>
      <c r="S13" s="154">
        <f t="shared" si="12"/>
        <v>0.51831102421416753</v>
      </c>
      <c r="T13" s="154">
        <f t="shared" si="13"/>
        <v>0.67877688374191603</v>
      </c>
      <c r="U13" s="154">
        <f t="shared" si="14"/>
        <v>0.78227929011881481</v>
      </c>
      <c r="V13" s="154">
        <f t="shared" si="15"/>
        <v>0.90452511655888101</v>
      </c>
      <c r="W13" s="162">
        <v>1</v>
      </c>
      <c r="X13" s="154"/>
      <c r="Y13" s="142">
        <f t="shared" si="25"/>
        <v>3.4841269841269847E-2</v>
      </c>
      <c r="Z13" s="142">
        <f t="shared" si="3"/>
        <v>5.5992063492063496E-2</v>
      </c>
      <c r="AA13" s="142">
        <f t="shared" si="3"/>
        <v>6.5436507936507959E-2</v>
      </c>
      <c r="AB13" s="142">
        <f t="shared" si="3"/>
        <v>6.0396825396825421E-2</v>
      </c>
      <c r="AC13" s="142">
        <f t="shared" si="3"/>
        <v>2.4126984126984143E-2</v>
      </c>
      <c r="AD13" s="142">
        <f t="shared" si="3"/>
        <v>9.3055555555555669E-3</v>
      </c>
      <c r="AE13" s="142">
        <f t="shared" si="3"/>
        <v>4.1238095238095339E-3</v>
      </c>
      <c r="AF13" s="142">
        <f t="shared" si="3"/>
        <v>0</v>
      </c>
      <c r="AH13" s="158">
        <f t="shared" si="16"/>
        <v>2.5793650793650792E-2</v>
      </c>
      <c r="AI13" s="158">
        <f t="shared" si="17"/>
        <v>0.12003968253968253</v>
      </c>
      <c r="AJ13" s="158">
        <f t="shared" si="18"/>
        <v>0.27281746031746029</v>
      </c>
      <c r="AK13" s="158">
        <f t="shared" si="19"/>
        <v>0.49801587301587297</v>
      </c>
      <c r="AL13" s="158">
        <f t="shared" si="20"/>
        <v>0.65873015873015861</v>
      </c>
      <c r="AM13" s="158">
        <f t="shared" si="21"/>
        <v>0.76388888888888873</v>
      </c>
      <c r="AN13" s="158">
        <f t="shared" si="22"/>
        <v>0.88690476190476175</v>
      </c>
      <c r="AO13" s="158">
        <v>1</v>
      </c>
      <c r="AP13" s="143"/>
      <c r="AQ13" s="152">
        <f>('B2-RdTr'!$E122-'B2-RdTr'!$D122)*'B2-RdTr'!$H122/(('B2-RdTr'!$E84-'B2-RdTr'!$D84)*'B2-RdTr'!$H84)*100</f>
        <v>2.8526376146788985</v>
      </c>
      <c r="AR13" s="152">
        <f>('B2-RdTr'!$E160-'B2-RdTr'!$D160)*'B2-RdTr'!$H160/(('B2-RdTr'!$E84-'B2-RdTr'!$D84)*'B2-RdTr'!$H84)*100</f>
        <v>10.067303353887802</v>
      </c>
      <c r="AS13" s="152">
        <f>('B2-RdTr'!$E198-'B2-RdTr'!$D198)*'B2-RdTr'!$H198/(('B2-RdTr'!$E84-'B2-RdTr'!$D84)*'B2-RdTr'!$H84)*100</f>
        <v>15.928382087531961</v>
      </c>
      <c r="AT13" s="152">
        <f>('B2-RdTr'!$E236-'B2-RdTr'!$D236)*'B2-RdTr'!$H236/(('B2-RdTr'!$E84-'B2-RdTr'!$D84)*'B2-RdTr'!$H84)*100</f>
        <v>22.982779365318091</v>
      </c>
      <c r="AU13" s="152">
        <f>('B2-RdTr'!$E312-'B2-RdTr'!$D312)*'B2-RdTr'!$H312/(('B2-RdTr'!$E84-'B2-RdTr'!$D84)*'B2-RdTr'!$H84)*100</f>
        <v>16.046585952774851</v>
      </c>
      <c r="AV13" s="152">
        <f>('B2-RdTr'!$E350-'B2-RdTr'!$D350)*'B2-RdTr'!$H350/(('B2-RdTr'!$E84-'B2-RdTr'!$D84)*'B2-RdTr'!$H84)*100</f>
        <v>10.350240637689879</v>
      </c>
      <c r="AW13" s="152">
        <f>('B2-RdTr'!$E388-'B2-RdTr'!$D388)*'B2-RdTr'!$H388/(('B2-RdTr'!$E84-'B2-RdTr'!$D84)*'B2-RdTr'!$H84)*100</f>
        <v>12.224582644006619</v>
      </c>
      <c r="AX13" s="152">
        <f t="shared" si="23"/>
        <v>9.5474883441118976</v>
      </c>
      <c r="AY13" s="44"/>
      <c r="AZ13" s="152">
        <f>'B2-RdTr'!$N122</f>
        <v>2.6</v>
      </c>
      <c r="BA13" s="152">
        <f>'B2-RdTr'!$N160</f>
        <v>9.5</v>
      </c>
      <c r="BB13" s="152">
        <f>'B2-RdTr'!$N198</f>
        <v>15.4</v>
      </c>
      <c r="BC13" s="152">
        <f>'B2-RdTr'!$N236</f>
        <v>22.7</v>
      </c>
      <c r="BD13" s="152">
        <f>'B2-RdTr'!$N312</f>
        <v>16.2</v>
      </c>
      <c r="BE13" s="152">
        <f>'B2-RdTr'!$N350</f>
        <v>10.6</v>
      </c>
      <c r="BF13" s="152">
        <f>'B2-RdTr'!$N388</f>
        <v>12.4</v>
      </c>
      <c r="BG13" s="152">
        <f>'B2-RdTr'!$N426</f>
        <v>11.4</v>
      </c>
    </row>
    <row r="14" spans="1:59">
      <c r="A14" s="46">
        <f t="shared" si="24"/>
        <v>1985</v>
      </c>
      <c r="B14" s="141">
        <f t="shared" si="5"/>
        <v>2.4656490154503996E-2</v>
      </c>
      <c r="C14" s="46"/>
      <c r="D14" s="141">
        <f t="shared" si="6"/>
        <v>0.49550180180180192</v>
      </c>
      <c r="E14" s="141">
        <f t="shared" si="7"/>
        <v>0.52015829195630592</v>
      </c>
      <c r="F14" s="46"/>
      <c r="G14" s="157">
        <f t="shared" si="8"/>
        <v>3.4721994721994727E-2</v>
      </c>
      <c r="H14" s="157">
        <f t="shared" si="1"/>
        <v>5.4959504959504968E-2</v>
      </c>
      <c r="I14" s="157">
        <f t="shared" si="1"/>
        <v>6.3661843661843673E-2</v>
      </c>
      <c r="J14" s="157">
        <f t="shared" si="1"/>
        <v>5.8343798343798353E-2</v>
      </c>
      <c r="K14" s="157">
        <f t="shared" si="1"/>
        <v>2.3277595777595774E-2</v>
      </c>
      <c r="L14" s="157">
        <f t="shared" si="1"/>
        <v>8.9324551824551852E-3</v>
      </c>
      <c r="M14" s="157">
        <f t="shared" si="1"/>
        <v>3.8537082537082545E-3</v>
      </c>
      <c r="N14" s="157">
        <f t="shared" si="1"/>
        <v>0</v>
      </c>
      <c r="O14" s="46"/>
      <c r="P14" s="154">
        <f t="shared" si="9"/>
        <v>2.639002639002639E-2</v>
      </c>
      <c r="Q14" s="154">
        <f t="shared" si="10"/>
        <v>0.12520247520247521</v>
      </c>
      <c r="R14" s="154">
        <f t="shared" si="11"/>
        <v>0.28169078169078171</v>
      </c>
      <c r="S14" s="154">
        <f t="shared" si="12"/>
        <v>0.50828100828100831</v>
      </c>
      <c r="T14" s="154">
        <f t="shared" si="13"/>
        <v>0.6672240422240423</v>
      </c>
      <c r="U14" s="154">
        <f t="shared" si="14"/>
        <v>0.77135089635089638</v>
      </c>
      <c r="V14" s="154">
        <f t="shared" si="15"/>
        <v>0.89365729365729374</v>
      </c>
      <c r="W14" s="162">
        <v>1</v>
      </c>
      <c r="X14" s="154"/>
      <c r="Y14" s="142">
        <f t="shared" si="25"/>
        <v>3.5233366434955317E-2</v>
      </c>
      <c r="Z14" s="142">
        <f t="shared" si="3"/>
        <v>5.6762661370407155E-2</v>
      </c>
      <c r="AA14" s="142">
        <f t="shared" si="3"/>
        <v>6.6772591857001004E-2</v>
      </c>
      <c r="AB14" s="142">
        <f t="shared" si="3"/>
        <v>6.2085402184707053E-2</v>
      </c>
      <c r="AC14" s="142">
        <f t="shared" si="3"/>
        <v>2.5054617676266135E-2</v>
      </c>
      <c r="AD14" s="142">
        <f t="shared" si="3"/>
        <v>9.7641509433962284E-3</v>
      </c>
      <c r="AE14" s="142">
        <f t="shared" si="3"/>
        <v>4.4063555114200615E-3</v>
      </c>
      <c r="AF14" s="142">
        <f t="shared" si="3"/>
        <v>0</v>
      </c>
      <c r="AH14" s="158">
        <f t="shared" si="16"/>
        <v>2.3833167825223437E-2</v>
      </c>
      <c r="AI14" s="158">
        <f t="shared" si="17"/>
        <v>0.11618669314796426</v>
      </c>
      <c r="AJ14" s="158">
        <f t="shared" si="18"/>
        <v>0.26613704071499505</v>
      </c>
      <c r="AK14" s="158">
        <f t="shared" si="19"/>
        <v>0.48957298907646479</v>
      </c>
      <c r="AL14" s="158">
        <f t="shared" si="20"/>
        <v>0.64945382323733869</v>
      </c>
      <c r="AM14" s="158">
        <f t="shared" si="21"/>
        <v>0.75471698113207553</v>
      </c>
      <c r="AN14" s="158">
        <f t="shared" si="22"/>
        <v>0.87984111221449857</v>
      </c>
      <c r="AO14" s="158">
        <v>1</v>
      </c>
      <c r="AP14" s="143"/>
      <c r="AQ14" s="152">
        <f>('B2-RdTr'!$E123-'B2-RdTr'!$D123)*'B2-RdTr'!$H123/(('B2-RdTr'!$E85-'B2-RdTr'!$D85)*'B2-RdTr'!$H85)*100</f>
        <v>2.6390026390026389</v>
      </c>
      <c r="AR14" s="152">
        <f>('B2-RdTr'!$E161-'B2-RdTr'!$D161)*'B2-RdTr'!$H161/(('B2-RdTr'!$E85-'B2-RdTr'!$D85)*'B2-RdTr'!$H85)*100</f>
        <v>9.8812448812448821</v>
      </c>
      <c r="AS14" s="152">
        <f>('B2-RdTr'!$E199-'B2-RdTr'!$D199)*'B2-RdTr'!$H199/(('B2-RdTr'!$E85-'B2-RdTr'!$D85)*'B2-RdTr'!$H85)*100</f>
        <v>15.64883064883065</v>
      </c>
      <c r="AT14" s="152">
        <f>('B2-RdTr'!$E237-'B2-RdTr'!$D237)*'B2-RdTr'!$H237/(('B2-RdTr'!$E85-'B2-RdTr'!$D85)*'B2-RdTr'!$H85)*100</f>
        <v>22.659022659022661</v>
      </c>
      <c r="AU14" s="152">
        <f>('B2-RdTr'!$E313-'B2-RdTr'!$D313)*'B2-RdTr'!$H313/(('B2-RdTr'!$E85-'B2-RdTr'!$D85)*'B2-RdTr'!$H85)*100</f>
        <v>15.894303394303394</v>
      </c>
      <c r="AV14" s="152">
        <f>('B2-RdTr'!$E351-'B2-RdTr'!$D351)*'B2-RdTr'!$H351/(('B2-RdTr'!$E85-'B2-RdTr'!$D85)*'B2-RdTr'!$H85)*100</f>
        <v>10.412685412685411</v>
      </c>
      <c r="AW14" s="152">
        <f>('B2-RdTr'!$E389-'B2-RdTr'!$D389)*'B2-RdTr'!$H389/(('B2-RdTr'!$E85-'B2-RdTr'!$D85)*'B2-RdTr'!$H85)*100</f>
        <v>12.23063973063973</v>
      </c>
      <c r="AX14" s="152">
        <f t="shared" si="23"/>
        <v>10.634270634270649</v>
      </c>
      <c r="AY14" s="44"/>
      <c r="AZ14" s="152">
        <f>'B2-RdTr'!$N123</f>
        <v>2.4</v>
      </c>
      <c r="BA14" s="152">
        <f>'B2-RdTr'!$N161</f>
        <v>9.3000000000000007</v>
      </c>
      <c r="BB14" s="152">
        <f>'B2-RdTr'!$N199</f>
        <v>15.1</v>
      </c>
      <c r="BC14" s="152">
        <f>'B2-RdTr'!$N237</f>
        <v>22.5</v>
      </c>
      <c r="BD14" s="152">
        <f>'B2-RdTr'!$N313</f>
        <v>16.100000000000001</v>
      </c>
      <c r="BE14" s="152">
        <f>'B2-RdTr'!$N351</f>
        <v>10.6</v>
      </c>
      <c r="BF14" s="152">
        <f>'B2-RdTr'!$N389</f>
        <v>12.6</v>
      </c>
      <c r="BG14" s="152">
        <f>'B2-RdTr'!$N427</f>
        <v>12.1</v>
      </c>
    </row>
    <row r="15" spans="1:59">
      <c r="A15" s="46">
        <f t="shared" si="24"/>
        <v>1986</v>
      </c>
      <c r="B15" s="141">
        <f t="shared" si="5"/>
        <v>2.1100277174021964E-2</v>
      </c>
      <c r="C15" s="46"/>
      <c r="D15" s="141">
        <f t="shared" si="6"/>
        <v>0.52813940536566051</v>
      </c>
      <c r="E15" s="141">
        <f t="shared" si="7"/>
        <v>0.54923968253968247</v>
      </c>
      <c r="F15" s="46"/>
      <c r="G15" s="157">
        <f t="shared" si="8"/>
        <v>3.5152177874977222E-2</v>
      </c>
      <c r="H15" s="157">
        <f t="shared" si="1"/>
        <v>5.6742100974298708E-2</v>
      </c>
      <c r="I15" s="157">
        <f t="shared" si="1"/>
        <v>6.6906062186694162E-2</v>
      </c>
      <c r="J15" s="157">
        <f t="shared" si="1"/>
        <v>6.3337250638395043E-2</v>
      </c>
      <c r="K15" s="157">
        <f t="shared" si="1"/>
        <v>2.6306086067591317E-2</v>
      </c>
      <c r="L15" s="157">
        <f t="shared" si="1"/>
        <v>1.0548082301112977E-2</v>
      </c>
      <c r="M15" s="157">
        <f t="shared" si="1"/>
        <v>5.0779426397608556E-3</v>
      </c>
      <c r="N15" s="157">
        <f t="shared" si="1"/>
        <v>0</v>
      </c>
      <c r="O15" s="46"/>
      <c r="P15" s="154">
        <f t="shared" si="9"/>
        <v>2.4239110625113906E-2</v>
      </c>
      <c r="Q15" s="154">
        <f t="shared" si="10"/>
        <v>0.11628949512850648</v>
      </c>
      <c r="R15" s="154">
        <f t="shared" si="11"/>
        <v>0.26546968906652929</v>
      </c>
      <c r="S15" s="154">
        <f t="shared" si="12"/>
        <v>0.48331374680802486</v>
      </c>
      <c r="T15" s="154">
        <f t="shared" si="13"/>
        <v>0.63693913932408686</v>
      </c>
      <c r="U15" s="154">
        <f t="shared" si="14"/>
        <v>0.73903835397774054</v>
      </c>
      <c r="V15" s="154">
        <f t="shared" si="15"/>
        <v>0.86305143400597872</v>
      </c>
      <c r="W15" s="162">
        <v>1</v>
      </c>
      <c r="X15" s="154"/>
      <c r="Y15" s="142">
        <f t="shared" si="25"/>
        <v>3.5634920634920637E-2</v>
      </c>
      <c r="Z15" s="142">
        <f t="shared" si="3"/>
        <v>5.8373015873015882E-2</v>
      </c>
      <c r="AA15" s="142">
        <f t="shared" si="3"/>
        <v>6.9603174603174611E-2</v>
      </c>
      <c r="AB15" s="142">
        <f t="shared" si="3"/>
        <v>6.6547619047619036E-2</v>
      </c>
      <c r="AC15" s="142">
        <f t="shared" si="3"/>
        <v>2.779761904761904E-2</v>
      </c>
      <c r="AD15" s="142">
        <f t="shared" si="3"/>
        <v>1.119047619047619E-2</v>
      </c>
      <c r="AE15" s="142">
        <f t="shared" si="3"/>
        <v>5.4730158730158743E-3</v>
      </c>
      <c r="AF15" s="142">
        <f t="shared" si="3"/>
        <v>0</v>
      </c>
      <c r="AH15" s="158">
        <f t="shared" si="16"/>
        <v>2.1825396825396831E-2</v>
      </c>
      <c r="AI15" s="158">
        <f t="shared" si="17"/>
        <v>0.10813492063492065</v>
      </c>
      <c r="AJ15" s="158">
        <f t="shared" si="18"/>
        <v>0.25198412698412703</v>
      </c>
      <c r="AK15" s="158">
        <f t="shared" si="19"/>
        <v>0.46726190476190488</v>
      </c>
      <c r="AL15" s="158">
        <f t="shared" si="20"/>
        <v>0.62202380952380965</v>
      </c>
      <c r="AM15" s="158">
        <f t="shared" si="21"/>
        <v>0.72619047619047628</v>
      </c>
      <c r="AN15" s="158">
        <f t="shared" si="22"/>
        <v>0.85317460317460325</v>
      </c>
      <c r="AO15" s="158">
        <v>1</v>
      </c>
      <c r="AP15" s="143"/>
      <c r="AQ15" s="152">
        <f>('B2-RdTr'!$E124-'B2-RdTr'!$D124)*'B2-RdTr'!$H124/(('B2-RdTr'!$E86-'B2-RdTr'!$D86)*'B2-RdTr'!$H86)*100</f>
        <v>2.4239110625113907</v>
      </c>
      <c r="AR15" s="152">
        <f>('B2-RdTr'!$E162-'B2-RdTr'!$D162)*'B2-RdTr'!$H162/(('B2-RdTr'!$E86-'B2-RdTr'!$D86)*'B2-RdTr'!$H86)*100</f>
        <v>9.2050384503392557</v>
      </c>
      <c r="AS15" s="152">
        <f>('B2-RdTr'!$E200-'B2-RdTr'!$D200)*'B2-RdTr'!$H200/(('B2-RdTr'!$E86-'B2-RdTr'!$D86)*'B2-RdTr'!$H86)*100</f>
        <v>14.918019393802281</v>
      </c>
      <c r="AT15" s="152">
        <f>('B2-RdTr'!$E238-'B2-RdTr'!$D238)*'B2-RdTr'!$H238/(('B2-RdTr'!$E86-'B2-RdTr'!$D86)*'B2-RdTr'!$H86)*100</f>
        <v>21.784405774149558</v>
      </c>
      <c r="AU15" s="152">
        <f>('B2-RdTr'!$E314-'B2-RdTr'!$D314)*'B2-RdTr'!$H314/(('B2-RdTr'!$E86-'B2-RdTr'!$D86)*'B2-RdTr'!$H86)*100</f>
        <v>15.362539251606201</v>
      </c>
      <c r="AV15" s="152">
        <f>('B2-RdTr'!$E352-'B2-RdTr'!$D352)*'B2-RdTr'!$H352/(('B2-RdTr'!$E86-'B2-RdTr'!$D86)*'B2-RdTr'!$H86)*100</f>
        <v>10.209921465365367</v>
      </c>
      <c r="AW15" s="152">
        <f>('B2-RdTr'!$E390-'B2-RdTr'!$D390)*'B2-RdTr'!$H390/(('B2-RdTr'!$E86-'B2-RdTr'!$D86)*'B2-RdTr'!$H86)*100</f>
        <v>12.401308002823813</v>
      </c>
      <c r="AX15" s="152">
        <f t="shared" si="23"/>
        <v>13.694856599402144</v>
      </c>
      <c r="AY15" s="44"/>
      <c r="AZ15" s="152">
        <f>'B2-RdTr'!$N124</f>
        <v>2.2000000000000002</v>
      </c>
      <c r="BA15" s="152">
        <f>'B2-RdTr'!$N162</f>
        <v>8.6999999999999993</v>
      </c>
      <c r="BB15" s="152">
        <f>'B2-RdTr'!$N200</f>
        <v>14.5</v>
      </c>
      <c r="BC15" s="152">
        <f>'B2-RdTr'!$N238</f>
        <v>21.7</v>
      </c>
      <c r="BD15" s="152">
        <f>'B2-RdTr'!$N314</f>
        <v>15.6</v>
      </c>
      <c r="BE15" s="152">
        <f>'B2-RdTr'!$N352</f>
        <v>10.5</v>
      </c>
      <c r="BF15" s="152">
        <f>'B2-RdTr'!$N390</f>
        <v>12.8</v>
      </c>
      <c r="BG15" s="152">
        <f>'B2-RdTr'!$N428</f>
        <v>14.8</v>
      </c>
    </row>
    <row r="16" spans="1:59">
      <c r="A16" s="46">
        <f t="shared" si="24"/>
        <v>1987</v>
      </c>
      <c r="B16" s="141">
        <f t="shared" si="5"/>
        <v>3.3136923173336885E-2</v>
      </c>
      <c r="C16" s="46"/>
      <c r="D16" s="141">
        <f>SUM(G16:N16)*2</f>
        <v>0.49658339397235213</v>
      </c>
      <c r="E16" s="141">
        <f t="shared" si="7"/>
        <v>0.52972031714568901</v>
      </c>
      <c r="F16" s="46"/>
      <c r="G16" s="157">
        <f t="shared" si="8"/>
        <v>3.5488974920047135E-2</v>
      </c>
      <c r="H16" s="157">
        <f t="shared" si="1"/>
        <v>5.6175123759705493E-2</v>
      </c>
      <c r="I16" s="157">
        <f t="shared" si="1"/>
        <v>6.4402867513454976E-2</v>
      </c>
      <c r="J16" s="157">
        <f>(S$4-S16)*S$3</f>
        <v>5.7709528310437255E-2</v>
      </c>
      <c r="K16" s="157">
        <f t="shared" si="1"/>
        <v>2.2535962606657779E-2</v>
      </c>
      <c r="L16" s="157">
        <f t="shared" si="1"/>
        <v>8.5415884401745419E-3</v>
      </c>
      <c r="M16" s="157">
        <f t="shared" si="1"/>
        <v>3.4376514356989096E-3</v>
      </c>
      <c r="N16" s="157">
        <f t="shared" si="1"/>
        <v>0</v>
      </c>
      <c r="O16" s="46"/>
      <c r="P16" s="154">
        <f t="shared" si="9"/>
        <v>2.2555125399764352E-2</v>
      </c>
      <c r="Q16" s="154">
        <f t="shared" si="10"/>
        <v>0.11912438120147258</v>
      </c>
      <c r="R16" s="154">
        <f t="shared" si="11"/>
        <v>0.27798566243272521</v>
      </c>
      <c r="S16" s="154">
        <f t="shared" si="12"/>
        <v>0.51145235844781378</v>
      </c>
      <c r="T16" s="154">
        <f t="shared" si="13"/>
        <v>0.67464037393342224</v>
      </c>
      <c r="U16" s="154">
        <f t="shared" si="14"/>
        <v>0.77916823119650924</v>
      </c>
      <c r="V16" s="154">
        <f t="shared" si="15"/>
        <v>0.90405871410752736</v>
      </c>
      <c r="W16" s="162">
        <v>1</v>
      </c>
      <c r="X16" s="154"/>
      <c r="Y16" s="142">
        <f t="shared" si="25"/>
        <v>3.603567888999009E-2</v>
      </c>
      <c r="Z16" s="142">
        <f t="shared" si="3"/>
        <v>5.8394449950445994E-2</v>
      </c>
      <c r="AA16" s="142">
        <f t="shared" si="3"/>
        <v>6.826560951437069E-2</v>
      </c>
      <c r="AB16" s="142">
        <f t="shared" si="3"/>
        <v>6.2874132804757218E-2</v>
      </c>
      <c r="AC16" s="142">
        <f t="shared" si="3"/>
        <v>2.518334985133798E-2</v>
      </c>
      <c r="AD16" s="142">
        <f t="shared" si="3"/>
        <v>9.7893954410307356E-3</v>
      </c>
      <c r="AE16" s="142">
        <f t="shared" si="3"/>
        <v>4.3175421209118037E-3</v>
      </c>
      <c r="AF16" s="142">
        <f t="shared" si="3"/>
        <v>0</v>
      </c>
      <c r="AH16" s="158">
        <f t="shared" si="16"/>
        <v>1.982160555004955E-2</v>
      </c>
      <c r="AI16" s="158">
        <f t="shared" si="17"/>
        <v>0.10802775024777006</v>
      </c>
      <c r="AJ16" s="158">
        <f t="shared" si="18"/>
        <v>0.25867195242814667</v>
      </c>
      <c r="AK16" s="158">
        <f t="shared" si="19"/>
        <v>0.48562933597621399</v>
      </c>
      <c r="AL16" s="158">
        <f t="shared" si="20"/>
        <v>0.64816650148662025</v>
      </c>
      <c r="AM16" s="158">
        <f t="shared" si="21"/>
        <v>0.75421209117938537</v>
      </c>
      <c r="AN16" s="158">
        <f t="shared" si="22"/>
        <v>0.88206144697720501</v>
      </c>
      <c r="AO16" s="158">
        <v>1</v>
      </c>
      <c r="AP16" s="143"/>
      <c r="AQ16" s="152">
        <f>('B2-RdTr'!$E125-'B2-RdTr'!$D125)*'B2-RdTr'!$H125/(('B2-RdTr'!$E87-'B2-RdTr'!$D87)*'B2-RdTr'!$H87)*100</f>
        <v>2.2555125399764351</v>
      </c>
      <c r="AR16" s="152">
        <f>('B2-RdTr'!$E163-'B2-RdTr'!$D163)*'B2-RdTr'!$H163/(('B2-RdTr'!$E87-'B2-RdTr'!$D87)*'B2-RdTr'!$H87)*100</f>
        <v>9.6569255801708227</v>
      </c>
      <c r="AS16" s="152">
        <f>('B2-RdTr'!$E201-'B2-RdTr'!$D201)*'B2-RdTr'!$H201/(('B2-RdTr'!$E87-'B2-RdTr'!$D87)*'B2-RdTr'!$H87)*100</f>
        <v>15.886128123125262</v>
      </c>
      <c r="AT16" s="152">
        <f>('B2-RdTr'!$E239-'B2-RdTr'!$D239)*'B2-RdTr'!$H239/(('B2-RdTr'!$E87-'B2-RdTr'!$D87)*'B2-RdTr'!$H87)*100</f>
        <v>23.346669601508854</v>
      </c>
      <c r="AU16" s="152">
        <f>('B2-RdTr'!$E315-'B2-RdTr'!$D315)*'B2-RdTr'!$H315/(('B2-RdTr'!$E87-'B2-RdTr'!$D87)*'B2-RdTr'!$H87)*100</f>
        <v>16.318801548560849</v>
      </c>
      <c r="AV16" s="152">
        <f>('B2-RdTr'!$E353-'B2-RdTr'!$D353)*'B2-RdTr'!$H353/(('B2-RdTr'!$E87-'B2-RdTr'!$D87)*'B2-RdTr'!$H87)*100</f>
        <v>10.452785726308701</v>
      </c>
      <c r="AW16" s="152">
        <f>('B2-RdTr'!$E391-'B2-RdTr'!$D391)*'B2-RdTr'!$H391/(('B2-RdTr'!$E87-'B2-RdTr'!$D87)*'B2-RdTr'!$H87)*100</f>
        <v>12.489048291101817</v>
      </c>
      <c r="AX16" s="152">
        <f t="shared" si="23"/>
        <v>9.5941285892472763</v>
      </c>
      <c r="AY16" s="44"/>
      <c r="AZ16" s="152">
        <f>'B2-RdTr'!$N125</f>
        <v>2</v>
      </c>
      <c r="BA16" s="152">
        <f>'B2-RdTr'!$N163</f>
        <v>8.9</v>
      </c>
      <c r="BB16" s="152">
        <f>'B2-RdTr'!$N201</f>
        <v>15.2</v>
      </c>
      <c r="BC16" s="152">
        <f>'B2-RdTr'!$N239</f>
        <v>22.9</v>
      </c>
      <c r="BD16" s="152">
        <f>'B2-RdTr'!$N315</f>
        <v>16.399999999999999</v>
      </c>
      <c r="BE16" s="152">
        <f>'B2-RdTr'!$N353</f>
        <v>10.7</v>
      </c>
      <c r="BF16" s="152">
        <f>'B2-RdTr'!$N391</f>
        <v>12.9</v>
      </c>
      <c r="BG16" s="152">
        <f>'B2-RdTr'!$N429</f>
        <v>11.9</v>
      </c>
    </row>
    <row r="17" spans="1:59">
      <c r="A17" s="46">
        <f t="shared" si="24"/>
        <v>1988</v>
      </c>
      <c r="B17" s="141">
        <f t="shared" si="5"/>
        <v>3.0862601218730967E-2</v>
      </c>
      <c r="C17" s="46"/>
      <c r="D17" s="141">
        <f t="shared" si="6"/>
        <v>0.51656512155354639</v>
      </c>
      <c r="E17" s="141">
        <f t="shared" si="7"/>
        <v>0.54742772277227736</v>
      </c>
      <c r="F17" s="46"/>
      <c r="G17" s="157">
        <f t="shared" si="8"/>
        <v>3.5630854072800151E-2</v>
      </c>
      <c r="H17" s="157">
        <f t="shared" si="1"/>
        <v>5.6651729242089832E-2</v>
      </c>
      <c r="I17" s="157">
        <f t="shared" si="1"/>
        <v>6.6161515048761541E-2</v>
      </c>
      <c r="J17" s="157">
        <f t="shared" si="1"/>
        <v>6.0950052690462324E-2</v>
      </c>
      <c r="K17" s="157">
        <f t="shared" si="1"/>
        <v>2.4650831778338635E-2</v>
      </c>
      <c r="L17" s="157">
        <f t="shared" si="1"/>
        <v>9.743679682598344E-3</v>
      </c>
      <c r="M17" s="157">
        <f t="shared" si="1"/>
        <v>4.4938982617223648E-3</v>
      </c>
      <c r="N17" s="157">
        <f t="shared" si="1"/>
        <v>0</v>
      </c>
      <c r="O17" s="46"/>
      <c r="P17" s="154">
        <f t="shared" si="9"/>
        <v>2.1845729635999261E-2</v>
      </c>
      <c r="Q17" s="154">
        <f t="shared" si="10"/>
        <v>0.11674135378955083</v>
      </c>
      <c r="R17" s="154">
        <f t="shared" si="11"/>
        <v>0.26919242475619243</v>
      </c>
      <c r="S17" s="154">
        <f t="shared" si="12"/>
        <v>0.49524973654768845</v>
      </c>
      <c r="T17" s="154">
        <f t="shared" si="13"/>
        <v>0.65349168221661369</v>
      </c>
      <c r="U17" s="154">
        <f t="shared" si="14"/>
        <v>0.75512640634803319</v>
      </c>
      <c r="V17" s="154">
        <f t="shared" si="15"/>
        <v>0.87765254345694099</v>
      </c>
      <c r="W17" s="162">
        <v>1</v>
      </c>
      <c r="X17" s="154"/>
      <c r="Y17" s="142">
        <f t="shared" si="25"/>
        <v>3.6039603960396044E-2</v>
      </c>
      <c r="Z17" s="142">
        <f t="shared" si="3"/>
        <v>5.8811881188118822E-2</v>
      </c>
      <c r="AA17" s="142">
        <f t="shared" si="3"/>
        <v>6.9900990099009921E-2</v>
      </c>
      <c r="AB17" s="142">
        <f t="shared" si="3"/>
        <v>6.5742574257425759E-2</v>
      </c>
      <c r="AC17" s="142">
        <f t="shared" si="3"/>
        <v>2.7128712871287132E-2</v>
      </c>
      <c r="AD17" s="142">
        <f t="shared" si="3"/>
        <v>1.0866336633663371E-2</v>
      </c>
      <c r="AE17" s="142">
        <f t="shared" si="3"/>
        <v>5.2237623762376286E-3</v>
      </c>
      <c r="AF17" s="142">
        <f t="shared" si="3"/>
        <v>0</v>
      </c>
      <c r="AH17" s="158">
        <f t="shared" si="16"/>
        <v>1.9801980198019802E-2</v>
      </c>
      <c r="AI17" s="158">
        <f t="shared" si="17"/>
        <v>0.10594059405940594</v>
      </c>
      <c r="AJ17" s="158">
        <f t="shared" si="18"/>
        <v>0.2504950495049505</v>
      </c>
      <c r="AK17" s="158">
        <f t="shared" si="19"/>
        <v>0.47128712871287126</v>
      </c>
      <c r="AL17" s="158">
        <f t="shared" si="20"/>
        <v>0.62871287128712872</v>
      </c>
      <c r="AM17" s="158">
        <f t="shared" si="21"/>
        <v>0.73267326732673266</v>
      </c>
      <c r="AN17" s="158">
        <f t="shared" si="22"/>
        <v>0.85940594059405939</v>
      </c>
      <c r="AO17" s="158">
        <v>1</v>
      </c>
      <c r="AP17" s="143"/>
      <c r="AQ17" s="152">
        <f>('B2-RdTr'!$E126-'B2-RdTr'!$D126)*'B2-RdTr'!$H126/(('B2-RdTr'!$E88-'B2-RdTr'!$D88)*'B2-RdTr'!$H88)*100</f>
        <v>2.1845729635999263</v>
      </c>
      <c r="AR17" s="152">
        <f>('B2-RdTr'!$E164-'B2-RdTr'!$D164)*'B2-RdTr'!$H164/(('B2-RdTr'!$E88-'B2-RdTr'!$D88)*'B2-RdTr'!$H88)*100</f>
        <v>9.4895624153551577</v>
      </c>
      <c r="AS17" s="152">
        <f>('B2-RdTr'!$E202-'B2-RdTr'!$D202)*'B2-RdTr'!$H202/(('B2-RdTr'!$E88-'B2-RdTr'!$D88)*'B2-RdTr'!$H88)*100</f>
        <v>15.245107096664157</v>
      </c>
      <c r="AT17" s="152">
        <f>('B2-RdTr'!$E240-'B2-RdTr'!$D240)*'B2-RdTr'!$H240/(('B2-RdTr'!$E88-'B2-RdTr'!$D88)*'B2-RdTr'!$H88)*100</f>
        <v>22.605731179149601</v>
      </c>
      <c r="AU17" s="152">
        <f>('B2-RdTr'!$E316-'B2-RdTr'!$D316)*'B2-RdTr'!$H316/(('B2-RdTr'!$E88-'B2-RdTr'!$D88)*'B2-RdTr'!$H88)*100</f>
        <v>15.824194566892524</v>
      </c>
      <c r="AV17" s="152">
        <f>('B2-RdTr'!$E354-'B2-RdTr'!$D354)*'B2-RdTr'!$H354/(('B2-RdTr'!$E88-'B2-RdTr'!$D88)*'B2-RdTr'!$H88)*100</f>
        <v>10.163472413141955</v>
      </c>
      <c r="AW17" s="152">
        <f>('B2-RdTr'!$E392-'B2-RdTr'!$D392)*'B2-RdTr'!$H392/(('B2-RdTr'!$E88-'B2-RdTr'!$D88)*'B2-RdTr'!$H88)*100</f>
        <v>12.252613710890783</v>
      </c>
      <c r="AX17" s="152">
        <f t="shared" si="23"/>
        <v>12.234745654305883</v>
      </c>
      <c r="AY17" s="44"/>
      <c r="AZ17" s="152">
        <f>'B2-RdTr'!$N126</f>
        <v>2</v>
      </c>
      <c r="BA17" s="152">
        <f>'B2-RdTr'!$N164</f>
        <v>8.6999999999999993</v>
      </c>
      <c r="BB17" s="152">
        <f>'B2-RdTr'!$N202</f>
        <v>14.6</v>
      </c>
      <c r="BC17" s="152">
        <f>'B2-RdTr'!$N240</f>
        <v>22.3</v>
      </c>
      <c r="BD17" s="152">
        <f>'B2-RdTr'!$N316</f>
        <v>15.9</v>
      </c>
      <c r="BE17" s="152">
        <f>'B2-RdTr'!$N354</f>
        <v>10.5</v>
      </c>
      <c r="BF17" s="152">
        <f>'B2-RdTr'!$N392</f>
        <v>12.8</v>
      </c>
      <c r="BG17" s="152">
        <f>'B2-RdTr'!$N430</f>
        <v>14.2</v>
      </c>
    </row>
    <row r="18" spans="1:59">
      <c r="A18" s="46">
        <f t="shared" si="24"/>
        <v>1989</v>
      </c>
      <c r="B18" s="141">
        <f t="shared" si="5"/>
        <v>3.1320118120627072E-2</v>
      </c>
      <c r="C18" s="46"/>
      <c r="D18" s="141">
        <f t="shared" si="6"/>
        <v>0.50696313262268322</v>
      </c>
      <c r="E18" s="141">
        <f t="shared" si="7"/>
        <v>0.53828325074331029</v>
      </c>
      <c r="F18" s="46"/>
      <c r="G18" s="157">
        <f t="shared" si="8"/>
        <v>3.5126284452127156E-2</v>
      </c>
      <c r="H18" s="157">
        <f t="shared" si="1"/>
        <v>5.5879509587374768E-2</v>
      </c>
      <c r="I18" s="157">
        <f t="shared" si="1"/>
        <v>6.5103876564550731E-2</v>
      </c>
      <c r="J18" s="157">
        <f t="shared" si="1"/>
        <v>5.980473126540542E-2</v>
      </c>
      <c r="K18" s="157">
        <f t="shared" si="1"/>
        <v>2.4086798553090684E-2</v>
      </c>
      <c r="L18" s="157">
        <f t="shared" si="1"/>
        <v>9.4091920355965312E-3</v>
      </c>
      <c r="M18" s="157">
        <f t="shared" si="1"/>
        <v>4.0711738531963261E-3</v>
      </c>
      <c r="N18" s="157">
        <f t="shared" si="1"/>
        <v>0</v>
      </c>
      <c r="O18" s="46"/>
      <c r="P18" s="154">
        <f t="shared" si="9"/>
        <v>2.4368577739364253E-2</v>
      </c>
      <c r="Q18" s="154">
        <f t="shared" si="10"/>
        <v>0.12060245206312621</v>
      </c>
      <c r="R18" s="154">
        <f t="shared" si="11"/>
        <v>0.27448061717724642</v>
      </c>
      <c r="S18" s="154">
        <f t="shared" si="12"/>
        <v>0.50097634367297295</v>
      </c>
      <c r="T18" s="154">
        <f t="shared" si="13"/>
        <v>0.6591320144690932</v>
      </c>
      <c r="U18" s="154">
        <f t="shared" si="14"/>
        <v>0.76181615928806945</v>
      </c>
      <c r="V18" s="154">
        <f t="shared" si="15"/>
        <v>0.88822065367009195</v>
      </c>
      <c r="W18" s="162">
        <v>1</v>
      </c>
      <c r="X18" s="154"/>
      <c r="Y18" s="142">
        <f t="shared" si="25"/>
        <v>3.5639246778989102E-2</v>
      </c>
      <c r="Z18" s="142">
        <f t="shared" si="3"/>
        <v>5.8196233894945493E-2</v>
      </c>
      <c r="AA18" s="142">
        <f t="shared" si="3"/>
        <v>6.8860257680872158E-2</v>
      </c>
      <c r="AB18" s="142">
        <f t="shared" si="3"/>
        <v>6.4658077304261638E-2</v>
      </c>
      <c r="AC18" s="142">
        <f t="shared" si="3"/>
        <v>2.6471754212091171E-2</v>
      </c>
      <c r="AD18" s="142">
        <f t="shared" si="3"/>
        <v>1.0483151635282456E-2</v>
      </c>
      <c r="AE18" s="142">
        <f t="shared" si="3"/>
        <v>4.8329038652130804E-3</v>
      </c>
      <c r="AF18" s="142">
        <f t="shared" si="3"/>
        <v>0</v>
      </c>
      <c r="AH18" s="158">
        <f t="shared" si="16"/>
        <v>2.1803766105054512E-2</v>
      </c>
      <c r="AI18" s="158">
        <f t="shared" si="17"/>
        <v>0.10901883052527256</v>
      </c>
      <c r="AJ18" s="158">
        <f t="shared" si="18"/>
        <v>0.25569871159563928</v>
      </c>
      <c r="AK18" s="158">
        <f t="shared" si="19"/>
        <v>0.47670961347869184</v>
      </c>
      <c r="AL18" s="158">
        <f t="shared" si="20"/>
        <v>0.63528245787908832</v>
      </c>
      <c r="AM18" s="158">
        <f t="shared" si="21"/>
        <v>0.74033696729435094</v>
      </c>
      <c r="AN18" s="158">
        <f t="shared" si="22"/>
        <v>0.86917740336967309</v>
      </c>
      <c r="AO18" s="158">
        <v>1</v>
      </c>
      <c r="AP18" s="143"/>
      <c r="AQ18" s="152">
        <f>('B2-RdTr'!$E127-'B2-RdTr'!$D127)*'B2-RdTr'!$H127/(('B2-RdTr'!$E89-'B2-RdTr'!$D89)*'B2-RdTr'!$H89)*100</f>
        <v>2.4368577739364254</v>
      </c>
      <c r="AR18" s="152">
        <f>('B2-RdTr'!$E165-'B2-RdTr'!$D165)*'B2-RdTr'!$H165/(('B2-RdTr'!$E89-'B2-RdTr'!$D89)*'B2-RdTr'!$H89)*100</f>
        <v>9.6233874323761963</v>
      </c>
      <c r="AS18" s="152">
        <f>('B2-RdTr'!$E203-'B2-RdTr'!$D203)*'B2-RdTr'!$H203/(('B2-RdTr'!$E89-'B2-RdTr'!$D89)*'B2-RdTr'!$H89)*100</f>
        <v>15.387816511412019</v>
      </c>
      <c r="AT18" s="152">
        <f>('B2-RdTr'!$E241-'B2-RdTr'!$D241)*'B2-RdTr'!$H241/(('B2-RdTr'!$E89-'B2-RdTr'!$D89)*'B2-RdTr'!$H89)*100</f>
        <v>22.649572649572651</v>
      </c>
      <c r="AU18" s="152">
        <f>('B2-RdTr'!$E317-'B2-RdTr'!$D317)*'B2-RdTr'!$H317/(('B2-RdTr'!$E89-'B2-RdTr'!$D89)*'B2-RdTr'!$H89)*100</f>
        <v>15.815567079612025</v>
      </c>
      <c r="AV18" s="152">
        <f>('B2-RdTr'!$E355-'B2-RdTr'!$D355)*'B2-RdTr'!$H355/(('B2-RdTr'!$E89-'B2-RdTr'!$D89)*'B2-RdTr'!$H89)*100</f>
        <v>10.268414481897628</v>
      </c>
      <c r="AW18" s="152">
        <f>('B2-RdTr'!$E393-'B2-RdTr'!$D393)*'B2-RdTr'!$H393/(('B2-RdTr'!$E89-'B2-RdTr'!$D89)*'B2-RdTr'!$H89)*100</f>
        <v>12.640449438202248</v>
      </c>
      <c r="AX18" s="152">
        <f t="shared" si="23"/>
        <v>11.177934632990812</v>
      </c>
      <c r="AY18" s="44"/>
      <c r="AZ18" s="152">
        <f>'B2-RdTr'!$N127</f>
        <v>2.2000000000000002</v>
      </c>
      <c r="BA18" s="152">
        <f>'B2-RdTr'!$N165</f>
        <v>8.8000000000000007</v>
      </c>
      <c r="BB18" s="152">
        <f>'B2-RdTr'!$N203</f>
        <v>14.8</v>
      </c>
      <c r="BC18" s="152">
        <f>'B2-RdTr'!$N241</f>
        <v>22.3</v>
      </c>
      <c r="BD18" s="152">
        <f>'B2-RdTr'!$N317</f>
        <v>16</v>
      </c>
      <c r="BE18" s="152">
        <f>'B2-RdTr'!$N355</f>
        <v>10.6</v>
      </c>
      <c r="BF18" s="152">
        <f>'B2-RdTr'!$N393</f>
        <v>13</v>
      </c>
      <c r="BG18" s="152">
        <f>'B2-RdTr'!$N431</f>
        <v>13.2</v>
      </c>
    </row>
    <row r="19" spans="1:59">
      <c r="A19" s="46">
        <f t="shared" si="24"/>
        <v>1990</v>
      </c>
      <c r="B19" s="141">
        <f t="shared" si="5"/>
        <v>3.001468952897357E-2</v>
      </c>
      <c r="C19" s="46"/>
      <c r="D19" s="141">
        <f t="shared" si="6"/>
        <v>0.5024806523937223</v>
      </c>
      <c r="E19" s="141">
        <f t="shared" si="7"/>
        <v>0.53249534192269588</v>
      </c>
      <c r="F19" s="46"/>
      <c r="G19" s="157">
        <f t="shared" si="8"/>
        <v>3.4870852100376874E-2</v>
      </c>
      <c r="H19" s="157">
        <f t="shared" si="1"/>
        <v>5.5351794642250533E-2</v>
      </c>
      <c r="I19" s="157">
        <f t="shared" si="1"/>
        <v>6.4718384442304086E-2</v>
      </c>
      <c r="J19" s="157">
        <f t="shared" si="1"/>
        <v>5.9397722776629892E-2</v>
      </c>
      <c r="K19" s="157">
        <f t="shared" si="1"/>
        <v>2.380965322100417E-2</v>
      </c>
      <c r="L19" s="157">
        <f t="shared" si="1"/>
        <v>9.190852340168738E-3</v>
      </c>
      <c r="M19" s="157">
        <f t="shared" si="1"/>
        <v>3.9010666741268632E-3</v>
      </c>
      <c r="N19" s="157">
        <f t="shared" si="1"/>
        <v>0</v>
      </c>
      <c r="O19" s="46"/>
      <c r="P19" s="154">
        <f t="shared" si="9"/>
        <v>2.564573949811564E-2</v>
      </c>
      <c r="Q19" s="154">
        <f t="shared" si="10"/>
        <v>0.12324102678874738</v>
      </c>
      <c r="R19" s="154">
        <f t="shared" si="11"/>
        <v>0.27640807778847964</v>
      </c>
      <c r="S19" s="154">
        <f t="shared" si="12"/>
        <v>0.50301138611685059</v>
      </c>
      <c r="T19" s="154">
        <f t="shared" si="13"/>
        <v>0.66190346778995834</v>
      </c>
      <c r="U19" s="154">
        <f t="shared" si="14"/>
        <v>0.76618295319662533</v>
      </c>
      <c r="V19" s="154">
        <f t="shared" si="15"/>
        <v>0.89247333314682853</v>
      </c>
      <c r="W19" s="162">
        <v>1</v>
      </c>
      <c r="X19" s="154"/>
      <c r="Y19" s="142">
        <f t="shared" si="25"/>
        <v>3.5441030723488608E-2</v>
      </c>
      <c r="Z19" s="142">
        <f t="shared" si="3"/>
        <v>5.760158572844401E-2</v>
      </c>
      <c r="AA19" s="142">
        <f t="shared" si="3"/>
        <v>6.826560951437069E-2</v>
      </c>
      <c r="AB19" s="142">
        <f t="shared" si="3"/>
        <v>6.3865213082259675E-2</v>
      </c>
      <c r="AC19" s="142">
        <f t="shared" si="3"/>
        <v>2.6075322101090193E-2</v>
      </c>
      <c r="AD19" s="142">
        <f t="shared" si="3"/>
        <v>1.0284935579781967E-2</v>
      </c>
      <c r="AE19" s="142">
        <f t="shared" si="3"/>
        <v>4.7139742319127894E-3</v>
      </c>
      <c r="AF19" s="142">
        <f t="shared" si="3"/>
        <v>0</v>
      </c>
      <c r="AH19" s="158">
        <f t="shared" si="16"/>
        <v>2.2794846382556983E-2</v>
      </c>
      <c r="AI19" s="158">
        <f t="shared" si="17"/>
        <v>0.11199207135777997</v>
      </c>
      <c r="AJ19" s="158">
        <f t="shared" si="18"/>
        <v>0.25867195242814667</v>
      </c>
      <c r="AK19" s="158">
        <f t="shared" si="19"/>
        <v>0.48067393458870167</v>
      </c>
      <c r="AL19" s="158">
        <f t="shared" si="20"/>
        <v>0.6392467789890981</v>
      </c>
      <c r="AM19" s="158">
        <f t="shared" si="21"/>
        <v>0.74430128840436072</v>
      </c>
      <c r="AN19" s="158">
        <f t="shared" si="22"/>
        <v>0.87215064420218036</v>
      </c>
      <c r="AO19" s="158">
        <v>1</v>
      </c>
      <c r="AP19" s="143"/>
      <c r="AQ19" s="152">
        <f>('B2-RdTr'!$E128-'B2-RdTr'!$D128)*'B2-RdTr'!$H128/(('B2-RdTr'!$E90-'B2-RdTr'!$D90)*'B2-RdTr'!$H90)*100</f>
        <v>2.5645739498115638</v>
      </c>
      <c r="AR19" s="152">
        <f>('B2-RdTr'!$E166-'B2-RdTr'!$D166)*'B2-RdTr'!$H166/(('B2-RdTr'!$E90-'B2-RdTr'!$D90)*'B2-RdTr'!$H90)*100</f>
        <v>9.7595287290631738</v>
      </c>
      <c r="AS19" s="152">
        <f>('B2-RdTr'!$E204-'B2-RdTr'!$D204)*'B2-RdTr'!$H204/(('B2-RdTr'!$E90-'B2-RdTr'!$D90)*'B2-RdTr'!$H90)*100</f>
        <v>15.316705099973223</v>
      </c>
      <c r="AT19" s="152">
        <f>('B2-RdTr'!$E242-'B2-RdTr'!$D242)*'B2-RdTr'!$H242/(('B2-RdTr'!$E90-'B2-RdTr'!$D90)*'B2-RdTr'!$H90)*100</f>
        <v>22.660330832837097</v>
      </c>
      <c r="AU19" s="152">
        <f>('B2-RdTr'!$E318-'B2-RdTr'!$D318)*'B2-RdTr'!$H318/(('B2-RdTr'!$E90-'B2-RdTr'!$D90)*'B2-RdTr'!$H90)*100</f>
        <v>15.889208167310775</v>
      </c>
      <c r="AV19" s="152">
        <f>('B2-RdTr'!$E356-'B2-RdTr'!$D356)*'B2-RdTr'!$H356/(('B2-RdTr'!$E90-'B2-RdTr'!$D90)*'B2-RdTr'!$H90)*100</f>
        <v>10.427948540666703</v>
      </c>
      <c r="AW19" s="152">
        <f>('B2-RdTr'!$E394-'B2-RdTr'!$D394)*'B2-RdTr'!$H394/(('B2-RdTr'!$E90-'B2-RdTr'!$D90)*'B2-RdTr'!$H90)*100</f>
        <v>12.629037995020322</v>
      </c>
      <c r="AX19" s="152">
        <f t="shared" si="23"/>
        <v>10.752666685317138</v>
      </c>
      <c r="AY19" s="44"/>
      <c r="AZ19" s="152">
        <f>'B2-RdTr'!$N128</f>
        <v>2.2999999999999998</v>
      </c>
      <c r="BA19" s="152">
        <f>'B2-RdTr'!$N166</f>
        <v>9</v>
      </c>
      <c r="BB19" s="152">
        <f>'B2-RdTr'!$N204</f>
        <v>14.8</v>
      </c>
      <c r="BC19" s="152">
        <f>'B2-RdTr'!$N242</f>
        <v>22.4</v>
      </c>
      <c r="BD19" s="152">
        <f>'B2-RdTr'!$N318</f>
        <v>16</v>
      </c>
      <c r="BE19" s="152">
        <f>'B2-RdTr'!$N356</f>
        <v>10.6</v>
      </c>
      <c r="BF19" s="152">
        <f>'B2-RdTr'!$N394</f>
        <v>12.9</v>
      </c>
      <c r="BG19" s="152">
        <f>'B2-RdTr'!$N432</f>
        <v>12.9</v>
      </c>
    </row>
    <row r="20" spans="1:59">
      <c r="A20" s="46">
        <f t="shared" si="24"/>
        <v>1991</v>
      </c>
      <c r="B20" s="141">
        <f t="shared" si="5"/>
        <v>3.5702231025129927E-2</v>
      </c>
      <c r="C20" s="46"/>
      <c r="D20" s="141">
        <f t="shared" si="6"/>
        <v>0.4943632486979167</v>
      </c>
      <c r="E20" s="141">
        <f t="shared" si="7"/>
        <v>0.53006547972304663</v>
      </c>
      <c r="F20" s="46"/>
      <c r="G20" s="157">
        <f t="shared" si="8"/>
        <v>3.4702148437500004E-2</v>
      </c>
      <c r="H20" s="157">
        <f t="shared" si="1"/>
        <v>5.5299072265625006E-2</v>
      </c>
      <c r="I20" s="157">
        <f t="shared" si="1"/>
        <v>6.3998209635416678E-2</v>
      </c>
      <c r="J20" s="157">
        <f t="shared" si="1"/>
        <v>5.8114827473958332E-2</v>
      </c>
      <c r="K20" s="157">
        <f t="shared" si="1"/>
        <v>2.2924601236979161E-2</v>
      </c>
      <c r="L20" s="157">
        <f t="shared" si="1"/>
        <v>8.7135823567708326E-3</v>
      </c>
      <c r="M20" s="157">
        <f t="shared" si="1"/>
        <v>3.4291829427083352E-3</v>
      </c>
      <c r="N20" s="157">
        <f t="shared" si="1"/>
        <v>0</v>
      </c>
      <c r="O20" s="46"/>
      <c r="P20" s="154">
        <f t="shared" si="9"/>
        <v>2.64892578125E-2</v>
      </c>
      <c r="Q20" s="154">
        <f t="shared" si="10"/>
        <v>0.123504638671875</v>
      </c>
      <c r="R20" s="154">
        <f t="shared" si="11"/>
        <v>0.28000895182291669</v>
      </c>
      <c r="S20" s="154">
        <f t="shared" si="12"/>
        <v>0.50942586263020839</v>
      </c>
      <c r="T20" s="154">
        <f t="shared" si="13"/>
        <v>0.67075398763020844</v>
      </c>
      <c r="U20" s="154">
        <f t="shared" si="14"/>
        <v>0.77572835286458341</v>
      </c>
      <c r="V20" s="154">
        <f t="shared" si="15"/>
        <v>0.90427042643229172</v>
      </c>
      <c r="W20" s="162">
        <v>1</v>
      </c>
      <c r="X20" s="154"/>
      <c r="Y20" s="142">
        <f t="shared" si="25"/>
        <v>3.5450049455984178E-2</v>
      </c>
      <c r="Z20" s="142">
        <f t="shared" si="3"/>
        <v>5.7843719090009897E-2</v>
      </c>
      <c r="AA20" s="142">
        <f t="shared" si="3"/>
        <v>6.8170128585558862E-2</v>
      </c>
      <c r="AB20" s="142">
        <f t="shared" si="3"/>
        <v>6.3461918892185956E-2</v>
      </c>
      <c r="AC20" s="142">
        <f t="shared" si="3"/>
        <v>2.5707220573689418E-2</v>
      </c>
      <c r="AD20" s="142">
        <f t="shared" si="3"/>
        <v>1.0012363996043522E-2</v>
      </c>
      <c r="AE20" s="142">
        <f t="shared" si="3"/>
        <v>4.3873392680514331E-3</v>
      </c>
      <c r="AF20" s="142">
        <f t="shared" si="3"/>
        <v>0</v>
      </c>
      <c r="AH20" s="158">
        <f t="shared" si="16"/>
        <v>2.274975272007913E-2</v>
      </c>
      <c r="AI20" s="158">
        <f t="shared" si="17"/>
        <v>0.11078140454995056</v>
      </c>
      <c r="AJ20" s="158">
        <f t="shared" si="18"/>
        <v>0.25914935707220577</v>
      </c>
      <c r="AK20" s="158">
        <f t="shared" si="19"/>
        <v>0.48269040553907028</v>
      </c>
      <c r="AL20" s="158">
        <f t="shared" si="20"/>
        <v>0.64292779426310587</v>
      </c>
      <c r="AM20" s="158">
        <f t="shared" si="21"/>
        <v>0.74975272007912963</v>
      </c>
      <c r="AN20" s="158">
        <f t="shared" si="22"/>
        <v>0.88031651829871427</v>
      </c>
      <c r="AO20" s="158">
        <v>1</v>
      </c>
      <c r="AP20" s="143"/>
      <c r="AQ20" s="152">
        <f>('B2-RdTr'!$E129-'B2-RdTr'!$D129)*'B2-RdTr'!$H129/(('B2-RdTr'!$E91-'B2-RdTr'!$D91)*'B2-RdTr'!$H91)*100</f>
        <v>2.64892578125</v>
      </c>
      <c r="AR20" s="152">
        <f>('B2-RdTr'!$E167-'B2-RdTr'!$D167)*'B2-RdTr'!$H167/(('B2-RdTr'!$E91-'B2-RdTr'!$D91)*'B2-RdTr'!$H91)*100</f>
        <v>9.7015380859375</v>
      </c>
      <c r="AS20" s="152">
        <f>('B2-RdTr'!$E205-'B2-RdTr'!$D205)*'B2-RdTr'!$H205/(('B2-RdTr'!$E91-'B2-RdTr'!$D91)*'B2-RdTr'!$H91)*100</f>
        <v>15.650431315104168</v>
      </c>
      <c r="AT20" s="152">
        <f>('B2-RdTr'!$E243-'B2-RdTr'!$D243)*'B2-RdTr'!$H243/(('B2-RdTr'!$E91-'B2-RdTr'!$D91)*'B2-RdTr'!$H91)*100</f>
        <v>22.941691080729168</v>
      </c>
      <c r="AU20" s="152">
        <f>('B2-RdTr'!$E319-'B2-RdTr'!$D319)*'B2-RdTr'!$H319/(('B2-RdTr'!$E91-'B2-RdTr'!$D91)*'B2-RdTr'!$H91)*100</f>
        <v>16.1328125</v>
      </c>
      <c r="AV20" s="152">
        <f>('B2-RdTr'!$E357-'B2-RdTr'!$D357)*'B2-RdTr'!$H357/(('B2-RdTr'!$E91-'B2-RdTr'!$D91)*'B2-RdTr'!$H91)*100</f>
        <v>10.4974365234375</v>
      </c>
      <c r="AW20" s="152">
        <f>('B2-RdTr'!$E395-'B2-RdTr'!$D395)*'B2-RdTr'!$H395/(('B2-RdTr'!$E91-'B2-RdTr'!$D91)*'B2-RdTr'!$H91)*100</f>
        <v>12.854207356770834</v>
      </c>
      <c r="AX20" s="152">
        <f t="shared" si="23"/>
        <v>9.5729573567708286</v>
      </c>
      <c r="AY20" s="44"/>
      <c r="AZ20" s="152">
        <f>'B2-RdTr'!$N129</f>
        <v>2.2999999999999998</v>
      </c>
      <c r="BA20" s="152">
        <f>'B2-RdTr'!$N167</f>
        <v>8.9</v>
      </c>
      <c r="BB20" s="152">
        <f>'B2-RdTr'!$N205</f>
        <v>15</v>
      </c>
      <c r="BC20" s="152">
        <f>'B2-RdTr'!$N243</f>
        <v>22.6</v>
      </c>
      <c r="BD20" s="152">
        <f>'B2-RdTr'!$N319</f>
        <v>16.2</v>
      </c>
      <c r="BE20" s="152">
        <f>'B2-RdTr'!$N357</f>
        <v>10.8</v>
      </c>
      <c r="BF20" s="152">
        <f>'B2-RdTr'!$N395</f>
        <v>13.2</v>
      </c>
      <c r="BG20" s="152">
        <f>'B2-RdTr'!$N433</f>
        <v>12.1</v>
      </c>
    </row>
    <row r="21" spans="1:59">
      <c r="A21" s="46">
        <f t="shared" si="24"/>
        <v>1992</v>
      </c>
      <c r="B21" s="141">
        <f t="shared" si="5"/>
        <v>3.1188458901384664E-2</v>
      </c>
      <c r="C21" s="46"/>
      <c r="D21" s="141">
        <f t="shared" si="6"/>
        <v>0.51171579431325454</v>
      </c>
      <c r="E21" s="141">
        <f t="shared" si="7"/>
        <v>0.5429042532146392</v>
      </c>
      <c r="F21" s="46"/>
      <c r="G21" s="157">
        <f t="shared" si="8"/>
        <v>3.5159449240208321E-2</v>
      </c>
      <c r="H21" s="157">
        <f t="shared" si="1"/>
        <v>5.6483714220034412E-2</v>
      </c>
      <c r="I21" s="157">
        <f t="shared" si="1"/>
        <v>6.5878021133068593E-2</v>
      </c>
      <c r="J21" s="157">
        <f t="shared" si="1"/>
        <v>6.0649608015663527E-2</v>
      </c>
      <c r="K21" s="157">
        <f t="shared" si="1"/>
        <v>2.4312303314229546E-2</v>
      </c>
      <c r="L21" s="157">
        <f t="shared" si="1"/>
        <v>9.360003329290623E-3</v>
      </c>
      <c r="M21" s="157">
        <f t="shared" si="1"/>
        <v>4.0147979041322834E-3</v>
      </c>
      <c r="N21" s="157">
        <f t="shared" si="1"/>
        <v>0</v>
      </c>
      <c r="O21" s="46"/>
      <c r="P21" s="154">
        <f t="shared" si="9"/>
        <v>2.4202753798958407E-2</v>
      </c>
      <c r="Q21" s="154">
        <f t="shared" si="10"/>
        <v>0.11758142889982799</v>
      </c>
      <c r="R21" s="154">
        <f t="shared" si="11"/>
        <v>0.27060989433465715</v>
      </c>
      <c r="S21" s="154">
        <f t="shared" si="12"/>
        <v>0.49675195992168242</v>
      </c>
      <c r="T21" s="154">
        <f t="shared" si="13"/>
        <v>0.65687696685770458</v>
      </c>
      <c r="U21" s="154">
        <f t="shared" si="14"/>
        <v>0.76279993341418761</v>
      </c>
      <c r="V21" s="154">
        <f t="shared" si="15"/>
        <v>0.88963005239669302</v>
      </c>
      <c r="W21" s="162">
        <v>1</v>
      </c>
      <c r="X21" s="154"/>
      <c r="Y21" s="142">
        <f t="shared" si="25"/>
        <v>3.5647873392680517E-2</v>
      </c>
      <c r="Z21" s="142">
        <f t="shared" si="3"/>
        <v>5.8635014836795257E-2</v>
      </c>
      <c r="AA21" s="142">
        <f t="shared" si="3"/>
        <v>6.9554896142433265E-2</v>
      </c>
      <c r="AB21" s="142">
        <f t="shared" si="3"/>
        <v>6.5440158259149381E-2</v>
      </c>
      <c r="AC21" s="142">
        <f t="shared" si="3"/>
        <v>2.6795252225519296E-2</v>
      </c>
      <c r="AD21" s="142">
        <f t="shared" si="3"/>
        <v>1.0556379821958463E-2</v>
      </c>
      <c r="AE21" s="142">
        <f t="shared" si="3"/>
        <v>4.82255192878339E-3</v>
      </c>
      <c r="AF21" s="142">
        <f t="shared" si="3"/>
        <v>0</v>
      </c>
      <c r="AH21" s="158">
        <f t="shared" si="16"/>
        <v>2.1760633036597428E-2</v>
      </c>
      <c r="AI21" s="158">
        <f t="shared" si="17"/>
        <v>0.10682492581602374</v>
      </c>
      <c r="AJ21" s="158">
        <f t="shared" si="18"/>
        <v>0.25222551928783377</v>
      </c>
      <c r="AK21" s="158">
        <f t="shared" si="19"/>
        <v>0.47279920870425318</v>
      </c>
      <c r="AL21" s="158">
        <f t="shared" si="20"/>
        <v>0.63204747774480707</v>
      </c>
      <c r="AM21" s="158">
        <f t="shared" si="21"/>
        <v>0.73887240356083084</v>
      </c>
      <c r="AN21" s="158">
        <f t="shared" si="22"/>
        <v>0.86943620178041536</v>
      </c>
      <c r="AO21" s="158">
        <v>1</v>
      </c>
      <c r="AP21" s="143"/>
      <c r="AQ21" s="152">
        <f>('B2-RdTr'!$E130-'B2-RdTr'!$D130)*'B2-RdTr'!$H130/(('B2-RdTr'!$E92-'B2-RdTr'!$D92)*'B2-RdTr'!$H92)*100</f>
        <v>2.4202753798958407</v>
      </c>
      <c r="AR21" s="152">
        <f>('B2-RdTr'!$E168-'B2-RdTr'!$D168)*'B2-RdTr'!$H168/(('B2-RdTr'!$E92-'B2-RdTr'!$D92)*'B2-RdTr'!$H92)*100</f>
        <v>9.3378675100869586</v>
      </c>
      <c r="AS21" s="152">
        <f>('B2-RdTr'!$E206-'B2-RdTr'!$D206)*'B2-RdTr'!$H206/(('B2-RdTr'!$E92-'B2-RdTr'!$D92)*'B2-RdTr'!$H92)*100</f>
        <v>15.302846543482914</v>
      </c>
      <c r="AT21" s="152">
        <f>('B2-RdTr'!$E244-'B2-RdTr'!$D244)*'B2-RdTr'!$H244/(('B2-RdTr'!$E92-'B2-RdTr'!$D92)*'B2-RdTr'!$H92)*100</f>
        <v>22.614206558702527</v>
      </c>
      <c r="AU21" s="152">
        <f>('B2-RdTr'!$E320-'B2-RdTr'!$D320)*'B2-RdTr'!$H320/(('B2-RdTr'!$E92-'B2-RdTr'!$D92)*'B2-RdTr'!$H92)*100</f>
        <v>16.01250069360221</v>
      </c>
      <c r="AV21" s="152">
        <f>('B2-RdTr'!$E358-'B2-RdTr'!$D358)*'B2-RdTr'!$H358/(('B2-RdTr'!$E92-'B2-RdTr'!$D92)*'B2-RdTr'!$H92)*100</f>
        <v>10.592296655648301</v>
      </c>
      <c r="AW21" s="152">
        <f>('B2-RdTr'!$E396-'B2-RdTr'!$D396)*'B2-RdTr'!$H396/(('B2-RdTr'!$E92-'B2-RdTr'!$D92)*'B2-RdTr'!$H92)*100</f>
        <v>12.683011898250538</v>
      </c>
      <c r="AX21" s="152">
        <f t="shared" si="23"/>
        <v>11.036994760330714</v>
      </c>
      <c r="AY21" s="44"/>
      <c r="AZ21" s="152">
        <f>'B2-RdTr'!$N130</f>
        <v>2.2000000000000002</v>
      </c>
      <c r="BA21" s="152">
        <f>'B2-RdTr'!$N168</f>
        <v>8.6</v>
      </c>
      <c r="BB21" s="152">
        <f>'B2-RdTr'!$N206</f>
        <v>14.7</v>
      </c>
      <c r="BC21" s="152">
        <f>'B2-RdTr'!$N244</f>
        <v>22.3</v>
      </c>
      <c r="BD21" s="152">
        <f>'B2-RdTr'!$N320</f>
        <v>16.100000000000001</v>
      </c>
      <c r="BE21" s="152">
        <f>'B2-RdTr'!$N358</f>
        <v>10.8</v>
      </c>
      <c r="BF21" s="152">
        <f>'B2-RdTr'!$N396</f>
        <v>13.2</v>
      </c>
      <c r="BG21" s="152">
        <f>'B2-RdTr'!$N434</f>
        <v>13.2</v>
      </c>
    </row>
    <row r="22" spans="1:59">
      <c r="A22" s="46">
        <f t="shared" si="24"/>
        <v>1993</v>
      </c>
      <c r="B22" s="141">
        <f t="shared" si="5"/>
        <v>3.9338105231188858E-2</v>
      </c>
      <c r="C22" s="46"/>
      <c r="D22" s="141">
        <f t="shared" si="6"/>
        <v>0.50430743932326672</v>
      </c>
      <c r="E22" s="141">
        <f t="shared" si="7"/>
        <v>0.54364554455445557</v>
      </c>
      <c r="F22" s="46"/>
      <c r="G22" s="157">
        <f t="shared" si="8"/>
        <v>3.5162463435844733E-2</v>
      </c>
      <c r="H22" s="157">
        <f t="shared" si="1"/>
        <v>5.6386275594908698E-2</v>
      </c>
      <c r="I22" s="157">
        <f t="shared" si="1"/>
        <v>6.5522966242390721E-2</v>
      </c>
      <c r="J22" s="157">
        <f t="shared" si="1"/>
        <v>5.9305873982132967E-2</v>
      </c>
      <c r="K22" s="157">
        <f t="shared" si="1"/>
        <v>2.3453039765989406E-2</v>
      </c>
      <c r="L22" s="157">
        <f t="shared" si="1"/>
        <v>8.818681318681321E-3</v>
      </c>
      <c r="M22" s="157">
        <f t="shared" si="1"/>
        <v>3.5044193216855124E-3</v>
      </c>
      <c r="N22" s="157">
        <f t="shared" si="1"/>
        <v>0</v>
      </c>
      <c r="O22" s="46"/>
      <c r="P22" s="154">
        <f t="shared" si="9"/>
        <v>2.4187682820776345E-2</v>
      </c>
      <c r="Q22" s="154">
        <f t="shared" si="10"/>
        <v>0.11806862202545657</v>
      </c>
      <c r="R22" s="154">
        <f t="shared" si="11"/>
        <v>0.27238516878804653</v>
      </c>
      <c r="S22" s="154">
        <f t="shared" si="12"/>
        <v>0.50347063008933524</v>
      </c>
      <c r="T22" s="154">
        <f t="shared" si="13"/>
        <v>0.66546960234010599</v>
      </c>
      <c r="U22" s="154">
        <f t="shared" si="14"/>
        <v>0.77362637362637365</v>
      </c>
      <c r="V22" s="154">
        <f t="shared" si="15"/>
        <v>0.90238951695786229</v>
      </c>
      <c r="W22" s="162">
        <v>1</v>
      </c>
      <c r="X22" s="154"/>
      <c r="Y22" s="142">
        <f t="shared" si="25"/>
        <v>3.5841584158415846E-2</v>
      </c>
      <c r="Z22" s="142">
        <f t="shared" si="3"/>
        <v>5.9009900990099021E-2</v>
      </c>
      <c r="AA22" s="142">
        <f t="shared" si="3"/>
        <v>6.9900990099009921E-2</v>
      </c>
      <c r="AB22" s="142">
        <f t="shared" si="3"/>
        <v>6.5346534653465363E-2</v>
      </c>
      <c r="AC22" s="142">
        <f t="shared" si="3"/>
        <v>2.6633663366336637E-2</v>
      </c>
      <c r="AD22" s="142">
        <f t="shared" si="3"/>
        <v>1.0420792079207925E-2</v>
      </c>
      <c r="AE22" s="142">
        <f t="shared" si="3"/>
        <v>4.6693069306930736E-3</v>
      </c>
      <c r="AF22" s="142">
        <f t="shared" si="3"/>
        <v>0</v>
      </c>
      <c r="AH22" s="158">
        <f t="shared" si="16"/>
        <v>2.0792079207920793E-2</v>
      </c>
      <c r="AI22" s="158">
        <f t="shared" si="17"/>
        <v>0.10495049504950496</v>
      </c>
      <c r="AJ22" s="158">
        <f t="shared" si="18"/>
        <v>0.2504950495049505</v>
      </c>
      <c r="AK22" s="158">
        <f t="shared" si="19"/>
        <v>0.47326732673267324</v>
      </c>
      <c r="AL22" s="158">
        <f t="shared" si="20"/>
        <v>0.63366336633663367</v>
      </c>
      <c r="AM22" s="158">
        <f t="shared" si="21"/>
        <v>0.74158415841584158</v>
      </c>
      <c r="AN22" s="158">
        <f t="shared" si="22"/>
        <v>0.87326732673267327</v>
      </c>
      <c r="AO22" s="158">
        <v>1</v>
      </c>
      <c r="AP22" s="143"/>
      <c r="AQ22" s="152">
        <f>('B2-RdTr'!$E131-'B2-RdTr'!$D131)*'B2-RdTr'!$H131/(('B2-RdTr'!$E93-'B2-RdTr'!$D93)*'B2-RdTr'!$H93)*100</f>
        <v>2.4187682820776346</v>
      </c>
      <c r="AR22" s="152">
        <f>('B2-RdTr'!$E169-'B2-RdTr'!$D169)*'B2-RdTr'!$H169/(('B2-RdTr'!$E93-'B2-RdTr'!$D93)*'B2-RdTr'!$H93)*100</f>
        <v>9.3880939204680214</v>
      </c>
      <c r="AS22" s="152">
        <f>('B2-RdTr'!$E207-'B2-RdTr'!$D207)*'B2-RdTr'!$H207/(('B2-RdTr'!$E93-'B2-RdTr'!$D93)*'B2-RdTr'!$H93)*100</f>
        <v>15.431654676258994</v>
      </c>
      <c r="AT22" s="152">
        <f>('B2-RdTr'!$E245-'B2-RdTr'!$D245)*'B2-RdTr'!$H245/(('B2-RdTr'!$E93-'B2-RdTr'!$D93)*'B2-RdTr'!$H93)*100</f>
        <v>23.108546130128865</v>
      </c>
      <c r="AU22" s="152">
        <f>('B2-RdTr'!$E321-'B2-RdTr'!$D321)*'B2-RdTr'!$H321/(('B2-RdTr'!$E93-'B2-RdTr'!$D93)*'B2-RdTr'!$H93)*100</f>
        <v>16.199897225077077</v>
      </c>
      <c r="AV22" s="152">
        <f>('B2-RdTr'!$E359-'B2-RdTr'!$D359)*'B2-RdTr'!$H359/(('B2-RdTr'!$E93-'B2-RdTr'!$D93)*'B2-RdTr'!$H93)*100</f>
        <v>10.815677128626769</v>
      </c>
      <c r="AW22" s="152">
        <f>('B2-RdTr'!$E397-'B2-RdTr'!$D397)*'B2-RdTr'!$H397/(('B2-RdTr'!$E93-'B2-RdTr'!$D93)*'B2-RdTr'!$H93)*100</f>
        <v>12.876314333148867</v>
      </c>
      <c r="AX22" s="152">
        <f t="shared" si="23"/>
        <v>9.7610483042137588</v>
      </c>
      <c r="AY22" s="44"/>
      <c r="AZ22" s="152">
        <f>'B2-RdTr'!$N131</f>
        <v>2.1</v>
      </c>
      <c r="BA22" s="152">
        <f>'B2-RdTr'!$N169</f>
        <v>8.5</v>
      </c>
      <c r="BB22" s="152">
        <f>'B2-RdTr'!$N207</f>
        <v>14.7</v>
      </c>
      <c r="BC22" s="152">
        <f>'B2-RdTr'!$N245</f>
        <v>22.5</v>
      </c>
      <c r="BD22" s="152">
        <f>'B2-RdTr'!$N321</f>
        <v>16.2</v>
      </c>
      <c r="BE22" s="152">
        <f>'B2-RdTr'!$N359</f>
        <v>10.9</v>
      </c>
      <c r="BF22" s="152">
        <f>'B2-RdTr'!$N397</f>
        <v>13.3</v>
      </c>
      <c r="BG22" s="152">
        <f>'B2-RdTr'!$N435</f>
        <v>12.8</v>
      </c>
    </row>
    <row r="23" spans="1:59">
      <c r="A23" s="46">
        <f t="shared" si="24"/>
        <v>1994</v>
      </c>
      <c r="B23" s="141">
        <f t="shared" si="5"/>
        <v>4.177744862492605E-2</v>
      </c>
      <c r="C23" s="46"/>
      <c r="D23" s="141">
        <f t="shared" si="6"/>
        <v>0.50168842439094719</v>
      </c>
      <c r="E23" s="141">
        <f t="shared" si="7"/>
        <v>0.54346587301587324</v>
      </c>
      <c r="F23" s="46"/>
      <c r="G23" s="157">
        <f t="shared" si="8"/>
        <v>3.5289029839988474E-2</v>
      </c>
      <c r="H23" s="157">
        <f t="shared" si="1"/>
        <v>5.6197587814136765E-2</v>
      </c>
      <c r="I23" s="157">
        <f t="shared" si="1"/>
        <v>6.5071356494161764E-2</v>
      </c>
      <c r="J23" s="157">
        <f t="shared" si="1"/>
        <v>5.87466243813368E-2</v>
      </c>
      <c r="K23" s="157">
        <f t="shared" si="1"/>
        <v>2.3211859112969104E-2</v>
      </c>
      <c r="L23" s="157">
        <f t="shared" si="1"/>
        <v>8.7880688097640661E-3</v>
      </c>
      <c r="M23" s="157">
        <f t="shared" si="1"/>
        <v>3.5396857431166228E-3</v>
      </c>
      <c r="N23" s="157">
        <f t="shared" si="1"/>
        <v>0</v>
      </c>
      <c r="O23" s="46"/>
      <c r="P23" s="154">
        <f t="shared" si="9"/>
        <v>2.3554850800057661E-2</v>
      </c>
      <c r="Q23" s="154">
        <f t="shared" si="10"/>
        <v>0.11901206092931621</v>
      </c>
      <c r="R23" s="154">
        <f t="shared" si="11"/>
        <v>0.2746432175291913</v>
      </c>
      <c r="S23" s="154">
        <f t="shared" si="12"/>
        <v>0.50626687809331605</v>
      </c>
      <c r="T23" s="154">
        <f t="shared" si="13"/>
        <v>0.667881408870309</v>
      </c>
      <c r="U23" s="154">
        <f t="shared" si="14"/>
        <v>0.77423862380471875</v>
      </c>
      <c r="V23" s="154">
        <f t="shared" si="15"/>
        <v>0.90150785642208453</v>
      </c>
      <c r="W23" s="162">
        <v>1</v>
      </c>
      <c r="X23" s="154"/>
      <c r="Y23" s="142">
        <f t="shared" si="25"/>
        <v>3.603174603174604E-2</v>
      </c>
      <c r="Z23" s="142">
        <f t="shared" si="3"/>
        <v>5.8968253968253982E-2</v>
      </c>
      <c r="AA23" s="142">
        <f t="shared" si="3"/>
        <v>6.9801587301587323E-2</v>
      </c>
      <c r="AB23" s="142">
        <f t="shared" si="3"/>
        <v>6.515873015873018E-2</v>
      </c>
      <c r="AC23" s="142">
        <f t="shared" si="3"/>
        <v>2.6607142857142864E-2</v>
      </c>
      <c r="AD23" s="142">
        <f t="shared" si="3"/>
        <v>1.0446428571428579E-2</v>
      </c>
      <c r="AE23" s="142">
        <f t="shared" si="3"/>
        <v>4.719047619047627E-3</v>
      </c>
      <c r="AF23" s="142">
        <f t="shared" si="3"/>
        <v>0</v>
      </c>
      <c r="AH23" s="158">
        <f t="shared" si="16"/>
        <v>1.984126984126984E-2</v>
      </c>
      <c r="AI23" s="158">
        <f t="shared" si="17"/>
        <v>0.10515873015873015</v>
      </c>
      <c r="AJ23" s="158">
        <f t="shared" si="18"/>
        <v>0.25099206349206349</v>
      </c>
      <c r="AK23" s="158">
        <f t="shared" si="19"/>
        <v>0.47420634920634919</v>
      </c>
      <c r="AL23" s="158">
        <f t="shared" si="20"/>
        <v>0.6339285714285714</v>
      </c>
      <c r="AM23" s="158">
        <f t="shared" si="21"/>
        <v>0.74107142857142849</v>
      </c>
      <c r="AN23" s="158">
        <f t="shared" si="22"/>
        <v>0.87202380952380942</v>
      </c>
      <c r="AO23" s="158">
        <v>1</v>
      </c>
      <c r="AP23" s="143"/>
      <c r="AQ23" s="152">
        <f>('B2-RdTr'!$E132-'B2-RdTr'!$D132)*'B2-RdTr'!$H132/(('B2-RdTr'!$E94-'B2-RdTr'!$D94)*'B2-RdTr'!$H94)*100</f>
        <v>2.3554850800057663</v>
      </c>
      <c r="AR23" s="152">
        <f>('B2-RdTr'!$E170-'B2-RdTr'!$D170)*'B2-RdTr'!$H170/(('B2-RdTr'!$E94-'B2-RdTr'!$D94)*'B2-RdTr'!$H94)*100</f>
        <v>9.5457210129258545</v>
      </c>
      <c r="AS23" s="152">
        <f>('B2-RdTr'!$E208-'B2-RdTr'!$D208)*'B2-RdTr'!$H208/(('B2-RdTr'!$E94-'B2-RdTr'!$D94)*'B2-RdTr'!$H94)*100</f>
        <v>15.563115659987506</v>
      </c>
      <c r="AT23" s="152">
        <f>('B2-RdTr'!$E246-'B2-RdTr'!$D246)*'B2-RdTr'!$H246/(('B2-RdTr'!$E94-'B2-RdTr'!$D94)*'B2-RdTr'!$H94)*100</f>
        <v>23.162366056412473</v>
      </c>
      <c r="AU23" s="152">
        <f>('B2-RdTr'!$E322-'B2-RdTr'!$D322)*'B2-RdTr'!$H322/(('B2-RdTr'!$E94-'B2-RdTr'!$D94)*'B2-RdTr'!$H94)*100</f>
        <v>16.161453077699296</v>
      </c>
      <c r="AV23" s="152">
        <f>('B2-RdTr'!$E360-'B2-RdTr'!$D360)*'B2-RdTr'!$H360/(('B2-RdTr'!$E94-'B2-RdTr'!$D94)*'B2-RdTr'!$H94)*100</f>
        <v>10.63572149344097</v>
      </c>
      <c r="AW23" s="152">
        <f>('B2-RdTr'!$E398-'B2-RdTr'!$D398)*'B2-RdTr'!$H398/(('B2-RdTr'!$E94-'B2-RdTr'!$D94)*'B2-RdTr'!$H94)*100</f>
        <v>12.72692326173658</v>
      </c>
      <c r="AX23" s="152">
        <f t="shared" si="23"/>
        <v>9.849214357791567</v>
      </c>
      <c r="AY23" s="44"/>
      <c r="AZ23" s="152">
        <f>'B2-RdTr'!$N132</f>
        <v>2</v>
      </c>
      <c r="BA23" s="152">
        <f>'B2-RdTr'!$N170</f>
        <v>8.6</v>
      </c>
      <c r="BB23" s="152">
        <f>'B2-RdTr'!$N208</f>
        <v>14.7</v>
      </c>
      <c r="BC23" s="152">
        <f>'B2-RdTr'!$N246</f>
        <v>22.5</v>
      </c>
      <c r="BD23" s="152">
        <f>'B2-RdTr'!$N322</f>
        <v>16.100000000000001</v>
      </c>
      <c r="BE23" s="152">
        <f>'B2-RdTr'!$N360</f>
        <v>10.8</v>
      </c>
      <c r="BF23" s="152">
        <f>'B2-RdTr'!$N398</f>
        <v>13.2</v>
      </c>
      <c r="BG23" s="152">
        <f>'B2-RdTr'!$N436</f>
        <v>12.9</v>
      </c>
    </row>
    <row r="24" spans="1:59">
      <c r="A24" s="46">
        <f t="shared" si="24"/>
        <v>1995</v>
      </c>
      <c r="B24" s="141">
        <f t="shared" si="5"/>
        <v>4.3082968891470008E-2</v>
      </c>
      <c r="C24" s="46"/>
      <c r="D24" s="141">
        <f t="shared" si="6"/>
        <v>0.50173089249466873</v>
      </c>
      <c r="E24" s="141">
        <f t="shared" si="7"/>
        <v>0.54481386138613874</v>
      </c>
      <c r="F24" s="46"/>
      <c r="G24" s="157">
        <f t="shared" si="8"/>
        <v>3.4520673537981404E-2</v>
      </c>
      <c r="H24" s="157">
        <f t="shared" si="8"/>
        <v>5.536851871886226E-2</v>
      </c>
      <c r="I24" s="157">
        <f t="shared" si="8"/>
        <v>6.4809565808944217E-2</v>
      </c>
      <c r="J24" s="157">
        <f t="shared" si="8"/>
        <v>5.9378941211202178E-2</v>
      </c>
      <c r="K24" s="157">
        <f t="shared" si="8"/>
        <v>2.3876033951947252E-2</v>
      </c>
      <c r="L24" s="157">
        <f t="shared" si="8"/>
        <v>9.1127174943477617E-3</v>
      </c>
      <c r="M24" s="157">
        <f t="shared" si="8"/>
        <v>3.7989955240492978E-3</v>
      </c>
      <c r="N24" s="157">
        <f t="shared" si="8"/>
        <v>0</v>
      </c>
      <c r="O24" s="46"/>
      <c r="P24" s="154">
        <f t="shared" si="9"/>
        <v>2.739663231009298E-2</v>
      </c>
      <c r="Q24" s="154">
        <f t="shared" si="10"/>
        <v>0.12315740640568873</v>
      </c>
      <c r="R24" s="154">
        <f t="shared" si="11"/>
        <v>0.27595217095527902</v>
      </c>
      <c r="S24" s="154">
        <f t="shared" si="12"/>
        <v>0.50310529394398917</v>
      </c>
      <c r="T24" s="154">
        <f t="shared" si="13"/>
        <v>0.66123966048052751</v>
      </c>
      <c r="U24" s="154">
        <f t="shared" si="14"/>
        <v>0.76774565011304485</v>
      </c>
      <c r="V24" s="154">
        <f t="shared" si="15"/>
        <v>0.89502511189876766</v>
      </c>
      <c r="W24" s="162">
        <v>1</v>
      </c>
      <c r="X24" s="154"/>
      <c r="Y24" s="142">
        <f t="shared" si="25"/>
        <v>3.5445544554455449E-2</v>
      </c>
      <c r="Z24" s="142">
        <f t="shared" si="25"/>
        <v>5.8415841584158426E-2</v>
      </c>
      <c r="AA24" s="142">
        <f t="shared" si="25"/>
        <v>6.9702970297029737E-2</v>
      </c>
      <c r="AB24" s="142">
        <f t="shared" si="25"/>
        <v>6.5940594059405971E-2</v>
      </c>
      <c r="AC24" s="142">
        <f t="shared" si="25"/>
        <v>2.7227722772277241E-2</v>
      </c>
      <c r="AD24" s="142">
        <f t="shared" si="25"/>
        <v>1.0767326732673277E-2</v>
      </c>
      <c r="AE24" s="142">
        <f t="shared" si="25"/>
        <v>4.9069306930693158E-3</v>
      </c>
      <c r="AF24" s="142">
        <f t="shared" si="25"/>
        <v>0</v>
      </c>
      <c r="AH24" s="158">
        <f t="shared" si="16"/>
        <v>2.2772277227722768E-2</v>
      </c>
      <c r="AI24" s="158">
        <f t="shared" si="17"/>
        <v>0.10792079207920789</v>
      </c>
      <c r="AJ24" s="158">
        <f t="shared" si="18"/>
        <v>0.25148514851485143</v>
      </c>
      <c r="AK24" s="158">
        <f t="shared" si="19"/>
        <v>0.47029702970297022</v>
      </c>
      <c r="AL24" s="158">
        <f t="shared" si="20"/>
        <v>0.62772277227722761</v>
      </c>
      <c r="AM24" s="158">
        <f t="shared" si="21"/>
        <v>0.73465346534653453</v>
      </c>
      <c r="AN24" s="158">
        <f t="shared" si="22"/>
        <v>0.86732673267326721</v>
      </c>
      <c r="AO24" s="158">
        <v>1</v>
      </c>
      <c r="AP24" s="143"/>
      <c r="AQ24" s="152">
        <f>('B2-RdTr'!$E133-'B2-RdTr'!$D133)*'B2-RdTr'!$H133/(('B2-RdTr'!$E95-'B2-RdTr'!$D95)*'B2-RdTr'!$H95)*100</f>
        <v>2.7396632310092981</v>
      </c>
      <c r="AR24" s="152">
        <f>('B2-RdTr'!$E171-'B2-RdTr'!$D171)*'B2-RdTr'!$H171/(('B2-RdTr'!$E95-'B2-RdTr'!$D95)*'B2-RdTr'!$H95)*100</f>
        <v>9.5760774095595753</v>
      </c>
      <c r="AS24" s="152">
        <f>('B2-RdTr'!$E209-'B2-RdTr'!$D209)*'B2-RdTr'!$H209/(('B2-RdTr'!$E95-'B2-RdTr'!$D95)*'B2-RdTr'!$H95)*100</f>
        <v>15.279476454959029</v>
      </c>
      <c r="AT24" s="152">
        <f>('B2-RdTr'!$E247-'B2-RdTr'!$D247)*'B2-RdTr'!$H247/(('B2-RdTr'!$E95-'B2-RdTr'!$D95)*'B2-RdTr'!$H95)*100</f>
        <v>22.715312298871019</v>
      </c>
      <c r="AU24" s="152">
        <f>('B2-RdTr'!$E323-'B2-RdTr'!$D323)*'B2-RdTr'!$H323/(('B2-RdTr'!$E95-'B2-RdTr'!$D95)*'B2-RdTr'!$H95)*100</f>
        <v>15.813436653653834</v>
      </c>
      <c r="AV24" s="152">
        <f>('B2-RdTr'!$E361-'B2-RdTr'!$D361)*'B2-RdTr'!$H361/(('B2-RdTr'!$E95-'B2-RdTr'!$D95)*'B2-RdTr'!$H95)*100</f>
        <v>10.65059896325173</v>
      </c>
      <c r="AW24" s="152">
        <f>('B2-RdTr'!$E399-'B2-RdTr'!$D399)*'B2-RdTr'!$H399/(('B2-RdTr'!$E95-'B2-RdTr'!$D95)*'B2-RdTr'!$H95)*100</f>
        <v>12.727946178572278</v>
      </c>
      <c r="AX24" s="152">
        <f t="shared" si="23"/>
        <v>10.497488810123244</v>
      </c>
      <c r="AY24" s="44"/>
      <c r="AZ24" s="152">
        <f>'B2-RdTr'!$N133</f>
        <v>2.2999999999999998</v>
      </c>
      <c r="BA24" s="152">
        <f>'B2-RdTr'!$N171</f>
        <v>8.6</v>
      </c>
      <c r="BB24" s="152">
        <f>'B2-RdTr'!$N209</f>
        <v>14.5</v>
      </c>
      <c r="BC24" s="152">
        <f>'B2-RdTr'!$N247</f>
        <v>22.1</v>
      </c>
      <c r="BD24" s="152">
        <f>'B2-RdTr'!$N323</f>
        <v>15.9</v>
      </c>
      <c r="BE24" s="152">
        <f>'B2-RdTr'!$N361</f>
        <v>10.8</v>
      </c>
      <c r="BF24" s="152">
        <f>'B2-RdTr'!$N399</f>
        <v>13.4</v>
      </c>
      <c r="BG24" s="152">
        <f>'B2-RdTr'!$N437</f>
        <v>13.4</v>
      </c>
    </row>
    <row r="25" spans="1:59">
      <c r="A25" s="46">
        <f t="shared" si="24"/>
        <v>1996</v>
      </c>
      <c r="B25" s="141">
        <f t="shared" si="5"/>
        <v>4.6638648150764794E-2</v>
      </c>
      <c r="C25" s="46"/>
      <c r="D25" s="141">
        <f t="shared" si="6"/>
        <v>0.51321611375399723</v>
      </c>
      <c r="E25" s="141">
        <f t="shared" si="7"/>
        <v>0.55985476190476202</v>
      </c>
      <c r="F25" s="46"/>
      <c r="G25" s="157">
        <f t="shared" si="8"/>
        <v>3.4553736063792119E-2</v>
      </c>
      <c r="H25" s="157">
        <f t="shared" si="8"/>
        <v>5.5885017889633785E-2</v>
      </c>
      <c r="I25" s="157">
        <f t="shared" si="8"/>
        <v>6.5921843844692532E-2</v>
      </c>
      <c r="J25" s="157">
        <f t="shared" si="8"/>
        <v>6.1441812025392652E-2</v>
      </c>
      <c r="K25" s="157">
        <f t="shared" si="8"/>
        <v>2.4898828931140184E-2</v>
      </c>
      <c r="L25" s="157">
        <f t="shared" si="8"/>
        <v>9.688065320277656E-3</v>
      </c>
      <c r="M25" s="157">
        <f t="shared" si="8"/>
        <v>4.2187528020696564E-3</v>
      </c>
      <c r="N25" s="157">
        <f t="shared" si="8"/>
        <v>0</v>
      </c>
      <c r="O25" s="46"/>
      <c r="P25" s="154">
        <f t="shared" si="9"/>
        <v>2.7231319681039434E-2</v>
      </c>
      <c r="Q25" s="154">
        <f t="shared" si="10"/>
        <v>0.1205749105518311</v>
      </c>
      <c r="R25" s="154">
        <f t="shared" si="11"/>
        <v>0.27039078077653744</v>
      </c>
      <c r="S25" s="154">
        <f t="shared" si="12"/>
        <v>0.49279093987303679</v>
      </c>
      <c r="T25" s="154">
        <f t="shared" si="13"/>
        <v>0.6510117106885982</v>
      </c>
      <c r="U25" s="154">
        <f t="shared" si="14"/>
        <v>0.75623869359444695</v>
      </c>
      <c r="V25" s="154">
        <f t="shared" si="15"/>
        <v>0.88453117994825869</v>
      </c>
      <c r="W25" s="162">
        <v>1</v>
      </c>
      <c r="X25" s="154"/>
      <c r="Y25" s="142">
        <f t="shared" si="25"/>
        <v>3.5634920634920637E-2</v>
      </c>
      <c r="Z25" s="142">
        <f t="shared" si="25"/>
        <v>5.9166666666666673E-2</v>
      </c>
      <c r="AA25" s="142">
        <f t="shared" si="25"/>
        <v>7.1190476190476207E-2</v>
      </c>
      <c r="AB25" s="142">
        <f t="shared" si="25"/>
        <v>6.8333333333333343E-2</v>
      </c>
      <c r="AC25" s="142">
        <f t="shared" si="25"/>
        <v>2.8591269841269841E-2</v>
      </c>
      <c r="AD25" s="142">
        <f t="shared" si="25"/>
        <v>1.1537698412698416E-2</v>
      </c>
      <c r="AE25" s="142">
        <f t="shared" si="25"/>
        <v>5.4730158730158787E-3</v>
      </c>
      <c r="AF25" s="142">
        <f t="shared" si="25"/>
        <v>0</v>
      </c>
      <c r="AH25" s="158">
        <f t="shared" si="16"/>
        <v>2.1825396825396828E-2</v>
      </c>
      <c r="AI25" s="158">
        <f t="shared" si="17"/>
        <v>0.10416666666666669</v>
      </c>
      <c r="AJ25" s="158">
        <f t="shared" si="18"/>
        <v>0.24404761904761907</v>
      </c>
      <c r="AK25" s="158">
        <f t="shared" si="19"/>
        <v>0.45833333333333337</v>
      </c>
      <c r="AL25" s="158">
        <f t="shared" si="20"/>
        <v>0.61408730158730163</v>
      </c>
      <c r="AM25" s="158">
        <f t="shared" si="21"/>
        <v>0.71924603174603174</v>
      </c>
      <c r="AN25" s="158">
        <f t="shared" si="22"/>
        <v>0.85317460317460314</v>
      </c>
      <c r="AO25" s="158">
        <v>1</v>
      </c>
      <c r="AP25" s="143"/>
      <c r="AQ25" s="152">
        <f>('B2-RdTr'!$E134-'B2-RdTr'!$D134)*'B2-RdTr'!$H134/(('B2-RdTr'!$E96-'B2-RdTr'!$D96)*'B2-RdTr'!$H96)*100</f>
        <v>2.7231319681039432</v>
      </c>
      <c r="AR25" s="152">
        <f>('B2-RdTr'!$E172-'B2-RdTr'!$D172)*'B2-RdTr'!$H172/(('B2-RdTr'!$E96-'B2-RdTr'!$D96)*'B2-RdTr'!$H96)*100</f>
        <v>9.3343590870791662</v>
      </c>
      <c r="AS25" s="152">
        <f>('B2-RdTr'!$E210-'B2-RdTr'!$D210)*'B2-RdTr'!$H210/(('B2-RdTr'!$E96-'B2-RdTr'!$D96)*'B2-RdTr'!$H96)*100</f>
        <v>14.981587022470636</v>
      </c>
      <c r="AT25" s="152">
        <f>('B2-RdTr'!$E248-'B2-RdTr'!$D248)*'B2-RdTr'!$H248/(('B2-RdTr'!$E96-'B2-RdTr'!$D96)*'B2-RdTr'!$H96)*100</f>
        <v>22.240015909649934</v>
      </c>
      <c r="AU25" s="152">
        <f>('B2-RdTr'!$E324-'B2-RdTr'!$D324)*'B2-RdTr'!$H324/(('B2-RdTr'!$E96-'B2-RdTr'!$D96)*'B2-RdTr'!$H96)*100</f>
        <v>15.822077081556147</v>
      </c>
      <c r="AV25" s="152">
        <f>('B2-RdTr'!$E362-'B2-RdTr'!$D362)*'B2-RdTr'!$H362/(('B2-RdTr'!$E96-'B2-RdTr'!$D96)*'B2-RdTr'!$H96)*100</f>
        <v>10.522698290584872</v>
      </c>
      <c r="AW25" s="152">
        <f>('B2-RdTr'!$E400-'B2-RdTr'!$D400)*'B2-RdTr'!$H400/(('B2-RdTr'!$E96-'B2-RdTr'!$D96)*'B2-RdTr'!$H96)*100</f>
        <v>12.829248635381177</v>
      </c>
      <c r="AX25" s="152">
        <f t="shared" si="23"/>
        <v>11.546882005174126</v>
      </c>
      <c r="AY25" s="44"/>
      <c r="AZ25" s="152">
        <f>'B2-RdTr'!$N134</f>
        <v>2.2000000000000002</v>
      </c>
      <c r="BA25" s="152">
        <f>'B2-RdTr'!$N172</f>
        <v>8.3000000000000007</v>
      </c>
      <c r="BB25" s="152">
        <f>'B2-RdTr'!$N210</f>
        <v>14.1</v>
      </c>
      <c r="BC25" s="152">
        <f>'B2-RdTr'!$N248</f>
        <v>21.6</v>
      </c>
      <c r="BD25" s="152">
        <f>'B2-RdTr'!$N324</f>
        <v>15.7</v>
      </c>
      <c r="BE25" s="152">
        <f>'B2-RdTr'!$N362</f>
        <v>10.6</v>
      </c>
      <c r="BF25" s="152">
        <f>'B2-RdTr'!$N400</f>
        <v>13.5</v>
      </c>
      <c r="BG25" s="152">
        <f>'B2-RdTr'!$N438</f>
        <v>14.8</v>
      </c>
    </row>
    <row r="26" spans="1:59">
      <c r="A26" s="46">
        <f t="shared" si="24"/>
        <v>1997</v>
      </c>
      <c r="B26" s="141">
        <f t="shared" si="5"/>
        <v>4.3131446200901147E-2</v>
      </c>
      <c r="C26" s="46"/>
      <c r="D26" s="141">
        <f t="shared" si="6"/>
        <v>0.52542803741379607</v>
      </c>
      <c r="E26" s="141">
        <f t="shared" si="7"/>
        <v>0.56855948361469721</v>
      </c>
      <c r="F26" s="46"/>
      <c r="G26" s="157">
        <f t="shared" si="8"/>
        <v>3.4372860255213203E-2</v>
      </c>
      <c r="H26" s="157">
        <f t="shared" si="8"/>
        <v>5.6080069454682469E-2</v>
      </c>
      <c r="I26" s="157">
        <f t="shared" si="8"/>
        <v>6.6867823152652897E-2</v>
      </c>
      <c r="J26" s="157">
        <f t="shared" si="8"/>
        <v>6.3712221730797589E-2</v>
      </c>
      <c r="K26" s="157">
        <f t="shared" si="8"/>
        <v>2.6350516814913107E-2</v>
      </c>
      <c r="L26" s="157">
        <f t="shared" si="8"/>
        <v>1.0474839058430397E-2</v>
      </c>
      <c r="M26" s="157">
        <f t="shared" si="8"/>
        <v>4.8556882402083709E-3</v>
      </c>
      <c r="N26" s="157">
        <f t="shared" si="8"/>
        <v>0</v>
      </c>
      <c r="O26" s="46"/>
      <c r="P26" s="154">
        <f t="shared" si="9"/>
        <v>2.8135698723934018E-2</v>
      </c>
      <c r="Q26" s="154">
        <f t="shared" si="10"/>
        <v>0.11959965272658771</v>
      </c>
      <c r="R26" s="154">
        <f t="shared" si="11"/>
        <v>0.26566088423673562</v>
      </c>
      <c r="S26" s="154">
        <f t="shared" si="12"/>
        <v>0.48143889134601209</v>
      </c>
      <c r="T26" s="154">
        <f t="shared" si="13"/>
        <v>0.63649483185086897</v>
      </c>
      <c r="U26" s="154">
        <f t="shared" si="14"/>
        <v>0.74050321883139214</v>
      </c>
      <c r="V26" s="154">
        <f t="shared" si="15"/>
        <v>0.86860779399479082</v>
      </c>
      <c r="W26" s="162">
        <v>1</v>
      </c>
      <c r="X26" s="154"/>
      <c r="Y26" s="142">
        <f t="shared" si="25"/>
        <v>3.5431976166832184E-2</v>
      </c>
      <c r="Z26" s="142">
        <f t="shared" si="25"/>
        <v>5.9145978152929504E-2</v>
      </c>
      <c r="AA26" s="142">
        <f t="shared" si="25"/>
        <v>7.1737835153922555E-2</v>
      </c>
      <c r="AB26" s="142">
        <f t="shared" si="25"/>
        <v>7.0228401191658407E-2</v>
      </c>
      <c r="AC26" s="142">
        <f t="shared" si="25"/>
        <v>2.9721946375372399E-2</v>
      </c>
      <c r="AD26" s="142">
        <f t="shared" si="25"/>
        <v>1.2097815292949361E-2</v>
      </c>
      <c r="AE26" s="142">
        <f t="shared" si="25"/>
        <v>5.9157894736842163E-3</v>
      </c>
      <c r="AF26" s="142">
        <f t="shared" si="25"/>
        <v>0</v>
      </c>
      <c r="AH26" s="158">
        <f t="shared" si="16"/>
        <v>2.2840119165839123E-2</v>
      </c>
      <c r="AI26" s="158">
        <f t="shared" si="17"/>
        <v>0.10427010923535253</v>
      </c>
      <c r="AJ26" s="158">
        <f t="shared" si="18"/>
        <v>0.2413108242303873</v>
      </c>
      <c r="AK26" s="158">
        <f t="shared" si="19"/>
        <v>0.44885799404170801</v>
      </c>
      <c r="AL26" s="158">
        <f t="shared" si="20"/>
        <v>0.60278053624627603</v>
      </c>
      <c r="AM26" s="158">
        <f t="shared" si="21"/>
        <v>0.70804369414101287</v>
      </c>
      <c r="AN26" s="158">
        <f t="shared" si="22"/>
        <v>0.84210526315789469</v>
      </c>
      <c r="AO26" s="158">
        <v>1</v>
      </c>
      <c r="AP26" s="143"/>
      <c r="AQ26" s="152">
        <f>('B2-RdTr'!$E135-'B2-RdTr'!$D135)*'B2-RdTr'!$H135/(('B2-RdTr'!$E97-'B2-RdTr'!$D97)*'B2-RdTr'!$H97)*100</f>
        <v>2.8135698723934017</v>
      </c>
      <c r="AR26" s="152">
        <f>('B2-RdTr'!$E173-'B2-RdTr'!$D173)*'B2-RdTr'!$H173/(('B2-RdTr'!$E97-'B2-RdTr'!$D97)*'B2-RdTr'!$H97)*100</f>
        <v>9.1463954002653693</v>
      </c>
      <c r="AS26" s="152">
        <f>('B2-RdTr'!$E211-'B2-RdTr'!$D211)*'B2-RdTr'!$H211/(('B2-RdTr'!$E97-'B2-RdTr'!$D97)*'B2-RdTr'!$H97)*100</f>
        <v>14.60612315101479</v>
      </c>
      <c r="AT26" s="152">
        <f>('B2-RdTr'!$E249-'B2-RdTr'!$D249)*'B2-RdTr'!$H249/(('B2-RdTr'!$E97-'B2-RdTr'!$D97)*'B2-RdTr'!$H97)*100</f>
        <v>21.577800710927647</v>
      </c>
      <c r="AU26" s="152">
        <f>('B2-RdTr'!$E325-'B2-RdTr'!$D325)*'B2-RdTr'!$H325/(('B2-RdTr'!$E97-'B2-RdTr'!$D97)*'B2-RdTr'!$H97)*100</f>
        <v>15.505594050485694</v>
      </c>
      <c r="AV26" s="152">
        <f>('B2-RdTr'!$E363-'B2-RdTr'!$D363)*'B2-RdTr'!$H363/(('B2-RdTr'!$E97-'B2-RdTr'!$D97)*'B2-RdTr'!$H97)*100</f>
        <v>10.40083869805232</v>
      </c>
      <c r="AW26" s="152">
        <f>('B2-RdTr'!$E401-'B2-RdTr'!$D401)*'B2-RdTr'!$H401/(('B2-RdTr'!$E97-'B2-RdTr'!$D97)*'B2-RdTr'!$H97)*100</f>
        <v>12.810457516339868</v>
      </c>
      <c r="AX26" s="152">
        <f t="shared" si="23"/>
        <v>13.1392206005209</v>
      </c>
      <c r="AY26" s="44"/>
      <c r="AZ26" s="152">
        <f>'B2-RdTr'!$N135</f>
        <v>2.2999999999999998</v>
      </c>
      <c r="BA26" s="152">
        <f>'B2-RdTr'!$N173</f>
        <v>8.1999999999999993</v>
      </c>
      <c r="BB26" s="152">
        <f>'B2-RdTr'!$N211</f>
        <v>13.8</v>
      </c>
      <c r="BC26" s="152">
        <f>'B2-RdTr'!$N249</f>
        <v>20.9</v>
      </c>
      <c r="BD26" s="152">
        <f>'B2-RdTr'!$N325</f>
        <v>15.5</v>
      </c>
      <c r="BE26" s="152">
        <f>'B2-RdTr'!$N363</f>
        <v>10.6</v>
      </c>
      <c r="BF26" s="152">
        <f>'B2-RdTr'!$N401</f>
        <v>13.5</v>
      </c>
      <c r="BG26" s="152">
        <f>'B2-RdTr'!$N439</f>
        <v>15.9</v>
      </c>
    </row>
    <row r="27" spans="1:59">
      <c r="A27" s="46">
        <f t="shared" si="24"/>
        <v>1998</v>
      </c>
      <c r="B27" s="141">
        <f t="shared" si="5"/>
        <v>4.1966977179924925E-2</v>
      </c>
      <c r="C27" s="46"/>
      <c r="D27" s="141">
        <f t="shared" si="6"/>
        <v>0.52911175045427017</v>
      </c>
      <c r="E27" s="141">
        <f t="shared" si="7"/>
        <v>0.57107872763419509</v>
      </c>
      <c r="F27" s="46"/>
      <c r="G27" s="157">
        <f t="shared" si="8"/>
        <v>3.3966384009691097E-2</v>
      </c>
      <c r="H27" s="157">
        <f t="shared" si="8"/>
        <v>5.5856147789218658E-2</v>
      </c>
      <c r="I27" s="157">
        <f t="shared" si="8"/>
        <v>6.7126892792247136E-2</v>
      </c>
      <c r="J27" s="157">
        <f t="shared" si="8"/>
        <v>6.4552695336159913E-2</v>
      </c>
      <c r="K27" s="157">
        <f t="shared" si="8"/>
        <v>2.7028770442156271E-2</v>
      </c>
      <c r="L27" s="157">
        <f t="shared" si="8"/>
        <v>1.0887492428831014E-2</v>
      </c>
      <c r="M27" s="157">
        <f t="shared" si="8"/>
        <v>5.1374924288310145E-3</v>
      </c>
      <c r="N27" s="157">
        <f t="shared" si="8"/>
        <v>0</v>
      </c>
      <c r="O27" s="46"/>
      <c r="P27" s="154">
        <f t="shared" si="9"/>
        <v>3.0168079951544517E-2</v>
      </c>
      <c r="Q27" s="154">
        <f t="shared" si="10"/>
        <v>0.12071926105390673</v>
      </c>
      <c r="R27" s="154">
        <f t="shared" si="11"/>
        <v>0.26436553603876445</v>
      </c>
      <c r="S27" s="154">
        <f t="shared" si="12"/>
        <v>0.47723652331920052</v>
      </c>
      <c r="T27" s="154">
        <f t="shared" si="13"/>
        <v>0.62971229557843733</v>
      </c>
      <c r="U27" s="154">
        <f t="shared" si="14"/>
        <v>0.73225015142337979</v>
      </c>
      <c r="V27" s="154">
        <f t="shared" si="15"/>
        <v>0.86156268927922475</v>
      </c>
      <c r="W27" s="162">
        <v>1</v>
      </c>
      <c r="X27" s="154"/>
      <c r="Y27" s="142">
        <f t="shared" si="25"/>
        <v>3.5029821073558655E-2</v>
      </c>
      <c r="Z27" s="142">
        <f t="shared" si="25"/>
        <v>5.8926441351888674E-2</v>
      </c>
      <c r="AA27" s="142">
        <f t="shared" si="25"/>
        <v>7.1888667992047739E-2</v>
      </c>
      <c r="AB27" s="142">
        <f t="shared" si="25"/>
        <v>7.0735586481113347E-2</v>
      </c>
      <c r="AC27" s="142">
        <f t="shared" si="25"/>
        <v>3.0258449304174963E-2</v>
      </c>
      <c r="AD27" s="142">
        <f t="shared" si="25"/>
        <v>1.2460238568588479E-2</v>
      </c>
      <c r="AE27" s="142">
        <f t="shared" si="25"/>
        <v>6.2401590457256571E-3</v>
      </c>
      <c r="AF27" s="142">
        <f t="shared" si="25"/>
        <v>0</v>
      </c>
      <c r="AH27" s="158">
        <f t="shared" si="16"/>
        <v>2.4850894632206758E-2</v>
      </c>
      <c r="AI27" s="158">
        <f t="shared" si="17"/>
        <v>0.10536779324055665</v>
      </c>
      <c r="AJ27" s="158">
        <f t="shared" si="18"/>
        <v>0.24055666003976139</v>
      </c>
      <c r="AK27" s="158">
        <f t="shared" si="19"/>
        <v>0.44632206759443332</v>
      </c>
      <c r="AL27" s="158">
        <f t="shared" si="20"/>
        <v>0.59741550695825041</v>
      </c>
      <c r="AM27" s="158">
        <f t="shared" si="21"/>
        <v>0.70079522862823052</v>
      </c>
      <c r="AN27" s="158">
        <f t="shared" si="22"/>
        <v>0.83399602385685867</v>
      </c>
      <c r="AO27" s="158">
        <v>1</v>
      </c>
      <c r="AP27" s="143"/>
      <c r="AQ27" s="152">
        <f>('B2-RdTr'!$E136-'B2-RdTr'!$D136)*'B2-RdTr'!$H136/(('B2-RdTr'!$E98-'B2-RdTr'!$D98)*'B2-RdTr'!$H98)*100</f>
        <v>3.0168079951544517</v>
      </c>
      <c r="AR27" s="152">
        <f>('B2-RdTr'!$E174-'B2-RdTr'!$D174)*'B2-RdTr'!$H174/(('B2-RdTr'!$E98-'B2-RdTr'!$D98)*'B2-RdTr'!$H98)*100</f>
        <v>9.0551181102362204</v>
      </c>
      <c r="AS27" s="152">
        <f>('B2-RdTr'!$E212-'B2-RdTr'!$D212)*'B2-RdTr'!$H212/(('B2-RdTr'!$E98-'B2-RdTr'!$D98)*'B2-RdTr'!$H98)*100</f>
        <v>14.364627498485769</v>
      </c>
      <c r="AT27" s="152">
        <f>('B2-RdTr'!$E250-'B2-RdTr'!$D250)*'B2-RdTr'!$H250/(('B2-RdTr'!$E98-'B2-RdTr'!$D98)*'B2-RdTr'!$H98)*100</f>
        <v>21.28709872804361</v>
      </c>
      <c r="AU27" s="152">
        <f>('B2-RdTr'!$E326-'B2-RdTr'!$D326)*'B2-RdTr'!$H326/(('B2-RdTr'!$E98-'B2-RdTr'!$D98)*'B2-RdTr'!$H98)*100</f>
        <v>15.247577225923683</v>
      </c>
      <c r="AV27" s="152">
        <f>('B2-RdTr'!$E364-'B2-RdTr'!$D364)*'B2-RdTr'!$H364/(('B2-RdTr'!$E98-'B2-RdTr'!$D98)*'B2-RdTr'!$H98)*100</f>
        <v>10.253785584494246</v>
      </c>
      <c r="AW27" s="152">
        <f>('B2-RdTr'!$E402-'B2-RdTr'!$D402)*'B2-RdTr'!$H402/(('B2-RdTr'!$E98-'B2-RdTr'!$D98)*'B2-RdTr'!$H98)*100</f>
        <v>12.931253785584495</v>
      </c>
      <c r="AX27" s="152">
        <f t="shared" si="23"/>
        <v>13.843731072077532</v>
      </c>
      <c r="AY27" s="44"/>
      <c r="AZ27" s="152">
        <f>'B2-RdTr'!$N136</f>
        <v>2.5</v>
      </c>
      <c r="BA27" s="152">
        <f>'B2-RdTr'!$N174</f>
        <v>8.1</v>
      </c>
      <c r="BB27" s="152">
        <f>'B2-RdTr'!$N212</f>
        <v>13.6</v>
      </c>
      <c r="BC27" s="152">
        <f>'B2-RdTr'!$N250</f>
        <v>20.7</v>
      </c>
      <c r="BD27" s="152">
        <f>'B2-RdTr'!$N326</f>
        <v>15.2</v>
      </c>
      <c r="BE27" s="152">
        <f>'B2-RdTr'!$N364</f>
        <v>10.4</v>
      </c>
      <c r="BF27" s="152">
        <f>'B2-RdTr'!$N402</f>
        <v>13.4</v>
      </c>
      <c r="BG27" s="152">
        <f>'B2-RdTr'!$N440</f>
        <v>16.7</v>
      </c>
    </row>
    <row r="28" spans="1:59">
      <c r="A28" s="46">
        <f t="shared" si="24"/>
        <v>1999</v>
      </c>
      <c r="B28" s="141">
        <f t="shared" si="5"/>
        <v>4.3482915390929078E-2</v>
      </c>
      <c r="C28" s="46"/>
      <c r="D28" s="141">
        <f t="shared" si="6"/>
        <v>0.53713217894869358</v>
      </c>
      <c r="E28" s="141">
        <f t="shared" si="7"/>
        <v>0.58061509433962266</v>
      </c>
      <c r="F28" s="46"/>
      <c r="G28" s="157">
        <f t="shared" si="8"/>
        <v>3.38799684127402E-2</v>
      </c>
      <c r="H28" s="157">
        <f t="shared" si="8"/>
        <v>5.5994540897490189E-2</v>
      </c>
      <c r="I28" s="157">
        <f t="shared" si="8"/>
        <v>6.7755702301521017E-2</v>
      </c>
      <c r="J28" s="157">
        <f t="shared" si="8"/>
        <v>6.5868249081566105E-2</v>
      </c>
      <c r="K28" s="157">
        <f t="shared" si="8"/>
        <v>2.8003135836661822E-2</v>
      </c>
      <c r="L28" s="157">
        <f t="shared" si="8"/>
        <v>1.1484086201174221E-2</v>
      </c>
      <c r="M28" s="157">
        <f t="shared" si="8"/>
        <v>5.5804067431932895E-3</v>
      </c>
      <c r="N28" s="157">
        <f t="shared" si="8"/>
        <v>0</v>
      </c>
      <c r="O28" s="46"/>
      <c r="P28" s="154">
        <f t="shared" si="9"/>
        <v>3.0600157936299027E-2</v>
      </c>
      <c r="Q28" s="154">
        <f t="shared" si="10"/>
        <v>0.12002729551254906</v>
      </c>
      <c r="R28" s="154">
        <f t="shared" si="11"/>
        <v>0.26122148849239502</v>
      </c>
      <c r="S28" s="154">
        <f t="shared" si="12"/>
        <v>0.47065875459216955</v>
      </c>
      <c r="T28" s="154">
        <f t="shared" si="13"/>
        <v>0.61996864163338183</v>
      </c>
      <c r="U28" s="154">
        <f t="shared" si="14"/>
        <v>0.72031827597651565</v>
      </c>
      <c r="V28" s="154">
        <f t="shared" si="15"/>
        <v>0.85048983142016787</v>
      </c>
      <c r="W28" s="162">
        <v>1</v>
      </c>
      <c r="X28" s="154"/>
      <c r="Y28" s="142">
        <f t="shared" si="25"/>
        <v>3.503475670307845E-2</v>
      </c>
      <c r="Z28" s="142">
        <f t="shared" si="25"/>
        <v>5.9145978152929504E-2</v>
      </c>
      <c r="AA28" s="142">
        <f t="shared" si="25"/>
        <v>7.2730883813306876E-2</v>
      </c>
      <c r="AB28" s="142">
        <f t="shared" si="25"/>
        <v>7.2413108242303889E-2</v>
      </c>
      <c r="AC28" s="142">
        <f t="shared" si="25"/>
        <v>3.1310824230387294E-2</v>
      </c>
      <c r="AD28" s="142">
        <f t="shared" si="25"/>
        <v>1.3041211519364455E-2</v>
      </c>
      <c r="AE28" s="142">
        <f t="shared" si="25"/>
        <v>6.6307845084409194E-3</v>
      </c>
      <c r="AF28" s="142">
        <f t="shared" si="25"/>
        <v>0</v>
      </c>
      <c r="AH28" s="158">
        <f t="shared" si="16"/>
        <v>2.4826216484607744E-2</v>
      </c>
      <c r="AI28" s="158">
        <f t="shared" si="17"/>
        <v>0.10427010923535253</v>
      </c>
      <c r="AJ28" s="158">
        <f t="shared" si="18"/>
        <v>0.23634558093346575</v>
      </c>
      <c r="AK28" s="158">
        <f t="shared" si="19"/>
        <v>0.43793445878848064</v>
      </c>
      <c r="AL28" s="158">
        <f t="shared" si="20"/>
        <v>0.58689175769612711</v>
      </c>
      <c r="AM28" s="158">
        <f t="shared" si="21"/>
        <v>0.68917576961271099</v>
      </c>
      <c r="AN28" s="158">
        <f t="shared" si="22"/>
        <v>0.82423038728897713</v>
      </c>
      <c r="AO28" s="158">
        <v>1</v>
      </c>
      <c r="AP28" s="143"/>
      <c r="AQ28" s="152">
        <f>('B2-RdTr'!$E137-'B2-RdTr'!$D137)*'B2-RdTr'!$H137/(('B2-RdTr'!$E99-'B2-RdTr'!$D99)*'B2-RdTr'!$H99)*100</f>
        <v>3.0600157936299026</v>
      </c>
      <c r="AR28" s="152">
        <f>('B2-RdTr'!$E175-'B2-RdTr'!$D175)*'B2-RdTr'!$H175/(('B2-RdTr'!$E99-'B2-RdTr'!$D99)*'B2-RdTr'!$H99)*100</f>
        <v>8.942713757625004</v>
      </c>
      <c r="AS28" s="152">
        <f>('B2-RdTr'!$E213-'B2-RdTr'!$D213)*'B2-RdTr'!$H213/(('B2-RdTr'!$E99-'B2-RdTr'!$D99)*'B2-RdTr'!$H99)*100</f>
        <v>14.119419297984596</v>
      </c>
      <c r="AT28" s="152">
        <f>('B2-RdTr'!$E251-'B2-RdTr'!$D251)*'B2-RdTr'!$H251/(('B2-RdTr'!$E99-'B2-RdTr'!$D99)*'B2-RdTr'!$H99)*100</f>
        <v>20.943726609977453</v>
      </c>
      <c r="AU28" s="152">
        <f>('B2-RdTr'!$E327-'B2-RdTr'!$D327)*'B2-RdTr'!$H327/(('B2-RdTr'!$E99-'B2-RdTr'!$D99)*'B2-RdTr'!$H99)*100</f>
        <v>14.930988704121223</v>
      </c>
      <c r="AV28" s="152">
        <f>('B2-RdTr'!$E365-'B2-RdTr'!$D365)*'B2-RdTr'!$H365/(('B2-RdTr'!$E99-'B2-RdTr'!$D99)*'B2-RdTr'!$H99)*100</f>
        <v>10.034963434313378</v>
      </c>
      <c r="AW28" s="152">
        <f>('B2-RdTr'!$E403-'B2-RdTr'!$D403)*'B2-RdTr'!$H403/(('B2-RdTr'!$E99-'B2-RdTr'!$D99)*'B2-RdTr'!$H99)*100</f>
        <v>13.017155544365226</v>
      </c>
      <c r="AX28" s="152">
        <f t="shared" si="23"/>
        <v>14.95101685798322</v>
      </c>
      <c r="AY28" s="44"/>
      <c r="AZ28" s="152">
        <f>'B2-RdTr'!$N137</f>
        <v>2.5</v>
      </c>
      <c r="BA28" s="152">
        <f>'B2-RdTr'!$N175</f>
        <v>8</v>
      </c>
      <c r="BB28" s="152">
        <f>'B2-RdTr'!$N213</f>
        <v>13.3</v>
      </c>
      <c r="BC28" s="152">
        <f>'B2-RdTr'!$N251</f>
        <v>20.3</v>
      </c>
      <c r="BD28" s="152">
        <f>'B2-RdTr'!$N327</f>
        <v>15</v>
      </c>
      <c r="BE28" s="152">
        <f>'B2-RdTr'!$N365</f>
        <v>10.3</v>
      </c>
      <c r="BF28" s="152">
        <f>'B2-RdTr'!$N403</f>
        <v>13.6</v>
      </c>
      <c r="BG28" s="152">
        <f>'B2-RdTr'!$N441</f>
        <v>17.7</v>
      </c>
    </row>
    <row r="29" spans="1:59">
      <c r="A29" s="46">
        <f t="shared" si="24"/>
        <v>2000</v>
      </c>
      <c r="B29" s="141">
        <f t="shared" si="5"/>
        <v>4.3605261530632156E-2</v>
      </c>
      <c r="C29" s="46"/>
      <c r="D29" s="141">
        <f t="shared" si="6"/>
        <v>0.54625643001165658</v>
      </c>
      <c r="E29" s="141">
        <f t="shared" si="7"/>
        <v>0.58986169154228874</v>
      </c>
      <c r="F29" s="46"/>
      <c r="G29" s="157">
        <f t="shared" si="8"/>
        <v>3.3952119826957304E-2</v>
      </c>
      <c r="H29" s="157">
        <f t="shared" si="8"/>
        <v>5.6341767415315963E-2</v>
      </c>
      <c r="I29" s="157">
        <f t="shared" si="8"/>
        <v>6.860863221426286E-2</v>
      </c>
      <c r="J29" s="157">
        <f t="shared" si="8"/>
        <v>6.7405193973117547E-2</v>
      </c>
      <c r="K29" s="157">
        <f t="shared" si="8"/>
        <v>2.8918590784156963E-2</v>
      </c>
      <c r="L29" s="157">
        <f t="shared" si="8"/>
        <v>1.1912844678829193E-2</v>
      </c>
      <c r="M29" s="157">
        <f t="shared" si="8"/>
        <v>5.9890661131884529E-3</v>
      </c>
      <c r="N29" s="157">
        <f t="shared" si="8"/>
        <v>0</v>
      </c>
      <c r="O29" s="46"/>
      <c r="P29" s="154">
        <f t="shared" si="9"/>
        <v>3.0239400865213518E-2</v>
      </c>
      <c r="Q29" s="154">
        <f t="shared" si="10"/>
        <v>0.11829116292342026</v>
      </c>
      <c r="R29" s="154">
        <f t="shared" si="11"/>
        <v>0.25695683892868582</v>
      </c>
      <c r="S29" s="154">
        <f t="shared" si="12"/>
        <v>0.4629740301344123</v>
      </c>
      <c r="T29" s="154">
        <f t="shared" si="13"/>
        <v>0.61081409215843041</v>
      </c>
      <c r="U29" s="154">
        <f t="shared" si="14"/>
        <v>0.71174310642341621</v>
      </c>
      <c r="V29" s="154">
        <f t="shared" si="15"/>
        <v>0.84027334717028879</v>
      </c>
      <c r="W29" s="162">
        <v>1</v>
      </c>
      <c r="X29" s="154"/>
      <c r="Y29" s="142">
        <f t="shared" si="25"/>
        <v>3.502487562189055E-2</v>
      </c>
      <c r="Z29" s="142">
        <f t="shared" si="25"/>
        <v>5.9502487562189059E-2</v>
      </c>
      <c r="AA29" s="142">
        <f t="shared" si="25"/>
        <v>7.3631840796019921E-2</v>
      </c>
      <c r="AB29" s="142">
        <f t="shared" si="25"/>
        <v>7.3830845771144293E-2</v>
      </c>
      <c r="AC29" s="142">
        <f t="shared" si="25"/>
        <v>3.2288557213930362E-2</v>
      </c>
      <c r="AD29" s="142">
        <f t="shared" si="25"/>
        <v>1.3569651741293537E-2</v>
      </c>
      <c r="AE29" s="142">
        <f t="shared" si="25"/>
        <v>7.0825870646766247E-3</v>
      </c>
      <c r="AF29" s="142">
        <f t="shared" si="25"/>
        <v>0</v>
      </c>
      <c r="AH29" s="158">
        <f t="shared" si="16"/>
        <v>2.4875621890547265E-2</v>
      </c>
      <c r="AI29" s="158">
        <f t="shared" si="17"/>
        <v>0.10248756218905472</v>
      </c>
      <c r="AJ29" s="158">
        <f t="shared" si="18"/>
        <v>0.23184079601990049</v>
      </c>
      <c r="AK29" s="158">
        <f t="shared" si="19"/>
        <v>0.43084577114427858</v>
      </c>
      <c r="AL29" s="158">
        <f t="shared" si="20"/>
        <v>0.57711442786069644</v>
      </c>
      <c r="AM29" s="158">
        <f t="shared" si="21"/>
        <v>0.67860696517412933</v>
      </c>
      <c r="AN29" s="158">
        <f t="shared" si="22"/>
        <v>0.8129353233830845</v>
      </c>
      <c r="AO29" s="158">
        <v>1</v>
      </c>
      <c r="AP29" s="143"/>
      <c r="AQ29" s="152">
        <f>('B2-RdTr'!$E138-'B2-RdTr'!$D138)*'B2-RdTr'!$H138/(('B2-RdTr'!$E100-'B2-RdTr'!$D100)*'B2-RdTr'!$H100)*100</f>
        <v>3.0239400865213519</v>
      </c>
      <c r="AR29" s="152">
        <f>('B2-RdTr'!$E176-'B2-RdTr'!$D176)*'B2-RdTr'!$H176/(('B2-RdTr'!$E100-'B2-RdTr'!$D100)*'B2-RdTr'!$H100)*100</f>
        <v>8.8051762058206737</v>
      </c>
      <c r="AS29" s="152">
        <f>('B2-RdTr'!$E214-'B2-RdTr'!$D214)*'B2-RdTr'!$H214/(('B2-RdTr'!$E100-'B2-RdTr'!$D100)*'B2-RdTr'!$H100)*100</f>
        <v>13.866567600526555</v>
      </c>
      <c r="AT29" s="152">
        <f>('B2-RdTr'!$E252-'B2-RdTr'!$D252)*'B2-RdTr'!$H252/(('B2-RdTr'!$E100-'B2-RdTr'!$D100)*'B2-RdTr'!$H100)*100</f>
        <v>20.601719120572646</v>
      </c>
      <c r="AU29" s="152">
        <f>('B2-RdTr'!$E328-'B2-RdTr'!$D328)*'B2-RdTr'!$H328/(('B2-RdTr'!$E100-'B2-RdTr'!$D100)*'B2-RdTr'!$H100)*100</f>
        <v>14.784006202401814</v>
      </c>
      <c r="AV29" s="152">
        <f>('B2-RdTr'!$E366-'B2-RdTr'!$D366)*'B2-RdTr'!$H366/(('B2-RdTr'!$E100-'B2-RdTr'!$D100)*'B2-RdTr'!$H100)*100</f>
        <v>10.092901426498576</v>
      </c>
      <c r="AW29" s="152">
        <f>('B2-RdTr'!$E404-'B2-RdTr'!$D404)*'B2-RdTr'!$H404/(('B2-RdTr'!$E100-'B2-RdTr'!$D100)*'B2-RdTr'!$H100)*100</f>
        <v>12.853024074687255</v>
      </c>
      <c r="AX29" s="152">
        <f t="shared" si="23"/>
        <v>15.972665282971136</v>
      </c>
      <c r="AY29" s="44"/>
      <c r="AZ29" s="152">
        <f>'B2-RdTr'!$N138</f>
        <v>2.5</v>
      </c>
      <c r="BA29" s="152">
        <f>'B2-RdTr'!$N176</f>
        <v>7.8</v>
      </c>
      <c r="BB29" s="152">
        <f>'B2-RdTr'!$N214</f>
        <v>13</v>
      </c>
      <c r="BC29" s="152">
        <f>'B2-RdTr'!$N252</f>
        <v>20</v>
      </c>
      <c r="BD29" s="152">
        <f>'B2-RdTr'!$N328</f>
        <v>14.7</v>
      </c>
      <c r="BE29" s="152">
        <f>'B2-RdTr'!$N366</f>
        <v>10.199999999999999</v>
      </c>
      <c r="BF29" s="152">
        <f>'B2-RdTr'!$N404</f>
        <v>13.5</v>
      </c>
      <c r="BG29" s="152">
        <f>'B2-RdTr'!$N442</f>
        <v>18.8</v>
      </c>
    </row>
    <row r="30" spans="1:59">
      <c r="A30" s="46">
        <f t="shared" si="24"/>
        <v>2001</v>
      </c>
      <c r="B30" s="141">
        <f t="shared" si="5"/>
        <v>4.6276401941243051E-2</v>
      </c>
      <c r="C30" s="46"/>
      <c r="D30" s="141">
        <f t="shared" si="6"/>
        <v>0.52190572318288819</v>
      </c>
      <c r="E30" s="141">
        <f t="shared" si="7"/>
        <v>0.56818212512413124</v>
      </c>
      <c r="F30" s="46"/>
      <c r="G30" s="157">
        <f t="shared" si="8"/>
        <v>3.4273742235938036E-2</v>
      </c>
      <c r="H30" s="157">
        <f t="shared" si="8"/>
        <v>5.5871447819353839E-2</v>
      </c>
      <c r="I30" s="157">
        <f t="shared" si="8"/>
        <v>6.6646148857543816E-2</v>
      </c>
      <c r="J30" s="157">
        <f t="shared" si="8"/>
        <v>6.3062856056667171E-2</v>
      </c>
      <c r="K30" s="157">
        <f t="shared" si="8"/>
        <v>2.6022591952769902E-2</v>
      </c>
      <c r="L30" s="157">
        <f t="shared" si="8"/>
        <v>1.033376381597706E-2</v>
      </c>
      <c r="M30" s="157">
        <f t="shared" si="8"/>
        <v>4.7423108531942405E-3</v>
      </c>
      <c r="N30" s="157">
        <f t="shared" si="8"/>
        <v>0</v>
      </c>
      <c r="O30" s="46"/>
      <c r="P30" s="154">
        <f t="shared" si="9"/>
        <v>2.8631288820309835E-2</v>
      </c>
      <c r="Q30" s="154">
        <f t="shared" si="10"/>
        <v>0.12064276090323084</v>
      </c>
      <c r="R30" s="154">
        <f t="shared" si="11"/>
        <v>0.26676925571228105</v>
      </c>
      <c r="S30" s="154">
        <f t="shared" si="12"/>
        <v>0.48468571971666419</v>
      </c>
      <c r="T30" s="154">
        <f t="shared" si="13"/>
        <v>0.639774080472301</v>
      </c>
      <c r="U30" s="154">
        <f t="shared" si="14"/>
        <v>0.74332472368045888</v>
      </c>
      <c r="V30" s="154">
        <f t="shared" si="15"/>
        <v>0.87144222867014409</v>
      </c>
      <c r="W30" s="162">
        <v>1</v>
      </c>
      <c r="X30" s="154"/>
      <c r="Y30" s="142">
        <f t="shared" si="25"/>
        <v>3.5233366434955317E-2</v>
      </c>
      <c r="Z30" s="142">
        <f t="shared" si="25"/>
        <v>5.9145978152929504E-2</v>
      </c>
      <c r="AA30" s="142">
        <f t="shared" si="25"/>
        <v>7.2135054617676289E-2</v>
      </c>
      <c r="AB30" s="142">
        <f t="shared" si="25"/>
        <v>7.002979145978154E-2</v>
      </c>
      <c r="AC30" s="142">
        <f t="shared" si="25"/>
        <v>2.9622641509433969E-2</v>
      </c>
      <c r="AD30" s="142">
        <f t="shared" si="25"/>
        <v>1.2048162859980144E-2</v>
      </c>
      <c r="AE30" s="142">
        <f t="shared" si="25"/>
        <v>5.8760675273088437E-3</v>
      </c>
      <c r="AF30" s="142">
        <f t="shared" si="25"/>
        <v>0</v>
      </c>
      <c r="AH30" s="158">
        <f t="shared" si="16"/>
        <v>2.3833167825223437E-2</v>
      </c>
      <c r="AI30" s="158">
        <f t="shared" si="17"/>
        <v>0.10427010923535253</v>
      </c>
      <c r="AJ30" s="158">
        <f t="shared" si="18"/>
        <v>0.23932472691161866</v>
      </c>
      <c r="AK30" s="158">
        <f t="shared" si="19"/>
        <v>0.44985104270109233</v>
      </c>
      <c r="AL30" s="158">
        <f t="shared" si="20"/>
        <v>0.60377358490566035</v>
      </c>
      <c r="AM30" s="158">
        <f t="shared" si="21"/>
        <v>0.70903674280039719</v>
      </c>
      <c r="AN30" s="158">
        <f t="shared" si="22"/>
        <v>0.84309831181727901</v>
      </c>
      <c r="AO30" s="158">
        <v>1</v>
      </c>
      <c r="AP30" s="143"/>
      <c r="AQ30" s="152">
        <f>('B2-RdTr'!$E139-'B2-RdTr'!$D139)*'B2-RdTr'!$H139/(('B2-RdTr'!$E101-'B2-RdTr'!$D101)*'B2-RdTr'!$H101)*100</f>
        <v>2.8631288820309835</v>
      </c>
      <c r="AR30" s="152">
        <f>('B2-RdTr'!$E177-'B2-RdTr'!$D177)*'B2-RdTr'!$H177/(('B2-RdTr'!$E101-'B2-RdTr'!$D101)*'B2-RdTr'!$H101)*100</f>
        <v>9.2011472082921006</v>
      </c>
      <c r="AS30" s="152">
        <f>('B2-RdTr'!$E215-'B2-RdTr'!$D215)*'B2-RdTr'!$H215/(('B2-RdTr'!$E101-'B2-RdTr'!$D101)*'B2-RdTr'!$H101)*100</f>
        <v>14.612649480905022</v>
      </c>
      <c r="AT30" s="152">
        <f>('B2-RdTr'!$E253-'B2-RdTr'!$D253)*'B2-RdTr'!$H253/(('B2-RdTr'!$E101-'B2-RdTr'!$D101)*'B2-RdTr'!$H101)*100</f>
        <v>21.79164640043831</v>
      </c>
      <c r="AU30" s="152">
        <f>('B2-RdTr'!$E329-'B2-RdTr'!$D329)*'B2-RdTr'!$H329/(('B2-RdTr'!$E101-'B2-RdTr'!$D101)*'B2-RdTr'!$H101)*100</f>
        <v>15.508836075563682</v>
      </c>
      <c r="AV30" s="152">
        <f>('B2-RdTr'!$E367-'B2-RdTr'!$D367)*'B2-RdTr'!$H367/(('B2-RdTr'!$E101-'B2-RdTr'!$D101)*'B2-RdTr'!$H101)*100</f>
        <v>10.355064320815792</v>
      </c>
      <c r="AW30" s="152">
        <f>('B2-RdTr'!$E405-'B2-RdTr'!$D405)*'B2-RdTr'!$H405/(('B2-RdTr'!$E101-'B2-RdTr'!$D101)*'B2-RdTr'!$H101)*100</f>
        <v>12.811750498968518</v>
      </c>
      <c r="AX30" s="152">
        <f t="shared" si="23"/>
        <v>12.85577713298558</v>
      </c>
      <c r="AY30" s="44"/>
      <c r="AZ30" s="152">
        <f>'B2-RdTr'!$N139</f>
        <v>2.4</v>
      </c>
      <c r="BA30" s="152">
        <f>'B2-RdTr'!$N177</f>
        <v>8.1</v>
      </c>
      <c r="BB30" s="152">
        <f>'B2-RdTr'!$N215</f>
        <v>13.6</v>
      </c>
      <c r="BC30" s="152">
        <f>'B2-RdTr'!$N253</f>
        <v>21.2</v>
      </c>
      <c r="BD30" s="152">
        <f>'B2-RdTr'!$N329</f>
        <v>15.5</v>
      </c>
      <c r="BE30" s="152">
        <f>'B2-RdTr'!$N367</f>
        <v>10.6</v>
      </c>
      <c r="BF30" s="152">
        <f>'B2-RdTr'!$N405</f>
        <v>13.5</v>
      </c>
      <c r="BG30" s="152">
        <f>'B2-RdTr'!$N443</f>
        <v>15.8</v>
      </c>
    </row>
    <row r="31" spans="1:59">
      <c r="A31" s="46">
        <f t="shared" si="24"/>
        <v>2002</v>
      </c>
      <c r="B31" s="141">
        <f t="shared" si="5"/>
        <v>4.7809543820220179E-2</v>
      </c>
      <c r="C31" s="46"/>
      <c r="D31" s="141">
        <f t="shared" si="6"/>
        <v>0.512812656377996</v>
      </c>
      <c r="E31" s="141">
        <f t="shared" si="7"/>
        <v>0.56062220019821618</v>
      </c>
      <c r="F31" s="46"/>
      <c r="G31" s="157">
        <f t="shared" si="8"/>
        <v>3.4172163503666302E-2</v>
      </c>
      <c r="H31" s="157">
        <f t="shared" si="8"/>
        <v>5.5690232422727942E-2</v>
      </c>
      <c r="I31" s="157">
        <f t="shared" si="8"/>
        <v>6.6042134647055994E-2</v>
      </c>
      <c r="J31" s="157">
        <f t="shared" si="8"/>
        <v>6.1566991006213746E-2</v>
      </c>
      <c r="K31" s="157">
        <f t="shared" si="8"/>
        <v>2.5056642871618053E-2</v>
      </c>
      <c r="L31" s="157">
        <f t="shared" si="8"/>
        <v>9.708258527827647E-3</v>
      </c>
      <c r="M31" s="157">
        <f t="shared" si="8"/>
        <v>4.169905209888314E-3</v>
      </c>
      <c r="N31" s="157">
        <f t="shared" si="8"/>
        <v>0</v>
      </c>
      <c r="O31" s="46"/>
      <c r="P31" s="154">
        <f t="shared" si="9"/>
        <v>2.9139182481668489E-2</v>
      </c>
      <c r="Q31" s="154">
        <f t="shared" si="10"/>
        <v>0.12154883788636034</v>
      </c>
      <c r="R31" s="154">
        <f t="shared" si="11"/>
        <v>0.26978932676472012</v>
      </c>
      <c r="S31" s="154">
        <f t="shared" si="12"/>
        <v>0.49216504496893132</v>
      </c>
      <c r="T31" s="154">
        <f t="shared" si="13"/>
        <v>0.64943357128381951</v>
      </c>
      <c r="U31" s="154">
        <f t="shared" si="14"/>
        <v>0.75583482944344715</v>
      </c>
      <c r="V31" s="154">
        <f t="shared" si="15"/>
        <v>0.88575236975279226</v>
      </c>
      <c r="W31" s="162">
        <v>1</v>
      </c>
      <c r="X31" s="154"/>
      <c r="Y31" s="142">
        <f t="shared" si="25"/>
        <v>3.5242814667988114E-2</v>
      </c>
      <c r="Z31" s="142">
        <f t="shared" si="25"/>
        <v>5.8989098116947483E-2</v>
      </c>
      <c r="AA31" s="142">
        <f t="shared" si="25"/>
        <v>7.1635282457879104E-2</v>
      </c>
      <c r="AB31" s="142">
        <f t="shared" si="25"/>
        <v>6.8820614469772057E-2</v>
      </c>
      <c r="AC31" s="142">
        <f t="shared" si="25"/>
        <v>2.8751238850346885E-2</v>
      </c>
      <c r="AD31" s="142">
        <f t="shared" si="25"/>
        <v>1.1523785926660063E-2</v>
      </c>
      <c r="AE31" s="142">
        <f t="shared" si="25"/>
        <v>5.3482656095143752E-3</v>
      </c>
      <c r="AF31" s="142">
        <f t="shared" si="25"/>
        <v>0</v>
      </c>
      <c r="AH31" s="158">
        <f t="shared" si="16"/>
        <v>2.3785926660059464E-2</v>
      </c>
      <c r="AI31" s="158">
        <f t="shared" si="17"/>
        <v>0.10505450941526263</v>
      </c>
      <c r="AJ31" s="158">
        <f t="shared" si="18"/>
        <v>0.24182358771060458</v>
      </c>
      <c r="AK31" s="158">
        <f t="shared" si="19"/>
        <v>0.45589692765113976</v>
      </c>
      <c r="AL31" s="158">
        <f t="shared" si="20"/>
        <v>0.61248761149653119</v>
      </c>
      <c r="AM31" s="158">
        <f t="shared" si="21"/>
        <v>0.71952428146679881</v>
      </c>
      <c r="AN31" s="158">
        <f t="shared" si="22"/>
        <v>0.85629335976214072</v>
      </c>
      <c r="AO31" s="158">
        <v>1</v>
      </c>
      <c r="AP31" s="143"/>
      <c r="AQ31" s="152">
        <f>('B2-RdTr'!$E140-'B2-RdTr'!$D140)*'B2-RdTr'!$H140/(('B2-RdTr'!$E102-'B2-RdTr'!$D102)*'B2-RdTr'!$H102)*100</f>
        <v>2.9139182481668491</v>
      </c>
      <c r="AR31" s="152">
        <f>('B2-RdTr'!$E178-'B2-RdTr'!$D178)*'B2-RdTr'!$H178/(('B2-RdTr'!$E102-'B2-RdTr'!$D102)*'B2-RdTr'!$H102)*100</f>
        <v>9.2409655404691851</v>
      </c>
      <c r="AS31" s="152">
        <f>('B2-RdTr'!$E216-'B2-RdTr'!$D216)*'B2-RdTr'!$H216/(('B2-RdTr'!$E102-'B2-RdTr'!$D102)*'B2-RdTr'!$H102)*100</f>
        <v>14.82404888783598</v>
      </c>
      <c r="AT31" s="152">
        <f>('B2-RdTr'!$E254-'B2-RdTr'!$D254)*'B2-RdTr'!$H254/(('B2-RdTr'!$E102-'B2-RdTr'!$D102)*'B2-RdTr'!$H102)*100</f>
        <v>22.237571820421117</v>
      </c>
      <c r="AU31" s="152">
        <f>('B2-RdTr'!$E330-'B2-RdTr'!$D330)*'B2-RdTr'!$H330/(('B2-RdTr'!$E102-'B2-RdTr'!$D102)*'B2-RdTr'!$H102)*100</f>
        <v>15.726852631488814</v>
      </c>
      <c r="AV31" s="152">
        <f>('B2-RdTr'!$E368-'B2-RdTr'!$D368)*'B2-RdTr'!$H368/(('B2-RdTr'!$E102-'B2-RdTr'!$D102)*'B2-RdTr'!$H102)*100</f>
        <v>10.640125815962758</v>
      </c>
      <c r="AW31" s="152">
        <f>('B2-RdTr'!$E406-'B2-RdTr'!$D406)*'B2-RdTr'!$H406/(('B2-RdTr'!$E102-'B2-RdTr'!$D102)*'B2-RdTr'!$H102)*100</f>
        <v>12.991754030934514</v>
      </c>
      <c r="AX31" s="152">
        <f t="shared" si="23"/>
        <v>11.424763024720775</v>
      </c>
      <c r="AY31" s="44"/>
      <c r="AZ31" s="152">
        <f>'B2-RdTr'!$N140</f>
        <v>2.4</v>
      </c>
      <c r="BA31" s="152">
        <f>'B2-RdTr'!$N178</f>
        <v>8.1999999999999993</v>
      </c>
      <c r="BB31" s="152">
        <f>'B2-RdTr'!$N216</f>
        <v>13.8</v>
      </c>
      <c r="BC31" s="152">
        <f>'B2-RdTr'!$N254</f>
        <v>21.6</v>
      </c>
      <c r="BD31" s="152">
        <f>'B2-RdTr'!$N330</f>
        <v>15.8</v>
      </c>
      <c r="BE31" s="152">
        <f>'B2-RdTr'!$N368</f>
        <v>10.8</v>
      </c>
      <c r="BF31" s="152">
        <f>'B2-RdTr'!$N406</f>
        <v>13.8</v>
      </c>
      <c r="BG31" s="152">
        <f>'B2-RdTr'!$N444</f>
        <v>14.5</v>
      </c>
    </row>
    <row r="32" spans="1:59">
      <c r="A32" s="46">
        <f t="shared" si="24"/>
        <v>2003</v>
      </c>
      <c r="B32" s="141">
        <f t="shared" si="5"/>
        <v>4.3118320071067973E-2</v>
      </c>
      <c r="C32" s="46"/>
      <c r="D32" s="141">
        <f t="shared" si="6"/>
        <v>0.52812826070197472</v>
      </c>
      <c r="E32" s="141">
        <f t="shared" si="7"/>
        <v>0.57124658077304269</v>
      </c>
      <c r="F32" s="46"/>
      <c r="G32" s="157">
        <f t="shared" si="8"/>
        <v>3.4657547824363165E-2</v>
      </c>
      <c r="H32" s="157">
        <f t="shared" si="8"/>
        <v>5.6780542064514709E-2</v>
      </c>
      <c r="I32" s="157">
        <f t="shared" si="8"/>
        <v>6.7755531326747526E-2</v>
      </c>
      <c r="J32" s="157">
        <f t="shared" si="8"/>
        <v>6.3803372209557188E-2</v>
      </c>
      <c r="K32" s="157">
        <f t="shared" si="8"/>
        <v>2.6137817865442017E-2</v>
      </c>
      <c r="L32" s="157">
        <f t="shared" si="8"/>
        <v>1.0264451933348757E-2</v>
      </c>
      <c r="M32" s="157">
        <f t="shared" si="8"/>
        <v>4.6648671270140257E-3</v>
      </c>
      <c r="N32" s="157">
        <f t="shared" si="8"/>
        <v>0</v>
      </c>
      <c r="O32" s="46"/>
      <c r="P32" s="154">
        <f t="shared" si="9"/>
        <v>2.6712260878184166E-2</v>
      </c>
      <c r="Q32" s="154">
        <f t="shared" si="10"/>
        <v>0.11609728967742648</v>
      </c>
      <c r="R32" s="154">
        <f t="shared" si="11"/>
        <v>0.26122234336626249</v>
      </c>
      <c r="S32" s="154">
        <f t="shared" si="12"/>
        <v>0.48098313895221412</v>
      </c>
      <c r="T32" s="154">
        <f t="shared" si="13"/>
        <v>0.63862182134557988</v>
      </c>
      <c r="U32" s="154">
        <f t="shared" si="14"/>
        <v>0.74471096133302495</v>
      </c>
      <c r="V32" s="154">
        <f t="shared" si="15"/>
        <v>0.87337832182464947</v>
      </c>
      <c r="W32" s="162">
        <v>1</v>
      </c>
      <c r="X32" s="154"/>
      <c r="Y32" s="142">
        <f t="shared" si="25"/>
        <v>3.5441030723488608E-2</v>
      </c>
      <c r="Z32" s="142">
        <f t="shared" si="25"/>
        <v>5.978196233894946E-2</v>
      </c>
      <c r="AA32" s="142">
        <f t="shared" si="25"/>
        <v>7.2824578790882083E-2</v>
      </c>
      <c r="AB32" s="142">
        <f t="shared" si="25"/>
        <v>7.0406342913776038E-2</v>
      </c>
      <c r="AC32" s="142">
        <f t="shared" si="25"/>
        <v>2.9544103072348862E-2</v>
      </c>
      <c r="AD32" s="142">
        <f t="shared" si="25"/>
        <v>1.1920218037661051E-2</v>
      </c>
      <c r="AE32" s="142">
        <f t="shared" si="25"/>
        <v>5.7050545094152662E-3</v>
      </c>
      <c r="AF32" s="142">
        <f t="shared" si="25"/>
        <v>0</v>
      </c>
      <c r="AH32" s="158">
        <f t="shared" si="16"/>
        <v>2.2794846382556983E-2</v>
      </c>
      <c r="AI32" s="158">
        <f t="shared" si="17"/>
        <v>0.10109018830525272</v>
      </c>
      <c r="AJ32" s="158">
        <f t="shared" si="18"/>
        <v>0.2358771060455897</v>
      </c>
      <c r="AK32" s="158">
        <f t="shared" si="19"/>
        <v>0.44796828543111988</v>
      </c>
      <c r="AL32" s="158">
        <f t="shared" si="20"/>
        <v>0.60455896927651143</v>
      </c>
      <c r="AM32" s="158">
        <f t="shared" si="21"/>
        <v>0.71159563924677904</v>
      </c>
      <c r="AN32" s="158">
        <f t="shared" si="22"/>
        <v>0.84737363726461845</v>
      </c>
      <c r="AO32" s="158">
        <v>1</v>
      </c>
      <c r="AP32" s="143"/>
      <c r="AQ32" s="152">
        <f>('B2-RdTr'!$E141-'B2-RdTr'!$D141)*'B2-RdTr'!$H141/(('B2-RdTr'!$E103-'B2-RdTr'!$D103)*'B2-RdTr'!$H103)*100</f>
        <v>2.6712260878184164</v>
      </c>
      <c r="AR32" s="152">
        <f>('B2-RdTr'!$E179-'B2-RdTr'!$D179)*'B2-RdTr'!$H179/(('B2-RdTr'!$E103-'B2-RdTr'!$D103)*'B2-RdTr'!$H103)*100</f>
        <v>8.938502879924231</v>
      </c>
      <c r="AS32" s="152">
        <f>('B2-RdTr'!$E217-'B2-RdTr'!$D217)*'B2-RdTr'!$H217/(('B2-RdTr'!$E103-'B2-RdTr'!$D103)*'B2-RdTr'!$H103)*100</f>
        <v>14.512505368883602</v>
      </c>
      <c r="AT32" s="152">
        <f>('B2-RdTr'!$E255-'B2-RdTr'!$D255)*'B2-RdTr'!$H255/(('B2-RdTr'!$E103-'B2-RdTr'!$D103)*'B2-RdTr'!$H103)*100</f>
        <v>21.976079558595167</v>
      </c>
      <c r="AU32" s="152">
        <f>('B2-RdTr'!$E331-'B2-RdTr'!$D331)*'B2-RdTr'!$H331/(('B2-RdTr'!$E103-'B2-RdTr'!$D103)*'B2-RdTr'!$H103)*100</f>
        <v>15.763868239336571</v>
      </c>
      <c r="AV32" s="152">
        <f>('B2-RdTr'!$E369-'B2-RdTr'!$D369)*'B2-RdTr'!$H369/(('B2-RdTr'!$E103-'B2-RdTr'!$D103)*'B2-RdTr'!$H103)*100</f>
        <v>10.608913998744507</v>
      </c>
      <c r="AW32" s="152">
        <f>('B2-RdTr'!$E407-'B2-RdTr'!$D407)*'B2-RdTr'!$H407/(('B2-RdTr'!$E103-'B2-RdTr'!$D103)*'B2-RdTr'!$H103)*100</f>
        <v>12.866736049162455</v>
      </c>
      <c r="AX32" s="152">
        <f t="shared" si="23"/>
        <v>12.66216781753505</v>
      </c>
      <c r="AY32" s="44"/>
      <c r="AZ32" s="152">
        <f>'B2-RdTr'!$N141</f>
        <v>2.2999999999999998</v>
      </c>
      <c r="BA32" s="152">
        <f>'B2-RdTr'!$N179</f>
        <v>7.9</v>
      </c>
      <c r="BB32" s="152">
        <f>'B2-RdTr'!$N217</f>
        <v>13.6</v>
      </c>
      <c r="BC32" s="152">
        <f>'B2-RdTr'!$N255</f>
        <v>21.4</v>
      </c>
      <c r="BD32" s="152">
        <f>'B2-RdTr'!$N331</f>
        <v>15.8</v>
      </c>
      <c r="BE32" s="152">
        <f>'B2-RdTr'!$N369</f>
        <v>10.8</v>
      </c>
      <c r="BF32" s="152">
        <f>'B2-RdTr'!$N407</f>
        <v>13.7</v>
      </c>
      <c r="BG32" s="152">
        <f>'B2-RdTr'!$N445</f>
        <v>15.4</v>
      </c>
    </row>
    <row r="33" spans="1:59">
      <c r="A33" s="46">
        <f t="shared" si="24"/>
        <v>2004</v>
      </c>
      <c r="B33" s="141">
        <f t="shared" si="5"/>
        <v>4.4278938999724238E-2</v>
      </c>
      <c r="C33" s="46"/>
      <c r="D33" s="141">
        <f t="shared" si="6"/>
        <v>0.54254010861932356</v>
      </c>
      <c r="E33" s="141">
        <f t="shared" si="7"/>
        <v>0.5868190476190478</v>
      </c>
      <c r="F33" s="46"/>
      <c r="G33" s="157">
        <f t="shared" si="8"/>
        <v>3.4701747830512629E-2</v>
      </c>
      <c r="H33" s="157">
        <f t="shared" si="8"/>
        <v>5.7279362972793638E-2</v>
      </c>
      <c r="I33" s="157">
        <f t="shared" si="8"/>
        <v>6.8846612249631192E-2</v>
      </c>
      <c r="J33" s="157">
        <f t="shared" si="8"/>
        <v>6.6162697057743497E-2</v>
      </c>
      <c r="K33" s="157">
        <f t="shared" si="8"/>
        <v>2.7720798087887601E-2</v>
      </c>
      <c r="L33" s="157">
        <f t="shared" si="8"/>
        <v>1.1193636814606278E-2</v>
      </c>
      <c r="M33" s="157">
        <f t="shared" si="8"/>
        <v>5.3651992964869515E-3</v>
      </c>
      <c r="N33" s="157">
        <f t="shared" si="8"/>
        <v>0</v>
      </c>
      <c r="O33" s="46"/>
      <c r="P33" s="154">
        <f t="shared" si="9"/>
        <v>2.649126084743688E-2</v>
      </c>
      <c r="Q33" s="154">
        <f t="shared" si="10"/>
        <v>0.11360318513603185</v>
      </c>
      <c r="R33" s="154">
        <f t="shared" si="11"/>
        <v>0.25576693875184414</v>
      </c>
      <c r="S33" s="154">
        <f t="shared" si="12"/>
        <v>0.46918651471128259</v>
      </c>
      <c r="T33" s="154">
        <f t="shared" si="13"/>
        <v>0.62279201912112403</v>
      </c>
      <c r="U33" s="154">
        <f t="shared" si="14"/>
        <v>0.7261272637078745</v>
      </c>
      <c r="V33" s="154">
        <f t="shared" si="15"/>
        <v>0.85587001758782633</v>
      </c>
      <c r="W33" s="162">
        <v>1</v>
      </c>
      <c r="X33" s="154"/>
      <c r="Y33" s="142">
        <f t="shared" si="25"/>
        <v>3.5634920634920637E-2</v>
      </c>
      <c r="Z33" s="142">
        <f t="shared" si="25"/>
        <v>6.0357142857142866E-2</v>
      </c>
      <c r="AA33" s="142">
        <f t="shared" si="25"/>
        <v>7.3968253968254002E-2</v>
      </c>
      <c r="AB33" s="142">
        <f t="shared" si="25"/>
        <v>7.2896825396825418E-2</v>
      </c>
      <c r="AC33" s="142">
        <f t="shared" si="25"/>
        <v>3.1170634920634932E-2</v>
      </c>
      <c r="AD33" s="142">
        <f t="shared" si="25"/>
        <v>1.2876984126984138E-2</v>
      </c>
      <c r="AE33" s="142">
        <f t="shared" si="25"/>
        <v>6.504761904761916E-3</v>
      </c>
      <c r="AF33" s="142">
        <f t="shared" si="25"/>
        <v>0</v>
      </c>
      <c r="AH33" s="158">
        <f t="shared" si="16"/>
        <v>2.1825396825396824E-2</v>
      </c>
      <c r="AI33" s="158">
        <f t="shared" si="17"/>
        <v>9.8214285714285698E-2</v>
      </c>
      <c r="AJ33" s="158">
        <f t="shared" si="18"/>
        <v>0.23015873015873015</v>
      </c>
      <c r="AK33" s="158">
        <f t="shared" si="19"/>
        <v>0.43551587301587297</v>
      </c>
      <c r="AL33" s="158">
        <f t="shared" si="20"/>
        <v>0.5882936507936507</v>
      </c>
      <c r="AM33" s="158">
        <f t="shared" si="21"/>
        <v>0.69246031746031733</v>
      </c>
      <c r="AN33" s="158">
        <f t="shared" si="22"/>
        <v>0.82738095238095222</v>
      </c>
      <c r="AO33" s="158">
        <v>1</v>
      </c>
      <c r="AP33" s="143"/>
      <c r="AQ33" s="152">
        <f>('B2-RdTr'!$E142-'B2-RdTr'!$D142)*'B2-RdTr'!$H142/(('B2-RdTr'!$E104-'B2-RdTr'!$D104)*'B2-RdTr'!$H104)*100</f>
        <v>2.6491260847436879</v>
      </c>
      <c r="AR33" s="152">
        <f>('B2-RdTr'!$E180-'B2-RdTr'!$D180)*'B2-RdTr'!$H180/(('B2-RdTr'!$E104-'B2-RdTr'!$D104)*'B2-RdTr'!$H104)*100</f>
        <v>8.7111924288594977</v>
      </c>
      <c r="AS33" s="152">
        <f>('B2-RdTr'!$E218-'B2-RdTr'!$D218)*'B2-RdTr'!$H218/(('B2-RdTr'!$E104-'B2-RdTr'!$D104)*'B2-RdTr'!$H104)*100</f>
        <v>14.21637536158123</v>
      </c>
      <c r="AT33" s="152">
        <f>('B2-RdTr'!$E256-'B2-RdTr'!$D256)*'B2-RdTr'!$H256/(('B2-RdTr'!$E104-'B2-RdTr'!$D104)*'B2-RdTr'!$H104)*100</f>
        <v>21.341957595943846</v>
      </c>
      <c r="AU33" s="152">
        <f>('B2-RdTr'!$E332-'B2-RdTr'!$D332)*'B2-RdTr'!$H332/(('B2-RdTr'!$E104-'B2-RdTr'!$D104)*'B2-RdTr'!$H104)*100</f>
        <v>15.360550440984145</v>
      </c>
      <c r="AV33" s="152">
        <f>('B2-RdTr'!$E370-'B2-RdTr'!$D370)*'B2-RdTr'!$H370/(('B2-RdTr'!$E104-'B2-RdTr'!$D104)*'B2-RdTr'!$H104)*100</f>
        <v>10.333524458675051</v>
      </c>
      <c r="AW33" s="152">
        <f>('B2-RdTr'!$E408-'B2-RdTr'!$D408)*'B2-RdTr'!$H408/(('B2-RdTr'!$E104-'B2-RdTr'!$D104)*'B2-RdTr'!$H104)*100</f>
        <v>12.97427538799518</v>
      </c>
      <c r="AX33" s="152">
        <f t="shared" si="23"/>
        <v>14.412998241217352</v>
      </c>
      <c r="AY33" s="44"/>
      <c r="AZ33" s="152">
        <f>'B2-RdTr'!$N142</f>
        <v>2.2000000000000002</v>
      </c>
      <c r="BA33" s="152">
        <f>'B2-RdTr'!$N180</f>
        <v>7.7</v>
      </c>
      <c r="BB33" s="152">
        <f>'B2-RdTr'!$N218</f>
        <v>13.3</v>
      </c>
      <c r="BC33" s="152">
        <f>'B2-RdTr'!$N256</f>
        <v>20.7</v>
      </c>
      <c r="BD33" s="152">
        <f>'B2-RdTr'!$N332</f>
        <v>15.4</v>
      </c>
      <c r="BE33" s="152">
        <f>'B2-RdTr'!$N370</f>
        <v>10.5</v>
      </c>
      <c r="BF33" s="152">
        <f>'B2-RdTr'!$N408</f>
        <v>13.6</v>
      </c>
      <c r="BG33" s="152">
        <f>'B2-RdTr'!$N446</f>
        <v>17.399999999999999</v>
      </c>
    </row>
    <row r="34" spans="1:59">
      <c r="A34" s="46">
        <f t="shared" si="24"/>
        <v>2005</v>
      </c>
      <c r="B34" s="141">
        <f t="shared" si="5"/>
        <v>4.5626507722490994E-2</v>
      </c>
      <c r="C34" s="46"/>
      <c r="D34" s="141">
        <f t="shared" si="6"/>
        <v>0.55906952402354082</v>
      </c>
      <c r="E34" s="141">
        <f t="shared" si="7"/>
        <v>0.60469603174603181</v>
      </c>
      <c r="F34" s="46"/>
      <c r="G34" s="157">
        <f t="shared" si="8"/>
        <v>3.4673825242482588E-2</v>
      </c>
      <c r="H34" s="157">
        <f t="shared" si="8"/>
        <v>5.7804204043704566E-2</v>
      </c>
      <c r="I34" s="157">
        <f t="shared" si="8"/>
        <v>7.0307498891594974E-2</v>
      </c>
      <c r="J34" s="157">
        <f t="shared" si="8"/>
        <v>6.9009966535277648E-2</v>
      </c>
      <c r="K34" s="157">
        <f t="shared" si="8"/>
        <v>2.9529914789463776E-2</v>
      </c>
      <c r="L34" s="157">
        <f t="shared" si="8"/>
        <v>1.2146616176032944E-2</v>
      </c>
      <c r="M34" s="157">
        <f t="shared" si="8"/>
        <v>6.0627363332138896E-3</v>
      </c>
      <c r="N34" s="157">
        <f t="shared" si="8"/>
        <v>0</v>
      </c>
      <c r="O34" s="46"/>
      <c r="P34" s="154">
        <f t="shared" si="9"/>
        <v>2.6630873787587078E-2</v>
      </c>
      <c r="Q34" s="154">
        <f t="shared" si="10"/>
        <v>0.11097897978147718</v>
      </c>
      <c r="R34" s="154">
        <f t="shared" si="11"/>
        <v>0.24846250554202526</v>
      </c>
      <c r="S34" s="154">
        <f t="shared" si="12"/>
        <v>0.45495016732361182</v>
      </c>
      <c r="T34" s="154">
        <f t="shared" si="13"/>
        <v>0.60470085210536229</v>
      </c>
      <c r="U34" s="154">
        <f t="shared" si="14"/>
        <v>0.70706767647934121</v>
      </c>
      <c r="V34" s="154">
        <f t="shared" si="15"/>
        <v>0.83843159166965286</v>
      </c>
      <c r="W34" s="162">
        <v>1</v>
      </c>
      <c r="X34" s="154"/>
      <c r="Y34" s="142">
        <f t="shared" si="25"/>
        <v>3.5634920634920637E-2</v>
      </c>
      <c r="Z34" s="142">
        <f t="shared" si="25"/>
        <v>6.0952380952380959E-2</v>
      </c>
      <c r="AA34" s="142">
        <f t="shared" si="25"/>
        <v>7.555555555555557E-2</v>
      </c>
      <c r="AB34" s="142">
        <f t="shared" si="25"/>
        <v>7.587301587301587E-2</v>
      </c>
      <c r="AC34" s="142">
        <f t="shared" si="25"/>
        <v>3.3154761904761902E-2</v>
      </c>
      <c r="AD34" s="142">
        <f t="shared" si="25"/>
        <v>1.3918650793650796E-2</v>
      </c>
      <c r="AE34" s="142">
        <f t="shared" si="25"/>
        <v>7.2587301587301624E-3</v>
      </c>
      <c r="AF34" s="142">
        <f t="shared" si="25"/>
        <v>0</v>
      </c>
      <c r="AH34" s="158">
        <f t="shared" si="16"/>
        <v>2.1825396825396828E-2</v>
      </c>
      <c r="AI34" s="158">
        <f t="shared" si="17"/>
        <v>9.5238095238095247E-2</v>
      </c>
      <c r="AJ34" s="158">
        <f t="shared" si="18"/>
        <v>0.22222222222222227</v>
      </c>
      <c r="AK34" s="158">
        <f t="shared" si="19"/>
        <v>0.42063492063492069</v>
      </c>
      <c r="AL34" s="158">
        <f t="shared" si="20"/>
        <v>0.56845238095238104</v>
      </c>
      <c r="AM34" s="158">
        <f t="shared" si="21"/>
        <v>0.67162698412698418</v>
      </c>
      <c r="AN34" s="158">
        <f t="shared" si="22"/>
        <v>0.80853174603174605</v>
      </c>
      <c r="AO34" s="158">
        <v>1</v>
      </c>
      <c r="AP34" s="143"/>
      <c r="AQ34" s="152">
        <f>('B2-RdTr'!$E143-'B2-RdTr'!$D143)*'B2-RdTr'!$H143/(('B2-RdTr'!$E105-'B2-RdTr'!$D105)*'B2-RdTr'!$H105)*100</f>
        <v>2.6630873787587079</v>
      </c>
      <c r="AR34" s="152">
        <f>('B2-RdTr'!$E181-'B2-RdTr'!$D181)*'B2-RdTr'!$H181/(('B2-RdTr'!$E105-'B2-RdTr'!$D105)*'B2-RdTr'!$H105)*100</f>
        <v>8.4348105993890101</v>
      </c>
      <c r="AS34" s="152">
        <f>('B2-RdTr'!$E219-'B2-RdTr'!$D219)*'B2-RdTr'!$H219/(('B2-RdTr'!$E105-'B2-RdTr'!$D105)*'B2-RdTr'!$H105)*100</f>
        <v>13.748352576054806</v>
      </c>
      <c r="AT34" s="152">
        <f>('B2-RdTr'!$E257-'B2-RdTr'!$D257)*'B2-RdTr'!$H257/(('B2-RdTr'!$E105-'B2-RdTr'!$D105)*'B2-RdTr'!$H105)*100</f>
        <v>20.648766178158652</v>
      </c>
      <c r="AU34" s="152">
        <f>('B2-RdTr'!$E333-'B2-RdTr'!$D333)*'B2-RdTr'!$H333/(('B2-RdTr'!$E105-'B2-RdTr'!$D105)*'B2-RdTr'!$H105)*100</f>
        <v>14.97506847817505</v>
      </c>
      <c r="AV34" s="152">
        <f>('B2-RdTr'!$E371-'B2-RdTr'!$D371)*'B2-RdTr'!$H371/(('B2-RdTr'!$E105-'B2-RdTr'!$D105)*'B2-RdTr'!$H105)*100</f>
        <v>10.23668243739789</v>
      </c>
      <c r="AW34" s="152">
        <f>('B2-RdTr'!$E409-'B2-RdTr'!$D409)*'B2-RdTr'!$H409/(('B2-RdTr'!$E105-'B2-RdTr'!$D105)*'B2-RdTr'!$H105)*100</f>
        <v>13.136391519031163</v>
      </c>
      <c r="AX34" s="152">
        <f t="shared" si="23"/>
        <v>16.156840833034721</v>
      </c>
      <c r="AY34" s="44"/>
      <c r="AZ34" s="152">
        <f>'B2-RdTr'!$N143</f>
        <v>2.2000000000000002</v>
      </c>
      <c r="BA34" s="152">
        <f>'B2-RdTr'!$N181</f>
        <v>7.4</v>
      </c>
      <c r="BB34" s="152">
        <f>'B2-RdTr'!$N219</f>
        <v>12.8</v>
      </c>
      <c r="BC34" s="152">
        <f>'B2-RdTr'!$N257</f>
        <v>20</v>
      </c>
      <c r="BD34" s="152">
        <f>'B2-RdTr'!$N333</f>
        <v>14.9</v>
      </c>
      <c r="BE34" s="152">
        <f>'B2-RdTr'!$N371</f>
        <v>10.4</v>
      </c>
      <c r="BF34" s="152">
        <f>'B2-RdTr'!$N409</f>
        <v>13.8</v>
      </c>
      <c r="BG34" s="152">
        <f>'B2-RdTr'!$N447</f>
        <v>19.3</v>
      </c>
    </row>
    <row r="35" spans="1:59">
      <c r="A35" s="46">
        <f t="shared" si="24"/>
        <v>2006</v>
      </c>
      <c r="B35" s="141">
        <f t="shared" si="5"/>
        <v>4.3270801396463776E-2</v>
      </c>
      <c r="C35" s="46"/>
      <c r="D35" s="141">
        <f t="shared" si="6"/>
        <v>0.56811173828607597</v>
      </c>
      <c r="E35" s="141">
        <f t="shared" si="7"/>
        <v>0.61138253968253975</v>
      </c>
      <c r="F35" s="46"/>
      <c r="G35" s="157">
        <f t="shared" si="8"/>
        <v>3.4617287029532186E-2</v>
      </c>
      <c r="H35" s="157">
        <f t="shared" si="8"/>
        <v>5.8106605888886588E-2</v>
      </c>
      <c r="I35" s="157">
        <f t="shared" si="8"/>
        <v>7.1141777103495438E-2</v>
      </c>
      <c r="J35" s="157">
        <f t="shared" si="8"/>
        <v>7.0468464599021383E-2</v>
      </c>
      <c r="K35" s="157">
        <f t="shared" si="8"/>
        <v>3.0518712490157099E-2</v>
      </c>
      <c r="L35" s="157">
        <f t="shared" si="8"/>
        <v>1.2701372580261544E-2</v>
      </c>
      <c r="M35" s="157">
        <f t="shared" si="8"/>
        <v>6.5016494516837485E-3</v>
      </c>
      <c r="N35" s="157">
        <f t="shared" si="8"/>
        <v>0</v>
      </c>
      <c r="O35" s="46"/>
      <c r="P35" s="154">
        <f t="shared" si="9"/>
        <v>2.6913564852339089E-2</v>
      </c>
      <c r="Q35" s="154">
        <f t="shared" si="10"/>
        <v>0.1094669705555671</v>
      </c>
      <c r="R35" s="154">
        <f t="shared" si="11"/>
        <v>0.24429111448252294</v>
      </c>
      <c r="S35" s="154">
        <f t="shared" si="12"/>
        <v>0.44765767700489317</v>
      </c>
      <c r="T35" s="154">
        <f t="shared" si="13"/>
        <v>0.59481287509842906</v>
      </c>
      <c r="U35" s="154">
        <f t="shared" si="14"/>
        <v>0.69597254839476919</v>
      </c>
      <c r="V35" s="154">
        <f t="shared" si="15"/>
        <v>0.82745876370790639</v>
      </c>
      <c r="W35" s="162">
        <v>1</v>
      </c>
      <c r="X35" s="154"/>
      <c r="Y35" s="142">
        <f t="shared" si="25"/>
        <v>3.543650793650794E-2</v>
      </c>
      <c r="Z35" s="142">
        <f t="shared" si="25"/>
        <v>6.1150793650793657E-2</v>
      </c>
      <c r="AA35" s="142">
        <f t="shared" si="25"/>
        <v>7.6150793650793677E-2</v>
      </c>
      <c r="AB35" s="142">
        <f t="shared" si="25"/>
        <v>7.7063492063492084E-2</v>
      </c>
      <c r="AC35" s="142">
        <f t="shared" si="25"/>
        <v>3.39484126984127E-2</v>
      </c>
      <c r="AD35" s="142">
        <f t="shared" si="25"/>
        <v>1.4365079365079371E-2</v>
      </c>
      <c r="AE35" s="142">
        <f t="shared" si="25"/>
        <v>7.5761904761904829E-3</v>
      </c>
      <c r="AF35" s="142">
        <f t="shared" si="25"/>
        <v>0</v>
      </c>
      <c r="AH35" s="158">
        <f t="shared" si="16"/>
        <v>2.2817460317460313E-2</v>
      </c>
      <c r="AI35" s="158">
        <f t="shared" si="17"/>
        <v>9.4246031746031744E-2</v>
      </c>
      <c r="AJ35" s="158">
        <f t="shared" si="18"/>
        <v>0.21924603174603174</v>
      </c>
      <c r="AK35" s="158">
        <f t="shared" si="19"/>
        <v>0.41468253968253965</v>
      </c>
      <c r="AL35" s="158">
        <f t="shared" si="20"/>
        <v>0.56051587301587302</v>
      </c>
      <c r="AM35" s="158">
        <f t="shared" si="21"/>
        <v>0.66269841269841268</v>
      </c>
      <c r="AN35" s="158">
        <f t="shared" si="22"/>
        <v>0.80059523809523803</v>
      </c>
      <c r="AO35" s="158">
        <v>1</v>
      </c>
      <c r="AP35" s="143"/>
      <c r="AQ35" s="152">
        <f>('B2-RdTr'!$E144-'B2-RdTr'!$D144)*'B2-RdTr'!$H144/(('B2-RdTr'!$E106-'B2-RdTr'!$D106)*'B2-RdTr'!$H106)*100</f>
        <v>2.6913564852339089</v>
      </c>
      <c r="AR35" s="152">
        <f>('B2-RdTr'!$E182-'B2-RdTr'!$D182)*'B2-RdTr'!$H182/(('B2-RdTr'!$E106-'B2-RdTr'!$D106)*'B2-RdTr'!$H106)*100</f>
        <v>8.2553405703228009</v>
      </c>
      <c r="AS35" s="152">
        <f>('B2-RdTr'!$E220-'B2-RdTr'!$D220)*'B2-RdTr'!$H220/(('B2-RdTr'!$E106-'B2-RdTr'!$D106)*'B2-RdTr'!$H106)*100</f>
        <v>13.482414392695583</v>
      </c>
      <c r="AT35" s="152">
        <f>('B2-RdTr'!$E258-'B2-RdTr'!$D258)*'B2-RdTr'!$H258/(('B2-RdTr'!$E106-'B2-RdTr'!$D106)*'B2-RdTr'!$H106)*100</f>
        <v>20.336656252237024</v>
      </c>
      <c r="AU35" s="152">
        <f>('B2-RdTr'!$E334-'B2-RdTr'!$D334)*'B2-RdTr'!$H334/(('B2-RdTr'!$E106-'B2-RdTr'!$D106)*'B2-RdTr'!$H106)*100</f>
        <v>14.715519809353589</v>
      </c>
      <c r="AV35" s="152">
        <f>('B2-RdTr'!$E372-'B2-RdTr'!$D372)*'B2-RdTr'!$H372/(('B2-RdTr'!$E106-'B2-RdTr'!$D106)*'B2-RdTr'!$H106)*100</f>
        <v>10.115967329634017</v>
      </c>
      <c r="AW35" s="152">
        <f>('B2-RdTr'!$E410-'B2-RdTr'!$D410)*'B2-RdTr'!$H410/(('B2-RdTr'!$E106-'B2-RdTr'!$D106)*'B2-RdTr'!$H106)*100</f>
        <v>13.14862153131372</v>
      </c>
      <c r="AX35" s="152">
        <f t="shared" si="23"/>
        <v>17.254123629209346</v>
      </c>
      <c r="AY35" s="44"/>
      <c r="AZ35" s="152">
        <f>'B2-RdTr'!$N144</f>
        <v>2.2999999999999998</v>
      </c>
      <c r="BA35" s="152">
        <f>'B2-RdTr'!$N182</f>
        <v>7.2</v>
      </c>
      <c r="BB35" s="152">
        <f>'B2-RdTr'!$N220</f>
        <v>12.6</v>
      </c>
      <c r="BC35" s="152">
        <f>'B2-RdTr'!$N258</f>
        <v>19.7</v>
      </c>
      <c r="BD35" s="152">
        <f>'B2-RdTr'!$N334</f>
        <v>14.7</v>
      </c>
      <c r="BE35" s="152">
        <f>'B2-RdTr'!$N372</f>
        <v>10.3</v>
      </c>
      <c r="BF35" s="152">
        <f>'B2-RdTr'!$N410</f>
        <v>13.9</v>
      </c>
      <c r="BG35" s="152">
        <f>'B2-RdTr'!$N448</f>
        <v>20.100000000000001</v>
      </c>
    </row>
    <row r="36" spans="1:59">
      <c r="A36" s="46">
        <f t="shared" si="24"/>
        <v>2007</v>
      </c>
      <c r="B36" s="141">
        <f t="shared" si="5"/>
        <v>4.2634374549690879E-2</v>
      </c>
      <c r="C36" s="46"/>
      <c r="D36" s="164">
        <f t="shared" si="6"/>
        <v>0.56542092772979391</v>
      </c>
      <c r="E36" s="164">
        <f t="shared" si="7"/>
        <v>0.60805530227948479</v>
      </c>
      <c r="F36" s="37"/>
      <c r="G36" s="165">
        <f t="shared" si="8"/>
        <v>3.3834266949971027E-2</v>
      </c>
      <c r="H36" s="165">
        <f t="shared" si="8"/>
        <v>5.7073539556831046E-2</v>
      </c>
      <c r="I36" s="165">
        <f t="shared" si="8"/>
        <v>7.0556251552195165E-2</v>
      </c>
      <c r="J36" s="165">
        <f t="shared" si="8"/>
        <v>7.0697094290681314E-2</v>
      </c>
      <c r="K36" s="165">
        <f t="shared" si="8"/>
        <v>3.086525566378763E-2</v>
      </c>
      <c r="L36" s="165">
        <f t="shared" si="8"/>
        <v>1.2950702282071803E-2</v>
      </c>
      <c r="M36" s="165">
        <f t="shared" si="8"/>
        <v>6.7333535693589802E-3</v>
      </c>
      <c r="N36" s="165">
        <f t="shared" si="8"/>
        <v>0</v>
      </c>
      <c r="O36" s="37"/>
      <c r="P36" s="154">
        <f t="shared" si="9"/>
        <v>3.0828665250144872E-2</v>
      </c>
      <c r="Q36" s="154">
        <f t="shared" si="10"/>
        <v>0.11463230221584481</v>
      </c>
      <c r="R36" s="154">
        <f t="shared" si="11"/>
        <v>0.24721874223902426</v>
      </c>
      <c r="S36" s="154">
        <f t="shared" si="12"/>
        <v>0.44651452854659346</v>
      </c>
      <c r="T36" s="154">
        <f t="shared" si="13"/>
        <v>0.59134744336212375</v>
      </c>
      <c r="U36" s="154">
        <f t="shared" si="14"/>
        <v>0.69098595435856403</v>
      </c>
      <c r="V36" s="154">
        <f t="shared" si="15"/>
        <v>0.82166616076602561</v>
      </c>
      <c r="W36" s="162">
        <v>1</v>
      </c>
      <c r="X36" s="154"/>
      <c r="Y36" s="142">
        <f t="shared" si="25"/>
        <v>3.5044598612487619E-2</v>
      </c>
      <c r="Z36" s="142">
        <f t="shared" si="25"/>
        <v>6.0178394449950462E-2</v>
      </c>
      <c r="AA36" s="142">
        <f t="shared" si="25"/>
        <v>7.5401387512388521E-2</v>
      </c>
      <c r="AB36" s="142">
        <f t="shared" si="25"/>
        <v>7.69474727452924E-2</v>
      </c>
      <c r="AC36" s="142">
        <f t="shared" si="25"/>
        <v>3.4103072348860265E-2</v>
      </c>
      <c r="AD36" s="142">
        <f t="shared" si="25"/>
        <v>1.4546580773042623E-2</v>
      </c>
      <c r="AE36" s="142">
        <f t="shared" si="25"/>
        <v>7.806144697720523E-3</v>
      </c>
      <c r="AF36" s="142">
        <f t="shared" si="25"/>
        <v>0</v>
      </c>
      <c r="AH36" s="158">
        <f t="shared" si="16"/>
        <v>2.4777006937561942E-2</v>
      </c>
      <c r="AI36" s="158">
        <f t="shared" si="17"/>
        <v>9.9108027750247768E-2</v>
      </c>
      <c r="AJ36" s="158">
        <f t="shared" si="18"/>
        <v>0.22299306243805747</v>
      </c>
      <c r="AK36" s="158">
        <f t="shared" si="19"/>
        <v>0.4152626362735381</v>
      </c>
      <c r="AL36" s="158">
        <f t="shared" si="20"/>
        <v>0.55896927651139738</v>
      </c>
      <c r="AM36" s="158">
        <f t="shared" si="21"/>
        <v>0.65906838453914762</v>
      </c>
      <c r="AN36" s="158">
        <f t="shared" si="22"/>
        <v>0.79484638255698703</v>
      </c>
      <c r="AO36" s="158">
        <v>1</v>
      </c>
      <c r="AP36" s="143"/>
      <c r="AQ36" s="152">
        <f>('B2-RdTr'!$E145-'B2-RdTr'!$D145)*'B2-RdTr'!$H145/(('B2-RdTr'!$E107-'B2-RdTr'!$D107)*'B2-RdTr'!$H107)*100</f>
        <v>3.0828665250144871</v>
      </c>
      <c r="AR36" s="152">
        <f>('B2-RdTr'!$E183-'B2-RdTr'!$D183)*'B2-RdTr'!$H183/(('B2-RdTr'!$E107-'B2-RdTr'!$D107)*'B2-RdTr'!$H107)*100</f>
        <v>8.3803636965699937</v>
      </c>
      <c r="AS36" s="152">
        <f>('B2-RdTr'!$E221-'B2-RdTr'!$D221)*'B2-RdTr'!$H221/(('B2-RdTr'!$E107-'B2-RdTr'!$D107)*'B2-RdTr'!$H107)*100</f>
        <v>13.258644002317945</v>
      </c>
      <c r="AT36" s="152">
        <f>('B2-RdTr'!$E259-'B2-RdTr'!$D259)*'B2-RdTr'!$H259/(('B2-RdTr'!$E107-'B2-RdTr'!$D107)*'B2-RdTr'!$H107)*100</f>
        <v>19.929578630756918</v>
      </c>
      <c r="AU36" s="152">
        <f>('B2-RdTr'!$E335-'B2-RdTr'!$D335)*'B2-RdTr'!$H335/(('B2-RdTr'!$E107-'B2-RdTr'!$D107)*'B2-RdTr'!$H107)*100</f>
        <v>14.483291481553023</v>
      </c>
      <c r="AV36" s="152">
        <f>('B2-RdTr'!$E373-'B2-RdTr'!$D373)*'B2-RdTr'!$H373/(('B2-RdTr'!$E107-'B2-RdTr'!$D107)*'B2-RdTr'!$H107)*100</f>
        <v>9.9638510996440299</v>
      </c>
      <c r="AW36" s="152">
        <f>('B2-RdTr'!$E411-'B2-RdTr'!$D411)*'B2-RdTr'!$H411/(('B2-RdTr'!$E107-'B2-RdTr'!$D107)*'B2-RdTr'!$H107)*100</f>
        <v>13.068020640746159</v>
      </c>
      <c r="AX36" s="152">
        <f t="shared" si="23"/>
        <v>17.833383923397449</v>
      </c>
      <c r="AY36" s="44"/>
      <c r="AZ36" s="152">
        <f>'B2-RdTr'!$N145</f>
        <v>2.5</v>
      </c>
      <c r="BA36" s="152">
        <f>'B2-RdTr'!$N183</f>
        <v>7.5</v>
      </c>
      <c r="BB36" s="152">
        <f>'B2-RdTr'!$N221</f>
        <v>12.5</v>
      </c>
      <c r="BC36" s="152">
        <f>'B2-RdTr'!$N259</f>
        <v>19.399999999999999</v>
      </c>
      <c r="BD36" s="152">
        <f>'B2-RdTr'!$N335</f>
        <v>14.5</v>
      </c>
      <c r="BE36" s="152">
        <f>'B2-RdTr'!$N373</f>
        <v>10.1</v>
      </c>
      <c r="BF36" s="152">
        <f>'B2-RdTr'!$N411</f>
        <v>13.7</v>
      </c>
      <c r="BG36" s="152">
        <f>'B2-RdTr'!$N449</f>
        <v>20.7</v>
      </c>
    </row>
    <row r="37" spans="1:59">
      <c r="A37" s="46">
        <f t="shared" si="24"/>
        <v>2008</v>
      </c>
      <c r="B37" s="141">
        <f t="shared" si="5"/>
        <v>5.5105997779202665E-2</v>
      </c>
      <c r="C37" s="46"/>
      <c r="D37" s="164">
        <f>SUM(G37:N37)*2</f>
        <v>0.5334924243115271</v>
      </c>
      <c r="E37" s="164">
        <f t="shared" si="7"/>
        <v>0.58859842209072977</v>
      </c>
      <c r="F37" s="37"/>
      <c r="G37" s="165">
        <f>(P$4-P37)*P$3</f>
        <v>3.3567897726276053E-2</v>
      </c>
      <c r="H37" s="165">
        <f t="shared" si="8"/>
        <v>5.5938965077293526E-2</v>
      </c>
      <c r="I37" s="165">
        <f t="shared" si="8"/>
        <v>6.779685119112358E-2</v>
      </c>
      <c r="J37" s="165">
        <f t="shared" si="8"/>
        <v>6.537598948447991E-2</v>
      </c>
      <c r="K37" s="165">
        <f t="shared" si="8"/>
        <v>2.761017498190307E-2</v>
      </c>
      <c r="L37" s="165">
        <f t="shared" si="8"/>
        <v>1.1137256656106716E-2</v>
      </c>
      <c r="M37" s="165">
        <f t="shared" si="8"/>
        <v>5.3190770385806909E-3</v>
      </c>
      <c r="N37" s="165">
        <f t="shared" si="8"/>
        <v>0</v>
      </c>
      <c r="O37" s="37"/>
      <c r="P37" s="154">
        <f t="shared" si="9"/>
        <v>3.2160511368619735E-2</v>
      </c>
      <c r="Q37" s="154">
        <f t="shared" si="10"/>
        <v>0.12030517461353242</v>
      </c>
      <c r="R37" s="154">
        <f t="shared" si="11"/>
        <v>0.26101574404438221</v>
      </c>
      <c r="S37" s="154">
        <f t="shared" si="12"/>
        <v>0.47312005257760048</v>
      </c>
      <c r="T37" s="154">
        <f t="shared" si="13"/>
        <v>0.62389825018096934</v>
      </c>
      <c r="U37" s="154">
        <f t="shared" si="14"/>
        <v>0.72725486687786578</v>
      </c>
      <c r="V37" s="154">
        <f t="shared" si="15"/>
        <v>0.85702307403548283</v>
      </c>
      <c r="W37" s="162">
        <v>1</v>
      </c>
      <c r="X37" s="154"/>
      <c r="Y37" s="142">
        <f t="shared" si="25"/>
        <v>3.5069033530571996E-2</v>
      </c>
      <c r="Z37" s="142">
        <f t="shared" si="25"/>
        <v>5.9881656804733729E-2</v>
      </c>
      <c r="AA37" s="142">
        <f t="shared" si="25"/>
        <v>7.4043392504930985E-2</v>
      </c>
      <c r="AB37" s="142">
        <f t="shared" si="25"/>
        <v>7.3609467455621316E-2</v>
      </c>
      <c r="AC37" s="142">
        <f t="shared" si="25"/>
        <v>3.1814595660749512E-2</v>
      </c>
      <c r="AD37" s="142">
        <f t="shared" si="25"/>
        <v>1.3180473372781071E-2</v>
      </c>
      <c r="AE37" s="142">
        <f t="shared" si="25"/>
        <v>6.700591715976336E-3</v>
      </c>
      <c r="AF37" s="142">
        <f t="shared" si="25"/>
        <v>0</v>
      </c>
      <c r="AH37" s="158">
        <f t="shared" si="16"/>
        <v>2.465483234714004E-2</v>
      </c>
      <c r="AI37" s="158">
        <f t="shared" si="17"/>
        <v>0.10059171597633138</v>
      </c>
      <c r="AJ37" s="158">
        <f t="shared" si="18"/>
        <v>0.22978303747534518</v>
      </c>
      <c r="AK37" s="158">
        <f t="shared" si="19"/>
        <v>0.43195266272189348</v>
      </c>
      <c r="AL37" s="158">
        <f t="shared" si="20"/>
        <v>0.5818540433925049</v>
      </c>
      <c r="AM37" s="158">
        <f t="shared" si="21"/>
        <v>0.68639053254437865</v>
      </c>
      <c r="AN37" s="158">
        <f t="shared" si="22"/>
        <v>0.8224852071005917</v>
      </c>
      <c r="AO37" s="158">
        <v>1</v>
      </c>
      <c r="AP37" s="143"/>
      <c r="AQ37" s="152">
        <f>('B2-RdTr'!$E146-'B2-RdTr'!$D146)*'B2-RdTr'!$H146/(('B2-RdTr'!$E108-'B2-RdTr'!$D108)*'B2-RdTr'!$H108)*100</f>
        <v>3.2160511368619735</v>
      </c>
      <c r="AR37" s="152">
        <f>('B2-RdTr'!$E184-'B2-RdTr'!$D184)*'B2-RdTr'!$H184/(('B2-RdTr'!$E108-'B2-RdTr'!$D108)*'B2-RdTr'!$H108)*100</f>
        <v>8.8144663244912689</v>
      </c>
      <c r="AS37" s="152">
        <f>('B2-RdTr'!$E222-'B2-RdTr'!$D222)*'B2-RdTr'!$H222/(('B2-RdTr'!$E108-'B2-RdTr'!$D108)*'B2-RdTr'!$H108)*100</f>
        <v>14.071056943084981</v>
      </c>
      <c r="AT37" s="152">
        <f>('B2-RdTr'!$E260-'B2-RdTr'!$D260)*'B2-RdTr'!$H260/(('B2-RdTr'!$E108-'B2-RdTr'!$D108)*'B2-RdTr'!$H108)*100</f>
        <v>21.210430853321828</v>
      </c>
      <c r="AU37" s="152">
        <f>('B2-RdTr'!$E336-'B2-RdTr'!$D336)*'B2-RdTr'!$H336/(('B2-RdTr'!$E108-'B2-RdTr'!$D108)*'B2-RdTr'!$H108)*100</f>
        <v>15.077819760336888</v>
      </c>
      <c r="AV37" s="152">
        <f>('B2-RdTr'!$E374-'B2-RdTr'!$D374)*'B2-RdTr'!$H374/(('B2-RdTr'!$E108-'B2-RdTr'!$D108)*'B2-RdTr'!$H108)*100</f>
        <v>10.335661669689644</v>
      </c>
      <c r="AW37" s="152">
        <f>('B2-RdTr'!$E412-'B2-RdTr'!$D412)*'B2-RdTr'!$H412/(('B2-RdTr'!$E108-'B2-RdTr'!$D108)*'B2-RdTr'!$H108)*100</f>
        <v>12.976820715761702</v>
      </c>
      <c r="AX37" s="152">
        <f t="shared" si="23"/>
        <v>14.297692596451711</v>
      </c>
      <c r="AY37" s="44"/>
      <c r="AZ37" s="152">
        <f>'B2-RdTr'!$N146</f>
        <v>2.5</v>
      </c>
      <c r="BA37" s="152">
        <f>'B2-RdTr'!$N184</f>
        <v>7.7</v>
      </c>
      <c r="BB37" s="152">
        <f>'B2-RdTr'!$N222</f>
        <v>13.1</v>
      </c>
      <c r="BC37" s="152">
        <f>'B2-RdTr'!$N260</f>
        <v>20.5</v>
      </c>
      <c r="BD37" s="152">
        <f>'B2-RdTr'!$N336</f>
        <v>15.2</v>
      </c>
      <c r="BE37" s="152">
        <f>'B2-RdTr'!$N374</f>
        <v>10.6</v>
      </c>
      <c r="BF37" s="152">
        <f>'B2-RdTr'!$N412</f>
        <v>13.8</v>
      </c>
      <c r="BG37" s="152">
        <f>'B2-RdTr'!$N450</f>
        <v>18</v>
      </c>
    </row>
    <row r="38" spans="1:59">
      <c r="A38" s="46">
        <f t="shared" si="24"/>
        <v>2009</v>
      </c>
      <c r="B38" s="141">
        <f t="shared" si="5"/>
        <v>5.6985263943143849E-2</v>
      </c>
      <c r="C38" s="46"/>
      <c r="D38" s="164">
        <f t="shared" si="6"/>
        <v>0.51970982446550051</v>
      </c>
      <c r="E38" s="164">
        <f t="shared" si="7"/>
        <v>0.57669508840864436</v>
      </c>
      <c r="F38" s="37"/>
      <c r="G38" s="165">
        <f t="shared" si="8"/>
        <v>3.4231353255587953E-2</v>
      </c>
      <c r="H38" s="165">
        <f t="shared" si="8"/>
        <v>5.6443553611920966E-2</v>
      </c>
      <c r="I38" s="165">
        <f t="shared" si="8"/>
        <v>6.7340662455458389E-2</v>
      </c>
      <c r="J38" s="165">
        <f t="shared" si="8"/>
        <v>6.2812449384515717E-2</v>
      </c>
      <c r="K38" s="165">
        <f t="shared" si="8"/>
        <v>2.5253558268545508E-2</v>
      </c>
      <c r="L38" s="165">
        <f t="shared" si="8"/>
        <v>9.6916884313249137E-3</v>
      </c>
      <c r="M38" s="165">
        <f t="shared" si="8"/>
        <v>4.0816468253968277E-3</v>
      </c>
      <c r="N38" s="165">
        <f t="shared" si="8"/>
        <v>0</v>
      </c>
      <c r="O38" s="37"/>
      <c r="P38" s="154">
        <f t="shared" si="9"/>
        <v>2.8843233722060255E-2</v>
      </c>
      <c r="Q38" s="154">
        <f t="shared" si="10"/>
        <v>0.11778223194039521</v>
      </c>
      <c r="R38" s="154">
        <f t="shared" si="11"/>
        <v>0.26329668772270814</v>
      </c>
      <c r="S38" s="154">
        <f t="shared" si="12"/>
        <v>0.48593775307742149</v>
      </c>
      <c r="T38" s="154">
        <f t="shared" si="13"/>
        <v>0.64746441731454496</v>
      </c>
      <c r="U38" s="154">
        <f t="shared" si="14"/>
        <v>0.75616623137350181</v>
      </c>
      <c r="V38" s="154">
        <f t="shared" si="15"/>
        <v>0.88795882936507942</v>
      </c>
      <c r="W38" s="162">
        <v>1</v>
      </c>
      <c r="X38" s="154"/>
      <c r="Y38" s="142">
        <f t="shared" si="25"/>
        <v>3.5481335952848726E-2</v>
      </c>
      <c r="Z38" s="142">
        <f t="shared" si="25"/>
        <v>6.0353634577603149E-2</v>
      </c>
      <c r="AA38" s="142">
        <f t="shared" si="25"/>
        <v>7.3831041257367405E-2</v>
      </c>
      <c r="AB38" s="142">
        <f t="shared" si="25"/>
        <v>7.1394891944990185E-2</v>
      </c>
      <c r="AC38" s="142">
        <f t="shared" si="25"/>
        <v>2.9783889980353629E-2</v>
      </c>
      <c r="AD38" s="142">
        <f t="shared" si="25"/>
        <v>1.1890962671905697E-2</v>
      </c>
      <c r="AE38" s="142">
        <f t="shared" si="25"/>
        <v>5.6117878192534403E-3</v>
      </c>
      <c r="AF38" s="142">
        <f t="shared" si="25"/>
        <v>0</v>
      </c>
      <c r="AH38" s="158">
        <f t="shared" si="16"/>
        <v>2.2593320235756383E-2</v>
      </c>
      <c r="AI38" s="158">
        <f t="shared" si="17"/>
        <v>9.8231827111984291E-2</v>
      </c>
      <c r="AJ38" s="158">
        <f t="shared" si="18"/>
        <v>0.23084479371316308</v>
      </c>
      <c r="AK38" s="158">
        <f t="shared" si="19"/>
        <v>0.44302554027504915</v>
      </c>
      <c r="AL38" s="158">
        <f t="shared" si="20"/>
        <v>0.60216110019646374</v>
      </c>
      <c r="AM38" s="158">
        <f t="shared" si="21"/>
        <v>0.71218074656188612</v>
      </c>
      <c r="AN38" s="158">
        <f t="shared" si="22"/>
        <v>0.84970530451866411</v>
      </c>
      <c r="AO38" s="158">
        <v>1</v>
      </c>
      <c r="AP38" s="143"/>
      <c r="AQ38" s="152">
        <f>('B2-RdTr'!$E147-'B2-RdTr'!$D147)*'B2-RdTr'!$H147/(('B2-RdTr'!$E109-'B2-RdTr'!$D109)*'B2-RdTr'!$H109)*100</f>
        <v>2.8843233722060253</v>
      </c>
      <c r="AR38" s="152">
        <f>('B2-RdTr'!$E185-'B2-RdTr'!$D185)*'B2-RdTr'!$H185/(('B2-RdTr'!$E109-'B2-RdTr'!$D109)*'B2-RdTr'!$H109)*100</f>
        <v>8.8938998218334948</v>
      </c>
      <c r="AS38" s="152">
        <f>('B2-RdTr'!$E223-'B2-RdTr'!$D223)*'B2-RdTr'!$H223/(('B2-RdTr'!$E109-'B2-RdTr'!$D109)*'B2-RdTr'!$H109)*100</f>
        <v>14.551445578231291</v>
      </c>
      <c r="AT38" s="152">
        <f>('B2-RdTr'!$E261-'B2-RdTr'!$D261)*'B2-RdTr'!$H261/(('B2-RdTr'!$E109-'B2-RdTr'!$D109)*'B2-RdTr'!$H109)*100</f>
        <v>22.264106535471331</v>
      </c>
      <c r="AU38" s="152">
        <f>('B2-RdTr'!$E337-'B2-RdTr'!$D337)*'B2-RdTr'!$H337/(('B2-RdTr'!$E109-'B2-RdTr'!$D109)*'B2-RdTr'!$H109)*100</f>
        <v>16.152666423712343</v>
      </c>
      <c r="AV38" s="152">
        <f>('B2-RdTr'!$E375-'B2-RdTr'!$D375)*'B2-RdTr'!$H375/(('B2-RdTr'!$E109-'B2-RdTr'!$D109)*'B2-RdTr'!$H109)*100</f>
        <v>10.870181405895691</v>
      </c>
      <c r="AW38" s="152">
        <f>('B2-RdTr'!$E413-'B2-RdTr'!$D413)*'B2-RdTr'!$H413/(('B2-RdTr'!$E109-'B2-RdTr'!$D109)*'B2-RdTr'!$H109)*100</f>
        <v>13.179259799157759</v>
      </c>
      <c r="AX38" s="152">
        <f t="shared" si="23"/>
        <v>11.204117063492063</v>
      </c>
      <c r="AY38" s="44"/>
      <c r="AZ38" s="152">
        <f>'B2-RdTr'!$N147</f>
        <v>2.2999999999999998</v>
      </c>
      <c r="BA38" s="152">
        <f>'B2-RdTr'!$N185</f>
        <v>7.7</v>
      </c>
      <c r="BB38" s="152">
        <f>'B2-RdTr'!$N223</f>
        <v>13.5</v>
      </c>
      <c r="BC38" s="152">
        <f>'B2-RdTr'!$N261</f>
        <v>21.6</v>
      </c>
      <c r="BD38" s="152">
        <f>'B2-RdTr'!$N337</f>
        <v>16.2</v>
      </c>
      <c r="BE38" s="152">
        <f>'B2-RdTr'!$N375</f>
        <v>11.2</v>
      </c>
      <c r="BF38" s="152">
        <f>'B2-RdTr'!$N413</f>
        <v>14</v>
      </c>
      <c r="BG38" s="152">
        <f>'B2-RdTr'!$N451</f>
        <v>15.3</v>
      </c>
    </row>
    <row r="39" spans="1:59">
      <c r="A39" s="46">
        <f t="shared" si="24"/>
        <v>2010</v>
      </c>
      <c r="B39" s="141">
        <f t="shared" si="5"/>
        <v>5.6331837481518043E-2</v>
      </c>
      <c r="C39" s="46"/>
      <c r="D39" s="141">
        <f t="shared" si="6"/>
        <v>0.5382024791359844</v>
      </c>
      <c r="E39" s="141">
        <f t="shared" si="7"/>
        <v>0.59453431661750245</v>
      </c>
      <c r="F39" s="46"/>
      <c r="G39" s="157">
        <f t="shared" si="8"/>
        <v>3.4345851742758962E-2</v>
      </c>
      <c r="H39" s="157">
        <f t="shared" si="8"/>
        <v>5.7201767304860096E-2</v>
      </c>
      <c r="I39" s="157">
        <f t="shared" si="8"/>
        <v>6.9187530682376069E-2</v>
      </c>
      <c r="J39" s="157">
        <f t="shared" si="8"/>
        <v>6.5702994599901837E-2</v>
      </c>
      <c r="K39" s="157">
        <f t="shared" si="8"/>
        <v>2.7070569464899365E-2</v>
      </c>
      <c r="L39" s="157">
        <f t="shared" si="8"/>
        <v>1.073484290623466E-2</v>
      </c>
      <c r="M39" s="157">
        <f t="shared" si="8"/>
        <v>4.8576828669612175E-3</v>
      </c>
      <c r="N39" s="157">
        <f t="shared" si="8"/>
        <v>0</v>
      </c>
      <c r="O39" s="46"/>
      <c r="P39" s="154">
        <f t="shared" si="9"/>
        <v>2.8270741286205204E-2</v>
      </c>
      <c r="Q39" s="154">
        <f t="shared" si="10"/>
        <v>0.11399116347569956</v>
      </c>
      <c r="R39" s="154">
        <f t="shared" si="11"/>
        <v>0.25406234658811977</v>
      </c>
      <c r="S39" s="154">
        <f t="shared" si="12"/>
        <v>0.47148502700049089</v>
      </c>
      <c r="T39" s="154">
        <f t="shared" si="13"/>
        <v>0.62929430535100639</v>
      </c>
      <c r="U39" s="154">
        <f t="shared" si="14"/>
        <v>0.73530314187530688</v>
      </c>
      <c r="V39" s="154">
        <f t="shared" si="15"/>
        <v>0.86855792832596967</v>
      </c>
      <c r="W39" s="162">
        <v>1</v>
      </c>
      <c r="X39" s="154"/>
      <c r="Y39" s="142">
        <f t="shared" si="25"/>
        <v>3.5673549655850546E-2</v>
      </c>
      <c r="Z39" s="142">
        <f t="shared" si="25"/>
        <v>6.1120943952802369E-2</v>
      </c>
      <c r="AA39" s="142">
        <f t="shared" si="25"/>
        <v>7.555555555555557E-2</v>
      </c>
      <c r="AB39" s="142">
        <f t="shared" si="25"/>
        <v>7.4257620452310713E-2</v>
      </c>
      <c r="AC39" s="142">
        <f t="shared" si="25"/>
        <v>3.1494591937069806E-2</v>
      </c>
      <c r="AD39" s="142">
        <f t="shared" si="25"/>
        <v>1.283923303834808E-2</v>
      </c>
      <c r="AE39" s="142">
        <f t="shared" si="25"/>
        <v>6.3256637168141562E-3</v>
      </c>
      <c r="AF39" s="142">
        <f t="shared" si="25"/>
        <v>0</v>
      </c>
      <c r="AH39" s="158">
        <f t="shared" si="16"/>
        <v>2.16322517207473E-2</v>
      </c>
      <c r="AI39" s="158">
        <f t="shared" si="17"/>
        <v>9.4395280235988213E-2</v>
      </c>
      <c r="AJ39" s="158">
        <f t="shared" si="18"/>
        <v>0.22222222222222227</v>
      </c>
      <c r="AK39" s="158">
        <f t="shared" si="19"/>
        <v>0.42871189773844648</v>
      </c>
      <c r="AL39" s="158">
        <f t="shared" si="20"/>
        <v>0.58505408062930198</v>
      </c>
      <c r="AM39" s="158">
        <f t="shared" si="21"/>
        <v>0.69321533923303846</v>
      </c>
      <c r="AN39" s="158">
        <f t="shared" si="22"/>
        <v>0.8318584070796462</v>
      </c>
      <c r="AO39" s="158">
        <v>1</v>
      </c>
      <c r="AP39" s="143"/>
      <c r="AQ39" s="152">
        <f>('B2-RdTr'!$E148-'B2-RdTr'!$D148)*'B2-RdTr'!$H148/(('B2-RdTr'!$E110-'B2-RdTr'!$D110)*'B2-RdTr'!$H110)*100</f>
        <v>2.8270741286205205</v>
      </c>
      <c r="AR39" s="152">
        <f>('B2-RdTr'!$E186-'B2-RdTr'!$D186)*'B2-RdTr'!$H186/(('B2-RdTr'!$E110-'B2-RdTr'!$D110)*'B2-RdTr'!$H110)*100</f>
        <v>8.5720422189494361</v>
      </c>
      <c r="AS39" s="152">
        <f>('B2-RdTr'!$E224-'B2-RdTr'!$D224)*'B2-RdTr'!$H224/(('B2-RdTr'!$E110-'B2-RdTr'!$D110)*'B2-RdTr'!$H110)*100</f>
        <v>14.007118311242023</v>
      </c>
      <c r="AT39" s="152">
        <f>('B2-RdTr'!$E262-'B2-RdTr'!$D262)*'B2-RdTr'!$H262/(('B2-RdTr'!$E110-'B2-RdTr'!$D110)*'B2-RdTr'!$H110)*100</f>
        <v>21.742268041237114</v>
      </c>
      <c r="AU39" s="152">
        <f>('B2-RdTr'!$E338-'B2-RdTr'!$D338)*'B2-RdTr'!$H338/(('B2-RdTr'!$E110-'B2-RdTr'!$D110)*'B2-RdTr'!$H110)*100</f>
        <v>15.780927835051548</v>
      </c>
      <c r="AV39" s="152">
        <f>('B2-RdTr'!$E376-'B2-RdTr'!$D376)*'B2-RdTr'!$H376/(('B2-RdTr'!$E110-'B2-RdTr'!$D110)*'B2-RdTr'!$H110)*100</f>
        <v>10.600883652430044</v>
      </c>
      <c r="AW39" s="152">
        <f>('B2-RdTr'!$E414-'B2-RdTr'!$D414)*'B2-RdTr'!$H414/(('B2-RdTr'!$E110-'B2-RdTr'!$D110)*'B2-RdTr'!$H110)*100</f>
        <v>13.325478645066275</v>
      </c>
      <c r="AX39" s="152">
        <f t="shared" si="23"/>
        <v>13.144207167403039</v>
      </c>
      <c r="AY39" s="44"/>
      <c r="AZ39" s="152">
        <f>'B2-RdTr'!$N148</f>
        <v>2.2000000000000002</v>
      </c>
      <c r="BA39" s="152">
        <f>'B2-RdTr'!$N186</f>
        <v>7.4</v>
      </c>
      <c r="BB39" s="152">
        <f>'B2-RdTr'!$N224</f>
        <v>13</v>
      </c>
      <c r="BC39" s="152">
        <f>'B2-RdTr'!$N262</f>
        <v>21</v>
      </c>
      <c r="BD39" s="152">
        <f>'B2-RdTr'!$N338</f>
        <v>15.9</v>
      </c>
      <c r="BE39" s="152">
        <f>'B2-RdTr'!$N376</f>
        <v>11</v>
      </c>
      <c r="BF39" s="152">
        <f>'B2-RdTr'!$N414</f>
        <v>14.1</v>
      </c>
      <c r="BG39" s="152">
        <f>'B2-RdTr'!$N452</f>
        <v>17.100000000000001</v>
      </c>
    </row>
    <row r="40" spans="1:59">
      <c r="A40" s="46">
        <f t="shared" si="24"/>
        <v>2011</v>
      </c>
      <c r="B40" s="141">
        <f t="shared" si="5"/>
        <v>5.4240391697539803E-2</v>
      </c>
      <c r="C40" s="46"/>
      <c r="D40" s="141">
        <f t="shared" si="6"/>
        <v>0.53753596298226336</v>
      </c>
      <c r="E40" s="141">
        <f t="shared" si="7"/>
        <v>0.59177635467980316</v>
      </c>
      <c r="F40" s="46"/>
      <c r="G40" s="157">
        <f t="shared" si="8"/>
        <v>3.4319717059425242E-2</v>
      </c>
      <c r="H40" s="157">
        <f t="shared" si="8"/>
        <v>5.7229411537645006E-2</v>
      </c>
      <c r="I40" s="157">
        <f t="shared" si="8"/>
        <v>6.9207969042518303E-2</v>
      </c>
      <c r="J40" s="157">
        <f t="shared" si="8"/>
        <v>6.5705373168895839E-2</v>
      </c>
      <c r="K40" s="157">
        <f t="shared" si="8"/>
        <v>2.701761623530774E-2</v>
      </c>
      <c r="L40" s="157">
        <f t="shared" si="8"/>
        <v>1.0602346418852417E-2</v>
      </c>
      <c r="M40" s="157">
        <f t="shared" si="8"/>
        <v>4.6855480284870637E-3</v>
      </c>
      <c r="N40" s="157">
        <f t="shared" si="8"/>
        <v>0</v>
      </c>
      <c r="O40" s="46"/>
      <c r="P40" s="154">
        <f t="shared" si="9"/>
        <v>2.8401414702873797E-2</v>
      </c>
      <c r="Q40" s="154">
        <f t="shared" si="10"/>
        <v>0.11385294231177503</v>
      </c>
      <c r="R40" s="154">
        <f t="shared" si="11"/>
        <v>0.25396015478740858</v>
      </c>
      <c r="S40" s="154">
        <f t="shared" si="12"/>
        <v>0.47147313415552083</v>
      </c>
      <c r="T40" s="154">
        <f t="shared" si="13"/>
        <v>0.62982383764692262</v>
      </c>
      <c r="U40" s="154">
        <f t="shared" si="14"/>
        <v>0.73795307162295176</v>
      </c>
      <c r="V40" s="154">
        <f t="shared" si="15"/>
        <v>0.87286129928782352</v>
      </c>
      <c r="W40" s="162">
        <v>1</v>
      </c>
      <c r="X40" s="154"/>
      <c r="Y40" s="142">
        <f t="shared" si="25"/>
        <v>3.5467980295566505E-2</v>
      </c>
      <c r="Z40" s="142">
        <f t="shared" si="25"/>
        <v>6.0886699507389168E-2</v>
      </c>
      <c r="AA40" s="142">
        <f t="shared" si="25"/>
        <v>7.5270935960591159E-2</v>
      </c>
      <c r="AB40" s="142">
        <f t="shared" si="25"/>
        <v>7.3891625615763554E-2</v>
      </c>
      <c r="AC40" s="142">
        <f t="shared" si="25"/>
        <v>3.1379310344827584E-2</v>
      </c>
      <c r="AD40" s="142">
        <f t="shared" si="25"/>
        <v>1.2770935960591135E-2</v>
      </c>
      <c r="AE40" s="142">
        <f t="shared" si="25"/>
        <v>6.2206896551724178E-3</v>
      </c>
      <c r="AF40" s="142">
        <f t="shared" si="25"/>
        <v>0</v>
      </c>
      <c r="AH40" s="158">
        <f t="shared" si="16"/>
        <v>2.2660098522167486E-2</v>
      </c>
      <c r="AI40" s="158">
        <f t="shared" si="17"/>
        <v>9.5566502463054176E-2</v>
      </c>
      <c r="AJ40" s="158">
        <f t="shared" si="18"/>
        <v>0.22364532019704433</v>
      </c>
      <c r="AK40" s="158">
        <f t="shared" si="19"/>
        <v>0.43054187192118226</v>
      </c>
      <c r="AL40" s="158">
        <f t="shared" si="20"/>
        <v>0.5862068965517242</v>
      </c>
      <c r="AM40" s="158">
        <f t="shared" si="21"/>
        <v>0.69458128078817738</v>
      </c>
      <c r="AN40" s="158">
        <f t="shared" si="22"/>
        <v>0.83448275862068966</v>
      </c>
      <c r="AO40" s="158">
        <v>1</v>
      </c>
      <c r="AP40" s="143"/>
      <c r="AQ40" s="152">
        <f>('B2-RdTr'!$E149-'B2-RdTr'!$D149)*'B2-RdTr'!$H149/(('B2-RdTr'!$E111-'B2-RdTr'!$D111)*'B2-RdTr'!$H111)*100</f>
        <v>2.8401414702873797</v>
      </c>
      <c r="AR40" s="152">
        <f>('B2-RdTr'!$E187-'B2-RdTr'!$D187)*'B2-RdTr'!$H187/(('B2-RdTr'!$E111-'B2-RdTr'!$D111)*'B2-RdTr'!$H111)*100</f>
        <v>8.5451527608901241</v>
      </c>
      <c r="AS40" s="152">
        <f>('B2-RdTr'!$E225-'B2-RdTr'!$D225)*'B2-RdTr'!$H225/(('B2-RdTr'!$E111-'B2-RdTr'!$D111)*'B2-RdTr'!$H111)*100</f>
        <v>14.010721247563355</v>
      </c>
      <c r="AT40" s="152">
        <f>('B2-RdTr'!$E263-'B2-RdTr'!$D263)*'B2-RdTr'!$H263/(('B2-RdTr'!$E111-'B2-RdTr'!$D111)*'B2-RdTr'!$H111)*100</f>
        <v>21.751297936811227</v>
      </c>
      <c r="AU40" s="152">
        <f>('B2-RdTr'!$E339-'B2-RdTr'!$D339)*'B2-RdTr'!$H339/(('B2-RdTr'!$E111-'B2-RdTr'!$D111)*'B2-RdTr'!$H111)*100</f>
        <v>15.835070349140176</v>
      </c>
      <c r="AV40" s="152">
        <f>('B2-RdTr'!$E377-'B2-RdTr'!$D377)*'B2-RdTr'!$H377/(('B2-RdTr'!$E111-'B2-RdTr'!$D111)*'B2-RdTr'!$H111)*100</f>
        <v>10.812923397602917</v>
      </c>
      <c r="AW40" s="152">
        <f>('B2-RdTr'!$E415-'B2-RdTr'!$D415)*'B2-RdTr'!$H415/(('B2-RdTr'!$E111-'B2-RdTr'!$D111)*'B2-RdTr'!$H111)*100</f>
        <v>13.490822766487176</v>
      </c>
      <c r="AX40" s="152">
        <f t="shared" si="23"/>
        <v>12.713870071217656</v>
      </c>
      <c r="AY40" s="44"/>
      <c r="AZ40" s="152">
        <f>'B2-RdTr'!$N149</f>
        <v>2.2999999999999998</v>
      </c>
      <c r="BA40" s="152">
        <f>'B2-RdTr'!$N187</f>
        <v>7.4</v>
      </c>
      <c r="BB40" s="152">
        <f>'B2-RdTr'!$N225</f>
        <v>13</v>
      </c>
      <c r="BC40" s="152">
        <f>'B2-RdTr'!$N263</f>
        <v>21</v>
      </c>
      <c r="BD40" s="152">
        <f>'B2-RdTr'!$N339</f>
        <v>15.8</v>
      </c>
      <c r="BE40" s="152">
        <f>'B2-RdTr'!$N377</f>
        <v>11</v>
      </c>
      <c r="BF40" s="152">
        <f>'B2-RdTr'!$N415</f>
        <v>14.2</v>
      </c>
      <c r="BG40" s="152">
        <f>'B2-RdTr'!$N453</f>
        <v>16.8</v>
      </c>
    </row>
    <row r="41" spans="1:59">
      <c r="A41" s="46">
        <f t="shared" si="24"/>
        <v>2012</v>
      </c>
      <c r="B41" s="141">
        <f t="shared" si="5"/>
        <v>5.4304152117372828E-2</v>
      </c>
      <c r="C41" s="46"/>
      <c r="D41" s="141">
        <f t="shared" si="6"/>
        <v>0.56648361908578315</v>
      </c>
      <c r="E41" s="141">
        <f t="shared" si="7"/>
        <v>0.62078777120315598</v>
      </c>
      <c r="F41" s="46"/>
      <c r="G41" s="157">
        <f t="shared" si="8"/>
        <v>3.4907404757134275E-2</v>
      </c>
      <c r="H41" s="157">
        <f t="shared" si="8"/>
        <v>5.874139164782323E-2</v>
      </c>
      <c r="I41" s="157">
        <f t="shared" si="8"/>
        <v>7.1966797378137812E-2</v>
      </c>
      <c r="J41" s="157">
        <f t="shared" si="8"/>
        <v>7.0011964393050366E-2</v>
      </c>
      <c r="K41" s="157">
        <f t="shared" si="8"/>
        <v>2.9651143486847765E-2</v>
      </c>
      <c r="L41" s="157">
        <f t="shared" si="8"/>
        <v>1.2063127915963029E-2</v>
      </c>
      <c r="M41" s="157">
        <f t="shared" si="8"/>
        <v>5.8999799639350937E-3</v>
      </c>
      <c r="N41" s="157">
        <f t="shared" si="8"/>
        <v>0</v>
      </c>
      <c r="O41" s="46"/>
      <c r="P41" s="154">
        <f t="shared" si="9"/>
        <v>2.546297621432865E-2</v>
      </c>
      <c r="Q41" s="154">
        <f t="shared" si="10"/>
        <v>0.10629304176088387</v>
      </c>
      <c r="R41" s="154">
        <f t="shared" si="11"/>
        <v>0.24016601310931102</v>
      </c>
      <c r="S41" s="154">
        <f t="shared" si="12"/>
        <v>0.44994017803474823</v>
      </c>
      <c r="T41" s="154">
        <f t="shared" si="13"/>
        <v>0.60348856513152238</v>
      </c>
      <c r="U41" s="154">
        <f t="shared" si="14"/>
        <v>0.70873744168073949</v>
      </c>
      <c r="V41" s="154">
        <f t="shared" si="15"/>
        <v>0.84250050090162276</v>
      </c>
      <c r="W41" s="162">
        <v>1</v>
      </c>
      <c r="X41" s="154"/>
      <c r="Y41" s="142">
        <f t="shared" si="25"/>
        <v>3.6055226824457602E-2</v>
      </c>
      <c r="Z41" s="142">
        <f t="shared" si="25"/>
        <v>6.2445759368836298E-2</v>
      </c>
      <c r="AA41" s="142">
        <f t="shared" si="25"/>
        <v>7.7988165680473398E-2</v>
      </c>
      <c r="AB41" s="142">
        <f t="shared" si="25"/>
        <v>7.8145956607495085E-2</v>
      </c>
      <c r="AC41" s="142">
        <f t="shared" si="25"/>
        <v>3.4082840236686396E-2</v>
      </c>
      <c r="AD41" s="142">
        <f t="shared" si="25"/>
        <v>1.4265285996055234E-2</v>
      </c>
      <c r="AE41" s="142">
        <f t="shared" si="25"/>
        <v>7.410650887573973E-3</v>
      </c>
      <c r="AF41" s="142">
        <f t="shared" si="25"/>
        <v>0</v>
      </c>
      <c r="AH41" s="158">
        <f t="shared" si="16"/>
        <v>1.9723865877712032E-2</v>
      </c>
      <c r="AI41" s="158">
        <f t="shared" si="17"/>
        <v>8.7771203155818545E-2</v>
      </c>
      <c r="AJ41" s="158">
        <f t="shared" si="18"/>
        <v>0.21005917159763315</v>
      </c>
      <c r="AK41" s="158">
        <f t="shared" si="19"/>
        <v>0.40927021696252464</v>
      </c>
      <c r="AL41" s="158">
        <f t="shared" si="20"/>
        <v>0.55917159763313606</v>
      </c>
      <c r="AM41" s="158">
        <f t="shared" si="21"/>
        <v>0.66469428007889542</v>
      </c>
      <c r="AN41" s="158">
        <f t="shared" si="22"/>
        <v>0.80473372781065078</v>
      </c>
      <c r="AO41" s="158">
        <v>1</v>
      </c>
      <c r="AP41" s="143"/>
      <c r="AQ41" s="152">
        <f>('B2-RdTr'!$E150-'B2-RdTr'!$D150)*'B2-RdTr'!$H150/(('B2-RdTr'!$E112-'B2-RdTr'!$D112)*'B2-RdTr'!$H112)*100</f>
        <v>2.5462976214328652</v>
      </c>
      <c r="AR41" s="152">
        <f>('B2-RdTr'!$E188-'B2-RdTr'!$D188)*'B2-RdTr'!$H188/(('B2-RdTr'!$E112-'B2-RdTr'!$D112)*'B2-RdTr'!$H112)*100</f>
        <v>8.0830065546555225</v>
      </c>
      <c r="AS41" s="152">
        <f>('B2-RdTr'!$E226-'B2-RdTr'!$D226)*'B2-RdTr'!$H226/(('B2-RdTr'!$E112-'B2-RdTr'!$D112)*'B2-RdTr'!$H112)*100</f>
        <v>13.387297134842715</v>
      </c>
      <c r="AT41" s="152">
        <f>('B2-RdTr'!$E264-'B2-RdTr'!$D264)*'B2-RdTr'!$H264/(('B2-RdTr'!$E112-'B2-RdTr'!$D112)*'B2-RdTr'!$H112)*100</f>
        <v>20.977416492543721</v>
      </c>
      <c r="AU41" s="152">
        <f>('B2-RdTr'!$E340-'B2-RdTr'!$D340)*'B2-RdTr'!$H340/(('B2-RdTr'!$E112-'B2-RdTr'!$D112)*'B2-RdTr'!$H112)*100</f>
        <v>15.354838709677418</v>
      </c>
      <c r="AV41" s="152">
        <f>('B2-RdTr'!$E378-'B2-RdTr'!$D378)*'B2-RdTr'!$H378/(('B2-RdTr'!$E112-'B2-RdTr'!$D112)*'B2-RdTr'!$H112)*100</f>
        <v>10.524887654921717</v>
      </c>
      <c r="AW41" s="152">
        <f>('B2-RdTr'!$E416-'B2-RdTr'!$D416)*'B2-RdTr'!$H416/(('B2-RdTr'!$E112-'B2-RdTr'!$D112)*'B2-RdTr'!$H112)*100</f>
        <v>13.37630592208833</v>
      </c>
      <c r="AX41" s="152">
        <f t="shared" si="23"/>
        <v>15.74994990983771</v>
      </c>
      <c r="AY41" s="44"/>
      <c r="AZ41" s="152">
        <f>'B2-RdTr'!$N150</f>
        <v>2</v>
      </c>
      <c r="BA41" s="152">
        <f>'B2-RdTr'!$N188</f>
        <v>6.9</v>
      </c>
      <c r="BB41" s="152">
        <f>'B2-RdTr'!$N226</f>
        <v>12.4</v>
      </c>
      <c r="BC41" s="152">
        <f>'B2-RdTr'!$N264</f>
        <v>20.2</v>
      </c>
      <c r="BD41" s="152">
        <f>'B2-RdTr'!$N340</f>
        <v>15.2</v>
      </c>
      <c r="BE41" s="152">
        <f>'B2-RdTr'!$N378</f>
        <v>10.7</v>
      </c>
      <c r="BF41" s="152">
        <f>'B2-RdTr'!$N416</f>
        <v>14.2</v>
      </c>
      <c r="BG41" s="152">
        <f>'B2-RdTr'!$N454</f>
        <v>19.8</v>
      </c>
    </row>
    <row r="42" spans="1:59">
      <c r="A42" s="46">
        <f t="shared" si="24"/>
        <v>2013</v>
      </c>
      <c r="B42" s="141">
        <f t="shared" si="5"/>
        <v>5.7072230438651395E-2</v>
      </c>
      <c r="C42" s="46"/>
      <c r="D42" s="141">
        <f t="shared" si="6"/>
        <v>0.53935217901016752</v>
      </c>
      <c r="E42" s="141">
        <f t="shared" si="7"/>
        <v>0.59642440944881892</v>
      </c>
      <c r="F42" s="46"/>
      <c r="G42" s="157">
        <f t="shared" si="8"/>
        <v>3.4276619781021388E-2</v>
      </c>
      <c r="H42" s="157">
        <f t="shared" si="8"/>
        <v>5.7318210561467256E-2</v>
      </c>
      <c r="I42" s="157">
        <f t="shared" si="8"/>
        <v>6.9395712793647132E-2</v>
      </c>
      <c r="J42" s="157">
        <f t="shared" si="8"/>
        <v>6.6132396094099724E-2</v>
      </c>
      <c r="K42" s="157">
        <f t="shared" si="8"/>
        <v>2.7179235161628779E-2</v>
      </c>
      <c r="L42" s="157">
        <f t="shared" si="8"/>
        <v>1.0686202878505476E-2</v>
      </c>
      <c r="M42" s="157">
        <f t="shared" si="8"/>
        <v>4.6877122347140122E-3</v>
      </c>
      <c r="N42" s="157">
        <f t="shared" si="8"/>
        <v>0</v>
      </c>
      <c r="O42" s="46"/>
      <c r="P42" s="154">
        <f t="shared" si="9"/>
        <v>2.8616901094893104E-2</v>
      </c>
      <c r="Q42" s="154">
        <f t="shared" si="10"/>
        <v>0.11340894719266376</v>
      </c>
      <c r="R42" s="154">
        <f t="shared" si="11"/>
        <v>0.25302143603176441</v>
      </c>
      <c r="S42" s="154">
        <f t="shared" si="12"/>
        <v>0.46933801952950144</v>
      </c>
      <c r="T42" s="154">
        <f t="shared" si="13"/>
        <v>0.62820764838371224</v>
      </c>
      <c r="U42" s="154">
        <f t="shared" si="14"/>
        <v>0.73627594242989058</v>
      </c>
      <c r="V42" s="154">
        <f t="shared" si="15"/>
        <v>0.8728071941321498</v>
      </c>
      <c r="W42" s="162">
        <v>1</v>
      </c>
      <c r="X42" s="154"/>
      <c r="Y42" s="142">
        <f t="shared" si="25"/>
        <v>3.5472440944881896E-2</v>
      </c>
      <c r="Z42" s="142">
        <f t="shared" si="25"/>
        <v>6.1102362204724418E-2</v>
      </c>
      <c r="AA42" s="142">
        <f t="shared" si="25"/>
        <v>7.5708661417322853E-2</v>
      </c>
      <c r="AB42" s="142">
        <f t="shared" si="25"/>
        <v>7.4763779527559068E-2</v>
      </c>
      <c r="AC42" s="142">
        <f t="shared" si="25"/>
        <v>3.1830708661417316E-2</v>
      </c>
      <c r="AD42" s="142">
        <f t="shared" si="25"/>
        <v>1.3001968503937006E-2</v>
      </c>
      <c r="AE42" s="142">
        <f t="shared" si="25"/>
        <v>6.3322834645669302E-3</v>
      </c>
      <c r="AF42" s="142">
        <f t="shared" si="25"/>
        <v>0</v>
      </c>
      <c r="AH42" s="158">
        <f t="shared" si="16"/>
        <v>2.2637795275590549E-2</v>
      </c>
      <c r="AI42" s="158">
        <f t="shared" si="17"/>
        <v>9.4488188976377951E-2</v>
      </c>
      <c r="AJ42" s="158">
        <f t="shared" si="18"/>
        <v>0.22145669291338585</v>
      </c>
      <c r="AK42" s="158">
        <f t="shared" si="19"/>
        <v>0.42618110236220474</v>
      </c>
      <c r="AL42" s="158">
        <f t="shared" si="20"/>
        <v>0.58169291338582685</v>
      </c>
      <c r="AM42" s="158">
        <f t="shared" si="21"/>
        <v>0.68996062992125995</v>
      </c>
      <c r="AN42" s="158">
        <f t="shared" si="22"/>
        <v>0.83169291338582685</v>
      </c>
      <c r="AO42" s="158">
        <v>1</v>
      </c>
      <c r="AP42" s="143"/>
      <c r="AQ42" s="152">
        <f>('B2-RdTr'!$E151-'B2-RdTr'!$D151)*'B2-RdTr'!$H151/(('B2-RdTr'!$E113-'B2-RdTr'!$D113)*'B2-RdTr'!$H113)*100</f>
        <v>2.8616901094893104</v>
      </c>
      <c r="AR42" s="152">
        <f>('B2-RdTr'!$E189-'B2-RdTr'!$D189)*'B2-RdTr'!$H189/(('B2-RdTr'!$E113-'B2-RdTr'!$D113)*'B2-RdTr'!$H113)*100</f>
        <v>8.4792046097770655</v>
      </c>
      <c r="AS42" s="152">
        <f>('B2-RdTr'!$E227-'B2-RdTr'!$D227)*'B2-RdTr'!$H227/(('B2-RdTr'!$E113-'B2-RdTr'!$D113)*'B2-RdTr'!$H113)*100</f>
        <v>13.961248883910068</v>
      </c>
      <c r="AT42" s="152">
        <f>('B2-RdTr'!$E265-'B2-RdTr'!$D265)*'B2-RdTr'!$H265/(('B2-RdTr'!$E113-'B2-RdTr'!$D113)*'B2-RdTr'!$H113)*100</f>
        <v>21.631658349773701</v>
      </c>
      <c r="AU42" s="152">
        <f>('B2-RdTr'!$E341-'B2-RdTr'!$D341)*'B2-RdTr'!$H341/(('B2-RdTr'!$E113-'B2-RdTr'!$D113)*'B2-RdTr'!$H113)*100</f>
        <v>15.886962885421083</v>
      </c>
      <c r="AV42" s="152">
        <f>('B2-RdTr'!$E379-'B2-RdTr'!$D379)*'B2-RdTr'!$H379/(('B2-RdTr'!$E113-'B2-RdTr'!$D113)*'B2-RdTr'!$H113)*100</f>
        <v>10.806829404617829</v>
      </c>
      <c r="AW42" s="152">
        <f>('B2-RdTr'!$E417-'B2-RdTr'!$D417)*'B2-RdTr'!$H417/(('B2-RdTr'!$E113-'B2-RdTr'!$D113)*'B2-RdTr'!$H113)*100</f>
        <v>13.653125170225918</v>
      </c>
      <c r="AX42" s="152">
        <f t="shared" si="23"/>
        <v>12.719280586785018</v>
      </c>
      <c r="AY42" s="44"/>
      <c r="AZ42" s="152">
        <f>'B2-RdTr'!$N151</f>
        <v>2.2999999999999998</v>
      </c>
      <c r="BA42" s="152">
        <f>'B2-RdTr'!$N189</f>
        <v>7.3</v>
      </c>
      <c r="BB42" s="152">
        <f>'B2-RdTr'!$N227</f>
        <v>12.9</v>
      </c>
      <c r="BC42" s="152">
        <f>'B2-RdTr'!$N265</f>
        <v>20.8</v>
      </c>
      <c r="BD42" s="152">
        <f>'B2-RdTr'!$N341</f>
        <v>15.8</v>
      </c>
      <c r="BE42" s="152">
        <f>'B2-RdTr'!$N379</f>
        <v>11</v>
      </c>
      <c r="BF42" s="152">
        <f>'B2-RdTr'!$N417</f>
        <v>14.4</v>
      </c>
      <c r="BG42" s="152">
        <f>'B2-RdTr'!$N455</f>
        <v>17.100000000000001</v>
      </c>
    </row>
    <row r="43" spans="1:59">
      <c r="A43" s="46">
        <f t="shared" si="24"/>
        <v>2014</v>
      </c>
      <c r="B43" s="141">
        <f t="shared" si="5"/>
        <v>5.8685341293009952E-2</v>
      </c>
      <c r="C43" s="46"/>
      <c r="D43" s="141">
        <f t="shared" si="6"/>
        <v>0.55275603801733486</v>
      </c>
      <c r="E43" s="141">
        <f t="shared" si="7"/>
        <v>0.61144137931034481</v>
      </c>
      <c r="F43" s="46"/>
      <c r="G43" s="157">
        <f t="shared" si="8"/>
        <v>3.4630158925850821E-2</v>
      </c>
      <c r="H43" s="157">
        <f t="shared" si="8"/>
        <v>5.7870047493391766E-2</v>
      </c>
      <c r="I43" s="157">
        <f t="shared" si="8"/>
        <v>7.0556200890600093E-2</v>
      </c>
      <c r="J43" s="157">
        <f t="shared" si="8"/>
        <v>6.8240821695623816E-2</v>
      </c>
      <c r="K43" s="157">
        <f t="shared" si="8"/>
        <v>2.851850930243869E-2</v>
      </c>
      <c r="L43" s="157">
        <f t="shared" si="8"/>
        <v>1.1363059777881586E-2</v>
      </c>
      <c r="M43" s="157">
        <f t="shared" si="8"/>
        <v>5.1992209228806409E-3</v>
      </c>
      <c r="N43" s="157">
        <f t="shared" si="8"/>
        <v>0</v>
      </c>
      <c r="O43" s="46"/>
      <c r="P43" s="154">
        <f t="shared" si="9"/>
        <v>2.6849205370745925E-2</v>
      </c>
      <c r="Q43" s="154">
        <f t="shared" si="10"/>
        <v>0.11064976253304119</v>
      </c>
      <c r="R43" s="154">
        <f t="shared" si="11"/>
        <v>0.24721899554699966</v>
      </c>
      <c r="S43" s="154">
        <f t="shared" si="12"/>
        <v>0.45879589152188099</v>
      </c>
      <c r="T43" s="154">
        <f t="shared" si="13"/>
        <v>0.61481490697561314</v>
      </c>
      <c r="U43" s="154">
        <f t="shared" si="14"/>
        <v>0.72273880444236838</v>
      </c>
      <c r="V43" s="154">
        <f t="shared" si="15"/>
        <v>0.86001947692798408</v>
      </c>
      <c r="W43" s="162">
        <v>1</v>
      </c>
      <c r="X43" s="154"/>
      <c r="Y43" s="142">
        <f t="shared" si="25"/>
        <v>3.5862068965517246E-2</v>
      </c>
      <c r="Z43" s="142">
        <f t="shared" si="25"/>
        <v>6.1871921182266011E-2</v>
      </c>
      <c r="AA43" s="142">
        <f t="shared" si="25"/>
        <v>7.7044334975369486E-2</v>
      </c>
      <c r="AB43" s="142">
        <f t="shared" si="25"/>
        <v>7.7044334975369472E-2</v>
      </c>
      <c r="AC43" s="142">
        <f t="shared" si="25"/>
        <v>3.3251231527093597E-2</v>
      </c>
      <c r="AD43" s="142">
        <f t="shared" si="25"/>
        <v>1.3756157635467982E-2</v>
      </c>
      <c r="AE43" s="142">
        <f t="shared" si="25"/>
        <v>6.8906403940886696E-3</v>
      </c>
      <c r="AF43" s="142">
        <f t="shared" si="25"/>
        <v>0</v>
      </c>
      <c r="AH43" s="158">
        <f t="shared" si="16"/>
        <v>2.0689655172413793E-2</v>
      </c>
      <c r="AI43" s="158">
        <f t="shared" si="17"/>
        <v>9.0640394088669946E-2</v>
      </c>
      <c r="AJ43" s="158">
        <f t="shared" si="18"/>
        <v>0.2147783251231527</v>
      </c>
      <c r="AK43" s="158">
        <f t="shared" si="19"/>
        <v>0.41477832512315271</v>
      </c>
      <c r="AL43" s="158">
        <f t="shared" si="20"/>
        <v>0.56748768472906408</v>
      </c>
      <c r="AM43" s="158">
        <f t="shared" si="21"/>
        <v>0.67487684729064046</v>
      </c>
      <c r="AN43" s="158">
        <f t="shared" si="22"/>
        <v>0.81773399014778336</v>
      </c>
      <c r="AO43" s="158">
        <v>1</v>
      </c>
      <c r="AP43" s="143"/>
      <c r="AQ43" s="152">
        <f>('B2-RdTr'!$E152-'B2-RdTr'!$D152)*'B2-RdTr'!$H152/(('B2-RdTr'!$E114-'B2-RdTr'!$D114)*'B2-RdTr'!$H114)*100</f>
        <v>2.6849205370745923</v>
      </c>
      <c r="AR43" s="152">
        <f>('B2-RdTr'!$E190-'B2-RdTr'!$D190)*'B2-RdTr'!$H190/(('B2-RdTr'!$E114-'B2-RdTr'!$D114)*'B2-RdTr'!$H114)*100</f>
        <v>8.3800557162295277</v>
      </c>
      <c r="AS43" s="152">
        <f>('B2-RdTr'!$E228-'B2-RdTr'!$D228)*'B2-RdTr'!$H228/(('B2-RdTr'!$E114-'B2-RdTr'!$D114)*'B2-RdTr'!$H114)*100</f>
        <v>13.656923301395846</v>
      </c>
      <c r="AT43" s="152">
        <f>('B2-RdTr'!$E266-'B2-RdTr'!$D266)*'B2-RdTr'!$H266/(('B2-RdTr'!$E114-'B2-RdTr'!$D114)*'B2-RdTr'!$H114)*100</f>
        <v>21.157689597488133</v>
      </c>
      <c r="AU43" s="152">
        <f>('B2-RdTr'!$E342-'B2-RdTr'!$D342)*'B2-RdTr'!$H342/(('B2-RdTr'!$E114-'B2-RdTr'!$D114)*'B2-RdTr'!$H114)*100</f>
        <v>15.601901545373211</v>
      </c>
      <c r="AV43" s="152">
        <f>('B2-RdTr'!$E380-'B2-RdTr'!$D380)*'B2-RdTr'!$H380/(('B2-RdTr'!$E114-'B2-RdTr'!$D114)*'B2-RdTr'!$H114)*100</f>
        <v>10.79238974667552</v>
      </c>
      <c r="AW43" s="152">
        <f>('B2-RdTr'!$E418-'B2-RdTr'!$D418)*'B2-RdTr'!$H418/(('B2-RdTr'!$E114-'B2-RdTr'!$D114)*'B2-RdTr'!$H114)*100</f>
        <v>13.728067248561567</v>
      </c>
      <c r="AX43" s="152">
        <f t="shared" si="23"/>
        <v>13.99805230720159</v>
      </c>
      <c r="AY43" s="44"/>
      <c r="AZ43" s="152">
        <f>'B2-RdTr'!$N152</f>
        <v>2.1</v>
      </c>
      <c r="BA43" s="152">
        <f>'B2-RdTr'!$N190</f>
        <v>7.1</v>
      </c>
      <c r="BB43" s="152">
        <f>'B2-RdTr'!$N228</f>
        <v>12.6</v>
      </c>
      <c r="BC43" s="152">
        <f>'B2-RdTr'!$N266</f>
        <v>20.3</v>
      </c>
      <c r="BD43" s="152">
        <f>'B2-RdTr'!$N342</f>
        <v>15.5</v>
      </c>
      <c r="BE43" s="152">
        <f>'B2-RdTr'!$N380</f>
        <v>10.9</v>
      </c>
      <c r="BF43" s="152">
        <f>'B2-RdTr'!$N418</f>
        <v>14.5</v>
      </c>
      <c r="BG43" s="152">
        <f>'B2-RdTr'!$N456</f>
        <v>18.5</v>
      </c>
    </row>
    <row r="44" spans="1:59">
      <c r="A44" s="46">
        <f t="shared" si="24"/>
        <v>2015</v>
      </c>
      <c r="B44" s="141">
        <f t="shared" si="5"/>
        <v>5.9356372622060838E-2</v>
      </c>
      <c r="C44" s="46"/>
      <c r="D44" s="141">
        <f t="shared" si="6"/>
        <v>0.54849254256531599</v>
      </c>
      <c r="E44" s="141">
        <f t="shared" si="7"/>
        <v>0.60784891518737683</v>
      </c>
      <c r="F44" s="46"/>
      <c r="G44" s="157">
        <f t="shared" si="8"/>
        <v>3.4369114632761759E-2</v>
      </c>
      <c r="H44" s="157">
        <f t="shared" si="8"/>
        <v>5.7468658320441325E-2</v>
      </c>
      <c r="I44" s="157">
        <f t="shared" si="8"/>
        <v>6.9919181151224447E-2</v>
      </c>
      <c r="J44" s="157">
        <f t="shared" si="8"/>
        <v>6.7656990072065298E-2</v>
      </c>
      <c r="K44" s="157">
        <f t="shared" si="8"/>
        <v>2.832091799811929E-2</v>
      </c>
      <c r="L44" s="157">
        <f t="shared" si="8"/>
        <v>1.1320564821916863E-2</v>
      </c>
      <c r="M44" s="157">
        <f t="shared" si="8"/>
        <v>5.190844286129064E-3</v>
      </c>
      <c r="N44" s="157">
        <f t="shared" si="8"/>
        <v>0</v>
      </c>
      <c r="O44" s="161">
        <v>0</v>
      </c>
      <c r="P44" s="154">
        <f t="shared" si="9"/>
        <v>2.8154426836191244E-2</v>
      </c>
      <c r="Q44" s="154">
        <f t="shared" si="10"/>
        <v>0.1126567083977934</v>
      </c>
      <c r="R44" s="154">
        <f t="shared" si="11"/>
        <v>0.25040409424387788</v>
      </c>
      <c r="S44" s="154">
        <f t="shared" si="12"/>
        <v>0.46171504963967358</v>
      </c>
      <c r="T44" s="154">
        <f t="shared" si="13"/>
        <v>0.61679082001880714</v>
      </c>
      <c r="U44" s="154">
        <f t="shared" si="14"/>
        <v>0.72358870356166283</v>
      </c>
      <c r="V44" s="154">
        <f t="shared" si="15"/>
        <v>0.86022889284677351</v>
      </c>
      <c r="W44" s="162">
        <v>1</v>
      </c>
      <c r="X44" s="154"/>
      <c r="Y44" s="142">
        <f t="shared" si="25"/>
        <v>3.5660749506903358E-2</v>
      </c>
      <c r="Z44" s="142">
        <f t="shared" si="25"/>
        <v>6.1459566074950692E-2</v>
      </c>
      <c r="AA44" s="142">
        <f t="shared" si="25"/>
        <v>7.6607495069033554E-2</v>
      </c>
      <c r="AB44" s="142">
        <f t="shared" si="25"/>
        <v>7.6568047337278122E-2</v>
      </c>
      <c r="AC44" s="142">
        <f t="shared" si="25"/>
        <v>3.3096646942800789E-2</v>
      </c>
      <c r="AD44" s="142">
        <f t="shared" si="25"/>
        <v>1.367357001972387E-2</v>
      </c>
      <c r="AE44" s="142">
        <f t="shared" si="25"/>
        <v>6.858382642998033E-3</v>
      </c>
      <c r="AF44" s="142">
        <f t="shared" si="25"/>
        <v>0</v>
      </c>
      <c r="AG44" s="161">
        <v>0</v>
      </c>
      <c r="AH44" s="158">
        <f t="shared" si="16"/>
        <v>2.1696252465483234E-2</v>
      </c>
      <c r="AI44" s="158">
        <f t="shared" si="17"/>
        <v>9.270216962524655E-2</v>
      </c>
      <c r="AJ44" s="158">
        <f t="shared" si="18"/>
        <v>0.21696252465483234</v>
      </c>
      <c r="AK44" s="158">
        <f t="shared" si="19"/>
        <v>0.41715976331360949</v>
      </c>
      <c r="AL44" s="158">
        <f t="shared" si="20"/>
        <v>0.56903353057199213</v>
      </c>
      <c r="AM44" s="158">
        <f t="shared" si="21"/>
        <v>0.6765285996055227</v>
      </c>
      <c r="AN44" s="158">
        <f t="shared" si="22"/>
        <v>0.81854043392504927</v>
      </c>
      <c r="AO44" s="158">
        <v>1</v>
      </c>
      <c r="AP44" s="143"/>
      <c r="AQ44" s="152">
        <f>('B2-RdTr'!$E153-'B2-RdTr'!$D153)*'B2-RdTr'!$H153/(('B2-RdTr'!$E115-'B2-RdTr'!$D115)*'B2-RdTr'!$H115)*100</f>
        <v>2.8154426836191244</v>
      </c>
      <c r="AR44" s="152">
        <f>('B2-RdTr'!$E191-'B2-RdTr'!$D191)*'B2-RdTr'!$H191/(('B2-RdTr'!$E115-'B2-RdTr'!$D115)*'B2-RdTr'!$H115)*100</f>
        <v>8.4502281561602164</v>
      </c>
      <c r="AS44" s="152">
        <f>('B2-RdTr'!$E229-'B2-RdTr'!$D229)*'B2-RdTr'!$H229/(('B2-RdTr'!$E115-'B2-RdTr'!$D115)*'B2-RdTr'!$H115)*100</f>
        <v>13.774738584608452</v>
      </c>
      <c r="AT44" s="152">
        <f>('B2-RdTr'!$E267-'B2-RdTr'!$D267)*'B2-RdTr'!$H267/(('B2-RdTr'!$E115-'B2-RdTr'!$D115)*'B2-RdTr'!$H115)*100</f>
        <v>21.131095539579569</v>
      </c>
      <c r="AU44" s="152">
        <f>('B2-RdTr'!$E343-'B2-RdTr'!$D343)*'B2-RdTr'!$H343/(('B2-RdTr'!$E115-'B2-RdTr'!$D115)*'B2-RdTr'!$H115)*100</f>
        <v>15.507577037913356</v>
      </c>
      <c r="AV44" s="152">
        <f>('B2-RdTr'!$E381-'B2-RdTr'!$D381)*'B2-RdTr'!$H381/(('B2-RdTr'!$E115-'B2-RdTr'!$D115)*'B2-RdTr'!$H115)*100</f>
        <v>10.679788354285566</v>
      </c>
      <c r="AW44" s="152">
        <f>('B2-RdTr'!$E419-'B2-RdTr'!$D419)*'B2-RdTr'!$H419/(('B2-RdTr'!$E115-'B2-RdTr'!$D115)*'B2-RdTr'!$H115)*100</f>
        <v>13.664018928511071</v>
      </c>
      <c r="AX44" s="152">
        <f t="shared" si="23"/>
        <v>13.977110715322638</v>
      </c>
      <c r="AY44" s="44"/>
      <c r="AZ44" s="152">
        <f>'B2-RdTr'!$N153</f>
        <v>2.2000000000000002</v>
      </c>
      <c r="BA44" s="152">
        <f>'B2-RdTr'!$N191</f>
        <v>7.2</v>
      </c>
      <c r="BB44" s="152">
        <f>'B2-RdTr'!$N229</f>
        <v>12.6</v>
      </c>
      <c r="BC44" s="152">
        <f>'B2-RdTr'!$N267</f>
        <v>20.3</v>
      </c>
      <c r="BD44" s="152">
        <f>'B2-RdTr'!$N343</f>
        <v>15.4</v>
      </c>
      <c r="BE44" s="152">
        <f>'B2-RdTr'!$N381</f>
        <v>10.9</v>
      </c>
      <c r="BF44" s="152">
        <f>'B2-RdTr'!$N419</f>
        <v>14.4</v>
      </c>
      <c r="BG44" s="152">
        <f>'B2-RdTr'!$N457</f>
        <v>18.399999999999999</v>
      </c>
    </row>
    <row r="45" spans="1:59">
      <c r="A45" s="46">
        <f t="shared" si="24"/>
        <v>2016</v>
      </c>
      <c r="B45" s="141">
        <f t="shared" si="5"/>
        <v>6.0409159928695888E-2</v>
      </c>
      <c r="C45" s="46"/>
      <c r="D45" s="141">
        <f t="shared" si="6"/>
        <v>0.5405430611966745</v>
      </c>
      <c r="E45" s="141">
        <f t="shared" si="7"/>
        <v>0.60095222112537039</v>
      </c>
      <c r="F45" s="46"/>
      <c r="G45" s="157">
        <f t="shared" si="8"/>
        <v>3.4281259370314843E-2</v>
      </c>
      <c r="H45" s="157">
        <f t="shared" si="8"/>
        <v>5.706223252010359E-2</v>
      </c>
      <c r="I45" s="157">
        <f t="shared" si="8"/>
        <v>6.9243123892599165E-2</v>
      </c>
      <c r="J45" s="157">
        <f t="shared" si="8"/>
        <v>6.6476434510017723E-2</v>
      </c>
      <c r="K45" s="157">
        <f t="shared" si="8"/>
        <v>2.7564454136568085E-2</v>
      </c>
      <c r="L45" s="157">
        <f t="shared" si="8"/>
        <v>1.0857121439280366E-2</v>
      </c>
      <c r="M45" s="157">
        <f t="shared" si="8"/>
        <v>4.7869047294534584E-3</v>
      </c>
      <c r="N45" s="157">
        <f t="shared" si="8"/>
        <v>0</v>
      </c>
      <c r="O45" s="161">
        <v>0</v>
      </c>
      <c r="P45" s="154">
        <f t="shared" si="9"/>
        <v>2.8593703148425787E-2</v>
      </c>
      <c r="Q45" s="154">
        <f t="shared" si="10"/>
        <v>0.11468883739948207</v>
      </c>
      <c r="R45" s="154">
        <f t="shared" si="11"/>
        <v>0.25378438053700425</v>
      </c>
      <c r="S45" s="154">
        <f t="shared" si="12"/>
        <v>0.46761782744991143</v>
      </c>
      <c r="T45" s="154">
        <f t="shared" si="13"/>
        <v>0.62435545863431918</v>
      </c>
      <c r="U45" s="154">
        <f t="shared" si="14"/>
        <v>0.73285757121439277</v>
      </c>
      <c r="V45" s="154">
        <f t="shared" si="15"/>
        <v>0.87032738176366364</v>
      </c>
      <c r="W45" s="162">
        <v>1</v>
      </c>
      <c r="X45" s="161">
        <v>0</v>
      </c>
      <c r="Y45" s="142">
        <f t="shared" si="25"/>
        <v>3.5656465942744325E-2</v>
      </c>
      <c r="Z45" s="142">
        <f t="shared" si="25"/>
        <v>6.124383020730504E-2</v>
      </c>
      <c r="AA45" s="142">
        <f t="shared" si="25"/>
        <v>7.5972359328726591E-2</v>
      </c>
      <c r="AB45" s="142">
        <f t="shared" si="25"/>
        <v>7.5498519249753232E-2</v>
      </c>
      <c r="AC45" s="142">
        <f t="shared" si="25"/>
        <v>3.2349457058242846E-2</v>
      </c>
      <c r="AD45" s="142">
        <f t="shared" si="25"/>
        <v>1.3245310957551833E-2</v>
      </c>
      <c r="AE45" s="142">
        <f t="shared" si="25"/>
        <v>6.5101678183613074E-3</v>
      </c>
      <c r="AF45" s="142">
        <f t="shared" si="25"/>
        <v>0</v>
      </c>
      <c r="AG45" s="161">
        <v>0</v>
      </c>
      <c r="AH45" s="158">
        <f t="shared" si="16"/>
        <v>2.1717670286278381E-2</v>
      </c>
      <c r="AI45" s="158">
        <f t="shared" si="17"/>
        <v>9.3780848963474814E-2</v>
      </c>
      <c r="AJ45" s="158">
        <f t="shared" si="18"/>
        <v>0.22013820335636719</v>
      </c>
      <c r="AK45" s="158">
        <f t="shared" si="19"/>
        <v>0.42250740375123391</v>
      </c>
      <c r="AL45" s="158">
        <f t="shared" si="20"/>
        <v>0.57650542941757155</v>
      </c>
      <c r="AM45" s="158">
        <f t="shared" si="21"/>
        <v>0.68509378084896344</v>
      </c>
      <c r="AN45" s="158">
        <f t="shared" si="22"/>
        <v>0.82724580454096741</v>
      </c>
      <c r="AO45" s="158">
        <v>1</v>
      </c>
      <c r="AP45" s="143"/>
      <c r="AQ45" s="152">
        <f>('B2-RdTr'!$E154-'B2-RdTr'!$D154)*'B2-RdTr'!$H154/(('B2-RdTr'!$E116-'B2-RdTr'!$D116)*'B2-RdTr'!$H116)*100</f>
        <v>2.8593703148425789</v>
      </c>
      <c r="AR45" s="152">
        <f>('B2-RdTr'!$E192-'B2-RdTr'!$D192)*'B2-RdTr'!$H192/(('B2-RdTr'!$E116-'B2-RdTr'!$D116)*'B2-RdTr'!$H116)*100</f>
        <v>8.6095134251056287</v>
      </c>
      <c r="AS45" s="152">
        <f>('B2-RdTr'!$E230-'B2-RdTr'!$D230)*'B2-RdTr'!$H230/(('B2-RdTr'!$E116-'B2-RdTr'!$D116)*'B2-RdTr'!$H116)*100</f>
        <v>13.909554313752215</v>
      </c>
      <c r="AT45" s="152">
        <f>('B2-RdTr'!$E268-'B2-RdTr'!$D268)*'B2-RdTr'!$H268/(('B2-RdTr'!$E116-'B2-RdTr'!$D116)*'B2-RdTr'!$H116)*100</f>
        <v>21.383344691290716</v>
      </c>
      <c r="AU45" s="152">
        <f>('B2-RdTr'!$E344-'B2-RdTr'!$D344)*'B2-RdTr'!$H344/(('B2-RdTr'!$E116-'B2-RdTr'!$D116)*'B2-RdTr'!$H116)*100</f>
        <v>15.673763118440778</v>
      </c>
      <c r="AV45" s="152">
        <f>('B2-RdTr'!$E382-'B2-RdTr'!$D382)*'B2-RdTr'!$H382/(('B2-RdTr'!$E116-'B2-RdTr'!$D116)*'B2-RdTr'!$H116)*100</f>
        <v>10.850211258007359</v>
      </c>
      <c r="AW45" s="152">
        <f>('B2-RdTr'!$E420-'B2-RdTr'!$D420)*'B2-RdTr'!$H420/(('B2-RdTr'!$E116-'B2-RdTr'!$D116)*'B2-RdTr'!$H116)*100</f>
        <v>13.746981054927081</v>
      </c>
      <c r="AX45" s="152">
        <f t="shared" si="23"/>
        <v>12.967261823633649</v>
      </c>
      <c r="AY45" s="44"/>
      <c r="AZ45" s="152">
        <f>'B2-RdTr'!$N154</f>
        <v>2.2000000000000002</v>
      </c>
      <c r="BA45" s="152">
        <f>'B2-RdTr'!$N192</f>
        <v>7.3</v>
      </c>
      <c r="BB45" s="152">
        <f>'B2-RdTr'!$N230</f>
        <v>12.8</v>
      </c>
      <c r="BC45" s="152">
        <f>'B2-RdTr'!$N268</f>
        <v>20.5</v>
      </c>
      <c r="BD45" s="152">
        <f>'B2-RdTr'!$N344</f>
        <v>15.6</v>
      </c>
      <c r="BE45" s="152">
        <f>'B2-RdTr'!$N382</f>
        <v>11</v>
      </c>
      <c r="BF45" s="152">
        <f>'B2-RdTr'!$N420</f>
        <v>14.4</v>
      </c>
      <c r="BG45" s="152">
        <f>'B2-RdTr'!$N458</f>
        <v>17.5</v>
      </c>
    </row>
    <row r="46" spans="1:59">
      <c r="A46" s="201" t="s">
        <v>154</v>
      </c>
      <c r="B46" s="451">
        <f>(B45-B8)/B8</f>
        <v>0.72510161404667561</v>
      </c>
    </row>
    <row r="47" spans="1:59">
      <c r="A47" s="201" t="s">
        <v>791</v>
      </c>
      <c r="B47" s="574">
        <f>(B45-B15)/B15</f>
        <v>1.8629557531627998</v>
      </c>
    </row>
    <row r="48" spans="1:59">
      <c r="B48" s="45"/>
    </row>
    <row r="50" spans="6:6">
      <c r="F50" s="695"/>
    </row>
    <row r="51" spans="6:6">
      <c r="F51" s="695"/>
    </row>
  </sheetData>
  <mergeCells count="9">
    <mergeCell ref="AH6:AO6"/>
    <mergeCell ref="AQ6:AX6"/>
    <mergeCell ref="AZ6:BG6"/>
    <mergeCell ref="B6:B7"/>
    <mergeCell ref="D6:D7"/>
    <mergeCell ref="E6:E7"/>
    <mergeCell ref="G6:N6"/>
    <mergeCell ref="P6:W6"/>
    <mergeCell ref="Y6:AF6"/>
  </mergeCells>
  <hyperlinks>
    <hyperlink ref="V1" location="Index!A1" display="index" xr:uid="{132C3A6A-C47D-422A-9B15-AAC3EC354657}"/>
  </hyperlinks>
  <pageMargins left="0.7" right="0.7" top="0.75" bottom="0.75" header="0.3" footer="0.3"/>
  <pageSetup orientation="portrait" horizontalDpi="1200" verticalDpi="120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29EE8-9E13-474A-8A2C-406DAA64E446}">
  <sheetPr>
    <tabColor theme="9" tint="0.79998168889431442"/>
  </sheetPr>
  <dimension ref="A1:P123"/>
  <sheetViews>
    <sheetView zoomScale="85" zoomScaleNormal="85" workbookViewId="0"/>
  </sheetViews>
  <sheetFormatPr defaultRowHeight="15"/>
  <cols>
    <col min="1" max="1" width="10.28515625" style="556" customWidth="1"/>
    <col min="2" max="2" width="9.140625" style="556"/>
    <col min="3" max="3" width="11.140625" style="556" customWidth="1"/>
    <col min="4" max="4" width="8.42578125" style="556" customWidth="1"/>
    <col min="5" max="5" width="9.140625" style="556"/>
    <col min="6" max="6" width="2.5703125" style="556" customWidth="1"/>
    <col min="7" max="7" width="11.7109375" style="556" customWidth="1"/>
    <col min="8" max="8" width="11.5703125" style="556" customWidth="1"/>
    <col min="9" max="9" width="12.42578125" style="556" customWidth="1"/>
    <col min="10" max="10" width="2.42578125" style="556" customWidth="1"/>
    <col min="11" max="12" width="9.140625" style="556"/>
    <col min="13" max="13" width="4.42578125" style="556" customWidth="1"/>
    <col min="14" max="16384" width="9.140625" style="556"/>
  </cols>
  <sheetData>
    <row r="1" spans="1:16">
      <c r="A1" s="147" t="s">
        <v>639</v>
      </c>
      <c r="N1" s="641" t="s">
        <v>762</v>
      </c>
    </row>
    <row r="3" spans="1:16">
      <c r="C3" s="9"/>
      <c r="G3" s="9"/>
      <c r="H3" s="14"/>
      <c r="I3" s="14"/>
      <c r="J3" s="14"/>
      <c r="K3" s="15"/>
      <c r="L3" s="15"/>
      <c r="M3" s="14"/>
      <c r="N3" s="111"/>
      <c r="O3" s="15"/>
      <c r="P3" s="14"/>
    </row>
    <row r="4" spans="1:16" ht="24.75" customHeight="1">
      <c r="A4" s="144"/>
      <c r="B4" s="742" t="s">
        <v>638</v>
      </c>
      <c r="C4" s="742"/>
      <c r="D4" s="453"/>
      <c r="E4" s="742" t="s">
        <v>484</v>
      </c>
      <c r="F4" s="742"/>
      <c r="G4" s="742"/>
      <c r="H4" s="456"/>
      <c r="I4" s="456"/>
      <c r="J4" s="15"/>
      <c r="K4" s="15"/>
      <c r="L4" s="15"/>
      <c r="M4" s="14"/>
      <c r="N4" s="15"/>
      <c r="O4" s="15"/>
      <c r="P4" s="14"/>
    </row>
    <row r="5" spans="1:16" ht="40.5" customHeight="1">
      <c r="A5" s="53"/>
      <c r="B5" s="484" t="s">
        <v>306</v>
      </c>
      <c r="C5" s="484" t="s">
        <v>640</v>
      </c>
      <c r="D5" s="199"/>
      <c r="E5" s="484" t="s">
        <v>483</v>
      </c>
      <c r="F5" s="191"/>
      <c r="G5" s="484" t="s">
        <v>274</v>
      </c>
      <c r="H5" s="456"/>
      <c r="I5" s="456"/>
      <c r="J5" s="457"/>
      <c r="K5" s="456"/>
      <c r="L5" s="456"/>
      <c r="M5" s="14"/>
      <c r="N5" s="456"/>
      <c r="O5" s="456"/>
      <c r="P5" s="14"/>
    </row>
    <row r="6" spans="1:16">
      <c r="A6" s="46">
        <v>1979</v>
      </c>
      <c r="B6" s="141">
        <v>0.47199999999999998</v>
      </c>
      <c r="C6" s="141">
        <v>0.35199999999999998</v>
      </c>
      <c r="D6" s="46"/>
      <c r="E6" s="141">
        <f>B6-C6</f>
        <v>0.12</v>
      </c>
      <c r="F6" s="141"/>
      <c r="G6" s="46">
        <f>100</f>
        <v>100</v>
      </c>
      <c r="H6" s="459"/>
      <c r="I6" s="459"/>
      <c r="J6" s="459"/>
      <c r="K6" s="458"/>
      <c r="L6" s="458"/>
      <c r="M6" s="14"/>
      <c r="N6" s="65"/>
      <c r="O6" s="65"/>
      <c r="P6" s="14"/>
    </row>
    <row r="7" spans="1:16">
      <c r="A7" s="46">
        <f>A6+1</f>
        <v>1980</v>
      </c>
      <c r="B7" s="141">
        <v>0.48</v>
      </c>
      <c r="C7" s="141">
        <v>0.35399999999999998</v>
      </c>
      <c r="D7" s="46"/>
      <c r="E7" s="141">
        <f t="shared" ref="E7:E43" si="0">B7-C7</f>
        <v>0.126</v>
      </c>
      <c r="F7" s="141"/>
      <c r="G7" s="102">
        <f t="shared" ref="G7:G43" si="1">E7/E$6*G$6</f>
        <v>105</v>
      </c>
      <c r="H7" s="459"/>
      <c r="I7" s="459"/>
      <c r="J7" s="459"/>
      <c r="K7" s="458"/>
      <c r="L7" s="458"/>
      <c r="M7" s="14"/>
      <c r="N7" s="452"/>
      <c r="O7" s="452"/>
      <c r="P7" s="14"/>
    </row>
    <row r="8" spans="1:16">
      <c r="A8" s="46">
        <f t="shared" ref="A8:A46" si="2">A7+1</f>
        <v>1981</v>
      </c>
      <c r="B8" s="141">
        <v>0.48399999999999999</v>
      </c>
      <c r="C8" s="141">
        <v>0.36099999999999999</v>
      </c>
      <c r="D8" s="46"/>
      <c r="E8" s="141">
        <f t="shared" si="0"/>
        <v>0.123</v>
      </c>
      <c r="F8" s="141"/>
      <c r="G8" s="102">
        <f t="shared" si="1"/>
        <v>102.50000000000001</v>
      </c>
      <c r="H8" s="459"/>
      <c r="I8" s="459"/>
      <c r="J8" s="459"/>
      <c r="K8" s="458"/>
      <c r="L8" s="458"/>
      <c r="M8" s="14"/>
      <c r="O8" s="452"/>
      <c r="P8" s="14"/>
    </row>
    <row r="9" spans="1:16">
      <c r="A9" s="46">
        <f t="shared" si="2"/>
        <v>1982</v>
      </c>
      <c r="B9" s="141">
        <v>0.49299999999999999</v>
      </c>
      <c r="C9" s="141">
        <v>0.373</v>
      </c>
      <c r="D9" s="46"/>
      <c r="E9" s="141">
        <f t="shared" si="0"/>
        <v>0.12</v>
      </c>
      <c r="F9" s="141"/>
      <c r="G9" s="102">
        <f t="shared" si="1"/>
        <v>100</v>
      </c>
      <c r="H9" s="459"/>
      <c r="I9" s="459"/>
      <c r="J9" s="459"/>
      <c r="K9" s="458"/>
      <c r="L9" s="458"/>
      <c r="M9" s="14"/>
      <c r="O9" s="452"/>
      <c r="P9" s="14"/>
    </row>
    <row r="10" spans="1:16">
      <c r="A10" s="46">
        <f t="shared" si="2"/>
        <v>1983</v>
      </c>
      <c r="B10" s="141">
        <v>0.505</v>
      </c>
      <c r="C10" s="141">
        <v>0.38700000000000001</v>
      </c>
      <c r="D10" s="46"/>
      <c r="E10" s="141">
        <f t="shared" si="0"/>
        <v>0.11799999999999999</v>
      </c>
      <c r="F10" s="141"/>
      <c r="G10" s="102">
        <f t="shared" si="1"/>
        <v>98.333333333333329</v>
      </c>
      <c r="H10" s="459"/>
      <c r="I10" s="459"/>
      <c r="J10" s="459"/>
      <c r="K10" s="458"/>
      <c r="L10" s="458"/>
      <c r="M10" s="14"/>
      <c r="O10" s="452"/>
      <c r="P10" s="14"/>
    </row>
    <row r="11" spans="1:16">
      <c r="A11" s="46">
        <f t="shared" si="2"/>
        <v>1984</v>
      </c>
      <c r="B11" s="141">
        <v>0.505</v>
      </c>
      <c r="C11" s="141">
        <v>0.39600000000000002</v>
      </c>
      <c r="D11" s="46"/>
      <c r="E11" s="141">
        <f t="shared" si="0"/>
        <v>0.10899999999999999</v>
      </c>
      <c r="F11" s="141"/>
      <c r="G11" s="102">
        <f t="shared" si="1"/>
        <v>90.833333333333314</v>
      </c>
      <c r="H11" s="459"/>
      <c r="I11" s="459"/>
      <c r="J11" s="459"/>
      <c r="K11" s="458"/>
      <c r="L11" s="458"/>
      <c r="M11" s="14"/>
      <c r="N11" s="452"/>
      <c r="O11" s="452"/>
      <c r="P11" s="14"/>
    </row>
    <row r="12" spans="1:16">
      <c r="A12" s="46">
        <f t="shared" si="2"/>
        <v>1985</v>
      </c>
      <c r="B12" s="141">
        <v>0.51100000000000001</v>
      </c>
      <c r="C12" s="141">
        <v>0.40100000000000002</v>
      </c>
      <c r="D12" s="46"/>
      <c r="E12" s="141">
        <f t="shared" si="0"/>
        <v>0.10999999999999999</v>
      </c>
      <c r="F12" s="141"/>
      <c r="G12" s="102">
        <f t="shared" si="1"/>
        <v>91.666666666666657</v>
      </c>
      <c r="H12" s="459"/>
      <c r="I12" s="459"/>
      <c r="J12" s="459"/>
      <c r="K12" s="458"/>
      <c r="L12" s="458"/>
      <c r="M12" s="14"/>
      <c r="N12" s="452"/>
      <c r="O12" s="452"/>
      <c r="P12" s="14"/>
    </row>
    <row r="13" spans="1:16">
      <c r="A13" s="46">
        <f t="shared" si="2"/>
        <v>1986</v>
      </c>
      <c r="B13" s="141">
        <v>0.53400000000000003</v>
      </c>
      <c r="C13" s="141">
        <v>0.42499999999999999</v>
      </c>
      <c r="D13" s="46"/>
      <c r="E13" s="141">
        <f t="shared" si="0"/>
        <v>0.10900000000000004</v>
      </c>
      <c r="F13" s="141"/>
      <c r="G13" s="102">
        <f t="shared" si="1"/>
        <v>90.833333333333371</v>
      </c>
      <c r="H13" s="459"/>
      <c r="I13" s="459"/>
      <c r="J13" s="459"/>
      <c r="K13" s="458"/>
      <c r="L13" s="458"/>
      <c r="M13" s="14"/>
      <c r="N13" s="452"/>
      <c r="O13" s="452"/>
      <c r="P13" s="14"/>
    </row>
    <row r="14" spans="1:16">
      <c r="A14" s="46">
        <f t="shared" si="2"/>
        <v>1987</v>
      </c>
      <c r="B14" s="141">
        <v>0.51900000000000002</v>
      </c>
      <c r="C14" s="141">
        <v>0.4</v>
      </c>
      <c r="D14" s="46"/>
      <c r="E14" s="141">
        <f t="shared" si="0"/>
        <v>0.11899999999999999</v>
      </c>
      <c r="F14" s="141"/>
      <c r="G14" s="102">
        <f t="shared" si="1"/>
        <v>99.166666666666671</v>
      </c>
      <c r="H14" s="459"/>
      <c r="I14" s="459"/>
      <c r="J14" s="459"/>
      <c r="K14" s="458"/>
      <c r="L14" s="458"/>
      <c r="M14" s="14"/>
      <c r="N14" s="452"/>
      <c r="O14" s="452"/>
      <c r="P14" s="14"/>
    </row>
    <row r="15" spans="1:16">
      <c r="A15" s="46">
        <f t="shared" si="2"/>
        <v>1988</v>
      </c>
      <c r="B15" s="141">
        <v>0.53200000000000003</v>
      </c>
      <c r="C15" s="141">
        <v>0.41599999999999998</v>
      </c>
      <c r="D15" s="46"/>
      <c r="E15" s="141">
        <f t="shared" si="0"/>
        <v>0.11600000000000005</v>
      </c>
      <c r="F15" s="141"/>
      <c r="G15" s="102">
        <f t="shared" si="1"/>
        <v>96.666666666666714</v>
      </c>
      <c r="H15" s="459"/>
      <c r="I15" s="459"/>
      <c r="J15" s="459"/>
      <c r="K15" s="458"/>
      <c r="L15" s="458"/>
      <c r="M15" s="14"/>
      <c r="N15" s="452"/>
      <c r="O15" s="452"/>
      <c r="P15" s="14"/>
    </row>
    <row r="16" spans="1:16">
      <c r="A16" s="46">
        <f t="shared" si="2"/>
        <v>1989</v>
      </c>
      <c r="B16" s="141">
        <v>0.52500000000000002</v>
      </c>
      <c r="C16" s="141">
        <v>0.40899999999999997</v>
      </c>
      <c r="D16" s="46"/>
      <c r="E16" s="141">
        <f t="shared" si="0"/>
        <v>0.11600000000000005</v>
      </c>
      <c r="F16" s="141"/>
      <c r="G16" s="102">
        <f t="shared" si="1"/>
        <v>96.666666666666714</v>
      </c>
      <c r="H16" s="459"/>
      <c r="I16" s="459"/>
      <c r="J16" s="459"/>
      <c r="K16" s="458"/>
      <c r="L16" s="458"/>
      <c r="M16" s="14"/>
      <c r="N16" s="452"/>
      <c r="O16" s="452"/>
      <c r="P16" s="14"/>
    </row>
    <row r="17" spans="1:16">
      <c r="A17" s="46">
        <f t="shared" si="2"/>
        <v>1990</v>
      </c>
      <c r="B17" s="141">
        <v>0.52</v>
      </c>
      <c r="C17" s="141">
        <v>0.40200000000000002</v>
      </c>
      <c r="D17" s="46"/>
      <c r="E17" s="141">
        <f t="shared" si="0"/>
        <v>0.11799999999999999</v>
      </c>
      <c r="F17" s="141"/>
      <c r="G17" s="102">
        <f t="shared" si="1"/>
        <v>98.333333333333329</v>
      </c>
      <c r="H17" s="459"/>
      <c r="I17" s="459"/>
      <c r="J17" s="459"/>
      <c r="K17" s="458"/>
      <c r="L17" s="458"/>
      <c r="M17" s="14"/>
      <c r="N17" s="452"/>
      <c r="O17" s="452"/>
      <c r="P17" s="14"/>
    </row>
    <row r="18" spans="1:16">
      <c r="A18" s="46">
        <f t="shared" si="2"/>
        <v>1991</v>
      </c>
      <c r="B18" s="141">
        <v>0.51900000000000002</v>
      </c>
      <c r="C18" s="141">
        <v>0.39200000000000002</v>
      </c>
      <c r="D18" s="46"/>
      <c r="E18" s="141">
        <f t="shared" si="0"/>
        <v>0.127</v>
      </c>
      <c r="F18" s="141"/>
      <c r="G18" s="102">
        <f t="shared" si="1"/>
        <v>105.83333333333333</v>
      </c>
      <c r="H18" s="459"/>
      <c r="I18" s="459"/>
      <c r="J18" s="459"/>
      <c r="K18" s="458"/>
      <c r="L18" s="458"/>
      <c r="M18" s="14"/>
      <c r="N18" s="452"/>
      <c r="O18" s="452"/>
      <c r="P18" s="14"/>
    </row>
    <row r="19" spans="1:16">
      <c r="A19" s="46">
        <f t="shared" si="2"/>
        <v>1992</v>
      </c>
      <c r="B19" s="141">
        <v>0.52800000000000002</v>
      </c>
      <c r="C19" s="141">
        <v>0.39700000000000002</v>
      </c>
      <c r="D19" s="46"/>
      <c r="E19" s="141">
        <f t="shared" si="0"/>
        <v>0.13100000000000001</v>
      </c>
      <c r="F19" s="141"/>
      <c r="G19" s="102">
        <f t="shared" si="1"/>
        <v>109.16666666666669</v>
      </c>
      <c r="H19" s="459"/>
      <c r="I19" s="459"/>
      <c r="J19" s="459"/>
      <c r="K19" s="458"/>
      <c r="L19" s="458"/>
      <c r="M19" s="14"/>
      <c r="N19" s="452"/>
      <c r="O19" s="452"/>
      <c r="P19" s="14"/>
    </row>
    <row r="20" spans="1:16">
      <c r="A20" s="46">
        <f t="shared" si="2"/>
        <v>1993</v>
      </c>
      <c r="B20" s="141">
        <v>0.52900000000000003</v>
      </c>
      <c r="C20" s="141">
        <v>0.39</v>
      </c>
      <c r="D20" s="46"/>
      <c r="E20" s="141">
        <f t="shared" si="0"/>
        <v>0.13900000000000001</v>
      </c>
      <c r="F20" s="141"/>
      <c r="G20" s="102">
        <f t="shared" si="1"/>
        <v>115.83333333333334</v>
      </c>
      <c r="H20" s="459"/>
      <c r="I20" s="459"/>
      <c r="J20" s="459"/>
      <c r="K20" s="458"/>
      <c r="L20" s="458"/>
      <c r="M20" s="14"/>
      <c r="N20" s="452"/>
      <c r="O20" s="452"/>
      <c r="P20" s="14"/>
    </row>
    <row r="21" spans="1:16">
      <c r="A21" s="46">
        <f t="shared" si="2"/>
        <v>1994</v>
      </c>
      <c r="B21" s="141">
        <v>0.53100000000000003</v>
      </c>
      <c r="C21" s="141">
        <v>0.38900000000000001</v>
      </c>
      <c r="D21" s="46"/>
      <c r="E21" s="141">
        <f t="shared" si="0"/>
        <v>0.14200000000000002</v>
      </c>
      <c r="F21" s="141"/>
      <c r="G21" s="102">
        <f t="shared" si="1"/>
        <v>118.33333333333336</v>
      </c>
      <c r="H21" s="459"/>
      <c r="I21" s="459"/>
      <c r="J21" s="459"/>
      <c r="K21" s="458"/>
      <c r="L21" s="458"/>
      <c r="M21" s="14"/>
      <c r="N21" s="452"/>
      <c r="O21" s="452"/>
      <c r="P21" s="14"/>
    </row>
    <row r="22" spans="1:16">
      <c r="A22" s="46">
        <f t="shared" si="2"/>
        <v>1995</v>
      </c>
      <c r="B22" s="141">
        <v>0.53200000000000003</v>
      </c>
      <c r="C22" s="141">
        <v>0.39</v>
      </c>
      <c r="D22" s="46"/>
      <c r="E22" s="141">
        <f t="shared" si="0"/>
        <v>0.14200000000000002</v>
      </c>
      <c r="F22" s="141"/>
      <c r="G22" s="102">
        <f t="shared" si="1"/>
        <v>118.33333333333336</v>
      </c>
      <c r="H22" s="459"/>
      <c r="I22" s="459"/>
      <c r="J22" s="459"/>
      <c r="K22" s="458"/>
      <c r="L22" s="458"/>
      <c r="M22" s="14"/>
      <c r="N22" s="452"/>
      <c r="O22" s="452"/>
      <c r="P22" s="14"/>
    </row>
    <row r="23" spans="1:16">
      <c r="A23" s="46">
        <f t="shared" si="2"/>
        <v>1996</v>
      </c>
      <c r="B23" s="141">
        <v>0.54100000000000004</v>
      </c>
      <c r="C23" s="141">
        <v>0.40300000000000002</v>
      </c>
      <c r="D23" s="46"/>
      <c r="E23" s="141">
        <f t="shared" si="0"/>
        <v>0.13800000000000001</v>
      </c>
      <c r="F23" s="141"/>
      <c r="G23" s="102">
        <f t="shared" si="1"/>
        <v>115.00000000000001</v>
      </c>
      <c r="H23" s="459"/>
      <c r="I23" s="459"/>
      <c r="J23" s="459"/>
      <c r="K23" s="458"/>
      <c r="L23" s="458"/>
      <c r="M23" s="14"/>
      <c r="N23" s="452"/>
      <c r="O23" s="452"/>
      <c r="P23" s="14"/>
    </row>
    <row r="24" spans="1:16">
      <c r="A24" s="46">
        <f t="shared" si="2"/>
        <v>1997</v>
      </c>
      <c r="B24" s="141">
        <v>0.54800000000000004</v>
      </c>
      <c r="C24" s="141">
        <v>0.41399999999999998</v>
      </c>
      <c r="D24" s="46"/>
      <c r="E24" s="141">
        <f t="shared" si="0"/>
        <v>0.13400000000000006</v>
      </c>
      <c r="F24" s="141"/>
      <c r="G24" s="102">
        <f t="shared" si="1"/>
        <v>111.66666666666671</v>
      </c>
      <c r="H24" s="459"/>
      <c r="I24" s="459"/>
      <c r="J24" s="459"/>
      <c r="K24" s="458"/>
      <c r="L24" s="458"/>
      <c r="M24" s="14"/>
      <c r="N24" s="452"/>
      <c r="O24" s="452"/>
      <c r="P24" s="14"/>
    </row>
    <row r="25" spans="1:16">
      <c r="A25" s="46">
        <f t="shared" si="2"/>
        <v>1998</v>
      </c>
      <c r="B25" s="141">
        <v>0.54800000000000004</v>
      </c>
      <c r="C25" s="141">
        <v>0.41799999999999998</v>
      </c>
      <c r="D25" s="46"/>
      <c r="E25" s="141">
        <f t="shared" si="0"/>
        <v>0.13000000000000006</v>
      </c>
      <c r="F25" s="141"/>
      <c r="G25" s="102">
        <f t="shared" si="1"/>
        <v>108.3333333333334</v>
      </c>
      <c r="H25" s="459"/>
      <c r="I25" s="459"/>
      <c r="J25" s="459"/>
      <c r="K25" s="458"/>
      <c r="L25" s="458"/>
      <c r="M25" s="14"/>
      <c r="N25" s="452"/>
      <c r="O25" s="452"/>
      <c r="P25" s="14"/>
    </row>
    <row r="26" spans="1:16">
      <c r="A26" s="46">
        <f t="shared" si="2"/>
        <v>1999</v>
      </c>
      <c r="B26" s="141">
        <v>0.55300000000000005</v>
      </c>
      <c r="C26" s="141">
        <v>0.42699999999999999</v>
      </c>
      <c r="D26" s="46"/>
      <c r="E26" s="141">
        <f t="shared" si="0"/>
        <v>0.12600000000000006</v>
      </c>
      <c r="F26" s="141"/>
      <c r="G26" s="102">
        <f t="shared" si="1"/>
        <v>105.00000000000004</v>
      </c>
      <c r="H26" s="459"/>
      <c r="I26" s="459"/>
      <c r="J26" s="459"/>
      <c r="K26" s="458"/>
      <c r="L26" s="458"/>
      <c r="M26" s="14"/>
      <c r="N26" s="452"/>
      <c r="O26" s="452"/>
      <c r="P26" s="14"/>
    </row>
    <row r="27" spans="1:16">
      <c r="A27" s="46">
        <f t="shared" si="2"/>
        <v>2000</v>
      </c>
      <c r="B27" s="141">
        <v>0.56100000000000005</v>
      </c>
      <c r="C27" s="141">
        <v>0.435</v>
      </c>
      <c r="D27" s="46"/>
      <c r="E27" s="141">
        <f t="shared" si="0"/>
        <v>0.12600000000000006</v>
      </c>
      <c r="F27" s="141"/>
      <c r="G27" s="102">
        <f t="shared" si="1"/>
        <v>105.00000000000004</v>
      </c>
      <c r="H27" s="459"/>
      <c r="I27" s="459"/>
      <c r="J27" s="459"/>
      <c r="K27" s="458"/>
      <c r="L27" s="458"/>
      <c r="M27" s="14"/>
      <c r="N27" s="452"/>
      <c r="O27" s="452"/>
      <c r="P27" s="14"/>
    </row>
    <row r="28" spans="1:16">
      <c r="A28" s="46">
        <f t="shared" si="2"/>
        <v>2001</v>
      </c>
      <c r="B28" s="141">
        <v>0.54800000000000004</v>
      </c>
      <c r="C28" s="141">
        <v>0.41299999999999998</v>
      </c>
      <c r="D28" s="46"/>
      <c r="E28" s="141">
        <f t="shared" si="0"/>
        <v>0.13500000000000006</v>
      </c>
      <c r="F28" s="141"/>
      <c r="G28" s="102">
        <f t="shared" si="1"/>
        <v>112.50000000000007</v>
      </c>
      <c r="H28" s="459"/>
      <c r="I28" s="459"/>
      <c r="J28" s="459"/>
      <c r="K28" s="458"/>
      <c r="L28" s="458"/>
      <c r="M28" s="14"/>
      <c r="N28" s="452"/>
      <c r="O28" s="452"/>
      <c r="P28" s="14"/>
    </row>
    <row r="29" spans="1:16">
      <c r="A29" s="46">
        <f t="shared" si="2"/>
        <v>2002</v>
      </c>
      <c r="B29" s="141">
        <v>0.54600000000000004</v>
      </c>
      <c r="C29" s="141">
        <v>0.40300000000000002</v>
      </c>
      <c r="D29" s="46"/>
      <c r="E29" s="141">
        <f t="shared" si="0"/>
        <v>0.14300000000000002</v>
      </c>
      <c r="F29" s="141"/>
      <c r="G29" s="102">
        <f t="shared" si="1"/>
        <v>119.16666666666669</v>
      </c>
      <c r="H29" s="459"/>
      <c r="I29" s="459"/>
      <c r="J29" s="459"/>
      <c r="K29" s="458"/>
      <c r="L29" s="458"/>
      <c r="M29" s="14"/>
      <c r="N29" s="452"/>
      <c r="O29" s="452"/>
      <c r="P29" s="14"/>
    </row>
    <row r="30" spans="1:16">
      <c r="A30" s="46">
        <f t="shared" si="2"/>
        <v>2003</v>
      </c>
      <c r="B30" s="141">
        <v>0.55600000000000005</v>
      </c>
      <c r="C30" s="141">
        <v>0.41299999999999998</v>
      </c>
      <c r="D30" s="46"/>
      <c r="E30" s="141">
        <f t="shared" si="0"/>
        <v>0.14300000000000007</v>
      </c>
      <c r="F30" s="141"/>
      <c r="G30" s="102">
        <f t="shared" si="1"/>
        <v>119.16666666666673</v>
      </c>
      <c r="H30" s="459"/>
      <c r="I30" s="459"/>
      <c r="J30" s="459"/>
      <c r="K30" s="458"/>
      <c r="L30" s="458"/>
      <c r="M30" s="14"/>
      <c r="N30" s="452"/>
      <c r="O30" s="452"/>
      <c r="P30" s="14"/>
    </row>
    <row r="31" spans="1:16">
      <c r="A31" s="46">
        <f t="shared" si="2"/>
        <v>2004</v>
      </c>
      <c r="B31" s="141">
        <v>0.56899999999999995</v>
      </c>
      <c r="C31" s="141">
        <v>0.42699999999999999</v>
      </c>
      <c r="D31" s="46"/>
      <c r="E31" s="141">
        <f t="shared" si="0"/>
        <v>0.14199999999999996</v>
      </c>
      <c r="F31" s="141"/>
      <c r="G31" s="102">
        <f t="shared" si="1"/>
        <v>118.33333333333331</v>
      </c>
      <c r="H31" s="459"/>
      <c r="I31" s="459"/>
      <c r="J31" s="459"/>
      <c r="K31" s="458"/>
      <c r="L31" s="458"/>
      <c r="M31" s="14"/>
      <c r="N31" s="452"/>
      <c r="O31" s="452"/>
      <c r="P31" s="14"/>
    </row>
    <row r="32" spans="1:16">
      <c r="A32" s="46">
        <f t="shared" si="2"/>
        <v>2005</v>
      </c>
      <c r="B32" s="141">
        <v>0.58199999999999996</v>
      </c>
      <c r="C32" s="141">
        <v>0.443</v>
      </c>
      <c r="D32" s="46"/>
      <c r="E32" s="141">
        <f t="shared" si="0"/>
        <v>0.13899999999999996</v>
      </c>
      <c r="F32" s="141"/>
      <c r="G32" s="102">
        <f t="shared" si="1"/>
        <v>115.8333333333333</v>
      </c>
      <c r="H32" s="459"/>
      <c r="I32" s="459"/>
      <c r="J32" s="459"/>
      <c r="K32" s="458"/>
      <c r="L32" s="458"/>
      <c r="M32" s="14"/>
      <c r="N32" s="452"/>
      <c r="O32" s="452"/>
      <c r="P32" s="14"/>
    </row>
    <row r="33" spans="1:16">
      <c r="A33" s="46">
        <f t="shared" si="2"/>
        <v>2006</v>
      </c>
      <c r="B33" s="141">
        <v>0.58299999999999996</v>
      </c>
      <c r="C33" s="141">
        <v>0.44700000000000001</v>
      </c>
      <c r="D33" s="46"/>
      <c r="E33" s="141">
        <f t="shared" si="0"/>
        <v>0.13599999999999995</v>
      </c>
      <c r="F33" s="141"/>
      <c r="G33" s="102">
        <f t="shared" si="1"/>
        <v>113.33333333333331</v>
      </c>
      <c r="H33" s="459"/>
      <c r="I33" s="459"/>
      <c r="J33" s="459"/>
      <c r="K33" s="458"/>
      <c r="L33" s="458"/>
      <c r="M33" s="14"/>
      <c r="N33" s="452"/>
      <c r="O33" s="452"/>
      <c r="P33" s="14"/>
    </row>
    <row r="34" spans="1:16">
      <c r="A34" s="46">
        <f t="shared" si="2"/>
        <v>2007</v>
      </c>
      <c r="B34" s="141">
        <v>0.58399999999999996</v>
      </c>
      <c r="C34" s="141">
        <v>0.45300000000000001</v>
      </c>
      <c r="D34" s="46"/>
      <c r="E34" s="141">
        <f t="shared" si="0"/>
        <v>0.13099999999999995</v>
      </c>
      <c r="F34" s="141"/>
      <c r="G34" s="102">
        <f t="shared" si="1"/>
        <v>109.16666666666663</v>
      </c>
      <c r="H34" s="459"/>
      <c r="I34" s="459"/>
      <c r="J34" s="459"/>
      <c r="K34" s="458"/>
      <c r="L34" s="458"/>
      <c r="M34" s="14"/>
      <c r="N34" s="452"/>
      <c r="O34" s="452"/>
      <c r="P34" s="14"/>
    </row>
    <row r="35" spans="1:16">
      <c r="A35" s="46">
        <f t="shared" si="2"/>
        <v>2008</v>
      </c>
      <c r="B35" s="141">
        <v>0.57599999999999996</v>
      </c>
      <c r="C35" s="141">
        <v>0.43</v>
      </c>
      <c r="D35" s="46"/>
      <c r="E35" s="141">
        <f t="shared" si="0"/>
        <v>0.14599999999999996</v>
      </c>
      <c r="F35" s="141"/>
      <c r="G35" s="102">
        <f t="shared" si="1"/>
        <v>121.66666666666663</v>
      </c>
      <c r="H35" s="459"/>
      <c r="I35" s="459"/>
      <c r="J35" s="459"/>
      <c r="K35" s="458"/>
      <c r="L35" s="458"/>
      <c r="M35" s="14"/>
      <c r="N35" s="452"/>
      <c r="O35" s="452"/>
      <c r="P35" s="14"/>
    </row>
    <row r="36" spans="1:16">
      <c r="A36" s="46">
        <f t="shared" si="2"/>
        <v>2009</v>
      </c>
      <c r="B36" s="141">
        <v>0.57499999999999996</v>
      </c>
      <c r="C36" s="141">
        <v>0.41299999999999998</v>
      </c>
      <c r="D36" s="46"/>
      <c r="E36" s="141">
        <f t="shared" si="0"/>
        <v>0.16199999999999998</v>
      </c>
      <c r="F36" s="141"/>
      <c r="G36" s="102">
        <f t="shared" si="1"/>
        <v>135</v>
      </c>
      <c r="H36" s="459"/>
      <c r="I36" s="459"/>
      <c r="J36" s="459"/>
      <c r="K36" s="458"/>
      <c r="L36" s="458"/>
      <c r="M36" s="14"/>
      <c r="N36" s="452"/>
      <c r="O36" s="452"/>
      <c r="P36" s="14"/>
    </row>
    <row r="37" spans="1:16">
      <c r="A37" s="46">
        <f t="shared" si="2"/>
        <v>2010</v>
      </c>
      <c r="B37" s="141">
        <v>0.58699999999999997</v>
      </c>
      <c r="C37" s="141">
        <v>0.42099999999999999</v>
      </c>
      <c r="D37" s="46"/>
      <c r="E37" s="141">
        <f t="shared" si="0"/>
        <v>0.16599999999999998</v>
      </c>
      <c r="F37" s="141"/>
      <c r="G37" s="102">
        <f t="shared" si="1"/>
        <v>138.33333333333334</v>
      </c>
      <c r="H37" s="459"/>
      <c r="I37" s="459"/>
      <c r="J37" s="459"/>
      <c r="K37" s="458"/>
      <c r="L37" s="458"/>
      <c r="M37" s="14"/>
      <c r="N37" s="452"/>
      <c r="O37" s="452"/>
      <c r="P37" s="14"/>
    </row>
    <row r="38" spans="1:16">
      <c r="A38" s="46">
        <f t="shared" si="2"/>
        <v>2011</v>
      </c>
      <c r="B38" s="141">
        <v>0.58599999999999997</v>
      </c>
      <c r="C38" s="141">
        <v>0.42299999999999999</v>
      </c>
      <c r="D38" s="46"/>
      <c r="E38" s="141">
        <f t="shared" si="0"/>
        <v>0.16299999999999998</v>
      </c>
      <c r="F38" s="141"/>
      <c r="G38" s="102">
        <f t="shared" si="1"/>
        <v>135.83333333333331</v>
      </c>
      <c r="H38" s="459"/>
      <c r="I38" s="459"/>
      <c r="J38" s="459"/>
      <c r="K38" s="458"/>
      <c r="L38" s="458"/>
      <c r="M38" s="14"/>
      <c r="N38" s="452"/>
      <c r="O38" s="452"/>
      <c r="P38" s="14"/>
    </row>
    <row r="39" spans="1:16">
      <c r="A39" s="46">
        <f t="shared" si="2"/>
        <v>2012</v>
      </c>
      <c r="B39" s="141">
        <v>0.60599999999999998</v>
      </c>
      <c r="C39" s="141">
        <v>0.44500000000000001</v>
      </c>
      <c r="D39" s="46"/>
      <c r="E39" s="141">
        <f t="shared" si="0"/>
        <v>0.16099999999999998</v>
      </c>
      <c r="F39" s="141"/>
      <c r="G39" s="102">
        <f t="shared" si="1"/>
        <v>134.16666666666666</v>
      </c>
      <c r="H39" s="459"/>
      <c r="I39" s="459"/>
      <c r="J39" s="459"/>
      <c r="K39" s="458"/>
      <c r="L39" s="458"/>
      <c r="M39" s="14"/>
      <c r="N39" s="452"/>
      <c r="O39" s="452"/>
      <c r="P39" s="14"/>
    </row>
    <row r="40" spans="1:16">
      <c r="A40" s="46">
        <f t="shared" si="2"/>
        <v>2013</v>
      </c>
      <c r="B40" s="141">
        <v>0.59199999999999997</v>
      </c>
      <c r="C40" s="141">
        <v>0.42699999999999999</v>
      </c>
      <c r="D40" s="46"/>
      <c r="E40" s="141">
        <f t="shared" si="0"/>
        <v>0.16499999999999998</v>
      </c>
      <c r="F40" s="141"/>
      <c r="G40" s="102">
        <f t="shared" si="1"/>
        <v>137.49999999999997</v>
      </c>
      <c r="H40" s="459"/>
      <c r="I40" s="459"/>
      <c r="J40" s="459"/>
      <c r="K40" s="458"/>
      <c r="L40" s="458"/>
      <c r="M40" s="14"/>
      <c r="N40" s="452"/>
      <c r="O40" s="452"/>
      <c r="P40" s="14"/>
    </row>
    <row r="41" spans="1:16">
      <c r="A41" s="46">
        <f t="shared" si="2"/>
        <v>2014</v>
      </c>
      <c r="B41" s="141">
        <v>0.60099999999999998</v>
      </c>
      <c r="C41" s="141">
        <v>0.433</v>
      </c>
      <c r="D41" s="46"/>
      <c r="E41" s="141">
        <f t="shared" si="0"/>
        <v>0.16799999999999998</v>
      </c>
      <c r="F41" s="141"/>
      <c r="G41" s="102">
        <f t="shared" si="1"/>
        <v>140</v>
      </c>
      <c r="H41" s="459"/>
      <c r="I41" s="459"/>
      <c r="J41" s="459"/>
      <c r="K41" s="458"/>
      <c r="L41" s="458"/>
      <c r="M41" s="14"/>
      <c r="N41" s="452"/>
      <c r="O41" s="452"/>
      <c r="P41" s="14"/>
    </row>
    <row r="42" spans="1:16">
      <c r="A42" s="46">
        <f t="shared" si="2"/>
        <v>2015</v>
      </c>
      <c r="B42" s="141">
        <v>0.59899999999999998</v>
      </c>
      <c r="C42" s="141">
        <v>0.42899999999999999</v>
      </c>
      <c r="D42" s="46"/>
      <c r="E42" s="141">
        <f t="shared" si="0"/>
        <v>0.16999999999999998</v>
      </c>
      <c r="F42" s="141"/>
      <c r="G42" s="102">
        <f t="shared" si="1"/>
        <v>141.66666666666666</v>
      </c>
      <c r="H42" s="459"/>
      <c r="I42" s="459"/>
      <c r="J42" s="459"/>
      <c r="K42" s="458"/>
      <c r="L42" s="458"/>
      <c r="M42" s="14"/>
      <c r="N42" s="452"/>
      <c r="O42" s="452"/>
      <c r="P42" s="14"/>
    </row>
    <row r="43" spans="1:16">
      <c r="A43" s="46">
        <f t="shared" si="2"/>
        <v>2016</v>
      </c>
      <c r="B43" s="141">
        <v>0.59499999999999997</v>
      </c>
      <c r="C43" s="141">
        <v>0.42299999999999999</v>
      </c>
      <c r="D43" s="46"/>
      <c r="E43" s="141">
        <f t="shared" si="0"/>
        <v>0.17199999999999999</v>
      </c>
      <c r="F43" s="141"/>
      <c r="G43" s="102">
        <f t="shared" si="1"/>
        <v>143.33333333333334</v>
      </c>
      <c r="H43" s="459"/>
      <c r="I43" s="459"/>
      <c r="J43" s="459"/>
      <c r="K43" s="458"/>
      <c r="L43" s="458"/>
      <c r="M43" s="14"/>
      <c r="N43" s="452"/>
      <c r="O43" s="452"/>
      <c r="P43" s="14"/>
    </row>
    <row r="44" spans="1:16">
      <c r="A44" s="46">
        <f t="shared" si="2"/>
        <v>2017</v>
      </c>
      <c r="B44" s="166"/>
      <c r="D44" s="46"/>
      <c r="E44" s="141"/>
      <c r="F44" s="141"/>
      <c r="H44" s="14"/>
      <c r="I44" s="14"/>
      <c r="J44" s="14"/>
      <c r="K44" s="14"/>
      <c r="L44" s="14"/>
      <c r="M44" s="14"/>
      <c r="N44" s="14"/>
      <c r="O44" s="14"/>
      <c r="P44" s="14"/>
    </row>
    <row r="45" spans="1:16">
      <c r="A45" s="46">
        <f t="shared" si="2"/>
        <v>2018</v>
      </c>
      <c r="B45" s="166"/>
      <c r="D45" s="46"/>
      <c r="E45" s="141"/>
      <c r="F45" s="141"/>
      <c r="H45" s="14"/>
      <c r="I45" s="14"/>
      <c r="J45" s="14"/>
      <c r="K45" s="14"/>
      <c r="L45" s="14"/>
      <c r="M45" s="14"/>
      <c r="N45" s="14"/>
      <c r="O45" s="14"/>
      <c r="P45" s="14"/>
    </row>
    <row r="46" spans="1:16">
      <c r="A46" s="46">
        <f t="shared" si="2"/>
        <v>2019</v>
      </c>
      <c r="B46" s="166"/>
      <c r="D46" s="46"/>
      <c r="E46" s="141"/>
      <c r="F46" s="141"/>
      <c r="H46" s="14"/>
      <c r="I46" s="14"/>
      <c r="J46" s="14"/>
      <c r="K46" s="14"/>
      <c r="L46" s="14"/>
      <c r="M46" s="14"/>
      <c r="N46" s="14"/>
      <c r="O46" s="14"/>
      <c r="P46" s="14"/>
    </row>
    <row r="47" spans="1:16">
      <c r="A47" s="46"/>
      <c r="D47" s="46"/>
      <c r="E47" s="141"/>
      <c r="F47" s="141"/>
      <c r="H47" s="14" t="s">
        <v>641</v>
      </c>
      <c r="I47" s="14"/>
      <c r="J47" s="14"/>
      <c r="K47" s="14"/>
      <c r="L47" s="14"/>
      <c r="M47" s="14"/>
      <c r="N47" s="14"/>
      <c r="O47" s="14"/>
      <c r="P47" s="14"/>
    </row>
    <row r="48" spans="1:16">
      <c r="A48" s="553" t="s">
        <v>154</v>
      </c>
      <c r="B48" s="16"/>
      <c r="D48" s="553"/>
      <c r="E48" s="16">
        <f>(E$43-E6)/E6</f>
        <v>0.43333333333333329</v>
      </c>
      <c r="F48" s="16"/>
      <c r="H48" s="17">
        <f>(E48-'8-Redist'!B75)/'8-Redist'!B75</f>
        <v>-0.26084023221718966</v>
      </c>
      <c r="I48" s="14"/>
      <c r="J48" s="14"/>
      <c r="K48" s="17"/>
      <c r="L48" s="17"/>
      <c r="M48" s="14"/>
      <c r="N48" s="14"/>
      <c r="O48" s="14"/>
      <c r="P48" s="14"/>
    </row>
    <row r="49" spans="1:16">
      <c r="A49" s="553" t="s">
        <v>791</v>
      </c>
      <c r="B49" s="16"/>
      <c r="D49" s="553"/>
      <c r="E49" s="16">
        <f>(E$43-E13)/E13</f>
        <v>0.5779816513761461</v>
      </c>
      <c r="F49" s="16"/>
      <c r="H49" s="17">
        <f>(E49-'8-Redist'!B76)/'8-Redist'!B76</f>
        <v>-0.11799631368560899</v>
      </c>
      <c r="I49" s="14"/>
      <c r="J49" s="14"/>
      <c r="K49" s="17"/>
      <c r="L49" s="17"/>
      <c r="M49" s="14"/>
      <c r="N49" s="14"/>
      <c r="O49" s="14"/>
      <c r="P49" s="14"/>
    </row>
    <row r="50" spans="1:16">
      <c r="A50" s="46"/>
      <c r="D50" s="46"/>
      <c r="E50" s="141"/>
      <c r="F50" s="141"/>
      <c r="H50" s="14"/>
      <c r="I50" s="14"/>
      <c r="J50" s="14"/>
      <c r="K50" s="14"/>
      <c r="L50" s="14"/>
      <c r="M50" s="14"/>
      <c r="N50" s="14"/>
      <c r="O50" s="14"/>
      <c r="P50" s="14"/>
    </row>
    <row r="51" spans="1:16">
      <c r="A51" s="46"/>
      <c r="D51" s="46"/>
      <c r="E51" s="141"/>
      <c r="F51" s="141"/>
    </row>
    <row r="52" spans="1:16">
      <c r="A52" s="46"/>
      <c r="D52" s="46"/>
      <c r="E52" s="141"/>
      <c r="F52" s="141"/>
    </row>
    <row r="53" spans="1:16">
      <c r="A53" s="46"/>
      <c r="D53" s="46"/>
      <c r="E53" s="141"/>
      <c r="F53" s="141"/>
    </row>
    <row r="54" spans="1:16">
      <c r="A54" s="46"/>
      <c r="D54" s="46"/>
      <c r="E54" s="141"/>
      <c r="F54" s="141"/>
    </row>
    <row r="55" spans="1:16">
      <c r="A55" s="46"/>
      <c r="D55" s="46"/>
      <c r="E55" s="141"/>
      <c r="F55" s="141"/>
    </row>
    <row r="56" spans="1:16">
      <c r="A56" s="46"/>
      <c r="D56" s="46"/>
      <c r="E56" s="141"/>
      <c r="F56" s="141"/>
    </row>
    <row r="57" spans="1:16">
      <c r="A57" s="46"/>
      <c r="D57" s="46"/>
      <c r="E57" s="141"/>
      <c r="F57" s="141"/>
    </row>
    <row r="58" spans="1:16">
      <c r="A58" s="46"/>
      <c r="D58" s="46"/>
      <c r="E58" s="141"/>
      <c r="F58" s="141"/>
    </row>
    <row r="59" spans="1:16">
      <c r="A59" s="46"/>
      <c r="D59" s="46"/>
      <c r="E59" s="141"/>
      <c r="F59" s="141"/>
    </row>
    <row r="60" spans="1:16">
      <c r="A60" s="46"/>
      <c r="D60" s="46"/>
      <c r="E60" s="141"/>
      <c r="F60" s="141"/>
    </row>
    <row r="61" spans="1:16">
      <c r="A61" s="46"/>
      <c r="D61" s="46"/>
      <c r="E61" s="141"/>
      <c r="F61" s="141"/>
    </row>
    <row r="62" spans="1:16">
      <c r="A62" s="46"/>
      <c r="D62" s="46"/>
      <c r="E62" s="141"/>
      <c r="F62" s="141"/>
    </row>
    <row r="63" spans="1:16">
      <c r="A63" s="46"/>
      <c r="D63" s="46"/>
      <c r="E63" s="141"/>
      <c r="F63" s="141"/>
    </row>
    <row r="64" spans="1:16">
      <c r="A64" s="46"/>
      <c r="D64" s="46"/>
      <c r="E64" s="141"/>
      <c r="F64" s="141"/>
    </row>
    <row r="65" spans="1:6">
      <c r="A65" s="46"/>
      <c r="D65" s="46"/>
      <c r="E65" s="141"/>
      <c r="F65" s="141"/>
    </row>
    <row r="66" spans="1:6">
      <c r="A66" s="46"/>
      <c r="D66" s="46"/>
      <c r="E66" s="141"/>
      <c r="F66" s="141"/>
    </row>
    <row r="67" spans="1:6">
      <c r="A67" s="46"/>
      <c r="D67" s="46"/>
      <c r="E67" s="141"/>
      <c r="F67" s="141"/>
    </row>
    <row r="68" spans="1:6">
      <c r="A68" s="46"/>
      <c r="D68" s="46"/>
      <c r="E68" s="141"/>
      <c r="F68" s="141"/>
    </row>
    <row r="69" spans="1:6">
      <c r="A69" s="46"/>
      <c r="D69" s="46"/>
      <c r="E69" s="141"/>
      <c r="F69" s="141"/>
    </row>
    <row r="70" spans="1:6">
      <c r="A70" s="46"/>
      <c r="D70" s="46"/>
      <c r="E70" s="141"/>
      <c r="F70" s="141"/>
    </row>
    <row r="71" spans="1:6">
      <c r="A71" s="46"/>
      <c r="D71" s="46"/>
      <c r="E71" s="141"/>
      <c r="F71" s="141"/>
    </row>
    <row r="72" spans="1:6">
      <c r="A72" s="46"/>
      <c r="D72" s="46"/>
      <c r="E72" s="141"/>
      <c r="F72" s="141"/>
    </row>
    <row r="73" spans="1:6">
      <c r="A73" s="46"/>
      <c r="D73" s="46"/>
      <c r="E73" s="141"/>
      <c r="F73" s="141"/>
    </row>
    <row r="74" spans="1:6">
      <c r="A74" s="46"/>
      <c r="D74" s="46"/>
      <c r="E74" s="141"/>
      <c r="F74" s="141"/>
    </row>
    <row r="75" spans="1:6">
      <c r="A75" s="46"/>
      <c r="D75" s="46"/>
      <c r="E75" s="141"/>
      <c r="F75" s="141"/>
    </row>
    <row r="76" spans="1:6">
      <c r="A76" s="46"/>
      <c r="D76" s="46"/>
      <c r="E76" s="141"/>
      <c r="F76" s="141"/>
    </row>
    <row r="77" spans="1:6">
      <c r="A77" s="46"/>
      <c r="D77" s="46"/>
      <c r="E77" s="141"/>
      <c r="F77" s="141"/>
    </row>
    <row r="78" spans="1:6">
      <c r="A78" s="46"/>
      <c r="D78" s="46"/>
      <c r="E78" s="141"/>
      <c r="F78" s="141"/>
    </row>
    <row r="79" spans="1:6">
      <c r="A79" s="46"/>
      <c r="D79" s="46"/>
      <c r="E79" s="141"/>
      <c r="F79" s="141"/>
    </row>
    <row r="80" spans="1:6">
      <c r="A80" s="46"/>
      <c r="D80" s="46"/>
      <c r="E80" s="141"/>
      <c r="F80" s="141"/>
    </row>
    <row r="81" spans="1:6">
      <c r="A81" s="46"/>
      <c r="D81" s="46"/>
      <c r="E81" s="141"/>
      <c r="F81" s="141"/>
    </row>
    <row r="82" spans="1:6">
      <c r="A82" s="46"/>
      <c r="D82" s="46"/>
      <c r="E82" s="141"/>
      <c r="F82" s="141"/>
    </row>
    <row r="83" spans="1:6">
      <c r="A83" s="46"/>
      <c r="D83" s="46"/>
      <c r="E83" s="141"/>
      <c r="F83" s="141"/>
    </row>
    <row r="84" spans="1:6">
      <c r="A84" s="46"/>
      <c r="D84" s="46"/>
      <c r="E84" s="141"/>
      <c r="F84" s="141"/>
    </row>
    <row r="85" spans="1:6">
      <c r="A85" s="46"/>
      <c r="D85" s="46"/>
      <c r="E85" s="141"/>
      <c r="F85" s="141"/>
    </row>
    <row r="86" spans="1:6">
      <c r="A86" s="46"/>
      <c r="D86" s="46"/>
      <c r="E86" s="141"/>
      <c r="F86" s="141"/>
    </row>
    <row r="87" spans="1:6">
      <c r="A87" s="46"/>
      <c r="D87" s="46"/>
      <c r="E87" s="141"/>
      <c r="F87" s="141"/>
    </row>
    <row r="88" spans="1:6">
      <c r="A88" s="46"/>
      <c r="D88" s="46"/>
      <c r="E88" s="141"/>
      <c r="F88" s="141"/>
    </row>
    <row r="89" spans="1:6">
      <c r="A89" s="46"/>
      <c r="D89" s="46"/>
      <c r="E89" s="141"/>
      <c r="F89" s="141"/>
    </row>
    <row r="90" spans="1:6">
      <c r="A90" s="46"/>
      <c r="D90" s="46"/>
      <c r="E90" s="141"/>
      <c r="F90" s="141"/>
    </row>
    <row r="91" spans="1:6">
      <c r="A91" s="46"/>
      <c r="D91" s="46"/>
      <c r="E91" s="141"/>
      <c r="F91" s="141"/>
    </row>
    <row r="92" spans="1:6">
      <c r="A92" s="46"/>
      <c r="D92" s="46"/>
      <c r="E92" s="141"/>
      <c r="F92" s="141"/>
    </row>
    <row r="93" spans="1:6">
      <c r="A93" s="46"/>
      <c r="D93" s="46"/>
      <c r="E93" s="141"/>
      <c r="F93" s="141"/>
    </row>
    <row r="94" spans="1:6">
      <c r="A94" s="46"/>
      <c r="D94" s="46"/>
      <c r="E94" s="141"/>
      <c r="F94" s="141"/>
    </row>
    <row r="95" spans="1:6">
      <c r="A95" s="46"/>
      <c r="D95" s="46"/>
      <c r="E95" s="141"/>
      <c r="F95" s="141"/>
    </row>
    <row r="96" spans="1:6">
      <c r="A96" s="46"/>
      <c r="D96" s="46"/>
      <c r="E96" s="141"/>
      <c r="F96" s="141"/>
    </row>
    <row r="97" spans="1:6">
      <c r="A97" s="46"/>
      <c r="D97" s="46"/>
      <c r="E97" s="141"/>
      <c r="F97" s="141"/>
    </row>
    <row r="98" spans="1:6">
      <c r="A98" s="46"/>
      <c r="D98" s="46"/>
      <c r="E98" s="141"/>
      <c r="F98" s="141"/>
    </row>
    <row r="99" spans="1:6">
      <c r="A99" s="46"/>
      <c r="D99" s="46"/>
      <c r="E99" s="141"/>
      <c r="F99" s="141"/>
    </row>
    <row r="100" spans="1:6">
      <c r="A100" s="46"/>
      <c r="D100" s="46"/>
      <c r="E100" s="141"/>
      <c r="F100" s="141"/>
    </row>
    <row r="101" spans="1:6">
      <c r="A101" s="46"/>
      <c r="D101" s="46"/>
      <c r="E101" s="141"/>
      <c r="F101" s="141"/>
    </row>
    <row r="102" spans="1:6">
      <c r="A102" s="46"/>
      <c r="D102" s="46"/>
      <c r="E102" s="141"/>
      <c r="F102" s="141"/>
    </row>
    <row r="103" spans="1:6">
      <c r="A103" s="46"/>
      <c r="D103" s="46"/>
      <c r="E103" s="141"/>
      <c r="F103" s="141"/>
    </row>
    <row r="104" spans="1:6">
      <c r="A104" s="46"/>
      <c r="D104" s="46"/>
      <c r="E104" s="141"/>
      <c r="F104" s="141"/>
    </row>
    <row r="105" spans="1:6">
      <c r="A105" s="46"/>
      <c r="D105" s="46"/>
      <c r="E105" s="141"/>
      <c r="F105" s="141"/>
    </row>
    <row r="106" spans="1:6">
      <c r="A106" s="46"/>
      <c r="D106" s="46"/>
      <c r="E106" s="141"/>
      <c r="F106" s="141"/>
    </row>
    <row r="107" spans="1:6">
      <c r="A107" s="46"/>
      <c r="D107" s="46"/>
      <c r="E107" s="141"/>
      <c r="F107" s="141"/>
    </row>
    <row r="108" spans="1:6">
      <c r="A108" s="46"/>
      <c r="D108" s="46"/>
      <c r="E108" s="141"/>
      <c r="F108" s="141"/>
    </row>
    <row r="109" spans="1:6">
      <c r="A109" s="46"/>
      <c r="D109" s="46"/>
      <c r="E109" s="141"/>
      <c r="F109" s="141"/>
    </row>
    <row r="110" spans="1:6">
      <c r="A110" s="46"/>
      <c r="D110" s="46"/>
      <c r="E110" s="141"/>
      <c r="F110" s="141"/>
    </row>
    <row r="111" spans="1:6">
      <c r="A111" s="46"/>
      <c r="D111" s="46"/>
      <c r="E111" s="141"/>
      <c r="F111" s="141"/>
    </row>
    <row r="112" spans="1:6">
      <c r="A112" s="46"/>
      <c r="D112" s="46"/>
      <c r="E112" s="141"/>
      <c r="F112" s="141"/>
    </row>
    <row r="113" spans="1:6">
      <c r="A113" s="46"/>
      <c r="D113" s="46"/>
      <c r="E113" s="141"/>
      <c r="F113" s="141"/>
    </row>
    <row r="114" spans="1:6">
      <c r="A114" s="46"/>
      <c r="D114" s="46"/>
      <c r="E114" s="141"/>
      <c r="F114" s="141"/>
    </row>
    <row r="115" spans="1:6">
      <c r="A115" s="46"/>
      <c r="D115" s="46"/>
      <c r="E115" s="141"/>
      <c r="F115" s="141"/>
    </row>
    <row r="116" spans="1:6">
      <c r="A116" s="46"/>
      <c r="D116" s="46"/>
      <c r="E116" s="141"/>
      <c r="F116" s="141"/>
    </row>
    <row r="117" spans="1:6">
      <c r="A117" s="46"/>
      <c r="D117" s="46"/>
      <c r="E117" s="141"/>
      <c r="F117" s="141"/>
    </row>
    <row r="118" spans="1:6">
      <c r="A118" s="46"/>
      <c r="D118" s="46"/>
      <c r="E118" s="141"/>
      <c r="F118" s="141"/>
    </row>
    <row r="119" spans="1:6">
      <c r="A119" s="46"/>
      <c r="D119" s="46"/>
      <c r="E119" s="141"/>
      <c r="F119" s="141"/>
    </row>
    <row r="120" spans="1:6">
      <c r="A120" s="46"/>
      <c r="D120" s="46"/>
      <c r="E120" s="141"/>
      <c r="F120" s="141"/>
    </row>
    <row r="121" spans="1:6">
      <c r="A121" s="46"/>
      <c r="D121" s="46"/>
      <c r="E121" s="141"/>
      <c r="F121" s="141"/>
    </row>
    <row r="122" spans="1:6">
      <c r="A122" s="46"/>
      <c r="D122" s="46"/>
      <c r="E122" s="141"/>
      <c r="F122" s="141"/>
    </row>
    <row r="123" spans="1:6">
      <c r="A123" s="46"/>
      <c r="D123" s="46"/>
      <c r="E123" s="141"/>
      <c r="F123" s="141"/>
    </row>
  </sheetData>
  <mergeCells count="2">
    <mergeCell ref="B4:C4"/>
    <mergeCell ref="E4:G4"/>
  </mergeCells>
  <hyperlinks>
    <hyperlink ref="N1" location="Index!A1" display="index" xr:uid="{6D43458A-0AB6-4504-9168-0F1A94F43372}"/>
  </hyperlinks>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A779B-0BF9-4894-894B-C02BC92C8399}">
  <sheetPr codeName="Sheet23">
    <tabColor theme="9" tint="0.79998168889431442"/>
  </sheetPr>
  <dimension ref="A1:AF78"/>
  <sheetViews>
    <sheetView workbookViewId="0">
      <selection activeCell="N29" sqref="N29"/>
    </sheetView>
  </sheetViews>
  <sheetFormatPr defaultColWidth="9.140625" defaultRowHeight="15"/>
  <cols>
    <col min="1" max="1" width="9.140625" style="131"/>
    <col min="2" max="2" width="11" style="131" customWidth="1"/>
    <col min="3" max="3" width="11.85546875" style="131" customWidth="1"/>
    <col min="4" max="4" width="3.140625" style="131" customWidth="1"/>
    <col min="5" max="6" width="13.7109375" style="131" customWidth="1"/>
    <col min="7" max="7" width="10.7109375" style="131" customWidth="1"/>
    <col min="8" max="11" width="11.140625" style="131" customWidth="1"/>
    <col min="12" max="12" width="12" style="131" customWidth="1"/>
    <col min="13" max="13" width="9.140625" style="131"/>
    <col min="14" max="14" width="10.5703125" style="131" customWidth="1"/>
    <col min="15" max="15" width="9.140625" style="131"/>
    <col min="16" max="16" width="10.140625" style="131" customWidth="1"/>
    <col min="17" max="19" width="9.140625" style="131"/>
    <col min="20" max="20" width="5.42578125" style="131" customWidth="1"/>
    <col min="21" max="21" width="17.5703125" style="131" customWidth="1"/>
    <col min="22" max="22" width="12.85546875" style="131" customWidth="1"/>
    <col min="23" max="23" width="9.140625" style="131"/>
    <col min="24" max="24" width="2.5703125" style="131" customWidth="1"/>
    <col min="25" max="26" width="9.28515625" style="131" customWidth="1"/>
    <col min="27" max="27" width="3" style="131" customWidth="1"/>
    <col min="28" max="16384" width="9.140625" style="131"/>
  </cols>
  <sheetData>
    <row r="1" spans="1:9">
      <c r="A1" s="207" t="s">
        <v>241</v>
      </c>
      <c r="H1" s="641" t="s">
        <v>762</v>
      </c>
      <c r="I1" s="234"/>
    </row>
    <row r="29" spans="1:1">
      <c r="A29" s="208" t="s">
        <v>239</v>
      </c>
    </row>
    <row r="32" spans="1:1">
      <c r="A32" s="11"/>
    </row>
    <row r="33" spans="1:32">
      <c r="A33" s="11"/>
    </row>
    <row r="34" spans="1:32">
      <c r="A34" s="192" t="s">
        <v>229</v>
      </c>
      <c r="B34" s="191"/>
      <c r="C34" s="191"/>
      <c r="D34" s="191"/>
      <c r="E34" s="191"/>
      <c r="F34" s="191"/>
    </row>
    <row r="35" spans="1:32" ht="16.5" customHeight="1">
      <c r="B35" s="757" t="s">
        <v>238</v>
      </c>
      <c r="C35" s="757"/>
      <c r="D35" s="209"/>
      <c r="E35" s="757" t="s">
        <v>240</v>
      </c>
      <c r="F35" s="757"/>
    </row>
    <row r="36" spans="1:32" ht="57" customHeight="1">
      <c r="A36" s="210"/>
      <c r="B36" s="211" t="s">
        <v>237</v>
      </c>
      <c r="C36" s="211" t="s">
        <v>231</v>
      </c>
      <c r="D36" s="191"/>
      <c r="E36" s="211" t="s">
        <v>237</v>
      </c>
      <c r="F36" s="211" t="s">
        <v>231</v>
      </c>
      <c r="G36" s="212"/>
      <c r="H36" s="212"/>
      <c r="J36" s="212"/>
      <c r="K36" s="212"/>
      <c r="N36" s="213"/>
      <c r="O36" s="212"/>
      <c r="P36" s="212"/>
      <c r="Q36" s="212"/>
      <c r="R36" s="212"/>
      <c r="S36" s="212"/>
      <c r="T36" s="212"/>
      <c r="U36" s="212"/>
      <c r="V36" s="212"/>
      <c r="W36" s="212"/>
      <c r="X36" s="212"/>
      <c r="Y36" s="212"/>
      <c r="Z36" s="212"/>
      <c r="AA36" s="212"/>
      <c r="AB36" s="212"/>
      <c r="AC36" s="212"/>
      <c r="AD36" s="212"/>
    </row>
    <row r="37" spans="1:32" ht="9.75" customHeight="1">
      <c r="A37" s="214"/>
      <c r="B37" s="215"/>
      <c r="C37" s="215"/>
      <c r="E37" s="215"/>
      <c r="F37" s="215"/>
      <c r="G37" s="215"/>
      <c r="H37" s="215"/>
      <c r="J37" s="215"/>
      <c r="K37" s="215"/>
      <c r="N37" s="215"/>
      <c r="O37" s="215"/>
      <c r="P37" s="215"/>
      <c r="Q37" s="215"/>
      <c r="R37" s="215"/>
      <c r="S37" s="215"/>
      <c r="T37" s="215"/>
      <c r="U37" s="215"/>
      <c r="V37" s="215"/>
      <c r="W37" s="215"/>
      <c r="X37" s="215"/>
      <c r="Y37" s="215"/>
      <c r="Z37" s="215"/>
      <c r="AA37" s="215"/>
    </row>
    <row r="38" spans="1:32" ht="12.75" customHeight="1">
      <c r="A38" s="215">
        <v>1979</v>
      </c>
      <c r="B38" s="216">
        <f>(Inc!U210+Inc!V210)/Inc!B210</f>
        <v>2.0463847203274217E-2</v>
      </c>
      <c r="C38" s="216">
        <f>TxRt!D216/100</f>
        <v>5.5E-2</v>
      </c>
      <c r="D38" s="217"/>
      <c r="E38" s="216">
        <f>(Inc!U50+Inc!V50+Inc!U90+Inc!V90+Inc!U130+Inc!V130+Inc!U170+Inc!V170)/(Inc!B50+Inc!B90+Inc!B130+Inc!B170)</f>
        <v>9.5824411134903642E-2</v>
      </c>
      <c r="F38" s="216">
        <f>(Inc!B50*TxRt!D53+Inc!B90*TxRt!D96+Inc!B130*TxRt!D136+Inc!B170*TxRt!D176)/(Inc!B50+Inc!B90+Inc!B130+Inc!B170)/100</f>
        <v>8.1336723768736616E-2</v>
      </c>
      <c r="G38" s="218"/>
      <c r="H38" s="218"/>
      <c r="J38" s="218"/>
      <c r="K38" s="218"/>
      <c r="L38" s="218"/>
      <c r="M38" s="219"/>
      <c r="N38" s="219"/>
      <c r="O38" s="218"/>
      <c r="P38" s="218"/>
      <c r="Q38" s="218"/>
      <c r="R38" s="218"/>
      <c r="S38" s="218"/>
      <c r="T38" s="218"/>
      <c r="U38" s="218"/>
      <c r="V38" s="218"/>
      <c r="W38" s="220"/>
      <c r="X38" s="220"/>
      <c r="Y38" s="220"/>
      <c r="Z38" s="220"/>
      <c r="AA38" s="220"/>
      <c r="AF38" s="42"/>
    </row>
    <row r="39" spans="1:32" ht="12.75" customHeight="1">
      <c r="A39" s="215">
        <v>1980</v>
      </c>
      <c r="B39" s="216">
        <f>(Inc!U211+Inc!V211)/Inc!B211</f>
        <v>2.3826208829712685E-2</v>
      </c>
      <c r="C39" s="216">
        <f>TxRt!D217/100</f>
        <v>5.5999999999999994E-2</v>
      </c>
      <c r="D39" s="217"/>
      <c r="E39" s="216">
        <f>(Inc!U51+Inc!V51+Inc!U91+Inc!V91+Inc!U131+Inc!V131+Inc!U171+Inc!V171)/(Inc!B51+Inc!B91+Inc!B131+Inc!B171)</f>
        <v>0.10299003322259136</v>
      </c>
      <c r="F39" s="216">
        <f>(Inc!B51*TxRt!D54+Inc!B91*TxRt!D97+Inc!B131*TxRt!D137+Inc!B171*TxRt!D177)/(Inc!B51+Inc!B91+Inc!B131+Inc!B171)/100</f>
        <v>8.1163344407530452E-2</v>
      </c>
      <c r="G39" s="218"/>
      <c r="H39" s="218"/>
      <c r="J39" s="218"/>
      <c r="K39" s="218"/>
      <c r="L39" s="218"/>
      <c r="M39" s="219"/>
      <c r="N39" s="219"/>
      <c r="O39" s="218"/>
      <c r="P39" s="218"/>
      <c r="Q39" s="218"/>
      <c r="R39" s="218"/>
      <c r="S39" s="218"/>
      <c r="T39" s="218"/>
      <c r="U39" s="218"/>
      <c r="V39" s="218"/>
      <c r="W39" s="220"/>
      <c r="X39" s="220"/>
      <c r="Y39" s="220"/>
      <c r="Z39" s="220"/>
      <c r="AA39" s="220"/>
      <c r="AF39" s="42"/>
    </row>
    <row r="40" spans="1:32" ht="12.75" customHeight="1">
      <c r="A40" s="215">
        <v>1981</v>
      </c>
      <c r="B40" s="216">
        <f>(Inc!U212+Inc!V212)/Inc!B212</f>
        <v>2.7426160337552744E-2</v>
      </c>
      <c r="C40" s="216">
        <f>TxRt!D218/100</f>
        <v>6.0999999999999999E-2</v>
      </c>
      <c r="D40" s="217"/>
      <c r="E40" s="216">
        <f>(Inc!U52+Inc!V52+Inc!U92+Inc!V92+Inc!U132+Inc!V132+Inc!U172+Inc!V172)/(Inc!B52+Inc!B92+Inc!B132+Inc!B172)</f>
        <v>0.10902047592695074</v>
      </c>
      <c r="F40" s="216">
        <f>(Inc!B52*TxRt!D55+Inc!B92*TxRt!D98+Inc!B132*TxRt!D138+Inc!B172*TxRt!D178)/(Inc!B52+Inc!B92+Inc!B132+Inc!B172)/100</f>
        <v>8.6986718317653561E-2</v>
      </c>
      <c r="G40" s="218"/>
      <c r="H40" s="218"/>
      <c r="J40" s="218"/>
      <c r="K40" s="218"/>
      <c r="L40" s="218"/>
      <c r="M40" s="219"/>
      <c r="N40" s="219"/>
      <c r="O40" s="218"/>
      <c r="P40" s="218"/>
      <c r="Q40" s="218"/>
      <c r="R40" s="218"/>
      <c r="S40" s="218"/>
      <c r="T40" s="218"/>
      <c r="U40" s="218"/>
      <c r="V40" s="218"/>
      <c r="W40" s="220"/>
      <c r="X40" s="220"/>
      <c r="Y40" s="220"/>
      <c r="Z40" s="220"/>
      <c r="AA40" s="220"/>
      <c r="AF40" s="42"/>
    </row>
    <row r="41" spans="1:32" ht="12.75" customHeight="1">
      <c r="A41" s="215">
        <v>1982</v>
      </c>
      <c r="B41" s="216">
        <f>(Inc!U213+Inc!V213)/Inc!B213</f>
        <v>3.1424581005586594E-2</v>
      </c>
      <c r="C41" s="216">
        <f>TxRt!D219/100</f>
        <v>6.3E-2</v>
      </c>
      <c r="D41" s="217"/>
      <c r="E41" s="216">
        <f>(Inc!U53+Inc!V53+Inc!U93+Inc!V93+Inc!U133+Inc!V133+Inc!U173+Inc!V173)/(Inc!B53+Inc!B93+Inc!B133+Inc!B173)</f>
        <v>0.11529808773903262</v>
      </c>
      <c r="F41" s="216">
        <f>(Inc!B53*TxRt!D56+Inc!B93*TxRt!D99+Inc!B133*TxRt!D139+Inc!B173*TxRt!D179)/(Inc!B53+Inc!B93+Inc!B133+Inc!B173)/100</f>
        <v>8.6239032620922376E-2</v>
      </c>
      <c r="G41" s="218"/>
      <c r="H41" s="218"/>
      <c r="J41" s="218"/>
      <c r="K41" s="218"/>
      <c r="L41" s="218"/>
      <c r="M41" s="219"/>
      <c r="N41" s="219"/>
      <c r="O41" s="218"/>
      <c r="P41" s="218"/>
      <c r="Q41" s="218"/>
      <c r="R41" s="218"/>
      <c r="S41" s="218"/>
      <c r="T41" s="218"/>
      <c r="U41" s="218"/>
      <c r="V41" s="218"/>
      <c r="W41" s="220"/>
      <c r="X41" s="220"/>
      <c r="Y41" s="220"/>
      <c r="Z41" s="220"/>
      <c r="AA41" s="220"/>
      <c r="AF41" s="42"/>
    </row>
    <row r="42" spans="1:32" ht="12.75" customHeight="1">
      <c r="A42" s="215">
        <v>1983</v>
      </c>
      <c r="B42" s="216">
        <f>(Inc!U214+Inc!V214)/Inc!B214</f>
        <v>3.1671159029649593E-2</v>
      </c>
      <c r="C42" s="216">
        <f>TxRt!D220/100</f>
        <v>6.3E-2</v>
      </c>
      <c r="D42" s="217"/>
      <c r="E42" s="216">
        <f>(Inc!U54+Inc!V54+Inc!U94+Inc!V94+Inc!U134+Inc!V134+Inc!U174+Inc!V174)/(Inc!B54+Inc!B94+Inc!B134+Inc!B174)</f>
        <v>0.11972633979475485</v>
      </c>
      <c r="F42" s="216">
        <f>(Inc!B54*TxRt!D57+Inc!B94*TxRt!D100+Inc!B134*TxRt!D140+Inc!B174*TxRt!D180)/(Inc!B54+Inc!B94+Inc!B134+Inc!B174)/100</f>
        <v>8.6039338654503986E-2</v>
      </c>
      <c r="G42" s="218"/>
      <c r="H42" s="218"/>
      <c r="J42" s="218"/>
      <c r="K42" s="218"/>
      <c r="L42" s="218"/>
      <c r="M42" s="219"/>
      <c r="N42" s="219"/>
      <c r="O42" s="218"/>
      <c r="P42" s="218"/>
      <c r="Q42" s="218"/>
      <c r="R42" s="218"/>
      <c r="S42" s="218"/>
      <c r="T42" s="218"/>
      <c r="U42" s="218"/>
      <c r="V42" s="218"/>
      <c r="W42" s="220"/>
      <c r="X42" s="220"/>
      <c r="Y42" s="220"/>
      <c r="Z42" s="220"/>
      <c r="AA42" s="220"/>
      <c r="AF42" s="42"/>
    </row>
    <row r="43" spans="1:32" ht="12.75" customHeight="1">
      <c r="A43" s="215">
        <v>1984</v>
      </c>
      <c r="B43" s="216">
        <f>(Inc!U215+Inc!V215)/Inc!B215</f>
        <v>3.0434782608695653E-2</v>
      </c>
      <c r="C43" s="216">
        <f>TxRt!D221/100</f>
        <v>6.4000000000000001E-2</v>
      </c>
      <c r="D43" s="217"/>
      <c r="E43" s="216">
        <f>(Inc!U55+Inc!V55+Inc!U95+Inc!V95+Inc!U135+Inc!V135+Inc!U175+Inc!V175)/(Inc!B55+Inc!B95+Inc!B135+Inc!B175)</f>
        <v>0.11206896551724138</v>
      </c>
      <c r="F43" s="216">
        <f>(Inc!B55*TxRt!D58+Inc!B95*TxRt!D101+Inc!B135*TxRt!D141+Inc!B175*TxRt!D181)/(Inc!B55+Inc!B95+Inc!B135+Inc!B175)/100</f>
        <v>8.8894935344827578E-2</v>
      </c>
      <c r="G43" s="218"/>
      <c r="H43" s="218"/>
      <c r="J43" s="218"/>
      <c r="K43" s="218"/>
      <c r="L43" s="218"/>
      <c r="M43" s="219"/>
      <c r="N43" s="219"/>
      <c r="O43" s="218"/>
      <c r="P43" s="218"/>
      <c r="Q43" s="218"/>
      <c r="R43" s="218"/>
      <c r="S43" s="218"/>
      <c r="T43" s="218"/>
      <c r="U43" s="218"/>
      <c r="V43" s="218"/>
      <c r="W43" s="220"/>
      <c r="X43" s="220"/>
      <c r="Y43" s="220"/>
      <c r="Z43" s="220"/>
      <c r="AA43" s="220"/>
      <c r="AF43" s="42"/>
    </row>
    <row r="44" spans="1:32" ht="12.75" customHeight="1">
      <c r="A44" s="215">
        <v>1985</v>
      </c>
      <c r="B44" s="216">
        <f>(Inc!U216+Inc!V216)/Inc!B216</f>
        <v>3.011677934849416E-2</v>
      </c>
      <c r="C44" s="216">
        <f>TxRt!D222/100</f>
        <v>6.5000000000000002E-2</v>
      </c>
      <c r="D44" s="217"/>
      <c r="E44" s="216">
        <f>(Inc!U56+Inc!V56+Inc!U96+Inc!V96+Inc!U136+Inc!V136+Inc!U176+Inc!V176)/(Inc!B56+Inc!B96+Inc!B136+Inc!B176)</f>
        <v>0.11511565357719204</v>
      </c>
      <c r="F44" s="216">
        <f>(Inc!B56*TxRt!D59+Inc!B96*TxRt!D102+Inc!B136*TxRt!D142+Inc!B176*TxRt!D182)/(Inc!B56+Inc!B96+Inc!B136+Inc!B176)/100</f>
        <v>9.1830016137708442E-2</v>
      </c>
      <c r="G44" s="218"/>
      <c r="H44" s="218"/>
      <c r="J44" s="218"/>
      <c r="K44" s="218"/>
      <c r="L44" s="218"/>
      <c r="M44" s="219"/>
      <c r="N44" s="219"/>
      <c r="O44" s="218"/>
      <c r="P44" s="218"/>
      <c r="Q44" s="218"/>
      <c r="R44" s="218"/>
      <c r="S44" s="218"/>
      <c r="T44" s="218"/>
      <c r="U44" s="218"/>
      <c r="V44" s="218"/>
      <c r="W44" s="220"/>
      <c r="X44" s="220"/>
      <c r="Y44" s="220"/>
      <c r="Z44" s="220"/>
      <c r="AA44" s="220"/>
      <c r="AF44" s="42"/>
    </row>
    <row r="45" spans="1:32" ht="12.75" customHeight="1">
      <c r="A45" s="215">
        <v>1986</v>
      </c>
      <c r="B45" s="216">
        <f>(Inc!U217+Inc!V217)/Inc!B217</f>
        <v>2.5767543859649123E-2</v>
      </c>
      <c r="C45" s="216">
        <f>TxRt!D223/100</f>
        <v>6.0999999999999999E-2</v>
      </c>
      <c r="D45" s="217"/>
      <c r="E45" s="216">
        <f>(Inc!U57+Inc!V57+Inc!U97+Inc!V97+Inc!U137+Inc!V137+Inc!U177+Inc!V177)/(Inc!B57+Inc!B97+Inc!B137+Inc!B177)</f>
        <v>0.11724500525762356</v>
      </c>
      <c r="F45" s="216">
        <f>(Inc!B57*TxRt!D60+Inc!B97*TxRt!D103+Inc!B137*TxRt!D143+Inc!B177*TxRt!D183)/(Inc!B57+Inc!B97+Inc!B137+Inc!B177)/100</f>
        <v>9.2897476340693994E-2</v>
      </c>
      <c r="G45" s="218"/>
      <c r="H45" s="218"/>
      <c r="J45" s="218"/>
      <c r="K45" s="218"/>
      <c r="L45" s="218"/>
      <c r="M45" s="219"/>
      <c r="N45" s="219"/>
      <c r="O45" s="218"/>
      <c r="P45" s="218"/>
      <c r="Q45" s="218"/>
      <c r="R45" s="218"/>
      <c r="S45" s="218"/>
      <c r="T45" s="218"/>
      <c r="U45" s="218"/>
      <c r="V45" s="218"/>
      <c r="W45" s="221"/>
      <c r="X45" s="220"/>
      <c r="Y45" s="220"/>
      <c r="Z45" s="220"/>
      <c r="AA45" s="220"/>
      <c r="AF45" s="42"/>
    </row>
    <row r="46" spans="1:32" ht="12.75" customHeight="1">
      <c r="A46" s="215">
        <v>1987</v>
      </c>
      <c r="B46" s="216">
        <f>(Inc!U218+Inc!V218)/Inc!B218</f>
        <v>2.4376088218224026E-2</v>
      </c>
      <c r="C46" s="216">
        <f>TxRt!D224/100</f>
        <v>6.7000000000000004E-2</v>
      </c>
      <c r="D46" s="217"/>
      <c r="E46" s="216">
        <f>(Inc!U58+Inc!V58+Inc!U98+Inc!V98+Inc!U138+Inc!V138+Inc!U178+Inc!V178)/(Inc!B58+Inc!B98+Inc!B138+Inc!B178)</f>
        <v>0.11964002117522499</v>
      </c>
      <c r="F46" s="216">
        <f>(Inc!B58*TxRt!D61+Inc!B98*TxRt!D104+Inc!B138*TxRt!D144+Inc!B178*TxRt!D184)/(Inc!B58+Inc!B98+Inc!B138+Inc!B178)/100</f>
        <v>9.2151932239280046E-2</v>
      </c>
      <c r="G46" s="218"/>
      <c r="H46" s="218"/>
      <c r="J46" s="218"/>
      <c r="K46" s="218"/>
      <c r="L46" s="218"/>
      <c r="M46" s="219"/>
      <c r="N46" s="219"/>
      <c r="O46" s="218"/>
      <c r="P46" s="218"/>
      <c r="Q46" s="218"/>
      <c r="R46" s="218"/>
      <c r="S46" s="218"/>
      <c r="T46" s="218"/>
      <c r="U46" s="218"/>
      <c r="V46" s="218"/>
      <c r="W46" s="220"/>
      <c r="X46" s="220"/>
      <c r="Y46" s="220"/>
      <c r="Z46" s="220"/>
      <c r="AA46" s="220"/>
      <c r="AF46" s="42"/>
    </row>
    <row r="47" spans="1:32" ht="12.75" customHeight="1">
      <c r="A47" s="215">
        <v>1988</v>
      </c>
      <c r="B47" s="216">
        <f>(Inc!U219+Inc!V219)/Inc!B219</f>
        <v>2.3861171366594359E-2</v>
      </c>
      <c r="C47" s="216">
        <f>TxRt!D225/100</f>
        <v>6.6000000000000003E-2</v>
      </c>
      <c r="D47" s="217"/>
      <c r="E47" s="216">
        <f>(Inc!U59+Inc!V59+Inc!U99+Inc!V99+Inc!U139+Inc!V139+Inc!U179+Inc!V179)/(Inc!B59+Inc!B99+Inc!B139+Inc!B179)</f>
        <v>0.11801566579634465</v>
      </c>
      <c r="F47" s="216">
        <f>(Inc!B59*TxRt!D62+Inc!B99*TxRt!D105+Inc!B139*TxRt!D145+Inc!B179*TxRt!D185)/(Inc!B59+Inc!B99+Inc!B139+Inc!B179)/100</f>
        <v>9.603707571801566E-2</v>
      </c>
      <c r="G47" s="218"/>
      <c r="H47" s="218"/>
      <c r="J47" s="218"/>
      <c r="K47" s="218"/>
      <c r="L47" s="218"/>
      <c r="M47" s="219"/>
      <c r="N47" s="219"/>
      <c r="O47" s="218"/>
      <c r="P47" s="218"/>
      <c r="Q47" s="218"/>
      <c r="R47" s="218"/>
      <c r="S47" s="218"/>
      <c r="T47" s="218"/>
      <c r="U47" s="218"/>
      <c r="V47" s="218"/>
      <c r="W47" s="220"/>
      <c r="X47" s="220"/>
      <c r="Y47" s="220"/>
      <c r="Z47" s="220"/>
      <c r="AA47" s="220"/>
      <c r="AF47" s="42"/>
    </row>
    <row r="48" spans="1:32" ht="12.75" customHeight="1">
      <c r="A48" s="215">
        <v>1989</v>
      </c>
      <c r="B48" s="216">
        <f>(Inc!U220+Inc!V220)/Inc!B220</f>
        <v>2.5000000000000001E-2</v>
      </c>
      <c r="C48" s="216">
        <f>TxRt!D226/100</f>
        <v>6.6000000000000003E-2</v>
      </c>
      <c r="D48" s="217"/>
      <c r="E48" s="216">
        <f>(Inc!U60+Inc!V60+Inc!U100+Inc!V100+Inc!U140+Inc!V140+Inc!U180+Inc!V180)/(Inc!B60+Inc!B100+Inc!B140+Inc!B180)</f>
        <v>0.11643482740855229</v>
      </c>
      <c r="F48" s="216">
        <f>(Inc!B60*TxRt!D63+Inc!B100*TxRt!D106+Inc!B140*TxRt!D146+Inc!B180*TxRt!D186)/(Inc!B60+Inc!B100+Inc!B140+Inc!B180)/100</f>
        <v>9.5721792890262752E-2</v>
      </c>
      <c r="G48" s="218"/>
      <c r="H48" s="218"/>
      <c r="J48" s="218"/>
      <c r="K48" s="218"/>
      <c r="L48" s="218"/>
      <c r="M48" s="219"/>
      <c r="N48" s="219"/>
      <c r="O48" s="218"/>
      <c r="P48" s="218"/>
      <c r="Q48" s="218"/>
      <c r="R48" s="218"/>
      <c r="S48" s="218"/>
      <c r="T48" s="218"/>
      <c r="U48" s="218"/>
      <c r="V48" s="218"/>
      <c r="W48" s="220"/>
      <c r="X48" s="220"/>
      <c r="Y48" s="220"/>
      <c r="Z48" s="220"/>
      <c r="AA48" s="220"/>
      <c r="AF48" s="42"/>
    </row>
    <row r="49" spans="1:32" ht="12.75" customHeight="1">
      <c r="A49" s="215">
        <v>1990</v>
      </c>
      <c r="B49" s="216">
        <f>(Inc!U221+Inc!V221)/Inc!B221</f>
        <v>2.6740947075208913E-2</v>
      </c>
      <c r="C49" s="216">
        <f>TxRt!D227/100</f>
        <v>6.9000000000000006E-2</v>
      </c>
      <c r="D49" s="217"/>
      <c r="E49" s="216">
        <f>(Inc!U61+Inc!V61+Inc!U101+Inc!V101+Inc!U141+Inc!V141+Inc!U181+Inc!V181)/(Inc!B61+Inc!B101+Inc!B141+Inc!B181)</f>
        <v>0.12020460358056266</v>
      </c>
      <c r="F49" s="216">
        <f>(Inc!B61*TxRt!D64+Inc!B101*TxRt!D107+Inc!B141*TxRt!D147+Inc!B181*TxRt!D187)/(Inc!B61+Inc!B101+Inc!B141+Inc!B181)/100</f>
        <v>9.718516624040921E-2</v>
      </c>
      <c r="G49" s="218"/>
      <c r="H49" s="218"/>
      <c r="J49" s="218"/>
      <c r="K49" s="218"/>
      <c r="L49" s="218"/>
      <c r="M49" s="219"/>
      <c r="N49" s="219"/>
      <c r="O49" s="218"/>
      <c r="P49" s="218"/>
      <c r="Q49" s="218"/>
      <c r="R49" s="218"/>
      <c r="S49" s="218"/>
      <c r="T49" s="218"/>
      <c r="U49" s="218"/>
      <c r="V49" s="218"/>
      <c r="W49" s="220"/>
      <c r="X49" s="220"/>
      <c r="Y49" s="220"/>
      <c r="Z49" s="220"/>
      <c r="AA49" s="220"/>
      <c r="AF49" s="42"/>
    </row>
    <row r="50" spans="1:32" ht="12.75" customHeight="1">
      <c r="A50" s="215">
        <v>1991</v>
      </c>
      <c r="B50" s="216">
        <f>(Inc!U222+Inc!V222)/Inc!B222</f>
        <v>2.8225806451612902E-2</v>
      </c>
      <c r="C50" s="216">
        <f>TxRt!D228/100</f>
        <v>7.400000000000001E-2</v>
      </c>
      <c r="D50" s="217"/>
      <c r="E50" s="216">
        <f>(Inc!U62+Inc!V62+Inc!U102+Inc!V102+Inc!U142+Inc!V142+Inc!U182+Inc!V182)/(Inc!B62+Inc!B102+Inc!B142+Inc!B182)</f>
        <v>0.12603734439834025</v>
      </c>
      <c r="F50" s="216">
        <f>(Inc!B62*TxRt!D65+Inc!B102*TxRt!D108+Inc!B142*TxRt!D148+Inc!B182*TxRt!D188)/(Inc!B62+Inc!B102+Inc!B142+Inc!B182)/100</f>
        <v>9.6362551867219912E-2</v>
      </c>
      <c r="G50" s="218"/>
      <c r="H50" s="218"/>
      <c r="J50" s="218"/>
      <c r="K50" s="218"/>
      <c r="L50" s="218"/>
      <c r="M50" s="219"/>
      <c r="N50" s="219"/>
      <c r="O50" s="218"/>
      <c r="P50" s="218"/>
      <c r="Q50" s="218"/>
      <c r="R50" s="218"/>
      <c r="S50" s="218"/>
      <c r="T50" s="218"/>
      <c r="U50" s="218"/>
      <c r="V50" s="218"/>
      <c r="W50" s="220"/>
      <c r="X50" s="220"/>
      <c r="Y50" s="220"/>
      <c r="Z50" s="220"/>
      <c r="AA50" s="220"/>
      <c r="AF50" s="42"/>
    </row>
    <row r="51" spans="1:32" ht="12.75" customHeight="1">
      <c r="A51" s="215">
        <v>1992</v>
      </c>
      <c r="B51" s="216">
        <f>(Inc!U223+Inc!V223)/Inc!B223</f>
        <v>2.7639579878385848E-2</v>
      </c>
      <c r="C51" s="216">
        <f>TxRt!D229/100</f>
        <v>7.2000000000000008E-2</v>
      </c>
      <c r="D51" s="217"/>
      <c r="E51" s="216">
        <f>(Inc!U63+Inc!V63+Inc!U103+Inc!V103+Inc!U143+Inc!V143+Inc!U183+Inc!V183)/(Inc!B63+Inc!B103+Inc!B143+Inc!B183)</f>
        <v>0.13009808982963345</v>
      </c>
      <c r="F51" s="216">
        <f>(Inc!B63*TxRt!D66+Inc!B103*TxRt!D109+Inc!B143*TxRt!D149+Inc!B183*TxRt!D189)/(Inc!B63+Inc!B103+Inc!B143+Inc!B183)/100</f>
        <v>9.5741868869385641E-2</v>
      </c>
      <c r="G51" s="218"/>
      <c r="H51" s="218"/>
      <c r="J51" s="218"/>
      <c r="K51" s="218"/>
      <c r="L51" s="218"/>
      <c r="M51" s="219"/>
      <c r="N51" s="219"/>
      <c r="O51" s="218"/>
      <c r="P51" s="218"/>
      <c r="Q51" s="218"/>
      <c r="R51" s="218"/>
      <c r="S51" s="218"/>
      <c r="T51" s="218"/>
      <c r="U51" s="218"/>
      <c r="V51" s="218"/>
      <c r="W51" s="220"/>
      <c r="X51" s="220"/>
      <c r="Y51" s="220"/>
      <c r="Z51" s="220"/>
      <c r="AA51" s="220"/>
      <c r="AF51" s="42"/>
    </row>
    <row r="52" spans="1:32" ht="12.75" customHeight="1">
      <c r="A52" s="215">
        <v>1993</v>
      </c>
      <c r="B52" s="216">
        <f>(Inc!U224+Inc!V224)/Inc!B224</f>
        <v>3.0369961347321922E-2</v>
      </c>
      <c r="C52" s="216">
        <f>TxRt!D230/100</f>
        <v>7.2999999999999995E-2</v>
      </c>
      <c r="D52" s="217"/>
      <c r="E52" s="216">
        <f>(Inc!U64+Inc!V64+Inc!U104+Inc!V104+Inc!U144+Inc!V144+Inc!U184+Inc!V184)/(Inc!B64+Inc!B104+Inc!B144+Inc!B184)</f>
        <v>0.13302516692347202</v>
      </c>
      <c r="F52" s="216">
        <f>(Inc!B64*TxRt!D67+Inc!B104*TxRt!D110+Inc!B144*TxRt!D150+Inc!B184*TxRt!D190)/(Inc!B64+Inc!B104+Inc!B144+Inc!B184)/100</f>
        <v>9.5459681561376464E-2</v>
      </c>
      <c r="G52" s="218"/>
      <c r="H52" s="218"/>
      <c r="J52" s="218"/>
      <c r="K52" s="218"/>
      <c r="L52" s="218"/>
      <c r="M52" s="219"/>
      <c r="N52" s="219"/>
      <c r="O52" s="218"/>
      <c r="P52" s="218"/>
      <c r="Q52" s="218"/>
      <c r="R52" s="218"/>
      <c r="S52" s="218"/>
      <c r="T52" s="218"/>
      <c r="U52" s="218"/>
      <c r="V52" s="218"/>
      <c r="W52" s="220"/>
      <c r="X52" s="220"/>
      <c r="Y52" s="220"/>
      <c r="Z52" s="220"/>
      <c r="AA52" s="220"/>
      <c r="AF52" s="42"/>
    </row>
    <row r="53" spans="1:32" ht="12.75" customHeight="1">
      <c r="A53" s="215">
        <v>1994</v>
      </c>
      <c r="B53" s="216">
        <f>(Inc!U225+Inc!V225)/Inc!B225</f>
        <v>3.1283710895361382E-2</v>
      </c>
      <c r="C53" s="216">
        <f>TxRt!D231/100</f>
        <v>7.4999999999999997E-2</v>
      </c>
      <c r="D53" s="217"/>
      <c r="E53" s="216">
        <f>(Inc!U65+Inc!V65+Inc!U105+Inc!V105+Inc!U145+Inc!V145+Inc!U185+Inc!V185)/(Inc!B65+Inc!B105+Inc!B145+Inc!B185)</f>
        <v>0.13302752293577982</v>
      </c>
      <c r="F53" s="216">
        <f>(Inc!B65*TxRt!D68+Inc!B105*TxRt!D111+Inc!B145*TxRt!D151+Inc!B185*TxRt!D191)/(Inc!B65+Inc!B105+Inc!B145+Inc!B185)/100</f>
        <v>9.5829255861365953E-2</v>
      </c>
      <c r="G53" s="218"/>
      <c r="H53" s="218"/>
      <c r="J53" s="218"/>
      <c r="K53" s="218"/>
      <c r="L53" s="218"/>
      <c r="M53" s="219"/>
      <c r="N53" s="219"/>
      <c r="O53" s="218"/>
      <c r="P53" s="218"/>
      <c r="Q53" s="218"/>
      <c r="R53" s="218"/>
      <c r="S53" s="218"/>
      <c r="T53" s="218"/>
      <c r="U53" s="218"/>
      <c r="V53" s="218"/>
      <c r="W53" s="220"/>
      <c r="X53" s="220"/>
      <c r="Y53" s="220"/>
      <c r="Z53" s="220"/>
      <c r="AA53" s="220"/>
      <c r="AF53" s="42"/>
    </row>
    <row r="54" spans="1:32" ht="12.75" customHeight="1">
      <c r="A54" s="215">
        <v>1995</v>
      </c>
      <c r="B54" s="216">
        <f>(Inc!U226+Inc!V226)/Inc!B226</f>
        <v>3.0895983522142123E-2</v>
      </c>
      <c r="C54" s="216">
        <f>TxRt!D232/100</f>
        <v>7.2999999999999995E-2</v>
      </c>
      <c r="D54" s="217"/>
      <c r="E54" s="216">
        <f>(Inc!U66+Inc!V66+Inc!U106+Inc!V106+Inc!U146+Inc!V146+Inc!U186+Inc!V186)/(Inc!B66+Inc!B106+Inc!B146+Inc!B186)</f>
        <v>0.13385826771653545</v>
      </c>
      <c r="F54" s="216">
        <f>(Inc!B66*TxRt!D69+Inc!B106*TxRt!D112+Inc!B146*TxRt!D152+Inc!B186*TxRt!D192)/(Inc!B66+Inc!B106+Inc!B146+Inc!B186)/100</f>
        <v>9.6294783464566935E-2</v>
      </c>
      <c r="G54" s="218"/>
      <c r="H54" s="218"/>
      <c r="J54" s="218"/>
      <c r="K54" s="218"/>
      <c r="L54" s="218"/>
      <c r="M54" s="219"/>
      <c r="N54" s="219"/>
      <c r="O54" s="218"/>
      <c r="P54" s="218"/>
      <c r="Q54" s="218"/>
      <c r="R54" s="218"/>
      <c r="S54" s="218"/>
      <c r="T54" s="218"/>
      <c r="U54" s="218"/>
      <c r="V54" s="218"/>
      <c r="W54" s="220"/>
      <c r="X54" s="220"/>
      <c r="Y54" s="220"/>
      <c r="Z54" s="220"/>
      <c r="AA54" s="220"/>
      <c r="AF54" s="42"/>
    </row>
    <row r="55" spans="1:32" ht="12.75" customHeight="1">
      <c r="A55" s="215">
        <v>1996</v>
      </c>
      <c r="B55" s="216">
        <f>(Inc!U227+Inc!V227)/Inc!B227</f>
        <v>3.2132424537487832E-2</v>
      </c>
      <c r="C55" s="216">
        <f>TxRt!D233/100</f>
        <v>6.9000000000000006E-2</v>
      </c>
      <c r="D55" s="217"/>
      <c r="E55" s="216">
        <f>(Inc!U67+Inc!V67+Inc!U107+Inc!V107+Inc!U147+Inc!V147+Inc!U187+Inc!V187)/(Inc!B67+Inc!B107+Inc!B147+Inc!B187)</f>
        <v>0.1330743079164643</v>
      </c>
      <c r="F55" s="216">
        <f>(Inc!B67*TxRt!D70+Inc!B107*TxRt!D113+Inc!B147*TxRt!D153+Inc!B187*TxRt!D193)/(Inc!B67+Inc!B107+Inc!B147+Inc!B187)/100</f>
        <v>9.6440019426906276E-2</v>
      </c>
      <c r="G55" s="218"/>
      <c r="H55" s="218"/>
      <c r="J55" s="218"/>
      <c r="K55" s="218"/>
      <c r="L55" s="218"/>
      <c r="M55" s="219"/>
      <c r="N55" s="219"/>
      <c r="O55" s="218"/>
      <c r="P55" s="218"/>
      <c r="Q55" s="218"/>
      <c r="R55" s="218"/>
      <c r="S55" s="218"/>
      <c r="T55" s="218"/>
      <c r="U55" s="218"/>
      <c r="V55" s="218"/>
      <c r="W55" s="220"/>
      <c r="X55" s="220"/>
      <c r="Y55" s="220"/>
      <c r="Z55" s="220"/>
      <c r="AA55" s="220"/>
      <c r="AF55" s="42"/>
    </row>
    <row r="56" spans="1:32" ht="12.75" customHeight="1">
      <c r="A56" s="215">
        <v>1997</v>
      </c>
      <c r="B56" s="216">
        <f>(Inc!U228+Inc!V228)/Inc!B228</f>
        <v>3.0705774518790099E-2</v>
      </c>
      <c r="C56" s="216">
        <f>TxRt!D234/100</f>
        <v>6.7000000000000004E-2</v>
      </c>
      <c r="D56" s="217"/>
      <c r="E56" s="216">
        <f>(Inc!U68+Inc!V68+Inc!U108+Inc!V108+Inc!U148+Inc!V148+Inc!U188+Inc!V188)/(Inc!B68+Inc!B108+Inc!B148+Inc!B188)</f>
        <v>0.13137996219281664</v>
      </c>
      <c r="F56" s="216">
        <f>(Inc!B68*TxRt!D71+Inc!B108*TxRt!D114+Inc!B148*TxRt!D154+Inc!B188*TxRt!D194)/(Inc!B68+Inc!B108+Inc!B148+Inc!B188)/100</f>
        <v>9.7204158790170136E-2</v>
      </c>
      <c r="G56" s="218"/>
      <c r="H56" s="218"/>
      <c r="J56" s="218"/>
      <c r="K56" s="218"/>
      <c r="L56" s="218"/>
      <c r="M56" s="219"/>
      <c r="N56" s="219"/>
      <c r="O56" s="218"/>
      <c r="P56" s="218"/>
      <c r="Q56" s="218"/>
      <c r="R56" s="218"/>
      <c r="S56" s="218"/>
      <c r="T56" s="218"/>
      <c r="U56" s="218"/>
      <c r="V56" s="218"/>
      <c r="W56" s="220"/>
      <c r="X56" s="220"/>
      <c r="Y56" s="220"/>
      <c r="Z56" s="220"/>
      <c r="AA56" s="220"/>
      <c r="AF56" s="42"/>
    </row>
    <row r="57" spans="1:32" ht="12.75" customHeight="1">
      <c r="A57" s="215">
        <v>1998</v>
      </c>
      <c r="B57" s="216">
        <f>(Inc!U229+Inc!V229)/Inc!B229</f>
        <v>2.8326180257510731E-2</v>
      </c>
      <c r="C57" s="216">
        <f>TxRt!D235/100</f>
        <v>6.6000000000000003E-2</v>
      </c>
      <c r="D57" s="217"/>
      <c r="E57" s="216">
        <f>(Inc!U69+Inc!V69+Inc!U109+Inc!V109+Inc!U149+Inc!V149+Inc!U189+Inc!V189)/(Inc!B69+Inc!B109+Inc!B149+Inc!B189)</f>
        <v>0.12704174228675136</v>
      </c>
      <c r="F57" s="216">
        <f>(Inc!B69*TxRt!D72+Inc!B109*TxRt!D115+Inc!B149*TxRt!D155+Inc!B189*TxRt!D195)/(Inc!B69+Inc!B109+Inc!B149+Inc!B189)/100</f>
        <v>9.7593920145190569E-2</v>
      </c>
      <c r="G57" s="218"/>
      <c r="H57" s="218"/>
      <c r="J57" s="218"/>
      <c r="K57" s="218"/>
      <c r="L57" s="218"/>
      <c r="M57" s="219"/>
      <c r="N57" s="219"/>
      <c r="O57" s="218"/>
      <c r="P57" s="218"/>
      <c r="Q57" s="218"/>
      <c r="R57" s="218"/>
      <c r="S57" s="218"/>
      <c r="T57" s="218"/>
      <c r="U57" s="218"/>
      <c r="V57" s="218"/>
      <c r="W57" s="220"/>
      <c r="X57" s="220"/>
      <c r="Y57" s="220"/>
      <c r="Z57" s="220"/>
      <c r="AA57" s="220"/>
      <c r="AF57" s="42"/>
    </row>
    <row r="58" spans="1:32" ht="12.75" customHeight="1">
      <c r="A58" s="215">
        <v>1999</v>
      </c>
      <c r="B58" s="216">
        <f>(Inc!U230+Inc!V230)/Inc!B230</f>
        <v>2.4174053182917002E-2</v>
      </c>
      <c r="C58" s="216">
        <f>TxRt!D236/100</f>
        <v>6.5000000000000002E-2</v>
      </c>
      <c r="D58" s="217"/>
      <c r="E58" s="216">
        <f>(Inc!U70+Inc!V70+Inc!U110+Inc!V110+Inc!U150+Inc!V150+Inc!U190+Inc!V190)/(Inc!B70+Inc!B110+Inc!B150+Inc!B190)</f>
        <v>0.1211453744493392</v>
      </c>
      <c r="F58" s="216">
        <f>(Inc!B70*TxRt!D73+Inc!B110*TxRt!D116+Inc!B150*TxRt!D156+Inc!B190*TxRt!D196)/(Inc!B70+Inc!B110+Inc!B150+Inc!B190)/100</f>
        <v>9.7810572687224664E-2</v>
      </c>
      <c r="G58" s="218"/>
      <c r="H58" s="218"/>
      <c r="J58" s="218"/>
      <c r="K58" s="218"/>
      <c r="L58" s="218"/>
      <c r="M58" s="219"/>
      <c r="N58" s="219"/>
      <c r="O58" s="218"/>
      <c r="P58" s="218"/>
      <c r="Q58" s="218"/>
      <c r="R58" s="218"/>
      <c r="S58" s="218"/>
      <c r="T58" s="218"/>
      <c r="U58" s="218"/>
      <c r="V58" s="218"/>
      <c r="W58" s="220"/>
      <c r="X58" s="220"/>
      <c r="Y58" s="220"/>
      <c r="Z58" s="220"/>
      <c r="AA58" s="220"/>
      <c r="AF58" s="42"/>
    </row>
    <row r="59" spans="1:32" ht="12.75" customHeight="1">
      <c r="A59" s="215">
        <v>2000</v>
      </c>
      <c r="B59" s="216">
        <f>(Inc!U231+Inc!V231)/Inc!B231</f>
        <v>2.4971187091817133E-2</v>
      </c>
      <c r="C59" s="216">
        <f>TxRt!D237/100</f>
        <v>6.3E-2</v>
      </c>
      <c r="D59" s="217"/>
      <c r="E59" s="216">
        <f>(Inc!U71+Inc!V71+Inc!U111+Inc!V111+Inc!U151+Inc!V151+Inc!U191+Inc!V191)/(Inc!B71+Inc!B111+Inc!B151+Inc!B191)</f>
        <v>0.12096069868995633</v>
      </c>
      <c r="F59" s="216">
        <f>(Inc!B71*TxRt!D74+Inc!B111*TxRt!D117+Inc!B151*TxRt!D157+Inc!B191*TxRt!D197)/(Inc!B71+Inc!B111+Inc!B151+Inc!B191)/100</f>
        <v>9.7437117903930129E-2</v>
      </c>
      <c r="G59" s="218"/>
      <c r="H59" s="218"/>
      <c r="J59" s="218"/>
      <c r="K59" s="218"/>
      <c r="L59" s="218"/>
      <c r="M59" s="219"/>
      <c r="N59" s="219"/>
      <c r="O59" s="218"/>
      <c r="P59" s="218"/>
      <c r="Q59" s="218"/>
      <c r="R59" s="218"/>
      <c r="S59" s="218"/>
      <c r="T59" s="218"/>
      <c r="U59" s="218"/>
      <c r="V59" s="218"/>
      <c r="W59" s="220"/>
      <c r="X59" s="220"/>
      <c r="Y59" s="220"/>
      <c r="Z59" s="220"/>
      <c r="AA59" s="220"/>
      <c r="AF59" s="42"/>
    </row>
    <row r="60" spans="1:32" ht="12.75" customHeight="1">
      <c r="A60" s="215">
        <v>2001</v>
      </c>
      <c r="B60" s="216">
        <f>(Inc!U232+Inc!V232)/Inc!B232</f>
        <v>2.6116259477674809E-2</v>
      </c>
      <c r="C60" s="216">
        <f>TxRt!D238/100</f>
        <v>7.2000000000000008E-2</v>
      </c>
      <c r="D60" s="217"/>
      <c r="E60" s="216">
        <f>(Inc!U72+Inc!V72+Inc!U112+Inc!V112+Inc!U152+Inc!V152+Inc!U192+Inc!V192)/(Inc!B72+Inc!B112+Inc!B152+Inc!B192)</f>
        <v>0.13018534863195058</v>
      </c>
      <c r="F60" s="216">
        <f>(Inc!B72*TxRt!D75+Inc!B112*TxRt!D118+Inc!B152*TxRt!D158+Inc!B192*TxRt!D198)/(Inc!B72+Inc!B112+Inc!B152+Inc!B192)/100</f>
        <v>9.776390114739629E-2</v>
      </c>
      <c r="G60" s="218"/>
      <c r="H60" s="218"/>
      <c r="J60" s="218"/>
      <c r="K60" s="218"/>
      <c r="L60" s="218"/>
      <c r="M60" s="219"/>
      <c r="N60" s="219"/>
      <c r="O60" s="218"/>
      <c r="P60" s="218"/>
      <c r="Q60" s="218"/>
      <c r="R60" s="218"/>
      <c r="S60" s="218"/>
      <c r="T60" s="218"/>
      <c r="U60" s="218"/>
      <c r="V60" s="218"/>
      <c r="W60" s="220"/>
      <c r="X60" s="220"/>
      <c r="Y60" s="220"/>
      <c r="Z60" s="220"/>
      <c r="AA60" s="220"/>
      <c r="AF60" s="42"/>
    </row>
    <row r="61" spans="1:32" ht="12.75" customHeight="1">
      <c r="A61" s="215">
        <v>2002</v>
      </c>
      <c r="B61" s="216">
        <f>(Inc!U233+Inc!V233)/Inc!B233</f>
        <v>2.7457927369353409E-2</v>
      </c>
      <c r="C61" s="216">
        <f>TxRt!D239/100</f>
        <v>7.400000000000001E-2</v>
      </c>
      <c r="D61" s="217"/>
      <c r="E61" s="216">
        <f>(Inc!U73+Inc!V73+Inc!U113+Inc!V113+Inc!U153+Inc!V153+Inc!U193+Inc!V193)/(Inc!B73+Inc!B113+Inc!B153+Inc!B193)</f>
        <v>0.13591359135913592</v>
      </c>
      <c r="F61" s="216">
        <f>(Inc!B73*TxRt!D76+Inc!B113*TxRt!D119+Inc!B153*TxRt!D159+Inc!B193*TxRt!D199)/(Inc!B73+Inc!B113+Inc!B153+Inc!B193)/100</f>
        <v>9.5511251125112509E-2</v>
      </c>
      <c r="G61" s="218"/>
      <c r="H61" s="218"/>
      <c r="J61" s="218"/>
      <c r="K61" s="218"/>
      <c r="L61" s="218"/>
      <c r="M61" s="219"/>
      <c r="N61" s="219"/>
      <c r="O61" s="218"/>
      <c r="P61" s="218"/>
      <c r="Q61" s="218"/>
      <c r="R61" s="218"/>
      <c r="S61" s="218"/>
      <c r="T61" s="218"/>
      <c r="U61" s="218"/>
      <c r="V61" s="218"/>
      <c r="W61" s="220"/>
      <c r="X61" s="220"/>
      <c r="Y61" s="220"/>
      <c r="Z61" s="220"/>
      <c r="AA61" s="220"/>
      <c r="AF61" s="42"/>
    </row>
    <row r="62" spans="1:32" ht="12.75" customHeight="1">
      <c r="A62" s="215">
        <v>2003</v>
      </c>
      <c r="B62" s="216">
        <f>(Inc!U234+Inc!V234)/Inc!B234</f>
        <v>2.6969178082191781E-2</v>
      </c>
      <c r="C62" s="216">
        <f>TxRt!D240/100</f>
        <v>7.2999999999999995E-2</v>
      </c>
      <c r="D62" s="217"/>
      <c r="E62" s="216">
        <f>(Inc!U74+Inc!V74+Inc!U114+Inc!V114+Inc!U154+Inc!V154+Inc!U194+Inc!V194)/(Inc!B74+Inc!B114+Inc!B154+Inc!B194)</f>
        <v>0.13785361472833407</v>
      </c>
      <c r="F62" s="216">
        <f>(Inc!B74*TxRt!D77+Inc!B114*TxRt!D120+Inc!B154*TxRt!D160+Inc!B194*TxRt!D200)/(Inc!B74+Inc!B114+Inc!B154+Inc!B194)/100</f>
        <v>9.4686573866187687E-2</v>
      </c>
      <c r="G62" s="218"/>
      <c r="H62" s="218"/>
      <c r="J62" s="218"/>
      <c r="K62" s="218"/>
      <c r="L62" s="218"/>
      <c r="M62" s="219"/>
      <c r="N62" s="219"/>
      <c r="O62" s="218"/>
      <c r="P62" s="218"/>
      <c r="Q62" s="218"/>
      <c r="R62" s="218"/>
      <c r="S62" s="218"/>
      <c r="T62" s="218"/>
      <c r="U62" s="218"/>
      <c r="V62" s="218"/>
      <c r="W62" s="220"/>
      <c r="X62" s="220"/>
      <c r="Y62" s="220"/>
      <c r="Z62" s="220"/>
      <c r="AA62" s="220"/>
      <c r="AF62" s="42"/>
    </row>
    <row r="63" spans="1:32" ht="12.75" customHeight="1">
      <c r="A63" s="215">
        <v>2004</v>
      </c>
      <c r="B63" s="216">
        <f>(Inc!U235+Inc!V235)/Inc!B235</f>
        <v>2.5974025974025976E-2</v>
      </c>
      <c r="C63" s="216">
        <f>TxRt!D241/100</f>
        <v>6.7000000000000004E-2</v>
      </c>
      <c r="D63" s="217"/>
      <c r="E63" s="216">
        <f>(Inc!U75+Inc!V75+Inc!U115+Inc!V115+Inc!U155+Inc!V155+Inc!U195+Inc!V195)/(Inc!B75+Inc!B115+Inc!B155+Inc!B195)</f>
        <v>0.13699825479930192</v>
      </c>
      <c r="F63" s="216">
        <f>(Inc!B75*TxRt!D78+Inc!B115*TxRt!D121+Inc!B155*TxRt!D161+Inc!B195*TxRt!D201)/(Inc!B75+Inc!B115+Inc!B155+Inc!B195)/100</f>
        <v>9.3890924956369984E-2</v>
      </c>
      <c r="G63" s="218"/>
      <c r="H63" s="218"/>
      <c r="J63" s="218"/>
      <c r="K63" s="218"/>
      <c r="L63" s="218"/>
      <c r="M63" s="219"/>
      <c r="N63" s="219"/>
      <c r="O63" s="218"/>
      <c r="P63" s="218"/>
      <c r="Q63" s="218"/>
      <c r="R63" s="218"/>
      <c r="S63" s="218"/>
      <c r="T63" s="218"/>
      <c r="U63" s="218"/>
      <c r="V63" s="218"/>
      <c r="W63" s="220"/>
      <c r="X63" s="220"/>
      <c r="Y63" s="220"/>
      <c r="Z63" s="220"/>
      <c r="AA63" s="220"/>
      <c r="AF63" s="42"/>
    </row>
    <row r="64" spans="1:32" ht="12.75" customHeight="1">
      <c r="A64" s="215">
        <v>2005</v>
      </c>
      <c r="B64" s="216">
        <f>(Inc!U236+Inc!V236)/Inc!B236</f>
        <v>2.5761973875181421E-2</v>
      </c>
      <c r="C64" s="216">
        <f>TxRt!D242/100</f>
        <v>6.2E-2</v>
      </c>
      <c r="D64" s="217"/>
      <c r="E64" s="216">
        <f>(Inc!U76+Inc!V76+Inc!U116+Inc!V116+Inc!U156+Inc!V156+Inc!U196+Inc!V196)/(Inc!B76+Inc!B116+Inc!B156+Inc!B196)</f>
        <v>0.13605150214592274</v>
      </c>
      <c r="F64" s="216">
        <f>(Inc!B76*TxRt!D79+Inc!B116*TxRt!D122+Inc!B156*TxRt!D162+Inc!B196*TxRt!D202)/(Inc!B76+Inc!B116+Inc!B156+Inc!B196)/100</f>
        <v>9.3730042918454937E-2</v>
      </c>
      <c r="G64" s="218"/>
      <c r="H64" s="218"/>
      <c r="J64" s="218"/>
      <c r="K64" s="218"/>
      <c r="L64" s="218"/>
      <c r="M64" s="219"/>
      <c r="N64" s="219"/>
      <c r="O64" s="218"/>
      <c r="P64" s="218"/>
      <c r="Q64" s="218"/>
      <c r="R64" s="218"/>
      <c r="S64" s="218"/>
      <c r="T64" s="218"/>
      <c r="U64" s="218"/>
      <c r="V64" s="218"/>
      <c r="W64" s="220"/>
      <c r="X64" s="220"/>
      <c r="Y64" s="220"/>
      <c r="Z64" s="220"/>
      <c r="AA64" s="220"/>
      <c r="AF64" s="42"/>
    </row>
    <row r="65" spans="1:32" ht="12.75" customHeight="1">
      <c r="A65" s="215">
        <v>2006</v>
      </c>
      <c r="B65" s="216">
        <f>(Inc!U237+Inc!V237)/Inc!B237</f>
        <v>2.7478260869565216E-2</v>
      </c>
      <c r="C65" s="216">
        <f>TxRt!D243/100</f>
        <v>0.06</v>
      </c>
      <c r="D65" s="217"/>
      <c r="E65" s="216">
        <f>(Inc!U77+Inc!V77+Inc!U117+Inc!V117+Inc!U157+Inc!V157+Inc!U197+Inc!V197)/(Inc!B77+Inc!B117+Inc!B157+Inc!B197)</f>
        <v>0.13883045856121162</v>
      </c>
      <c r="F65" s="216">
        <f>(Inc!B77*TxRt!D80+Inc!B117*TxRt!D123+Inc!B157*TxRt!D163+Inc!B197*TxRt!D203)/(Inc!B77+Inc!B117+Inc!B157+Inc!B197)/100</f>
        <v>9.325410180900294E-2</v>
      </c>
      <c r="G65" s="218"/>
      <c r="H65" s="218"/>
      <c r="J65" s="218"/>
      <c r="K65" s="218"/>
      <c r="L65" s="218"/>
      <c r="M65" s="219"/>
      <c r="N65" s="219"/>
      <c r="O65" s="218"/>
      <c r="P65" s="218"/>
      <c r="Q65" s="218"/>
      <c r="R65" s="218"/>
      <c r="S65" s="218"/>
      <c r="T65" s="218"/>
      <c r="U65" s="218"/>
      <c r="V65" s="218"/>
      <c r="W65" s="220"/>
      <c r="X65" s="220"/>
      <c r="Y65" s="220"/>
      <c r="Z65" s="220"/>
      <c r="AA65" s="220"/>
      <c r="AF65" s="42"/>
    </row>
    <row r="66" spans="1:32" ht="12.75" customHeight="1">
      <c r="A66" s="215">
        <v>2007</v>
      </c>
      <c r="B66" s="216">
        <f>(Inc!U238+Inc!V238)/Inc!B238</f>
        <v>2.8466175485599463E-2</v>
      </c>
      <c r="C66" s="216">
        <f>TxRt!D244/100</f>
        <v>5.7999999999999996E-2</v>
      </c>
      <c r="D66" s="217"/>
      <c r="E66" s="216">
        <f>(Inc!U78+Inc!V78+Inc!U118+Inc!V118+Inc!U158+Inc!V158+Inc!U198+Inc!V198)/(Inc!B78+Inc!B118+Inc!B158+Inc!B198)</f>
        <v>0.13595779220779219</v>
      </c>
      <c r="F66" s="216">
        <f>(Inc!B78*TxRt!D81+Inc!B118*TxRt!D124+Inc!B158*TxRt!D164+Inc!B198*TxRt!D204)/(Inc!B78+Inc!B118+Inc!B158+Inc!B198)/100</f>
        <v>9.4178571428571431E-2</v>
      </c>
      <c r="G66" s="218"/>
      <c r="H66" s="218"/>
      <c r="J66" s="218"/>
      <c r="K66" s="218"/>
      <c r="L66" s="218"/>
      <c r="M66" s="219"/>
      <c r="N66" s="219"/>
      <c r="O66" s="218"/>
      <c r="P66" s="218"/>
      <c r="Q66" s="218"/>
      <c r="R66" s="218"/>
      <c r="S66" s="218"/>
      <c r="T66" s="218"/>
      <c r="U66" s="218"/>
      <c r="V66" s="218"/>
      <c r="W66" s="220"/>
      <c r="X66" s="220"/>
      <c r="Y66" s="220"/>
      <c r="Z66" s="220"/>
      <c r="AA66" s="220"/>
      <c r="AF66" s="42"/>
    </row>
    <row r="67" spans="1:32" ht="12.75" customHeight="1">
      <c r="A67" s="215">
        <v>2008</v>
      </c>
      <c r="B67" s="216">
        <f>(Inc!U239+Inc!V239)/Inc!B239</f>
        <v>2.9933481152993349E-2</v>
      </c>
      <c r="C67" s="216">
        <f>TxRt!D245/100</f>
        <v>6.6000000000000003E-2</v>
      </c>
      <c r="D67" s="217"/>
      <c r="E67" s="216">
        <f>(Inc!U79+Inc!V79+Inc!U119+Inc!V119+Inc!U159+Inc!V159+Inc!U199+Inc!V199)/(Inc!B79+Inc!B119+Inc!B159+Inc!B199)</f>
        <v>0.14572025052192067</v>
      </c>
      <c r="F67" s="216">
        <f>(Inc!B79*TxRt!D82+Inc!B119*TxRt!D125+Inc!B159*TxRt!D165+Inc!B199*TxRt!D205)/(Inc!B79+Inc!B119+Inc!B159+Inc!B199)/100</f>
        <v>9.3531524008350728E-2</v>
      </c>
      <c r="G67" s="218"/>
      <c r="H67" s="218"/>
      <c r="J67" s="218"/>
      <c r="K67" s="218"/>
      <c r="L67" s="218"/>
      <c r="M67" s="219"/>
      <c r="N67" s="219"/>
      <c r="O67" s="218"/>
      <c r="P67" s="218"/>
      <c r="Q67" s="218"/>
      <c r="R67" s="218"/>
      <c r="S67" s="218"/>
      <c r="T67" s="218"/>
      <c r="U67" s="218"/>
      <c r="V67" s="218"/>
      <c r="W67" s="220"/>
      <c r="X67" s="220"/>
      <c r="Y67" s="220"/>
      <c r="Z67" s="220"/>
      <c r="AA67" s="220"/>
      <c r="AF67" s="42"/>
    </row>
    <row r="68" spans="1:32" ht="12.75" customHeight="1">
      <c r="A68" s="215">
        <v>2009</v>
      </c>
      <c r="B68" s="216">
        <f>(Inc!U240+Inc!V240)/Inc!B240</f>
        <v>3.7535699714402286E-2</v>
      </c>
      <c r="C68" s="216">
        <f>TxRt!D246/100</f>
        <v>7.2000000000000008E-2</v>
      </c>
      <c r="D68" s="217"/>
      <c r="E68" s="216">
        <f>(Inc!U80+Inc!V80+Inc!U120+Inc!V120+Inc!U160+Inc!V160+Inc!U200+Inc!V200)/(Inc!B80+Inc!B120+Inc!B160+Inc!B200)</f>
        <v>0.15987998285469351</v>
      </c>
      <c r="F68" s="216">
        <f>(Inc!B80*TxRt!D83+Inc!B120*TxRt!D126+Inc!B160*TxRt!D166+Inc!B200*TxRt!D206)/(Inc!B80+Inc!B120+Inc!B160+Inc!B200)/100</f>
        <v>9.0607372481783119E-2</v>
      </c>
      <c r="G68" s="218"/>
      <c r="H68" s="218"/>
      <c r="J68" s="218"/>
      <c r="K68" s="218"/>
      <c r="L68" s="218"/>
      <c r="M68" s="219"/>
      <c r="N68" s="219"/>
      <c r="O68" s="218"/>
      <c r="P68" s="218"/>
      <c r="Q68" s="218"/>
      <c r="R68" s="218"/>
      <c r="S68" s="218"/>
      <c r="T68" s="218"/>
      <c r="U68" s="218"/>
      <c r="V68" s="218"/>
      <c r="W68" s="220"/>
      <c r="X68" s="220"/>
      <c r="Y68" s="220"/>
      <c r="Z68" s="220"/>
      <c r="AA68" s="220"/>
      <c r="AF68" s="42"/>
    </row>
    <row r="69" spans="1:32" ht="12.75" customHeight="1">
      <c r="A69" s="215">
        <v>2010</v>
      </c>
      <c r="B69" s="216">
        <f>(Inc!U241+Inc!V241)/Inc!B241</f>
        <v>3.5101404056162244E-2</v>
      </c>
      <c r="C69" s="216">
        <f>TxRt!D247/100</f>
        <v>6.8000000000000005E-2</v>
      </c>
      <c r="D69" s="217"/>
      <c r="E69" s="216">
        <f>(Inc!U81+Inc!V81+Inc!U121+Inc!V121+Inc!U161+Inc!V161+Inc!U201+Inc!V201)/(Inc!B81+Inc!B121+Inc!B161+Inc!B201)</f>
        <v>0.16233766233766234</v>
      </c>
      <c r="F69" s="216">
        <f>(Inc!B81*TxRt!D84+Inc!B121*TxRt!D127+Inc!B161*TxRt!D167+Inc!B201*TxRt!D207)/(Inc!B81+Inc!B121+Inc!B161+Inc!B201)/100</f>
        <v>8.94008658008658E-2</v>
      </c>
      <c r="G69" s="218"/>
      <c r="H69" s="218"/>
      <c r="J69" s="218"/>
      <c r="K69" s="218"/>
      <c r="L69" s="218"/>
      <c r="M69" s="219"/>
      <c r="N69" s="219"/>
      <c r="O69" s="218"/>
      <c r="P69" s="218"/>
      <c r="Q69" s="218"/>
      <c r="R69" s="218"/>
      <c r="S69" s="218"/>
      <c r="T69" s="218"/>
      <c r="U69" s="218"/>
      <c r="V69" s="218"/>
      <c r="W69" s="220"/>
      <c r="X69" s="220"/>
      <c r="Y69" s="220"/>
      <c r="Z69" s="220"/>
      <c r="AA69" s="220"/>
      <c r="AF69" s="42"/>
    </row>
    <row r="70" spans="1:32" ht="12.75" customHeight="1">
      <c r="A70" s="215">
        <v>2011</v>
      </c>
      <c r="B70" s="216">
        <f>(Inc!U242+Inc!V242)/Inc!B242</f>
        <v>3.4362934362934361E-2</v>
      </c>
      <c r="C70" s="216">
        <f>TxRt!D248/100</f>
        <v>5.9000000000000004E-2</v>
      </c>
      <c r="D70" s="217"/>
      <c r="E70" s="216">
        <f>(Inc!U82+Inc!V82+Inc!U122+Inc!V122+Inc!U162+Inc!V162+Inc!U202+Inc!V202)/(Inc!B82+Inc!B122+Inc!B162+Inc!B202)</f>
        <v>0.16276041666666666</v>
      </c>
      <c r="F70" s="216">
        <f>(Inc!B82*TxRt!D85+Inc!B122*TxRt!D128+Inc!B162*TxRt!D168+Inc!B202*TxRt!D208)/(Inc!B82+Inc!B122+Inc!B162+Inc!B202)/100</f>
        <v>7.799218749999999E-2</v>
      </c>
      <c r="G70" s="218"/>
      <c r="H70" s="218"/>
      <c r="J70" s="218"/>
      <c r="K70" s="218"/>
      <c r="L70" s="218"/>
      <c r="M70" s="219"/>
      <c r="N70" s="219"/>
      <c r="O70" s="218"/>
      <c r="P70" s="218"/>
      <c r="Q70" s="218"/>
      <c r="R70" s="218"/>
      <c r="S70" s="218"/>
      <c r="T70" s="218"/>
      <c r="U70" s="218"/>
      <c r="V70" s="218"/>
      <c r="W70" s="220"/>
      <c r="X70" s="220"/>
      <c r="Y70" s="220"/>
      <c r="Z70" s="220"/>
      <c r="AA70" s="220"/>
      <c r="AF70" s="42"/>
    </row>
    <row r="71" spans="1:32" ht="12.75" customHeight="1">
      <c r="A71" s="215">
        <v>2012</v>
      </c>
      <c r="B71" s="216">
        <f>(Inc!U243+Inc!V243)/Inc!B243</f>
        <v>3.3977110157367665E-2</v>
      </c>
      <c r="C71" s="216">
        <f>TxRt!D249/100</f>
        <v>5.5999999999999994E-2</v>
      </c>
      <c r="D71" s="217"/>
      <c r="E71" s="216">
        <f>(Inc!U83+Inc!V83+Inc!U123+Inc!V123+Inc!U163+Inc!V163+Inc!U203+Inc!V203)/(Inc!B83+Inc!B123+Inc!B163+Inc!B203)</f>
        <v>0.1674641148325359</v>
      </c>
      <c r="F71" s="216">
        <f>(Inc!B83*TxRt!D86+Inc!B123*TxRt!D129+Inc!B163*TxRt!D169+Inc!B203*TxRt!D209)/(Inc!B83+Inc!B123+Inc!B163+Inc!B203)/100</f>
        <v>7.7977381470204443E-2</v>
      </c>
      <c r="G71" s="218"/>
      <c r="H71" s="218"/>
      <c r="J71" s="218"/>
      <c r="K71" s="218"/>
      <c r="L71" s="218"/>
      <c r="M71" s="219"/>
      <c r="N71" s="219"/>
      <c r="O71" s="218"/>
      <c r="P71" s="218"/>
      <c r="Q71" s="218"/>
      <c r="R71" s="218"/>
      <c r="S71" s="218"/>
      <c r="T71" s="218"/>
      <c r="U71" s="218"/>
      <c r="V71" s="218"/>
      <c r="W71" s="220"/>
      <c r="X71" s="220"/>
      <c r="Y71" s="220"/>
      <c r="Z71" s="220"/>
      <c r="AA71" s="220"/>
      <c r="AF71" s="42"/>
    </row>
    <row r="72" spans="1:32" ht="12.75" customHeight="1">
      <c r="A72" s="215">
        <v>2013</v>
      </c>
      <c r="B72" s="216">
        <f>(Inc!U244+Inc!V244)/Inc!B244</f>
        <v>3.6336670374490176E-2</v>
      </c>
      <c r="C72" s="216">
        <f>TxRt!D250/100</f>
        <v>6.7000000000000004E-2</v>
      </c>
      <c r="D72" s="217"/>
      <c r="E72" s="216">
        <f>(Inc!U84+Inc!V84+Inc!U124+Inc!V124+Inc!U164+Inc!V164+Inc!U204+Inc!V204)/(Inc!B84+Inc!B124+Inc!B164+Inc!B204)</f>
        <v>0.16602809706257982</v>
      </c>
      <c r="F72" s="216">
        <f>(Inc!B84*TxRt!D87+Inc!B124*TxRt!D130+Inc!B164*TxRt!D170+Inc!B204*TxRt!D210)/(Inc!B84+Inc!B124+Inc!B164+Inc!B204)/100</f>
        <v>8.9979140059599824E-2</v>
      </c>
      <c r="G72" s="218"/>
      <c r="H72" s="218"/>
      <c r="J72" s="218"/>
      <c r="K72" s="218"/>
      <c r="L72" s="218"/>
      <c r="M72" s="219"/>
      <c r="N72" s="219"/>
      <c r="O72" s="218"/>
      <c r="P72" s="218"/>
      <c r="Q72" s="218"/>
      <c r="R72" s="218"/>
      <c r="S72" s="218"/>
      <c r="T72" s="218"/>
      <c r="U72" s="218"/>
      <c r="V72" s="218"/>
      <c r="W72" s="220"/>
      <c r="X72" s="220"/>
      <c r="Y72" s="220"/>
      <c r="Z72" s="220"/>
      <c r="AA72" s="220"/>
      <c r="AF72" s="42"/>
    </row>
    <row r="73" spans="1:32" ht="12.75" customHeight="1">
      <c r="A73" s="215">
        <v>2014</v>
      </c>
      <c r="B73" s="216">
        <f>(Inc!U245+Inc!V245)/Inc!B245</f>
        <v>3.6127674500175379E-2</v>
      </c>
      <c r="C73" s="216">
        <f>TxRt!D251/100</f>
        <v>6.4000000000000001E-2</v>
      </c>
      <c r="D73" s="217"/>
      <c r="E73" s="216">
        <f>(Inc!U85+Inc!V85+Inc!U125+Inc!V125+Inc!U165+Inc!V165+Inc!U205+Inc!V205)/(Inc!B85+Inc!B125+Inc!B165+Inc!B205)</f>
        <v>0.16547368421052633</v>
      </c>
      <c r="F73" s="216">
        <f>(Inc!B85*TxRt!D88+Inc!B125*TxRt!D131+Inc!B165*TxRt!D171+Inc!B205*TxRt!D211)/(Inc!B85+Inc!B125+Inc!B165+Inc!B205)/100</f>
        <v>9.1090947368421049E-2</v>
      </c>
      <c r="G73" s="220"/>
      <c r="H73" s="220"/>
      <c r="J73" s="220"/>
      <c r="K73" s="220"/>
      <c r="L73" s="220"/>
      <c r="M73" s="220"/>
      <c r="N73" s="220"/>
      <c r="O73" s="220"/>
      <c r="P73" s="220"/>
      <c r="Q73" s="220"/>
      <c r="R73" s="220"/>
      <c r="S73" s="220"/>
      <c r="T73" s="220"/>
      <c r="U73" s="220"/>
      <c r="V73" s="220"/>
      <c r="W73" s="220"/>
      <c r="X73" s="220"/>
      <c r="Y73" s="220"/>
      <c r="Z73" s="220"/>
      <c r="AA73" s="220"/>
    </row>
    <row r="74" spans="1:32" ht="12.75" customHeight="1">
      <c r="A74" s="215">
        <v>2015</v>
      </c>
      <c r="B74" s="216">
        <f>(Inc!U246+Inc!V246)/Inc!B246</f>
        <v>3.5242290748898682E-2</v>
      </c>
      <c r="C74" s="216">
        <f>TxRt!D252/100</f>
        <v>6.5000000000000002E-2</v>
      </c>
      <c r="D74" s="217"/>
      <c r="E74" s="216">
        <f>(Inc!U86+Inc!V86+Inc!U126+Inc!V126+Inc!U166+Inc!V166+Inc!U206+Inc!V206)/(Inc!B86+Inc!B126+Inc!B166+Inc!B206)</f>
        <v>0.16599025974025974</v>
      </c>
      <c r="F74" s="216">
        <f>(Inc!B86*TxRt!D89+Inc!B126*TxRt!D132+Inc!B166*TxRt!D172+Inc!B206*TxRt!D212)/(Inc!B86+Inc!B126+Inc!B166+Inc!B206)/100</f>
        <v>9.0799107142857147E-2</v>
      </c>
      <c r="G74" s="220"/>
      <c r="H74" s="220"/>
      <c r="I74" s="220"/>
      <c r="J74" s="220"/>
      <c r="K74" s="220"/>
      <c r="L74" s="220"/>
      <c r="M74" s="220"/>
      <c r="N74" s="220"/>
      <c r="O74" s="220"/>
      <c r="P74" s="220"/>
      <c r="Q74" s="220"/>
      <c r="R74" s="220"/>
      <c r="S74" s="220"/>
      <c r="T74" s="220"/>
      <c r="U74" s="220"/>
      <c r="V74" s="220"/>
      <c r="W74" s="220"/>
      <c r="X74" s="220"/>
      <c r="Y74" s="220"/>
      <c r="Z74" s="220"/>
      <c r="AA74" s="220"/>
    </row>
    <row r="75" spans="1:32">
      <c r="A75" s="215">
        <v>2016</v>
      </c>
      <c r="B75" s="216">
        <f>(Inc!U247+Inc!V247)/Inc!B247</f>
        <v>3.6057692307692304E-2</v>
      </c>
      <c r="C75" s="216">
        <f>TxRt!D253/100</f>
        <v>6.6000000000000003E-2</v>
      </c>
      <c r="D75" s="217"/>
      <c r="E75" s="216">
        <f>(Inc!U87+Inc!V87+Inc!U127+Inc!V127+Inc!U167+Inc!V167+Inc!U207+Inc!V207)/(Inc!B87+Inc!B127+Inc!B167+Inc!B207)</f>
        <v>0.16935483870967741</v>
      </c>
      <c r="F75" s="216">
        <f>(Inc!B87*TxRt!D90+Inc!B127*TxRt!D133+Inc!B167*TxRt!D173+Inc!B207*TxRt!D213)/(Inc!B87+Inc!B127+Inc!B167+Inc!B207)/100</f>
        <v>9.0718145161290328E-2</v>
      </c>
    </row>
    <row r="76" spans="1:32">
      <c r="A76" s="215">
        <v>2017</v>
      </c>
      <c r="B76" s="216"/>
      <c r="C76" s="216"/>
      <c r="D76" s="217"/>
      <c r="E76" s="216"/>
      <c r="F76" s="216"/>
    </row>
    <row r="77" spans="1:32">
      <c r="A77" s="215">
        <v>2018</v>
      </c>
      <c r="B77" s="216"/>
      <c r="C77" s="216"/>
      <c r="D77" s="217"/>
      <c r="E77" s="216"/>
      <c r="F77" s="216"/>
    </row>
    <row r="78" spans="1:32">
      <c r="A78" s="215">
        <v>2019</v>
      </c>
      <c r="B78" s="216"/>
      <c r="C78" s="216"/>
      <c r="D78" s="217"/>
      <c r="E78" s="216"/>
      <c r="F78" s="216"/>
    </row>
  </sheetData>
  <mergeCells count="2">
    <mergeCell ref="B35:C35"/>
    <mergeCell ref="E35:F35"/>
  </mergeCells>
  <hyperlinks>
    <hyperlink ref="H1" location="Index!A1" display="index" xr:uid="{E8216796-83C2-49AF-A5DD-91A40720C884}"/>
  </hyperlink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A3CF98-8D91-40F7-B9D6-148300A01E5B}">
  <sheetPr>
    <tabColor theme="9" tint="0.79998168889431442"/>
  </sheetPr>
  <dimension ref="A1:X46"/>
  <sheetViews>
    <sheetView zoomScale="85" zoomScaleNormal="85" workbookViewId="0"/>
  </sheetViews>
  <sheetFormatPr defaultColWidth="9.140625" defaultRowHeight="15"/>
  <cols>
    <col min="1" max="1" width="27" style="474" customWidth="1"/>
    <col min="2" max="2" width="13.5703125" style="474" customWidth="1"/>
    <col min="3" max="3" width="15" style="474" customWidth="1"/>
    <col min="4" max="4" width="16.5703125" style="474" customWidth="1"/>
    <col min="5" max="6" width="13.7109375" style="474" customWidth="1"/>
    <col min="7" max="7" width="5" style="474" customWidth="1"/>
    <col min="8" max="8" width="15.28515625" style="677" customWidth="1"/>
    <col min="9" max="9" width="13" style="474" customWidth="1"/>
    <col min="10" max="10" width="12.42578125" style="474" customWidth="1"/>
    <col min="11" max="11" width="12.42578125" style="677" customWidth="1"/>
    <col min="12" max="12" width="15" style="474" customWidth="1"/>
    <col min="13" max="13" width="12.28515625" style="474" customWidth="1"/>
    <col min="14" max="14" width="13.85546875" style="474" customWidth="1"/>
    <col min="15" max="15" width="9.140625" style="474"/>
    <col min="16" max="16" width="10.5703125" style="474" customWidth="1"/>
    <col min="17" max="17" width="13.42578125" style="474" customWidth="1"/>
    <col min="18" max="18" width="13.5703125" style="474" customWidth="1"/>
    <col min="19" max="19" width="13.42578125" style="474" customWidth="1"/>
    <col min="20" max="20" width="14.5703125" style="474" customWidth="1"/>
    <col min="21" max="21" width="9.140625" style="474"/>
    <col min="22" max="22" width="5.42578125" style="474" customWidth="1"/>
    <col min="23" max="23" width="14.85546875" style="474" customWidth="1"/>
    <col min="24" max="24" width="12.85546875" style="474" customWidth="1"/>
    <col min="25" max="25" width="9.140625" style="474"/>
    <col min="26" max="26" width="2.5703125" style="474" customWidth="1"/>
    <col min="27" max="28" width="9.28515625" style="474" customWidth="1"/>
    <col min="29" max="29" width="3" style="474" customWidth="1"/>
    <col min="30" max="16384" width="9.140625" style="474"/>
  </cols>
  <sheetData>
    <row r="1" spans="1:20">
      <c r="A1" s="207" t="s">
        <v>709</v>
      </c>
      <c r="J1" s="641" t="s">
        <v>762</v>
      </c>
      <c r="K1" s="709"/>
    </row>
    <row r="3" spans="1:20">
      <c r="A3" s="107" t="s">
        <v>584</v>
      </c>
      <c r="B3" s="542" t="s">
        <v>562</v>
      </c>
      <c r="C3" s="107"/>
      <c r="D3" s="107"/>
      <c r="E3" s="107"/>
      <c r="F3" s="107"/>
      <c r="H3" s="495" t="s">
        <v>561</v>
      </c>
      <c r="I3" s="495"/>
      <c r="J3" s="495"/>
      <c r="K3" s="495"/>
      <c r="L3" s="541" t="s">
        <v>581</v>
      </c>
      <c r="M3" s="495"/>
      <c r="N3" s="495"/>
      <c r="P3" s="495"/>
      <c r="Q3" s="495"/>
      <c r="R3" s="541"/>
      <c r="S3" s="495"/>
      <c r="T3" s="566"/>
    </row>
    <row r="4" spans="1:20">
      <c r="H4" s="587"/>
      <c r="I4" s="587"/>
      <c r="J4" s="587"/>
      <c r="K4" s="587"/>
      <c r="L4" s="587"/>
      <c r="M4" s="587"/>
      <c r="N4" s="587"/>
    </row>
    <row r="5" spans="1:20">
      <c r="H5" s="587"/>
      <c r="I5" s="495"/>
      <c r="J5" s="495"/>
      <c r="K5" s="495"/>
      <c r="L5" s="495"/>
      <c r="M5" s="495"/>
      <c r="N5" s="495"/>
      <c r="P5" s="495"/>
      <c r="Q5" s="495"/>
      <c r="R5" s="495"/>
      <c r="S5" s="495"/>
      <c r="T5" s="566" t="s">
        <v>613</v>
      </c>
    </row>
    <row r="6" spans="1:20">
      <c r="A6" s="759" t="s">
        <v>563</v>
      </c>
      <c r="B6" s="759"/>
      <c r="C6" s="759"/>
      <c r="D6" s="759"/>
      <c r="E6" s="759"/>
      <c r="F6" s="759"/>
      <c r="G6" s="759"/>
      <c r="H6" s="689"/>
      <c r="I6" s="495" t="s">
        <v>515</v>
      </c>
      <c r="J6" s="495"/>
      <c r="K6" s="495"/>
      <c r="L6" s="495"/>
      <c r="M6" s="495"/>
      <c r="N6" s="495">
        <v>17.600000000000001</v>
      </c>
      <c r="P6" s="495" t="s">
        <v>610</v>
      </c>
      <c r="Q6" s="495"/>
      <c r="R6" s="495"/>
      <c r="S6" s="495">
        <v>20.8</v>
      </c>
      <c r="T6" s="495">
        <f>S6*0.75</f>
        <v>15.600000000000001</v>
      </c>
    </row>
    <row r="7" spans="1:20">
      <c r="A7" s="760" t="s">
        <v>516</v>
      </c>
      <c r="B7" s="760"/>
      <c r="C7" s="760"/>
      <c r="D7" s="760"/>
      <c r="E7" s="760"/>
      <c r="F7" s="760"/>
      <c r="G7" s="760"/>
      <c r="H7" s="690"/>
      <c r="I7" s="496" t="s">
        <v>517</v>
      </c>
      <c r="J7" s="495"/>
      <c r="K7" s="495"/>
      <c r="L7" s="495"/>
      <c r="M7" s="495"/>
      <c r="N7" s="495"/>
      <c r="P7" s="496" t="s">
        <v>611</v>
      </c>
      <c r="Q7" s="495"/>
      <c r="R7" s="495"/>
      <c r="S7" s="495"/>
      <c r="T7" s="495"/>
    </row>
    <row r="8" spans="1:20" ht="15.75" thickBot="1">
      <c r="A8" s="497"/>
      <c r="B8" s="498"/>
      <c r="C8" s="498"/>
      <c r="D8" s="499"/>
      <c r="E8" s="498"/>
      <c r="F8" s="497"/>
      <c r="G8" s="497"/>
      <c r="H8" s="495"/>
      <c r="I8" s="758" t="s">
        <v>518</v>
      </c>
      <c r="J8" s="758"/>
      <c r="K8" s="763"/>
      <c r="L8" s="758"/>
      <c r="M8" s="758"/>
      <c r="N8" s="758"/>
      <c r="P8" s="758" t="s">
        <v>518</v>
      </c>
      <c r="Q8" s="758"/>
      <c r="R8" s="758"/>
      <c r="S8" s="758"/>
      <c r="T8" s="758"/>
    </row>
    <row r="9" spans="1:20" ht="15.75" thickTop="1">
      <c r="A9" s="500"/>
      <c r="B9" s="500"/>
      <c r="C9" s="761" t="s">
        <v>519</v>
      </c>
      <c r="D9" s="762"/>
      <c r="E9" s="500"/>
      <c r="F9" s="500" t="s">
        <v>520</v>
      </c>
      <c r="G9" s="497"/>
      <c r="H9" s="495"/>
      <c r="I9" s="501" t="s">
        <v>521</v>
      </c>
      <c r="J9" s="501" t="s">
        <v>1022</v>
      </c>
      <c r="K9" s="501" t="s">
        <v>1026</v>
      </c>
      <c r="L9" s="501" t="s">
        <v>1025</v>
      </c>
      <c r="M9" s="501" t="s">
        <v>524</v>
      </c>
      <c r="N9" s="502" t="s">
        <v>525</v>
      </c>
      <c r="P9" s="501" t="s">
        <v>521</v>
      </c>
      <c r="Q9" s="501" t="s">
        <v>522</v>
      </c>
      <c r="R9" s="501" t="s">
        <v>523</v>
      </c>
      <c r="S9" s="501" t="s">
        <v>524</v>
      </c>
      <c r="T9" s="502" t="s">
        <v>525</v>
      </c>
    </row>
    <row r="10" spans="1:20">
      <c r="A10" s="503" t="s">
        <v>526</v>
      </c>
      <c r="B10" s="503" t="s">
        <v>527</v>
      </c>
      <c r="C10" s="504"/>
      <c r="D10" s="504"/>
      <c r="E10" s="505" t="s">
        <v>528</v>
      </c>
      <c r="F10" s="503" t="s">
        <v>529</v>
      </c>
      <c r="G10" s="497"/>
      <c r="H10" s="495"/>
      <c r="I10" s="501" t="s">
        <v>583</v>
      </c>
      <c r="J10" s="501" t="s">
        <v>1021</v>
      </c>
      <c r="K10" s="501" t="s">
        <v>1027</v>
      </c>
      <c r="L10" s="501" t="s">
        <v>1023</v>
      </c>
      <c r="M10" s="501" t="s">
        <v>530</v>
      </c>
      <c r="N10" s="506" t="s">
        <v>529</v>
      </c>
      <c r="P10" s="501" t="s">
        <v>583</v>
      </c>
      <c r="Q10" s="501" t="s">
        <v>612</v>
      </c>
      <c r="R10" s="501" t="s">
        <v>609</v>
      </c>
      <c r="S10" s="501" t="s">
        <v>530</v>
      </c>
      <c r="T10" s="506" t="s">
        <v>529</v>
      </c>
    </row>
    <row r="11" spans="1:20">
      <c r="A11" s="503" t="s">
        <v>531</v>
      </c>
      <c r="B11" s="503" t="s">
        <v>532</v>
      </c>
      <c r="C11" s="503" t="s">
        <v>533</v>
      </c>
      <c r="D11" s="503" t="s">
        <v>524</v>
      </c>
      <c r="E11" s="503" t="s">
        <v>534</v>
      </c>
      <c r="F11" s="503" t="s">
        <v>535</v>
      </c>
      <c r="G11" s="497"/>
      <c r="H11" s="495"/>
      <c r="I11" s="501" t="s">
        <v>582</v>
      </c>
      <c r="J11" s="501" t="s">
        <v>536</v>
      </c>
      <c r="K11" s="501" t="s">
        <v>1028</v>
      </c>
      <c r="L11" s="501" t="s">
        <v>1024</v>
      </c>
      <c r="M11" s="501" t="s">
        <v>537</v>
      </c>
      <c r="N11" s="506" t="s">
        <v>535</v>
      </c>
      <c r="P11" s="501" t="s">
        <v>582</v>
      </c>
      <c r="Q11" s="501" t="s">
        <v>582</v>
      </c>
      <c r="R11" s="501" t="s">
        <v>608</v>
      </c>
      <c r="S11" s="501" t="s">
        <v>537</v>
      </c>
      <c r="T11" s="506" t="s">
        <v>535</v>
      </c>
    </row>
    <row r="12" spans="1:20">
      <c r="A12" s="507"/>
      <c r="B12" s="507"/>
      <c r="C12" s="508" t="s">
        <v>538</v>
      </c>
      <c r="D12" s="509" t="s">
        <v>530</v>
      </c>
      <c r="E12" s="503"/>
      <c r="F12" s="509" t="s">
        <v>539</v>
      </c>
      <c r="G12" s="497"/>
      <c r="H12" s="495"/>
      <c r="I12" s="510" t="s">
        <v>540</v>
      </c>
      <c r="J12" s="511" t="s">
        <v>541</v>
      </c>
      <c r="K12" s="511" t="s">
        <v>541</v>
      </c>
      <c r="L12" s="511" t="s">
        <v>541</v>
      </c>
      <c r="M12" s="511" t="s">
        <v>541</v>
      </c>
      <c r="N12" s="512" t="s">
        <v>542</v>
      </c>
      <c r="P12" s="510" t="s">
        <v>540</v>
      </c>
      <c r="Q12" s="511" t="s">
        <v>541</v>
      </c>
      <c r="R12" s="511" t="s">
        <v>541</v>
      </c>
      <c r="S12" s="511" t="s">
        <v>541</v>
      </c>
      <c r="T12" s="512" t="s">
        <v>542</v>
      </c>
    </row>
    <row r="13" spans="1:20">
      <c r="A13" s="513"/>
      <c r="B13" s="513"/>
      <c r="C13" s="513"/>
      <c r="D13" s="513"/>
      <c r="E13" s="514"/>
      <c r="F13" s="514"/>
      <c r="G13" s="497"/>
      <c r="H13" s="495"/>
      <c r="I13" s="515"/>
      <c r="J13" s="516"/>
      <c r="K13" s="516"/>
      <c r="L13" s="516"/>
      <c r="M13" s="516"/>
      <c r="N13" s="515"/>
      <c r="P13" s="515"/>
      <c r="Q13" s="516"/>
      <c r="R13" s="516"/>
      <c r="S13" s="516"/>
      <c r="T13" s="515"/>
    </row>
    <row r="14" spans="1:20">
      <c r="A14" s="517" t="s">
        <v>543</v>
      </c>
      <c r="B14" s="518">
        <v>57818164</v>
      </c>
      <c r="C14" s="519">
        <v>249429182</v>
      </c>
      <c r="D14" s="519">
        <v>29613722</v>
      </c>
      <c r="E14" s="520">
        <v>1</v>
      </c>
      <c r="F14" s="521">
        <v>0.11899999999999999</v>
      </c>
      <c r="G14" s="497"/>
      <c r="H14" s="495"/>
      <c r="I14" s="522"/>
      <c r="J14" s="523"/>
      <c r="K14" s="523"/>
      <c r="L14" s="523"/>
      <c r="M14" s="523"/>
      <c r="N14" s="524"/>
      <c r="P14" s="522"/>
      <c r="Q14" s="523"/>
      <c r="R14" s="523"/>
      <c r="S14" s="523"/>
      <c r="T14" s="524"/>
    </row>
    <row r="15" spans="1:20">
      <c r="A15" s="525"/>
      <c r="B15" s="518"/>
      <c r="C15" s="519"/>
      <c r="D15" s="519"/>
      <c r="E15" s="526"/>
      <c r="F15" s="521"/>
      <c r="G15" s="497"/>
      <c r="H15" s="495"/>
      <c r="I15" s="522"/>
      <c r="J15" s="523"/>
      <c r="K15" s="523"/>
      <c r="L15" s="523"/>
      <c r="M15" s="523"/>
      <c r="N15" s="524"/>
      <c r="P15" s="522"/>
      <c r="Q15" s="523"/>
      <c r="R15" s="523"/>
      <c r="S15" s="523"/>
      <c r="T15" s="524"/>
    </row>
    <row r="16" spans="1:20">
      <c r="A16" s="527" t="s">
        <v>564</v>
      </c>
      <c r="B16" s="518">
        <v>3839333</v>
      </c>
      <c r="C16" s="519">
        <v>1261713</v>
      </c>
      <c r="D16" s="519" t="s">
        <v>544</v>
      </c>
      <c r="E16" s="520">
        <v>1</v>
      </c>
      <c r="F16" s="528">
        <v>0.118725971686825</v>
      </c>
      <c r="G16" s="497"/>
      <c r="H16" s="495"/>
      <c r="I16" s="522"/>
      <c r="J16" s="523"/>
      <c r="K16" s="523"/>
      <c r="L16" s="523"/>
      <c r="M16" s="523"/>
      <c r="N16" s="524"/>
      <c r="P16" s="522"/>
      <c r="Q16" s="523"/>
      <c r="R16" s="523"/>
      <c r="S16" s="523"/>
      <c r="T16" s="524"/>
    </row>
    <row r="17" spans="1:20">
      <c r="A17" s="527" t="s">
        <v>565</v>
      </c>
      <c r="B17" s="518">
        <v>3202710</v>
      </c>
      <c r="C17" s="519">
        <v>2566114</v>
      </c>
      <c r="D17" s="519">
        <v>42172</v>
      </c>
      <c r="E17" s="520">
        <v>0.93359642135990339</v>
      </c>
      <c r="F17" s="528">
        <v>0.11932958868190738</v>
      </c>
      <c r="G17" s="497"/>
      <c r="H17" s="495"/>
      <c r="I17" s="522"/>
      <c r="J17" s="523"/>
      <c r="K17" s="523"/>
      <c r="L17" s="523"/>
      <c r="M17" s="523"/>
      <c r="N17" s="524"/>
      <c r="P17" s="522"/>
      <c r="Q17" s="523"/>
      <c r="R17" s="523"/>
      <c r="S17" s="523"/>
      <c r="T17" s="524"/>
    </row>
    <row r="18" spans="1:20">
      <c r="A18" s="527" t="s">
        <v>545</v>
      </c>
      <c r="B18" s="518">
        <v>4523556</v>
      </c>
      <c r="C18" s="519">
        <v>5616459</v>
      </c>
      <c r="D18" s="519">
        <v>216479</v>
      </c>
      <c r="E18" s="520">
        <v>0.87820362127029838</v>
      </c>
      <c r="F18" s="528">
        <v>0.12040466959150124</v>
      </c>
      <c r="G18" s="497"/>
      <c r="H18" s="495"/>
      <c r="I18" s="522"/>
      <c r="J18" s="523"/>
      <c r="K18" s="523"/>
      <c r="L18" s="523"/>
      <c r="M18" s="523"/>
      <c r="N18" s="524"/>
      <c r="P18" s="522"/>
      <c r="Q18" s="523"/>
      <c r="R18" s="523"/>
      <c r="S18" s="523"/>
      <c r="T18" s="524"/>
    </row>
    <row r="19" spans="1:20">
      <c r="A19" s="527" t="s">
        <v>546</v>
      </c>
      <c r="B19" s="518">
        <v>4125462</v>
      </c>
      <c r="C19" s="519">
        <v>7212429</v>
      </c>
      <c r="D19" s="519">
        <v>352948</v>
      </c>
      <c r="E19" s="520">
        <v>0.79996599338574637</v>
      </c>
      <c r="F19" s="528">
        <v>0.12232049386974754</v>
      </c>
      <c r="G19" s="497"/>
      <c r="H19" s="495"/>
      <c r="I19" s="522"/>
      <c r="J19" s="523"/>
      <c r="K19" s="523"/>
      <c r="L19" s="523"/>
      <c r="M19" s="523"/>
      <c r="N19" s="524"/>
      <c r="P19" s="522"/>
      <c r="Q19" s="523"/>
      <c r="R19" s="523"/>
      <c r="S19" s="523"/>
      <c r="T19" s="524"/>
    </row>
    <row r="20" spans="1:20">
      <c r="A20" s="527" t="s">
        <v>547</v>
      </c>
      <c r="B20" s="518">
        <v>4116843</v>
      </c>
      <c r="C20" s="519">
        <v>9275007</v>
      </c>
      <c r="D20" s="519">
        <v>551714</v>
      </c>
      <c r="E20" s="520">
        <v>0.72861364120797745</v>
      </c>
      <c r="F20" s="528">
        <v>0.12459430178226362</v>
      </c>
      <c r="G20" s="497"/>
      <c r="H20" s="495"/>
      <c r="I20" s="522"/>
      <c r="J20" s="523"/>
      <c r="K20" s="523"/>
      <c r="L20" s="523"/>
      <c r="M20" s="523"/>
      <c r="N20" s="524"/>
      <c r="P20" s="522"/>
      <c r="Q20" s="523"/>
      <c r="R20" s="523"/>
      <c r="S20" s="523"/>
      <c r="T20" s="524"/>
    </row>
    <row r="21" spans="1:20">
      <c r="A21" s="527" t="s">
        <v>548</v>
      </c>
      <c r="B21" s="518">
        <v>4311841</v>
      </c>
      <c r="C21" s="519">
        <v>11858501</v>
      </c>
      <c r="D21" s="519">
        <v>793795</v>
      </c>
      <c r="E21" s="520">
        <v>0.6574103598308656</v>
      </c>
      <c r="F21" s="528">
        <v>0.12729634153336686</v>
      </c>
      <c r="G21" s="497"/>
      <c r="H21" s="495"/>
      <c r="I21" s="522"/>
      <c r="J21" s="523"/>
      <c r="K21" s="523"/>
      <c r="L21" s="523"/>
      <c r="M21" s="523"/>
      <c r="N21" s="524"/>
      <c r="P21" s="522"/>
      <c r="Q21" s="523"/>
      <c r="R21" s="523"/>
      <c r="S21" s="523"/>
      <c r="T21" s="524"/>
    </row>
    <row r="22" spans="1:20">
      <c r="A22" s="527" t="s">
        <v>566</v>
      </c>
      <c r="B22" s="518">
        <v>4329594</v>
      </c>
      <c r="C22" s="519">
        <v>14065897</v>
      </c>
      <c r="D22" s="519">
        <v>1067354</v>
      </c>
      <c r="E22" s="520">
        <v>0.58283447049615755</v>
      </c>
      <c r="F22" s="528">
        <v>0.13067827459877082</v>
      </c>
      <c r="G22" s="497"/>
      <c r="H22" s="495"/>
      <c r="I22" s="522"/>
      <c r="J22" s="523"/>
      <c r="K22" s="523"/>
      <c r="L22" s="523"/>
      <c r="M22" s="523"/>
      <c r="N22" s="524"/>
      <c r="P22" s="522"/>
      <c r="Q22" s="523"/>
      <c r="R22" s="523"/>
      <c r="S22" s="523"/>
      <c r="T22" s="524"/>
    </row>
    <row r="23" spans="1:20">
      <c r="A23" s="527" t="s">
        <v>567</v>
      </c>
      <c r="B23" s="518">
        <v>4335429</v>
      </c>
      <c r="C23" s="519">
        <v>16254518</v>
      </c>
      <c r="D23" s="519">
        <v>1314408</v>
      </c>
      <c r="E23" s="520">
        <v>0.50795153232468604</v>
      </c>
      <c r="F23" s="528">
        <v>0.13457937904510484</v>
      </c>
      <c r="G23" s="497"/>
      <c r="H23" s="495"/>
      <c r="I23" s="522"/>
      <c r="J23" s="523"/>
      <c r="K23" s="523"/>
      <c r="L23" s="523"/>
      <c r="M23" s="523"/>
      <c r="N23" s="524"/>
      <c r="P23" s="522"/>
      <c r="Q23" s="523"/>
      <c r="R23" s="523"/>
      <c r="S23" s="523"/>
      <c r="T23" s="524"/>
    </row>
    <row r="24" spans="1:20">
      <c r="A24" s="527" t="s">
        <v>568</v>
      </c>
      <c r="B24" s="518">
        <v>4169883</v>
      </c>
      <c r="C24" s="519">
        <v>17713481</v>
      </c>
      <c r="D24" s="519">
        <v>1503118</v>
      </c>
      <c r="E24" s="520">
        <v>0.43296767431079269</v>
      </c>
      <c r="F24" s="528">
        <v>0.13939474387131634</v>
      </c>
      <c r="G24" s="497"/>
      <c r="H24" s="495"/>
      <c r="I24" s="522"/>
      <c r="J24" s="523"/>
      <c r="K24" s="523"/>
      <c r="L24" s="523"/>
      <c r="M24" s="523"/>
      <c r="N24" s="524"/>
      <c r="P24" s="522"/>
      <c r="Q24" s="523"/>
      <c r="R24" s="523"/>
      <c r="S24" s="523"/>
      <c r="T24" s="524"/>
    </row>
    <row r="25" spans="1:20">
      <c r="A25" s="527" t="s">
        <v>569</v>
      </c>
      <c r="B25" s="518">
        <v>3838738</v>
      </c>
      <c r="C25" s="519">
        <v>18217089</v>
      </c>
      <c r="D25" s="519">
        <v>1626236</v>
      </c>
      <c r="E25" s="520">
        <v>0.36084703416040675</v>
      </c>
      <c r="F25" s="528">
        <v>0.14529950090847737</v>
      </c>
      <c r="G25" s="497"/>
      <c r="H25" s="495"/>
      <c r="I25" s="522"/>
      <c r="J25" s="523"/>
      <c r="K25" s="523"/>
      <c r="L25" s="523"/>
      <c r="M25" s="523"/>
      <c r="N25" s="524"/>
      <c r="P25" s="522"/>
      <c r="Q25" s="523"/>
      <c r="R25" s="523"/>
      <c r="S25" s="523"/>
      <c r="T25" s="524"/>
    </row>
    <row r="26" spans="1:20">
      <c r="A26" s="527" t="s">
        <v>570</v>
      </c>
      <c r="B26" s="518">
        <v>5862618</v>
      </c>
      <c r="C26" s="519">
        <v>32061640</v>
      </c>
      <c r="D26" s="519">
        <v>3076915</v>
      </c>
      <c r="E26" s="520">
        <v>0.29445374640398475</v>
      </c>
      <c r="F26" s="528">
        <v>0.15232001238286738</v>
      </c>
      <c r="G26" s="497"/>
      <c r="H26" s="495"/>
      <c r="I26" s="522"/>
      <c r="J26" s="523"/>
      <c r="K26" s="523"/>
      <c r="L26" s="523"/>
      <c r="M26" s="523"/>
      <c r="N26" s="524"/>
      <c r="P26" s="522"/>
      <c r="Q26" s="523"/>
      <c r="R26" s="523"/>
      <c r="S26" s="523"/>
      <c r="T26" s="524"/>
    </row>
    <row r="27" spans="1:20">
      <c r="A27" s="527" t="s">
        <v>571</v>
      </c>
      <c r="B27" s="518">
        <v>3871849</v>
      </c>
      <c r="C27" s="519">
        <v>25020880</v>
      </c>
      <c r="D27" s="519">
        <v>2712048</v>
      </c>
      <c r="E27" s="520">
        <v>0.19305623402361929</v>
      </c>
      <c r="F27" s="528">
        <v>0.16826259464106552</v>
      </c>
      <c r="G27" s="497"/>
      <c r="H27" s="495"/>
      <c r="I27" s="522"/>
      <c r="J27" s="523"/>
      <c r="K27" s="523"/>
      <c r="L27" s="523"/>
      <c r="M27" s="523"/>
      <c r="N27" s="524"/>
      <c r="P27" s="522"/>
      <c r="Q27" s="523"/>
      <c r="R27" s="523"/>
      <c r="S27" s="523"/>
      <c r="T27" s="524"/>
    </row>
    <row r="28" spans="1:20">
      <c r="A28" s="527" t="s">
        <v>572</v>
      </c>
      <c r="B28" s="518">
        <v>2400131</v>
      </c>
      <c r="C28" s="519">
        <v>17897442</v>
      </c>
      <c r="D28" s="519">
        <v>2122710</v>
      </c>
      <c r="E28" s="520">
        <v>0.12609027156241073</v>
      </c>
      <c r="F28" s="528">
        <v>0.18522678112271526</v>
      </c>
      <c r="G28" s="497"/>
      <c r="H28" s="495"/>
      <c r="I28" s="522"/>
      <c r="J28" s="523"/>
      <c r="K28" s="523"/>
      <c r="L28" s="523"/>
      <c r="M28" s="523"/>
      <c r="N28" s="524"/>
      <c r="P28" s="522"/>
      <c r="Q28" s="523"/>
      <c r="R28" s="523"/>
      <c r="S28" s="523"/>
      <c r="T28" s="524"/>
    </row>
    <row r="29" spans="1:20">
      <c r="A29" s="527" t="s">
        <v>573</v>
      </c>
      <c r="B29" s="518">
        <v>1412757</v>
      </c>
      <c r="C29" s="519">
        <v>11940018</v>
      </c>
      <c r="D29" s="519">
        <v>1531892</v>
      </c>
      <c r="E29" s="520">
        <v>8.4578559083958463E-2</v>
      </c>
      <c r="F29" s="528">
        <v>0.20216200678979546</v>
      </c>
      <c r="G29" s="497"/>
      <c r="H29" s="495"/>
      <c r="I29" s="522"/>
      <c r="J29" s="523"/>
      <c r="K29" s="523"/>
      <c r="L29" s="523"/>
      <c r="M29" s="523"/>
      <c r="N29" s="524"/>
      <c r="P29" s="522"/>
      <c r="Q29" s="523"/>
      <c r="R29" s="523"/>
      <c r="S29" s="523"/>
      <c r="T29" s="524"/>
    </row>
    <row r="30" spans="1:20">
      <c r="A30" s="527" t="s">
        <v>574</v>
      </c>
      <c r="B30" s="518">
        <v>912095</v>
      </c>
      <c r="C30" s="519">
        <v>8622218</v>
      </c>
      <c r="D30" s="519">
        <v>1170459</v>
      </c>
      <c r="E30" s="520">
        <v>6.0144075138740136E-2</v>
      </c>
      <c r="F30" s="528">
        <v>0.21724591748435904</v>
      </c>
      <c r="G30" s="497"/>
      <c r="H30" s="495"/>
      <c r="I30" s="522"/>
      <c r="J30" s="523"/>
      <c r="K30" s="523"/>
      <c r="L30" s="523"/>
      <c r="M30" s="523"/>
      <c r="N30" s="532"/>
      <c r="P30" s="522"/>
      <c r="Q30" s="523"/>
      <c r="R30" s="523"/>
      <c r="S30" s="523"/>
      <c r="T30" s="532"/>
    </row>
    <row r="31" spans="1:20">
      <c r="A31" s="527" t="s">
        <v>549</v>
      </c>
      <c r="B31" s="518">
        <v>1518296</v>
      </c>
      <c r="C31" s="519">
        <v>17923575</v>
      </c>
      <c r="D31" s="519">
        <v>2692340</v>
      </c>
      <c r="E31" s="520">
        <v>4.4368842289769006E-2</v>
      </c>
      <c r="F31" s="528">
        <v>0.23134305302017968</v>
      </c>
      <c r="G31" s="497"/>
      <c r="H31" s="495"/>
      <c r="I31" s="522"/>
      <c r="J31" s="523"/>
      <c r="K31" s="523"/>
      <c r="L31" s="523"/>
      <c r="M31" s="523"/>
      <c r="N31" s="532"/>
      <c r="P31" s="522"/>
      <c r="Q31" s="523"/>
      <c r="R31" s="523"/>
      <c r="S31" s="523"/>
      <c r="T31" s="532"/>
    </row>
    <row r="32" spans="1:20">
      <c r="A32" s="527" t="s">
        <v>550</v>
      </c>
      <c r="B32" s="518">
        <v>425989</v>
      </c>
      <c r="C32" s="519">
        <v>7300263</v>
      </c>
      <c r="D32" s="519">
        <v>1308272</v>
      </c>
      <c r="E32" s="520">
        <v>1.8108997719125084E-2</v>
      </c>
      <c r="F32" s="528">
        <v>0.27689613256930495</v>
      </c>
      <c r="G32" s="497"/>
      <c r="H32" s="495"/>
      <c r="I32" s="522"/>
      <c r="J32" s="523"/>
      <c r="K32" s="523"/>
      <c r="L32" s="523"/>
      <c r="M32" s="523"/>
      <c r="N32" s="532"/>
      <c r="P32" s="522"/>
      <c r="Q32" s="523"/>
      <c r="R32" s="523"/>
      <c r="S32" s="523"/>
      <c r="T32" s="532"/>
    </row>
    <row r="33" spans="1:24">
      <c r="A33" s="527" t="s">
        <v>551</v>
      </c>
      <c r="B33" s="518">
        <v>210289</v>
      </c>
      <c r="C33" s="519">
        <v>4683237</v>
      </c>
      <c r="D33" s="519">
        <v>961080</v>
      </c>
      <c r="E33" s="520">
        <v>1.0741261171835204E-2</v>
      </c>
      <c r="F33" s="528">
        <v>0.30585983930265764</v>
      </c>
      <c r="G33" s="497"/>
      <c r="H33" s="495" t="s">
        <v>1029</v>
      </c>
      <c r="I33" s="529">
        <f>(272279+185235+469624+238824+494501+1128185+1021722+381419+446590)/7454321</f>
        <v>0.62224030867465996</v>
      </c>
      <c r="J33" s="530">
        <f>$N$6*I33*1000000</f>
        <v>10951429.432674017</v>
      </c>
      <c r="K33" s="530">
        <f>K34+205334</f>
        <v>2725948</v>
      </c>
      <c r="L33" s="530">
        <f>SUM(C33:C$41)+J33-K33</f>
        <v>32847419.432674021</v>
      </c>
      <c r="M33" s="530">
        <f>SUM(D33:D$41)</f>
        <v>7530862</v>
      </c>
      <c r="N33" s="531">
        <f>M33/L33</f>
        <v>0.22926799517495408</v>
      </c>
      <c r="P33" s="529">
        <f>I33</f>
        <v>0.62224030867465996</v>
      </c>
      <c r="Q33" s="530">
        <f>$T$6*P33*1000000</f>
        <v>9706948.8153246958</v>
      </c>
      <c r="R33" s="530">
        <f>L33+Q33</f>
        <v>42554368.247998714</v>
      </c>
      <c r="S33" s="530">
        <f>M33</f>
        <v>7530862</v>
      </c>
      <c r="T33" s="531">
        <f>S33/R33</f>
        <v>0.1769703630920233</v>
      </c>
      <c r="W33" s="3"/>
      <c r="X33" s="479"/>
    </row>
    <row r="34" spans="1:24">
      <c r="A34" s="527" t="s">
        <v>575</v>
      </c>
      <c r="B34" s="518">
        <v>120617</v>
      </c>
      <c r="C34" s="519">
        <v>3289658</v>
      </c>
      <c r="D34" s="519">
        <v>745939</v>
      </c>
      <c r="E34" s="520">
        <v>7.1041861516045373E-3</v>
      </c>
      <c r="F34" s="528">
        <v>0.32949899795377846</v>
      </c>
      <c r="G34" s="497"/>
      <c r="H34" s="495" t="s">
        <v>1030</v>
      </c>
      <c r="I34" s="529">
        <f>(272279+185235+469624+238824+494501+1128185+1021722+381419)/7454321</f>
        <v>0.56233009015844637</v>
      </c>
      <c r="J34" s="530">
        <f>$N$6*I34*1000000</f>
        <v>9897009.5867886581</v>
      </c>
      <c r="K34" s="530">
        <f>K36+545325+205334</f>
        <v>2520614</v>
      </c>
      <c r="L34" s="530">
        <f>SUM(C34:C$41)+J34-K34</f>
        <v>27315096.586788658</v>
      </c>
      <c r="M34" s="530">
        <f>SUM(D34:D$41)</f>
        <v>6569782</v>
      </c>
      <c r="N34" s="531">
        <f>M34/L34</f>
        <v>0.24051835142247199</v>
      </c>
      <c r="P34" s="529">
        <f>I34</f>
        <v>0.56233009015844637</v>
      </c>
      <c r="Q34" s="530">
        <f>$T$6*P34*1000000</f>
        <v>8772349.4064717647</v>
      </c>
      <c r="R34" s="530">
        <f>L34+Q34</f>
        <v>36087445.993260421</v>
      </c>
      <c r="S34" s="530">
        <f>M34</f>
        <v>6569782</v>
      </c>
      <c r="T34" s="531">
        <f>S34/R34</f>
        <v>0.18205173071064526</v>
      </c>
      <c r="W34" s="3"/>
      <c r="X34" s="479"/>
    </row>
    <row r="35" spans="1:24">
      <c r="A35" s="527" t="s">
        <v>576</v>
      </c>
      <c r="B35" s="518">
        <v>190707</v>
      </c>
      <c r="C35" s="519">
        <v>7142830</v>
      </c>
      <c r="D35" s="519">
        <v>1962136</v>
      </c>
      <c r="E35" s="520">
        <v>5.0180424269438929E-3</v>
      </c>
      <c r="F35" s="528">
        <v>0.34980046600876696</v>
      </c>
      <c r="G35" s="497"/>
      <c r="H35" s="495"/>
      <c r="I35" s="522"/>
      <c r="J35" s="523"/>
      <c r="K35" s="523"/>
      <c r="L35" s="523"/>
      <c r="M35" s="523"/>
      <c r="N35" s="524"/>
      <c r="P35" s="522"/>
      <c r="Q35" s="523"/>
      <c r="R35" s="523"/>
      <c r="S35" s="523"/>
      <c r="T35" s="524"/>
    </row>
    <row r="36" spans="1:24">
      <c r="A36" s="527" t="s">
        <v>552</v>
      </c>
      <c r="B36" s="518">
        <v>77604</v>
      </c>
      <c r="C36" s="519">
        <v>5151675</v>
      </c>
      <c r="D36" s="519">
        <v>1852467</v>
      </c>
      <c r="E36" s="520">
        <v>1.7196499010241834E-3</v>
      </c>
      <c r="F36" s="528">
        <v>0.40622979939540593</v>
      </c>
      <c r="G36" s="497"/>
      <c r="H36" s="495" t="s">
        <v>1031</v>
      </c>
      <c r="I36" s="529">
        <f>(272279+185235+469624+238824+494501+1128185)/7454321</f>
        <v>0.37409819083455087</v>
      </c>
      <c r="J36" s="530">
        <f>$N$6*I36*1000000</f>
        <v>6584128.1586880963</v>
      </c>
      <c r="K36" s="530">
        <f>K37+583898</f>
        <v>1769955</v>
      </c>
      <c r="L36" s="530">
        <f>SUM(C36:C$41)+J36-K36</f>
        <v>14320386.158688096</v>
      </c>
      <c r="M36" s="530">
        <f>SUM(D36:D$41)</f>
        <v>3861707</v>
      </c>
      <c r="N36" s="531">
        <f>M36/L36</f>
        <v>0.26966500464494281</v>
      </c>
      <c r="P36" s="529">
        <f>I36</f>
        <v>0.37409819083455087</v>
      </c>
      <c r="Q36" s="530">
        <f>$T$6*P36*1000000</f>
        <v>5835931.7770189941</v>
      </c>
      <c r="R36" s="530">
        <f>L36+Q36</f>
        <v>20156317.935707092</v>
      </c>
      <c r="S36" s="530">
        <f>M36</f>
        <v>3861707</v>
      </c>
      <c r="T36" s="531">
        <f>S36/R36</f>
        <v>0.19158791860287896</v>
      </c>
      <c r="W36" s="3"/>
      <c r="X36" s="479"/>
    </row>
    <row r="37" spans="1:24">
      <c r="A37" s="527" t="s">
        <v>553</v>
      </c>
      <c r="B37" s="518">
        <v>12960</v>
      </c>
      <c r="C37" s="519">
        <v>1549762</v>
      </c>
      <c r="D37" s="519">
        <v>653397</v>
      </c>
      <c r="E37" s="520">
        <v>3.774419402179564E-4</v>
      </c>
      <c r="F37" s="528">
        <v>0.46141289845214351</v>
      </c>
      <c r="G37" s="497"/>
      <c r="H37" s="495" t="s">
        <v>1032</v>
      </c>
      <c r="I37" s="529">
        <f>(272279+185235+469624+238824+494501)/7454321</f>
        <v>0.22275174358603553</v>
      </c>
      <c r="J37" s="530">
        <f>$N$6*I37*1000000</f>
        <v>3920430.6871142257</v>
      </c>
      <c r="K37" s="530">
        <f>(246676+171633+351310+155108+261330)</f>
        <v>1186057</v>
      </c>
      <c r="L37" s="530">
        <f>SUM(C37:C$41)+J37-K37</f>
        <v>7088911.6871142257</v>
      </c>
      <c r="M37" s="530">
        <f>SUM(D37:D$41)</f>
        <v>2009240</v>
      </c>
      <c r="N37" s="531">
        <f>M37/L37</f>
        <v>0.28343419817914633</v>
      </c>
      <c r="P37" s="529">
        <f>I37</f>
        <v>0.22275174358603553</v>
      </c>
      <c r="Q37" s="530">
        <f>$T$6*P37*1000000</f>
        <v>3474927.1999421543</v>
      </c>
      <c r="R37" s="530">
        <f>L37+Q37</f>
        <v>10563838.887056381</v>
      </c>
      <c r="S37" s="530">
        <f>M37</f>
        <v>2009240</v>
      </c>
      <c r="T37" s="531">
        <f>S37/R37</f>
        <v>0.19019979587741287</v>
      </c>
      <c r="W37" s="3"/>
      <c r="X37" s="479"/>
    </row>
    <row r="38" spans="1:24">
      <c r="A38" s="527" t="s">
        <v>577</v>
      </c>
      <c r="B38" s="518">
        <v>3946</v>
      </c>
      <c r="C38" s="519">
        <v>675565</v>
      </c>
      <c r="D38" s="519">
        <v>305830</v>
      </c>
      <c r="E38" s="520">
        <v>1.5329092774374502E-4</v>
      </c>
      <c r="F38" s="528">
        <v>0.48340509188612568</v>
      </c>
      <c r="G38" s="497"/>
      <c r="H38" s="495"/>
      <c r="I38" s="522"/>
      <c r="J38" s="523"/>
      <c r="K38" s="523"/>
      <c r="L38" s="523"/>
      <c r="M38" s="523"/>
      <c r="N38" s="532"/>
      <c r="P38" s="522"/>
      <c r="Q38" s="523"/>
      <c r="R38" s="523"/>
      <c r="S38" s="523"/>
      <c r="T38" s="532"/>
    </row>
    <row r="39" spans="1:24">
      <c r="A39" s="527" t="s">
        <v>578</v>
      </c>
      <c r="B39" s="518">
        <v>4022</v>
      </c>
      <c r="C39" s="519">
        <v>1143650</v>
      </c>
      <c r="D39" s="519">
        <v>549179</v>
      </c>
      <c r="E39" s="520">
        <v>8.5042479038248254E-5</v>
      </c>
      <c r="F39" s="528">
        <v>0.49314652235029782</v>
      </c>
      <c r="G39" s="497"/>
      <c r="H39" s="495"/>
      <c r="I39" s="522"/>
      <c r="J39" s="523"/>
      <c r="K39" s="523"/>
      <c r="L39" s="523"/>
      <c r="M39" s="523"/>
      <c r="N39" s="524"/>
      <c r="P39" s="522"/>
      <c r="Q39" s="523"/>
      <c r="R39" s="523"/>
      <c r="S39" s="523"/>
      <c r="T39" s="524"/>
    </row>
    <row r="40" spans="1:24">
      <c r="A40" s="527" t="s">
        <v>554</v>
      </c>
      <c r="B40" s="518">
        <v>628</v>
      </c>
      <c r="C40" s="519">
        <v>417978</v>
      </c>
      <c r="D40" s="519">
        <v>209848</v>
      </c>
      <c r="E40" s="520">
        <v>1.5479564518859507E-5</v>
      </c>
      <c r="F40" s="528">
        <v>0.50817148811692026</v>
      </c>
      <c r="G40" s="497"/>
      <c r="H40" s="495"/>
      <c r="I40" s="522"/>
      <c r="J40" s="523"/>
      <c r="K40" s="523"/>
      <c r="L40" s="523"/>
      <c r="M40" s="523"/>
      <c r="N40" s="524"/>
      <c r="P40" s="522"/>
      <c r="Q40" s="523"/>
      <c r="R40" s="523"/>
      <c r="S40" s="523"/>
      <c r="T40" s="524"/>
    </row>
    <row r="41" spans="1:24">
      <c r="A41" s="527" t="s">
        <v>555</v>
      </c>
      <c r="B41" s="518">
        <v>267</v>
      </c>
      <c r="C41" s="519">
        <v>567583</v>
      </c>
      <c r="D41" s="519">
        <v>290986</v>
      </c>
      <c r="E41" s="520">
        <v>4.6179259514362991E-6</v>
      </c>
      <c r="F41" s="528">
        <v>0.51267567915177159</v>
      </c>
      <c r="G41" s="497"/>
      <c r="H41" s="495"/>
      <c r="I41" s="501"/>
      <c r="J41" s="501"/>
      <c r="K41" s="501"/>
      <c r="L41" s="501"/>
      <c r="M41" s="501"/>
      <c r="N41" s="524"/>
      <c r="P41" s="501"/>
      <c r="Q41" s="501"/>
      <c r="R41" s="501"/>
      <c r="S41" s="501"/>
      <c r="T41" s="524"/>
    </row>
    <row r="42" spans="1:24">
      <c r="A42" s="507"/>
      <c r="B42" s="509"/>
      <c r="C42" s="509"/>
      <c r="D42" s="507"/>
      <c r="E42" s="534"/>
      <c r="F42" s="534"/>
      <c r="G42" s="497"/>
      <c r="H42" s="495"/>
      <c r="I42" s="535"/>
      <c r="J42" s="512"/>
      <c r="K42" s="512"/>
      <c r="L42" s="512"/>
      <c r="M42" s="512"/>
      <c r="N42" s="536"/>
      <c r="P42" s="535"/>
      <c r="Q42" s="512"/>
      <c r="R42" s="512"/>
      <c r="S42" s="512"/>
      <c r="T42" s="536"/>
    </row>
    <row r="43" spans="1:24">
      <c r="A43" s="537" t="s">
        <v>556</v>
      </c>
      <c r="B43" s="498"/>
      <c r="C43" s="498"/>
      <c r="D43" s="499"/>
      <c r="E43" s="498"/>
      <c r="F43" s="497"/>
      <c r="G43" s="497"/>
      <c r="H43" s="497"/>
      <c r="I43" s="497" t="s">
        <v>557</v>
      </c>
      <c r="J43" s="497"/>
      <c r="K43" s="497"/>
      <c r="L43" s="497"/>
      <c r="M43" s="497"/>
      <c r="N43" s="497"/>
      <c r="P43" s="497" t="s">
        <v>557</v>
      </c>
      <c r="Q43" s="497"/>
      <c r="R43" s="497"/>
      <c r="S43" s="497"/>
      <c r="T43" s="497"/>
    </row>
    <row r="44" spans="1:24">
      <c r="A44" s="538" t="s">
        <v>558</v>
      </c>
      <c r="B44" s="498"/>
      <c r="C44" s="498"/>
      <c r="D44" s="499"/>
      <c r="E44" s="498"/>
      <c r="F44" s="497"/>
      <c r="G44" s="497"/>
      <c r="H44" s="497"/>
      <c r="I44" s="497"/>
      <c r="J44" s="497"/>
      <c r="K44" s="497"/>
      <c r="L44" s="497"/>
      <c r="M44" s="497"/>
      <c r="N44" s="497" t="s">
        <v>812</v>
      </c>
      <c r="P44" s="497"/>
      <c r="Q44" s="497"/>
      <c r="R44" s="497"/>
      <c r="S44" s="497"/>
      <c r="T44" s="497" t="s">
        <v>813</v>
      </c>
      <c r="X44" s="497"/>
    </row>
    <row r="45" spans="1:24">
      <c r="A45" s="533" t="s">
        <v>579</v>
      </c>
      <c r="B45" s="498"/>
      <c r="C45" s="498"/>
      <c r="D45" s="499"/>
      <c r="E45" s="498"/>
      <c r="F45" s="539">
        <f>(F34*$E34+F33*(0.01-$E34))/0.01</f>
        <v>0.32265353765514515</v>
      </c>
      <c r="G45" s="497"/>
      <c r="H45" s="497"/>
      <c r="I45" s="497" t="s">
        <v>559</v>
      </c>
      <c r="J45" s="497"/>
      <c r="K45" s="497"/>
      <c r="L45" s="497"/>
      <c r="M45" s="497"/>
      <c r="N45" s="539">
        <f>(N34*$E34+N33*(0.01-$E34))/0.01</f>
        <v>0.23726045768037751</v>
      </c>
      <c r="P45" s="497" t="s">
        <v>559</v>
      </c>
      <c r="Q45" s="497"/>
      <c r="R45" s="497"/>
      <c r="S45" s="497"/>
      <c r="T45" s="539">
        <f>(T34*$E34+T33*(0.01-$E34))/0.01</f>
        <v>0.18058026123876589</v>
      </c>
      <c r="X45" s="539"/>
    </row>
    <row r="46" spans="1:24">
      <c r="A46" s="540" t="s">
        <v>580</v>
      </c>
      <c r="B46" s="498"/>
      <c r="C46" s="498"/>
      <c r="D46" s="499"/>
      <c r="E46" s="498"/>
      <c r="F46" s="539">
        <f>(F37*$E37+F36*(0.001-$E37))/0.001</f>
        <v>0.42705821537062066</v>
      </c>
      <c r="G46" s="497"/>
      <c r="H46" s="497"/>
      <c r="I46" s="497" t="s">
        <v>560</v>
      </c>
      <c r="J46" s="497"/>
      <c r="K46" s="497"/>
      <c r="L46" s="497"/>
      <c r="M46" s="497"/>
      <c r="N46" s="539">
        <f>(N37*$E37+N36*(0.001-$E37))/0.001</f>
        <v>0.27486207576772914</v>
      </c>
      <c r="P46" s="497" t="s">
        <v>560</v>
      </c>
      <c r="Q46" s="497"/>
      <c r="R46" s="497"/>
      <c r="S46" s="497"/>
      <c r="T46" s="539">
        <f>(T37*$E37+T36*(0.001-$E37))/0.001</f>
        <v>0.1910639828681184</v>
      </c>
      <c r="X46" s="539"/>
    </row>
  </sheetData>
  <mergeCells count="5">
    <mergeCell ref="P8:T8"/>
    <mergeCell ref="A6:G6"/>
    <mergeCell ref="A7:G7"/>
    <mergeCell ref="C9:D9"/>
    <mergeCell ref="I8:N8"/>
  </mergeCells>
  <hyperlinks>
    <hyperlink ref="B3" r:id="rId1" xr:uid="{0D501039-1726-4B8E-A124-5F5511D745EA}"/>
    <hyperlink ref="A46" r:id="rId2" xr:uid="{EAE79418-760F-4BC6-9362-2F89738A5A60}"/>
    <hyperlink ref="L3" r:id="rId3" xr:uid="{9707B20B-9F12-4C9F-BCDE-BC4C2E471CEB}"/>
    <hyperlink ref="J1" location="Index!A1" display="index" xr:uid="{1DDACA48-97EB-43E1-BE24-258C782D3BD2}"/>
  </hyperlinks>
  <pageMargins left="0.7" right="0.7" top="0.75" bottom="0.75" header="0.3" footer="0.3"/>
  <pageSetup orientation="portrait" horizontalDpi="1200" verticalDpi="1200"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8F9496-44F2-45A1-A834-12A9FC6B6DDD}">
  <sheetPr>
    <tabColor theme="9" tint="0.79998168889431442"/>
  </sheetPr>
  <dimension ref="A1:Y440"/>
  <sheetViews>
    <sheetView zoomScale="85" zoomScaleNormal="85" workbookViewId="0">
      <selection activeCell="L32" sqref="L32"/>
    </sheetView>
  </sheetViews>
  <sheetFormatPr defaultRowHeight="15"/>
  <cols>
    <col min="1" max="1" width="19" style="462" customWidth="1"/>
    <col min="2" max="8" width="7.28515625" style="462" customWidth="1"/>
    <col min="9" max="9" width="7.85546875" style="462" customWidth="1"/>
    <col min="10" max="10" width="8.7109375" style="46" customWidth="1"/>
    <col min="11" max="11" width="12.5703125" style="462" customWidth="1"/>
    <col min="12" max="16384" width="9.140625" style="462"/>
  </cols>
  <sheetData>
    <row r="1" spans="1:9">
      <c r="A1" s="9" t="s">
        <v>434</v>
      </c>
      <c r="I1" s="641" t="s">
        <v>762</v>
      </c>
    </row>
    <row r="2" spans="1:9">
      <c r="A2" s="9"/>
    </row>
    <row r="3" spans="1:9">
      <c r="A3" s="9"/>
    </row>
    <row r="4" spans="1:9">
      <c r="A4" s="9"/>
    </row>
    <row r="5" spans="1:9">
      <c r="A5" s="9"/>
    </row>
    <row r="6" spans="1:9">
      <c r="A6" s="9"/>
    </row>
    <row r="7" spans="1:9">
      <c r="A7" s="9"/>
    </row>
    <row r="8" spans="1:9">
      <c r="A8" s="9"/>
    </row>
    <row r="9" spans="1:9">
      <c r="A9" s="9"/>
    </row>
    <row r="10" spans="1:9">
      <c r="A10" s="9"/>
    </row>
    <row r="11" spans="1:9">
      <c r="A11" s="9"/>
    </row>
    <row r="12" spans="1:9">
      <c r="A12" s="9"/>
    </row>
    <row r="13" spans="1:9">
      <c r="A13" s="9"/>
    </row>
    <row r="14" spans="1:9">
      <c r="A14" s="9"/>
    </row>
    <row r="15" spans="1:9">
      <c r="A15" s="9"/>
    </row>
    <row r="16" spans="1:9">
      <c r="A16" s="9"/>
    </row>
    <row r="17" spans="1:12">
      <c r="A17" s="9"/>
    </row>
    <row r="18" spans="1:12">
      <c r="A18" s="9"/>
    </row>
    <row r="19" spans="1:12">
      <c r="A19" s="9"/>
    </row>
    <row r="20" spans="1:12">
      <c r="A20" s="9"/>
    </row>
    <row r="21" spans="1:12">
      <c r="A21" s="9"/>
    </row>
    <row r="22" spans="1:12">
      <c r="A22" s="9"/>
    </row>
    <row r="23" spans="1:12">
      <c r="A23" s="9"/>
    </row>
    <row r="24" spans="1:12">
      <c r="A24" s="9"/>
    </row>
    <row r="25" spans="1:12">
      <c r="A25" s="9"/>
    </row>
    <row r="26" spans="1:12">
      <c r="A26" s="9"/>
    </row>
    <row r="28" spans="1:12">
      <c r="A28" s="718" t="s">
        <v>430</v>
      </c>
      <c r="B28" s="718"/>
      <c r="C28" s="718"/>
      <c r="D28" s="718"/>
      <c r="E28" s="718"/>
      <c r="F28" s="718"/>
      <c r="G28" s="718"/>
      <c r="H28" s="718"/>
      <c r="I28" s="718"/>
    </row>
    <row r="29" spans="1:12" ht="26.25" customHeight="1">
      <c r="A29" s="718" t="s">
        <v>493</v>
      </c>
      <c r="B29" s="718"/>
      <c r="C29" s="718"/>
      <c r="D29" s="718"/>
      <c r="E29" s="718"/>
      <c r="F29" s="718"/>
      <c r="G29" s="718"/>
      <c r="H29" s="718"/>
      <c r="I29" s="718"/>
    </row>
    <row r="30" spans="1:12" ht="17.25" customHeight="1">
      <c r="A30" s="223"/>
      <c r="B30" s="223"/>
      <c r="C30" s="223"/>
      <c r="D30" s="223"/>
      <c r="E30" s="223"/>
      <c r="F30" s="223"/>
      <c r="G30" s="223"/>
      <c r="H30" s="223"/>
      <c r="I30" s="223"/>
    </row>
    <row r="31" spans="1:12">
      <c r="A31" s="192" t="s">
        <v>235</v>
      </c>
      <c r="B31" s="191"/>
      <c r="C31" s="191"/>
      <c r="D31" s="4"/>
      <c r="E31" s="4"/>
      <c r="F31" s="4"/>
      <c r="G31" s="4"/>
      <c r="H31" s="4"/>
      <c r="I31" s="4"/>
      <c r="J31" s="64"/>
      <c r="K31" s="4"/>
    </row>
    <row r="32" spans="1:12" ht="29.25" customHeight="1">
      <c r="A32" s="404"/>
      <c r="B32" s="413" t="s">
        <v>29</v>
      </c>
      <c r="C32" s="413" t="s">
        <v>30</v>
      </c>
      <c r="D32" s="416"/>
      <c r="E32" s="416"/>
      <c r="F32" s="416"/>
      <c r="G32" s="4"/>
      <c r="H32" s="416"/>
      <c r="I32" s="416"/>
      <c r="J32" s="416"/>
      <c r="K32" s="416"/>
      <c r="L32" s="9"/>
    </row>
    <row r="33" spans="1:12">
      <c r="A33" s="105">
        <v>2016</v>
      </c>
      <c r="B33" s="414"/>
      <c r="C33" s="414"/>
      <c r="D33" s="414"/>
      <c r="E33" s="414"/>
      <c r="F33" s="414"/>
      <c r="G33" s="4"/>
      <c r="H33" s="414"/>
      <c r="I33" s="414"/>
      <c r="J33" s="414"/>
      <c r="K33" s="412"/>
      <c r="L33" s="9"/>
    </row>
    <row r="34" spans="1:12">
      <c r="A34" s="11" t="s">
        <v>491</v>
      </c>
      <c r="B34" s="455">
        <f>P$136</f>
        <v>123.59550561797752</v>
      </c>
      <c r="C34" s="455">
        <f>P$174</f>
        <v>19.94535519125683</v>
      </c>
      <c r="D34" s="43"/>
      <c r="E34" s="43"/>
      <c r="F34" s="43"/>
      <c r="G34" s="4"/>
      <c r="H34" s="43"/>
      <c r="I34" s="43"/>
      <c r="J34" s="43"/>
      <c r="K34" s="43"/>
    </row>
    <row r="35" spans="1:12">
      <c r="A35" s="11" t="s">
        <v>184</v>
      </c>
      <c r="B35" s="455">
        <f>Q$136</f>
        <v>76.404494382022463</v>
      </c>
      <c r="C35" s="455">
        <f>Q$174</f>
        <v>11.475409836065573</v>
      </c>
      <c r="D35" s="43"/>
      <c r="E35" s="43"/>
      <c r="F35" s="43"/>
      <c r="G35" s="4"/>
      <c r="H35" s="43"/>
      <c r="I35" s="43"/>
      <c r="J35" s="43"/>
      <c r="K35" s="43"/>
    </row>
    <row r="36" spans="1:12">
      <c r="A36" s="11" t="s">
        <v>457</v>
      </c>
      <c r="B36" s="455">
        <f>L$136</f>
        <v>27.9</v>
      </c>
      <c r="C36" s="455">
        <f>L$174</f>
        <v>11.9</v>
      </c>
      <c r="D36" s="43"/>
      <c r="E36" s="43"/>
      <c r="F36" s="43"/>
      <c r="G36" s="4"/>
      <c r="H36" s="43"/>
      <c r="I36" s="43"/>
      <c r="J36" s="43"/>
      <c r="K36" s="43"/>
      <c r="L36" s="8"/>
    </row>
    <row r="37" spans="1:12">
      <c r="A37" s="229" t="s">
        <v>459</v>
      </c>
      <c r="B37" s="455">
        <f>R$136</f>
        <v>18.947191011235955</v>
      </c>
      <c r="C37" s="455">
        <f>R$174</f>
        <v>4.1732240437158472</v>
      </c>
      <c r="D37" s="43"/>
      <c r="E37" s="43"/>
      <c r="F37" s="43"/>
      <c r="G37" s="4"/>
      <c r="H37" s="43"/>
      <c r="I37" s="43"/>
      <c r="J37" s="43"/>
      <c r="K37" s="43"/>
      <c r="L37" s="8"/>
    </row>
    <row r="38" spans="1:12">
      <c r="A38" s="232" t="s">
        <v>492</v>
      </c>
      <c r="B38" s="463">
        <f>K$136</f>
        <v>246.84719101123594</v>
      </c>
      <c r="C38" s="463">
        <f>K$174</f>
        <v>47.49398907103825</v>
      </c>
      <c r="D38" s="230"/>
      <c r="E38" s="230"/>
      <c r="F38" s="230"/>
      <c r="G38" s="4"/>
      <c r="H38" s="230"/>
      <c r="I38" s="230"/>
      <c r="J38" s="230"/>
      <c r="K38" s="230"/>
      <c r="L38" s="48"/>
    </row>
    <row r="39" spans="1:12">
      <c r="B39" s="102"/>
      <c r="C39" s="102"/>
      <c r="D39" s="49"/>
      <c r="E39" s="49"/>
      <c r="F39" s="49"/>
      <c r="G39" s="4"/>
      <c r="H39" s="49"/>
      <c r="I39" s="49"/>
      <c r="J39" s="49"/>
      <c r="K39" s="49"/>
    </row>
    <row r="40" spans="1:12">
      <c r="A40" s="105">
        <v>1979</v>
      </c>
      <c r="B40" s="434"/>
      <c r="C40" s="434"/>
      <c r="D40" s="49"/>
      <c r="E40" s="49"/>
      <c r="F40" s="49"/>
      <c r="G40" s="4"/>
      <c r="H40" s="49"/>
      <c r="I40" s="49"/>
      <c r="J40" s="49"/>
      <c r="K40" s="49"/>
    </row>
    <row r="41" spans="1:12">
      <c r="A41" s="11" t="s">
        <v>491</v>
      </c>
      <c r="B41" s="452">
        <f>P$99</f>
        <v>96.05263157894737</v>
      </c>
      <c r="C41" s="452">
        <f>P$137</f>
        <v>10.179640718562874</v>
      </c>
      <c r="D41" s="43"/>
      <c r="E41" s="43"/>
      <c r="F41" s="43"/>
      <c r="G41" s="4"/>
      <c r="H41" s="43"/>
      <c r="I41" s="43"/>
      <c r="J41" s="43"/>
      <c r="K41" s="43"/>
    </row>
    <row r="42" spans="1:12">
      <c r="A42" s="11" t="s">
        <v>184</v>
      </c>
      <c r="B42" s="452">
        <f>Q$99</f>
        <v>27.631578947368425</v>
      </c>
      <c r="C42" s="452">
        <f>Q$137</f>
        <v>2.3952095808383236</v>
      </c>
      <c r="D42" s="43"/>
      <c r="E42" s="43"/>
      <c r="F42" s="43"/>
      <c r="G42" s="4"/>
      <c r="H42" s="43"/>
      <c r="I42" s="43"/>
      <c r="J42" s="43"/>
      <c r="K42" s="43"/>
    </row>
    <row r="43" spans="1:12">
      <c r="A43" s="11" t="s">
        <v>457</v>
      </c>
      <c r="B43" s="452">
        <f>L$99</f>
        <v>7.2</v>
      </c>
      <c r="C43" s="452">
        <f>L$137</f>
        <v>0.9</v>
      </c>
      <c r="D43" s="43"/>
      <c r="E43" s="43"/>
      <c r="F43" s="43"/>
      <c r="G43" s="4"/>
      <c r="H43" s="43"/>
      <c r="I43" s="43"/>
      <c r="J43" s="43"/>
      <c r="K43" s="43"/>
    </row>
    <row r="44" spans="1:12">
      <c r="A44" s="229" t="s">
        <v>459</v>
      </c>
      <c r="B44" s="452">
        <f>R$99</f>
        <v>20.431578947368422</v>
      </c>
      <c r="C44" s="452">
        <f>R$137</f>
        <v>2.3994011976047904</v>
      </c>
      <c r="D44" s="43"/>
      <c r="E44" s="43"/>
      <c r="F44" s="43"/>
      <c r="G44" s="4"/>
      <c r="H44" s="43"/>
      <c r="I44" s="43"/>
      <c r="J44" s="43"/>
      <c r="K44" s="43"/>
    </row>
    <row r="45" spans="1:12">
      <c r="A45" s="232" t="s">
        <v>492</v>
      </c>
      <c r="B45" s="454">
        <f>K$99</f>
        <v>151.31578947368422</v>
      </c>
      <c r="C45" s="454">
        <f>K$137</f>
        <v>15.874251497005988</v>
      </c>
      <c r="D45" s="230"/>
      <c r="E45" s="230"/>
      <c r="F45" s="230"/>
      <c r="G45" s="13"/>
      <c r="H45" s="230"/>
      <c r="I45" s="230"/>
      <c r="J45" s="230"/>
      <c r="K45" s="230"/>
    </row>
    <row r="46" spans="1:12">
      <c r="B46" s="102"/>
      <c r="C46" s="102"/>
    </row>
    <row r="47" spans="1:12">
      <c r="A47" s="105" t="s">
        <v>432</v>
      </c>
      <c r="B47" s="44"/>
      <c r="D47" s="4"/>
      <c r="E47" s="4"/>
      <c r="F47" s="4"/>
      <c r="G47" s="4"/>
      <c r="H47" s="4"/>
      <c r="I47" s="4"/>
      <c r="J47" s="64"/>
      <c r="K47" s="4"/>
    </row>
    <row r="48" spans="1:12">
      <c r="A48" s="11" t="s">
        <v>491</v>
      </c>
      <c r="B48" s="102">
        <f t="shared" ref="B48:C52" si="0">B34-B41</f>
        <v>27.542874039030153</v>
      </c>
      <c r="C48" s="102">
        <f t="shared" si="0"/>
        <v>9.765714472693956</v>
      </c>
      <c r="D48" s="434"/>
      <c r="E48" s="434"/>
      <c r="F48" s="434"/>
      <c r="G48" s="64"/>
      <c r="H48" s="434"/>
      <c r="I48" s="434"/>
      <c r="J48" s="434"/>
      <c r="K48" s="434"/>
    </row>
    <row r="49" spans="1:25">
      <c r="A49" s="11" t="s">
        <v>184</v>
      </c>
      <c r="B49" s="102">
        <f t="shared" si="0"/>
        <v>48.772915434654038</v>
      </c>
      <c r="C49" s="102">
        <f t="shared" si="0"/>
        <v>9.0802002552272505</v>
      </c>
      <c r="D49" s="434"/>
      <c r="E49" s="434"/>
      <c r="F49" s="434"/>
      <c r="G49" s="64"/>
      <c r="H49" s="434"/>
      <c r="I49" s="434"/>
      <c r="J49" s="434"/>
      <c r="K49" s="434"/>
    </row>
    <row r="50" spans="1:25">
      <c r="A50" s="11" t="s">
        <v>457</v>
      </c>
      <c r="B50" s="102">
        <f t="shared" si="0"/>
        <v>20.7</v>
      </c>
      <c r="C50" s="102">
        <f t="shared" si="0"/>
        <v>11</v>
      </c>
      <c r="D50" s="434"/>
      <c r="E50" s="434"/>
      <c r="F50" s="434"/>
      <c r="G50" s="64"/>
      <c r="H50" s="434"/>
      <c r="I50" s="434"/>
      <c r="J50" s="434"/>
      <c r="K50" s="434"/>
    </row>
    <row r="51" spans="1:25">
      <c r="A51" s="229" t="s">
        <v>459</v>
      </c>
      <c r="B51" s="102">
        <f t="shared" si="0"/>
        <v>-1.4843879361324674</v>
      </c>
      <c r="C51" s="102">
        <f t="shared" si="0"/>
        <v>1.7738228461110568</v>
      </c>
      <c r="D51" s="434"/>
      <c r="E51" s="434"/>
      <c r="F51" s="434"/>
      <c r="G51" s="64"/>
      <c r="H51" s="434"/>
      <c r="I51" s="434"/>
      <c r="J51" s="434"/>
      <c r="K51" s="434"/>
    </row>
    <row r="52" spans="1:25">
      <c r="A52" s="231" t="s">
        <v>492</v>
      </c>
      <c r="B52" s="432">
        <f t="shared" si="0"/>
        <v>95.531401537551716</v>
      </c>
      <c r="C52" s="432">
        <f t="shared" si="0"/>
        <v>31.619737574032264</v>
      </c>
      <c r="D52" s="433"/>
      <c r="E52" s="433"/>
      <c r="F52" s="433"/>
      <c r="G52" s="414"/>
      <c r="H52" s="433"/>
      <c r="I52" s="433"/>
      <c r="J52" s="433"/>
      <c r="K52" s="433"/>
    </row>
    <row r="53" spans="1:25">
      <c r="D53" s="4"/>
      <c r="E53" s="4"/>
      <c r="F53" s="4"/>
      <c r="G53" s="4"/>
      <c r="H53" s="4"/>
      <c r="I53" s="4"/>
      <c r="J53" s="64"/>
      <c r="K53" s="4"/>
    </row>
    <row r="57" spans="1:25">
      <c r="A57" s="462" t="s">
        <v>454</v>
      </c>
    </row>
    <row r="59" spans="1:25">
      <c r="D59" s="9" t="s">
        <v>455</v>
      </c>
      <c r="K59" s="9" t="s">
        <v>456</v>
      </c>
    </row>
    <row r="60" spans="1:25">
      <c r="A60" s="462" t="s">
        <v>435</v>
      </c>
      <c r="B60" s="462" t="s">
        <v>436</v>
      </c>
      <c r="C60" s="462" t="s">
        <v>437</v>
      </c>
      <c r="D60" s="462" t="s">
        <v>438</v>
      </c>
      <c r="E60" s="462" t="s">
        <v>439</v>
      </c>
      <c r="F60" s="462" t="s">
        <v>440</v>
      </c>
      <c r="G60" s="462" t="s">
        <v>441</v>
      </c>
      <c r="H60" s="462" t="s">
        <v>442</v>
      </c>
      <c r="K60" s="462" t="s">
        <v>490</v>
      </c>
      <c r="L60" s="462" t="s">
        <v>439</v>
      </c>
      <c r="M60" s="462" t="s">
        <v>440</v>
      </c>
      <c r="N60" s="462" t="s">
        <v>441</v>
      </c>
      <c r="O60" s="462" t="s">
        <v>442</v>
      </c>
      <c r="P60" s="465" t="s">
        <v>485</v>
      </c>
      <c r="Q60" s="465" t="s">
        <v>486</v>
      </c>
      <c r="R60" s="465" t="s">
        <v>489</v>
      </c>
      <c r="U60" s="465" t="s">
        <v>471</v>
      </c>
      <c r="V60" s="464" t="s">
        <v>485</v>
      </c>
      <c r="W60" s="464" t="s">
        <v>486</v>
      </c>
      <c r="X60" s="464" t="s">
        <v>487</v>
      </c>
      <c r="Y60" s="464" t="s">
        <v>488</v>
      </c>
    </row>
    <row r="61" spans="1:25">
      <c r="A61" s="462" t="s">
        <v>443</v>
      </c>
      <c r="B61" s="462" t="s">
        <v>444</v>
      </c>
      <c r="C61" s="462">
        <v>1979</v>
      </c>
      <c r="D61" s="462">
        <v>2.2000000000000002</v>
      </c>
      <c r="E61" s="462">
        <v>0.6</v>
      </c>
      <c r="F61" s="462">
        <v>0.4</v>
      </c>
      <c r="G61" s="462">
        <v>0.3</v>
      </c>
      <c r="H61" s="462">
        <v>0.8</v>
      </c>
      <c r="K61" s="44">
        <f>L61+P61+Q61+R61</f>
        <v>9.5918566775244294</v>
      </c>
      <c r="L61" s="462">
        <v>0.6</v>
      </c>
      <c r="M61" s="462">
        <v>0.4</v>
      </c>
      <c r="N61" s="462">
        <v>0.3</v>
      </c>
      <c r="O61" s="462">
        <v>0.8</v>
      </c>
      <c r="P61" s="44">
        <f>V61/$U61*100</f>
        <v>5.3745928338762221</v>
      </c>
      <c r="Q61" s="44">
        <f>W61/$U61*100</f>
        <v>1.4657980456026058</v>
      </c>
      <c r="R61" s="44">
        <f>M61+N61+O61+(X61+Y61)/$U61*100</f>
        <v>2.1514657980456029</v>
      </c>
      <c r="U61" s="465">
        <v>61400</v>
      </c>
      <c r="V61" s="464">
        <v>3300</v>
      </c>
      <c r="W61" s="464">
        <v>900</v>
      </c>
      <c r="X61" s="464">
        <v>300</v>
      </c>
      <c r="Y61" s="464">
        <v>100</v>
      </c>
    </row>
    <row r="62" spans="1:25">
      <c r="A62" s="462" t="s">
        <v>443</v>
      </c>
      <c r="B62" s="462" t="s">
        <v>444</v>
      </c>
      <c r="C62" s="462">
        <v>1980</v>
      </c>
      <c r="D62" s="462">
        <v>2.2999999999999998</v>
      </c>
      <c r="E62" s="462">
        <v>0.7</v>
      </c>
      <c r="F62" s="462">
        <v>0.4</v>
      </c>
      <c r="G62" s="462">
        <v>0.4</v>
      </c>
      <c r="H62" s="462">
        <v>0.9</v>
      </c>
      <c r="K62" s="44">
        <f t="shared" ref="K62:K125" si="1">L62+P62+Q62+R62</f>
        <v>10.014213197969545</v>
      </c>
      <c r="L62" s="462">
        <v>0.7</v>
      </c>
      <c r="M62" s="462">
        <v>0.4</v>
      </c>
      <c r="N62" s="462">
        <v>0.4</v>
      </c>
      <c r="O62" s="462">
        <v>0.9</v>
      </c>
      <c r="P62" s="44">
        <f t="shared" ref="P62:P125" si="2">V62/$U62*100</f>
        <v>5.7529610829103213</v>
      </c>
      <c r="Q62" s="44">
        <f t="shared" ref="Q62:Q125" si="3">W62/$U62*100</f>
        <v>1.6920473773265652</v>
      </c>
      <c r="R62" s="44">
        <f t="shared" ref="R62:R125" si="4">M62+N62+O62+Y62/$U62*100</f>
        <v>1.8692047377326566</v>
      </c>
      <c r="U62" s="465">
        <v>59100</v>
      </c>
      <c r="V62" s="464">
        <v>3400</v>
      </c>
      <c r="W62" s="464">
        <v>1000</v>
      </c>
      <c r="X62" s="464">
        <v>400</v>
      </c>
      <c r="Y62" s="464">
        <v>100</v>
      </c>
    </row>
    <row r="63" spans="1:25">
      <c r="A63" s="462" t="s">
        <v>443</v>
      </c>
      <c r="B63" s="462" t="s">
        <v>444</v>
      </c>
      <c r="C63" s="462">
        <v>1981</v>
      </c>
      <c r="D63" s="462">
        <v>2.4</v>
      </c>
      <c r="E63" s="462">
        <v>0.7</v>
      </c>
      <c r="F63" s="462">
        <v>0.5</v>
      </c>
      <c r="G63" s="462">
        <v>0.3</v>
      </c>
      <c r="H63" s="462">
        <v>0.9</v>
      </c>
      <c r="K63" s="44">
        <f t="shared" si="1"/>
        <v>10.521827411167514</v>
      </c>
      <c r="L63" s="462">
        <v>0.7</v>
      </c>
      <c r="M63" s="462">
        <v>0.5</v>
      </c>
      <c r="N63" s="462">
        <v>0.3</v>
      </c>
      <c r="O63" s="462">
        <v>0.9</v>
      </c>
      <c r="P63" s="44">
        <f t="shared" si="2"/>
        <v>6.091370558375635</v>
      </c>
      <c r="Q63" s="44">
        <f t="shared" si="3"/>
        <v>1.8612521150592216</v>
      </c>
      <c r="R63" s="44">
        <f t="shared" si="4"/>
        <v>1.8692047377326566</v>
      </c>
      <c r="U63" s="465">
        <v>59100</v>
      </c>
      <c r="V63" s="464">
        <v>3600</v>
      </c>
      <c r="W63" s="464">
        <v>1100</v>
      </c>
      <c r="X63" s="464">
        <v>300</v>
      </c>
      <c r="Y63" s="464">
        <v>100</v>
      </c>
    </row>
    <row r="64" spans="1:25">
      <c r="A64" s="462" t="s">
        <v>443</v>
      </c>
      <c r="B64" s="462" t="s">
        <v>444</v>
      </c>
      <c r="C64" s="462">
        <v>1982</v>
      </c>
      <c r="D64" s="462">
        <v>2.2999999999999998</v>
      </c>
      <c r="E64" s="462">
        <v>0.7</v>
      </c>
      <c r="F64" s="462">
        <v>0.4</v>
      </c>
      <c r="G64" s="462">
        <v>0.3</v>
      </c>
      <c r="H64" s="462">
        <v>0.9</v>
      </c>
      <c r="K64" s="44">
        <f t="shared" si="1"/>
        <v>11.158603066439523</v>
      </c>
      <c r="L64" s="462">
        <v>0.7</v>
      </c>
      <c r="M64" s="462">
        <v>0.4</v>
      </c>
      <c r="N64" s="462">
        <v>0.3</v>
      </c>
      <c r="O64" s="462">
        <v>0.9</v>
      </c>
      <c r="P64" s="44">
        <f t="shared" si="2"/>
        <v>6.4735945485519588</v>
      </c>
      <c r="Q64" s="44">
        <f t="shared" si="3"/>
        <v>2.0442930153321974</v>
      </c>
      <c r="R64" s="44">
        <f t="shared" si="4"/>
        <v>1.9407155025553664</v>
      </c>
      <c r="U64" s="465">
        <v>58700</v>
      </c>
      <c r="V64" s="464">
        <v>3800</v>
      </c>
      <c r="W64" s="464">
        <v>1200</v>
      </c>
      <c r="X64" s="464">
        <v>500</v>
      </c>
      <c r="Y64" s="464">
        <v>200</v>
      </c>
    </row>
    <row r="65" spans="1:25">
      <c r="A65" s="462" t="s">
        <v>443</v>
      </c>
      <c r="B65" s="462" t="s">
        <v>444</v>
      </c>
      <c r="C65" s="462">
        <v>1983</v>
      </c>
      <c r="D65" s="462">
        <v>2.4</v>
      </c>
      <c r="E65" s="462">
        <v>0.7</v>
      </c>
      <c r="F65" s="462">
        <v>0.4</v>
      </c>
      <c r="G65" s="462">
        <v>0.3</v>
      </c>
      <c r="H65" s="462">
        <v>0.9</v>
      </c>
      <c r="K65" s="44">
        <f t="shared" si="1"/>
        <v>11.23760539629005</v>
      </c>
      <c r="L65" s="462">
        <v>0.7</v>
      </c>
      <c r="M65" s="462">
        <v>0.4</v>
      </c>
      <c r="N65" s="462">
        <v>0.3</v>
      </c>
      <c r="O65" s="462">
        <v>0.9</v>
      </c>
      <c r="P65" s="44">
        <f t="shared" si="2"/>
        <v>6.4080944350758857</v>
      </c>
      <c r="Q65" s="44">
        <f t="shared" si="3"/>
        <v>2.1922428330522767</v>
      </c>
      <c r="R65" s="44">
        <f t="shared" si="4"/>
        <v>1.9372681281618886</v>
      </c>
      <c r="U65" s="465">
        <v>59300</v>
      </c>
      <c r="V65" s="464">
        <v>3800</v>
      </c>
      <c r="W65" s="464">
        <v>1300</v>
      </c>
      <c r="X65" s="464">
        <v>500</v>
      </c>
      <c r="Y65" s="464">
        <v>200</v>
      </c>
    </row>
    <row r="66" spans="1:25">
      <c r="A66" s="462" t="s">
        <v>443</v>
      </c>
      <c r="B66" s="462" t="s">
        <v>444</v>
      </c>
      <c r="C66" s="462">
        <v>1984</v>
      </c>
      <c r="D66" s="462">
        <v>2.2000000000000002</v>
      </c>
      <c r="E66" s="462">
        <v>0.7</v>
      </c>
      <c r="F66" s="462">
        <v>0.4</v>
      </c>
      <c r="G66" s="462">
        <v>0.3</v>
      </c>
      <c r="H66" s="462">
        <v>0.9</v>
      </c>
      <c r="K66" s="44">
        <f t="shared" si="1"/>
        <v>10.699366085578447</v>
      </c>
      <c r="L66" s="462">
        <v>0.7</v>
      </c>
      <c r="M66" s="462">
        <v>0.4</v>
      </c>
      <c r="N66" s="462">
        <v>0.3</v>
      </c>
      <c r="O66" s="462">
        <v>0.9</v>
      </c>
      <c r="P66" s="44">
        <f t="shared" si="2"/>
        <v>6.0221870047543584</v>
      </c>
      <c r="Q66" s="44">
        <f t="shared" si="3"/>
        <v>2.0602218700475436</v>
      </c>
      <c r="R66" s="44">
        <f t="shared" si="4"/>
        <v>1.9169572107765451</v>
      </c>
      <c r="U66" s="465">
        <v>63100</v>
      </c>
      <c r="V66" s="464">
        <v>3800</v>
      </c>
      <c r="W66" s="464">
        <v>1300</v>
      </c>
      <c r="X66" s="464">
        <v>300</v>
      </c>
      <c r="Y66" s="464">
        <v>200</v>
      </c>
    </row>
    <row r="67" spans="1:25">
      <c r="A67" s="462" t="s">
        <v>443</v>
      </c>
      <c r="B67" s="462" t="s">
        <v>444</v>
      </c>
      <c r="C67" s="462">
        <v>1985</v>
      </c>
      <c r="D67" s="462">
        <v>2.2000000000000002</v>
      </c>
      <c r="E67" s="462">
        <v>0.7</v>
      </c>
      <c r="F67" s="462">
        <v>0.3</v>
      </c>
      <c r="G67" s="462">
        <v>0.3</v>
      </c>
      <c r="H67" s="462">
        <v>0.9</v>
      </c>
      <c r="K67" s="44">
        <f t="shared" si="1"/>
        <v>10.62433697347894</v>
      </c>
      <c r="L67" s="462">
        <v>0.7</v>
      </c>
      <c r="M67" s="462">
        <v>0.3</v>
      </c>
      <c r="N67" s="462">
        <v>0.3</v>
      </c>
      <c r="O67" s="462">
        <v>0.9</v>
      </c>
      <c r="P67" s="44">
        <f t="shared" si="2"/>
        <v>5.9282371294851792</v>
      </c>
      <c r="Q67" s="44">
        <f t="shared" si="3"/>
        <v>2.1840873634945397</v>
      </c>
      <c r="R67" s="44">
        <f t="shared" si="4"/>
        <v>1.8120124804992199</v>
      </c>
      <c r="U67" s="465">
        <v>64100</v>
      </c>
      <c r="V67" s="464">
        <v>3800</v>
      </c>
      <c r="W67" s="464">
        <v>1400</v>
      </c>
      <c r="X67" s="464">
        <v>300</v>
      </c>
      <c r="Y67" s="464">
        <v>200</v>
      </c>
    </row>
    <row r="68" spans="1:25">
      <c r="A68" s="462" t="s">
        <v>443</v>
      </c>
      <c r="B68" s="462" t="s">
        <v>444</v>
      </c>
      <c r="C68" s="462">
        <v>1986</v>
      </c>
      <c r="D68" s="462">
        <v>2.1</v>
      </c>
      <c r="E68" s="462">
        <v>0.7</v>
      </c>
      <c r="F68" s="462">
        <v>0.3</v>
      </c>
      <c r="G68" s="462">
        <v>0.3</v>
      </c>
      <c r="H68" s="462">
        <v>0.8</v>
      </c>
      <c r="K68" s="44">
        <f t="shared" si="1"/>
        <v>10.251382823871907</v>
      </c>
      <c r="L68" s="462">
        <v>0.7</v>
      </c>
      <c r="M68" s="462">
        <v>0.3</v>
      </c>
      <c r="N68" s="462">
        <v>0.3</v>
      </c>
      <c r="O68" s="462">
        <v>0.8</v>
      </c>
      <c r="P68" s="44">
        <f t="shared" si="2"/>
        <v>5.6768558951965069</v>
      </c>
      <c r="Q68" s="44">
        <f t="shared" si="3"/>
        <v>2.1834061135371177</v>
      </c>
      <c r="R68" s="44">
        <f t="shared" si="4"/>
        <v>1.6911208151382824</v>
      </c>
      <c r="U68" s="465">
        <v>68700</v>
      </c>
      <c r="V68" s="464">
        <v>3900</v>
      </c>
      <c r="W68" s="464">
        <v>1500</v>
      </c>
      <c r="X68" s="464">
        <v>300</v>
      </c>
      <c r="Y68" s="464">
        <v>200</v>
      </c>
    </row>
    <row r="69" spans="1:25">
      <c r="A69" s="462" t="s">
        <v>443</v>
      </c>
      <c r="B69" s="462" t="s">
        <v>444</v>
      </c>
      <c r="C69" s="462">
        <v>1987</v>
      </c>
      <c r="D69" s="462">
        <v>2.2000000000000002</v>
      </c>
      <c r="E69" s="462">
        <v>0.8</v>
      </c>
      <c r="F69" s="462">
        <v>0.3</v>
      </c>
      <c r="G69" s="462">
        <v>0.3</v>
      </c>
      <c r="H69" s="462">
        <v>0.8</v>
      </c>
      <c r="K69" s="44">
        <f t="shared" si="1"/>
        <v>10.633734939759037</v>
      </c>
      <c r="L69" s="462">
        <v>0.8</v>
      </c>
      <c r="M69" s="462">
        <v>0.3</v>
      </c>
      <c r="N69" s="462">
        <v>0.3</v>
      </c>
      <c r="O69" s="462">
        <v>0.8</v>
      </c>
      <c r="P69" s="44">
        <f t="shared" si="2"/>
        <v>5.8734939759036147</v>
      </c>
      <c r="Q69" s="44">
        <f t="shared" si="3"/>
        <v>2.2590361445783134</v>
      </c>
      <c r="R69" s="44">
        <f t="shared" si="4"/>
        <v>1.7012048192771083</v>
      </c>
      <c r="U69" s="465">
        <v>66400</v>
      </c>
      <c r="V69" s="464">
        <v>3900</v>
      </c>
      <c r="W69" s="464">
        <v>1500</v>
      </c>
      <c r="X69" s="464">
        <v>300</v>
      </c>
      <c r="Y69" s="464">
        <v>200</v>
      </c>
    </row>
    <row r="70" spans="1:25">
      <c r="A70" s="462" t="s">
        <v>443</v>
      </c>
      <c r="B70" s="462" t="s">
        <v>444</v>
      </c>
      <c r="C70" s="462">
        <v>1988</v>
      </c>
      <c r="D70" s="462">
        <v>2.2000000000000002</v>
      </c>
      <c r="E70" s="462">
        <v>0.8</v>
      </c>
      <c r="F70" s="462">
        <v>0.3</v>
      </c>
      <c r="G70" s="462">
        <v>0.3</v>
      </c>
      <c r="H70" s="462">
        <v>0.8</v>
      </c>
      <c r="K70" s="44">
        <f t="shared" si="1"/>
        <v>10.269164265129682</v>
      </c>
      <c r="L70" s="462">
        <v>0.8</v>
      </c>
      <c r="M70" s="462">
        <v>0.3</v>
      </c>
      <c r="N70" s="462">
        <v>0.3</v>
      </c>
      <c r="O70" s="462">
        <v>0.8</v>
      </c>
      <c r="P70" s="44">
        <f t="shared" si="2"/>
        <v>5.6195965417867439</v>
      </c>
      <c r="Q70" s="44">
        <f t="shared" si="3"/>
        <v>2.1613832853025938</v>
      </c>
      <c r="R70" s="44">
        <f t="shared" si="4"/>
        <v>1.6881844380403457</v>
      </c>
      <c r="U70" s="465">
        <v>69400</v>
      </c>
      <c r="V70" s="464">
        <v>3900</v>
      </c>
      <c r="W70" s="464">
        <v>1500</v>
      </c>
      <c r="X70" s="464">
        <v>200</v>
      </c>
      <c r="Y70" s="464">
        <v>200</v>
      </c>
    </row>
    <row r="71" spans="1:25">
      <c r="A71" s="462" t="s">
        <v>443</v>
      </c>
      <c r="B71" s="462" t="s">
        <v>444</v>
      </c>
      <c r="C71" s="462">
        <v>1989</v>
      </c>
      <c r="D71" s="462">
        <v>2.2999999999999998</v>
      </c>
      <c r="E71" s="462">
        <v>0.8</v>
      </c>
      <c r="F71" s="462">
        <v>0.3</v>
      </c>
      <c r="G71" s="462">
        <v>0.3</v>
      </c>
      <c r="H71" s="462">
        <v>0.8</v>
      </c>
      <c r="K71" s="44">
        <f t="shared" si="1"/>
        <v>10.222922636103149</v>
      </c>
      <c r="L71" s="462">
        <v>0.8</v>
      </c>
      <c r="M71" s="462">
        <v>0.3</v>
      </c>
      <c r="N71" s="462">
        <v>0.3</v>
      </c>
      <c r="O71" s="462">
        <v>0.8</v>
      </c>
      <c r="P71" s="44">
        <f t="shared" si="2"/>
        <v>5.5873925501432664</v>
      </c>
      <c r="Q71" s="44">
        <f t="shared" si="3"/>
        <v>2.1489971346704868</v>
      </c>
      <c r="R71" s="44">
        <f t="shared" si="4"/>
        <v>1.6865329512893981</v>
      </c>
      <c r="U71" s="465">
        <v>69800</v>
      </c>
      <c r="V71" s="464">
        <v>3900</v>
      </c>
      <c r="W71" s="464">
        <v>1500</v>
      </c>
      <c r="X71" s="464">
        <v>200</v>
      </c>
      <c r="Y71" s="464">
        <v>200</v>
      </c>
    </row>
    <row r="72" spans="1:25">
      <c r="A72" s="462" t="s">
        <v>443</v>
      </c>
      <c r="B72" s="462" t="s">
        <v>444</v>
      </c>
      <c r="C72" s="462">
        <v>1990</v>
      </c>
      <c r="D72" s="462">
        <v>2.5</v>
      </c>
      <c r="E72" s="462">
        <v>1</v>
      </c>
      <c r="F72" s="462">
        <v>0.3</v>
      </c>
      <c r="G72" s="462">
        <v>0.4</v>
      </c>
      <c r="H72" s="462">
        <v>0.8</v>
      </c>
      <c r="K72" s="44">
        <f t="shared" si="1"/>
        <v>11.026011560693643</v>
      </c>
      <c r="L72" s="462">
        <v>1</v>
      </c>
      <c r="M72" s="462">
        <v>0.3</v>
      </c>
      <c r="N72" s="462">
        <v>0.4</v>
      </c>
      <c r="O72" s="462">
        <v>0.8</v>
      </c>
      <c r="P72" s="44">
        <f t="shared" si="2"/>
        <v>5.7803468208092488</v>
      </c>
      <c r="Q72" s="44">
        <f t="shared" si="3"/>
        <v>2.4566473988439306</v>
      </c>
      <c r="R72" s="44">
        <f t="shared" si="4"/>
        <v>1.7890173410404624</v>
      </c>
      <c r="U72" s="465">
        <v>69200</v>
      </c>
      <c r="V72" s="464">
        <v>4000</v>
      </c>
      <c r="W72" s="464">
        <v>1700</v>
      </c>
      <c r="X72" s="464">
        <v>300</v>
      </c>
      <c r="Y72" s="464">
        <v>200</v>
      </c>
    </row>
    <row r="73" spans="1:25">
      <c r="A73" s="462" t="s">
        <v>443</v>
      </c>
      <c r="B73" s="462" t="s">
        <v>444</v>
      </c>
      <c r="C73" s="462">
        <v>1991</v>
      </c>
      <c r="D73" s="462">
        <v>2.9</v>
      </c>
      <c r="E73" s="462">
        <v>1.2</v>
      </c>
      <c r="F73" s="462">
        <v>0.4</v>
      </c>
      <c r="G73" s="462">
        <v>0.4</v>
      </c>
      <c r="H73" s="462">
        <v>0.9</v>
      </c>
      <c r="K73" s="44">
        <f t="shared" si="1"/>
        <v>11.84187779433681</v>
      </c>
      <c r="L73" s="462">
        <v>1.2</v>
      </c>
      <c r="M73" s="462">
        <v>0.4</v>
      </c>
      <c r="N73" s="462">
        <v>0.4</v>
      </c>
      <c r="O73" s="462">
        <v>0.9</v>
      </c>
      <c r="P73" s="44">
        <f t="shared" si="2"/>
        <v>6.1102831594634877</v>
      </c>
      <c r="Q73" s="44">
        <f t="shared" si="3"/>
        <v>2.5335320417287628</v>
      </c>
      <c r="R73" s="44">
        <f t="shared" si="4"/>
        <v>1.9980625931445606</v>
      </c>
      <c r="U73" s="465">
        <v>67100</v>
      </c>
      <c r="V73" s="464">
        <v>4100</v>
      </c>
      <c r="W73" s="464">
        <v>1700</v>
      </c>
      <c r="X73" s="464">
        <v>400</v>
      </c>
      <c r="Y73" s="464">
        <v>200</v>
      </c>
    </row>
    <row r="74" spans="1:25">
      <c r="A74" s="462" t="s">
        <v>443</v>
      </c>
      <c r="B74" s="462" t="s">
        <v>444</v>
      </c>
      <c r="C74" s="462">
        <v>1992</v>
      </c>
      <c r="D74" s="462">
        <v>3.1</v>
      </c>
      <c r="E74" s="462">
        <v>1.3</v>
      </c>
      <c r="F74" s="462">
        <v>0.5</v>
      </c>
      <c r="G74" s="462">
        <v>0.5</v>
      </c>
      <c r="H74" s="462">
        <v>0.9</v>
      </c>
      <c r="K74" s="44">
        <f t="shared" si="1"/>
        <v>12.224745269286753</v>
      </c>
      <c r="L74" s="462">
        <v>1.3</v>
      </c>
      <c r="M74" s="462">
        <v>0.5</v>
      </c>
      <c r="N74" s="462">
        <v>0.5</v>
      </c>
      <c r="O74" s="462">
        <v>0.9</v>
      </c>
      <c r="P74" s="44">
        <f t="shared" si="2"/>
        <v>6.1135371179039302</v>
      </c>
      <c r="Q74" s="44">
        <f t="shared" si="3"/>
        <v>2.6200873362445414</v>
      </c>
      <c r="R74" s="44">
        <f t="shared" si="4"/>
        <v>2.1911208151382824</v>
      </c>
      <c r="U74" s="465">
        <v>68700</v>
      </c>
      <c r="V74" s="464">
        <v>4200</v>
      </c>
      <c r="W74" s="464">
        <v>1800</v>
      </c>
      <c r="X74" s="464">
        <v>500</v>
      </c>
      <c r="Y74" s="464">
        <v>200</v>
      </c>
    </row>
    <row r="75" spans="1:25">
      <c r="A75" s="462" t="s">
        <v>443</v>
      </c>
      <c r="B75" s="462" t="s">
        <v>444</v>
      </c>
      <c r="C75" s="462">
        <v>1993</v>
      </c>
      <c r="D75" s="462">
        <v>3.3</v>
      </c>
      <c r="E75" s="462">
        <v>1.4</v>
      </c>
      <c r="F75" s="462">
        <v>0.5</v>
      </c>
      <c r="G75" s="462">
        <v>0.5</v>
      </c>
      <c r="H75" s="462">
        <v>0.9</v>
      </c>
      <c r="K75" s="44">
        <f t="shared" si="1"/>
        <v>12.893023255813954</v>
      </c>
      <c r="L75" s="462">
        <v>1.4</v>
      </c>
      <c r="M75" s="462">
        <v>0.5</v>
      </c>
      <c r="N75" s="462">
        <v>0.5</v>
      </c>
      <c r="O75" s="462">
        <v>0.9</v>
      </c>
      <c r="P75" s="44">
        <f t="shared" si="2"/>
        <v>6.395348837209303</v>
      </c>
      <c r="Q75" s="44">
        <f t="shared" si="3"/>
        <v>2.9069767441860463</v>
      </c>
      <c r="R75" s="44">
        <f t="shared" si="4"/>
        <v>2.1906976744186046</v>
      </c>
      <c r="U75" s="465">
        <v>68800</v>
      </c>
      <c r="V75" s="464">
        <v>4400</v>
      </c>
      <c r="W75" s="464">
        <v>2000</v>
      </c>
      <c r="X75" s="464">
        <v>400</v>
      </c>
      <c r="Y75" s="464">
        <v>200</v>
      </c>
    </row>
    <row r="76" spans="1:25">
      <c r="A76" s="462" t="s">
        <v>443</v>
      </c>
      <c r="B76" s="462" t="s">
        <v>444</v>
      </c>
      <c r="C76" s="462">
        <v>1994</v>
      </c>
      <c r="D76" s="462">
        <v>3.3</v>
      </c>
      <c r="E76" s="462">
        <v>1.5</v>
      </c>
      <c r="F76" s="462">
        <v>0.4</v>
      </c>
      <c r="G76" s="462">
        <v>0.5</v>
      </c>
      <c r="H76" s="462">
        <v>0.9</v>
      </c>
      <c r="K76" s="44">
        <f t="shared" si="1"/>
        <v>12.769153515064563</v>
      </c>
      <c r="L76" s="462">
        <v>1.5</v>
      </c>
      <c r="M76" s="462">
        <v>0.4</v>
      </c>
      <c r="N76" s="462">
        <v>0.5</v>
      </c>
      <c r="O76" s="462">
        <v>0.9</v>
      </c>
      <c r="P76" s="44">
        <f t="shared" si="2"/>
        <v>6.3127690100430414</v>
      </c>
      <c r="Q76" s="44">
        <f t="shared" si="3"/>
        <v>2.8694404591104736</v>
      </c>
      <c r="R76" s="44">
        <f t="shared" si="4"/>
        <v>2.0869440459110473</v>
      </c>
      <c r="U76" s="465">
        <v>69700</v>
      </c>
      <c r="V76" s="464">
        <v>4400</v>
      </c>
      <c r="W76" s="464">
        <v>2000</v>
      </c>
      <c r="X76" s="464">
        <v>300</v>
      </c>
      <c r="Y76" s="464">
        <v>200</v>
      </c>
    </row>
    <row r="77" spans="1:25">
      <c r="A77" s="462" t="s">
        <v>443</v>
      </c>
      <c r="B77" s="462" t="s">
        <v>444</v>
      </c>
      <c r="C77" s="462">
        <v>1995</v>
      </c>
      <c r="D77" s="462">
        <v>3.3</v>
      </c>
      <c r="E77" s="462">
        <v>1.5</v>
      </c>
      <c r="F77" s="462">
        <v>0.4</v>
      </c>
      <c r="G77" s="462">
        <v>0.5</v>
      </c>
      <c r="H77" s="462">
        <v>0.9</v>
      </c>
      <c r="K77" s="44">
        <f t="shared" si="1"/>
        <v>12.778021978021979</v>
      </c>
      <c r="L77" s="462">
        <v>1.5</v>
      </c>
      <c r="M77" s="462">
        <v>0.4</v>
      </c>
      <c r="N77" s="462">
        <v>0.5</v>
      </c>
      <c r="O77" s="462">
        <v>0.9</v>
      </c>
      <c r="P77" s="44">
        <f t="shared" si="2"/>
        <v>6.1813186813186816</v>
      </c>
      <c r="Q77" s="44">
        <f t="shared" si="3"/>
        <v>3.0219780219780219</v>
      </c>
      <c r="R77" s="44">
        <f t="shared" si="4"/>
        <v>2.0747252747252749</v>
      </c>
      <c r="U77" s="465">
        <v>72800</v>
      </c>
      <c r="V77" s="464">
        <v>4500</v>
      </c>
      <c r="W77" s="464">
        <v>2200</v>
      </c>
      <c r="X77" s="464">
        <v>300</v>
      </c>
      <c r="Y77" s="464">
        <v>200</v>
      </c>
    </row>
    <row r="78" spans="1:25">
      <c r="A78" s="462" t="s">
        <v>443</v>
      </c>
      <c r="B78" s="462" t="s">
        <v>444</v>
      </c>
      <c r="C78" s="462">
        <v>1996</v>
      </c>
      <c r="D78" s="462">
        <v>3</v>
      </c>
      <c r="E78" s="462">
        <v>1.4</v>
      </c>
      <c r="F78" s="462">
        <v>0.4</v>
      </c>
      <c r="G78" s="462">
        <v>0.5</v>
      </c>
      <c r="H78" s="462">
        <v>0.8</v>
      </c>
      <c r="K78" s="44">
        <f t="shared" si="1"/>
        <v>12.214927344782033</v>
      </c>
      <c r="L78" s="462">
        <v>1.4</v>
      </c>
      <c r="M78" s="462">
        <v>0.4</v>
      </c>
      <c r="N78" s="462">
        <v>0.5</v>
      </c>
      <c r="O78" s="462">
        <v>0.8</v>
      </c>
      <c r="P78" s="44">
        <f t="shared" si="2"/>
        <v>5.9445178335535003</v>
      </c>
      <c r="Q78" s="44">
        <f t="shared" si="3"/>
        <v>3.0383091149273449</v>
      </c>
      <c r="R78" s="44">
        <f t="shared" si="4"/>
        <v>1.832100396301189</v>
      </c>
      <c r="U78" s="465">
        <v>75700</v>
      </c>
      <c r="V78" s="464">
        <v>4500</v>
      </c>
      <c r="W78" s="464">
        <v>2300</v>
      </c>
      <c r="X78" s="464">
        <v>300</v>
      </c>
      <c r="Y78" s="464">
        <v>100</v>
      </c>
    </row>
    <row r="79" spans="1:25">
      <c r="A79" s="462" t="s">
        <v>443</v>
      </c>
      <c r="B79" s="462" t="s">
        <v>444</v>
      </c>
      <c r="C79" s="462">
        <v>1997</v>
      </c>
      <c r="D79" s="462">
        <v>2.8</v>
      </c>
      <c r="E79" s="462">
        <v>1.4</v>
      </c>
      <c r="F79" s="462">
        <v>0.3</v>
      </c>
      <c r="G79" s="462">
        <v>0.4</v>
      </c>
      <c r="H79" s="462">
        <v>0.7</v>
      </c>
      <c r="K79" s="44">
        <f t="shared" si="1"/>
        <v>11.730817610062893</v>
      </c>
      <c r="L79" s="462">
        <v>1.4</v>
      </c>
      <c r="M79" s="462">
        <v>0.3</v>
      </c>
      <c r="N79" s="462">
        <v>0.4</v>
      </c>
      <c r="O79" s="462">
        <v>0.7</v>
      </c>
      <c r="P79" s="44">
        <f t="shared" si="2"/>
        <v>5.6603773584905666</v>
      </c>
      <c r="Q79" s="44">
        <f t="shared" si="3"/>
        <v>3.0188679245283021</v>
      </c>
      <c r="R79" s="44">
        <f t="shared" si="4"/>
        <v>1.651572327044025</v>
      </c>
      <c r="U79" s="465">
        <v>79500</v>
      </c>
      <c r="V79" s="464">
        <v>4500</v>
      </c>
      <c r="W79" s="464">
        <v>2400</v>
      </c>
      <c r="X79" s="464">
        <v>200</v>
      </c>
      <c r="Y79" s="464">
        <v>200</v>
      </c>
    </row>
    <row r="80" spans="1:25">
      <c r="A80" s="462" t="s">
        <v>443</v>
      </c>
      <c r="B80" s="462" t="s">
        <v>444</v>
      </c>
      <c r="C80" s="462">
        <v>1998</v>
      </c>
      <c r="D80" s="462">
        <v>2.8</v>
      </c>
      <c r="E80" s="462">
        <v>1.5</v>
      </c>
      <c r="F80" s="462">
        <v>0.2</v>
      </c>
      <c r="G80" s="462">
        <v>0.4</v>
      </c>
      <c r="H80" s="462">
        <v>0.6</v>
      </c>
      <c r="K80" s="44">
        <f t="shared" si="1"/>
        <v>11.013539192399051</v>
      </c>
      <c r="L80" s="462">
        <v>1.5</v>
      </c>
      <c r="M80" s="462">
        <v>0.2</v>
      </c>
      <c r="N80" s="462">
        <v>0.4</v>
      </c>
      <c r="O80" s="462">
        <v>0.6</v>
      </c>
      <c r="P80" s="44">
        <f t="shared" si="2"/>
        <v>5.4631828978622332</v>
      </c>
      <c r="Q80" s="44">
        <f t="shared" si="3"/>
        <v>2.7315914489311166</v>
      </c>
      <c r="R80" s="44">
        <f t="shared" si="4"/>
        <v>1.3187648456057008</v>
      </c>
      <c r="U80" s="465">
        <v>84200</v>
      </c>
      <c r="V80" s="464">
        <v>4600</v>
      </c>
      <c r="W80" s="464">
        <v>2300</v>
      </c>
      <c r="X80" s="464">
        <v>200</v>
      </c>
      <c r="Y80" s="464">
        <v>100</v>
      </c>
    </row>
    <row r="81" spans="1:25">
      <c r="A81" s="462" t="s">
        <v>443</v>
      </c>
      <c r="B81" s="462" t="s">
        <v>444</v>
      </c>
      <c r="C81" s="462">
        <v>1999</v>
      </c>
      <c r="D81" s="462">
        <v>2.7</v>
      </c>
      <c r="E81" s="462">
        <v>1.5</v>
      </c>
      <c r="F81" s="462">
        <v>0.2</v>
      </c>
      <c r="G81" s="462">
        <v>0.4</v>
      </c>
      <c r="H81" s="462">
        <v>0.5</v>
      </c>
      <c r="K81" s="44">
        <f t="shared" si="1"/>
        <v>10.257657657657658</v>
      </c>
      <c r="L81" s="462">
        <v>1.5</v>
      </c>
      <c r="M81" s="462">
        <v>0.2</v>
      </c>
      <c r="N81" s="462">
        <v>0.4</v>
      </c>
      <c r="O81" s="462">
        <v>0.5</v>
      </c>
      <c r="P81" s="44">
        <f t="shared" si="2"/>
        <v>5.0675675675675675</v>
      </c>
      <c r="Q81" s="44">
        <f t="shared" si="3"/>
        <v>2.4774774774774775</v>
      </c>
      <c r="R81" s="44">
        <f t="shared" si="4"/>
        <v>1.2126126126126127</v>
      </c>
      <c r="U81" s="465">
        <v>88800</v>
      </c>
      <c r="V81" s="464">
        <v>4500</v>
      </c>
      <c r="W81" s="464">
        <v>2200</v>
      </c>
      <c r="X81" s="464">
        <v>200</v>
      </c>
      <c r="Y81" s="464">
        <v>100</v>
      </c>
    </row>
    <row r="82" spans="1:25">
      <c r="A82" s="462" t="s">
        <v>443</v>
      </c>
      <c r="B82" s="462" t="s">
        <v>444</v>
      </c>
      <c r="C82" s="462">
        <v>2000</v>
      </c>
      <c r="D82" s="462">
        <v>2.7</v>
      </c>
      <c r="E82" s="462">
        <v>1.6</v>
      </c>
      <c r="F82" s="462">
        <v>0.2</v>
      </c>
      <c r="G82" s="462">
        <v>0.4</v>
      </c>
      <c r="H82" s="462">
        <v>0.5</v>
      </c>
      <c r="K82" s="44">
        <f t="shared" si="1"/>
        <v>10.367031763417305</v>
      </c>
      <c r="L82" s="462">
        <v>1.6</v>
      </c>
      <c r="M82" s="462">
        <v>0.2</v>
      </c>
      <c r="N82" s="462">
        <v>0.4</v>
      </c>
      <c r="O82" s="462">
        <v>0.5</v>
      </c>
      <c r="P82" s="44">
        <f t="shared" si="2"/>
        <v>5.0383351588170866</v>
      </c>
      <c r="Q82" s="44">
        <f t="shared" si="3"/>
        <v>2.4096385542168677</v>
      </c>
      <c r="R82" s="44">
        <f t="shared" si="4"/>
        <v>1.3190580503833518</v>
      </c>
      <c r="U82" s="465">
        <v>91300</v>
      </c>
      <c r="V82" s="464">
        <v>4600</v>
      </c>
      <c r="W82" s="464">
        <v>2200</v>
      </c>
      <c r="X82" s="464">
        <v>200</v>
      </c>
      <c r="Y82" s="464">
        <v>200</v>
      </c>
    </row>
    <row r="83" spans="1:25">
      <c r="A83" s="462" t="s">
        <v>443</v>
      </c>
      <c r="B83" s="462" t="s">
        <v>444</v>
      </c>
      <c r="C83" s="462">
        <v>2001</v>
      </c>
      <c r="D83" s="462">
        <v>3</v>
      </c>
      <c r="E83" s="462">
        <v>1.9</v>
      </c>
      <c r="F83" s="462">
        <v>0.2</v>
      </c>
      <c r="G83" s="462">
        <v>0.4</v>
      </c>
      <c r="H83" s="462">
        <v>0.5</v>
      </c>
      <c r="K83" s="44">
        <f t="shared" si="1"/>
        <v>11.421052631578947</v>
      </c>
      <c r="L83" s="462">
        <v>1.9</v>
      </c>
      <c r="M83" s="462">
        <v>0.2</v>
      </c>
      <c r="N83" s="462">
        <v>0.4</v>
      </c>
      <c r="O83" s="462">
        <v>0.5</v>
      </c>
      <c r="P83" s="44">
        <f t="shared" si="2"/>
        <v>5.4970760233918128</v>
      </c>
      <c r="Q83" s="44">
        <f t="shared" si="3"/>
        <v>2.807017543859649</v>
      </c>
      <c r="R83" s="44">
        <f t="shared" si="4"/>
        <v>1.2169590643274855</v>
      </c>
      <c r="U83" s="465">
        <v>85500</v>
      </c>
      <c r="V83" s="464">
        <v>4700</v>
      </c>
      <c r="W83" s="464">
        <v>2400</v>
      </c>
      <c r="X83" s="464">
        <v>300</v>
      </c>
      <c r="Y83" s="464">
        <v>100</v>
      </c>
    </row>
    <row r="84" spans="1:25">
      <c r="A84" s="462" t="s">
        <v>443</v>
      </c>
      <c r="B84" s="462" t="s">
        <v>444</v>
      </c>
      <c r="C84" s="462">
        <v>2002</v>
      </c>
      <c r="D84" s="462">
        <v>3.5</v>
      </c>
      <c r="E84" s="462">
        <v>2.2000000000000002</v>
      </c>
      <c r="F84" s="462">
        <v>0.2</v>
      </c>
      <c r="G84" s="462">
        <v>0.4</v>
      </c>
      <c r="H84" s="462">
        <v>0.5</v>
      </c>
      <c r="K84" s="44">
        <f t="shared" si="1"/>
        <v>12.379754601226995</v>
      </c>
      <c r="L84" s="462">
        <v>2.2000000000000002</v>
      </c>
      <c r="M84" s="462">
        <v>0.2</v>
      </c>
      <c r="N84" s="462">
        <v>0.4</v>
      </c>
      <c r="O84" s="462">
        <v>0.5</v>
      </c>
      <c r="P84" s="44">
        <f t="shared" si="2"/>
        <v>5.889570552147239</v>
      </c>
      <c r="Q84" s="44">
        <f t="shared" si="3"/>
        <v>3.0674846625766872</v>
      </c>
      <c r="R84" s="44">
        <f t="shared" si="4"/>
        <v>1.2226993865030675</v>
      </c>
      <c r="U84" s="465">
        <v>81500</v>
      </c>
      <c r="V84" s="464">
        <v>4800</v>
      </c>
      <c r="W84" s="464">
        <v>2500</v>
      </c>
      <c r="X84" s="464">
        <v>500</v>
      </c>
      <c r="Y84" s="464">
        <v>100</v>
      </c>
    </row>
    <row r="85" spans="1:25">
      <c r="A85" s="462" t="s">
        <v>443</v>
      </c>
      <c r="B85" s="462" t="s">
        <v>444</v>
      </c>
      <c r="C85" s="462">
        <v>2003</v>
      </c>
      <c r="D85" s="462">
        <v>3.7</v>
      </c>
      <c r="E85" s="462">
        <v>2.4</v>
      </c>
      <c r="F85" s="462">
        <v>0.3</v>
      </c>
      <c r="G85" s="462">
        <v>0.4</v>
      </c>
      <c r="H85" s="462">
        <v>0.6</v>
      </c>
      <c r="K85" s="44">
        <f t="shared" si="1"/>
        <v>12.988299155609166</v>
      </c>
      <c r="L85" s="462">
        <v>2.4</v>
      </c>
      <c r="M85" s="462">
        <v>0.3</v>
      </c>
      <c r="N85" s="462">
        <v>0.4</v>
      </c>
      <c r="O85" s="462">
        <v>0.6</v>
      </c>
      <c r="P85" s="44">
        <f t="shared" si="2"/>
        <v>5.9107358262967429</v>
      </c>
      <c r="Q85" s="44">
        <f t="shared" si="3"/>
        <v>3.1363088057901085</v>
      </c>
      <c r="R85" s="44">
        <f t="shared" si="4"/>
        <v>1.5412545235223158</v>
      </c>
      <c r="U85" s="465">
        <v>82900</v>
      </c>
      <c r="V85" s="464">
        <v>4900</v>
      </c>
      <c r="W85" s="464">
        <v>2600</v>
      </c>
      <c r="X85" s="464">
        <v>500</v>
      </c>
      <c r="Y85" s="464">
        <v>200</v>
      </c>
    </row>
    <row r="86" spans="1:25">
      <c r="A86" s="462" t="s">
        <v>443</v>
      </c>
      <c r="B86" s="462" t="s">
        <v>444</v>
      </c>
      <c r="C86" s="462">
        <v>2004</v>
      </c>
      <c r="D86" s="462">
        <v>3.6</v>
      </c>
      <c r="E86" s="462">
        <v>2.4</v>
      </c>
      <c r="F86" s="462">
        <v>0.3</v>
      </c>
      <c r="G86" s="462">
        <v>0.4</v>
      </c>
      <c r="H86" s="462">
        <v>0.5</v>
      </c>
      <c r="K86" s="44">
        <f t="shared" si="1"/>
        <v>12.350000000000001</v>
      </c>
      <c r="L86" s="462">
        <v>2.4</v>
      </c>
      <c r="M86" s="462">
        <v>0.3</v>
      </c>
      <c r="N86" s="462">
        <v>0.4</v>
      </c>
      <c r="O86" s="462">
        <v>0.5</v>
      </c>
      <c r="P86" s="44">
        <f t="shared" si="2"/>
        <v>5.5681818181818183</v>
      </c>
      <c r="Q86" s="44">
        <f t="shared" si="3"/>
        <v>3.0681818181818183</v>
      </c>
      <c r="R86" s="44">
        <f t="shared" si="4"/>
        <v>1.3136363636363635</v>
      </c>
      <c r="U86" s="465">
        <v>88000</v>
      </c>
      <c r="V86" s="464">
        <v>4900</v>
      </c>
      <c r="W86" s="464">
        <v>2700</v>
      </c>
      <c r="X86" s="464">
        <v>400</v>
      </c>
      <c r="Y86" s="464">
        <v>100</v>
      </c>
    </row>
    <row r="87" spans="1:25">
      <c r="A87" s="462" t="s">
        <v>443</v>
      </c>
      <c r="B87" s="462" t="s">
        <v>444</v>
      </c>
      <c r="C87" s="462">
        <v>2005</v>
      </c>
      <c r="D87" s="462">
        <v>3.5</v>
      </c>
      <c r="E87" s="462">
        <v>2.2999999999999998</v>
      </c>
      <c r="F87" s="462">
        <v>0.3</v>
      </c>
      <c r="G87" s="462">
        <v>0.4</v>
      </c>
      <c r="H87" s="462">
        <v>0.5</v>
      </c>
      <c r="K87" s="44">
        <f t="shared" si="1"/>
        <v>12.102150537634408</v>
      </c>
      <c r="L87" s="462">
        <v>2.2999999999999998</v>
      </c>
      <c r="M87" s="462">
        <v>0.3</v>
      </c>
      <c r="N87" s="462">
        <v>0.4</v>
      </c>
      <c r="O87" s="462">
        <v>0.5</v>
      </c>
      <c r="P87" s="44">
        <f t="shared" si="2"/>
        <v>5.376344086021505</v>
      </c>
      <c r="Q87" s="44">
        <f t="shared" si="3"/>
        <v>3.010752688172043</v>
      </c>
      <c r="R87" s="44">
        <f t="shared" si="4"/>
        <v>1.4150537634408602</v>
      </c>
      <c r="U87" s="465">
        <v>93000</v>
      </c>
      <c r="V87" s="464">
        <v>5000</v>
      </c>
      <c r="W87" s="464">
        <v>2800</v>
      </c>
      <c r="X87" s="464">
        <v>300</v>
      </c>
      <c r="Y87" s="464">
        <v>200</v>
      </c>
    </row>
    <row r="88" spans="1:25">
      <c r="A88" s="462" t="s">
        <v>443</v>
      </c>
      <c r="B88" s="462" t="s">
        <v>444</v>
      </c>
      <c r="C88" s="462">
        <v>2006</v>
      </c>
      <c r="D88" s="462">
        <v>3.3</v>
      </c>
      <c r="E88" s="462">
        <v>2.1</v>
      </c>
      <c r="F88" s="462">
        <v>0.3</v>
      </c>
      <c r="G88" s="462">
        <v>0.4</v>
      </c>
      <c r="H88" s="462">
        <v>0.5</v>
      </c>
      <c r="K88" s="44">
        <f t="shared" si="1"/>
        <v>11.892132505175985</v>
      </c>
      <c r="L88" s="462">
        <v>2.1</v>
      </c>
      <c r="M88" s="462">
        <v>0.3</v>
      </c>
      <c r="N88" s="462">
        <v>0.4</v>
      </c>
      <c r="O88" s="462">
        <v>0.5</v>
      </c>
      <c r="P88" s="44">
        <f t="shared" si="2"/>
        <v>5.2795031055900621</v>
      </c>
      <c r="Q88" s="44">
        <f t="shared" si="3"/>
        <v>3.2091097308488616</v>
      </c>
      <c r="R88" s="44">
        <f t="shared" si="4"/>
        <v>1.30351966873706</v>
      </c>
      <c r="U88" s="465">
        <v>96600</v>
      </c>
      <c r="V88" s="464">
        <v>5100</v>
      </c>
      <c r="W88" s="464">
        <v>3100</v>
      </c>
      <c r="X88" s="464">
        <v>300</v>
      </c>
      <c r="Y88" s="464">
        <v>100</v>
      </c>
    </row>
    <row r="89" spans="1:25">
      <c r="A89" s="462" t="s">
        <v>443</v>
      </c>
      <c r="B89" s="462" t="s">
        <v>444</v>
      </c>
      <c r="C89" s="462">
        <v>2007</v>
      </c>
      <c r="D89" s="462">
        <v>3.3</v>
      </c>
      <c r="E89" s="462">
        <v>2.1</v>
      </c>
      <c r="F89" s="462">
        <v>0.3</v>
      </c>
      <c r="G89" s="462">
        <v>0.4</v>
      </c>
      <c r="H89" s="462">
        <v>0.5</v>
      </c>
      <c r="K89" s="44">
        <f t="shared" si="1"/>
        <v>11.825576730190573</v>
      </c>
      <c r="L89" s="462">
        <v>2.1</v>
      </c>
      <c r="M89" s="462">
        <v>0.3</v>
      </c>
      <c r="N89" s="462">
        <v>0.4</v>
      </c>
      <c r="O89" s="462">
        <v>0.5</v>
      </c>
      <c r="P89" s="44">
        <f t="shared" si="2"/>
        <v>5.2156469408224675</v>
      </c>
      <c r="Q89" s="44">
        <f t="shared" si="3"/>
        <v>3.20962888665998</v>
      </c>
      <c r="R89" s="44">
        <f t="shared" si="4"/>
        <v>1.3003009027081243</v>
      </c>
      <c r="U89" s="465">
        <v>99700</v>
      </c>
      <c r="V89" s="464">
        <v>5200</v>
      </c>
      <c r="W89" s="464">
        <v>3200</v>
      </c>
      <c r="X89" s="464">
        <v>300</v>
      </c>
      <c r="Y89" s="464">
        <v>100</v>
      </c>
    </row>
    <row r="90" spans="1:25">
      <c r="A90" s="462" t="s">
        <v>443</v>
      </c>
      <c r="B90" s="462" t="s">
        <v>444</v>
      </c>
      <c r="C90" s="462">
        <v>2008</v>
      </c>
      <c r="D90" s="462">
        <v>3.7</v>
      </c>
      <c r="E90" s="462">
        <v>2.4</v>
      </c>
      <c r="F90" s="462">
        <v>0.3</v>
      </c>
      <c r="G90" s="462">
        <v>0.4</v>
      </c>
      <c r="H90" s="462">
        <v>0.6</v>
      </c>
      <c r="K90" s="44">
        <f t="shared" si="1"/>
        <v>13.197816593886463</v>
      </c>
      <c r="L90" s="462">
        <v>2.4</v>
      </c>
      <c r="M90" s="462">
        <v>0.3</v>
      </c>
      <c r="N90" s="462">
        <v>0.4</v>
      </c>
      <c r="O90" s="462">
        <v>0.6</v>
      </c>
      <c r="P90" s="44">
        <f t="shared" si="2"/>
        <v>5.7860262008733629</v>
      </c>
      <c r="Q90" s="44">
        <f t="shared" si="3"/>
        <v>3.6026200873362448</v>
      </c>
      <c r="R90" s="44">
        <f t="shared" si="4"/>
        <v>1.4091703056768556</v>
      </c>
      <c r="U90" s="465">
        <v>91600</v>
      </c>
      <c r="V90" s="464">
        <v>5300</v>
      </c>
      <c r="W90" s="464">
        <v>3300</v>
      </c>
      <c r="X90" s="464">
        <v>400</v>
      </c>
      <c r="Y90" s="464">
        <v>100</v>
      </c>
    </row>
    <row r="91" spans="1:25">
      <c r="A91" s="462" t="s">
        <v>443</v>
      </c>
      <c r="B91" s="462" t="s">
        <v>444</v>
      </c>
      <c r="C91" s="462">
        <v>2009</v>
      </c>
      <c r="D91" s="462">
        <v>4.4000000000000004</v>
      </c>
      <c r="E91" s="462">
        <v>2.8</v>
      </c>
      <c r="F91" s="462">
        <v>0.5</v>
      </c>
      <c r="G91" s="462">
        <v>0.5</v>
      </c>
      <c r="H91" s="462">
        <v>0.7</v>
      </c>
      <c r="K91" s="44">
        <f t="shared" si="1"/>
        <v>15.782660332541568</v>
      </c>
      <c r="L91" s="462">
        <v>2.8</v>
      </c>
      <c r="M91" s="462">
        <v>0.5</v>
      </c>
      <c r="N91" s="462">
        <v>0.5</v>
      </c>
      <c r="O91" s="462">
        <v>0.7</v>
      </c>
      <c r="P91" s="44">
        <f t="shared" si="2"/>
        <v>6.8883610451306403</v>
      </c>
      <c r="Q91" s="44">
        <f t="shared" si="3"/>
        <v>4.2755344418052257</v>
      </c>
      <c r="R91" s="44">
        <f t="shared" si="4"/>
        <v>1.8187648456057006</v>
      </c>
      <c r="U91" s="465">
        <v>84200</v>
      </c>
      <c r="V91" s="464">
        <v>5800</v>
      </c>
      <c r="W91" s="464">
        <v>3600</v>
      </c>
      <c r="X91" s="464">
        <v>1100</v>
      </c>
      <c r="Y91" s="464">
        <v>100</v>
      </c>
    </row>
    <row r="92" spans="1:25">
      <c r="A92" s="462" t="s">
        <v>443</v>
      </c>
      <c r="B92" s="462" t="s">
        <v>444</v>
      </c>
      <c r="C92" s="462">
        <v>2010</v>
      </c>
      <c r="D92" s="462">
        <v>4.5</v>
      </c>
      <c r="E92" s="462">
        <v>2.8</v>
      </c>
      <c r="F92" s="462">
        <v>0.6</v>
      </c>
      <c r="G92" s="462">
        <v>0.5</v>
      </c>
      <c r="H92" s="462">
        <v>0.7</v>
      </c>
      <c r="K92" s="44">
        <f t="shared" si="1"/>
        <v>15.672261072261072</v>
      </c>
      <c r="L92" s="462">
        <v>2.8</v>
      </c>
      <c r="M92" s="462">
        <v>0.6</v>
      </c>
      <c r="N92" s="462">
        <v>0.5</v>
      </c>
      <c r="O92" s="462">
        <v>0.7</v>
      </c>
      <c r="P92" s="44">
        <f t="shared" si="2"/>
        <v>6.7599067599067597</v>
      </c>
      <c r="Q92" s="44">
        <f t="shared" si="3"/>
        <v>4.1958041958041958</v>
      </c>
      <c r="R92" s="44">
        <f t="shared" si="4"/>
        <v>1.9165501165501166</v>
      </c>
      <c r="U92" s="465">
        <v>85800</v>
      </c>
      <c r="V92" s="464">
        <v>5800</v>
      </c>
      <c r="W92" s="464">
        <v>3600</v>
      </c>
      <c r="X92" s="464">
        <v>1100</v>
      </c>
      <c r="Y92" s="464">
        <v>100</v>
      </c>
    </row>
    <row r="93" spans="1:25">
      <c r="A93" s="462" t="s">
        <v>443</v>
      </c>
      <c r="B93" s="462" t="s">
        <v>444</v>
      </c>
      <c r="C93" s="462">
        <v>2011</v>
      </c>
      <c r="D93" s="462">
        <v>4.5</v>
      </c>
      <c r="E93" s="462">
        <v>2.7</v>
      </c>
      <c r="F93" s="462">
        <v>0.7</v>
      </c>
      <c r="G93" s="462">
        <v>0.5</v>
      </c>
      <c r="H93" s="462">
        <v>0.7</v>
      </c>
      <c r="K93" s="44">
        <f t="shared" si="1"/>
        <v>15.646511627906978</v>
      </c>
      <c r="L93" s="462">
        <v>2.7</v>
      </c>
      <c r="M93" s="462">
        <v>0.7</v>
      </c>
      <c r="N93" s="462">
        <v>0.5</v>
      </c>
      <c r="O93" s="462">
        <v>0.7</v>
      </c>
      <c r="P93" s="44">
        <f t="shared" si="2"/>
        <v>6.7441860465116283</v>
      </c>
      <c r="Q93" s="44">
        <f t="shared" si="3"/>
        <v>4.1860465116279073</v>
      </c>
      <c r="R93" s="44">
        <f t="shared" si="4"/>
        <v>2.016279069767442</v>
      </c>
      <c r="U93" s="465">
        <v>86000</v>
      </c>
      <c r="V93" s="464">
        <v>5800</v>
      </c>
      <c r="W93" s="464">
        <v>3600</v>
      </c>
      <c r="X93" s="464">
        <v>800</v>
      </c>
      <c r="Y93" s="464">
        <v>100</v>
      </c>
    </row>
    <row r="94" spans="1:25">
      <c r="A94" s="462" t="s">
        <v>443</v>
      </c>
      <c r="B94" s="462" t="s">
        <v>444</v>
      </c>
      <c r="C94" s="462">
        <v>2012</v>
      </c>
      <c r="D94" s="462">
        <v>4.3</v>
      </c>
      <c r="E94" s="462">
        <v>2.6</v>
      </c>
      <c r="F94" s="462">
        <v>0.6</v>
      </c>
      <c r="G94" s="462">
        <v>0.4</v>
      </c>
      <c r="H94" s="462">
        <v>0.6</v>
      </c>
      <c r="K94" s="44">
        <f t="shared" si="1"/>
        <v>15.04070796460177</v>
      </c>
      <c r="L94" s="462">
        <v>2.6</v>
      </c>
      <c r="M94" s="462">
        <v>0.6</v>
      </c>
      <c r="N94" s="462">
        <v>0.4</v>
      </c>
      <c r="O94" s="462">
        <v>0.6</v>
      </c>
      <c r="P94" s="44">
        <f t="shared" si="2"/>
        <v>6.6371681415929213</v>
      </c>
      <c r="Q94" s="44">
        <f t="shared" si="3"/>
        <v>4.0929203539823007</v>
      </c>
      <c r="R94" s="44">
        <f t="shared" si="4"/>
        <v>1.7106194690265488</v>
      </c>
      <c r="U94" s="465">
        <v>90400</v>
      </c>
      <c r="V94" s="464">
        <v>6000</v>
      </c>
      <c r="W94" s="464">
        <v>3700</v>
      </c>
      <c r="X94" s="464">
        <v>600</v>
      </c>
      <c r="Y94" s="464">
        <v>100</v>
      </c>
    </row>
    <row r="95" spans="1:25">
      <c r="A95" s="462" t="s">
        <v>443</v>
      </c>
      <c r="B95" s="462" t="s">
        <v>444</v>
      </c>
      <c r="C95" s="462">
        <v>2013</v>
      </c>
      <c r="D95" s="462">
        <v>4.4000000000000004</v>
      </c>
      <c r="E95" s="462">
        <v>2.7</v>
      </c>
      <c r="F95" s="462">
        <v>0.6</v>
      </c>
      <c r="G95" s="462">
        <v>0.5</v>
      </c>
      <c r="H95" s="462">
        <v>0.6</v>
      </c>
      <c r="K95" s="44">
        <f t="shared" si="1"/>
        <v>15.498654708520181</v>
      </c>
      <c r="L95" s="462">
        <v>2.7</v>
      </c>
      <c r="M95" s="462">
        <v>0.6</v>
      </c>
      <c r="N95" s="462">
        <v>0.5</v>
      </c>
      <c r="O95" s="462">
        <v>0.6</v>
      </c>
      <c r="P95" s="44">
        <f t="shared" si="2"/>
        <v>6.9506726457399113</v>
      </c>
      <c r="Q95" s="44">
        <f t="shared" si="3"/>
        <v>4.0358744394618835</v>
      </c>
      <c r="R95" s="44">
        <f t="shared" si="4"/>
        <v>1.8121076233183859</v>
      </c>
      <c r="U95" s="465">
        <v>89200</v>
      </c>
      <c r="V95" s="464">
        <v>6200</v>
      </c>
      <c r="W95" s="464">
        <v>3600</v>
      </c>
      <c r="X95" s="464">
        <v>400</v>
      </c>
      <c r="Y95" s="464">
        <v>100</v>
      </c>
    </row>
    <row r="96" spans="1:25">
      <c r="A96" s="462" t="s">
        <v>443</v>
      </c>
      <c r="B96" s="462" t="s">
        <v>444</v>
      </c>
      <c r="C96" s="462">
        <v>2014</v>
      </c>
      <c r="D96" s="462">
        <v>4.9000000000000004</v>
      </c>
      <c r="E96" s="462">
        <v>3.3</v>
      </c>
      <c r="F96" s="462">
        <v>0.5</v>
      </c>
      <c r="G96" s="462">
        <v>0.4</v>
      </c>
      <c r="H96" s="462">
        <v>0.6</v>
      </c>
      <c r="K96" s="44">
        <f t="shared" si="1"/>
        <v>15.695361380798273</v>
      </c>
      <c r="L96" s="462">
        <v>3.3</v>
      </c>
      <c r="M96" s="462">
        <v>0.5</v>
      </c>
      <c r="N96" s="462">
        <v>0.4</v>
      </c>
      <c r="O96" s="462">
        <v>0.6</v>
      </c>
      <c r="P96" s="44">
        <f t="shared" si="2"/>
        <v>6.7961165048543686</v>
      </c>
      <c r="Q96" s="44">
        <f t="shared" si="3"/>
        <v>3.9913700107874863</v>
      </c>
      <c r="R96" s="44">
        <f t="shared" si="4"/>
        <v>1.6078748651564185</v>
      </c>
      <c r="U96" s="465">
        <v>92700</v>
      </c>
      <c r="V96" s="464">
        <v>6300</v>
      </c>
      <c r="W96" s="464">
        <v>3700</v>
      </c>
      <c r="X96" s="464">
        <v>300</v>
      </c>
      <c r="Y96" s="464">
        <v>100</v>
      </c>
    </row>
    <row r="97" spans="1:25">
      <c r="A97" s="462" t="s">
        <v>443</v>
      </c>
      <c r="B97" s="462" t="s">
        <v>444</v>
      </c>
      <c r="C97" s="462">
        <v>2015</v>
      </c>
      <c r="D97" s="462">
        <v>5.0999999999999996</v>
      </c>
      <c r="E97" s="462">
        <v>3.6</v>
      </c>
      <c r="F97" s="462">
        <v>0.5</v>
      </c>
      <c r="G97" s="462">
        <v>0.4</v>
      </c>
      <c r="H97" s="462">
        <v>0.6</v>
      </c>
      <c r="K97" s="44">
        <f t="shared" si="1"/>
        <v>15.97866108786611</v>
      </c>
      <c r="L97" s="462">
        <v>3.6</v>
      </c>
      <c r="M97" s="462">
        <v>0.5</v>
      </c>
      <c r="N97" s="462">
        <v>0.4</v>
      </c>
      <c r="O97" s="462">
        <v>0.6</v>
      </c>
      <c r="P97" s="44">
        <f t="shared" si="2"/>
        <v>6.7991631799163175</v>
      </c>
      <c r="Q97" s="44">
        <f t="shared" si="3"/>
        <v>3.9748953974895396</v>
      </c>
      <c r="R97" s="44">
        <f t="shared" si="4"/>
        <v>1.604602510460251</v>
      </c>
      <c r="U97" s="465">
        <v>95600</v>
      </c>
      <c r="V97" s="464">
        <v>6500</v>
      </c>
      <c r="W97" s="464">
        <v>3800</v>
      </c>
      <c r="X97" s="464">
        <v>200</v>
      </c>
      <c r="Y97" s="464">
        <v>100</v>
      </c>
    </row>
    <row r="98" spans="1:25">
      <c r="A98" s="462" t="s">
        <v>443</v>
      </c>
      <c r="B98" s="462" t="s">
        <v>444</v>
      </c>
      <c r="C98" s="462">
        <v>2016</v>
      </c>
      <c r="D98" s="462">
        <v>5.3</v>
      </c>
      <c r="E98" s="462">
        <v>3.7</v>
      </c>
      <c r="F98" s="462">
        <v>0.5</v>
      </c>
      <c r="G98" s="462">
        <v>0.4</v>
      </c>
      <c r="H98" s="462">
        <v>0.7</v>
      </c>
      <c r="K98" s="44">
        <f t="shared" si="1"/>
        <v>16.505073995771671</v>
      </c>
      <c r="L98" s="462">
        <v>3.7</v>
      </c>
      <c r="M98" s="462">
        <v>0.5</v>
      </c>
      <c r="N98" s="462">
        <v>0.4</v>
      </c>
      <c r="O98" s="462">
        <v>0.7</v>
      </c>
      <c r="P98" s="44">
        <f t="shared" si="2"/>
        <v>6.9767441860465116</v>
      </c>
      <c r="Q98" s="44">
        <f t="shared" si="3"/>
        <v>4.1226215644820297</v>
      </c>
      <c r="R98" s="44">
        <f t="shared" si="4"/>
        <v>1.7057082452431291</v>
      </c>
      <c r="U98" s="465">
        <v>94600</v>
      </c>
      <c r="V98" s="464">
        <v>6600</v>
      </c>
      <c r="W98" s="464">
        <v>3900</v>
      </c>
      <c r="X98" s="464">
        <v>200</v>
      </c>
      <c r="Y98" s="464">
        <v>100</v>
      </c>
    </row>
    <row r="99" spans="1:25">
      <c r="A99" s="462" t="s">
        <v>443</v>
      </c>
      <c r="B99" s="462" t="s">
        <v>445</v>
      </c>
      <c r="C99" s="462">
        <v>1979</v>
      </c>
      <c r="D99" s="462">
        <v>31.8</v>
      </c>
      <c r="E99" s="462">
        <v>9</v>
      </c>
      <c r="F99" s="462">
        <v>5.8</v>
      </c>
      <c r="G99" s="462">
        <v>4.7</v>
      </c>
      <c r="H99" s="462">
        <v>12.2</v>
      </c>
      <c r="K99" s="44">
        <f t="shared" si="1"/>
        <v>151.31578947368422</v>
      </c>
      <c r="L99" s="462">
        <v>7.2</v>
      </c>
      <c r="M99" s="462">
        <v>4.4000000000000004</v>
      </c>
      <c r="N99" s="462">
        <v>4</v>
      </c>
      <c r="O99" s="462">
        <v>9.4</v>
      </c>
      <c r="P99" s="44">
        <f t="shared" si="2"/>
        <v>96.05263157894737</v>
      </c>
      <c r="Q99" s="44">
        <f t="shared" si="3"/>
        <v>27.631578947368425</v>
      </c>
      <c r="R99" s="44">
        <f t="shared" si="4"/>
        <v>20.431578947368422</v>
      </c>
      <c r="U99" s="465">
        <v>7600</v>
      </c>
      <c r="V99" s="464">
        <v>7300</v>
      </c>
      <c r="W99" s="464">
        <v>2100</v>
      </c>
      <c r="X99" s="464">
        <v>100</v>
      </c>
      <c r="Y99" s="464">
        <v>200</v>
      </c>
    </row>
    <row r="100" spans="1:25">
      <c r="A100" s="462" t="s">
        <v>443</v>
      </c>
      <c r="B100" s="462" t="s">
        <v>445</v>
      </c>
      <c r="C100" s="462">
        <v>1980</v>
      </c>
      <c r="D100" s="462">
        <v>35.5</v>
      </c>
      <c r="E100" s="462">
        <v>9.9</v>
      </c>
      <c r="F100" s="462">
        <v>6.8</v>
      </c>
      <c r="G100" s="462">
        <v>5.4</v>
      </c>
      <c r="H100" s="462">
        <v>13.4</v>
      </c>
      <c r="K100" s="44">
        <f t="shared" si="1"/>
        <v>169.12898550724637</v>
      </c>
      <c r="L100" s="462">
        <v>7.8</v>
      </c>
      <c r="M100" s="462">
        <v>5</v>
      </c>
      <c r="N100" s="462">
        <v>4.3</v>
      </c>
      <c r="O100" s="462">
        <v>10</v>
      </c>
      <c r="P100" s="44">
        <f t="shared" si="2"/>
        <v>105.79710144927536</v>
      </c>
      <c r="Q100" s="44">
        <f t="shared" si="3"/>
        <v>33.333333333333329</v>
      </c>
      <c r="R100" s="44">
        <f t="shared" si="4"/>
        <v>22.198550724637681</v>
      </c>
      <c r="U100" s="465">
        <v>6900</v>
      </c>
      <c r="V100" s="464">
        <v>7300</v>
      </c>
      <c r="W100" s="464">
        <v>2300</v>
      </c>
      <c r="X100" s="464">
        <v>300</v>
      </c>
      <c r="Y100" s="464">
        <v>200</v>
      </c>
    </row>
    <row r="101" spans="1:25">
      <c r="A101" s="462" t="s">
        <v>443</v>
      </c>
      <c r="B101" s="462" t="s">
        <v>445</v>
      </c>
      <c r="C101" s="462">
        <v>1981</v>
      </c>
      <c r="D101" s="462">
        <v>37</v>
      </c>
      <c r="E101" s="462">
        <v>10.3</v>
      </c>
      <c r="F101" s="462">
        <v>7.5</v>
      </c>
      <c r="G101" s="462">
        <v>5.2</v>
      </c>
      <c r="H101" s="462">
        <v>14</v>
      </c>
      <c r="K101" s="44">
        <f t="shared" si="1"/>
        <v>178.8462686567164</v>
      </c>
      <c r="L101" s="462">
        <v>8</v>
      </c>
      <c r="M101" s="462">
        <v>5.5</v>
      </c>
      <c r="N101" s="462">
        <v>4.2</v>
      </c>
      <c r="O101" s="462">
        <v>10.4</v>
      </c>
      <c r="P101" s="44">
        <f t="shared" si="2"/>
        <v>111.94029850746267</v>
      </c>
      <c r="Q101" s="44">
        <f t="shared" si="3"/>
        <v>35.820895522388057</v>
      </c>
      <c r="R101" s="44">
        <f t="shared" si="4"/>
        <v>23.085074626865673</v>
      </c>
      <c r="U101" s="465">
        <v>6700</v>
      </c>
      <c r="V101" s="464">
        <v>7500</v>
      </c>
      <c r="W101" s="464">
        <v>2400</v>
      </c>
      <c r="X101" s="464">
        <v>200</v>
      </c>
      <c r="Y101" s="464">
        <v>200</v>
      </c>
    </row>
    <row r="102" spans="1:25">
      <c r="A102" s="462" t="s">
        <v>443</v>
      </c>
      <c r="B102" s="462" t="s">
        <v>445</v>
      </c>
      <c r="C102" s="462">
        <v>1982</v>
      </c>
      <c r="D102" s="462">
        <v>40.1</v>
      </c>
      <c r="E102" s="462">
        <v>11.3</v>
      </c>
      <c r="F102" s="462">
        <v>7.7</v>
      </c>
      <c r="G102" s="462">
        <v>5.5</v>
      </c>
      <c r="H102" s="462">
        <v>15.6</v>
      </c>
      <c r="K102" s="44">
        <f t="shared" si="1"/>
        <v>191.90322580645164</v>
      </c>
      <c r="L102" s="462">
        <v>8.4</v>
      </c>
      <c r="M102" s="462">
        <v>5.2</v>
      </c>
      <c r="N102" s="462">
        <v>4.3</v>
      </c>
      <c r="O102" s="462">
        <v>11.1</v>
      </c>
      <c r="P102" s="44">
        <f t="shared" si="2"/>
        <v>117.74193548387098</v>
      </c>
      <c r="Q102" s="44">
        <f t="shared" si="3"/>
        <v>41.935483870967744</v>
      </c>
      <c r="R102" s="44">
        <f t="shared" si="4"/>
        <v>23.825806451612905</v>
      </c>
      <c r="U102" s="465">
        <v>6200</v>
      </c>
      <c r="V102" s="464">
        <v>7300</v>
      </c>
      <c r="W102" s="464">
        <v>2600</v>
      </c>
      <c r="X102" s="464">
        <v>500</v>
      </c>
      <c r="Y102" s="464">
        <v>200</v>
      </c>
    </row>
    <row r="103" spans="1:25">
      <c r="A103" s="462" t="s">
        <v>443</v>
      </c>
      <c r="B103" s="462" t="s">
        <v>445</v>
      </c>
      <c r="C103" s="462">
        <v>1983</v>
      </c>
      <c r="D103" s="462">
        <v>44.6</v>
      </c>
      <c r="E103" s="462">
        <v>12.7</v>
      </c>
      <c r="F103" s="462">
        <v>8.4</v>
      </c>
      <c r="G103" s="462">
        <v>5.8</v>
      </c>
      <c r="H103" s="462">
        <v>17.7</v>
      </c>
      <c r="K103" s="44">
        <f t="shared" si="1"/>
        <v>201.69152542372882</v>
      </c>
      <c r="L103" s="462">
        <v>9.4</v>
      </c>
      <c r="M103" s="462">
        <v>5.7</v>
      </c>
      <c r="N103" s="462">
        <v>4.4000000000000004</v>
      </c>
      <c r="O103" s="462">
        <v>12.7</v>
      </c>
      <c r="P103" s="44">
        <f t="shared" si="2"/>
        <v>120.33898305084745</v>
      </c>
      <c r="Q103" s="44">
        <f t="shared" si="3"/>
        <v>44.067796610169488</v>
      </c>
      <c r="R103" s="44">
        <f t="shared" si="4"/>
        <v>27.884745762711866</v>
      </c>
      <c r="U103" s="465">
        <v>5900</v>
      </c>
      <c r="V103" s="464">
        <v>7100</v>
      </c>
      <c r="W103" s="464">
        <v>2600</v>
      </c>
      <c r="X103" s="464">
        <v>400</v>
      </c>
      <c r="Y103" s="464">
        <v>300</v>
      </c>
    </row>
    <row r="104" spans="1:25">
      <c r="A104" s="462" t="s">
        <v>443</v>
      </c>
      <c r="B104" s="462" t="s">
        <v>445</v>
      </c>
      <c r="C104" s="462">
        <v>1984</v>
      </c>
      <c r="D104" s="462">
        <v>38.700000000000003</v>
      </c>
      <c r="E104" s="462">
        <v>11.3</v>
      </c>
      <c r="F104" s="462">
        <v>6.6</v>
      </c>
      <c r="G104" s="462">
        <v>5.3</v>
      </c>
      <c r="H104" s="462">
        <v>15.5</v>
      </c>
      <c r="K104" s="44">
        <f t="shared" si="1"/>
        <v>165.01111111111112</v>
      </c>
      <c r="L104" s="462">
        <v>8.6</v>
      </c>
      <c r="M104" s="462">
        <v>4.7</v>
      </c>
      <c r="N104" s="462">
        <v>4.2</v>
      </c>
      <c r="O104" s="462">
        <v>11.4</v>
      </c>
      <c r="P104" s="44">
        <f t="shared" si="2"/>
        <v>95.833333333333343</v>
      </c>
      <c r="Q104" s="44">
        <f t="shared" si="3"/>
        <v>36.111111111111107</v>
      </c>
      <c r="R104" s="44">
        <f t="shared" si="4"/>
        <v>24.466666666666669</v>
      </c>
      <c r="U104" s="465">
        <v>7200</v>
      </c>
      <c r="V104" s="464">
        <v>6900</v>
      </c>
      <c r="W104" s="464">
        <v>2600</v>
      </c>
      <c r="X104" s="464">
        <v>200</v>
      </c>
      <c r="Y104" s="464">
        <v>300</v>
      </c>
    </row>
    <row r="105" spans="1:25">
      <c r="A105" s="462" t="s">
        <v>443</v>
      </c>
      <c r="B105" s="462" t="s">
        <v>445</v>
      </c>
      <c r="C105" s="462">
        <v>1985</v>
      </c>
      <c r="D105" s="462">
        <v>41.3</v>
      </c>
      <c r="E105" s="462">
        <v>12.3</v>
      </c>
      <c r="F105" s="462">
        <v>6.7</v>
      </c>
      <c r="G105" s="462">
        <v>5.5</v>
      </c>
      <c r="H105" s="462">
        <v>16.899999999999999</v>
      </c>
      <c r="K105" s="44">
        <f t="shared" si="1"/>
        <v>177.27681159420291</v>
      </c>
      <c r="L105" s="462">
        <v>9.4</v>
      </c>
      <c r="M105" s="462">
        <v>4.8</v>
      </c>
      <c r="N105" s="462">
        <v>4.3</v>
      </c>
      <c r="O105" s="462">
        <v>12.4</v>
      </c>
      <c r="P105" s="44">
        <f t="shared" si="2"/>
        <v>102.89855072463767</v>
      </c>
      <c r="Q105" s="44">
        <f t="shared" si="3"/>
        <v>40.579710144927539</v>
      </c>
      <c r="R105" s="44">
        <f t="shared" si="4"/>
        <v>24.39855072463768</v>
      </c>
      <c r="U105" s="465">
        <v>6900</v>
      </c>
      <c r="V105" s="464">
        <v>7100</v>
      </c>
      <c r="W105" s="464">
        <v>2800</v>
      </c>
      <c r="X105" s="464">
        <v>200</v>
      </c>
      <c r="Y105" s="464">
        <v>200</v>
      </c>
    </row>
    <row r="106" spans="1:25">
      <c r="A106" s="462" t="s">
        <v>443</v>
      </c>
      <c r="B106" s="462" t="s">
        <v>445</v>
      </c>
      <c r="C106" s="462">
        <v>1986</v>
      </c>
      <c r="D106" s="462">
        <v>42.1</v>
      </c>
      <c r="E106" s="462">
        <v>13.1</v>
      </c>
      <c r="F106" s="462">
        <v>6.6</v>
      </c>
      <c r="G106" s="462">
        <v>5.6</v>
      </c>
      <c r="H106" s="462">
        <v>16.8</v>
      </c>
      <c r="K106" s="44">
        <f t="shared" si="1"/>
        <v>179.72941176470587</v>
      </c>
      <c r="L106" s="462">
        <v>9.9</v>
      </c>
      <c r="M106" s="462">
        <v>4.5999999999999996</v>
      </c>
      <c r="N106" s="462">
        <v>4.5</v>
      </c>
      <c r="O106" s="462">
        <v>12.2</v>
      </c>
      <c r="P106" s="44">
        <f t="shared" si="2"/>
        <v>102.94117647058823</v>
      </c>
      <c r="Q106" s="44">
        <f t="shared" si="3"/>
        <v>41.17647058823529</v>
      </c>
      <c r="R106" s="44">
        <f t="shared" si="4"/>
        <v>25.711764705882352</v>
      </c>
      <c r="U106" s="465">
        <v>6800</v>
      </c>
      <c r="V106" s="464">
        <v>7000</v>
      </c>
      <c r="W106" s="464">
        <v>2800</v>
      </c>
      <c r="X106" s="464">
        <v>200</v>
      </c>
      <c r="Y106" s="464">
        <v>300</v>
      </c>
    </row>
    <row r="107" spans="1:25">
      <c r="A107" s="462" t="s">
        <v>443</v>
      </c>
      <c r="B107" s="462" t="s">
        <v>445</v>
      </c>
      <c r="C107" s="462">
        <v>1987</v>
      </c>
      <c r="D107" s="462">
        <v>46</v>
      </c>
      <c r="E107" s="462">
        <v>14.9</v>
      </c>
      <c r="F107" s="462">
        <v>6.9</v>
      </c>
      <c r="G107" s="462">
        <v>6.3</v>
      </c>
      <c r="H107" s="462">
        <v>17.8</v>
      </c>
      <c r="K107" s="44">
        <f t="shared" si="1"/>
        <v>202.55245901639344</v>
      </c>
      <c r="L107" s="462">
        <v>11.2</v>
      </c>
      <c r="M107" s="462">
        <v>4.9000000000000004</v>
      </c>
      <c r="N107" s="462">
        <v>4.8</v>
      </c>
      <c r="O107" s="462">
        <v>12.8</v>
      </c>
      <c r="P107" s="44">
        <f t="shared" si="2"/>
        <v>118.0327868852459</v>
      </c>
      <c r="Q107" s="44">
        <f t="shared" si="3"/>
        <v>47.540983606557376</v>
      </c>
      <c r="R107" s="44">
        <f t="shared" si="4"/>
        <v>25.778688524590166</v>
      </c>
      <c r="U107" s="465">
        <v>6100</v>
      </c>
      <c r="V107" s="464">
        <v>7200</v>
      </c>
      <c r="W107" s="464">
        <v>2900</v>
      </c>
      <c r="X107" s="464">
        <v>200</v>
      </c>
      <c r="Y107" s="464">
        <v>200</v>
      </c>
    </row>
    <row r="108" spans="1:25">
      <c r="A108" s="462" t="s">
        <v>443</v>
      </c>
      <c r="B108" s="462" t="s">
        <v>445</v>
      </c>
      <c r="C108" s="462">
        <v>1988</v>
      </c>
      <c r="D108" s="462">
        <v>45</v>
      </c>
      <c r="E108" s="462">
        <v>14.9</v>
      </c>
      <c r="F108" s="462">
        <v>6.7</v>
      </c>
      <c r="G108" s="462">
        <v>6.2</v>
      </c>
      <c r="H108" s="462">
        <v>17.100000000000001</v>
      </c>
      <c r="K108" s="44">
        <f t="shared" si="1"/>
        <v>203.24126984126985</v>
      </c>
      <c r="L108" s="462">
        <v>11.3</v>
      </c>
      <c r="M108" s="462">
        <v>4.7</v>
      </c>
      <c r="N108" s="462">
        <v>4.8</v>
      </c>
      <c r="O108" s="462">
        <v>12.6</v>
      </c>
      <c r="P108" s="44">
        <f t="shared" si="2"/>
        <v>117.46031746031747</v>
      </c>
      <c r="Q108" s="44">
        <f t="shared" si="3"/>
        <v>47.619047619047613</v>
      </c>
      <c r="R108" s="44">
        <f t="shared" si="4"/>
        <v>26.861904761904764</v>
      </c>
      <c r="U108" s="465">
        <v>6300</v>
      </c>
      <c r="V108" s="464">
        <v>7400</v>
      </c>
      <c r="W108" s="464">
        <v>3000</v>
      </c>
      <c r="X108" s="464">
        <v>200</v>
      </c>
      <c r="Y108" s="464">
        <v>300</v>
      </c>
    </row>
    <row r="109" spans="1:25">
      <c r="A109" s="462" t="s">
        <v>443</v>
      </c>
      <c r="B109" s="462" t="s">
        <v>445</v>
      </c>
      <c r="C109" s="462">
        <v>1989</v>
      </c>
      <c r="D109" s="462">
        <v>45.3</v>
      </c>
      <c r="E109" s="462">
        <v>15.9</v>
      </c>
      <c r="F109" s="462">
        <v>6.7</v>
      </c>
      <c r="G109" s="462">
        <v>6</v>
      </c>
      <c r="H109" s="462">
        <v>16.8</v>
      </c>
      <c r="K109" s="44">
        <f t="shared" si="1"/>
        <v>187.68571428571431</v>
      </c>
      <c r="L109" s="462">
        <v>11.9</v>
      </c>
      <c r="M109" s="462">
        <v>4.7</v>
      </c>
      <c r="N109" s="462">
        <v>4.5999999999999996</v>
      </c>
      <c r="O109" s="462">
        <v>12.2</v>
      </c>
      <c r="P109" s="44">
        <f t="shared" si="2"/>
        <v>104.28571428571429</v>
      </c>
      <c r="Q109" s="44">
        <f t="shared" si="3"/>
        <v>44.285714285714285</v>
      </c>
      <c r="R109" s="44">
        <f t="shared" si="4"/>
        <v>27.214285714285715</v>
      </c>
      <c r="U109" s="465">
        <v>7000</v>
      </c>
      <c r="V109" s="464">
        <v>7300</v>
      </c>
      <c r="W109" s="464">
        <v>3100</v>
      </c>
      <c r="X109" s="464">
        <v>100</v>
      </c>
      <c r="Y109" s="464">
        <v>400</v>
      </c>
    </row>
    <row r="110" spans="1:25">
      <c r="A110" s="462" t="s">
        <v>443</v>
      </c>
      <c r="B110" s="462" t="s">
        <v>445</v>
      </c>
      <c r="C110" s="462">
        <v>1990</v>
      </c>
      <c r="D110" s="462">
        <v>47.2</v>
      </c>
      <c r="E110" s="462">
        <v>17.2</v>
      </c>
      <c r="F110" s="462">
        <v>7.1</v>
      </c>
      <c r="G110" s="462">
        <v>5.8</v>
      </c>
      <c r="H110" s="462">
        <v>17.100000000000001</v>
      </c>
      <c r="K110" s="44">
        <f t="shared" si="1"/>
        <v>184.11506849315069</v>
      </c>
      <c r="L110" s="462">
        <v>12.9</v>
      </c>
      <c r="M110" s="462">
        <v>5</v>
      </c>
      <c r="N110" s="462">
        <v>4.5</v>
      </c>
      <c r="O110" s="462">
        <v>12.4</v>
      </c>
      <c r="P110" s="44">
        <f t="shared" si="2"/>
        <v>100</v>
      </c>
      <c r="Q110" s="44">
        <f t="shared" si="3"/>
        <v>45.205479452054789</v>
      </c>
      <c r="R110" s="44">
        <f t="shared" si="4"/>
        <v>26.009589041095889</v>
      </c>
      <c r="U110" s="465">
        <v>7300</v>
      </c>
      <c r="V110" s="464">
        <v>7300</v>
      </c>
      <c r="W110" s="464">
        <v>3300</v>
      </c>
      <c r="X110" s="464">
        <v>200</v>
      </c>
      <c r="Y110" s="464">
        <v>300</v>
      </c>
    </row>
    <row r="111" spans="1:25">
      <c r="A111" s="462" t="s">
        <v>443</v>
      </c>
      <c r="B111" s="462" t="s">
        <v>445</v>
      </c>
      <c r="C111" s="462">
        <v>1991</v>
      </c>
      <c r="D111" s="462">
        <v>51.5</v>
      </c>
      <c r="E111" s="462">
        <v>19.600000000000001</v>
      </c>
      <c r="F111" s="462">
        <v>8.1999999999999993</v>
      </c>
      <c r="G111" s="462">
        <v>6.4</v>
      </c>
      <c r="H111" s="462">
        <v>17.3</v>
      </c>
      <c r="K111" s="44">
        <f t="shared" si="1"/>
        <v>193.64444444444445</v>
      </c>
      <c r="L111" s="462">
        <v>14.3</v>
      </c>
      <c r="M111" s="462">
        <v>5.4</v>
      </c>
      <c r="N111" s="462">
        <v>4.9000000000000004</v>
      </c>
      <c r="O111" s="462">
        <v>12.1</v>
      </c>
      <c r="P111" s="44">
        <f t="shared" si="2"/>
        <v>105.55555555555556</v>
      </c>
      <c r="Q111" s="44">
        <f t="shared" si="3"/>
        <v>47.222222222222221</v>
      </c>
      <c r="R111" s="44">
        <f t="shared" si="4"/>
        <v>26.566666666666663</v>
      </c>
      <c r="U111" s="465">
        <v>7200</v>
      </c>
      <c r="V111" s="464">
        <v>7600</v>
      </c>
      <c r="W111" s="464">
        <v>3400</v>
      </c>
      <c r="X111" s="464">
        <v>300</v>
      </c>
      <c r="Y111" s="464">
        <v>300</v>
      </c>
    </row>
    <row r="112" spans="1:25">
      <c r="A112" s="462" t="s">
        <v>443</v>
      </c>
      <c r="B112" s="462" t="s">
        <v>445</v>
      </c>
      <c r="C112" s="462">
        <v>1992</v>
      </c>
      <c r="D112" s="462">
        <v>56.1</v>
      </c>
      <c r="E112" s="462">
        <v>22.3</v>
      </c>
      <c r="F112" s="462">
        <v>8.9</v>
      </c>
      <c r="G112" s="462">
        <v>7.6</v>
      </c>
      <c r="H112" s="462">
        <v>17.3</v>
      </c>
      <c r="K112" s="44">
        <f t="shared" si="1"/>
        <v>209.91449275362322</v>
      </c>
      <c r="L112" s="462">
        <v>15.8</v>
      </c>
      <c r="M112" s="462">
        <v>5.7</v>
      </c>
      <c r="N112" s="462">
        <v>5.6</v>
      </c>
      <c r="O112" s="462">
        <v>11.8</v>
      </c>
      <c r="P112" s="44">
        <f t="shared" si="2"/>
        <v>113.04347826086956</v>
      </c>
      <c r="Q112" s="44">
        <f t="shared" si="3"/>
        <v>53.623188405797109</v>
      </c>
      <c r="R112" s="44">
        <f t="shared" si="4"/>
        <v>27.447826086956525</v>
      </c>
      <c r="U112" s="465">
        <v>6900</v>
      </c>
      <c r="V112" s="464">
        <v>7800</v>
      </c>
      <c r="W112" s="464">
        <v>3700</v>
      </c>
      <c r="X112" s="464">
        <v>500</v>
      </c>
      <c r="Y112" s="464">
        <v>300</v>
      </c>
    </row>
    <row r="113" spans="1:25">
      <c r="A113" s="462" t="s">
        <v>443</v>
      </c>
      <c r="B113" s="462" t="s">
        <v>445</v>
      </c>
      <c r="C113" s="462">
        <v>1993</v>
      </c>
      <c r="D113" s="462">
        <v>60.2</v>
      </c>
      <c r="E113" s="462">
        <v>24.1</v>
      </c>
      <c r="F113" s="462">
        <v>9.1</v>
      </c>
      <c r="G113" s="462">
        <v>8</v>
      </c>
      <c r="H113" s="462">
        <v>18.899999999999999</v>
      </c>
      <c r="K113" s="44">
        <f t="shared" si="1"/>
        <v>222.45294117647057</v>
      </c>
      <c r="L113" s="462">
        <v>16.399999999999999</v>
      </c>
      <c r="M113" s="462">
        <v>5.6</v>
      </c>
      <c r="N113" s="462">
        <v>5.7</v>
      </c>
      <c r="O113" s="462">
        <v>12.4</v>
      </c>
      <c r="P113" s="44">
        <f t="shared" si="2"/>
        <v>119.11764705882352</v>
      </c>
      <c r="Q113" s="44">
        <f t="shared" si="3"/>
        <v>58.82352941176471</v>
      </c>
      <c r="R113" s="44">
        <f t="shared" si="4"/>
        <v>28.111764705882358</v>
      </c>
      <c r="U113" s="465">
        <v>6800</v>
      </c>
      <c r="V113" s="464">
        <v>8100</v>
      </c>
      <c r="W113" s="464">
        <v>4000</v>
      </c>
      <c r="X113" s="464">
        <v>400</v>
      </c>
      <c r="Y113" s="464">
        <v>300</v>
      </c>
    </row>
    <row r="114" spans="1:25">
      <c r="A114" s="462" t="s">
        <v>443</v>
      </c>
      <c r="B114" s="462" t="s">
        <v>445</v>
      </c>
      <c r="C114" s="462">
        <v>1994</v>
      </c>
      <c r="D114" s="462">
        <v>60.7</v>
      </c>
      <c r="E114" s="462">
        <v>24.2</v>
      </c>
      <c r="F114" s="462">
        <v>9.1999999999999993</v>
      </c>
      <c r="G114" s="462">
        <v>8.4</v>
      </c>
      <c r="H114" s="462">
        <v>18.899999999999999</v>
      </c>
      <c r="K114" s="44">
        <f t="shared" si="1"/>
        <v>237.82307692307691</v>
      </c>
      <c r="L114" s="462">
        <v>16.8</v>
      </c>
      <c r="M114" s="462">
        <v>5.7</v>
      </c>
      <c r="N114" s="462">
        <v>6.1</v>
      </c>
      <c r="O114" s="462">
        <v>12.3</v>
      </c>
      <c r="P114" s="44">
        <f t="shared" si="2"/>
        <v>127.69230769230768</v>
      </c>
      <c r="Q114" s="44">
        <f t="shared" si="3"/>
        <v>64.615384615384613</v>
      </c>
      <c r="R114" s="44">
        <f t="shared" si="4"/>
        <v>28.715384615384618</v>
      </c>
      <c r="U114" s="465">
        <v>6500</v>
      </c>
      <c r="V114" s="464">
        <v>8300</v>
      </c>
      <c r="W114" s="464">
        <v>4200</v>
      </c>
      <c r="X114" s="464">
        <v>200</v>
      </c>
      <c r="Y114" s="464">
        <v>300</v>
      </c>
    </row>
    <row r="115" spans="1:25">
      <c r="A115" s="462" t="s">
        <v>443</v>
      </c>
      <c r="B115" s="462" t="s">
        <v>445</v>
      </c>
      <c r="C115" s="462">
        <v>1995</v>
      </c>
      <c r="D115" s="462">
        <v>55</v>
      </c>
      <c r="E115" s="462">
        <v>22.5</v>
      </c>
      <c r="F115" s="462">
        <v>7.8</v>
      </c>
      <c r="G115" s="462">
        <v>7.8</v>
      </c>
      <c r="H115" s="462">
        <v>16.8</v>
      </c>
      <c r="K115" s="44">
        <f t="shared" si="1"/>
        <v>212.03333333333333</v>
      </c>
      <c r="L115" s="462">
        <v>16.399999999999999</v>
      </c>
      <c r="M115" s="462">
        <v>5</v>
      </c>
      <c r="N115" s="462">
        <v>5.8</v>
      </c>
      <c r="O115" s="462">
        <v>11.5</v>
      </c>
      <c r="P115" s="44">
        <f t="shared" si="2"/>
        <v>112.00000000000001</v>
      </c>
      <c r="Q115" s="44">
        <f t="shared" si="3"/>
        <v>58.666666666666664</v>
      </c>
      <c r="R115" s="44">
        <f t="shared" si="4"/>
        <v>24.966666666666669</v>
      </c>
      <c r="U115" s="465">
        <v>7500</v>
      </c>
      <c r="V115" s="464">
        <v>8400</v>
      </c>
      <c r="W115" s="464">
        <v>4400</v>
      </c>
      <c r="X115" s="464">
        <v>200</v>
      </c>
      <c r="Y115" s="464">
        <v>200</v>
      </c>
    </row>
    <row r="116" spans="1:25">
      <c r="A116" s="462" t="s">
        <v>443</v>
      </c>
      <c r="B116" s="462" t="s">
        <v>445</v>
      </c>
      <c r="C116" s="462">
        <v>1996</v>
      </c>
      <c r="D116" s="462">
        <v>54.2</v>
      </c>
      <c r="E116" s="462">
        <v>22.8</v>
      </c>
      <c r="F116" s="462">
        <v>7.5</v>
      </c>
      <c r="G116" s="462">
        <v>8.4</v>
      </c>
      <c r="H116" s="462">
        <v>15.5</v>
      </c>
      <c r="K116" s="44">
        <f t="shared" si="1"/>
        <v>201.83636363636361</v>
      </c>
      <c r="L116" s="462">
        <v>16.600000000000001</v>
      </c>
      <c r="M116" s="462">
        <v>4.8</v>
      </c>
      <c r="N116" s="462">
        <v>6.1</v>
      </c>
      <c r="O116" s="462">
        <v>10.7</v>
      </c>
      <c r="P116" s="44">
        <f t="shared" si="2"/>
        <v>103.89610389610388</v>
      </c>
      <c r="Q116" s="44">
        <f t="shared" si="3"/>
        <v>57.142857142857139</v>
      </c>
      <c r="R116" s="44">
        <f t="shared" si="4"/>
        <v>24.197402597402593</v>
      </c>
      <c r="U116" s="465">
        <v>7700</v>
      </c>
      <c r="V116" s="464">
        <v>8000</v>
      </c>
      <c r="W116" s="464">
        <v>4400</v>
      </c>
      <c r="X116" s="464">
        <v>200</v>
      </c>
      <c r="Y116" s="464">
        <v>200</v>
      </c>
    </row>
    <row r="117" spans="1:25">
      <c r="A117" s="462" t="s">
        <v>443</v>
      </c>
      <c r="B117" s="462" t="s">
        <v>445</v>
      </c>
      <c r="C117" s="462">
        <v>1997</v>
      </c>
      <c r="D117" s="462">
        <v>47.8</v>
      </c>
      <c r="E117" s="462">
        <v>21.4</v>
      </c>
      <c r="F117" s="462">
        <v>5.8</v>
      </c>
      <c r="G117" s="462">
        <v>7.5</v>
      </c>
      <c r="H117" s="462">
        <v>13.2</v>
      </c>
      <c r="K117" s="44">
        <f t="shared" si="1"/>
        <v>190.45238095238096</v>
      </c>
      <c r="L117" s="462">
        <v>16</v>
      </c>
      <c r="M117" s="462">
        <v>3.7</v>
      </c>
      <c r="N117" s="462">
        <v>5.7</v>
      </c>
      <c r="O117" s="462">
        <v>9.1</v>
      </c>
      <c r="P117" s="44">
        <f t="shared" si="2"/>
        <v>98.80952380952381</v>
      </c>
      <c r="Q117" s="44">
        <f t="shared" si="3"/>
        <v>54.761904761904766</v>
      </c>
      <c r="R117" s="44">
        <f t="shared" si="4"/>
        <v>20.88095238095238</v>
      </c>
      <c r="U117" s="465">
        <v>8400</v>
      </c>
      <c r="V117" s="464">
        <v>8300</v>
      </c>
      <c r="W117" s="464">
        <v>4600</v>
      </c>
      <c r="X117" s="464">
        <v>200</v>
      </c>
      <c r="Y117" s="464">
        <v>200</v>
      </c>
    </row>
    <row r="118" spans="1:25">
      <c r="A118" s="462" t="s">
        <v>443</v>
      </c>
      <c r="B118" s="462" t="s">
        <v>445</v>
      </c>
      <c r="C118" s="462">
        <v>1998</v>
      </c>
      <c r="D118" s="462">
        <v>45.7</v>
      </c>
      <c r="E118" s="462">
        <v>22.3</v>
      </c>
      <c r="F118" s="462">
        <v>4.7</v>
      </c>
      <c r="G118" s="462">
        <v>7.1</v>
      </c>
      <c r="H118" s="462">
        <v>11.5</v>
      </c>
      <c r="K118" s="44">
        <f t="shared" si="1"/>
        <v>171.49473684210523</v>
      </c>
      <c r="L118" s="462">
        <v>16.899999999999999</v>
      </c>
      <c r="M118" s="462">
        <v>3.2</v>
      </c>
      <c r="N118" s="462">
        <v>5.4</v>
      </c>
      <c r="O118" s="462">
        <v>8.1</v>
      </c>
      <c r="P118" s="44">
        <f t="shared" si="2"/>
        <v>88.421052631578945</v>
      </c>
      <c r="Q118" s="44">
        <f t="shared" si="3"/>
        <v>47.368421052631575</v>
      </c>
      <c r="R118" s="44">
        <f t="shared" si="4"/>
        <v>18.805263157894739</v>
      </c>
      <c r="U118" s="465">
        <v>9500</v>
      </c>
      <c r="V118" s="464">
        <v>8400</v>
      </c>
      <c r="W118" s="464">
        <v>4500</v>
      </c>
      <c r="X118" s="464">
        <v>200</v>
      </c>
      <c r="Y118" s="464">
        <v>200</v>
      </c>
    </row>
    <row r="119" spans="1:25">
      <c r="A119" s="462" t="s">
        <v>443</v>
      </c>
      <c r="B119" s="462" t="s">
        <v>445</v>
      </c>
      <c r="C119" s="462">
        <v>1999</v>
      </c>
      <c r="D119" s="462">
        <v>42.9</v>
      </c>
      <c r="E119" s="462">
        <v>22.5</v>
      </c>
      <c r="F119" s="462">
        <v>4.0999999999999996</v>
      </c>
      <c r="G119" s="462">
        <v>6.5</v>
      </c>
      <c r="H119" s="462">
        <v>9.9</v>
      </c>
      <c r="K119" s="44">
        <f t="shared" si="1"/>
        <v>154.83009708737862</v>
      </c>
      <c r="L119" s="462">
        <v>17.5</v>
      </c>
      <c r="M119" s="462">
        <v>2.8</v>
      </c>
      <c r="N119" s="462">
        <v>5.0999999999999996</v>
      </c>
      <c r="O119" s="462">
        <v>7.1</v>
      </c>
      <c r="P119" s="44">
        <f t="shared" si="2"/>
        <v>78.640776699029118</v>
      </c>
      <c r="Q119" s="44">
        <f t="shared" si="3"/>
        <v>41.747572815533978</v>
      </c>
      <c r="R119" s="44">
        <f t="shared" si="4"/>
        <v>16.941747572815533</v>
      </c>
      <c r="U119" s="465">
        <v>10300</v>
      </c>
      <c r="V119" s="464">
        <v>8100</v>
      </c>
      <c r="W119" s="464">
        <v>4300</v>
      </c>
      <c r="X119" s="464">
        <v>200</v>
      </c>
      <c r="Y119" s="464">
        <v>200</v>
      </c>
    </row>
    <row r="120" spans="1:25">
      <c r="A120" s="462" t="s">
        <v>443</v>
      </c>
      <c r="B120" s="462" t="s">
        <v>445</v>
      </c>
      <c r="C120" s="462">
        <v>2000</v>
      </c>
      <c r="D120" s="462">
        <v>43.8</v>
      </c>
      <c r="E120" s="462">
        <v>24.4</v>
      </c>
      <c r="F120" s="462">
        <v>3.8</v>
      </c>
      <c r="G120" s="462">
        <v>6.5</v>
      </c>
      <c r="H120" s="462">
        <v>9.3000000000000007</v>
      </c>
      <c r="K120" s="44">
        <f t="shared" si="1"/>
        <v>154.85922330097085</v>
      </c>
      <c r="L120" s="462">
        <v>18.899999999999999</v>
      </c>
      <c r="M120" s="462">
        <v>2.6</v>
      </c>
      <c r="N120" s="462">
        <v>5.2</v>
      </c>
      <c r="O120" s="462">
        <v>6.8</v>
      </c>
      <c r="P120" s="44">
        <f t="shared" si="2"/>
        <v>78.640776699029118</v>
      </c>
      <c r="Q120" s="44">
        <f t="shared" si="3"/>
        <v>40.776699029126213</v>
      </c>
      <c r="R120" s="44">
        <f t="shared" si="4"/>
        <v>16.541747572815535</v>
      </c>
      <c r="U120" s="465">
        <v>10300</v>
      </c>
      <c r="V120" s="464">
        <v>8100</v>
      </c>
      <c r="W120" s="464">
        <v>4200</v>
      </c>
      <c r="X120" s="464">
        <v>200</v>
      </c>
      <c r="Y120" s="464">
        <v>200</v>
      </c>
    </row>
    <row r="121" spans="1:25">
      <c r="A121" s="462" t="s">
        <v>443</v>
      </c>
      <c r="B121" s="462" t="s">
        <v>445</v>
      </c>
      <c r="C121" s="462">
        <v>2001</v>
      </c>
      <c r="D121" s="462">
        <v>47.9</v>
      </c>
      <c r="E121" s="462">
        <v>27.4</v>
      </c>
      <c r="F121" s="462">
        <v>4.0999999999999996</v>
      </c>
      <c r="G121" s="462">
        <v>6.9</v>
      </c>
      <c r="H121" s="462">
        <v>9.4</v>
      </c>
      <c r="K121" s="44">
        <f t="shared" si="1"/>
        <v>179.78602150537634</v>
      </c>
      <c r="L121" s="462">
        <v>20.8</v>
      </c>
      <c r="M121" s="462">
        <v>2.8</v>
      </c>
      <c r="N121" s="462">
        <v>5.3</v>
      </c>
      <c r="O121" s="462">
        <v>6.8</v>
      </c>
      <c r="P121" s="44">
        <f t="shared" si="2"/>
        <v>92.473118279569889</v>
      </c>
      <c r="Q121" s="44">
        <f t="shared" si="3"/>
        <v>49.462365591397848</v>
      </c>
      <c r="R121" s="44">
        <f t="shared" si="4"/>
        <v>17.050537634408602</v>
      </c>
      <c r="U121" s="465">
        <v>9300</v>
      </c>
      <c r="V121" s="464">
        <v>8600</v>
      </c>
      <c r="W121" s="464">
        <v>4600</v>
      </c>
      <c r="X121" s="464">
        <v>200</v>
      </c>
      <c r="Y121" s="464">
        <v>200</v>
      </c>
    </row>
    <row r="122" spans="1:25">
      <c r="A122" s="462" t="s">
        <v>443</v>
      </c>
      <c r="B122" s="462" t="s">
        <v>445</v>
      </c>
      <c r="C122" s="462">
        <v>2002</v>
      </c>
      <c r="D122" s="462">
        <v>51.2</v>
      </c>
      <c r="E122" s="462">
        <v>30.2</v>
      </c>
      <c r="F122" s="462">
        <v>4.5</v>
      </c>
      <c r="G122" s="462">
        <v>6.7</v>
      </c>
      <c r="H122" s="462">
        <v>9.8000000000000007</v>
      </c>
      <c r="K122" s="44">
        <f t="shared" si="1"/>
        <v>192.67977528089889</v>
      </c>
      <c r="L122" s="462">
        <v>21.9</v>
      </c>
      <c r="M122" s="462">
        <v>2.9</v>
      </c>
      <c r="N122" s="462">
        <v>5</v>
      </c>
      <c r="O122" s="462">
        <v>6.7</v>
      </c>
      <c r="P122" s="44">
        <f t="shared" si="2"/>
        <v>100</v>
      </c>
      <c r="Q122" s="44">
        <f t="shared" si="3"/>
        <v>53.932584269662918</v>
      </c>
      <c r="R122" s="44">
        <f t="shared" si="4"/>
        <v>16.847191011235957</v>
      </c>
      <c r="U122" s="465">
        <v>8900</v>
      </c>
      <c r="V122" s="464">
        <v>8900</v>
      </c>
      <c r="W122" s="464">
        <v>4800</v>
      </c>
      <c r="X122" s="464">
        <v>400</v>
      </c>
      <c r="Y122" s="464">
        <v>200</v>
      </c>
    </row>
    <row r="123" spans="1:25">
      <c r="A123" s="462" t="s">
        <v>443</v>
      </c>
      <c r="B123" s="462" t="s">
        <v>445</v>
      </c>
      <c r="C123" s="462">
        <v>2003</v>
      </c>
      <c r="D123" s="462">
        <v>54.8</v>
      </c>
      <c r="E123" s="462">
        <v>32.6</v>
      </c>
      <c r="F123" s="462">
        <v>5.3</v>
      </c>
      <c r="G123" s="462">
        <v>6.7</v>
      </c>
      <c r="H123" s="462">
        <v>10.199999999999999</v>
      </c>
      <c r="K123" s="44">
        <f t="shared" si="1"/>
        <v>206.65714285714287</v>
      </c>
      <c r="L123" s="462">
        <v>23.5</v>
      </c>
      <c r="M123" s="462">
        <v>3.3</v>
      </c>
      <c r="N123" s="462">
        <v>5.0999999999999996</v>
      </c>
      <c r="O123" s="462">
        <v>6.9</v>
      </c>
      <c r="P123" s="44">
        <f t="shared" si="2"/>
        <v>105.95238095238095</v>
      </c>
      <c r="Q123" s="44">
        <f t="shared" si="3"/>
        <v>59.523809523809526</v>
      </c>
      <c r="R123" s="44">
        <f t="shared" si="4"/>
        <v>17.68095238095238</v>
      </c>
      <c r="U123" s="465">
        <v>8400</v>
      </c>
      <c r="V123" s="464">
        <v>8900</v>
      </c>
      <c r="W123" s="464">
        <v>5000</v>
      </c>
      <c r="X123" s="464">
        <v>400</v>
      </c>
      <c r="Y123" s="464">
        <v>200</v>
      </c>
    </row>
    <row r="124" spans="1:25">
      <c r="A124" s="462" t="s">
        <v>443</v>
      </c>
      <c r="B124" s="462" t="s">
        <v>445</v>
      </c>
      <c r="C124" s="462">
        <v>2004</v>
      </c>
      <c r="D124" s="462">
        <v>55.3</v>
      </c>
      <c r="E124" s="462">
        <v>33.6</v>
      </c>
      <c r="F124" s="462">
        <v>5.7</v>
      </c>
      <c r="G124" s="462">
        <v>6.4</v>
      </c>
      <c r="H124" s="462">
        <v>9.6999999999999993</v>
      </c>
      <c r="K124" s="44">
        <f t="shared" si="1"/>
        <v>206.8418604651163</v>
      </c>
      <c r="L124" s="462">
        <v>24.4</v>
      </c>
      <c r="M124" s="462">
        <v>3.6</v>
      </c>
      <c r="N124" s="462">
        <v>4.8</v>
      </c>
      <c r="O124" s="462">
        <v>6.6</v>
      </c>
      <c r="P124" s="44">
        <f t="shared" si="2"/>
        <v>104.65116279069768</v>
      </c>
      <c r="Q124" s="44">
        <f t="shared" si="3"/>
        <v>60.465116279069761</v>
      </c>
      <c r="R124" s="44">
        <f t="shared" si="4"/>
        <v>17.325581395348838</v>
      </c>
      <c r="U124" s="465">
        <v>8600</v>
      </c>
      <c r="V124" s="464">
        <v>9000</v>
      </c>
      <c r="W124" s="464">
        <v>5200</v>
      </c>
      <c r="X124" s="464">
        <v>300</v>
      </c>
      <c r="Y124" s="464">
        <v>200</v>
      </c>
    </row>
    <row r="125" spans="1:25">
      <c r="A125" s="462" t="s">
        <v>443</v>
      </c>
      <c r="B125" s="462" t="s">
        <v>445</v>
      </c>
      <c r="C125" s="462">
        <v>2005</v>
      </c>
      <c r="D125" s="462">
        <v>53.9</v>
      </c>
      <c r="E125" s="462">
        <v>32</v>
      </c>
      <c r="F125" s="462">
        <v>6.1</v>
      </c>
      <c r="G125" s="462">
        <v>6.4</v>
      </c>
      <c r="H125" s="462">
        <v>9.6</v>
      </c>
      <c r="K125" s="44">
        <f t="shared" si="1"/>
        <v>198.04065934065935</v>
      </c>
      <c r="L125" s="462">
        <v>23.4</v>
      </c>
      <c r="M125" s="462">
        <v>3.9</v>
      </c>
      <c r="N125" s="462">
        <v>4.7</v>
      </c>
      <c r="O125" s="462">
        <v>6.7</v>
      </c>
      <c r="P125" s="44">
        <f t="shared" si="2"/>
        <v>98.901098901098905</v>
      </c>
      <c r="Q125" s="44">
        <f t="shared" si="3"/>
        <v>58.241758241758248</v>
      </c>
      <c r="R125" s="44">
        <f t="shared" si="4"/>
        <v>17.497802197802198</v>
      </c>
      <c r="U125" s="465">
        <v>9100</v>
      </c>
      <c r="V125" s="464">
        <v>9000</v>
      </c>
      <c r="W125" s="464">
        <v>5300</v>
      </c>
      <c r="X125" s="464">
        <v>200</v>
      </c>
      <c r="Y125" s="464">
        <v>200</v>
      </c>
    </row>
    <row r="126" spans="1:25">
      <c r="A126" s="462" t="s">
        <v>443</v>
      </c>
      <c r="B126" s="462" t="s">
        <v>445</v>
      </c>
      <c r="C126" s="462">
        <v>2006</v>
      </c>
      <c r="D126" s="462">
        <v>50.7</v>
      </c>
      <c r="E126" s="462">
        <v>29.2</v>
      </c>
      <c r="F126" s="462">
        <v>5.8</v>
      </c>
      <c r="G126" s="462">
        <v>6.1</v>
      </c>
      <c r="H126" s="462">
        <v>9.6999999999999993</v>
      </c>
      <c r="K126" s="44">
        <f t="shared" ref="K126:K189" si="5">L126+P126+Q126+R126</f>
        <v>192.42244897959185</v>
      </c>
      <c r="L126" s="462">
        <v>20.9</v>
      </c>
      <c r="M126" s="462">
        <v>3.6</v>
      </c>
      <c r="N126" s="462">
        <v>4.4000000000000004</v>
      </c>
      <c r="O126" s="462">
        <v>7.4</v>
      </c>
      <c r="P126" s="44">
        <f t="shared" ref="P126:P189" si="6">V126/$U126*100</f>
        <v>93.877551020408163</v>
      </c>
      <c r="Q126" s="44">
        <f t="shared" ref="Q126:Q189" si="7">W126/$U126*100</f>
        <v>60.204081632653065</v>
      </c>
      <c r="R126" s="44">
        <f t="shared" ref="R126:R189" si="8">M126+N126+O126+Y126/$U126*100</f>
        <v>17.440816326530612</v>
      </c>
      <c r="U126" s="465">
        <v>9800</v>
      </c>
      <c r="V126" s="464">
        <v>9200</v>
      </c>
      <c r="W126" s="464">
        <v>5900</v>
      </c>
      <c r="X126" s="464">
        <v>200</v>
      </c>
      <c r="Y126" s="464">
        <v>200</v>
      </c>
    </row>
    <row r="127" spans="1:25">
      <c r="A127" s="462" t="s">
        <v>443</v>
      </c>
      <c r="B127" s="462" t="s">
        <v>445</v>
      </c>
      <c r="C127" s="462">
        <v>2007</v>
      </c>
      <c r="D127" s="462">
        <v>46.6</v>
      </c>
      <c r="E127" s="462">
        <v>26.9</v>
      </c>
      <c r="F127" s="462">
        <v>5.3</v>
      </c>
      <c r="G127" s="462">
        <v>5.6</v>
      </c>
      <c r="H127" s="462">
        <v>8.8000000000000007</v>
      </c>
      <c r="K127" s="44">
        <f t="shared" si="5"/>
        <v>168.72857142857143</v>
      </c>
      <c r="L127" s="462">
        <v>20</v>
      </c>
      <c r="M127" s="462">
        <v>3.5</v>
      </c>
      <c r="N127" s="462">
        <v>4.3</v>
      </c>
      <c r="O127" s="462">
        <v>7</v>
      </c>
      <c r="P127" s="44">
        <f t="shared" si="6"/>
        <v>81.25</v>
      </c>
      <c r="Q127" s="44">
        <f t="shared" si="7"/>
        <v>50.892857142857139</v>
      </c>
      <c r="R127" s="44">
        <f t="shared" si="8"/>
        <v>16.585714285714285</v>
      </c>
      <c r="U127" s="465">
        <v>11200</v>
      </c>
      <c r="V127" s="464">
        <v>9100</v>
      </c>
      <c r="W127" s="464">
        <v>5700</v>
      </c>
      <c r="X127" s="464">
        <v>200</v>
      </c>
      <c r="Y127" s="464">
        <v>200</v>
      </c>
    </row>
    <row r="128" spans="1:25">
      <c r="A128" s="462" t="s">
        <v>443</v>
      </c>
      <c r="B128" s="462" t="s">
        <v>445</v>
      </c>
      <c r="C128" s="462">
        <v>2008</v>
      </c>
      <c r="D128" s="462">
        <v>49.5</v>
      </c>
      <c r="E128" s="462">
        <v>28.9</v>
      </c>
      <c r="F128" s="462">
        <v>6</v>
      </c>
      <c r="G128" s="462">
        <v>5.7</v>
      </c>
      <c r="H128" s="462">
        <v>8.8000000000000007</v>
      </c>
      <c r="K128" s="44">
        <f t="shared" si="5"/>
        <v>192.56274509803919</v>
      </c>
      <c r="L128" s="462">
        <v>20.9</v>
      </c>
      <c r="M128" s="462">
        <v>3.8</v>
      </c>
      <c r="N128" s="462">
        <v>4.2</v>
      </c>
      <c r="O128" s="462">
        <v>6.8</v>
      </c>
      <c r="P128" s="44">
        <f t="shared" si="6"/>
        <v>94.117647058823522</v>
      </c>
      <c r="Q128" s="44">
        <f t="shared" si="7"/>
        <v>60.784313725490193</v>
      </c>
      <c r="R128" s="44">
        <f t="shared" si="8"/>
        <v>16.760784313725491</v>
      </c>
      <c r="U128" s="465">
        <v>10200</v>
      </c>
      <c r="V128" s="464">
        <v>9600</v>
      </c>
      <c r="W128" s="464">
        <v>6200</v>
      </c>
      <c r="X128" s="464">
        <v>400</v>
      </c>
      <c r="Y128" s="464">
        <v>200</v>
      </c>
    </row>
    <row r="129" spans="1:25">
      <c r="A129" s="462" t="s">
        <v>443</v>
      </c>
      <c r="B129" s="462" t="s">
        <v>445</v>
      </c>
      <c r="C129" s="462">
        <v>2009</v>
      </c>
      <c r="D129" s="462">
        <v>58.7</v>
      </c>
      <c r="E129" s="462">
        <v>32.9</v>
      </c>
      <c r="F129" s="462">
        <v>9.4</v>
      </c>
      <c r="G129" s="462">
        <v>6.7</v>
      </c>
      <c r="H129" s="462">
        <v>9.8000000000000007</v>
      </c>
      <c r="K129" s="44">
        <f t="shared" si="5"/>
        <v>235.65172413793104</v>
      </c>
      <c r="L129" s="462">
        <v>22</v>
      </c>
      <c r="M129" s="462">
        <v>5.2</v>
      </c>
      <c r="N129" s="462">
        <v>4.5999999999999996</v>
      </c>
      <c r="O129" s="462">
        <v>7.3</v>
      </c>
      <c r="P129" s="44">
        <f t="shared" si="6"/>
        <v>118.39080459770115</v>
      </c>
      <c r="Q129" s="44">
        <f t="shared" si="7"/>
        <v>75.862068965517238</v>
      </c>
      <c r="R129" s="44">
        <f t="shared" si="8"/>
        <v>19.398850574712647</v>
      </c>
      <c r="U129" s="465">
        <v>8700</v>
      </c>
      <c r="V129" s="464">
        <v>10300</v>
      </c>
      <c r="W129" s="464">
        <v>6600</v>
      </c>
      <c r="X129" s="464">
        <v>1200</v>
      </c>
      <c r="Y129" s="464">
        <v>200</v>
      </c>
    </row>
    <row r="130" spans="1:25">
      <c r="A130" s="462" t="s">
        <v>443</v>
      </c>
      <c r="B130" s="462" t="s">
        <v>445</v>
      </c>
      <c r="C130" s="462">
        <v>2010</v>
      </c>
      <c r="D130" s="462">
        <v>63.2</v>
      </c>
      <c r="E130" s="462">
        <v>35.1</v>
      </c>
      <c r="F130" s="462">
        <v>10.6</v>
      </c>
      <c r="G130" s="462">
        <v>7</v>
      </c>
      <c r="H130" s="462">
        <v>10.5</v>
      </c>
      <c r="K130" s="44">
        <f t="shared" si="5"/>
        <v>233.06470588235297</v>
      </c>
      <c r="L130" s="462">
        <v>23</v>
      </c>
      <c r="M130" s="462">
        <v>5.9</v>
      </c>
      <c r="N130" s="462">
        <v>4.7</v>
      </c>
      <c r="O130" s="462">
        <v>7.7</v>
      </c>
      <c r="P130" s="44">
        <f t="shared" si="6"/>
        <v>116.47058823529413</v>
      </c>
      <c r="Q130" s="44">
        <f t="shared" si="7"/>
        <v>74.117647058823536</v>
      </c>
      <c r="R130" s="44">
        <f t="shared" si="8"/>
        <v>19.476470588235294</v>
      </c>
      <c r="U130" s="465">
        <v>8500</v>
      </c>
      <c r="V130" s="464">
        <v>9900</v>
      </c>
      <c r="W130" s="464">
        <v>6300</v>
      </c>
      <c r="X130" s="464">
        <v>1400</v>
      </c>
      <c r="Y130" s="464">
        <v>100</v>
      </c>
    </row>
    <row r="131" spans="1:25">
      <c r="A131" s="462" t="s">
        <v>443</v>
      </c>
      <c r="B131" s="462" t="s">
        <v>445</v>
      </c>
      <c r="C131" s="462">
        <v>2011</v>
      </c>
      <c r="D131" s="462">
        <v>59.7</v>
      </c>
      <c r="E131" s="462">
        <v>32.1</v>
      </c>
      <c r="F131" s="462">
        <v>10.9</v>
      </c>
      <c r="G131" s="462">
        <v>6.6</v>
      </c>
      <c r="H131" s="462">
        <v>10.199999999999999</v>
      </c>
      <c r="K131" s="44">
        <f t="shared" si="5"/>
        <v>233.88604651162791</v>
      </c>
      <c r="L131" s="462">
        <v>21.5</v>
      </c>
      <c r="M131" s="462">
        <v>6.1</v>
      </c>
      <c r="N131" s="462">
        <v>4.5999999999999996</v>
      </c>
      <c r="O131" s="462">
        <v>7.5</v>
      </c>
      <c r="P131" s="44">
        <f t="shared" si="6"/>
        <v>117.44186046511629</v>
      </c>
      <c r="Q131" s="44">
        <f t="shared" si="7"/>
        <v>75.581395348837205</v>
      </c>
      <c r="R131" s="44">
        <f t="shared" si="8"/>
        <v>19.362790697674416</v>
      </c>
      <c r="U131" s="465">
        <v>8600</v>
      </c>
      <c r="V131" s="464">
        <v>10100</v>
      </c>
      <c r="W131" s="464">
        <v>6500</v>
      </c>
      <c r="X131" s="464">
        <v>900</v>
      </c>
      <c r="Y131" s="464">
        <v>100</v>
      </c>
    </row>
    <row r="132" spans="1:25">
      <c r="A132" s="462" t="s">
        <v>443</v>
      </c>
      <c r="B132" s="462" t="s">
        <v>445</v>
      </c>
      <c r="C132" s="462">
        <v>2012</v>
      </c>
      <c r="D132" s="462">
        <v>62.9</v>
      </c>
      <c r="E132" s="462">
        <v>34.5</v>
      </c>
      <c r="F132" s="462">
        <v>11.7</v>
      </c>
      <c r="G132" s="462">
        <v>7.1</v>
      </c>
      <c r="H132" s="462">
        <v>9.6</v>
      </c>
      <c r="K132" s="44">
        <f t="shared" si="5"/>
        <v>249.74197530864197</v>
      </c>
      <c r="L132" s="462">
        <v>22.7</v>
      </c>
      <c r="M132" s="462">
        <v>6.5</v>
      </c>
      <c r="N132" s="462">
        <v>4.8</v>
      </c>
      <c r="O132" s="462">
        <v>7.1</v>
      </c>
      <c r="P132" s="44">
        <f t="shared" si="6"/>
        <v>125.92592592592592</v>
      </c>
      <c r="Q132" s="44">
        <f t="shared" si="7"/>
        <v>80.246913580246911</v>
      </c>
      <c r="R132" s="44">
        <f t="shared" si="8"/>
        <v>20.869135802469135</v>
      </c>
      <c r="U132" s="465">
        <v>8100</v>
      </c>
      <c r="V132" s="464">
        <v>10200</v>
      </c>
      <c r="W132" s="464">
        <v>6500</v>
      </c>
      <c r="X132" s="464">
        <v>600</v>
      </c>
      <c r="Y132" s="464">
        <v>200</v>
      </c>
    </row>
    <row r="133" spans="1:25">
      <c r="A133" s="462" t="s">
        <v>443</v>
      </c>
      <c r="B133" s="462" t="s">
        <v>445</v>
      </c>
      <c r="C133" s="462">
        <v>2013</v>
      </c>
      <c r="D133" s="462">
        <v>62.6</v>
      </c>
      <c r="E133" s="462">
        <v>35.6</v>
      </c>
      <c r="F133" s="462">
        <v>10.7</v>
      </c>
      <c r="G133" s="462">
        <v>7.4</v>
      </c>
      <c r="H133" s="462">
        <v>8.9</v>
      </c>
      <c r="K133" s="44">
        <f t="shared" si="5"/>
        <v>231.7112359550562</v>
      </c>
      <c r="L133" s="462">
        <v>23</v>
      </c>
      <c r="M133" s="462">
        <v>6.1</v>
      </c>
      <c r="N133" s="462">
        <v>4.8</v>
      </c>
      <c r="O133" s="462">
        <v>6.8</v>
      </c>
      <c r="P133" s="44">
        <f t="shared" si="6"/>
        <v>117.97752808988764</v>
      </c>
      <c r="Q133" s="44">
        <f t="shared" si="7"/>
        <v>70.786516853932582</v>
      </c>
      <c r="R133" s="44">
        <f t="shared" si="8"/>
        <v>19.947191011235955</v>
      </c>
      <c r="U133" s="465">
        <v>8900</v>
      </c>
      <c r="V133" s="464">
        <v>10500</v>
      </c>
      <c r="W133" s="464">
        <v>6300</v>
      </c>
      <c r="X133" s="464">
        <v>400</v>
      </c>
      <c r="Y133" s="464">
        <v>200</v>
      </c>
    </row>
    <row r="134" spans="1:25">
      <c r="A134" s="462" t="s">
        <v>443</v>
      </c>
      <c r="B134" s="462" t="s">
        <v>445</v>
      </c>
      <c r="C134" s="462">
        <v>2014</v>
      </c>
      <c r="D134" s="462">
        <v>72.3</v>
      </c>
      <c r="E134" s="462">
        <v>45.6</v>
      </c>
      <c r="F134" s="462">
        <v>9.8000000000000007</v>
      </c>
      <c r="G134" s="462">
        <v>7</v>
      </c>
      <c r="H134" s="462">
        <v>9.9</v>
      </c>
      <c r="K134" s="44">
        <f t="shared" si="5"/>
        <v>242.97058823529412</v>
      </c>
      <c r="L134" s="462">
        <v>28.6</v>
      </c>
      <c r="M134" s="462">
        <v>5.7</v>
      </c>
      <c r="N134" s="462">
        <v>4.8</v>
      </c>
      <c r="O134" s="462">
        <v>7.4</v>
      </c>
      <c r="P134" s="44">
        <f t="shared" si="6"/>
        <v>120</v>
      </c>
      <c r="Q134" s="44">
        <f t="shared" si="7"/>
        <v>74.117647058823536</v>
      </c>
      <c r="R134" s="44">
        <f t="shared" si="8"/>
        <v>20.252941176470586</v>
      </c>
      <c r="U134" s="465">
        <v>8500</v>
      </c>
      <c r="V134" s="464">
        <v>10200</v>
      </c>
      <c r="W134" s="464">
        <v>6300</v>
      </c>
      <c r="X134" s="464">
        <v>200</v>
      </c>
      <c r="Y134" s="464">
        <v>200</v>
      </c>
    </row>
    <row r="135" spans="1:25">
      <c r="A135" s="462" t="s">
        <v>443</v>
      </c>
      <c r="B135" s="462" t="s">
        <v>445</v>
      </c>
      <c r="C135" s="462">
        <v>2015</v>
      </c>
      <c r="D135" s="462">
        <v>71.900000000000006</v>
      </c>
      <c r="E135" s="462">
        <v>46.4</v>
      </c>
      <c r="F135" s="462">
        <v>9</v>
      </c>
      <c r="G135" s="462">
        <v>6.7</v>
      </c>
      <c r="H135" s="462">
        <v>9.8000000000000007</v>
      </c>
      <c r="K135" s="44">
        <f t="shared" si="5"/>
        <v>240.35555555555553</v>
      </c>
      <c r="L135" s="462">
        <v>28</v>
      </c>
      <c r="M135" s="462">
        <v>5.2</v>
      </c>
      <c r="N135" s="462">
        <v>4.4000000000000004</v>
      </c>
      <c r="O135" s="462">
        <v>7.2</v>
      </c>
      <c r="P135" s="44">
        <f t="shared" si="6"/>
        <v>120</v>
      </c>
      <c r="Q135" s="44">
        <f t="shared" si="7"/>
        <v>73.333333333333329</v>
      </c>
      <c r="R135" s="44">
        <f t="shared" si="8"/>
        <v>19.022222222222222</v>
      </c>
      <c r="U135" s="465">
        <v>9000</v>
      </c>
      <c r="V135" s="464">
        <v>10800</v>
      </c>
      <c r="W135" s="464">
        <v>6600</v>
      </c>
      <c r="X135" s="464">
        <v>100</v>
      </c>
      <c r="Y135" s="464">
        <v>200</v>
      </c>
    </row>
    <row r="136" spans="1:25">
      <c r="A136" s="462" t="s">
        <v>443</v>
      </c>
      <c r="B136" s="462" t="s">
        <v>445</v>
      </c>
      <c r="C136" s="462">
        <v>2016</v>
      </c>
      <c r="D136" s="462">
        <v>71.599999999999994</v>
      </c>
      <c r="E136" s="462">
        <v>46.7</v>
      </c>
      <c r="F136" s="462">
        <v>8.4</v>
      </c>
      <c r="G136" s="462">
        <v>6.4</v>
      </c>
      <c r="H136" s="462">
        <v>10.1</v>
      </c>
      <c r="K136" s="44">
        <f t="shared" si="5"/>
        <v>246.84719101123594</v>
      </c>
      <c r="L136" s="462">
        <v>27.9</v>
      </c>
      <c r="M136" s="462">
        <v>4.9000000000000004</v>
      </c>
      <c r="N136" s="462">
        <v>4.3</v>
      </c>
      <c r="O136" s="462">
        <v>7.5</v>
      </c>
      <c r="P136" s="44">
        <f t="shared" si="6"/>
        <v>123.59550561797752</v>
      </c>
      <c r="Q136" s="44">
        <f t="shared" si="7"/>
        <v>76.404494382022463</v>
      </c>
      <c r="R136" s="44">
        <f t="shared" si="8"/>
        <v>18.947191011235955</v>
      </c>
      <c r="U136" s="465">
        <v>8900</v>
      </c>
      <c r="V136" s="464">
        <v>11000</v>
      </c>
      <c r="W136" s="464">
        <v>6800</v>
      </c>
      <c r="X136" s="464">
        <v>100</v>
      </c>
      <c r="Y136" s="464">
        <v>200</v>
      </c>
    </row>
    <row r="137" spans="1:25">
      <c r="A137" s="462" t="s">
        <v>443</v>
      </c>
      <c r="B137" s="462" t="s">
        <v>446</v>
      </c>
      <c r="C137" s="462">
        <v>1979</v>
      </c>
      <c r="D137" s="462">
        <v>2.4</v>
      </c>
      <c r="E137" s="462">
        <v>0.7</v>
      </c>
      <c r="F137" s="462">
        <v>0.4</v>
      </c>
      <c r="G137" s="462">
        <v>0.4</v>
      </c>
      <c r="H137" s="462">
        <v>0.9</v>
      </c>
      <c r="K137" s="44">
        <f t="shared" si="5"/>
        <v>15.874251497005988</v>
      </c>
      <c r="L137" s="462">
        <v>0.9</v>
      </c>
      <c r="M137" s="462">
        <v>0.6</v>
      </c>
      <c r="N137" s="462">
        <v>0.4</v>
      </c>
      <c r="O137" s="462">
        <v>1.1000000000000001</v>
      </c>
      <c r="P137" s="44">
        <f t="shared" si="6"/>
        <v>10.179640718562874</v>
      </c>
      <c r="Q137" s="44">
        <f t="shared" si="7"/>
        <v>2.3952095808383236</v>
      </c>
      <c r="R137" s="44">
        <f t="shared" si="8"/>
        <v>2.3994011976047904</v>
      </c>
      <c r="U137" s="465">
        <v>33400</v>
      </c>
      <c r="V137" s="464">
        <v>3400</v>
      </c>
      <c r="W137" s="464">
        <v>800</v>
      </c>
      <c r="X137" s="464">
        <v>400</v>
      </c>
      <c r="Y137" s="464">
        <v>100</v>
      </c>
    </row>
    <row r="138" spans="1:25">
      <c r="A138" s="462" t="s">
        <v>443</v>
      </c>
      <c r="B138" s="462" t="s">
        <v>446</v>
      </c>
      <c r="C138" s="462">
        <v>1980</v>
      </c>
      <c r="D138" s="462">
        <v>2.8</v>
      </c>
      <c r="E138" s="462">
        <v>0.8</v>
      </c>
      <c r="F138" s="462">
        <v>0.6</v>
      </c>
      <c r="G138" s="462">
        <v>0.4</v>
      </c>
      <c r="H138" s="462">
        <v>1</v>
      </c>
      <c r="K138" s="44">
        <f t="shared" si="5"/>
        <v>18.786624203821656</v>
      </c>
      <c r="L138" s="462">
        <v>1</v>
      </c>
      <c r="M138" s="462">
        <v>0.8</v>
      </c>
      <c r="N138" s="462">
        <v>0.4</v>
      </c>
      <c r="O138" s="462">
        <v>1.3</v>
      </c>
      <c r="P138" s="44">
        <f t="shared" si="6"/>
        <v>11.783439490445859</v>
      </c>
      <c r="Q138" s="44">
        <f t="shared" si="7"/>
        <v>2.8662420382165608</v>
      </c>
      <c r="R138" s="44">
        <f t="shared" si="8"/>
        <v>3.1369426751592355</v>
      </c>
      <c r="U138" s="465">
        <v>31400</v>
      </c>
      <c r="V138" s="464">
        <v>3700</v>
      </c>
      <c r="W138" s="464">
        <v>900</v>
      </c>
      <c r="X138" s="464">
        <v>600</v>
      </c>
      <c r="Y138" s="464">
        <v>200</v>
      </c>
    </row>
    <row r="139" spans="1:25">
      <c r="A139" s="462" t="s">
        <v>443</v>
      </c>
      <c r="B139" s="462" t="s">
        <v>446</v>
      </c>
      <c r="C139" s="462">
        <v>1981</v>
      </c>
      <c r="D139" s="462">
        <v>3.1</v>
      </c>
      <c r="E139" s="462">
        <v>0.9</v>
      </c>
      <c r="F139" s="462">
        <v>0.7</v>
      </c>
      <c r="G139" s="462">
        <v>0.4</v>
      </c>
      <c r="H139" s="462">
        <v>1.1000000000000001</v>
      </c>
      <c r="K139" s="44">
        <f t="shared" si="5"/>
        <v>20.328478964401292</v>
      </c>
      <c r="L139" s="462">
        <v>1</v>
      </c>
      <c r="M139" s="462">
        <v>0.8</v>
      </c>
      <c r="N139" s="462">
        <v>0.4</v>
      </c>
      <c r="O139" s="462">
        <v>1.3</v>
      </c>
      <c r="P139" s="44">
        <f t="shared" si="6"/>
        <v>12.944983818770226</v>
      </c>
      <c r="Q139" s="44">
        <f t="shared" si="7"/>
        <v>3.5598705501618122</v>
      </c>
      <c r="R139" s="44">
        <f t="shared" si="8"/>
        <v>2.8236245954692558</v>
      </c>
      <c r="U139" s="465">
        <v>30900</v>
      </c>
      <c r="V139" s="464">
        <v>4000</v>
      </c>
      <c r="W139" s="464">
        <v>1100</v>
      </c>
      <c r="X139" s="464">
        <v>500</v>
      </c>
      <c r="Y139" s="464">
        <v>100</v>
      </c>
    </row>
    <row r="140" spans="1:25">
      <c r="A140" s="462" t="s">
        <v>443</v>
      </c>
      <c r="B140" s="462" t="s">
        <v>446</v>
      </c>
      <c r="C140" s="462">
        <v>1982</v>
      </c>
      <c r="D140" s="462">
        <v>2.9</v>
      </c>
      <c r="E140" s="462">
        <v>0.9</v>
      </c>
      <c r="F140" s="462">
        <v>0.5</v>
      </c>
      <c r="G140" s="462">
        <v>0.4</v>
      </c>
      <c r="H140" s="462">
        <v>1</v>
      </c>
      <c r="K140" s="44">
        <f t="shared" si="5"/>
        <v>23.16101694915254</v>
      </c>
      <c r="L140" s="462">
        <v>1</v>
      </c>
      <c r="M140" s="462">
        <v>0.8</v>
      </c>
      <c r="N140" s="462">
        <v>0.4</v>
      </c>
      <c r="O140" s="462">
        <v>1.3</v>
      </c>
      <c r="P140" s="44">
        <f t="shared" si="6"/>
        <v>14.576271186440678</v>
      </c>
      <c r="Q140" s="44">
        <f t="shared" si="7"/>
        <v>4.406779661016949</v>
      </c>
      <c r="R140" s="44">
        <f t="shared" si="8"/>
        <v>3.1779661016949152</v>
      </c>
      <c r="U140" s="465">
        <v>29500</v>
      </c>
      <c r="V140" s="464">
        <v>4300</v>
      </c>
      <c r="W140" s="464">
        <v>1300</v>
      </c>
      <c r="X140" s="464">
        <v>800</v>
      </c>
      <c r="Y140" s="464">
        <v>200</v>
      </c>
    </row>
    <row r="141" spans="1:25">
      <c r="A141" s="462" t="s">
        <v>443</v>
      </c>
      <c r="B141" s="462" t="s">
        <v>446</v>
      </c>
      <c r="C141" s="462">
        <v>1983</v>
      </c>
      <c r="D141" s="462">
        <v>2.8</v>
      </c>
      <c r="E141" s="462">
        <v>0.9</v>
      </c>
      <c r="F141" s="462">
        <v>0.5</v>
      </c>
      <c r="G141" s="462">
        <v>0.4</v>
      </c>
      <c r="H141" s="462">
        <v>1</v>
      </c>
      <c r="K141" s="44">
        <f t="shared" si="5"/>
        <v>24.83098591549296</v>
      </c>
      <c r="L141" s="462">
        <v>0.9</v>
      </c>
      <c r="M141" s="462">
        <v>0.6</v>
      </c>
      <c r="N141" s="462">
        <v>0.4</v>
      </c>
      <c r="O141" s="462">
        <v>1.1000000000000001</v>
      </c>
      <c r="P141" s="44">
        <f t="shared" si="6"/>
        <v>16.197183098591552</v>
      </c>
      <c r="Q141" s="44">
        <f t="shared" si="7"/>
        <v>4.929577464788732</v>
      </c>
      <c r="R141" s="44">
        <f t="shared" si="8"/>
        <v>2.8042253521126761</v>
      </c>
      <c r="U141" s="465">
        <v>28400</v>
      </c>
      <c r="V141" s="464">
        <v>4600</v>
      </c>
      <c r="W141" s="464">
        <v>1400</v>
      </c>
      <c r="X141" s="464">
        <v>700</v>
      </c>
      <c r="Y141" s="464">
        <v>200</v>
      </c>
    </row>
    <row r="142" spans="1:25">
      <c r="A142" s="462" t="s">
        <v>443</v>
      </c>
      <c r="B142" s="462" t="s">
        <v>446</v>
      </c>
      <c r="C142" s="462">
        <v>1984</v>
      </c>
      <c r="D142" s="462">
        <v>2.7</v>
      </c>
      <c r="E142" s="462">
        <v>0.9</v>
      </c>
      <c r="F142" s="462">
        <v>0.4</v>
      </c>
      <c r="G142" s="462">
        <v>0.4</v>
      </c>
      <c r="H142" s="462">
        <v>1</v>
      </c>
      <c r="K142" s="44">
        <f t="shared" si="5"/>
        <v>22.13225806451613</v>
      </c>
      <c r="L142" s="462">
        <v>0.9</v>
      </c>
      <c r="M142" s="462">
        <v>0.6</v>
      </c>
      <c r="N142" s="462">
        <v>0.4</v>
      </c>
      <c r="O142" s="462">
        <v>1.2</v>
      </c>
      <c r="P142" s="44">
        <f t="shared" si="6"/>
        <v>13.870967741935484</v>
      </c>
      <c r="Q142" s="44">
        <f t="shared" si="7"/>
        <v>4.5161290322580641</v>
      </c>
      <c r="R142" s="44">
        <f t="shared" si="8"/>
        <v>2.8451612903225807</v>
      </c>
      <c r="U142" s="465">
        <v>31000</v>
      </c>
      <c r="V142" s="464">
        <v>4300</v>
      </c>
      <c r="W142" s="464">
        <v>1400</v>
      </c>
      <c r="X142" s="464">
        <v>500</v>
      </c>
      <c r="Y142" s="464">
        <v>200</v>
      </c>
    </row>
    <row r="143" spans="1:25">
      <c r="A143" s="462" t="s">
        <v>443</v>
      </c>
      <c r="B143" s="462" t="s">
        <v>446</v>
      </c>
      <c r="C143" s="462">
        <v>1985</v>
      </c>
      <c r="D143" s="462">
        <v>2.7</v>
      </c>
      <c r="E143" s="462">
        <v>0.9</v>
      </c>
      <c r="F143" s="462">
        <v>0.4</v>
      </c>
      <c r="G143" s="462">
        <v>0.4</v>
      </c>
      <c r="H143" s="462">
        <v>1</v>
      </c>
      <c r="K143" s="44">
        <f t="shared" si="5"/>
        <v>22.764724919093851</v>
      </c>
      <c r="L143" s="462">
        <v>0.9</v>
      </c>
      <c r="M143" s="462">
        <v>0.5</v>
      </c>
      <c r="N143" s="462">
        <v>0.3</v>
      </c>
      <c r="O143" s="462">
        <v>1</v>
      </c>
      <c r="P143" s="44">
        <f t="shared" si="6"/>
        <v>14.239482200647249</v>
      </c>
      <c r="Q143" s="44">
        <f t="shared" si="7"/>
        <v>5.1779935275080913</v>
      </c>
      <c r="R143" s="44">
        <f t="shared" si="8"/>
        <v>2.4472491909385115</v>
      </c>
      <c r="U143" s="465">
        <v>30900</v>
      </c>
      <c r="V143" s="464">
        <v>4400</v>
      </c>
      <c r="W143" s="464">
        <v>1600</v>
      </c>
      <c r="X143" s="464">
        <v>400</v>
      </c>
      <c r="Y143" s="464">
        <v>200</v>
      </c>
    </row>
    <row r="144" spans="1:25">
      <c r="A144" s="462" t="s">
        <v>443</v>
      </c>
      <c r="B144" s="462" t="s">
        <v>446</v>
      </c>
      <c r="C144" s="462">
        <v>1986</v>
      </c>
      <c r="D144" s="462">
        <v>3</v>
      </c>
      <c r="E144" s="462">
        <v>1.1000000000000001</v>
      </c>
      <c r="F144" s="462">
        <v>0.3</v>
      </c>
      <c r="G144" s="462">
        <v>0.6</v>
      </c>
      <c r="H144" s="462">
        <v>1</v>
      </c>
      <c r="K144" s="44">
        <f t="shared" si="5"/>
        <v>24.68284789644013</v>
      </c>
      <c r="L144" s="462">
        <v>1</v>
      </c>
      <c r="M144" s="462">
        <v>0.5</v>
      </c>
      <c r="N144" s="462">
        <v>0.4</v>
      </c>
      <c r="O144" s="462">
        <v>1.1000000000000001</v>
      </c>
      <c r="P144" s="44">
        <f t="shared" si="6"/>
        <v>15.53398058252427</v>
      </c>
      <c r="Q144" s="44">
        <f t="shared" si="7"/>
        <v>5.5016181229773462</v>
      </c>
      <c r="R144" s="44">
        <f t="shared" si="8"/>
        <v>2.6472491909385116</v>
      </c>
      <c r="U144" s="465">
        <v>30900</v>
      </c>
      <c r="V144" s="464">
        <v>4800</v>
      </c>
      <c r="W144" s="464">
        <v>1700</v>
      </c>
      <c r="X144" s="464">
        <v>400</v>
      </c>
      <c r="Y144" s="464">
        <v>200</v>
      </c>
    </row>
    <row r="145" spans="1:25">
      <c r="A145" s="462" t="s">
        <v>443</v>
      </c>
      <c r="B145" s="462" t="s">
        <v>446</v>
      </c>
      <c r="C145" s="462">
        <v>1987</v>
      </c>
      <c r="D145" s="462">
        <v>2.9</v>
      </c>
      <c r="E145" s="462">
        <v>1.1000000000000001</v>
      </c>
      <c r="F145" s="462">
        <v>0.3</v>
      </c>
      <c r="G145" s="462">
        <v>0.5</v>
      </c>
      <c r="H145" s="462">
        <v>1</v>
      </c>
      <c r="K145" s="44">
        <f t="shared" si="5"/>
        <v>25.191362126245849</v>
      </c>
      <c r="L145" s="462">
        <v>1</v>
      </c>
      <c r="M145" s="462">
        <v>0.3</v>
      </c>
      <c r="N145" s="462">
        <v>0.4</v>
      </c>
      <c r="O145" s="462">
        <v>0.9</v>
      </c>
      <c r="P145" s="44">
        <f t="shared" si="6"/>
        <v>16.279069767441861</v>
      </c>
      <c r="Q145" s="44">
        <f t="shared" si="7"/>
        <v>5.6478405315614619</v>
      </c>
      <c r="R145" s="44">
        <f t="shared" si="8"/>
        <v>2.2644518272425249</v>
      </c>
      <c r="U145" s="465">
        <v>30100</v>
      </c>
      <c r="V145" s="464">
        <v>4900</v>
      </c>
      <c r="W145" s="464">
        <v>1700</v>
      </c>
      <c r="X145" s="464">
        <v>300</v>
      </c>
      <c r="Y145" s="464">
        <v>200</v>
      </c>
    </row>
    <row r="146" spans="1:25">
      <c r="A146" s="462" t="s">
        <v>443</v>
      </c>
      <c r="B146" s="462" t="s">
        <v>446</v>
      </c>
      <c r="C146" s="462">
        <v>1988</v>
      </c>
      <c r="D146" s="462">
        <v>2.8</v>
      </c>
      <c r="E146" s="462">
        <v>1.1000000000000001</v>
      </c>
      <c r="F146" s="462">
        <v>0.3</v>
      </c>
      <c r="G146" s="462">
        <v>0.5</v>
      </c>
      <c r="H146" s="462">
        <v>0.9</v>
      </c>
      <c r="K146" s="44">
        <f t="shared" si="5"/>
        <v>24.749837133550486</v>
      </c>
      <c r="L146" s="462">
        <v>1</v>
      </c>
      <c r="M146" s="462">
        <v>0.3</v>
      </c>
      <c r="N146" s="462">
        <v>0.4</v>
      </c>
      <c r="O146" s="462">
        <v>0.9</v>
      </c>
      <c r="P146" s="44">
        <f t="shared" si="6"/>
        <v>15.635179153094461</v>
      </c>
      <c r="Q146" s="44">
        <f t="shared" si="7"/>
        <v>5.8631921824104234</v>
      </c>
      <c r="R146" s="44">
        <f t="shared" si="8"/>
        <v>2.2514657980456025</v>
      </c>
      <c r="U146" s="465">
        <v>30700</v>
      </c>
      <c r="V146" s="464">
        <v>4800</v>
      </c>
      <c r="W146" s="464">
        <v>1800</v>
      </c>
      <c r="X146" s="464">
        <v>300</v>
      </c>
      <c r="Y146" s="464">
        <v>200</v>
      </c>
    </row>
    <row r="147" spans="1:25">
      <c r="A147" s="462" t="s">
        <v>443</v>
      </c>
      <c r="B147" s="462" t="s">
        <v>446</v>
      </c>
      <c r="C147" s="462">
        <v>1989</v>
      </c>
      <c r="D147" s="462">
        <v>3.1</v>
      </c>
      <c r="E147" s="462">
        <v>1.2</v>
      </c>
      <c r="F147" s="462">
        <v>0.3</v>
      </c>
      <c r="G147" s="462">
        <v>0.6</v>
      </c>
      <c r="H147" s="462">
        <v>0.9</v>
      </c>
      <c r="K147" s="44">
        <f t="shared" si="5"/>
        <v>25.608038585209005</v>
      </c>
      <c r="L147" s="462">
        <v>1.2</v>
      </c>
      <c r="M147" s="462">
        <v>0.4</v>
      </c>
      <c r="N147" s="462">
        <v>0.5</v>
      </c>
      <c r="O147" s="462">
        <v>1</v>
      </c>
      <c r="P147" s="44">
        <f t="shared" si="6"/>
        <v>15.755627009646304</v>
      </c>
      <c r="Q147" s="44">
        <f t="shared" si="7"/>
        <v>5.787781350482315</v>
      </c>
      <c r="R147" s="44">
        <f t="shared" si="8"/>
        <v>2.8646302250803859</v>
      </c>
      <c r="U147" s="465">
        <v>31100</v>
      </c>
      <c r="V147" s="464">
        <v>4900</v>
      </c>
      <c r="W147" s="464">
        <v>1800</v>
      </c>
      <c r="X147" s="464">
        <v>300</v>
      </c>
      <c r="Y147" s="464">
        <v>300</v>
      </c>
    </row>
    <row r="148" spans="1:25">
      <c r="A148" s="462" t="s">
        <v>443</v>
      </c>
      <c r="B148" s="462" t="s">
        <v>446</v>
      </c>
      <c r="C148" s="462">
        <v>1990</v>
      </c>
      <c r="D148" s="462">
        <v>3.5</v>
      </c>
      <c r="E148" s="462">
        <v>1.6</v>
      </c>
      <c r="F148" s="462">
        <v>0.4</v>
      </c>
      <c r="G148" s="462">
        <v>0.6</v>
      </c>
      <c r="H148" s="462">
        <v>1</v>
      </c>
      <c r="K148" s="44">
        <f t="shared" si="5"/>
        <v>25.9</v>
      </c>
      <c r="L148" s="462">
        <v>1.4</v>
      </c>
      <c r="M148" s="462">
        <v>0.5</v>
      </c>
      <c r="N148" s="462">
        <v>0.5</v>
      </c>
      <c r="O148" s="462">
        <v>1</v>
      </c>
      <c r="P148" s="44">
        <f t="shared" si="6"/>
        <v>15.625</v>
      </c>
      <c r="Q148" s="44">
        <f t="shared" si="7"/>
        <v>5.9375</v>
      </c>
      <c r="R148" s="44">
        <f t="shared" si="8"/>
        <v>2.9375</v>
      </c>
      <c r="U148" s="465">
        <v>32000</v>
      </c>
      <c r="V148" s="464">
        <v>5000</v>
      </c>
      <c r="W148" s="464">
        <v>1900</v>
      </c>
      <c r="X148" s="464">
        <v>400</v>
      </c>
      <c r="Y148" s="464">
        <v>300</v>
      </c>
    </row>
    <row r="149" spans="1:25">
      <c r="A149" s="462" t="s">
        <v>443</v>
      </c>
      <c r="B149" s="462" t="s">
        <v>446</v>
      </c>
      <c r="C149" s="462">
        <v>1991</v>
      </c>
      <c r="D149" s="462">
        <v>4.3</v>
      </c>
      <c r="E149" s="462">
        <v>2</v>
      </c>
      <c r="F149" s="462">
        <v>0.5</v>
      </c>
      <c r="G149" s="462">
        <v>0.7</v>
      </c>
      <c r="H149" s="462">
        <v>1.1000000000000001</v>
      </c>
      <c r="K149" s="44">
        <f t="shared" si="5"/>
        <v>29.155700325732898</v>
      </c>
      <c r="L149" s="462">
        <v>1.9</v>
      </c>
      <c r="M149" s="462">
        <v>0.7</v>
      </c>
      <c r="N149" s="462">
        <v>0.6</v>
      </c>
      <c r="O149" s="462">
        <v>1.2</v>
      </c>
      <c r="P149" s="44">
        <f t="shared" si="6"/>
        <v>16.938110749185668</v>
      </c>
      <c r="Q149" s="44">
        <f t="shared" si="7"/>
        <v>6.8403908794788277</v>
      </c>
      <c r="R149" s="44">
        <f t="shared" si="8"/>
        <v>3.4771986970684039</v>
      </c>
      <c r="U149" s="465">
        <v>30700</v>
      </c>
      <c r="V149" s="464">
        <v>5200</v>
      </c>
      <c r="W149" s="464">
        <v>2100</v>
      </c>
      <c r="X149" s="464">
        <v>500</v>
      </c>
      <c r="Y149" s="464">
        <v>300</v>
      </c>
    </row>
    <row r="150" spans="1:25">
      <c r="A150" s="462" t="s">
        <v>443</v>
      </c>
      <c r="B150" s="462" t="s">
        <v>446</v>
      </c>
      <c r="C150" s="462">
        <v>1992</v>
      </c>
      <c r="D150" s="462">
        <v>5.5</v>
      </c>
      <c r="E150" s="462">
        <v>2.6</v>
      </c>
      <c r="F150" s="462">
        <v>0.8</v>
      </c>
      <c r="G150" s="462">
        <v>0.9</v>
      </c>
      <c r="H150" s="462">
        <v>1.3</v>
      </c>
      <c r="K150" s="44">
        <f t="shared" si="5"/>
        <v>32.010067114093957</v>
      </c>
      <c r="L150" s="462">
        <v>2.4</v>
      </c>
      <c r="M150" s="462">
        <v>0.9</v>
      </c>
      <c r="N150" s="462">
        <v>0.8</v>
      </c>
      <c r="O150" s="462">
        <v>1.4</v>
      </c>
      <c r="P150" s="44">
        <f t="shared" si="6"/>
        <v>18.120805369127517</v>
      </c>
      <c r="Q150" s="44">
        <f t="shared" si="7"/>
        <v>7.3825503355704702</v>
      </c>
      <c r="R150" s="44">
        <f t="shared" si="8"/>
        <v>4.1067114093959729</v>
      </c>
      <c r="U150" s="465">
        <v>29800</v>
      </c>
      <c r="V150" s="464">
        <v>5400</v>
      </c>
      <c r="W150" s="464">
        <v>2200</v>
      </c>
      <c r="X150" s="464">
        <v>700</v>
      </c>
      <c r="Y150" s="464">
        <v>300</v>
      </c>
    </row>
    <row r="151" spans="1:25">
      <c r="A151" s="462" t="s">
        <v>443</v>
      </c>
      <c r="B151" s="462" t="s">
        <v>446</v>
      </c>
      <c r="C151" s="462">
        <v>1993</v>
      </c>
      <c r="D151" s="462">
        <v>5.9</v>
      </c>
      <c r="E151" s="462">
        <v>2.8</v>
      </c>
      <c r="F151" s="462">
        <v>0.8</v>
      </c>
      <c r="G151" s="462">
        <v>1</v>
      </c>
      <c r="H151" s="462">
        <v>1.4</v>
      </c>
      <c r="K151" s="44">
        <f t="shared" si="5"/>
        <v>34.199999999999996</v>
      </c>
      <c r="L151" s="462">
        <v>2.9</v>
      </c>
      <c r="M151" s="462">
        <v>1</v>
      </c>
      <c r="N151" s="462">
        <v>0.8</v>
      </c>
      <c r="O151" s="462">
        <v>1.5</v>
      </c>
      <c r="P151" s="44">
        <f t="shared" si="6"/>
        <v>19</v>
      </c>
      <c r="Q151" s="44">
        <f t="shared" si="7"/>
        <v>8.3333333333333321</v>
      </c>
      <c r="R151" s="44">
        <f t="shared" si="8"/>
        <v>3.9666666666666668</v>
      </c>
      <c r="U151" s="465">
        <v>30000</v>
      </c>
      <c r="V151" s="464">
        <v>5700</v>
      </c>
      <c r="W151" s="464">
        <v>2500</v>
      </c>
      <c r="X151" s="464">
        <v>600</v>
      </c>
      <c r="Y151" s="464">
        <v>200</v>
      </c>
    </row>
    <row r="152" spans="1:25">
      <c r="A152" s="462" t="s">
        <v>443</v>
      </c>
      <c r="B152" s="462" t="s">
        <v>446</v>
      </c>
      <c r="C152" s="462">
        <v>1994</v>
      </c>
      <c r="D152" s="462">
        <v>6</v>
      </c>
      <c r="E152" s="462">
        <v>3</v>
      </c>
      <c r="F152" s="462">
        <v>0.7</v>
      </c>
      <c r="G152" s="462">
        <v>0.9</v>
      </c>
      <c r="H152" s="462">
        <v>1.4</v>
      </c>
      <c r="K152" s="44">
        <f t="shared" si="5"/>
        <v>32.973684210526315</v>
      </c>
      <c r="L152" s="462">
        <v>2.8</v>
      </c>
      <c r="M152" s="462">
        <v>0.9</v>
      </c>
      <c r="N152" s="462">
        <v>0.8</v>
      </c>
      <c r="O152" s="462">
        <v>1.5</v>
      </c>
      <c r="P152" s="44">
        <f t="shared" si="6"/>
        <v>18.092105263157894</v>
      </c>
      <c r="Q152" s="44">
        <f t="shared" si="7"/>
        <v>8.2236842105263168</v>
      </c>
      <c r="R152" s="44">
        <f t="shared" si="8"/>
        <v>3.8578947368421055</v>
      </c>
      <c r="U152" s="465">
        <v>30400</v>
      </c>
      <c r="V152" s="464">
        <v>5500</v>
      </c>
      <c r="W152" s="464">
        <v>2500</v>
      </c>
      <c r="X152" s="464">
        <v>400</v>
      </c>
      <c r="Y152" s="464">
        <v>200</v>
      </c>
    </row>
    <row r="153" spans="1:25">
      <c r="A153" s="462" t="s">
        <v>443</v>
      </c>
      <c r="B153" s="462" t="s">
        <v>446</v>
      </c>
      <c r="C153" s="462">
        <v>1995</v>
      </c>
      <c r="D153" s="462">
        <v>6.3</v>
      </c>
      <c r="E153" s="462">
        <v>3.2</v>
      </c>
      <c r="F153" s="462">
        <v>0.7</v>
      </c>
      <c r="G153" s="462">
        <v>1</v>
      </c>
      <c r="H153" s="462">
        <v>1.3</v>
      </c>
      <c r="K153" s="44">
        <f t="shared" si="5"/>
        <v>31.825925925925922</v>
      </c>
      <c r="L153" s="462">
        <v>2.9</v>
      </c>
      <c r="M153" s="462">
        <v>0.8</v>
      </c>
      <c r="N153" s="462">
        <v>0.9</v>
      </c>
      <c r="O153" s="462">
        <v>1.3</v>
      </c>
      <c r="P153" s="44">
        <f t="shared" si="6"/>
        <v>17.283950617283949</v>
      </c>
      <c r="Q153" s="44">
        <f t="shared" si="7"/>
        <v>8.0246913580246915</v>
      </c>
      <c r="R153" s="44">
        <f t="shared" si="8"/>
        <v>3.617283950617284</v>
      </c>
      <c r="U153" s="465">
        <v>32400</v>
      </c>
      <c r="V153" s="464">
        <v>5600</v>
      </c>
      <c r="W153" s="464">
        <v>2600</v>
      </c>
      <c r="X153" s="464">
        <v>300</v>
      </c>
      <c r="Y153" s="464">
        <v>200</v>
      </c>
    </row>
    <row r="154" spans="1:25">
      <c r="A154" s="462" t="s">
        <v>443</v>
      </c>
      <c r="B154" s="462" t="s">
        <v>446</v>
      </c>
      <c r="C154" s="462">
        <v>1996</v>
      </c>
      <c r="D154" s="462">
        <v>5.9</v>
      </c>
      <c r="E154" s="462">
        <v>3</v>
      </c>
      <c r="F154" s="462">
        <v>0.7</v>
      </c>
      <c r="G154" s="462">
        <v>0.9</v>
      </c>
      <c r="H154" s="462">
        <v>1.3</v>
      </c>
      <c r="K154" s="44">
        <f t="shared" si="5"/>
        <v>32.243209876543212</v>
      </c>
      <c r="L154" s="462">
        <v>2.8</v>
      </c>
      <c r="M154" s="462">
        <v>0.8</v>
      </c>
      <c r="N154" s="462">
        <v>0.8</v>
      </c>
      <c r="O154" s="462">
        <v>1.3</v>
      </c>
      <c r="P154" s="44">
        <f t="shared" si="6"/>
        <v>17.283950617283949</v>
      </c>
      <c r="Q154" s="44">
        <f t="shared" si="7"/>
        <v>8.6419753086419746</v>
      </c>
      <c r="R154" s="44">
        <f t="shared" si="8"/>
        <v>3.5172839506172844</v>
      </c>
      <c r="U154" s="465">
        <v>32400</v>
      </c>
      <c r="V154" s="464">
        <v>5600</v>
      </c>
      <c r="W154" s="464">
        <v>2800</v>
      </c>
      <c r="X154" s="464">
        <v>300</v>
      </c>
      <c r="Y154" s="464">
        <v>200</v>
      </c>
    </row>
    <row r="155" spans="1:25">
      <c r="A155" s="462" t="s">
        <v>443</v>
      </c>
      <c r="B155" s="462" t="s">
        <v>446</v>
      </c>
      <c r="C155" s="462">
        <v>1997</v>
      </c>
      <c r="D155" s="462">
        <v>5.8</v>
      </c>
      <c r="E155" s="462">
        <v>3.2</v>
      </c>
      <c r="F155" s="462">
        <v>0.5</v>
      </c>
      <c r="G155" s="462">
        <v>0.9</v>
      </c>
      <c r="H155" s="462">
        <v>1.1000000000000001</v>
      </c>
      <c r="K155" s="44">
        <f t="shared" si="5"/>
        <v>30.5</v>
      </c>
      <c r="L155" s="462">
        <v>2.9</v>
      </c>
      <c r="M155" s="462">
        <v>0.7</v>
      </c>
      <c r="N155" s="462">
        <v>0.7</v>
      </c>
      <c r="O155" s="462">
        <v>1.2</v>
      </c>
      <c r="P155" s="44">
        <f t="shared" si="6"/>
        <v>16.071428571428573</v>
      </c>
      <c r="Q155" s="44">
        <f t="shared" si="7"/>
        <v>8.3333333333333321</v>
      </c>
      <c r="R155" s="44">
        <f t="shared" si="8"/>
        <v>3.195238095238095</v>
      </c>
      <c r="U155" s="465">
        <v>33600</v>
      </c>
      <c r="V155" s="464">
        <v>5400</v>
      </c>
      <c r="W155" s="464">
        <v>2800</v>
      </c>
      <c r="X155" s="464">
        <v>300</v>
      </c>
      <c r="Y155" s="464">
        <v>200</v>
      </c>
    </row>
    <row r="156" spans="1:25">
      <c r="A156" s="462" t="s">
        <v>443</v>
      </c>
      <c r="B156" s="462" t="s">
        <v>446</v>
      </c>
      <c r="C156" s="462">
        <v>1998</v>
      </c>
      <c r="D156" s="462">
        <v>6.1</v>
      </c>
      <c r="E156" s="462">
        <v>3.8</v>
      </c>
      <c r="F156" s="462">
        <v>0.4</v>
      </c>
      <c r="G156" s="462">
        <v>0.9</v>
      </c>
      <c r="H156" s="462">
        <v>1</v>
      </c>
      <c r="K156" s="44">
        <f t="shared" si="5"/>
        <v>29.163841807909606</v>
      </c>
      <c r="L156" s="462">
        <v>3.6</v>
      </c>
      <c r="M156" s="462">
        <v>0.5</v>
      </c>
      <c r="N156" s="462">
        <v>0.8</v>
      </c>
      <c r="O156" s="462">
        <v>1.1000000000000001</v>
      </c>
      <c r="P156" s="44">
        <f t="shared" si="6"/>
        <v>15.254237288135593</v>
      </c>
      <c r="Q156" s="44">
        <f t="shared" si="7"/>
        <v>7.3446327683615822</v>
      </c>
      <c r="R156" s="44">
        <f t="shared" si="8"/>
        <v>2.9649717514124299</v>
      </c>
      <c r="U156" s="465">
        <v>35400</v>
      </c>
      <c r="V156" s="464">
        <v>5400</v>
      </c>
      <c r="W156" s="464">
        <v>2600</v>
      </c>
      <c r="X156" s="464">
        <v>300</v>
      </c>
      <c r="Y156" s="464">
        <v>200</v>
      </c>
    </row>
    <row r="157" spans="1:25">
      <c r="A157" s="462" t="s">
        <v>443</v>
      </c>
      <c r="B157" s="462" t="s">
        <v>446</v>
      </c>
      <c r="C157" s="462">
        <v>1999</v>
      </c>
      <c r="D157" s="462">
        <v>6</v>
      </c>
      <c r="E157" s="462">
        <v>4</v>
      </c>
      <c r="F157" s="462">
        <v>0.4</v>
      </c>
      <c r="G157" s="462">
        <v>0.8</v>
      </c>
      <c r="H157" s="462">
        <v>0.8</v>
      </c>
      <c r="K157" s="44">
        <f t="shared" si="5"/>
        <v>27.910869565217389</v>
      </c>
      <c r="L157" s="462">
        <v>3.8</v>
      </c>
      <c r="M157" s="462">
        <v>0.5</v>
      </c>
      <c r="N157" s="462">
        <v>0.7</v>
      </c>
      <c r="O157" s="462">
        <v>0.9</v>
      </c>
      <c r="P157" s="44">
        <f t="shared" si="6"/>
        <v>14.402173913043478</v>
      </c>
      <c r="Q157" s="44">
        <f t="shared" si="7"/>
        <v>7.0652173913043477</v>
      </c>
      <c r="R157" s="44">
        <f t="shared" si="8"/>
        <v>2.6434782608695651</v>
      </c>
      <c r="U157" s="465">
        <v>36800</v>
      </c>
      <c r="V157" s="464">
        <v>5300</v>
      </c>
      <c r="W157" s="464">
        <v>2600</v>
      </c>
      <c r="X157" s="464">
        <v>300</v>
      </c>
      <c r="Y157" s="464">
        <v>200</v>
      </c>
    </row>
    <row r="158" spans="1:25">
      <c r="A158" s="462" t="s">
        <v>443</v>
      </c>
      <c r="B158" s="462" t="s">
        <v>446</v>
      </c>
      <c r="C158" s="462">
        <v>2000</v>
      </c>
      <c r="D158" s="462">
        <v>6.4</v>
      </c>
      <c r="E158" s="462">
        <v>4.3</v>
      </c>
      <c r="F158" s="462">
        <v>0.3</v>
      </c>
      <c r="G158" s="462">
        <v>0.8</v>
      </c>
      <c r="H158" s="462">
        <v>0.9</v>
      </c>
      <c r="K158" s="44">
        <f t="shared" si="5"/>
        <v>28.432432432432432</v>
      </c>
      <c r="L158" s="462">
        <v>4</v>
      </c>
      <c r="M158" s="462">
        <v>0.4</v>
      </c>
      <c r="N158" s="462">
        <v>0.7</v>
      </c>
      <c r="O158" s="462">
        <v>0.9</v>
      </c>
      <c r="P158" s="44">
        <f t="shared" si="6"/>
        <v>14.864864864864865</v>
      </c>
      <c r="Q158" s="44">
        <f t="shared" si="7"/>
        <v>7.0270270270270272</v>
      </c>
      <c r="R158" s="44">
        <f t="shared" si="8"/>
        <v>2.5405405405405403</v>
      </c>
      <c r="U158" s="465">
        <v>37000</v>
      </c>
      <c r="V158" s="464">
        <v>5500</v>
      </c>
      <c r="W158" s="464">
        <v>2600</v>
      </c>
      <c r="X158" s="464">
        <v>200</v>
      </c>
      <c r="Y158" s="464">
        <v>200</v>
      </c>
    </row>
    <row r="159" spans="1:25">
      <c r="A159" s="462" t="s">
        <v>443</v>
      </c>
      <c r="B159" s="462" t="s">
        <v>446</v>
      </c>
      <c r="C159" s="462">
        <v>2001</v>
      </c>
      <c r="D159" s="462">
        <v>7.2</v>
      </c>
      <c r="E159" s="462">
        <v>5.0999999999999996</v>
      </c>
      <c r="F159" s="462">
        <v>0.4</v>
      </c>
      <c r="G159" s="462">
        <v>0.8</v>
      </c>
      <c r="H159" s="462">
        <v>0.9</v>
      </c>
      <c r="K159" s="44">
        <f t="shared" si="5"/>
        <v>30.866666666666667</v>
      </c>
      <c r="L159" s="462">
        <v>4.7</v>
      </c>
      <c r="M159" s="462">
        <v>0.4</v>
      </c>
      <c r="N159" s="462">
        <v>0.7</v>
      </c>
      <c r="O159" s="462">
        <v>0.9</v>
      </c>
      <c r="P159" s="44">
        <f t="shared" si="6"/>
        <v>15.833333333333332</v>
      </c>
      <c r="Q159" s="44">
        <f t="shared" si="7"/>
        <v>7.7777777777777777</v>
      </c>
      <c r="R159" s="44">
        <f t="shared" si="8"/>
        <v>2.5555555555555554</v>
      </c>
      <c r="U159" s="465">
        <v>36000</v>
      </c>
      <c r="V159" s="464">
        <v>5700</v>
      </c>
      <c r="W159" s="464">
        <v>2800</v>
      </c>
      <c r="X159" s="464">
        <v>400</v>
      </c>
      <c r="Y159" s="464">
        <v>200</v>
      </c>
    </row>
    <row r="160" spans="1:25">
      <c r="A160" s="462" t="s">
        <v>443</v>
      </c>
      <c r="B160" s="462" t="s">
        <v>446</v>
      </c>
      <c r="C160" s="462">
        <v>2002</v>
      </c>
      <c r="D160" s="462">
        <v>8.3000000000000007</v>
      </c>
      <c r="E160" s="462">
        <v>5.9</v>
      </c>
      <c r="F160" s="462">
        <v>0.5</v>
      </c>
      <c r="G160" s="462">
        <v>0.9</v>
      </c>
      <c r="H160" s="462">
        <v>1</v>
      </c>
      <c r="K160" s="44">
        <f t="shared" si="5"/>
        <v>33.548414985590782</v>
      </c>
      <c r="L160" s="462">
        <v>5.5</v>
      </c>
      <c r="M160" s="462">
        <v>0.6</v>
      </c>
      <c r="N160" s="462">
        <v>0.8</v>
      </c>
      <c r="O160" s="462">
        <v>1</v>
      </c>
      <c r="P160" s="44">
        <f t="shared" si="6"/>
        <v>16.714697406340058</v>
      </c>
      <c r="Q160" s="44">
        <f t="shared" si="7"/>
        <v>8.3573487031700289</v>
      </c>
      <c r="R160" s="44">
        <f t="shared" si="8"/>
        <v>2.9763688760806915</v>
      </c>
      <c r="U160" s="465">
        <v>34700</v>
      </c>
      <c r="V160" s="464">
        <v>5800</v>
      </c>
      <c r="W160" s="464">
        <v>2900</v>
      </c>
      <c r="X160" s="464">
        <v>600</v>
      </c>
      <c r="Y160" s="464">
        <v>200</v>
      </c>
    </row>
    <row r="161" spans="1:25">
      <c r="A161" s="462" t="s">
        <v>443</v>
      </c>
      <c r="B161" s="462" t="s">
        <v>446</v>
      </c>
      <c r="C161" s="462">
        <v>2003</v>
      </c>
      <c r="D161" s="462">
        <v>9.1999999999999993</v>
      </c>
      <c r="E161" s="462">
        <v>6.6</v>
      </c>
      <c r="F161" s="462">
        <v>0.5</v>
      </c>
      <c r="G161" s="462">
        <v>1</v>
      </c>
      <c r="H161" s="462">
        <v>1.1000000000000001</v>
      </c>
      <c r="K161" s="44">
        <f t="shared" si="5"/>
        <v>35.115789473684202</v>
      </c>
      <c r="L161" s="462">
        <v>6.2</v>
      </c>
      <c r="M161" s="462">
        <v>0.7</v>
      </c>
      <c r="N161" s="462">
        <v>0.8</v>
      </c>
      <c r="O161" s="462">
        <v>1.1000000000000001</v>
      </c>
      <c r="P161" s="44">
        <f t="shared" si="6"/>
        <v>16.959064327485379</v>
      </c>
      <c r="Q161" s="44">
        <f t="shared" si="7"/>
        <v>8.7719298245614024</v>
      </c>
      <c r="R161" s="44">
        <f t="shared" si="8"/>
        <v>3.1847953216374272</v>
      </c>
      <c r="U161" s="465">
        <v>34200</v>
      </c>
      <c r="V161" s="464">
        <v>5800</v>
      </c>
      <c r="W161" s="464">
        <v>3000</v>
      </c>
      <c r="X161" s="464">
        <v>600</v>
      </c>
      <c r="Y161" s="464">
        <v>200</v>
      </c>
    </row>
    <row r="162" spans="1:25">
      <c r="A162" s="462" t="s">
        <v>443</v>
      </c>
      <c r="B162" s="462" t="s">
        <v>446</v>
      </c>
      <c r="C162" s="462">
        <v>2004</v>
      </c>
      <c r="D162" s="462">
        <v>9.6999999999999993</v>
      </c>
      <c r="E162" s="462">
        <v>7.1</v>
      </c>
      <c r="F162" s="462">
        <v>0.6</v>
      </c>
      <c r="G162" s="462">
        <v>0.9</v>
      </c>
      <c r="H162" s="462">
        <v>1.1000000000000001</v>
      </c>
      <c r="K162" s="44">
        <f t="shared" si="5"/>
        <v>34.933802816901405</v>
      </c>
      <c r="L162" s="462">
        <v>6.7</v>
      </c>
      <c r="M162" s="462">
        <v>0.8</v>
      </c>
      <c r="N162" s="462">
        <v>0.8</v>
      </c>
      <c r="O162" s="462">
        <v>1</v>
      </c>
      <c r="P162" s="44">
        <f t="shared" si="6"/>
        <v>16.338028169014084</v>
      </c>
      <c r="Q162" s="44">
        <f t="shared" si="7"/>
        <v>8.7323943661971821</v>
      </c>
      <c r="R162" s="44">
        <f t="shared" si="8"/>
        <v>3.1633802816901411</v>
      </c>
      <c r="U162" s="465">
        <v>35500</v>
      </c>
      <c r="V162" s="464">
        <v>5800</v>
      </c>
      <c r="W162" s="464">
        <v>3100</v>
      </c>
      <c r="X162" s="464">
        <v>400</v>
      </c>
      <c r="Y162" s="464">
        <v>200</v>
      </c>
    </row>
    <row r="163" spans="1:25">
      <c r="A163" s="462" t="s">
        <v>443</v>
      </c>
      <c r="B163" s="462" t="s">
        <v>446</v>
      </c>
      <c r="C163" s="462">
        <v>2005</v>
      </c>
      <c r="D163" s="462">
        <v>9.3000000000000007</v>
      </c>
      <c r="E163" s="462">
        <v>6.7</v>
      </c>
      <c r="F163" s="462">
        <v>0.7</v>
      </c>
      <c r="G163" s="462">
        <v>0.8</v>
      </c>
      <c r="H163" s="462">
        <v>1</v>
      </c>
      <c r="K163" s="44">
        <f t="shared" si="5"/>
        <v>33.925274725274726</v>
      </c>
      <c r="L163" s="462">
        <v>6.5</v>
      </c>
      <c r="M163" s="462">
        <v>0.9</v>
      </c>
      <c r="N163" s="462">
        <v>0.8</v>
      </c>
      <c r="O163" s="462">
        <v>1</v>
      </c>
      <c r="P163" s="44">
        <f t="shared" si="6"/>
        <v>15.659340659340659</v>
      </c>
      <c r="Q163" s="44">
        <f t="shared" si="7"/>
        <v>8.5164835164835164</v>
      </c>
      <c r="R163" s="44">
        <f t="shared" si="8"/>
        <v>3.2494505494505495</v>
      </c>
      <c r="U163" s="465">
        <v>36400</v>
      </c>
      <c r="V163" s="464">
        <v>5700</v>
      </c>
      <c r="W163" s="464">
        <v>3100</v>
      </c>
      <c r="X163" s="464">
        <v>400</v>
      </c>
      <c r="Y163" s="464">
        <v>200</v>
      </c>
    </row>
    <row r="164" spans="1:25">
      <c r="A164" s="462" t="s">
        <v>443</v>
      </c>
      <c r="B164" s="462" t="s">
        <v>446</v>
      </c>
      <c r="C164" s="462">
        <v>2006</v>
      </c>
      <c r="D164" s="462">
        <v>9.5</v>
      </c>
      <c r="E164" s="462">
        <v>6.5</v>
      </c>
      <c r="F164" s="462">
        <v>0.6</v>
      </c>
      <c r="G164" s="462">
        <v>0.9</v>
      </c>
      <c r="H164" s="462">
        <v>1.5</v>
      </c>
      <c r="K164" s="44">
        <f t="shared" si="5"/>
        <v>33.394594594594601</v>
      </c>
      <c r="L164" s="462">
        <v>6.1</v>
      </c>
      <c r="M164" s="462">
        <v>0.8</v>
      </c>
      <c r="N164" s="462">
        <v>0.8</v>
      </c>
      <c r="O164" s="462">
        <v>1.1000000000000001</v>
      </c>
      <c r="P164" s="44">
        <f t="shared" si="6"/>
        <v>15.135135135135137</v>
      </c>
      <c r="Q164" s="44">
        <f t="shared" si="7"/>
        <v>9.1891891891891895</v>
      </c>
      <c r="R164" s="44">
        <f t="shared" si="8"/>
        <v>2.9702702702702704</v>
      </c>
      <c r="U164" s="465">
        <v>37000</v>
      </c>
      <c r="V164" s="464">
        <v>5600</v>
      </c>
      <c r="W164" s="464">
        <v>3400</v>
      </c>
      <c r="X164" s="464">
        <v>300</v>
      </c>
      <c r="Y164" s="464">
        <v>100</v>
      </c>
    </row>
    <row r="165" spans="1:25">
      <c r="A165" s="462" t="s">
        <v>443</v>
      </c>
      <c r="B165" s="462" t="s">
        <v>446</v>
      </c>
      <c r="C165" s="462">
        <v>2007</v>
      </c>
      <c r="D165" s="462">
        <v>9</v>
      </c>
      <c r="E165" s="462">
        <v>6.2</v>
      </c>
      <c r="F165" s="462">
        <v>0.6</v>
      </c>
      <c r="G165" s="462">
        <v>0.9</v>
      </c>
      <c r="H165" s="462">
        <v>1.4</v>
      </c>
      <c r="K165" s="44">
        <f t="shared" si="5"/>
        <v>32.340920716112535</v>
      </c>
      <c r="L165" s="462">
        <v>5.9</v>
      </c>
      <c r="M165" s="462">
        <v>0.7</v>
      </c>
      <c r="N165" s="462">
        <v>0.7</v>
      </c>
      <c r="O165" s="462">
        <v>1</v>
      </c>
      <c r="P165" s="44">
        <f t="shared" si="6"/>
        <v>14.833759590792839</v>
      </c>
      <c r="Q165" s="44">
        <f t="shared" si="7"/>
        <v>8.9514066496163682</v>
      </c>
      <c r="R165" s="44">
        <f t="shared" si="8"/>
        <v>2.6557544757033247</v>
      </c>
      <c r="U165" s="465">
        <v>39100</v>
      </c>
      <c r="V165" s="464">
        <v>5800</v>
      </c>
      <c r="W165" s="464">
        <v>3500</v>
      </c>
      <c r="X165" s="464">
        <v>400</v>
      </c>
      <c r="Y165" s="464">
        <v>100</v>
      </c>
    </row>
    <row r="166" spans="1:25">
      <c r="A166" s="462" t="s">
        <v>443</v>
      </c>
      <c r="B166" s="462" t="s">
        <v>446</v>
      </c>
      <c r="C166" s="462">
        <v>2008</v>
      </c>
      <c r="D166" s="462">
        <v>10.5</v>
      </c>
      <c r="E166" s="462">
        <v>7.3</v>
      </c>
      <c r="F166" s="462">
        <v>0.8</v>
      </c>
      <c r="G166" s="462">
        <v>0.9</v>
      </c>
      <c r="H166" s="462">
        <v>1.5</v>
      </c>
      <c r="K166" s="44">
        <f t="shared" si="5"/>
        <v>36.158265582655822</v>
      </c>
      <c r="L166" s="462">
        <v>6.6</v>
      </c>
      <c r="M166" s="462">
        <v>1</v>
      </c>
      <c r="N166" s="462">
        <v>0.8</v>
      </c>
      <c r="O166" s="462">
        <v>1.2</v>
      </c>
      <c r="P166" s="44">
        <f t="shared" si="6"/>
        <v>16.260162601626014</v>
      </c>
      <c r="Q166" s="44">
        <f t="shared" si="7"/>
        <v>10.027100271002711</v>
      </c>
      <c r="R166" s="44">
        <f t="shared" si="8"/>
        <v>3.2710027100271004</v>
      </c>
      <c r="U166" s="465">
        <v>36900</v>
      </c>
      <c r="V166" s="464">
        <v>6000</v>
      </c>
      <c r="W166" s="464">
        <v>3700</v>
      </c>
      <c r="X166" s="464">
        <v>500</v>
      </c>
      <c r="Y166" s="464">
        <v>100</v>
      </c>
    </row>
    <row r="167" spans="1:25">
      <c r="A167" s="462" t="s">
        <v>443</v>
      </c>
      <c r="B167" s="462" t="s">
        <v>446</v>
      </c>
      <c r="C167" s="462">
        <v>2009</v>
      </c>
      <c r="D167" s="462">
        <v>12.6</v>
      </c>
      <c r="E167" s="462">
        <v>8.3000000000000007</v>
      </c>
      <c r="F167" s="462">
        <v>1.3</v>
      </c>
      <c r="G167" s="462">
        <v>1.1000000000000001</v>
      </c>
      <c r="H167" s="462">
        <v>1.9</v>
      </c>
      <c r="K167" s="44">
        <f t="shared" si="5"/>
        <v>44.038095238095238</v>
      </c>
      <c r="L167" s="462">
        <v>7.5</v>
      </c>
      <c r="M167" s="462">
        <v>1.6</v>
      </c>
      <c r="N167" s="462">
        <v>0.9</v>
      </c>
      <c r="O167" s="462">
        <v>1.3</v>
      </c>
      <c r="P167" s="44">
        <f t="shared" si="6"/>
        <v>20.238095238095237</v>
      </c>
      <c r="Q167" s="44">
        <f t="shared" si="7"/>
        <v>12.202380952380953</v>
      </c>
      <c r="R167" s="44">
        <f t="shared" si="8"/>
        <v>4.0976190476190473</v>
      </c>
      <c r="U167" s="465">
        <v>33600</v>
      </c>
      <c r="V167" s="464">
        <v>6800</v>
      </c>
      <c r="W167" s="464">
        <v>4100</v>
      </c>
      <c r="X167" s="464">
        <v>1300</v>
      </c>
      <c r="Y167" s="464">
        <v>100</v>
      </c>
    </row>
    <row r="168" spans="1:25">
      <c r="A168" s="462" t="s">
        <v>443</v>
      </c>
      <c r="B168" s="462" t="s">
        <v>446</v>
      </c>
      <c r="C168" s="462">
        <v>2010</v>
      </c>
      <c r="D168" s="462">
        <v>13.3</v>
      </c>
      <c r="E168" s="462">
        <v>8.5</v>
      </c>
      <c r="F168" s="462">
        <v>1.7</v>
      </c>
      <c r="G168" s="462">
        <v>1.1000000000000001</v>
      </c>
      <c r="H168" s="462">
        <v>2.1</v>
      </c>
      <c r="K168" s="44">
        <f t="shared" si="5"/>
        <v>45.632628398791546</v>
      </c>
      <c r="L168" s="462">
        <v>7.9</v>
      </c>
      <c r="M168" s="462">
        <v>2</v>
      </c>
      <c r="N168" s="462">
        <v>1</v>
      </c>
      <c r="O168" s="462">
        <v>1.5</v>
      </c>
      <c r="P168" s="44">
        <f t="shared" si="6"/>
        <v>20.543806646525681</v>
      </c>
      <c r="Q168" s="44">
        <f t="shared" si="7"/>
        <v>12.386706948640484</v>
      </c>
      <c r="R168" s="44">
        <f t="shared" si="8"/>
        <v>4.8021148036253773</v>
      </c>
      <c r="U168" s="465">
        <v>33100</v>
      </c>
      <c r="V168" s="464">
        <v>6800</v>
      </c>
      <c r="W168" s="464">
        <v>4100</v>
      </c>
      <c r="X168" s="464">
        <v>1300</v>
      </c>
      <c r="Y168" s="464">
        <v>100</v>
      </c>
    </row>
    <row r="169" spans="1:25">
      <c r="A169" s="462" t="s">
        <v>443</v>
      </c>
      <c r="B169" s="462" t="s">
        <v>446</v>
      </c>
      <c r="C169" s="462">
        <v>2011</v>
      </c>
      <c r="D169" s="462">
        <v>13.6</v>
      </c>
      <c r="E169" s="462">
        <v>8.6</v>
      </c>
      <c r="F169" s="462">
        <v>1.8</v>
      </c>
      <c r="G169" s="462">
        <v>1.1000000000000001</v>
      </c>
      <c r="H169" s="462">
        <v>2</v>
      </c>
      <c r="K169" s="44">
        <f t="shared" si="5"/>
        <v>43.943283582089549</v>
      </c>
      <c r="L169" s="462">
        <v>8</v>
      </c>
      <c r="M169" s="462">
        <v>2.2000000000000002</v>
      </c>
      <c r="N169" s="462">
        <v>0.9</v>
      </c>
      <c r="O169" s="462">
        <v>1.5</v>
      </c>
      <c r="P169" s="44">
        <f t="shared" si="6"/>
        <v>19.402985074626866</v>
      </c>
      <c r="Q169" s="44">
        <f t="shared" si="7"/>
        <v>11.641791044776118</v>
      </c>
      <c r="R169" s="44">
        <f t="shared" si="8"/>
        <v>4.8985074626865668</v>
      </c>
      <c r="U169" s="465">
        <v>33500</v>
      </c>
      <c r="V169" s="464">
        <v>6500</v>
      </c>
      <c r="W169" s="464">
        <v>3900</v>
      </c>
      <c r="X169" s="464">
        <v>1000</v>
      </c>
      <c r="Y169" s="464">
        <v>100</v>
      </c>
    </row>
    <row r="170" spans="1:25">
      <c r="A170" s="462" t="s">
        <v>443</v>
      </c>
      <c r="B170" s="462" t="s">
        <v>446</v>
      </c>
      <c r="C170" s="462">
        <v>2012</v>
      </c>
      <c r="D170" s="462">
        <v>13.7</v>
      </c>
      <c r="E170" s="462">
        <v>8.8000000000000007</v>
      </c>
      <c r="F170" s="462">
        <v>1.8</v>
      </c>
      <c r="G170" s="462">
        <v>1.1000000000000001</v>
      </c>
      <c r="H170" s="462">
        <v>2</v>
      </c>
      <c r="K170" s="44">
        <f t="shared" si="5"/>
        <v>46.033333333333331</v>
      </c>
      <c r="L170" s="462">
        <v>8.1999999999999993</v>
      </c>
      <c r="M170" s="462">
        <v>2.2000000000000002</v>
      </c>
      <c r="N170" s="462">
        <v>0.9</v>
      </c>
      <c r="O170" s="462">
        <v>1.4</v>
      </c>
      <c r="P170" s="44">
        <f t="shared" si="6"/>
        <v>20.606060606060606</v>
      </c>
      <c r="Q170" s="44">
        <f t="shared" si="7"/>
        <v>12.424242424242424</v>
      </c>
      <c r="R170" s="44">
        <f t="shared" si="8"/>
        <v>4.8030303030303028</v>
      </c>
      <c r="U170" s="465">
        <v>33000</v>
      </c>
      <c r="V170" s="464">
        <v>6800</v>
      </c>
      <c r="W170" s="464">
        <v>4100</v>
      </c>
      <c r="X170" s="464">
        <v>800</v>
      </c>
      <c r="Y170" s="464">
        <v>100</v>
      </c>
    </row>
    <row r="171" spans="1:25">
      <c r="A171" s="462" t="s">
        <v>443</v>
      </c>
      <c r="B171" s="462" t="s">
        <v>446</v>
      </c>
      <c r="C171" s="462">
        <v>2013</v>
      </c>
      <c r="D171" s="462">
        <v>13.4</v>
      </c>
      <c r="E171" s="462">
        <v>8.6999999999999993</v>
      </c>
      <c r="F171" s="462">
        <v>1.8</v>
      </c>
      <c r="G171" s="462">
        <v>1</v>
      </c>
      <c r="H171" s="462">
        <v>1.9</v>
      </c>
      <c r="K171" s="44">
        <f t="shared" si="5"/>
        <v>45.741176470588229</v>
      </c>
      <c r="L171" s="462">
        <v>8.4</v>
      </c>
      <c r="M171" s="462">
        <v>2.1</v>
      </c>
      <c r="N171" s="462">
        <v>1</v>
      </c>
      <c r="O171" s="462">
        <v>1.3</v>
      </c>
      <c r="P171" s="44">
        <f t="shared" si="6"/>
        <v>20.588235294117645</v>
      </c>
      <c r="Q171" s="44">
        <f t="shared" si="7"/>
        <v>11.76470588235294</v>
      </c>
      <c r="R171" s="44">
        <f t="shared" si="8"/>
        <v>4.9882352941176471</v>
      </c>
      <c r="U171" s="465">
        <v>34000</v>
      </c>
      <c r="V171" s="464">
        <v>7000</v>
      </c>
      <c r="W171" s="464">
        <v>4000</v>
      </c>
      <c r="X171" s="464">
        <v>500</v>
      </c>
      <c r="Y171" s="464">
        <v>200</v>
      </c>
    </row>
    <row r="172" spans="1:25">
      <c r="A172" s="462" t="s">
        <v>443</v>
      </c>
      <c r="B172" s="462" t="s">
        <v>446</v>
      </c>
      <c r="C172" s="462">
        <v>2014</v>
      </c>
      <c r="D172" s="462">
        <v>15.3</v>
      </c>
      <c r="E172" s="462">
        <v>10.7</v>
      </c>
      <c r="F172" s="462">
        <v>1.5</v>
      </c>
      <c r="G172" s="462">
        <v>1.1000000000000001</v>
      </c>
      <c r="H172" s="462">
        <v>2</v>
      </c>
      <c r="K172" s="44">
        <f t="shared" si="5"/>
        <v>46.486046511627912</v>
      </c>
      <c r="L172" s="462">
        <v>10.5</v>
      </c>
      <c r="M172" s="462">
        <v>1.8</v>
      </c>
      <c r="N172" s="462">
        <v>1</v>
      </c>
      <c r="O172" s="462">
        <v>1.5</v>
      </c>
      <c r="P172" s="44">
        <f t="shared" si="6"/>
        <v>20.058139534883722</v>
      </c>
      <c r="Q172" s="44">
        <f t="shared" si="7"/>
        <v>11.337209302325581</v>
      </c>
      <c r="R172" s="44">
        <f t="shared" si="8"/>
        <v>4.5906976744186041</v>
      </c>
      <c r="U172" s="465">
        <v>34400</v>
      </c>
      <c r="V172" s="464">
        <v>6900</v>
      </c>
      <c r="W172" s="464">
        <v>3900</v>
      </c>
      <c r="X172" s="464">
        <v>300</v>
      </c>
      <c r="Y172" s="464">
        <v>100</v>
      </c>
    </row>
    <row r="173" spans="1:25">
      <c r="A173" s="462" t="s">
        <v>443</v>
      </c>
      <c r="B173" s="462" t="s">
        <v>446</v>
      </c>
      <c r="C173" s="462">
        <v>2015</v>
      </c>
      <c r="D173" s="462">
        <v>15.4</v>
      </c>
      <c r="E173" s="462">
        <v>11.1</v>
      </c>
      <c r="F173" s="462">
        <v>1.4</v>
      </c>
      <c r="G173" s="462">
        <v>1</v>
      </c>
      <c r="H173" s="462">
        <v>1.9</v>
      </c>
      <c r="K173" s="44">
        <f t="shared" si="5"/>
        <v>46.839226519337018</v>
      </c>
      <c r="L173" s="462">
        <v>11.8</v>
      </c>
      <c r="M173" s="462">
        <v>1.7</v>
      </c>
      <c r="N173" s="462">
        <v>0.9</v>
      </c>
      <c r="O173" s="462">
        <v>1.5</v>
      </c>
      <c r="P173" s="44">
        <f t="shared" si="6"/>
        <v>19.613259668508288</v>
      </c>
      <c r="Q173" s="44">
        <f t="shared" si="7"/>
        <v>11.049723756906078</v>
      </c>
      <c r="R173" s="44">
        <f t="shared" si="8"/>
        <v>4.3762430939226515</v>
      </c>
      <c r="U173" s="465">
        <v>36200</v>
      </c>
      <c r="V173" s="464">
        <v>7100</v>
      </c>
      <c r="W173" s="464">
        <v>4000</v>
      </c>
      <c r="X173" s="464">
        <v>300</v>
      </c>
      <c r="Y173" s="464">
        <v>100</v>
      </c>
    </row>
    <row r="174" spans="1:25">
      <c r="A174" s="462" t="s">
        <v>443</v>
      </c>
      <c r="B174" s="462" t="s">
        <v>446</v>
      </c>
      <c r="C174" s="462">
        <v>2016</v>
      </c>
      <c r="D174" s="462">
        <v>15.3</v>
      </c>
      <c r="E174" s="462">
        <v>11.2</v>
      </c>
      <c r="F174" s="462">
        <v>1.2</v>
      </c>
      <c r="G174" s="462">
        <v>0.9</v>
      </c>
      <c r="H174" s="462">
        <v>2</v>
      </c>
      <c r="K174" s="44">
        <f t="shared" si="5"/>
        <v>47.49398907103825</v>
      </c>
      <c r="L174" s="462">
        <v>11.9</v>
      </c>
      <c r="M174" s="462">
        <v>1.5</v>
      </c>
      <c r="N174" s="462">
        <v>0.9</v>
      </c>
      <c r="O174" s="462">
        <v>1.5</v>
      </c>
      <c r="P174" s="44">
        <f t="shared" si="6"/>
        <v>19.94535519125683</v>
      </c>
      <c r="Q174" s="44">
        <f t="shared" si="7"/>
        <v>11.475409836065573</v>
      </c>
      <c r="R174" s="44">
        <f t="shared" si="8"/>
        <v>4.1732240437158472</v>
      </c>
      <c r="U174" s="465">
        <v>36600</v>
      </c>
      <c r="V174" s="464">
        <v>7300</v>
      </c>
      <c r="W174" s="464">
        <v>4200</v>
      </c>
      <c r="X174" s="464">
        <v>200</v>
      </c>
      <c r="Y174" s="464">
        <v>100</v>
      </c>
    </row>
    <row r="175" spans="1:25">
      <c r="A175" s="462" t="s">
        <v>443</v>
      </c>
      <c r="B175" s="462" t="s">
        <v>447</v>
      </c>
      <c r="C175" s="462">
        <v>1979</v>
      </c>
      <c r="D175" s="462">
        <v>0.8</v>
      </c>
      <c r="E175" s="462">
        <v>0.3</v>
      </c>
      <c r="F175" s="462">
        <v>0.1</v>
      </c>
      <c r="G175" s="462">
        <v>0.2</v>
      </c>
      <c r="H175" s="462">
        <v>0.3</v>
      </c>
      <c r="K175" s="44">
        <f t="shared" si="5"/>
        <v>5.2620437956204382</v>
      </c>
      <c r="L175" s="462">
        <v>0.2</v>
      </c>
      <c r="M175" s="462">
        <v>0.1</v>
      </c>
      <c r="N175" s="462">
        <v>0.1</v>
      </c>
      <c r="O175" s="462">
        <v>0.3</v>
      </c>
      <c r="P175" s="44">
        <f t="shared" si="6"/>
        <v>3.4671532846715327</v>
      </c>
      <c r="Q175" s="44">
        <f t="shared" si="7"/>
        <v>0.91240875912408748</v>
      </c>
      <c r="R175" s="44">
        <f t="shared" si="8"/>
        <v>0.68248175182481752</v>
      </c>
      <c r="U175" s="465">
        <v>54800</v>
      </c>
      <c r="V175" s="464">
        <v>1900</v>
      </c>
      <c r="W175" s="464">
        <v>500</v>
      </c>
      <c r="X175" s="464">
        <v>300</v>
      </c>
      <c r="Y175" s="464">
        <v>100</v>
      </c>
    </row>
    <row r="176" spans="1:25">
      <c r="A176" s="462" t="s">
        <v>443</v>
      </c>
      <c r="B176" s="462" t="s">
        <v>447</v>
      </c>
      <c r="C176" s="462">
        <v>1980</v>
      </c>
      <c r="D176" s="462">
        <v>0.8</v>
      </c>
      <c r="E176" s="462">
        <v>0.2</v>
      </c>
      <c r="F176" s="462">
        <v>0.1</v>
      </c>
      <c r="G176" s="462">
        <v>0.1</v>
      </c>
      <c r="H176" s="462">
        <v>0.3</v>
      </c>
      <c r="K176" s="44">
        <f t="shared" si="5"/>
        <v>5.9724137931034491</v>
      </c>
      <c r="L176" s="462">
        <v>0.2</v>
      </c>
      <c r="M176" s="462">
        <v>0.1</v>
      </c>
      <c r="N176" s="462">
        <v>0.1</v>
      </c>
      <c r="O176" s="462">
        <v>0.4</v>
      </c>
      <c r="P176" s="44">
        <f t="shared" si="6"/>
        <v>4.0229885057471266</v>
      </c>
      <c r="Q176" s="44">
        <f t="shared" si="7"/>
        <v>0.95785440613026818</v>
      </c>
      <c r="R176" s="44">
        <f t="shared" si="8"/>
        <v>0.79157088122605368</v>
      </c>
      <c r="U176" s="465">
        <v>52200</v>
      </c>
      <c r="V176" s="464">
        <v>2100</v>
      </c>
      <c r="W176" s="464">
        <v>500</v>
      </c>
      <c r="X176" s="464">
        <v>500</v>
      </c>
      <c r="Y176" s="464">
        <v>100</v>
      </c>
    </row>
    <row r="177" spans="1:25">
      <c r="A177" s="462" t="s">
        <v>443</v>
      </c>
      <c r="B177" s="462" t="s">
        <v>447</v>
      </c>
      <c r="C177" s="462">
        <v>1981</v>
      </c>
      <c r="D177" s="462">
        <v>0.8</v>
      </c>
      <c r="E177" s="462">
        <v>0.3</v>
      </c>
      <c r="F177" s="462">
        <v>0.1</v>
      </c>
      <c r="G177" s="462">
        <v>0.1</v>
      </c>
      <c r="H177" s="462">
        <v>0.3</v>
      </c>
      <c r="K177" s="44">
        <f t="shared" si="5"/>
        <v>6.480346820809249</v>
      </c>
      <c r="L177" s="462">
        <v>0.2</v>
      </c>
      <c r="M177" s="462">
        <v>0.1</v>
      </c>
      <c r="N177" s="462">
        <v>0.1</v>
      </c>
      <c r="O177" s="462">
        <v>0.3</v>
      </c>
      <c r="P177" s="44">
        <f t="shared" si="6"/>
        <v>4.4315992292870909</v>
      </c>
      <c r="Q177" s="44">
        <f t="shared" si="7"/>
        <v>1.1560693641618496</v>
      </c>
      <c r="R177" s="44">
        <f t="shared" si="8"/>
        <v>0.69267822736030826</v>
      </c>
      <c r="U177" s="465">
        <v>51900</v>
      </c>
      <c r="V177" s="464">
        <v>2300</v>
      </c>
      <c r="W177" s="464">
        <v>600</v>
      </c>
      <c r="X177" s="464">
        <v>400</v>
      </c>
      <c r="Y177" s="464">
        <v>100</v>
      </c>
    </row>
    <row r="178" spans="1:25">
      <c r="A178" s="462" t="s">
        <v>443</v>
      </c>
      <c r="B178" s="462" t="s">
        <v>447</v>
      </c>
      <c r="C178" s="462">
        <v>1982</v>
      </c>
      <c r="D178" s="462">
        <v>0.6</v>
      </c>
      <c r="E178" s="462">
        <v>0.2</v>
      </c>
      <c r="F178" s="462">
        <v>0.1</v>
      </c>
      <c r="G178" s="462">
        <v>0.1</v>
      </c>
      <c r="H178" s="462">
        <v>0.2</v>
      </c>
      <c r="K178" s="44">
        <f t="shared" si="5"/>
        <v>8.1396825396825392</v>
      </c>
      <c r="L178" s="462">
        <v>0.2</v>
      </c>
      <c r="M178" s="462">
        <v>0.1</v>
      </c>
      <c r="N178" s="462">
        <v>0.1</v>
      </c>
      <c r="O178" s="462">
        <v>0.2</v>
      </c>
      <c r="P178" s="44">
        <f t="shared" si="6"/>
        <v>5.5555555555555554</v>
      </c>
      <c r="Q178" s="44">
        <f t="shared" si="7"/>
        <v>1.5873015873015872</v>
      </c>
      <c r="R178" s="44">
        <f t="shared" si="8"/>
        <v>0.79682539682539688</v>
      </c>
      <c r="U178" s="465">
        <v>50400</v>
      </c>
      <c r="V178" s="464">
        <v>2800</v>
      </c>
      <c r="W178" s="464">
        <v>800</v>
      </c>
      <c r="X178" s="464">
        <v>600</v>
      </c>
      <c r="Y178" s="464">
        <v>200</v>
      </c>
    </row>
    <row r="179" spans="1:25">
      <c r="A179" s="462" t="s">
        <v>443</v>
      </c>
      <c r="B179" s="462" t="s">
        <v>447</v>
      </c>
      <c r="C179" s="462">
        <v>1983</v>
      </c>
      <c r="D179" s="462">
        <v>0.7</v>
      </c>
      <c r="E179" s="462">
        <v>0.2</v>
      </c>
      <c r="F179" s="462">
        <v>0.1</v>
      </c>
      <c r="G179" s="462">
        <v>0.2</v>
      </c>
      <c r="H179" s="462">
        <v>0.2</v>
      </c>
      <c r="K179" s="44">
        <f t="shared" si="5"/>
        <v>8.2767676767676779</v>
      </c>
      <c r="L179" s="462">
        <v>0.2</v>
      </c>
      <c r="M179" s="462">
        <v>0.1</v>
      </c>
      <c r="N179" s="462">
        <v>0.1</v>
      </c>
      <c r="O179" s="462">
        <v>0.2</v>
      </c>
      <c r="P179" s="44">
        <f t="shared" si="6"/>
        <v>5.6565656565656566</v>
      </c>
      <c r="Q179" s="44">
        <f t="shared" si="7"/>
        <v>1.8181818181818181</v>
      </c>
      <c r="R179" s="44">
        <f t="shared" si="8"/>
        <v>0.60202020202020201</v>
      </c>
      <c r="U179" s="465">
        <v>49500</v>
      </c>
      <c r="V179" s="464">
        <v>2800</v>
      </c>
      <c r="W179" s="464">
        <v>900</v>
      </c>
      <c r="X179" s="464">
        <v>600</v>
      </c>
      <c r="Y179" s="464">
        <v>100</v>
      </c>
    </row>
    <row r="180" spans="1:25">
      <c r="A180" s="462" t="s">
        <v>443</v>
      </c>
      <c r="B180" s="462" t="s">
        <v>447</v>
      </c>
      <c r="C180" s="462">
        <v>1984</v>
      </c>
      <c r="D180" s="462">
        <v>0.7</v>
      </c>
      <c r="E180" s="462">
        <v>0.2</v>
      </c>
      <c r="F180" s="462">
        <v>0.1</v>
      </c>
      <c r="G180" s="462">
        <v>0.2</v>
      </c>
      <c r="H180" s="462">
        <v>0.2</v>
      </c>
      <c r="K180" s="44">
        <f t="shared" si="5"/>
        <v>8.290132827324479</v>
      </c>
      <c r="L180" s="462">
        <v>0.2</v>
      </c>
      <c r="M180" s="462">
        <v>0.1</v>
      </c>
      <c r="N180" s="462">
        <v>0.1</v>
      </c>
      <c r="O180" s="462">
        <v>0.3</v>
      </c>
      <c r="P180" s="44">
        <f t="shared" si="6"/>
        <v>5.5028462998102468</v>
      </c>
      <c r="Q180" s="44">
        <f t="shared" si="7"/>
        <v>1.8975332068311195</v>
      </c>
      <c r="R180" s="44">
        <f t="shared" si="8"/>
        <v>0.6897533206831119</v>
      </c>
      <c r="U180" s="465">
        <v>52700</v>
      </c>
      <c r="V180" s="464">
        <v>2900</v>
      </c>
      <c r="W180" s="464">
        <v>1000</v>
      </c>
      <c r="X180" s="464">
        <v>400</v>
      </c>
      <c r="Y180" s="464">
        <v>100</v>
      </c>
    </row>
    <row r="181" spans="1:25">
      <c r="A181" s="462" t="s">
        <v>443</v>
      </c>
      <c r="B181" s="462" t="s">
        <v>447</v>
      </c>
      <c r="C181" s="462">
        <v>1985</v>
      </c>
      <c r="D181" s="462">
        <v>0.7</v>
      </c>
      <c r="E181" s="462">
        <v>0.2</v>
      </c>
      <c r="F181" s="462">
        <v>0</v>
      </c>
      <c r="G181" s="462">
        <v>0.2</v>
      </c>
      <c r="H181" s="462">
        <v>0.2</v>
      </c>
      <c r="K181" s="44">
        <f t="shared" si="5"/>
        <v>8.1614366729678647</v>
      </c>
      <c r="L181" s="462">
        <v>0.2</v>
      </c>
      <c r="M181" s="462">
        <v>0.1</v>
      </c>
      <c r="N181" s="462">
        <v>0.1</v>
      </c>
      <c r="O181" s="462">
        <v>0.2</v>
      </c>
      <c r="P181" s="44">
        <f t="shared" si="6"/>
        <v>5.4820415879017013</v>
      </c>
      <c r="Q181" s="44">
        <f t="shared" si="7"/>
        <v>1.890359168241966</v>
      </c>
      <c r="R181" s="44">
        <f t="shared" si="8"/>
        <v>0.58903591682419665</v>
      </c>
      <c r="U181" s="465">
        <v>52900</v>
      </c>
      <c r="V181" s="464">
        <v>2900</v>
      </c>
      <c r="W181" s="464">
        <v>1000</v>
      </c>
      <c r="X181" s="464">
        <v>400</v>
      </c>
      <c r="Y181" s="464">
        <v>100</v>
      </c>
    </row>
    <row r="182" spans="1:25">
      <c r="A182" s="462" t="s">
        <v>443</v>
      </c>
      <c r="B182" s="462" t="s">
        <v>447</v>
      </c>
      <c r="C182" s="462">
        <v>1986</v>
      </c>
      <c r="D182" s="462">
        <v>0.7</v>
      </c>
      <c r="E182" s="462">
        <v>0.3</v>
      </c>
      <c r="F182" s="462">
        <v>0.1</v>
      </c>
      <c r="G182" s="462">
        <v>0.2</v>
      </c>
      <c r="H182" s="462">
        <v>0.2</v>
      </c>
      <c r="K182" s="44">
        <f t="shared" si="5"/>
        <v>8.7777365491651214</v>
      </c>
      <c r="L182" s="462">
        <v>0.3</v>
      </c>
      <c r="M182" s="462">
        <v>0.1</v>
      </c>
      <c r="N182" s="462">
        <v>0.2</v>
      </c>
      <c r="O182" s="462">
        <v>0.2</v>
      </c>
      <c r="P182" s="44">
        <f t="shared" si="6"/>
        <v>5.5658627087198518</v>
      </c>
      <c r="Q182" s="44">
        <f t="shared" si="7"/>
        <v>2.0408163265306123</v>
      </c>
      <c r="R182" s="44">
        <f t="shared" si="8"/>
        <v>0.8710575139146568</v>
      </c>
      <c r="U182" s="465">
        <v>53900</v>
      </c>
      <c r="V182" s="464">
        <v>3000</v>
      </c>
      <c r="W182" s="464">
        <v>1100</v>
      </c>
      <c r="X182" s="464">
        <v>400</v>
      </c>
      <c r="Y182" s="464">
        <v>200</v>
      </c>
    </row>
    <row r="183" spans="1:25">
      <c r="A183" s="462" t="s">
        <v>443</v>
      </c>
      <c r="B183" s="462" t="s">
        <v>447</v>
      </c>
      <c r="C183" s="462">
        <v>1987</v>
      </c>
      <c r="D183" s="462">
        <v>0.6</v>
      </c>
      <c r="E183" s="462">
        <v>0.3</v>
      </c>
      <c r="F183" s="462">
        <v>0</v>
      </c>
      <c r="G183" s="462">
        <v>0.2</v>
      </c>
      <c r="H183" s="462">
        <v>0.2</v>
      </c>
      <c r="K183" s="44">
        <f t="shared" si="5"/>
        <v>8.349253731343282</v>
      </c>
      <c r="L183" s="462">
        <v>0.2</v>
      </c>
      <c r="M183" s="462">
        <v>0.1</v>
      </c>
      <c r="N183" s="462">
        <v>0.2</v>
      </c>
      <c r="O183" s="462">
        <v>0.2</v>
      </c>
      <c r="P183" s="44">
        <f t="shared" si="6"/>
        <v>5.4104477611940291</v>
      </c>
      <c r="Q183" s="44">
        <f t="shared" si="7"/>
        <v>1.8656716417910446</v>
      </c>
      <c r="R183" s="44">
        <f t="shared" si="8"/>
        <v>0.87313432835820892</v>
      </c>
      <c r="U183" s="465">
        <v>53600</v>
      </c>
      <c r="V183" s="464">
        <v>2900</v>
      </c>
      <c r="W183" s="464">
        <v>1000</v>
      </c>
      <c r="X183" s="464">
        <v>300</v>
      </c>
      <c r="Y183" s="464">
        <v>200</v>
      </c>
    </row>
    <row r="184" spans="1:25">
      <c r="A184" s="462" t="s">
        <v>443</v>
      </c>
      <c r="B184" s="462" t="s">
        <v>447</v>
      </c>
      <c r="C184" s="462">
        <v>1988</v>
      </c>
      <c r="D184" s="462">
        <v>0.7</v>
      </c>
      <c r="E184" s="462">
        <v>0.3</v>
      </c>
      <c r="F184" s="462">
        <v>0</v>
      </c>
      <c r="G184" s="462">
        <v>0.2</v>
      </c>
      <c r="H184" s="462">
        <v>0.2</v>
      </c>
      <c r="K184" s="44">
        <f t="shared" si="5"/>
        <v>8.3091575091575098</v>
      </c>
      <c r="L184" s="462">
        <v>0.3</v>
      </c>
      <c r="M184" s="462">
        <v>0.1</v>
      </c>
      <c r="N184" s="462">
        <v>0.2</v>
      </c>
      <c r="O184" s="462">
        <v>0.2</v>
      </c>
      <c r="P184" s="44">
        <f t="shared" si="6"/>
        <v>5.3113553113553111</v>
      </c>
      <c r="Q184" s="44">
        <f t="shared" si="7"/>
        <v>1.8315018315018317</v>
      </c>
      <c r="R184" s="44">
        <f t="shared" si="8"/>
        <v>0.86630036630036633</v>
      </c>
      <c r="U184" s="465">
        <v>54600</v>
      </c>
      <c r="V184" s="464">
        <v>2900</v>
      </c>
      <c r="W184" s="464">
        <v>1000</v>
      </c>
      <c r="X184" s="464">
        <v>300</v>
      </c>
      <c r="Y184" s="464">
        <v>200</v>
      </c>
    </row>
    <row r="185" spans="1:25">
      <c r="A185" s="462" t="s">
        <v>443</v>
      </c>
      <c r="B185" s="462" t="s">
        <v>447</v>
      </c>
      <c r="C185" s="462">
        <v>1989</v>
      </c>
      <c r="D185" s="462">
        <v>0.7</v>
      </c>
      <c r="E185" s="462">
        <v>0.3</v>
      </c>
      <c r="F185" s="462">
        <v>0</v>
      </c>
      <c r="G185" s="462">
        <v>0.2</v>
      </c>
      <c r="H185" s="462">
        <v>0.2</v>
      </c>
      <c r="K185" s="44">
        <f t="shared" si="5"/>
        <v>8.336363636363636</v>
      </c>
      <c r="L185" s="462">
        <v>0.3</v>
      </c>
      <c r="M185" s="462">
        <v>0.1</v>
      </c>
      <c r="N185" s="462">
        <v>0.1</v>
      </c>
      <c r="O185" s="462">
        <v>0.2</v>
      </c>
      <c r="P185" s="44">
        <f t="shared" si="6"/>
        <v>5.2727272727272725</v>
      </c>
      <c r="Q185" s="44">
        <f t="shared" si="7"/>
        <v>2</v>
      </c>
      <c r="R185" s="44">
        <f t="shared" si="8"/>
        <v>0.76363636363636367</v>
      </c>
      <c r="U185" s="465">
        <v>55000</v>
      </c>
      <c r="V185" s="464">
        <v>2900</v>
      </c>
      <c r="W185" s="464">
        <v>1100</v>
      </c>
      <c r="X185" s="464">
        <v>300</v>
      </c>
      <c r="Y185" s="464">
        <v>200</v>
      </c>
    </row>
    <row r="186" spans="1:25">
      <c r="A186" s="462" t="s">
        <v>443</v>
      </c>
      <c r="B186" s="462" t="s">
        <v>447</v>
      </c>
      <c r="C186" s="462">
        <v>1990</v>
      </c>
      <c r="D186" s="462">
        <v>0.8</v>
      </c>
      <c r="E186" s="462">
        <v>0.4</v>
      </c>
      <c r="F186" s="462">
        <v>0.1</v>
      </c>
      <c r="G186" s="462">
        <v>0.2</v>
      </c>
      <c r="H186" s="462">
        <v>0.2</v>
      </c>
      <c r="K186" s="44">
        <f t="shared" si="5"/>
        <v>9.0521739130434788</v>
      </c>
      <c r="L186" s="462">
        <v>0.4</v>
      </c>
      <c r="M186" s="462">
        <v>0.1</v>
      </c>
      <c r="N186" s="462">
        <v>0.2</v>
      </c>
      <c r="O186" s="462">
        <v>0.2</v>
      </c>
      <c r="P186" s="44">
        <f t="shared" si="6"/>
        <v>5.6159420289855069</v>
      </c>
      <c r="Q186" s="44">
        <f t="shared" si="7"/>
        <v>2.1739130434782608</v>
      </c>
      <c r="R186" s="44">
        <f t="shared" si="8"/>
        <v>0.8623188405797102</v>
      </c>
      <c r="U186" s="465">
        <v>55200</v>
      </c>
      <c r="V186" s="464">
        <v>3100</v>
      </c>
      <c r="W186" s="464">
        <v>1200</v>
      </c>
      <c r="X186" s="464">
        <v>400</v>
      </c>
      <c r="Y186" s="464">
        <v>200</v>
      </c>
    </row>
    <row r="187" spans="1:25">
      <c r="A187" s="462" t="s">
        <v>443</v>
      </c>
      <c r="B187" s="462" t="s">
        <v>447</v>
      </c>
      <c r="C187" s="462">
        <v>1991</v>
      </c>
      <c r="D187" s="462">
        <v>1.1000000000000001</v>
      </c>
      <c r="E187" s="462">
        <v>0.5</v>
      </c>
      <c r="F187" s="462">
        <v>0.1</v>
      </c>
      <c r="G187" s="462">
        <v>0.2</v>
      </c>
      <c r="H187" s="462">
        <v>0.2</v>
      </c>
      <c r="K187" s="44">
        <f t="shared" si="5"/>
        <v>9.9719626168224309</v>
      </c>
      <c r="L187" s="462">
        <v>0.5</v>
      </c>
      <c r="M187" s="462">
        <v>0.1</v>
      </c>
      <c r="N187" s="462">
        <v>0.2</v>
      </c>
      <c r="O187" s="462">
        <v>0.2</v>
      </c>
      <c r="P187" s="44">
        <f t="shared" si="6"/>
        <v>6.1682242990654199</v>
      </c>
      <c r="Q187" s="44">
        <f t="shared" si="7"/>
        <v>2.4299065420560746</v>
      </c>
      <c r="R187" s="44">
        <f t="shared" si="8"/>
        <v>0.87383177570093462</v>
      </c>
      <c r="U187" s="465">
        <v>53500</v>
      </c>
      <c r="V187" s="464">
        <v>3300</v>
      </c>
      <c r="W187" s="464">
        <v>1300</v>
      </c>
      <c r="X187" s="464">
        <v>500</v>
      </c>
      <c r="Y187" s="464">
        <v>200</v>
      </c>
    </row>
    <row r="188" spans="1:25">
      <c r="A188" s="462" t="s">
        <v>443</v>
      </c>
      <c r="B188" s="462" t="s">
        <v>447</v>
      </c>
      <c r="C188" s="462">
        <v>1992</v>
      </c>
      <c r="D188" s="462">
        <v>1.2</v>
      </c>
      <c r="E188" s="462">
        <v>0.6</v>
      </c>
      <c r="F188" s="462">
        <v>0.1</v>
      </c>
      <c r="G188" s="462">
        <v>0.2</v>
      </c>
      <c r="H188" s="462">
        <v>0.3</v>
      </c>
      <c r="K188" s="44">
        <f t="shared" si="5"/>
        <v>10.407806691449814</v>
      </c>
      <c r="L188" s="462">
        <v>0.6</v>
      </c>
      <c r="M188" s="462">
        <v>0.2</v>
      </c>
      <c r="N188" s="462">
        <v>0.2</v>
      </c>
      <c r="O188" s="462">
        <v>0.3</v>
      </c>
      <c r="P188" s="44">
        <f t="shared" si="6"/>
        <v>6.3197026022304827</v>
      </c>
      <c r="Q188" s="44">
        <f t="shared" si="7"/>
        <v>2.4163568773234201</v>
      </c>
      <c r="R188" s="44">
        <f t="shared" si="8"/>
        <v>1.0717472118959108</v>
      </c>
      <c r="U188" s="465">
        <v>53800</v>
      </c>
      <c r="V188" s="464">
        <v>3400</v>
      </c>
      <c r="W188" s="464">
        <v>1300</v>
      </c>
      <c r="X188" s="464">
        <v>600</v>
      </c>
      <c r="Y188" s="464">
        <v>200</v>
      </c>
    </row>
    <row r="189" spans="1:25">
      <c r="A189" s="462" t="s">
        <v>443</v>
      </c>
      <c r="B189" s="462" t="s">
        <v>447</v>
      </c>
      <c r="C189" s="462">
        <v>1993</v>
      </c>
      <c r="D189" s="462">
        <v>1.5</v>
      </c>
      <c r="E189" s="462">
        <v>0.7</v>
      </c>
      <c r="F189" s="462">
        <v>0.1</v>
      </c>
      <c r="G189" s="462">
        <v>0.3</v>
      </c>
      <c r="H189" s="462">
        <v>0.3</v>
      </c>
      <c r="K189" s="44">
        <f t="shared" si="5"/>
        <v>10.405380333951765</v>
      </c>
      <c r="L189" s="462">
        <v>0.7</v>
      </c>
      <c r="M189" s="462">
        <v>0.2</v>
      </c>
      <c r="N189" s="462">
        <v>0.3</v>
      </c>
      <c r="O189" s="462">
        <v>0.3</v>
      </c>
      <c r="P189" s="44">
        <f t="shared" si="6"/>
        <v>5.9369202226345088</v>
      </c>
      <c r="Q189" s="44">
        <f t="shared" si="7"/>
        <v>2.5974025974025974</v>
      </c>
      <c r="R189" s="44">
        <f t="shared" si="8"/>
        <v>1.1710575139146568</v>
      </c>
      <c r="U189" s="465">
        <v>53900</v>
      </c>
      <c r="V189" s="464">
        <v>3200</v>
      </c>
      <c r="W189" s="464">
        <v>1400</v>
      </c>
      <c r="X189" s="464">
        <v>500</v>
      </c>
      <c r="Y189" s="464">
        <v>200</v>
      </c>
    </row>
    <row r="190" spans="1:25">
      <c r="A190" s="462" t="s">
        <v>443</v>
      </c>
      <c r="B190" s="462" t="s">
        <v>447</v>
      </c>
      <c r="C190" s="462">
        <v>1994</v>
      </c>
      <c r="D190" s="462">
        <v>1.4</v>
      </c>
      <c r="E190" s="462">
        <v>0.8</v>
      </c>
      <c r="F190" s="462">
        <v>0.1</v>
      </c>
      <c r="G190" s="462">
        <v>0.2</v>
      </c>
      <c r="H190" s="462">
        <v>0.3</v>
      </c>
      <c r="K190" s="44">
        <f t="shared" ref="K190:K253" si="9">L190+P190+Q190+R190</f>
        <v>10.307339449541285</v>
      </c>
      <c r="L190" s="462">
        <v>0.8</v>
      </c>
      <c r="M190" s="462">
        <v>0.2</v>
      </c>
      <c r="N190" s="462">
        <v>0.2</v>
      </c>
      <c r="O190" s="462">
        <v>0.3</v>
      </c>
      <c r="P190" s="44">
        <f t="shared" ref="P190:P253" si="10">V190/$U190*100</f>
        <v>5.8715596330275233</v>
      </c>
      <c r="Q190" s="44">
        <f t="shared" ref="Q190:Q253" si="11">W190/$U190*100</f>
        <v>2.5688073394495414</v>
      </c>
      <c r="R190" s="44">
        <f t="shared" ref="R190:R253" si="12">M190+N190+O190+Y190/$U190*100</f>
        <v>1.0669724770642202</v>
      </c>
      <c r="U190" s="465">
        <v>54500</v>
      </c>
      <c r="V190" s="464">
        <v>3200</v>
      </c>
      <c r="W190" s="464">
        <v>1400</v>
      </c>
      <c r="X190" s="464">
        <v>400</v>
      </c>
      <c r="Y190" s="464">
        <v>200</v>
      </c>
    </row>
    <row r="191" spans="1:25">
      <c r="A191" s="462" t="s">
        <v>443</v>
      </c>
      <c r="B191" s="462" t="s">
        <v>447</v>
      </c>
      <c r="C191" s="462">
        <v>1995</v>
      </c>
      <c r="D191" s="462">
        <v>1.6</v>
      </c>
      <c r="E191" s="462">
        <v>0.9</v>
      </c>
      <c r="F191" s="462">
        <v>0.1</v>
      </c>
      <c r="G191" s="462">
        <v>0.3</v>
      </c>
      <c r="H191" s="462">
        <v>0.3</v>
      </c>
      <c r="K191" s="44">
        <f t="shared" si="9"/>
        <v>10.349557522123893</v>
      </c>
      <c r="L191" s="462">
        <v>0.8</v>
      </c>
      <c r="M191" s="462">
        <v>0.2</v>
      </c>
      <c r="N191" s="462">
        <v>0.2</v>
      </c>
      <c r="O191" s="462">
        <v>0.3</v>
      </c>
      <c r="P191" s="44">
        <f t="shared" si="10"/>
        <v>5.8407079646017701</v>
      </c>
      <c r="Q191" s="44">
        <f t="shared" si="11"/>
        <v>2.6548672566371683</v>
      </c>
      <c r="R191" s="44">
        <f t="shared" si="12"/>
        <v>1.0539823008849556</v>
      </c>
      <c r="U191" s="465">
        <v>56500</v>
      </c>
      <c r="V191" s="464">
        <v>3300</v>
      </c>
      <c r="W191" s="464">
        <v>1500</v>
      </c>
      <c r="X191" s="464">
        <v>400</v>
      </c>
      <c r="Y191" s="464">
        <v>200</v>
      </c>
    </row>
    <row r="192" spans="1:25">
      <c r="A192" s="462" t="s">
        <v>443</v>
      </c>
      <c r="B192" s="462" t="s">
        <v>447</v>
      </c>
      <c r="C192" s="462">
        <v>1996</v>
      </c>
      <c r="D192" s="462">
        <v>1.5</v>
      </c>
      <c r="E192" s="462">
        <v>0.9</v>
      </c>
      <c r="F192" s="462">
        <v>0.1</v>
      </c>
      <c r="G192" s="462">
        <v>0.3</v>
      </c>
      <c r="H192" s="462">
        <v>0.3</v>
      </c>
      <c r="K192" s="44">
        <f t="shared" si="9"/>
        <v>10.873684210526315</v>
      </c>
      <c r="L192" s="462">
        <v>0.8</v>
      </c>
      <c r="M192" s="462">
        <v>0.1</v>
      </c>
      <c r="N192" s="462">
        <v>0.2</v>
      </c>
      <c r="O192" s="462">
        <v>0.3</v>
      </c>
      <c r="P192" s="44">
        <f t="shared" si="10"/>
        <v>6.3157894736842106</v>
      </c>
      <c r="Q192" s="44">
        <f t="shared" si="11"/>
        <v>2.9824561403508771</v>
      </c>
      <c r="R192" s="44">
        <f t="shared" si="12"/>
        <v>0.77543859649122815</v>
      </c>
      <c r="U192" s="465">
        <v>57000</v>
      </c>
      <c r="V192" s="464">
        <v>3600</v>
      </c>
      <c r="W192" s="464">
        <v>1700</v>
      </c>
      <c r="X192" s="464">
        <v>400</v>
      </c>
      <c r="Y192" s="464">
        <v>100</v>
      </c>
    </row>
    <row r="193" spans="1:25">
      <c r="A193" s="462" t="s">
        <v>443</v>
      </c>
      <c r="B193" s="462" t="s">
        <v>447</v>
      </c>
      <c r="C193" s="462">
        <v>1997</v>
      </c>
      <c r="D193" s="462">
        <v>1.3</v>
      </c>
      <c r="E193" s="462">
        <v>0.8</v>
      </c>
      <c r="F193" s="462">
        <v>0.1</v>
      </c>
      <c r="G193" s="462">
        <v>0.2</v>
      </c>
      <c r="H193" s="462">
        <v>0.2</v>
      </c>
      <c r="K193" s="44">
        <f t="shared" si="9"/>
        <v>10.733962264150943</v>
      </c>
      <c r="L193" s="462">
        <v>0.8</v>
      </c>
      <c r="M193" s="462">
        <v>0.1</v>
      </c>
      <c r="N193" s="462">
        <v>0.2</v>
      </c>
      <c r="O193" s="462">
        <v>0.2</v>
      </c>
      <c r="P193" s="44">
        <f t="shared" si="10"/>
        <v>6.1749571183533449</v>
      </c>
      <c r="Q193" s="44">
        <f t="shared" si="11"/>
        <v>3.0874785591766725</v>
      </c>
      <c r="R193" s="44">
        <f t="shared" si="12"/>
        <v>0.67152658662092624</v>
      </c>
      <c r="U193" s="465">
        <v>58300</v>
      </c>
      <c r="V193" s="464">
        <v>3600</v>
      </c>
      <c r="W193" s="464">
        <v>1800</v>
      </c>
      <c r="X193" s="464">
        <v>300</v>
      </c>
      <c r="Y193" s="464">
        <v>100</v>
      </c>
    </row>
    <row r="194" spans="1:25">
      <c r="A194" s="462" t="s">
        <v>443</v>
      </c>
      <c r="B194" s="462" t="s">
        <v>447</v>
      </c>
      <c r="C194" s="462">
        <v>1998</v>
      </c>
      <c r="D194" s="462">
        <v>1.4</v>
      </c>
      <c r="E194" s="462">
        <v>1</v>
      </c>
      <c r="F194" s="462">
        <v>0.1</v>
      </c>
      <c r="G194" s="462">
        <v>0.2</v>
      </c>
      <c r="H194" s="462">
        <v>0.2</v>
      </c>
      <c r="K194" s="44">
        <f t="shared" si="9"/>
        <v>10.325619834710745</v>
      </c>
      <c r="L194" s="462">
        <v>0.9</v>
      </c>
      <c r="M194" s="462">
        <v>0.1</v>
      </c>
      <c r="N194" s="462">
        <v>0.2</v>
      </c>
      <c r="O194" s="462">
        <v>0.2</v>
      </c>
      <c r="P194" s="44">
        <f t="shared" si="10"/>
        <v>5.9504132231404956</v>
      </c>
      <c r="Q194" s="44">
        <f t="shared" si="11"/>
        <v>2.8099173553719008</v>
      </c>
      <c r="R194" s="44">
        <f t="shared" si="12"/>
        <v>0.66528925619834711</v>
      </c>
      <c r="U194" s="465">
        <v>60500</v>
      </c>
      <c r="V194" s="464">
        <v>3600</v>
      </c>
      <c r="W194" s="464">
        <v>1700</v>
      </c>
      <c r="X194" s="464">
        <v>300</v>
      </c>
      <c r="Y194" s="464">
        <v>100</v>
      </c>
    </row>
    <row r="195" spans="1:25">
      <c r="A195" s="462" t="s">
        <v>443</v>
      </c>
      <c r="B195" s="462" t="s">
        <v>447</v>
      </c>
      <c r="C195" s="462">
        <v>1999</v>
      </c>
      <c r="D195" s="462">
        <v>1.6</v>
      </c>
      <c r="E195" s="462">
        <v>1.1000000000000001</v>
      </c>
      <c r="F195" s="462">
        <v>0.1</v>
      </c>
      <c r="G195" s="462">
        <v>0.3</v>
      </c>
      <c r="H195" s="462">
        <v>0.2</v>
      </c>
      <c r="K195" s="44">
        <f t="shared" si="9"/>
        <v>10.052950558213716</v>
      </c>
      <c r="L195" s="462">
        <v>1.1000000000000001</v>
      </c>
      <c r="M195" s="462">
        <v>0.1</v>
      </c>
      <c r="N195" s="462">
        <v>0.2</v>
      </c>
      <c r="O195" s="462">
        <v>0.2</v>
      </c>
      <c r="P195" s="44">
        <f t="shared" si="10"/>
        <v>5.5821371610845292</v>
      </c>
      <c r="Q195" s="44">
        <f t="shared" si="11"/>
        <v>2.7113237639553431</v>
      </c>
      <c r="R195" s="44">
        <f t="shared" si="12"/>
        <v>0.65948963317384368</v>
      </c>
      <c r="U195" s="465">
        <v>62700</v>
      </c>
      <c r="V195" s="464">
        <v>3500</v>
      </c>
      <c r="W195" s="464">
        <v>1700</v>
      </c>
      <c r="X195" s="464">
        <v>300</v>
      </c>
      <c r="Y195" s="464">
        <v>100</v>
      </c>
    </row>
    <row r="196" spans="1:25">
      <c r="A196" s="462" t="s">
        <v>443</v>
      </c>
      <c r="B196" s="462" t="s">
        <v>447</v>
      </c>
      <c r="C196" s="462">
        <v>2000</v>
      </c>
      <c r="D196" s="462">
        <v>1.7</v>
      </c>
      <c r="E196" s="462">
        <v>1.2</v>
      </c>
      <c r="F196" s="462">
        <v>0.1</v>
      </c>
      <c r="G196" s="462">
        <v>0.2</v>
      </c>
      <c r="H196" s="462">
        <v>0.2</v>
      </c>
      <c r="K196" s="44">
        <f t="shared" si="9"/>
        <v>10.271428571428572</v>
      </c>
      <c r="L196" s="462">
        <v>1.2</v>
      </c>
      <c r="M196" s="462">
        <v>0.1</v>
      </c>
      <c r="N196" s="462">
        <v>0.2</v>
      </c>
      <c r="O196" s="462">
        <v>0.2</v>
      </c>
      <c r="P196" s="44">
        <f t="shared" si="10"/>
        <v>5.7142857142857144</v>
      </c>
      <c r="Q196" s="44">
        <f t="shared" si="11"/>
        <v>2.6984126984126986</v>
      </c>
      <c r="R196" s="44">
        <f t="shared" si="12"/>
        <v>0.65873015873015872</v>
      </c>
      <c r="U196" s="465">
        <v>63000</v>
      </c>
      <c r="V196" s="464">
        <v>3600</v>
      </c>
      <c r="W196" s="464">
        <v>1700</v>
      </c>
      <c r="X196" s="464">
        <v>300</v>
      </c>
      <c r="Y196" s="464">
        <v>100</v>
      </c>
    </row>
    <row r="197" spans="1:25">
      <c r="A197" s="462" t="s">
        <v>443</v>
      </c>
      <c r="B197" s="462" t="s">
        <v>447</v>
      </c>
      <c r="C197" s="462">
        <v>2001</v>
      </c>
      <c r="D197" s="462">
        <v>1.8</v>
      </c>
      <c r="E197" s="462">
        <v>1.3</v>
      </c>
      <c r="F197" s="462">
        <v>0.1</v>
      </c>
      <c r="G197" s="462">
        <v>0.2</v>
      </c>
      <c r="H197" s="462">
        <v>0.2</v>
      </c>
      <c r="K197" s="44">
        <f t="shared" si="9"/>
        <v>11.209791332263242</v>
      </c>
      <c r="L197" s="462">
        <v>1.4</v>
      </c>
      <c r="M197" s="462">
        <v>0.1</v>
      </c>
      <c r="N197" s="462">
        <v>0.2</v>
      </c>
      <c r="O197" s="462">
        <v>0.2</v>
      </c>
      <c r="P197" s="44">
        <f t="shared" si="10"/>
        <v>6.0995184590690208</v>
      </c>
      <c r="Q197" s="44">
        <f t="shared" si="11"/>
        <v>3.0497592295345104</v>
      </c>
      <c r="R197" s="44">
        <f t="shared" si="12"/>
        <v>0.6605136436597111</v>
      </c>
      <c r="U197" s="465">
        <v>62300</v>
      </c>
      <c r="V197" s="464">
        <v>3800</v>
      </c>
      <c r="W197" s="464">
        <v>1900</v>
      </c>
      <c r="X197" s="464">
        <v>400</v>
      </c>
      <c r="Y197" s="464">
        <v>100</v>
      </c>
    </row>
    <row r="198" spans="1:25">
      <c r="A198" s="462" t="s">
        <v>443</v>
      </c>
      <c r="B198" s="462" t="s">
        <v>447</v>
      </c>
      <c r="C198" s="462">
        <v>2002</v>
      </c>
      <c r="D198" s="462">
        <v>2.2000000000000002</v>
      </c>
      <c r="E198" s="462">
        <v>1.7</v>
      </c>
      <c r="F198" s="462">
        <v>0.1</v>
      </c>
      <c r="G198" s="462">
        <v>0.3</v>
      </c>
      <c r="H198" s="462">
        <v>0.2</v>
      </c>
      <c r="K198" s="44">
        <f t="shared" si="9"/>
        <v>12.084411276948591</v>
      </c>
      <c r="L198" s="462">
        <v>1.7</v>
      </c>
      <c r="M198" s="462">
        <v>0.1</v>
      </c>
      <c r="N198" s="462">
        <v>0.3</v>
      </c>
      <c r="O198" s="462">
        <v>0.2</v>
      </c>
      <c r="P198" s="44">
        <f t="shared" si="10"/>
        <v>6.3018242122719741</v>
      </c>
      <c r="Q198" s="44">
        <f t="shared" si="11"/>
        <v>3.3167495854063018</v>
      </c>
      <c r="R198" s="44">
        <f t="shared" si="12"/>
        <v>0.7658374792703152</v>
      </c>
      <c r="U198" s="465">
        <v>60300</v>
      </c>
      <c r="V198" s="464">
        <v>3800</v>
      </c>
      <c r="W198" s="464">
        <v>2000</v>
      </c>
      <c r="X198" s="464">
        <v>600</v>
      </c>
      <c r="Y198" s="464">
        <v>100</v>
      </c>
    </row>
    <row r="199" spans="1:25">
      <c r="A199" s="462" t="s">
        <v>443</v>
      </c>
      <c r="B199" s="462" t="s">
        <v>447</v>
      </c>
      <c r="C199" s="462">
        <v>2003</v>
      </c>
      <c r="D199" s="462">
        <v>2.5</v>
      </c>
      <c r="E199" s="462">
        <v>1.9</v>
      </c>
      <c r="F199" s="462">
        <v>0.1</v>
      </c>
      <c r="G199" s="462">
        <v>0.3</v>
      </c>
      <c r="H199" s="462">
        <v>0.2</v>
      </c>
      <c r="K199" s="44">
        <f t="shared" si="9"/>
        <v>12.284411276948591</v>
      </c>
      <c r="L199" s="462">
        <v>2</v>
      </c>
      <c r="M199" s="462">
        <v>0.1</v>
      </c>
      <c r="N199" s="462">
        <v>0.2</v>
      </c>
      <c r="O199" s="462">
        <v>0.2</v>
      </c>
      <c r="P199" s="44">
        <f t="shared" si="10"/>
        <v>6.467661691542288</v>
      </c>
      <c r="Q199" s="44">
        <f t="shared" si="11"/>
        <v>3.150912106135987</v>
      </c>
      <c r="R199" s="44">
        <f t="shared" si="12"/>
        <v>0.66583747927031511</v>
      </c>
      <c r="U199" s="465">
        <v>60300</v>
      </c>
      <c r="V199" s="464">
        <v>3900</v>
      </c>
      <c r="W199" s="464">
        <v>1900</v>
      </c>
      <c r="X199" s="464">
        <v>600</v>
      </c>
      <c r="Y199" s="464">
        <v>100</v>
      </c>
    </row>
    <row r="200" spans="1:25">
      <c r="A200" s="462" t="s">
        <v>443</v>
      </c>
      <c r="B200" s="462" t="s">
        <v>447</v>
      </c>
      <c r="C200" s="462">
        <v>2004</v>
      </c>
      <c r="D200" s="462">
        <v>2.6</v>
      </c>
      <c r="E200" s="462">
        <v>2.1</v>
      </c>
      <c r="F200" s="462">
        <v>0.1</v>
      </c>
      <c r="G200" s="462">
        <v>0.3</v>
      </c>
      <c r="H200" s="462">
        <v>0.2</v>
      </c>
      <c r="K200" s="44">
        <f t="shared" si="9"/>
        <v>12.551845906902088</v>
      </c>
      <c r="L200" s="462">
        <v>2</v>
      </c>
      <c r="M200" s="462">
        <v>0.1</v>
      </c>
      <c r="N200" s="462">
        <v>0.3</v>
      </c>
      <c r="O200" s="462">
        <v>0.2</v>
      </c>
      <c r="P200" s="44">
        <f t="shared" si="10"/>
        <v>6.2600321027287329</v>
      </c>
      <c r="Q200" s="44">
        <f t="shared" si="11"/>
        <v>3.3707865168539324</v>
      </c>
      <c r="R200" s="44">
        <f t="shared" si="12"/>
        <v>0.92102728731942229</v>
      </c>
      <c r="U200" s="465">
        <v>62300</v>
      </c>
      <c r="V200" s="464">
        <v>3900</v>
      </c>
      <c r="W200" s="464">
        <v>2100</v>
      </c>
      <c r="X200" s="464">
        <v>400</v>
      </c>
      <c r="Y200" s="464">
        <v>200</v>
      </c>
    </row>
    <row r="201" spans="1:25">
      <c r="A201" s="462" t="s">
        <v>443</v>
      </c>
      <c r="B201" s="462" t="s">
        <v>447</v>
      </c>
      <c r="C201" s="462">
        <v>2005</v>
      </c>
      <c r="D201" s="462">
        <v>2.7</v>
      </c>
      <c r="E201" s="462">
        <v>2.1</v>
      </c>
      <c r="F201" s="462">
        <v>0.1</v>
      </c>
      <c r="G201" s="462">
        <v>0.3</v>
      </c>
      <c r="H201" s="462">
        <v>0.2</v>
      </c>
      <c r="K201" s="44">
        <f t="shared" si="9"/>
        <v>12.294628751974724</v>
      </c>
      <c r="L201" s="462">
        <v>2</v>
      </c>
      <c r="M201" s="462">
        <v>0.1</v>
      </c>
      <c r="N201" s="462">
        <v>0.2</v>
      </c>
      <c r="O201" s="462">
        <v>0.2</v>
      </c>
      <c r="P201" s="44">
        <f t="shared" si="10"/>
        <v>6.3191153238546596</v>
      </c>
      <c r="Q201" s="44">
        <f t="shared" si="11"/>
        <v>3.3175355450236967</v>
      </c>
      <c r="R201" s="44">
        <f t="shared" si="12"/>
        <v>0.65797788309636651</v>
      </c>
      <c r="U201" s="465">
        <v>63300</v>
      </c>
      <c r="V201" s="464">
        <v>4000</v>
      </c>
      <c r="W201" s="464">
        <v>2100</v>
      </c>
      <c r="X201" s="464">
        <v>400</v>
      </c>
      <c r="Y201" s="464">
        <v>100</v>
      </c>
    </row>
    <row r="202" spans="1:25">
      <c r="A202" s="462" t="s">
        <v>443</v>
      </c>
      <c r="B202" s="462" t="s">
        <v>447</v>
      </c>
      <c r="C202" s="462">
        <v>2006</v>
      </c>
      <c r="D202" s="462">
        <v>2.4</v>
      </c>
      <c r="E202" s="462">
        <v>1.8</v>
      </c>
      <c r="F202" s="462">
        <v>0.1</v>
      </c>
      <c r="G202" s="462">
        <v>0.3</v>
      </c>
      <c r="H202" s="462">
        <v>0.3</v>
      </c>
      <c r="K202" s="44">
        <f t="shared" si="9"/>
        <v>12.661067503924645</v>
      </c>
      <c r="L202" s="462">
        <v>1.8</v>
      </c>
      <c r="M202" s="462">
        <v>0.1</v>
      </c>
      <c r="N202" s="462">
        <v>0.2</v>
      </c>
      <c r="O202" s="462">
        <v>0.2</v>
      </c>
      <c r="P202" s="44">
        <f t="shared" si="10"/>
        <v>6.2794348508634217</v>
      </c>
      <c r="Q202" s="44">
        <f t="shared" si="11"/>
        <v>3.7676609105180532</v>
      </c>
      <c r="R202" s="44">
        <f t="shared" si="12"/>
        <v>0.81397174254317117</v>
      </c>
      <c r="U202" s="465">
        <v>63700</v>
      </c>
      <c r="V202" s="464">
        <v>4000</v>
      </c>
      <c r="W202" s="464">
        <v>2400</v>
      </c>
      <c r="X202" s="464">
        <v>300</v>
      </c>
      <c r="Y202" s="464">
        <v>200</v>
      </c>
    </row>
    <row r="203" spans="1:25">
      <c r="A203" s="462" t="s">
        <v>443</v>
      </c>
      <c r="B203" s="462" t="s">
        <v>447</v>
      </c>
      <c r="C203" s="462">
        <v>2007</v>
      </c>
      <c r="D203" s="462">
        <v>2.6</v>
      </c>
      <c r="E203" s="462">
        <v>1.9</v>
      </c>
      <c r="F203" s="462">
        <v>0.1</v>
      </c>
      <c r="G203" s="462">
        <v>0.3</v>
      </c>
      <c r="H203" s="462">
        <v>0.3</v>
      </c>
      <c r="K203" s="44">
        <f t="shared" si="9"/>
        <v>12.636157337367624</v>
      </c>
      <c r="L203" s="462">
        <v>1.9</v>
      </c>
      <c r="M203" s="462">
        <v>0.1</v>
      </c>
      <c r="N203" s="462">
        <v>0.3</v>
      </c>
      <c r="O203" s="462">
        <v>0.2</v>
      </c>
      <c r="P203" s="44">
        <f t="shared" si="10"/>
        <v>6.2027231467473527</v>
      </c>
      <c r="Q203" s="44">
        <f t="shared" si="11"/>
        <v>3.7821482602118004</v>
      </c>
      <c r="R203" s="44">
        <f t="shared" si="12"/>
        <v>0.75128593040847214</v>
      </c>
      <c r="U203" s="465">
        <v>66100</v>
      </c>
      <c r="V203" s="464">
        <v>4100</v>
      </c>
      <c r="W203" s="464">
        <v>2500</v>
      </c>
      <c r="X203" s="464">
        <v>400</v>
      </c>
      <c r="Y203" s="464">
        <v>100</v>
      </c>
    </row>
    <row r="204" spans="1:25">
      <c r="A204" s="462" t="s">
        <v>443</v>
      </c>
      <c r="B204" s="462" t="s">
        <v>447</v>
      </c>
      <c r="C204" s="462">
        <v>2008</v>
      </c>
      <c r="D204" s="462">
        <v>2.9</v>
      </c>
      <c r="E204" s="462">
        <v>2.1</v>
      </c>
      <c r="F204" s="462">
        <v>0.1</v>
      </c>
      <c r="G204" s="462">
        <v>0.3</v>
      </c>
      <c r="H204" s="462">
        <v>0.3</v>
      </c>
      <c r="K204" s="44">
        <f t="shared" si="9"/>
        <v>13.700473933649288</v>
      </c>
      <c r="L204" s="462">
        <v>2.1</v>
      </c>
      <c r="M204" s="462">
        <v>0.2</v>
      </c>
      <c r="N204" s="462">
        <v>0.3</v>
      </c>
      <c r="O204" s="462">
        <v>0.2</v>
      </c>
      <c r="P204" s="44">
        <f t="shared" si="10"/>
        <v>6.6350710900473935</v>
      </c>
      <c r="Q204" s="44">
        <f t="shared" si="11"/>
        <v>4.1074249605055293</v>
      </c>
      <c r="R204" s="44">
        <f t="shared" si="12"/>
        <v>0.85797788309636647</v>
      </c>
      <c r="U204" s="465">
        <v>63300</v>
      </c>
      <c r="V204" s="464">
        <v>4200</v>
      </c>
      <c r="W204" s="464">
        <v>2600</v>
      </c>
      <c r="X204" s="464">
        <v>500</v>
      </c>
      <c r="Y204" s="464">
        <v>100</v>
      </c>
    </row>
    <row r="205" spans="1:25">
      <c r="A205" s="462" t="s">
        <v>443</v>
      </c>
      <c r="B205" s="462" t="s">
        <v>447</v>
      </c>
      <c r="C205" s="462">
        <v>2009</v>
      </c>
      <c r="D205" s="462">
        <v>3.5</v>
      </c>
      <c r="E205" s="462">
        <v>2.6</v>
      </c>
      <c r="F205" s="462">
        <v>0.2</v>
      </c>
      <c r="G205" s="462">
        <v>0.4</v>
      </c>
      <c r="H205" s="462">
        <v>0.3</v>
      </c>
      <c r="K205" s="44">
        <f t="shared" si="9"/>
        <v>16.43532338308458</v>
      </c>
      <c r="L205" s="462">
        <v>2.6</v>
      </c>
      <c r="M205" s="462">
        <v>0.3</v>
      </c>
      <c r="N205" s="462">
        <v>0.3</v>
      </c>
      <c r="O205" s="462">
        <v>0.3</v>
      </c>
      <c r="P205" s="44">
        <f t="shared" si="10"/>
        <v>7.9601990049751246</v>
      </c>
      <c r="Q205" s="44">
        <f t="shared" si="11"/>
        <v>4.8092868988391384</v>
      </c>
      <c r="R205" s="44">
        <f t="shared" si="12"/>
        <v>1.0658374792703149</v>
      </c>
      <c r="U205" s="465">
        <v>60300</v>
      </c>
      <c r="V205" s="464">
        <v>4800</v>
      </c>
      <c r="W205" s="464">
        <v>2900</v>
      </c>
      <c r="X205" s="464">
        <v>1300</v>
      </c>
      <c r="Y205" s="464">
        <v>100</v>
      </c>
    </row>
    <row r="206" spans="1:25">
      <c r="A206" s="462" t="s">
        <v>443</v>
      </c>
      <c r="B206" s="462" t="s">
        <v>447</v>
      </c>
      <c r="C206" s="462">
        <v>2010</v>
      </c>
      <c r="D206" s="462">
        <v>3.5</v>
      </c>
      <c r="E206" s="462">
        <v>2.5</v>
      </c>
      <c r="F206" s="462">
        <v>0.3</v>
      </c>
      <c r="G206" s="462">
        <v>0.3</v>
      </c>
      <c r="H206" s="462">
        <v>0.4</v>
      </c>
      <c r="K206" s="44">
        <f t="shared" si="9"/>
        <v>17.451351351351352</v>
      </c>
      <c r="L206" s="462">
        <v>2.6</v>
      </c>
      <c r="M206" s="462">
        <v>0.4</v>
      </c>
      <c r="N206" s="462">
        <v>0.3</v>
      </c>
      <c r="O206" s="462">
        <v>0.3</v>
      </c>
      <c r="P206" s="44">
        <f t="shared" si="10"/>
        <v>8.6148648648648649</v>
      </c>
      <c r="Q206" s="44">
        <f t="shared" si="11"/>
        <v>5.0675675675675675</v>
      </c>
      <c r="R206" s="44">
        <f t="shared" si="12"/>
        <v>1.1689189189189189</v>
      </c>
      <c r="U206" s="465">
        <v>59200</v>
      </c>
      <c r="V206" s="464">
        <v>5100</v>
      </c>
      <c r="W206" s="464">
        <v>3000</v>
      </c>
      <c r="X206" s="464">
        <v>1300</v>
      </c>
      <c r="Y206" s="464">
        <v>100</v>
      </c>
    </row>
    <row r="207" spans="1:25">
      <c r="A207" s="462" t="s">
        <v>443</v>
      </c>
      <c r="B207" s="462" t="s">
        <v>447</v>
      </c>
      <c r="C207" s="462">
        <v>2011</v>
      </c>
      <c r="D207" s="462">
        <v>3.5</v>
      </c>
      <c r="E207" s="462">
        <v>2.5</v>
      </c>
      <c r="F207" s="462">
        <v>0.3</v>
      </c>
      <c r="G207" s="462">
        <v>0.3</v>
      </c>
      <c r="H207" s="462">
        <v>0.4</v>
      </c>
      <c r="K207" s="44">
        <f t="shared" si="9"/>
        <v>17.067174280879865</v>
      </c>
      <c r="L207" s="462">
        <v>2.7</v>
      </c>
      <c r="M207" s="462">
        <v>0.4</v>
      </c>
      <c r="N207" s="462">
        <v>0.3</v>
      </c>
      <c r="O207" s="462">
        <v>0.3</v>
      </c>
      <c r="P207" s="44">
        <f t="shared" si="10"/>
        <v>8.2910321489001699</v>
      </c>
      <c r="Q207" s="44">
        <f t="shared" si="11"/>
        <v>4.9069373942470387</v>
      </c>
      <c r="R207" s="44">
        <f t="shared" si="12"/>
        <v>1.1692047377326564</v>
      </c>
      <c r="U207" s="465">
        <v>59100</v>
      </c>
      <c r="V207" s="464">
        <v>4900</v>
      </c>
      <c r="W207" s="464">
        <v>2900</v>
      </c>
      <c r="X207" s="464">
        <v>900</v>
      </c>
      <c r="Y207" s="464">
        <v>100</v>
      </c>
    </row>
    <row r="208" spans="1:25">
      <c r="A208" s="462" t="s">
        <v>443</v>
      </c>
      <c r="B208" s="462" t="s">
        <v>447</v>
      </c>
      <c r="C208" s="462">
        <v>2012</v>
      </c>
      <c r="D208" s="462">
        <v>3.6</v>
      </c>
      <c r="E208" s="462">
        <v>2.5</v>
      </c>
      <c r="F208" s="462">
        <v>0.3</v>
      </c>
      <c r="G208" s="462">
        <v>0.4</v>
      </c>
      <c r="H208" s="462">
        <v>0.4</v>
      </c>
      <c r="K208" s="44">
        <f t="shared" si="9"/>
        <v>17.474788494077835</v>
      </c>
      <c r="L208" s="462">
        <v>2.6</v>
      </c>
      <c r="M208" s="462">
        <v>0.4</v>
      </c>
      <c r="N208" s="462">
        <v>0.3</v>
      </c>
      <c r="O208" s="462">
        <v>0.3</v>
      </c>
      <c r="P208" s="44">
        <f t="shared" si="10"/>
        <v>8.6294416243654819</v>
      </c>
      <c r="Q208" s="44">
        <f t="shared" si="11"/>
        <v>5.0761421319796955</v>
      </c>
      <c r="R208" s="44">
        <f t="shared" si="12"/>
        <v>1.1692047377326564</v>
      </c>
      <c r="U208" s="465">
        <v>59100</v>
      </c>
      <c r="V208" s="464">
        <v>5100</v>
      </c>
      <c r="W208" s="464">
        <v>3000</v>
      </c>
      <c r="X208" s="464">
        <v>700</v>
      </c>
      <c r="Y208" s="464">
        <v>100</v>
      </c>
    </row>
    <row r="209" spans="1:25">
      <c r="A209" s="462" t="s">
        <v>443</v>
      </c>
      <c r="B209" s="462" t="s">
        <v>447</v>
      </c>
      <c r="C209" s="462">
        <v>2013</v>
      </c>
      <c r="D209" s="462">
        <v>3.6</v>
      </c>
      <c r="E209" s="462">
        <v>2.6</v>
      </c>
      <c r="F209" s="462">
        <v>0.3</v>
      </c>
      <c r="G209" s="462">
        <v>0.3</v>
      </c>
      <c r="H209" s="462">
        <v>0.4</v>
      </c>
      <c r="K209" s="44">
        <f t="shared" si="9"/>
        <v>17.396369636963698</v>
      </c>
      <c r="L209" s="462">
        <v>2.7</v>
      </c>
      <c r="M209" s="462">
        <v>0.4</v>
      </c>
      <c r="N209" s="462">
        <v>0.3</v>
      </c>
      <c r="O209" s="462">
        <v>0.3</v>
      </c>
      <c r="P209" s="44">
        <f t="shared" si="10"/>
        <v>8.5808580858085808</v>
      </c>
      <c r="Q209" s="44">
        <f t="shared" si="11"/>
        <v>4.9504950495049505</v>
      </c>
      <c r="R209" s="44">
        <f t="shared" si="12"/>
        <v>1.165016501650165</v>
      </c>
      <c r="U209" s="465">
        <v>60600</v>
      </c>
      <c r="V209" s="464">
        <v>5200</v>
      </c>
      <c r="W209" s="464">
        <v>3000</v>
      </c>
      <c r="X209" s="464">
        <v>500</v>
      </c>
      <c r="Y209" s="464">
        <v>100</v>
      </c>
    </row>
    <row r="210" spans="1:25">
      <c r="A210" s="462" t="s">
        <v>443</v>
      </c>
      <c r="B210" s="462" t="s">
        <v>447</v>
      </c>
      <c r="C210" s="462">
        <v>2014</v>
      </c>
      <c r="D210" s="462">
        <v>4.2</v>
      </c>
      <c r="E210" s="462">
        <v>3.2</v>
      </c>
      <c r="F210" s="462">
        <v>0.3</v>
      </c>
      <c r="G210" s="462">
        <v>0.3</v>
      </c>
      <c r="H210" s="462">
        <v>0.4</v>
      </c>
      <c r="K210" s="44">
        <f t="shared" si="9"/>
        <v>18.293376413570275</v>
      </c>
      <c r="L210" s="462">
        <v>3.5</v>
      </c>
      <c r="M210" s="462">
        <v>0.3</v>
      </c>
      <c r="N210" s="462">
        <v>0.3</v>
      </c>
      <c r="O210" s="462">
        <v>0.3</v>
      </c>
      <c r="P210" s="44">
        <f t="shared" si="10"/>
        <v>8.7237479806138936</v>
      </c>
      <c r="Q210" s="44">
        <f t="shared" si="11"/>
        <v>5.0080775444264942</v>
      </c>
      <c r="R210" s="44">
        <f t="shared" si="12"/>
        <v>1.0615508885298868</v>
      </c>
      <c r="U210" s="465">
        <v>61900</v>
      </c>
      <c r="V210" s="464">
        <v>5400</v>
      </c>
      <c r="W210" s="464">
        <v>3100</v>
      </c>
      <c r="X210" s="464">
        <v>300</v>
      </c>
      <c r="Y210" s="464">
        <v>100</v>
      </c>
    </row>
    <row r="211" spans="1:25">
      <c r="A211" s="462" t="s">
        <v>443</v>
      </c>
      <c r="B211" s="462" t="s">
        <v>447</v>
      </c>
      <c r="C211" s="462">
        <v>2015</v>
      </c>
      <c r="D211" s="462">
        <v>4.5999999999999996</v>
      </c>
      <c r="E211" s="462">
        <v>3.5</v>
      </c>
      <c r="F211" s="462">
        <v>0.3</v>
      </c>
      <c r="G211" s="462">
        <v>0.3</v>
      </c>
      <c r="H211" s="462">
        <v>0.5</v>
      </c>
      <c r="K211" s="44">
        <f t="shared" si="9"/>
        <v>18.928012519561815</v>
      </c>
      <c r="L211" s="462">
        <v>4</v>
      </c>
      <c r="M211" s="462">
        <v>0.3</v>
      </c>
      <c r="N211" s="462">
        <v>0.3</v>
      </c>
      <c r="O211" s="462">
        <v>0.4</v>
      </c>
      <c r="P211" s="44">
        <f t="shared" si="10"/>
        <v>8.7636932707355246</v>
      </c>
      <c r="Q211" s="44">
        <f t="shared" si="11"/>
        <v>5.0078247261345856</v>
      </c>
      <c r="R211" s="44">
        <f t="shared" si="12"/>
        <v>1.1564945226917058</v>
      </c>
      <c r="U211" s="465">
        <v>63900</v>
      </c>
      <c r="V211" s="464">
        <v>5600</v>
      </c>
      <c r="W211" s="464">
        <v>3200</v>
      </c>
      <c r="X211" s="464">
        <v>300</v>
      </c>
      <c r="Y211" s="464">
        <v>100</v>
      </c>
    </row>
    <row r="212" spans="1:25">
      <c r="A212" s="462" t="s">
        <v>443</v>
      </c>
      <c r="B212" s="462" t="s">
        <v>447</v>
      </c>
      <c r="C212" s="462">
        <v>2016</v>
      </c>
      <c r="D212" s="462">
        <v>4.8</v>
      </c>
      <c r="E212" s="462">
        <v>3.7</v>
      </c>
      <c r="F212" s="462">
        <v>0.3</v>
      </c>
      <c r="G212" s="462">
        <v>0.3</v>
      </c>
      <c r="H212" s="462">
        <v>0.5</v>
      </c>
      <c r="K212" s="44">
        <f t="shared" si="9"/>
        <v>18.609316770186336</v>
      </c>
      <c r="L212" s="462">
        <v>4.0999999999999996</v>
      </c>
      <c r="M212" s="462">
        <v>0.3</v>
      </c>
      <c r="N212" s="462">
        <v>0.3</v>
      </c>
      <c r="O212" s="462">
        <v>0.4</v>
      </c>
      <c r="P212" s="44">
        <f t="shared" si="10"/>
        <v>8.3850931677018643</v>
      </c>
      <c r="Q212" s="44">
        <f t="shared" si="11"/>
        <v>4.9689440993788816</v>
      </c>
      <c r="R212" s="44">
        <f t="shared" si="12"/>
        <v>1.15527950310559</v>
      </c>
      <c r="U212" s="465">
        <v>64400</v>
      </c>
      <c r="V212" s="464">
        <v>5400</v>
      </c>
      <c r="W212" s="464">
        <v>3200</v>
      </c>
      <c r="X212" s="464">
        <v>300</v>
      </c>
      <c r="Y212" s="464">
        <v>100</v>
      </c>
    </row>
    <row r="213" spans="1:25">
      <c r="A213" s="462" t="s">
        <v>443</v>
      </c>
      <c r="B213" s="462" t="s">
        <v>448</v>
      </c>
      <c r="C213" s="462">
        <v>1979</v>
      </c>
      <c r="D213" s="462">
        <v>0.3</v>
      </c>
      <c r="E213" s="462">
        <v>0.1</v>
      </c>
      <c r="F213" s="462">
        <v>0</v>
      </c>
      <c r="G213" s="462">
        <v>0.1</v>
      </c>
      <c r="H213" s="462">
        <v>0.1</v>
      </c>
      <c r="K213" s="44">
        <f t="shared" si="9"/>
        <v>2.8032938076416341</v>
      </c>
      <c r="L213" s="462">
        <v>0.1</v>
      </c>
      <c r="M213" s="462">
        <v>0</v>
      </c>
      <c r="N213" s="462">
        <v>0.1</v>
      </c>
      <c r="O213" s="462">
        <v>0.1</v>
      </c>
      <c r="P213" s="44">
        <f t="shared" si="10"/>
        <v>1.8445322793148879</v>
      </c>
      <c r="Q213" s="44">
        <f t="shared" si="11"/>
        <v>0.5270092226613966</v>
      </c>
      <c r="R213" s="44">
        <f t="shared" si="12"/>
        <v>0.33175230566534919</v>
      </c>
      <c r="U213" s="465">
        <v>75900</v>
      </c>
      <c r="V213" s="464">
        <v>1400</v>
      </c>
      <c r="W213" s="464">
        <v>400</v>
      </c>
      <c r="X213" s="464">
        <v>300</v>
      </c>
      <c r="Y213" s="464">
        <v>100</v>
      </c>
    </row>
    <row r="214" spans="1:25">
      <c r="A214" s="462" t="s">
        <v>443</v>
      </c>
      <c r="B214" s="462" t="s">
        <v>448</v>
      </c>
      <c r="C214" s="462">
        <v>1980</v>
      </c>
      <c r="D214" s="462">
        <v>0.3</v>
      </c>
      <c r="E214" s="462">
        <v>0.1</v>
      </c>
      <c r="F214" s="462">
        <v>0</v>
      </c>
      <c r="G214" s="462">
        <v>0.1</v>
      </c>
      <c r="H214" s="462">
        <v>0.1</v>
      </c>
      <c r="K214" s="44">
        <f t="shared" si="9"/>
        <v>3.0173913043478264</v>
      </c>
      <c r="L214" s="462">
        <v>0.1</v>
      </c>
      <c r="M214" s="462">
        <v>0</v>
      </c>
      <c r="N214" s="462">
        <v>0.1</v>
      </c>
      <c r="O214" s="462">
        <v>0.1</v>
      </c>
      <c r="P214" s="44">
        <f t="shared" si="10"/>
        <v>2.0380434782608696</v>
      </c>
      <c r="Q214" s="44">
        <f t="shared" si="11"/>
        <v>0.54347826086956519</v>
      </c>
      <c r="R214" s="44">
        <f t="shared" si="12"/>
        <v>0.33586956521739131</v>
      </c>
      <c r="U214" s="465">
        <v>73600</v>
      </c>
      <c r="V214" s="464">
        <v>1500</v>
      </c>
      <c r="W214" s="464">
        <v>400</v>
      </c>
      <c r="X214" s="464">
        <v>400</v>
      </c>
      <c r="Y214" s="464">
        <v>100</v>
      </c>
    </row>
    <row r="215" spans="1:25">
      <c r="A215" s="462" t="s">
        <v>443</v>
      </c>
      <c r="B215" s="462" t="s">
        <v>448</v>
      </c>
      <c r="C215" s="462">
        <v>1981</v>
      </c>
      <c r="D215" s="462">
        <v>0.3</v>
      </c>
      <c r="E215" s="462">
        <v>0.1</v>
      </c>
      <c r="F215" s="462">
        <v>0</v>
      </c>
      <c r="G215" s="462">
        <v>0.1</v>
      </c>
      <c r="H215" s="462">
        <v>0.1</v>
      </c>
      <c r="K215" s="44">
        <f t="shared" si="9"/>
        <v>3.395558546433378</v>
      </c>
      <c r="L215" s="462">
        <v>0.1</v>
      </c>
      <c r="M215" s="462">
        <v>0</v>
      </c>
      <c r="N215" s="462">
        <v>0.1</v>
      </c>
      <c r="O215" s="462">
        <v>0.1</v>
      </c>
      <c r="P215" s="44">
        <f t="shared" si="10"/>
        <v>2.2880215343203227</v>
      </c>
      <c r="Q215" s="44">
        <f t="shared" si="11"/>
        <v>0.67294751009421261</v>
      </c>
      <c r="R215" s="44">
        <f t="shared" si="12"/>
        <v>0.33458950201884252</v>
      </c>
      <c r="U215" s="465">
        <v>74300</v>
      </c>
      <c r="V215" s="464">
        <v>1700</v>
      </c>
      <c r="W215" s="464">
        <v>500</v>
      </c>
      <c r="X215" s="464">
        <v>400</v>
      </c>
      <c r="Y215" s="464">
        <v>100</v>
      </c>
    </row>
    <row r="216" spans="1:25">
      <c r="A216" s="462" t="s">
        <v>443</v>
      </c>
      <c r="B216" s="462" t="s">
        <v>448</v>
      </c>
      <c r="C216" s="462">
        <v>1982</v>
      </c>
      <c r="D216" s="462">
        <v>0.3</v>
      </c>
      <c r="E216" s="462">
        <v>0.1</v>
      </c>
      <c r="F216" s="462">
        <v>0</v>
      </c>
      <c r="G216" s="462">
        <v>0.1</v>
      </c>
      <c r="H216" s="462">
        <v>0.1</v>
      </c>
      <c r="K216" s="44">
        <f t="shared" si="9"/>
        <v>3.8519125683060111</v>
      </c>
      <c r="L216" s="462">
        <v>0.1</v>
      </c>
      <c r="M216" s="462">
        <v>0</v>
      </c>
      <c r="N216" s="462">
        <v>0.1</v>
      </c>
      <c r="O216" s="462">
        <v>0.1</v>
      </c>
      <c r="P216" s="44">
        <f t="shared" si="10"/>
        <v>2.5956284153005464</v>
      </c>
      <c r="Q216" s="44">
        <f t="shared" si="11"/>
        <v>0.81967213114754101</v>
      </c>
      <c r="R216" s="44">
        <f t="shared" si="12"/>
        <v>0.33661202185792349</v>
      </c>
      <c r="U216" s="465">
        <v>73200</v>
      </c>
      <c r="V216" s="464">
        <v>1900</v>
      </c>
      <c r="W216" s="464">
        <v>600</v>
      </c>
      <c r="X216" s="464">
        <v>500</v>
      </c>
      <c r="Y216" s="464">
        <v>100</v>
      </c>
    </row>
    <row r="217" spans="1:25">
      <c r="A217" s="462" t="s">
        <v>443</v>
      </c>
      <c r="B217" s="462" t="s">
        <v>448</v>
      </c>
      <c r="C217" s="462">
        <v>1983</v>
      </c>
      <c r="D217" s="462">
        <v>0.3</v>
      </c>
      <c r="E217" s="462">
        <v>0.1</v>
      </c>
      <c r="F217" s="462">
        <v>0</v>
      </c>
      <c r="G217" s="462">
        <v>0.1</v>
      </c>
      <c r="H217" s="462">
        <v>0.1</v>
      </c>
      <c r="K217" s="44">
        <f t="shared" si="9"/>
        <v>4.0138927097661616</v>
      </c>
      <c r="L217" s="462">
        <v>0.1</v>
      </c>
      <c r="M217" s="462">
        <v>0</v>
      </c>
      <c r="N217" s="462">
        <v>0.1</v>
      </c>
      <c r="O217" s="462">
        <v>0.1</v>
      </c>
      <c r="P217" s="44">
        <f t="shared" si="10"/>
        <v>2.7510316368638237</v>
      </c>
      <c r="Q217" s="44">
        <f t="shared" si="11"/>
        <v>0.82530949105914708</v>
      </c>
      <c r="R217" s="44">
        <f t="shared" si="12"/>
        <v>0.33755158184319123</v>
      </c>
      <c r="U217" s="465">
        <v>72700</v>
      </c>
      <c r="V217" s="464">
        <v>2000</v>
      </c>
      <c r="W217" s="464">
        <v>600</v>
      </c>
      <c r="X217" s="464">
        <v>500</v>
      </c>
      <c r="Y217" s="464">
        <v>100</v>
      </c>
    </row>
    <row r="218" spans="1:25">
      <c r="A218" s="462" t="s">
        <v>443</v>
      </c>
      <c r="B218" s="462" t="s">
        <v>448</v>
      </c>
      <c r="C218" s="462">
        <v>1984</v>
      </c>
      <c r="D218" s="462">
        <v>0.3</v>
      </c>
      <c r="E218" s="462">
        <v>0.1</v>
      </c>
      <c r="F218" s="462">
        <v>0</v>
      </c>
      <c r="G218" s="462">
        <v>0.1</v>
      </c>
      <c r="H218" s="462">
        <v>0.1</v>
      </c>
      <c r="K218" s="44">
        <f t="shared" si="9"/>
        <v>3.9363636363636365</v>
      </c>
      <c r="L218" s="462">
        <v>0.1</v>
      </c>
      <c r="M218" s="462">
        <v>0</v>
      </c>
      <c r="N218" s="462">
        <v>0.1</v>
      </c>
      <c r="O218" s="462">
        <v>0.1</v>
      </c>
      <c r="P218" s="44">
        <f t="shared" si="10"/>
        <v>2.5974025974025974</v>
      </c>
      <c r="Q218" s="44">
        <f t="shared" si="11"/>
        <v>0.90909090909090906</v>
      </c>
      <c r="R218" s="44">
        <f t="shared" si="12"/>
        <v>0.32987012987012987</v>
      </c>
      <c r="U218" s="465">
        <v>77000</v>
      </c>
      <c r="V218" s="464">
        <v>2000</v>
      </c>
      <c r="W218" s="464">
        <v>700</v>
      </c>
      <c r="X218" s="464">
        <v>300</v>
      </c>
      <c r="Y218" s="464">
        <v>100</v>
      </c>
    </row>
    <row r="219" spans="1:25">
      <c r="A219" s="462" t="s">
        <v>443</v>
      </c>
      <c r="B219" s="462" t="s">
        <v>448</v>
      </c>
      <c r="C219" s="462">
        <v>1985</v>
      </c>
      <c r="D219" s="462">
        <v>0.3</v>
      </c>
      <c r="E219" s="462">
        <v>0.1</v>
      </c>
      <c r="F219" s="462">
        <v>0</v>
      </c>
      <c r="G219" s="462">
        <v>0.1</v>
      </c>
      <c r="H219" s="462">
        <v>0.1</v>
      </c>
      <c r="K219" s="44">
        <f t="shared" si="9"/>
        <v>3.9316472114137491</v>
      </c>
      <c r="L219" s="462">
        <v>0.1</v>
      </c>
      <c r="M219" s="462">
        <v>0</v>
      </c>
      <c r="N219" s="462">
        <v>0.1</v>
      </c>
      <c r="O219" s="462">
        <v>0.1</v>
      </c>
      <c r="P219" s="44">
        <f t="shared" si="10"/>
        <v>2.5940337224383918</v>
      </c>
      <c r="Q219" s="44">
        <f t="shared" si="11"/>
        <v>0.9079118028534372</v>
      </c>
      <c r="R219" s="44">
        <f t="shared" si="12"/>
        <v>0.32970168612191958</v>
      </c>
      <c r="U219" s="465">
        <v>77100</v>
      </c>
      <c r="V219" s="464">
        <v>2000</v>
      </c>
      <c r="W219" s="464">
        <v>700</v>
      </c>
      <c r="X219" s="464">
        <v>300</v>
      </c>
      <c r="Y219" s="464">
        <v>100</v>
      </c>
    </row>
    <row r="220" spans="1:25">
      <c r="A220" s="462" t="s">
        <v>443</v>
      </c>
      <c r="B220" s="462" t="s">
        <v>448</v>
      </c>
      <c r="C220" s="462">
        <v>1986</v>
      </c>
      <c r="D220" s="462">
        <v>0.3</v>
      </c>
      <c r="E220" s="462">
        <v>0.1</v>
      </c>
      <c r="F220" s="462">
        <v>0</v>
      </c>
      <c r="G220" s="462">
        <v>0.1</v>
      </c>
      <c r="H220" s="462">
        <v>0.1</v>
      </c>
      <c r="K220" s="44">
        <f t="shared" si="9"/>
        <v>3.8087719298245615</v>
      </c>
      <c r="L220" s="462">
        <v>0.1</v>
      </c>
      <c r="M220" s="462">
        <v>0</v>
      </c>
      <c r="N220" s="462">
        <v>0.1</v>
      </c>
      <c r="O220" s="462">
        <v>0.1</v>
      </c>
      <c r="P220" s="44">
        <f t="shared" si="10"/>
        <v>2.5062656641604009</v>
      </c>
      <c r="Q220" s="44">
        <f t="shared" si="11"/>
        <v>0.8771929824561403</v>
      </c>
      <c r="R220" s="44">
        <f t="shared" si="12"/>
        <v>0.32531328320802005</v>
      </c>
      <c r="U220" s="465">
        <v>79800</v>
      </c>
      <c r="V220" s="464">
        <v>2000</v>
      </c>
      <c r="W220" s="464">
        <v>700</v>
      </c>
      <c r="X220" s="464">
        <v>300</v>
      </c>
      <c r="Y220" s="464">
        <v>100</v>
      </c>
    </row>
    <row r="221" spans="1:25">
      <c r="A221" s="462" t="s">
        <v>443</v>
      </c>
      <c r="B221" s="462" t="s">
        <v>448</v>
      </c>
      <c r="C221" s="462">
        <v>1987</v>
      </c>
      <c r="D221" s="462">
        <v>0.3</v>
      </c>
      <c r="E221" s="462">
        <v>0.1</v>
      </c>
      <c r="F221" s="462">
        <v>0</v>
      </c>
      <c r="G221" s="462">
        <v>0.1</v>
      </c>
      <c r="H221" s="462">
        <v>0.1</v>
      </c>
      <c r="K221" s="44">
        <f t="shared" si="9"/>
        <v>3.773945409429281</v>
      </c>
      <c r="L221" s="462">
        <v>0.1</v>
      </c>
      <c r="M221" s="462">
        <v>0</v>
      </c>
      <c r="N221" s="462">
        <v>0.1</v>
      </c>
      <c r="O221" s="462">
        <v>0.1</v>
      </c>
      <c r="P221" s="44">
        <f t="shared" si="10"/>
        <v>2.481389578163772</v>
      </c>
      <c r="Q221" s="44">
        <f t="shared" si="11"/>
        <v>0.86848635235732019</v>
      </c>
      <c r="R221" s="44">
        <f t="shared" si="12"/>
        <v>0.3240694789081886</v>
      </c>
      <c r="U221" s="465">
        <v>80600</v>
      </c>
      <c r="V221" s="464">
        <v>2000</v>
      </c>
      <c r="W221" s="464">
        <v>700</v>
      </c>
      <c r="X221" s="464">
        <v>300</v>
      </c>
      <c r="Y221" s="464">
        <v>100</v>
      </c>
    </row>
    <row r="222" spans="1:25">
      <c r="A222" s="462" t="s">
        <v>443</v>
      </c>
      <c r="B222" s="462" t="s">
        <v>448</v>
      </c>
      <c r="C222" s="462">
        <v>1988</v>
      </c>
      <c r="D222" s="462">
        <v>0.3</v>
      </c>
      <c r="E222" s="462">
        <v>0.1</v>
      </c>
      <c r="F222" s="462">
        <v>0</v>
      </c>
      <c r="G222" s="462">
        <v>0.1</v>
      </c>
      <c r="H222" s="462">
        <v>0.1</v>
      </c>
      <c r="K222" s="44">
        <f t="shared" si="9"/>
        <v>3.6251231527093601</v>
      </c>
      <c r="L222" s="462">
        <v>0.1</v>
      </c>
      <c r="M222" s="462">
        <v>0</v>
      </c>
      <c r="N222" s="462">
        <v>0.1</v>
      </c>
      <c r="O222" s="462">
        <v>0.1</v>
      </c>
      <c r="P222" s="44">
        <f t="shared" si="10"/>
        <v>2.3399014778325125</v>
      </c>
      <c r="Q222" s="44">
        <f t="shared" si="11"/>
        <v>0.86206896551724133</v>
      </c>
      <c r="R222" s="44">
        <f t="shared" si="12"/>
        <v>0.32315270935960594</v>
      </c>
      <c r="U222" s="465">
        <v>81200</v>
      </c>
      <c r="V222" s="464">
        <v>1900</v>
      </c>
      <c r="W222" s="464">
        <v>700</v>
      </c>
      <c r="X222" s="464">
        <v>300</v>
      </c>
      <c r="Y222" s="464">
        <v>100</v>
      </c>
    </row>
    <row r="223" spans="1:25">
      <c r="A223" s="462" t="s">
        <v>443</v>
      </c>
      <c r="B223" s="462" t="s">
        <v>448</v>
      </c>
      <c r="C223" s="462">
        <v>1989</v>
      </c>
      <c r="D223" s="462">
        <v>0.3</v>
      </c>
      <c r="E223" s="462">
        <v>0.1</v>
      </c>
      <c r="F223" s="462">
        <v>0</v>
      </c>
      <c r="G223" s="462">
        <v>0.1</v>
      </c>
      <c r="H223" s="462">
        <v>0.1</v>
      </c>
      <c r="K223" s="44">
        <f t="shared" si="9"/>
        <v>3.9585365853658536</v>
      </c>
      <c r="L223" s="462">
        <v>0.1</v>
      </c>
      <c r="M223" s="462">
        <v>0</v>
      </c>
      <c r="N223" s="462">
        <v>0.1</v>
      </c>
      <c r="O223" s="462">
        <v>0.1</v>
      </c>
      <c r="P223" s="44">
        <f t="shared" si="10"/>
        <v>2.5609756097560976</v>
      </c>
      <c r="Q223" s="44">
        <f t="shared" si="11"/>
        <v>0.85365853658536595</v>
      </c>
      <c r="R223" s="44">
        <f t="shared" si="12"/>
        <v>0.44390243902439025</v>
      </c>
      <c r="U223" s="465">
        <v>82000</v>
      </c>
      <c r="V223" s="464">
        <v>2100</v>
      </c>
      <c r="W223" s="464">
        <v>700</v>
      </c>
      <c r="X223" s="464">
        <v>200</v>
      </c>
      <c r="Y223" s="464">
        <v>200</v>
      </c>
    </row>
    <row r="224" spans="1:25">
      <c r="A224" s="462" t="s">
        <v>443</v>
      </c>
      <c r="B224" s="462" t="s">
        <v>448</v>
      </c>
      <c r="C224" s="462">
        <v>1990</v>
      </c>
      <c r="D224" s="462">
        <v>0.3</v>
      </c>
      <c r="E224" s="462">
        <v>0.2</v>
      </c>
      <c r="F224" s="462">
        <v>0</v>
      </c>
      <c r="G224" s="462">
        <v>0.1</v>
      </c>
      <c r="H224" s="462">
        <v>0.1</v>
      </c>
      <c r="K224" s="44">
        <f t="shared" si="9"/>
        <v>4.1130381303813044</v>
      </c>
      <c r="L224" s="462">
        <v>0.1</v>
      </c>
      <c r="M224" s="462">
        <v>0</v>
      </c>
      <c r="N224" s="462">
        <v>0.1</v>
      </c>
      <c r="O224" s="462">
        <v>0.1</v>
      </c>
      <c r="P224" s="44">
        <f t="shared" si="10"/>
        <v>2.5830258302583027</v>
      </c>
      <c r="Q224" s="44">
        <f t="shared" si="11"/>
        <v>0.98400984009840098</v>
      </c>
      <c r="R224" s="44">
        <f t="shared" si="12"/>
        <v>0.44600246002460026</v>
      </c>
      <c r="U224" s="465">
        <v>81300</v>
      </c>
      <c r="V224" s="464">
        <v>2100</v>
      </c>
      <c r="W224" s="464">
        <v>800</v>
      </c>
      <c r="X224" s="464">
        <v>300</v>
      </c>
      <c r="Y224" s="464">
        <v>200</v>
      </c>
    </row>
    <row r="225" spans="1:25">
      <c r="A225" s="462" t="s">
        <v>443</v>
      </c>
      <c r="B225" s="462" t="s">
        <v>448</v>
      </c>
      <c r="C225" s="462">
        <v>1991</v>
      </c>
      <c r="D225" s="462">
        <v>0.4</v>
      </c>
      <c r="E225" s="462">
        <v>0.2</v>
      </c>
      <c r="F225" s="462">
        <v>0</v>
      </c>
      <c r="G225" s="462">
        <v>0.1</v>
      </c>
      <c r="H225" s="462">
        <v>0.1</v>
      </c>
      <c r="K225" s="44">
        <f t="shared" si="9"/>
        <v>4.1313432835820896</v>
      </c>
      <c r="L225" s="462">
        <v>0.2</v>
      </c>
      <c r="M225" s="462">
        <v>0</v>
      </c>
      <c r="N225" s="462">
        <v>0.1</v>
      </c>
      <c r="O225" s="462">
        <v>0.1</v>
      </c>
      <c r="P225" s="44">
        <f t="shared" si="10"/>
        <v>2.4875621890547266</v>
      </c>
      <c r="Q225" s="44">
        <f t="shared" si="11"/>
        <v>0.99502487562189057</v>
      </c>
      <c r="R225" s="44">
        <f t="shared" si="12"/>
        <v>0.44875621890547268</v>
      </c>
      <c r="U225" s="465">
        <v>80400</v>
      </c>
      <c r="V225" s="464">
        <v>2000</v>
      </c>
      <c r="W225" s="464">
        <v>800</v>
      </c>
      <c r="X225" s="464">
        <v>400</v>
      </c>
      <c r="Y225" s="464">
        <v>200</v>
      </c>
    </row>
    <row r="226" spans="1:25">
      <c r="A226" s="462" t="s">
        <v>443</v>
      </c>
      <c r="B226" s="462" t="s">
        <v>448</v>
      </c>
      <c r="C226" s="462">
        <v>1992</v>
      </c>
      <c r="D226" s="462">
        <v>0.5</v>
      </c>
      <c r="E226" s="462">
        <v>0.3</v>
      </c>
      <c r="F226" s="462">
        <v>0</v>
      </c>
      <c r="G226" s="462">
        <v>0.1</v>
      </c>
      <c r="H226" s="462">
        <v>0.1</v>
      </c>
      <c r="K226" s="44">
        <f t="shared" si="9"/>
        <v>4.2366336633663364</v>
      </c>
      <c r="L226" s="462">
        <v>0.2</v>
      </c>
      <c r="M226" s="462">
        <v>0</v>
      </c>
      <c r="N226" s="462">
        <v>0.1</v>
      </c>
      <c r="O226" s="462">
        <v>0.1</v>
      </c>
      <c r="P226" s="44">
        <f t="shared" si="10"/>
        <v>2.5990099009900991</v>
      </c>
      <c r="Q226" s="44">
        <f t="shared" si="11"/>
        <v>1.1138613861386137</v>
      </c>
      <c r="R226" s="44">
        <f t="shared" si="12"/>
        <v>0.32376237623762377</v>
      </c>
      <c r="U226" s="465">
        <v>80800</v>
      </c>
      <c r="V226" s="464">
        <v>2100</v>
      </c>
      <c r="W226" s="464">
        <v>900</v>
      </c>
      <c r="X226" s="464">
        <v>500</v>
      </c>
      <c r="Y226" s="464">
        <v>100</v>
      </c>
    </row>
    <row r="227" spans="1:25">
      <c r="A227" s="462" t="s">
        <v>443</v>
      </c>
      <c r="B227" s="462" t="s">
        <v>448</v>
      </c>
      <c r="C227" s="462">
        <v>1993</v>
      </c>
      <c r="D227" s="462">
        <v>0.5</v>
      </c>
      <c r="E227" s="462">
        <v>0.3</v>
      </c>
      <c r="F227" s="462">
        <v>0</v>
      </c>
      <c r="G227" s="462">
        <v>0.1</v>
      </c>
      <c r="H227" s="462">
        <v>0.1</v>
      </c>
      <c r="K227" s="44">
        <f t="shared" si="9"/>
        <v>4.5769041769041765</v>
      </c>
      <c r="L227" s="462">
        <v>0.2</v>
      </c>
      <c r="M227" s="462">
        <v>0</v>
      </c>
      <c r="N227" s="462">
        <v>0.1</v>
      </c>
      <c r="O227" s="462">
        <v>0.1</v>
      </c>
      <c r="P227" s="44">
        <f t="shared" si="10"/>
        <v>2.7027027027027026</v>
      </c>
      <c r="Q227" s="44">
        <f t="shared" si="11"/>
        <v>1.2285012285012284</v>
      </c>
      <c r="R227" s="44">
        <f t="shared" si="12"/>
        <v>0.44570024570024569</v>
      </c>
      <c r="U227" s="465">
        <v>81400</v>
      </c>
      <c r="V227" s="464">
        <v>2200</v>
      </c>
      <c r="W227" s="464">
        <v>1000</v>
      </c>
      <c r="X227" s="464">
        <v>500</v>
      </c>
      <c r="Y227" s="464">
        <v>200</v>
      </c>
    </row>
    <row r="228" spans="1:25">
      <c r="A228" s="462" t="s">
        <v>443</v>
      </c>
      <c r="B228" s="462" t="s">
        <v>448</v>
      </c>
      <c r="C228" s="462">
        <v>1994</v>
      </c>
      <c r="D228" s="462">
        <v>0.6</v>
      </c>
      <c r="E228" s="462">
        <v>0.3</v>
      </c>
      <c r="F228" s="462">
        <v>0</v>
      </c>
      <c r="G228" s="462">
        <v>0.1</v>
      </c>
      <c r="H228" s="462">
        <v>0.1</v>
      </c>
      <c r="K228" s="44">
        <f t="shared" si="9"/>
        <v>4.2439613526570046</v>
      </c>
      <c r="L228" s="462">
        <v>0.3</v>
      </c>
      <c r="M228" s="462">
        <v>0</v>
      </c>
      <c r="N228" s="462">
        <v>0.1</v>
      </c>
      <c r="O228" s="462">
        <v>0.1</v>
      </c>
      <c r="P228" s="44">
        <f t="shared" si="10"/>
        <v>2.5362318840579712</v>
      </c>
      <c r="Q228" s="44">
        <f t="shared" si="11"/>
        <v>1.0869565217391304</v>
      </c>
      <c r="R228" s="44">
        <f t="shared" si="12"/>
        <v>0.32077294685990337</v>
      </c>
      <c r="U228" s="465">
        <v>82800</v>
      </c>
      <c r="V228" s="464">
        <v>2100</v>
      </c>
      <c r="W228" s="464">
        <v>900</v>
      </c>
      <c r="X228" s="464">
        <v>300</v>
      </c>
      <c r="Y228" s="464">
        <v>100</v>
      </c>
    </row>
    <row r="229" spans="1:25">
      <c r="A229" s="462" t="s">
        <v>443</v>
      </c>
      <c r="B229" s="462" t="s">
        <v>448</v>
      </c>
      <c r="C229" s="462">
        <v>1995</v>
      </c>
      <c r="D229" s="462">
        <v>0.6</v>
      </c>
      <c r="E229" s="462">
        <v>0.3</v>
      </c>
      <c r="F229" s="462">
        <v>0</v>
      </c>
      <c r="G229" s="462">
        <v>0.1</v>
      </c>
      <c r="H229" s="462">
        <v>0.1</v>
      </c>
      <c r="K229" s="44">
        <f t="shared" si="9"/>
        <v>4.7654028436018958</v>
      </c>
      <c r="L229" s="462">
        <v>0.3</v>
      </c>
      <c r="M229" s="462">
        <v>0</v>
      </c>
      <c r="N229" s="462">
        <v>0.1</v>
      </c>
      <c r="O229" s="462">
        <v>0.1</v>
      </c>
      <c r="P229" s="44">
        <f t="shared" si="10"/>
        <v>2.7251184834123223</v>
      </c>
      <c r="Q229" s="44">
        <f t="shared" si="11"/>
        <v>1.3033175355450237</v>
      </c>
      <c r="R229" s="44">
        <f t="shared" si="12"/>
        <v>0.43696682464454978</v>
      </c>
      <c r="U229" s="465">
        <v>84400</v>
      </c>
      <c r="V229" s="464">
        <v>2300</v>
      </c>
      <c r="W229" s="464">
        <v>1100</v>
      </c>
      <c r="X229" s="464">
        <v>300</v>
      </c>
      <c r="Y229" s="464">
        <v>200</v>
      </c>
    </row>
    <row r="230" spans="1:25">
      <c r="A230" s="462" t="s">
        <v>443</v>
      </c>
      <c r="B230" s="462" t="s">
        <v>448</v>
      </c>
      <c r="C230" s="462">
        <v>1996</v>
      </c>
      <c r="D230" s="462">
        <v>0.5</v>
      </c>
      <c r="E230" s="462">
        <v>0.3</v>
      </c>
      <c r="F230" s="462">
        <v>0</v>
      </c>
      <c r="G230" s="462">
        <v>0.1</v>
      </c>
      <c r="H230" s="462">
        <v>0.1</v>
      </c>
      <c r="K230" s="44">
        <f t="shared" si="9"/>
        <v>4.5697674418604652</v>
      </c>
      <c r="L230" s="462">
        <v>0.3</v>
      </c>
      <c r="M230" s="462">
        <v>0</v>
      </c>
      <c r="N230" s="462">
        <v>0.1</v>
      </c>
      <c r="O230" s="462">
        <v>0.1</v>
      </c>
      <c r="P230" s="44">
        <f t="shared" si="10"/>
        <v>2.6744186046511627</v>
      </c>
      <c r="Q230" s="44">
        <f t="shared" si="11"/>
        <v>1.2790697674418605</v>
      </c>
      <c r="R230" s="44">
        <f t="shared" si="12"/>
        <v>0.31627906976744186</v>
      </c>
      <c r="U230" s="465">
        <v>86000</v>
      </c>
      <c r="V230" s="464">
        <v>2300</v>
      </c>
      <c r="W230" s="464">
        <v>1100</v>
      </c>
      <c r="X230" s="464">
        <v>300</v>
      </c>
      <c r="Y230" s="464">
        <v>100</v>
      </c>
    </row>
    <row r="231" spans="1:25">
      <c r="A231" s="462" t="s">
        <v>443</v>
      </c>
      <c r="B231" s="462" t="s">
        <v>448</v>
      </c>
      <c r="C231" s="462">
        <v>1997</v>
      </c>
      <c r="D231" s="462">
        <v>0.6</v>
      </c>
      <c r="E231" s="462">
        <v>0.4</v>
      </c>
      <c r="F231" s="462">
        <v>0</v>
      </c>
      <c r="G231" s="462">
        <v>0.1</v>
      </c>
      <c r="H231" s="462">
        <v>0.1</v>
      </c>
      <c r="K231" s="44">
        <f t="shared" si="9"/>
        <v>4.8132803632236092</v>
      </c>
      <c r="L231" s="462">
        <v>0.3</v>
      </c>
      <c r="M231" s="462">
        <v>0</v>
      </c>
      <c r="N231" s="462">
        <v>0.1</v>
      </c>
      <c r="O231" s="462">
        <v>0.1</v>
      </c>
      <c r="P231" s="44">
        <f t="shared" si="10"/>
        <v>2.7241770715096481</v>
      </c>
      <c r="Q231" s="44">
        <f t="shared" si="11"/>
        <v>1.362088535754824</v>
      </c>
      <c r="R231" s="44">
        <f t="shared" si="12"/>
        <v>0.42701475595913735</v>
      </c>
      <c r="U231" s="465">
        <v>88100</v>
      </c>
      <c r="V231" s="464">
        <v>2400</v>
      </c>
      <c r="W231" s="464">
        <v>1200</v>
      </c>
      <c r="X231" s="464">
        <v>200</v>
      </c>
      <c r="Y231" s="464">
        <v>200</v>
      </c>
    </row>
    <row r="232" spans="1:25">
      <c r="A232" s="462" t="s">
        <v>443</v>
      </c>
      <c r="B232" s="462" t="s">
        <v>448</v>
      </c>
      <c r="C232" s="462">
        <v>1998</v>
      </c>
      <c r="D232" s="462">
        <v>0.6</v>
      </c>
      <c r="E232" s="462">
        <v>0.4</v>
      </c>
      <c r="F232" s="462">
        <v>0</v>
      </c>
      <c r="G232" s="462">
        <v>0.1</v>
      </c>
      <c r="H232" s="462">
        <v>0.1</v>
      </c>
      <c r="K232" s="44">
        <f t="shared" si="9"/>
        <v>4.4258451472191922</v>
      </c>
      <c r="L232" s="462">
        <v>0.3</v>
      </c>
      <c r="M232" s="462">
        <v>0</v>
      </c>
      <c r="N232" s="462">
        <v>0.1</v>
      </c>
      <c r="O232" s="462">
        <v>0.1</v>
      </c>
      <c r="P232" s="44">
        <f t="shared" si="10"/>
        <v>2.6172300981461287</v>
      </c>
      <c r="Q232" s="44">
        <f t="shared" si="11"/>
        <v>1.1995637949836424</v>
      </c>
      <c r="R232" s="44">
        <f t="shared" si="12"/>
        <v>0.30905125408942202</v>
      </c>
      <c r="U232" s="465">
        <v>91700</v>
      </c>
      <c r="V232" s="464">
        <v>2400</v>
      </c>
      <c r="W232" s="464">
        <v>1100</v>
      </c>
      <c r="X232" s="464">
        <v>200</v>
      </c>
      <c r="Y232" s="464">
        <v>100</v>
      </c>
    </row>
    <row r="233" spans="1:25">
      <c r="A233" s="462" t="s">
        <v>443</v>
      </c>
      <c r="B233" s="462" t="s">
        <v>448</v>
      </c>
      <c r="C233" s="462">
        <v>1999</v>
      </c>
      <c r="D233" s="462">
        <v>0.6</v>
      </c>
      <c r="E233" s="462">
        <v>0.4</v>
      </c>
      <c r="F233" s="462">
        <v>0</v>
      </c>
      <c r="G233" s="462">
        <v>0.1</v>
      </c>
      <c r="H233" s="462">
        <v>0</v>
      </c>
      <c r="K233" s="44">
        <f t="shared" si="9"/>
        <v>4.4153439153439153</v>
      </c>
      <c r="L233" s="462">
        <v>0.4</v>
      </c>
      <c r="M233" s="462">
        <v>0</v>
      </c>
      <c r="N233" s="462">
        <v>0.1</v>
      </c>
      <c r="O233" s="462">
        <v>0</v>
      </c>
      <c r="P233" s="44">
        <f t="shared" si="10"/>
        <v>2.6455026455026456</v>
      </c>
      <c r="Q233" s="44">
        <f t="shared" si="11"/>
        <v>1.164021164021164</v>
      </c>
      <c r="R233" s="44">
        <f t="shared" si="12"/>
        <v>0.20582010582010585</v>
      </c>
      <c r="U233" s="465">
        <v>94500</v>
      </c>
      <c r="V233" s="464">
        <v>2500</v>
      </c>
      <c r="W233" s="464">
        <v>1100</v>
      </c>
      <c r="X233" s="464">
        <v>200</v>
      </c>
      <c r="Y233" s="464">
        <v>100</v>
      </c>
    </row>
    <row r="234" spans="1:25">
      <c r="A234" s="462" t="s">
        <v>443</v>
      </c>
      <c r="B234" s="462" t="s">
        <v>448</v>
      </c>
      <c r="C234" s="462">
        <v>2000</v>
      </c>
      <c r="D234" s="462">
        <v>0.6</v>
      </c>
      <c r="E234" s="462">
        <v>0.5</v>
      </c>
      <c r="F234" s="462">
        <v>0</v>
      </c>
      <c r="G234" s="462">
        <v>0.1</v>
      </c>
      <c r="H234" s="462">
        <v>0.1</v>
      </c>
      <c r="K234" s="44">
        <f t="shared" si="9"/>
        <v>4.5624608967674654</v>
      </c>
      <c r="L234" s="462">
        <v>0.4</v>
      </c>
      <c r="M234" s="462">
        <v>0</v>
      </c>
      <c r="N234" s="462">
        <v>0.1</v>
      </c>
      <c r="O234" s="462">
        <v>0.1</v>
      </c>
      <c r="P234" s="44">
        <f t="shared" si="10"/>
        <v>2.6068821689259645</v>
      </c>
      <c r="Q234" s="44">
        <f t="shared" si="11"/>
        <v>1.251303441084463</v>
      </c>
      <c r="R234" s="44">
        <f t="shared" si="12"/>
        <v>0.30427528675703858</v>
      </c>
      <c r="U234" s="465">
        <v>95900</v>
      </c>
      <c r="V234" s="464">
        <v>2500</v>
      </c>
      <c r="W234" s="464">
        <v>1200</v>
      </c>
      <c r="X234" s="464">
        <v>200</v>
      </c>
      <c r="Y234" s="464">
        <v>100</v>
      </c>
    </row>
    <row r="235" spans="1:25">
      <c r="A235" s="462" t="s">
        <v>443</v>
      </c>
      <c r="B235" s="462" t="s">
        <v>448</v>
      </c>
      <c r="C235" s="462">
        <v>2001</v>
      </c>
      <c r="D235" s="462">
        <v>0.6</v>
      </c>
      <c r="E235" s="462">
        <v>0.5</v>
      </c>
      <c r="F235" s="462">
        <v>0</v>
      </c>
      <c r="G235" s="462">
        <v>0.1</v>
      </c>
      <c r="H235" s="462">
        <v>0</v>
      </c>
      <c r="K235" s="44">
        <f t="shared" si="9"/>
        <v>4.5169133192389008</v>
      </c>
      <c r="L235" s="462">
        <v>0.4</v>
      </c>
      <c r="M235" s="462">
        <v>0</v>
      </c>
      <c r="N235" s="462">
        <v>0.1</v>
      </c>
      <c r="O235" s="462">
        <v>0</v>
      </c>
      <c r="P235" s="44">
        <f t="shared" si="10"/>
        <v>2.6427061310782243</v>
      </c>
      <c r="Q235" s="44">
        <f t="shared" si="11"/>
        <v>1.2684989429175475</v>
      </c>
      <c r="R235" s="44">
        <f t="shared" si="12"/>
        <v>0.20570824524312897</v>
      </c>
      <c r="U235" s="465">
        <v>94600</v>
      </c>
      <c r="V235" s="464">
        <v>2500</v>
      </c>
      <c r="W235" s="464">
        <v>1200</v>
      </c>
      <c r="X235" s="464">
        <v>400</v>
      </c>
      <c r="Y235" s="464">
        <v>100</v>
      </c>
    </row>
    <row r="236" spans="1:25">
      <c r="A236" s="462" t="s">
        <v>443</v>
      </c>
      <c r="B236" s="462" t="s">
        <v>448</v>
      </c>
      <c r="C236" s="462">
        <v>2002</v>
      </c>
      <c r="D236" s="462">
        <v>0.8</v>
      </c>
      <c r="E236" s="462">
        <v>0.6</v>
      </c>
      <c r="F236" s="462">
        <v>0</v>
      </c>
      <c r="G236" s="462">
        <v>0.1</v>
      </c>
      <c r="H236" s="462">
        <v>0.1</v>
      </c>
      <c r="K236" s="44">
        <f t="shared" si="9"/>
        <v>4.8036717062634997</v>
      </c>
      <c r="L236" s="462">
        <v>0.5</v>
      </c>
      <c r="M236" s="462">
        <v>0</v>
      </c>
      <c r="N236" s="462">
        <v>0.1</v>
      </c>
      <c r="O236" s="462">
        <v>0.1</v>
      </c>
      <c r="P236" s="44">
        <f t="shared" si="10"/>
        <v>2.6997840172786178</v>
      </c>
      <c r="Q236" s="44">
        <f t="shared" si="11"/>
        <v>1.2958963282937366</v>
      </c>
      <c r="R236" s="44">
        <f t="shared" si="12"/>
        <v>0.30799136069114474</v>
      </c>
      <c r="U236" s="465">
        <v>92600</v>
      </c>
      <c r="V236" s="464">
        <v>2500</v>
      </c>
      <c r="W236" s="464">
        <v>1200</v>
      </c>
      <c r="X236" s="464">
        <v>600</v>
      </c>
      <c r="Y236" s="464">
        <v>100</v>
      </c>
    </row>
    <row r="237" spans="1:25">
      <c r="A237" s="462" t="s">
        <v>443</v>
      </c>
      <c r="B237" s="462" t="s">
        <v>448</v>
      </c>
      <c r="C237" s="462">
        <v>2003</v>
      </c>
      <c r="D237" s="462">
        <v>0.8</v>
      </c>
      <c r="E237" s="462">
        <v>0.7</v>
      </c>
      <c r="F237" s="462">
        <v>0</v>
      </c>
      <c r="G237" s="462">
        <v>0.1</v>
      </c>
      <c r="H237" s="462">
        <v>0.1</v>
      </c>
      <c r="K237" s="44">
        <f t="shared" si="9"/>
        <v>4.9622198505869797</v>
      </c>
      <c r="L237" s="462">
        <v>0.6</v>
      </c>
      <c r="M237" s="462">
        <v>0</v>
      </c>
      <c r="N237" s="462">
        <v>0.1</v>
      </c>
      <c r="O237" s="462">
        <v>0.1</v>
      </c>
      <c r="P237" s="44">
        <f t="shared" si="10"/>
        <v>2.6680896478121667</v>
      </c>
      <c r="Q237" s="44">
        <f t="shared" si="11"/>
        <v>1.3874066168623265</v>
      </c>
      <c r="R237" s="44">
        <f t="shared" si="12"/>
        <v>0.30672358591248666</v>
      </c>
      <c r="U237" s="465">
        <v>93700</v>
      </c>
      <c r="V237" s="464">
        <v>2500</v>
      </c>
      <c r="W237" s="464">
        <v>1300</v>
      </c>
      <c r="X237" s="464">
        <v>500</v>
      </c>
      <c r="Y237" s="464">
        <v>100</v>
      </c>
    </row>
    <row r="238" spans="1:25">
      <c r="A238" s="462" t="s">
        <v>443</v>
      </c>
      <c r="B238" s="462" t="s">
        <v>448</v>
      </c>
      <c r="C238" s="462">
        <v>2004</v>
      </c>
      <c r="D238" s="462">
        <v>0.9</v>
      </c>
      <c r="E238" s="462">
        <v>0.7</v>
      </c>
      <c r="F238" s="462">
        <v>0</v>
      </c>
      <c r="G238" s="462">
        <v>0.1</v>
      </c>
      <c r="H238" s="462">
        <v>0.1</v>
      </c>
      <c r="K238" s="44">
        <f t="shared" si="9"/>
        <v>5.0443064182194615</v>
      </c>
      <c r="L238" s="462">
        <v>0.6</v>
      </c>
      <c r="M238" s="462">
        <v>0</v>
      </c>
      <c r="N238" s="462">
        <v>0.1</v>
      </c>
      <c r="O238" s="462">
        <v>0.1</v>
      </c>
      <c r="P238" s="44">
        <f t="shared" si="10"/>
        <v>2.691511387163561</v>
      </c>
      <c r="Q238" s="44">
        <f t="shared" si="11"/>
        <v>1.4492753623188406</v>
      </c>
      <c r="R238" s="44">
        <f t="shared" si="12"/>
        <v>0.30351966873706004</v>
      </c>
      <c r="U238" s="465">
        <v>96600</v>
      </c>
      <c r="V238" s="464">
        <v>2600</v>
      </c>
      <c r="W238" s="464">
        <v>1400</v>
      </c>
      <c r="X238" s="464">
        <v>400</v>
      </c>
      <c r="Y238" s="464">
        <v>100</v>
      </c>
    </row>
    <row r="239" spans="1:25">
      <c r="A239" s="462" t="s">
        <v>443</v>
      </c>
      <c r="B239" s="462" t="s">
        <v>448</v>
      </c>
      <c r="C239" s="462">
        <v>2005</v>
      </c>
      <c r="D239" s="462">
        <v>0.9</v>
      </c>
      <c r="E239" s="462">
        <v>0.7</v>
      </c>
      <c r="F239" s="462">
        <v>0</v>
      </c>
      <c r="G239" s="462">
        <v>0.1</v>
      </c>
      <c r="H239" s="462">
        <v>0</v>
      </c>
      <c r="K239" s="44">
        <f t="shared" si="9"/>
        <v>4.9682926829268297</v>
      </c>
      <c r="L239" s="462">
        <v>0.6</v>
      </c>
      <c r="M239" s="462">
        <v>0</v>
      </c>
      <c r="N239" s="462">
        <v>0.1</v>
      </c>
      <c r="O239" s="462">
        <v>0</v>
      </c>
      <c r="P239" s="44">
        <f t="shared" si="10"/>
        <v>2.7439024390243905</v>
      </c>
      <c r="Q239" s="44">
        <f t="shared" si="11"/>
        <v>1.4227642276422763</v>
      </c>
      <c r="R239" s="44">
        <f t="shared" si="12"/>
        <v>0.20162601626016263</v>
      </c>
      <c r="U239" s="465">
        <v>98400</v>
      </c>
      <c r="V239" s="464">
        <v>2700</v>
      </c>
      <c r="W239" s="464">
        <v>1400</v>
      </c>
      <c r="X239" s="464">
        <v>300</v>
      </c>
      <c r="Y239" s="464">
        <v>100</v>
      </c>
    </row>
    <row r="240" spans="1:25">
      <c r="A240" s="462" t="s">
        <v>443</v>
      </c>
      <c r="B240" s="462" t="s">
        <v>448</v>
      </c>
      <c r="C240" s="462">
        <v>2006</v>
      </c>
      <c r="D240" s="462">
        <v>0.9</v>
      </c>
      <c r="E240" s="462">
        <v>0.7</v>
      </c>
      <c r="F240" s="462">
        <v>0</v>
      </c>
      <c r="G240" s="462">
        <v>0.1</v>
      </c>
      <c r="H240" s="462">
        <v>0.1</v>
      </c>
      <c r="K240" s="44">
        <f t="shared" si="9"/>
        <v>5.5047047047047055</v>
      </c>
      <c r="L240" s="462">
        <v>0.6</v>
      </c>
      <c r="M240" s="462">
        <v>0</v>
      </c>
      <c r="N240" s="462">
        <v>0.1</v>
      </c>
      <c r="O240" s="462">
        <v>0.1</v>
      </c>
      <c r="P240" s="44">
        <f t="shared" si="10"/>
        <v>2.9029029029029032</v>
      </c>
      <c r="Q240" s="44">
        <f t="shared" si="11"/>
        <v>1.7017017017017018</v>
      </c>
      <c r="R240" s="44">
        <f t="shared" si="12"/>
        <v>0.30010010010010013</v>
      </c>
      <c r="U240" s="465">
        <v>99900</v>
      </c>
      <c r="V240" s="464">
        <v>2900</v>
      </c>
      <c r="W240" s="464">
        <v>1700</v>
      </c>
      <c r="X240" s="464">
        <v>300</v>
      </c>
      <c r="Y240" s="464">
        <v>100</v>
      </c>
    </row>
    <row r="241" spans="1:25">
      <c r="A241" s="462" t="s">
        <v>443</v>
      </c>
      <c r="B241" s="462" t="s">
        <v>448</v>
      </c>
      <c r="C241" s="462">
        <v>2007</v>
      </c>
      <c r="D241" s="462">
        <v>1</v>
      </c>
      <c r="E241" s="462">
        <v>0.7</v>
      </c>
      <c r="F241" s="462">
        <v>0</v>
      </c>
      <c r="G241" s="462">
        <v>0.1</v>
      </c>
      <c r="H241" s="462">
        <v>0.1</v>
      </c>
      <c r="K241" s="44">
        <f t="shared" si="9"/>
        <v>5.5992164544564158</v>
      </c>
      <c r="L241" s="462">
        <v>0.6</v>
      </c>
      <c r="M241" s="462">
        <v>0</v>
      </c>
      <c r="N241" s="462">
        <v>0.1</v>
      </c>
      <c r="O241" s="462">
        <v>0.1</v>
      </c>
      <c r="P241" s="44">
        <f t="shared" si="10"/>
        <v>2.9382957884427032</v>
      </c>
      <c r="Q241" s="44">
        <f t="shared" si="11"/>
        <v>1.762977473065622</v>
      </c>
      <c r="R241" s="44">
        <f t="shared" si="12"/>
        <v>0.29794319294809013</v>
      </c>
      <c r="U241" s="465">
        <v>102100</v>
      </c>
      <c r="V241" s="464">
        <v>3000</v>
      </c>
      <c r="W241" s="464">
        <v>1800</v>
      </c>
      <c r="X241" s="464">
        <v>300</v>
      </c>
      <c r="Y241" s="464">
        <v>100</v>
      </c>
    </row>
    <row r="242" spans="1:25">
      <c r="A242" s="462" t="s">
        <v>443</v>
      </c>
      <c r="B242" s="462" t="s">
        <v>448</v>
      </c>
      <c r="C242" s="462">
        <v>2008</v>
      </c>
      <c r="D242" s="462">
        <v>0.9</v>
      </c>
      <c r="E242" s="462">
        <v>0.7</v>
      </c>
      <c r="F242" s="462">
        <v>0</v>
      </c>
      <c r="G242" s="462">
        <v>0.1</v>
      </c>
      <c r="H242" s="462">
        <v>0.1</v>
      </c>
      <c r="K242" s="44">
        <f t="shared" si="9"/>
        <v>5.9251256281407034</v>
      </c>
      <c r="L242" s="462">
        <v>0.7</v>
      </c>
      <c r="M242" s="462">
        <v>0</v>
      </c>
      <c r="N242" s="462">
        <v>0.1</v>
      </c>
      <c r="O242" s="462">
        <v>0.1</v>
      </c>
      <c r="P242" s="44">
        <f t="shared" si="10"/>
        <v>3.1155778894472363</v>
      </c>
      <c r="Q242" s="44">
        <f t="shared" si="11"/>
        <v>1.8090452261306531</v>
      </c>
      <c r="R242" s="44">
        <f t="shared" si="12"/>
        <v>0.30050251256281407</v>
      </c>
      <c r="U242" s="465">
        <v>99500</v>
      </c>
      <c r="V242" s="464">
        <v>3100</v>
      </c>
      <c r="W242" s="464">
        <v>1800</v>
      </c>
      <c r="X242" s="464">
        <v>400</v>
      </c>
      <c r="Y242" s="464">
        <v>100</v>
      </c>
    </row>
    <row r="243" spans="1:25">
      <c r="A243" s="462" t="s">
        <v>443</v>
      </c>
      <c r="B243" s="462" t="s">
        <v>448</v>
      </c>
      <c r="C243" s="462">
        <v>2009</v>
      </c>
      <c r="D243" s="462">
        <v>1.1000000000000001</v>
      </c>
      <c r="E243" s="462">
        <v>0.9</v>
      </c>
      <c r="F243" s="462">
        <v>0</v>
      </c>
      <c r="G243" s="462">
        <v>0.1</v>
      </c>
      <c r="H243" s="462">
        <v>0.1</v>
      </c>
      <c r="K243" s="44">
        <f t="shared" si="9"/>
        <v>6.8351407716371222</v>
      </c>
      <c r="L243" s="462">
        <v>0.8</v>
      </c>
      <c r="M243" s="462">
        <v>0.1</v>
      </c>
      <c r="N243" s="462">
        <v>0.1</v>
      </c>
      <c r="O243" s="462">
        <v>0.1</v>
      </c>
      <c r="P243" s="44">
        <f t="shared" si="10"/>
        <v>3.5453597497393115</v>
      </c>
      <c r="Q243" s="44">
        <f t="shared" si="11"/>
        <v>2.0855057351407713</v>
      </c>
      <c r="R243" s="44">
        <f t="shared" si="12"/>
        <v>0.40427528675703861</v>
      </c>
      <c r="U243" s="465">
        <v>95900</v>
      </c>
      <c r="V243" s="464">
        <v>3400</v>
      </c>
      <c r="W243" s="464">
        <v>2000</v>
      </c>
      <c r="X243" s="464">
        <v>1000</v>
      </c>
      <c r="Y243" s="464">
        <v>100</v>
      </c>
    </row>
    <row r="244" spans="1:25">
      <c r="A244" s="462" t="s">
        <v>443</v>
      </c>
      <c r="B244" s="462" t="s">
        <v>448</v>
      </c>
      <c r="C244" s="462">
        <v>2010</v>
      </c>
      <c r="D244" s="462">
        <v>1.2</v>
      </c>
      <c r="E244" s="462">
        <v>0.9</v>
      </c>
      <c r="F244" s="462">
        <v>0.1</v>
      </c>
      <c r="G244" s="462">
        <v>0.1</v>
      </c>
      <c r="H244" s="462">
        <v>0.1</v>
      </c>
      <c r="K244" s="44">
        <f t="shared" si="9"/>
        <v>7.1999999999999993</v>
      </c>
      <c r="L244" s="462">
        <v>0.9</v>
      </c>
      <c r="M244" s="462">
        <v>0.1</v>
      </c>
      <c r="N244" s="462">
        <v>0.1</v>
      </c>
      <c r="O244" s="462">
        <v>0.1</v>
      </c>
      <c r="P244" s="44">
        <f t="shared" si="10"/>
        <v>3.6842105263157889</v>
      </c>
      <c r="Q244" s="44">
        <f t="shared" si="11"/>
        <v>2.2105263157894735</v>
      </c>
      <c r="R244" s="44">
        <f t="shared" si="12"/>
        <v>0.40526315789473688</v>
      </c>
      <c r="U244" s="465">
        <v>95000</v>
      </c>
      <c r="V244" s="464">
        <v>3500</v>
      </c>
      <c r="W244" s="464">
        <v>2100</v>
      </c>
      <c r="X244" s="464">
        <v>1000</v>
      </c>
      <c r="Y244" s="464">
        <v>100</v>
      </c>
    </row>
    <row r="245" spans="1:25">
      <c r="A245" s="462" t="s">
        <v>443</v>
      </c>
      <c r="B245" s="462" t="s">
        <v>448</v>
      </c>
      <c r="C245" s="462">
        <v>2011</v>
      </c>
      <c r="D245" s="462">
        <v>1.1000000000000001</v>
      </c>
      <c r="E245" s="462">
        <v>0.8</v>
      </c>
      <c r="F245" s="462">
        <v>0.1</v>
      </c>
      <c r="G245" s="462">
        <v>0.1</v>
      </c>
      <c r="H245" s="462">
        <v>0.1</v>
      </c>
      <c r="K245" s="44">
        <f t="shared" si="9"/>
        <v>6.9638743455497378</v>
      </c>
      <c r="L245" s="462">
        <v>0.8</v>
      </c>
      <c r="M245" s="462">
        <v>0.1</v>
      </c>
      <c r="N245" s="462">
        <v>0.1</v>
      </c>
      <c r="O245" s="462">
        <v>0.1</v>
      </c>
      <c r="P245" s="44">
        <f t="shared" si="10"/>
        <v>3.5602094240837698</v>
      </c>
      <c r="Q245" s="44">
        <f t="shared" si="11"/>
        <v>2.1989528795811517</v>
      </c>
      <c r="R245" s="44">
        <f t="shared" si="12"/>
        <v>0.4047120418848168</v>
      </c>
      <c r="U245" s="465">
        <v>95500</v>
      </c>
      <c r="V245" s="464">
        <v>3400</v>
      </c>
      <c r="W245" s="464">
        <v>2100</v>
      </c>
      <c r="X245" s="464">
        <v>700</v>
      </c>
      <c r="Y245" s="464">
        <v>100</v>
      </c>
    </row>
    <row r="246" spans="1:25">
      <c r="A246" s="462" t="s">
        <v>443</v>
      </c>
      <c r="B246" s="462" t="s">
        <v>448</v>
      </c>
      <c r="C246" s="462">
        <v>2012</v>
      </c>
      <c r="D246" s="462">
        <v>1.1000000000000001</v>
      </c>
      <c r="E246" s="462">
        <v>0.8</v>
      </c>
      <c r="F246" s="462">
        <v>0.1</v>
      </c>
      <c r="G246" s="462">
        <v>0.1</v>
      </c>
      <c r="H246" s="462">
        <v>0.1</v>
      </c>
      <c r="K246" s="44">
        <f t="shared" si="9"/>
        <v>7.1606060606060611</v>
      </c>
      <c r="L246" s="462">
        <v>0.8</v>
      </c>
      <c r="M246" s="462">
        <v>0.1</v>
      </c>
      <c r="N246" s="462">
        <v>0.1</v>
      </c>
      <c r="O246" s="462">
        <v>0.1</v>
      </c>
      <c r="P246" s="44">
        <f t="shared" si="10"/>
        <v>3.761755485893417</v>
      </c>
      <c r="Q246" s="44">
        <f t="shared" si="11"/>
        <v>2.1943573667711598</v>
      </c>
      <c r="R246" s="44">
        <f t="shared" si="12"/>
        <v>0.40449320794148386</v>
      </c>
      <c r="U246" s="465">
        <v>95700</v>
      </c>
      <c r="V246" s="464">
        <v>3600</v>
      </c>
      <c r="W246" s="464">
        <v>2100</v>
      </c>
      <c r="X246" s="464">
        <v>600</v>
      </c>
      <c r="Y246" s="464">
        <v>100</v>
      </c>
    </row>
    <row r="247" spans="1:25">
      <c r="A247" s="462" t="s">
        <v>443</v>
      </c>
      <c r="B247" s="462" t="s">
        <v>448</v>
      </c>
      <c r="C247" s="462">
        <v>2013</v>
      </c>
      <c r="D247" s="462">
        <v>1.1000000000000001</v>
      </c>
      <c r="E247" s="462">
        <v>0.8</v>
      </c>
      <c r="F247" s="462">
        <v>0.1</v>
      </c>
      <c r="G247" s="462">
        <v>0.1</v>
      </c>
      <c r="H247" s="462">
        <v>0.1</v>
      </c>
      <c r="K247" s="44">
        <f t="shared" si="9"/>
        <v>7.3308478038815119</v>
      </c>
      <c r="L247" s="462">
        <v>0.8</v>
      </c>
      <c r="M247" s="462">
        <v>0.1</v>
      </c>
      <c r="N247" s="462">
        <v>0.1</v>
      </c>
      <c r="O247" s="462">
        <v>0.1</v>
      </c>
      <c r="P247" s="44">
        <f t="shared" si="10"/>
        <v>3.8815117466802862</v>
      </c>
      <c r="Q247" s="44">
        <f t="shared" si="11"/>
        <v>2.2471910112359552</v>
      </c>
      <c r="R247" s="44">
        <f t="shared" si="12"/>
        <v>0.40214504596527073</v>
      </c>
      <c r="U247" s="465">
        <v>97900</v>
      </c>
      <c r="V247" s="464">
        <v>3800</v>
      </c>
      <c r="W247" s="464">
        <v>2200</v>
      </c>
      <c r="X247" s="464">
        <v>500</v>
      </c>
      <c r="Y247" s="464">
        <v>100</v>
      </c>
    </row>
    <row r="248" spans="1:25">
      <c r="A248" s="462" t="s">
        <v>443</v>
      </c>
      <c r="B248" s="462" t="s">
        <v>448</v>
      </c>
      <c r="C248" s="462">
        <v>2014</v>
      </c>
      <c r="D248" s="462">
        <v>1.4</v>
      </c>
      <c r="E248" s="462">
        <v>1.1000000000000001</v>
      </c>
      <c r="F248" s="462">
        <v>0.1</v>
      </c>
      <c r="G248" s="462">
        <v>0.1</v>
      </c>
      <c r="H248" s="462">
        <v>0.1</v>
      </c>
      <c r="K248" s="44">
        <f t="shared" si="9"/>
        <v>8.0132264529058119</v>
      </c>
      <c r="L248" s="462">
        <v>1.1000000000000001</v>
      </c>
      <c r="M248" s="462">
        <v>0.1</v>
      </c>
      <c r="N248" s="462">
        <v>0.1</v>
      </c>
      <c r="O248" s="462">
        <v>0.1</v>
      </c>
      <c r="P248" s="44">
        <f t="shared" si="10"/>
        <v>4.1082164328657313</v>
      </c>
      <c r="Q248" s="44">
        <f t="shared" si="11"/>
        <v>2.4048096192384771</v>
      </c>
      <c r="R248" s="44">
        <f t="shared" si="12"/>
        <v>0.40020040080160324</v>
      </c>
      <c r="U248" s="465">
        <v>99800</v>
      </c>
      <c r="V248" s="464">
        <v>4100</v>
      </c>
      <c r="W248" s="464">
        <v>2400</v>
      </c>
      <c r="X248" s="464">
        <v>300</v>
      </c>
      <c r="Y248" s="464">
        <v>100</v>
      </c>
    </row>
    <row r="249" spans="1:25">
      <c r="A249" s="462" t="s">
        <v>443</v>
      </c>
      <c r="B249" s="462" t="s">
        <v>448</v>
      </c>
      <c r="C249" s="462">
        <v>2015</v>
      </c>
      <c r="D249" s="462">
        <v>1.5</v>
      </c>
      <c r="E249" s="462">
        <v>1.1000000000000001</v>
      </c>
      <c r="F249" s="462">
        <v>0.1</v>
      </c>
      <c r="G249" s="462">
        <v>0.1</v>
      </c>
      <c r="H249" s="462">
        <v>0.1</v>
      </c>
      <c r="K249" s="44">
        <f t="shared" si="9"/>
        <v>7.8891577928363992</v>
      </c>
      <c r="L249" s="462">
        <v>1.2</v>
      </c>
      <c r="M249" s="462">
        <v>0.1</v>
      </c>
      <c r="N249" s="462">
        <v>0.1</v>
      </c>
      <c r="O249" s="462">
        <v>0.1</v>
      </c>
      <c r="P249" s="44">
        <f t="shared" si="10"/>
        <v>3.9690222652468541</v>
      </c>
      <c r="Q249" s="44">
        <f t="shared" si="11"/>
        <v>2.3233301064859635</v>
      </c>
      <c r="R249" s="44">
        <f t="shared" si="12"/>
        <v>0.39680542110358186</v>
      </c>
      <c r="U249" s="465">
        <v>103300</v>
      </c>
      <c r="V249" s="464">
        <v>4100</v>
      </c>
      <c r="W249" s="464">
        <v>2400</v>
      </c>
      <c r="X249" s="464">
        <v>300</v>
      </c>
      <c r="Y249" s="464">
        <v>100</v>
      </c>
    </row>
    <row r="250" spans="1:25">
      <c r="A250" s="462" t="s">
        <v>443</v>
      </c>
      <c r="B250" s="462" t="s">
        <v>448</v>
      </c>
      <c r="C250" s="462">
        <v>2016</v>
      </c>
      <c r="D250" s="462">
        <v>1.5</v>
      </c>
      <c r="E250" s="462">
        <v>1.2</v>
      </c>
      <c r="F250" s="462">
        <v>0.1</v>
      </c>
      <c r="G250" s="462">
        <v>0.1</v>
      </c>
      <c r="H250" s="462">
        <v>0.2</v>
      </c>
      <c r="K250" s="44">
        <f t="shared" si="9"/>
        <v>8.0768115942028977</v>
      </c>
      <c r="L250" s="462">
        <v>1.4</v>
      </c>
      <c r="M250" s="462">
        <v>0.1</v>
      </c>
      <c r="N250" s="462">
        <v>0.1</v>
      </c>
      <c r="O250" s="462">
        <v>0.1</v>
      </c>
      <c r="P250" s="44">
        <f t="shared" si="10"/>
        <v>3.9613526570048312</v>
      </c>
      <c r="Q250" s="44">
        <f t="shared" si="11"/>
        <v>2.318840579710145</v>
      </c>
      <c r="R250" s="44">
        <f t="shared" si="12"/>
        <v>0.39661835748792273</v>
      </c>
      <c r="U250" s="465">
        <v>103500</v>
      </c>
      <c r="V250" s="464">
        <v>4100</v>
      </c>
      <c r="W250" s="464">
        <v>2400</v>
      </c>
      <c r="X250" s="464">
        <v>200</v>
      </c>
      <c r="Y250" s="464">
        <v>100</v>
      </c>
    </row>
    <row r="251" spans="1:25">
      <c r="A251" s="462" t="s">
        <v>443</v>
      </c>
      <c r="B251" s="462" t="s">
        <v>449</v>
      </c>
      <c r="C251" s="462">
        <v>1979</v>
      </c>
      <c r="D251" s="462">
        <v>0.1</v>
      </c>
      <c r="E251" s="462">
        <v>0</v>
      </c>
      <c r="F251" s="462">
        <v>0</v>
      </c>
      <c r="G251" s="462">
        <v>0</v>
      </c>
      <c r="H251" s="462">
        <v>0</v>
      </c>
      <c r="K251" s="44">
        <f t="shared" si="9"/>
        <v>1.4452856159669647</v>
      </c>
      <c r="L251" s="462">
        <v>0</v>
      </c>
      <c r="M251" s="462">
        <v>0</v>
      </c>
      <c r="N251" s="462">
        <v>0</v>
      </c>
      <c r="O251" s="462">
        <v>0</v>
      </c>
      <c r="P251" s="44">
        <f t="shared" si="10"/>
        <v>1.1011699931176875</v>
      </c>
      <c r="Q251" s="44">
        <f t="shared" si="11"/>
        <v>0.27529249827942187</v>
      </c>
      <c r="R251" s="44">
        <f t="shared" si="12"/>
        <v>6.8823124569855468E-2</v>
      </c>
      <c r="U251" s="465">
        <v>145300</v>
      </c>
      <c r="V251" s="464">
        <v>1600</v>
      </c>
      <c r="W251" s="464">
        <v>400</v>
      </c>
      <c r="X251" s="464">
        <v>200</v>
      </c>
      <c r="Y251" s="464">
        <v>100</v>
      </c>
    </row>
    <row r="252" spans="1:25">
      <c r="A252" s="462" t="s">
        <v>443</v>
      </c>
      <c r="B252" s="462" t="s">
        <v>449</v>
      </c>
      <c r="C252" s="462">
        <v>1980</v>
      </c>
      <c r="D252" s="462">
        <v>0.1</v>
      </c>
      <c r="E252" s="462">
        <v>0</v>
      </c>
      <c r="F252" s="462">
        <v>0</v>
      </c>
      <c r="G252" s="462">
        <v>0</v>
      </c>
      <c r="H252" s="462">
        <v>0</v>
      </c>
      <c r="K252" s="44">
        <f t="shared" si="9"/>
        <v>1.630049610205528</v>
      </c>
      <c r="L252" s="462">
        <v>0</v>
      </c>
      <c r="M252" s="462">
        <v>0</v>
      </c>
      <c r="N252" s="462">
        <v>0</v>
      </c>
      <c r="O252" s="462">
        <v>0</v>
      </c>
      <c r="P252" s="44">
        <f t="shared" si="10"/>
        <v>1.2048192771084338</v>
      </c>
      <c r="Q252" s="44">
        <f t="shared" si="11"/>
        <v>0.3543586109142452</v>
      </c>
      <c r="R252" s="44">
        <f t="shared" si="12"/>
        <v>7.087172218284904E-2</v>
      </c>
      <c r="U252" s="465">
        <v>141100</v>
      </c>
      <c r="V252" s="464">
        <v>1700</v>
      </c>
      <c r="W252" s="464">
        <v>500</v>
      </c>
      <c r="X252" s="464">
        <v>300</v>
      </c>
      <c r="Y252" s="464">
        <v>100</v>
      </c>
    </row>
    <row r="253" spans="1:25">
      <c r="A253" s="462" t="s">
        <v>443</v>
      </c>
      <c r="B253" s="462" t="s">
        <v>449</v>
      </c>
      <c r="C253" s="462">
        <v>1981</v>
      </c>
      <c r="D253" s="462">
        <v>0.1</v>
      </c>
      <c r="E253" s="462">
        <v>0</v>
      </c>
      <c r="F253" s="462">
        <v>0</v>
      </c>
      <c r="G253" s="462">
        <v>0</v>
      </c>
      <c r="H253" s="462">
        <v>0</v>
      </c>
      <c r="K253" s="44">
        <f t="shared" si="9"/>
        <v>1.8492176386913228</v>
      </c>
      <c r="L253" s="462">
        <v>0</v>
      </c>
      <c r="M253" s="462">
        <v>0</v>
      </c>
      <c r="N253" s="462">
        <v>0</v>
      </c>
      <c r="O253" s="462">
        <v>0</v>
      </c>
      <c r="P253" s="44">
        <f t="shared" si="10"/>
        <v>1.3513513513513513</v>
      </c>
      <c r="Q253" s="44">
        <f t="shared" si="11"/>
        <v>0.42674253200568996</v>
      </c>
      <c r="R253" s="44">
        <f t="shared" si="12"/>
        <v>7.1123755334281655E-2</v>
      </c>
      <c r="U253" s="465">
        <v>140600</v>
      </c>
      <c r="V253" s="464">
        <v>1900</v>
      </c>
      <c r="W253" s="464">
        <v>600</v>
      </c>
      <c r="X253" s="464">
        <v>200</v>
      </c>
      <c r="Y253" s="464">
        <v>100</v>
      </c>
    </row>
    <row r="254" spans="1:25">
      <c r="A254" s="462" t="s">
        <v>443</v>
      </c>
      <c r="B254" s="462" t="s">
        <v>449</v>
      </c>
      <c r="C254" s="462">
        <v>1982</v>
      </c>
      <c r="D254" s="462">
        <v>0.1</v>
      </c>
      <c r="E254" s="462">
        <v>0</v>
      </c>
      <c r="F254" s="462">
        <v>0</v>
      </c>
      <c r="G254" s="462">
        <v>0</v>
      </c>
      <c r="H254" s="462">
        <v>0</v>
      </c>
      <c r="K254" s="44">
        <f t="shared" ref="K254:K317" si="13">L254+P254+Q254+R254</f>
        <v>1.9815994338287333</v>
      </c>
      <c r="L254" s="462">
        <v>0</v>
      </c>
      <c r="M254" s="462">
        <v>0</v>
      </c>
      <c r="N254" s="462">
        <v>0</v>
      </c>
      <c r="O254" s="462">
        <v>0</v>
      </c>
      <c r="P254" s="44">
        <f t="shared" ref="P254:P317" si="14">V254/$U254*100</f>
        <v>1.48619957537155</v>
      </c>
      <c r="Q254" s="44">
        <f t="shared" ref="Q254:Q317" si="15">W254/$U254*100</f>
        <v>0.42462845010615713</v>
      </c>
      <c r="R254" s="44">
        <f t="shared" ref="R254:R317" si="16">M254+N254+O254+Y254/$U254*100</f>
        <v>7.0771408351026188E-2</v>
      </c>
      <c r="U254" s="465">
        <v>141300</v>
      </c>
      <c r="V254" s="464">
        <v>2100</v>
      </c>
      <c r="W254" s="464">
        <v>600</v>
      </c>
      <c r="X254" s="464">
        <v>300</v>
      </c>
      <c r="Y254" s="464">
        <v>100</v>
      </c>
    </row>
    <row r="255" spans="1:25">
      <c r="A255" s="462" t="s">
        <v>443</v>
      </c>
      <c r="B255" s="462" t="s">
        <v>449</v>
      </c>
      <c r="C255" s="462">
        <v>1983</v>
      </c>
      <c r="D255" s="462">
        <v>0.1</v>
      </c>
      <c r="E255" s="462">
        <v>0</v>
      </c>
      <c r="F255" s="462">
        <v>0</v>
      </c>
      <c r="G255" s="462">
        <v>0</v>
      </c>
      <c r="H255" s="462">
        <v>0</v>
      </c>
      <c r="K255" s="44">
        <f t="shared" si="13"/>
        <v>1.9060585432266846</v>
      </c>
      <c r="L255" s="462">
        <v>0</v>
      </c>
      <c r="M255" s="462">
        <v>0</v>
      </c>
      <c r="N255" s="462">
        <v>0</v>
      </c>
      <c r="O255" s="462">
        <v>0</v>
      </c>
      <c r="P255" s="44">
        <f t="shared" si="14"/>
        <v>1.3614703880190604</v>
      </c>
      <c r="Q255" s="44">
        <f t="shared" si="15"/>
        <v>0.47651463580667119</v>
      </c>
      <c r="R255" s="44">
        <f t="shared" si="16"/>
        <v>6.807351940095302E-2</v>
      </c>
      <c r="U255" s="465">
        <v>146900</v>
      </c>
      <c r="V255" s="464">
        <v>2000</v>
      </c>
      <c r="W255" s="464">
        <v>700</v>
      </c>
      <c r="X255" s="464">
        <v>200</v>
      </c>
      <c r="Y255" s="464">
        <v>100</v>
      </c>
    </row>
    <row r="256" spans="1:25">
      <c r="A256" s="462" t="s">
        <v>443</v>
      </c>
      <c r="B256" s="462" t="s">
        <v>449</v>
      </c>
      <c r="C256" s="462">
        <v>1984</v>
      </c>
      <c r="D256" s="462">
        <v>0.1</v>
      </c>
      <c r="E256" s="462">
        <v>0</v>
      </c>
      <c r="F256" s="462">
        <v>0</v>
      </c>
      <c r="G256" s="462">
        <v>0</v>
      </c>
      <c r="H256" s="462">
        <v>0</v>
      </c>
      <c r="K256" s="44">
        <f t="shared" si="13"/>
        <v>1.9484600879949718</v>
      </c>
      <c r="L256" s="462">
        <v>0</v>
      </c>
      <c r="M256" s="462">
        <v>0</v>
      </c>
      <c r="N256" s="462">
        <v>0</v>
      </c>
      <c r="O256" s="462">
        <v>0</v>
      </c>
      <c r="P256" s="44">
        <f t="shared" si="14"/>
        <v>1.4456316781898177</v>
      </c>
      <c r="Q256" s="44">
        <f t="shared" si="15"/>
        <v>0.43997485857950974</v>
      </c>
      <c r="R256" s="44">
        <f t="shared" si="16"/>
        <v>6.2853551225644247E-2</v>
      </c>
      <c r="U256" s="465">
        <v>159100</v>
      </c>
      <c r="V256" s="464">
        <v>2300</v>
      </c>
      <c r="W256" s="464">
        <v>700</v>
      </c>
      <c r="X256" s="464">
        <v>200</v>
      </c>
      <c r="Y256" s="464">
        <v>100</v>
      </c>
    </row>
    <row r="257" spans="1:25">
      <c r="A257" s="462" t="s">
        <v>443</v>
      </c>
      <c r="B257" s="462" t="s">
        <v>449</v>
      </c>
      <c r="C257" s="462">
        <v>1985</v>
      </c>
      <c r="D257" s="462">
        <v>0.1</v>
      </c>
      <c r="E257" s="462">
        <v>0</v>
      </c>
      <c r="F257" s="462">
        <v>0</v>
      </c>
      <c r="G257" s="462">
        <v>0</v>
      </c>
      <c r="H257" s="462">
        <v>0</v>
      </c>
      <c r="K257" s="44">
        <f t="shared" si="13"/>
        <v>1.9266625233064016</v>
      </c>
      <c r="L257" s="462">
        <v>0</v>
      </c>
      <c r="M257" s="462">
        <v>0</v>
      </c>
      <c r="N257" s="462">
        <v>0</v>
      </c>
      <c r="O257" s="462">
        <v>0</v>
      </c>
      <c r="P257" s="44">
        <f t="shared" si="14"/>
        <v>1.3673088875077688</v>
      </c>
      <c r="Q257" s="44">
        <f t="shared" si="15"/>
        <v>0.49720323182100679</v>
      </c>
      <c r="R257" s="44">
        <f t="shared" si="16"/>
        <v>6.2150403977625848E-2</v>
      </c>
      <c r="U257" s="465">
        <v>160900</v>
      </c>
      <c r="V257" s="464">
        <v>2200</v>
      </c>
      <c r="W257" s="464">
        <v>800</v>
      </c>
      <c r="X257" s="464">
        <v>200</v>
      </c>
      <c r="Y257" s="464">
        <v>100</v>
      </c>
    </row>
    <row r="258" spans="1:25">
      <c r="A258" s="462" t="s">
        <v>443</v>
      </c>
      <c r="B258" s="462" t="s">
        <v>449</v>
      </c>
      <c r="C258" s="462">
        <v>1986</v>
      </c>
      <c r="D258" s="462">
        <v>0.1</v>
      </c>
      <c r="E258" s="462">
        <v>0</v>
      </c>
      <c r="F258" s="462">
        <v>0</v>
      </c>
      <c r="G258" s="462">
        <v>0</v>
      </c>
      <c r="H258" s="462">
        <v>0</v>
      </c>
      <c r="K258" s="44">
        <f t="shared" si="13"/>
        <v>1.6574585635359118</v>
      </c>
      <c r="L258" s="462">
        <v>0</v>
      </c>
      <c r="M258" s="462">
        <v>0</v>
      </c>
      <c r="N258" s="462">
        <v>0</v>
      </c>
      <c r="O258" s="462">
        <v>0</v>
      </c>
      <c r="P258" s="44">
        <f t="shared" si="14"/>
        <v>1.1602209944751383</v>
      </c>
      <c r="Q258" s="44">
        <f t="shared" si="15"/>
        <v>0.44198895027624313</v>
      </c>
      <c r="R258" s="44">
        <f t="shared" si="16"/>
        <v>5.5248618784530391E-2</v>
      </c>
      <c r="U258" s="465">
        <v>181000</v>
      </c>
      <c r="V258" s="464">
        <v>2100</v>
      </c>
      <c r="W258" s="464">
        <v>800</v>
      </c>
      <c r="X258" s="464">
        <v>200</v>
      </c>
      <c r="Y258" s="464">
        <v>100</v>
      </c>
    </row>
    <row r="259" spans="1:25">
      <c r="A259" s="462" t="s">
        <v>443</v>
      </c>
      <c r="B259" s="462" t="s">
        <v>449</v>
      </c>
      <c r="C259" s="462">
        <v>1987</v>
      </c>
      <c r="D259" s="462">
        <v>0.1</v>
      </c>
      <c r="E259" s="462">
        <v>0</v>
      </c>
      <c r="F259" s="462">
        <v>0</v>
      </c>
      <c r="G259" s="462">
        <v>0</v>
      </c>
      <c r="H259" s="462">
        <v>0</v>
      </c>
      <c r="K259" s="44">
        <f t="shared" si="13"/>
        <v>1.579871269748391</v>
      </c>
      <c r="L259" s="462">
        <v>0</v>
      </c>
      <c r="M259" s="462">
        <v>0</v>
      </c>
      <c r="N259" s="462">
        <v>0</v>
      </c>
      <c r="O259" s="462">
        <v>0</v>
      </c>
      <c r="P259" s="44">
        <f t="shared" si="14"/>
        <v>1.1117612638970158</v>
      </c>
      <c r="Q259" s="44">
        <f t="shared" si="15"/>
        <v>0.40959625511995323</v>
      </c>
      <c r="R259" s="44">
        <f t="shared" si="16"/>
        <v>5.8513750731421885E-2</v>
      </c>
      <c r="U259" s="465">
        <v>170900</v>
      </c>
      <c r="V259" s="464">
        <v>1900</v>
      </c>
      <c r="W259" s="464">
        <v>700</v>
      </c>
      <c r="X259" s="464">
        <v>200</v>
      </c>
      <c r="Y259" s="464">
        <v>100</v>
      </c>
    </row>
    <row r="260" spans="1:25">
      <c r="A260" s="462" t="s">
        <v>443</v>
      </c>
      <c r="B260" s="462" t="s">
        <v>449</v>
      </c>
      <c r="C260" s="462">
        <v>1988</v>
      </c>
      <c r="D260" s="462">
        <v>0.1</v>
      </c>
      <c r="E260" s="462">
        <v>0</v>
      </c>
      <c r="F260" s="462">
        <v>0</v>
      </c>
      <c r="G260" s="462">
        <v>0</v>
      </c>
      <c r="H260" s="462">
        <v>0</v>
      </c>
      <c r="K260" s="44">
        <f t="shared" si="13"/>
        <v>1.4762165117550574</v>
      </c>
      <c r="L260" s="462">
        <v>0</v>
      </c>
      <c r="M260" s="462">
        <v>0</v>
      </c>
      <c r="N260" s="462">
        <v>0</v>
      </c>
      <c r="O260" s="462">
        <v>0</v>
      </c>
      <c r="P260" s="44">
        <f t="shared" si="14"/>
        <v>1.0388190267905959</v>
      </c>
      <c r="Q260" s="44">
        <f t="shared" si="15"/>
        <v>0.38272279934390374</v>
      </c>
      <c r="R260" s="44">
        <f t="shared" si="16"/>
        <v>5.4674685620557675E-2</v>
      </c>
      <c r="U260" s="465">
        <v>182900</v>
      </c>
      <c r="V260" s="464">
        <v>1900</v>
      </c>
      <c r="W260" s="464">
        <v>700</v>
      </c>
      <c r="X260" s="464">
        <v>200</v>
      </c>
      <c r="Y260" s="464">
        <v>100</v>
      </c>
    </row>
    <row r="261" spans="1:25">
      <c r="A261" s="462" t="s">
        <v>443</v>
      </c>
      <c r="B261" s="462" t="s">
        <v>449</v>
      </c>
      <c r="C261" s="462">
        <v>1989</v>
      </c>
      <c r="D261" s="462">
        <v>0.1</v>
      </c>
      <c r="E261" s="462">
        <v>0</v>
      </c>
      <c r="F261" s="462">
        <v>0</v>
      </c>
      <c r="G261" s="462">
        <v>0</v>
      </c>
      <c r="H261" s="462">
        <v>0</v>
      </c>
      <c r="K261" s="44">
        <f t="shared" si="13"/>
        <v>1.5342465753424657</v>
      </c>
      <c r="L261" s="462">
        <v>0</v>
      </c>
      <c r="M261" s="462">
        <v>0</v>
      </c>
      <c r="N261" s="462">
        <v>0</v>
      </c>
      <c r="O261" s="462">
        <v>0</v>
      </c>
      <c r="P261" s="44">
        <f t="shared" si="14"/>
        <v>1.095890410958904</v>
      </c>
      <c r="Q261" s="44">
        <f t="shared" si="15"/>
        <v>0.38356164383561642</v>
      </c>
      <c r="R261" s="44">
        <f t="shared" si="16"/>
        <v>5.4794520547945202E-2</v>
      </c>
      <c r="U261" s="465">
        <v>182500</v>
      </c>
      <c r="V261" s="464">
        <v>2000</v>
      </c>
      <c r="W261" s="464">
        <v>700</v>
      </c>
      <c r="X261" s="464">
        <v>200</v>
      </c>
      <c r="Y261" s="464">
        <v>100</v>
      </c>
    </row>
    <row r="262" spans="1:25">
      <c r="A262" s="462" t="s">
        <v>443</v>
      </c>
      <c r="B262" s="462" t="s">
        <v>449</v>
      </c>
      <c r="C262" s="462">
        <v>1990</v>
      </c>
      <c r="D262" s="462">
        <v>0.1</v>
      </c>
      <c r="E262" s="462">
        <v>0</v>
      </c>
      <c r="F262" s="462">
        <v>0</v>
      </c>
      <c r="G262" s="462">
        <v>0</v>
      </c>
      <c r="H262" s="462">
        <v>0</v>
      </c>
      <c r="K262" s="44">
        <f t="shared" si="13"/>
        <v>1.6301292861157952</v>
      </c>
      <c r="L262" s="462">
        <v>0</v>
      </c>
      <c r="M262" s="462">
        <v>0</v>
      </c>
      <c r="N262" s="462">
        <v>0</v>
      </c>
      <c r="O262" s="462">
        <v>0</v>
      </c>
      <c r="P262" s="44">
        <f t="shared" si="14"/>
        <v>1.1242270938729624</v>
      </c>
      <c r="Q262" s="44">
        <f t="shared" si="15"/>
        <v>0.44969083754918493</v>
      </c>
      <c r="R262" s="44">
        <f t="shared" si="16"/>
        <v>5.6211354693648116E-2</v>
      </c>
      <c r="U262" s="465">
        <v>177900</v>
      </c>
      <c r="V262" s="464">
        <v>2000</v>
      </c>
      <c r="W262" s="464">
        <v>800</v>
      </c>
      <c r="X262" s="464">
        <v>200</v>
      </c>
      <c r="Y262" s="464">
        <v>100</v>
      </c>
    </row>
    <row r="263" spans="1:25">
      <c r="A263" s="462" t="s">
        <v>443</v>
      </c>
      <c r="B263" s="462" t="s">
        <v>449</v>
      </c>
      <c r="C263" s="462">
        <v>1991</v>
      </c>
      <c r="D263" s="462">
        <v>0.1</v>
      </c>
      <c r="E263" s="462">
        <v>0.1</v>
      </c>
      <c r="F263" s="462">
        <v>0</v>
      </c>
      <c r="G263" s="462">
        <v>0</v>
      </c>
      <c r="H263" s="462">
        <v>0</v>
      </c>
      <c r="K263" s="44">
        <f t="shared" si="13"/>
        <v>1.6870273414776031</v>
      </c>
      <c r="L263" s="462">
        <v>0</v>
      </c>
      <c r="M263" s="462">
        <v>0</v>
      </c>
      <c r="N263" s="462">
        <v>0</v>
      </c>
      <c r="O263" s="462">
        <v>0</v>
      </c>
      <c r="P263" s="44">
        <f t="shared" si="14"/>
        <v>1.1634671320535195</v>
      </c>
      <c r="Q263" s="44">
        <f t="shared" si="15"/>
        <v>0.46538685282140779</v>
      </c>
      <c r="R263" s="44">
        <f t="shared" si="16"/>
        <v>5.8173356602675974E-2</v>
      </c>
      <c r="U263" s="465">
        <v>171900</v>
      </c>
      <c r="V263" s="464">
        <v>2000</v>
      </c>
      <c r="W263" s="464">
        <v>800</v>
      </c>
      <c r="X263" s="464">
        <v>300</v>
      </c>
      <c r="Y263" s="464">
        <v>100</v>
      </c>
    </row>
    <row r="264" spans="1:25">
      <c r="A264" s="462" t="s">
        <v>443</v>
      </c>
      <c r="B264" s="462" t="s">
        <v>449</v>
      </c>
      <c r="C264" s="462">
        <v>1992</v>
      </c>
      <c r="D264" s="462">
        <v>0.1</v>
      </c>
      <c r="E264" s="462">
        <v>0.1</v>
      </c>
      <c r="F264" s="462">
        <v>0</v>
      </c>
      <c r="G264" s="462">
        <v>0</v>
      </c>
      <c r="H264" s="462">
        <v>0</v>
      </c>
      <c r="K264" s="44">
        <f t="shared" si="13"/>
        <v>1.7210173281162662</v>
      </c>
      <c r="L264" s="462">
        <v>0.1</v>
      </c>
      <c r="M264" s="462">
        <v>0</v>
      </c>
      <c r="N264" s="462">
        <v>0</v>
      </c>
      <c r="O264" s="462">
        <v>0</v>
      </c>
      <c r="P264" s="44">
        <f t="shared" si="14"/>
        <v>1.1179429849077696</v>
      </c>
      <c r="Q264" s="44">
        <f t="shared" si="15"/>
        <v>0.4471771939631079</v>
      </c>
      <c r="R264" s="44">
        <f t="shared" si="16"/>
        <v>5.5897149245388487E-2</v>
      </c>
      <c r="U264" s="465">
        <v>178900</v>
      </c>
      <c r="V264" s="464">
        <v>2000</v>
      </c>
      <c r="W264" s="464">
        <v>800</v>
      </c>
      <c r="X264" s="464">
        <v>300</v>
      </c>
      <c r="Y264" s="464">
        <v>100</v>
      </c>
    </row>
    <row r="265" spans="1:25">
      <c r="A265" s="462" t="s">
        <v>443</v>
      </c>
      <c r="B265" s="462" t="s">
        <v>449</v>
      </c>
      <c r="C265" s="462">
        <v>1993</v>
      </c>
      <c r="D265" s="462">
        <v>0.1</v>
      </c>
      <c r="E265" s="462">
        <v>0.1</v>
      </c>
      <c r="F265" s="462">
        <v>0</v>
      </c>
      <c r="G265" s="462">
        <v>0</v>
      </c>
      <c r="H265" s="462">
        <v>0</v>
      </c>
      <c r="K265" s="44">
        <f t="shared" si="13"/>
        <v>1.8308766052484644</v>
      </c>
      <c r="L265" s="462">
        <v>0.1</v>
      </c>
      <c r="M265" s="462">
        <v>0</v>
      </c>
      <c r="N265" s="462">
        <v>0</v>
      </c>
      <c r="O265" s="462">
        <v>0</v>
      </c>
      <c r="P265" s="44">
        <f t="shared" si="14"/>
        <v>1.1725293132328307</v>
      </c>
      <c r="Q265" s="44">
        <f t="shared" si="15"/>
        <v>0.50251256281407031</v>
      </c>
      <c r="R265" s="44">
        <f t="shared" si="16"/>
        <v>5.5834729201563377E-2</v>
      </c>
      <c r="U265" s="465">
        <v>179100</v>
      </c>
      <c r="V265" s="464">
        <v>2100</v>
      </c>
      <c r="W265" s="464">
        <v>900</v>
      </c>
      <c r="X265" s="464">
        <v>300</v>
      </c>
      <c r="Y265" s="464">
        <v>100</v>
      </c>
    </row>
    <row r="266" spans="1:25">
      <c r="A266" s="462" t="s">
        <v>443</v>
      </c>
      <c r="B266" s="462" t="s">
        <v>449</v>
      </c>
      <c r="C266" s="462">
        <v>1994</v>
      </c>
      <c r="D266" s="462">
        <v>0.2</v>
      </c>
      <c r="E266" s="462">
        <v>0.1</v>
      </c>
      <c r="F266" s="462">
        <v>0</v>
      </c>
      <c r="G266" s="462">
        <v>0</v>
      </c>
      <c r="H266" s="462">
        <v>0</v>
      </c>
      <c r="K266" s="44">
        <f t="shared" si="13"/>
        <v>1.9042646254784037</v>
      </c>
      <c r="L266" s="462">
        <v>0.1</v>
      </c>
      <c r="M266" s="462">
        <v>0</v>
      </c>
      <c r="N266" s="462">
        <v>0</v>
      </c>
      <c r="O266" s="462">
        <v>0</v>
      </c>
      <c r="P266" s="44">
        <f t="shared" si="14"/>
        <v>1.2575177692728268</v>
      </c>
      <c r="Q266" s="44">
        <f t="shared" si="15"/>
        <v>0.49207217058501912</v>
      </c>
      <c r="R266" s="44">
        <f t="shared" si="16"/>
        <v>5.4674685620557675E-2</v>
      </c>
      <c r="U266" s="465">
        <v>182900</v>
      </c>
      <c r="V266" s="464">
        <v>2300</v>
      </c>
      <c r="W266" s="464">
        <v>900</v>
      </c>
      <c r="X266" s="464">
        <v>200</v>
      </c>
      <c r="Y266" s="464">
        <v>100</v>
      </c>
    </row>
    <row r="267" spans="1:25">
      <c r="A267" s="462" t="s">
        <v>443</v>
      </c>
      <c r="B267" s="462" t="s">
        <v>449</v>
      </c>
      <c r="C267" s="462">
        <v>1995</v>
      </c>
      <c r="D267" s="462">
        <v>0.2</v>
      </c>
      <c r="E267" s="462">
        <v>0.1</v>
      </c>
      <c r="F267" s="462">
        <v>0</v>
      </c>
      <c r="G267" s="462">
        <v>0</v>
      </c>
      <c r="H267" s="462">
        <v>0</v>
      </c>
      <c r="K267" s="44">
        <f t="shared" si="13"/>
        <v>1.8671517671517674</v>
      </c>
      <c r="L267" s="462">
        <v>0.1</v>
      </c>
      <c r="M267" s="462">
        <v>0</v>
      </c>
      <c r="N267" s="462">
        <v>0</v>
      </c>
      <c r="O267" s="462">
        <v>0</v>
      </c>
      <c r="P267" s="44">
        <f t="shared" si="14"/>
        <v>1.1434511434511436</v>
      </c>
      <c r="Q267" s="44">
        <f t="shared" si="15"/>
        <v>0.57172557172557181</v>
      </c>
      <c r="R267" s="44">
        <f t="shared" si="16"/>
        <v>5.1975051975051978E-2</v>
      </c>
      <c r="U267" s="465">
        <v>192400</v>
      </c>
      <c r="V267" s="464">
        <v>2200</v>
      </c>
      <c r="W267" s="464">
        <v>1100</v>
      </c>
      <c r="X267" s="464">
        <v>200</v>
      </c>
      <c r="Y267" s="464">
        <v>100</v>
      </c>
    </row>
    <row r="268" spans="1:25">
      <c r="A268" s="462" t="s">
        <v>443</v>
      </c>
      <c r="B268" s="462" t="s">
        <v>449</v>
      </c>
      <c r="C268" s="462">
        <v>1996</v>
      </c>
      <c r="D268" s="462">
        <v>0.1</v>
      </c>
      <c r="E268" s="462">
        <v>0.1</v>
      </c>
      <c r="F268" s="462">
        <v>0</v>
      </c>
      <c r="G268" s="462">
        <v>0</v>
      </c>
      <c r="H268" s="462">
        <v>0</v>
      </c>
      <c r="K268" s="44">
        <f t="shared" si="13"/>
        <v>1.9691588785046732</v>
      </c>
      <c r="L268" s="462">
        <v>0.1</v>
      </c>
      <c r="M268" s="462">
        <v>0</v>
      </c>
      <c r="N268" s="462">
        <v>0</v>
      </c>
      <c r="O268" s="462">
        <v>0</v>
      </c>
      <c r="P268" s="44">
        <f t="shared" si="14"/>
        <v>1.2297097884899164</v>
      </c>
      <c r="Q268" s="44">
        <f t="shared" si="15"/>
        <v>0.59026069847515983</v>
      </c>
      <c r="R268" s="44">
        <f t="shared" si="16"/>
        <v>4.918839153959665E-2</v>
      </c>
      <c r="U268" s="465">
        <v>203300</v>
      </c>
      <c r="V268" s="464">
        <v>2500</v>
      </c>
      <c r="W268" s="464">
        <v>1200</v>
      </c>
      <c r="X268" s="464">
        <v>200</v>
      </c>
      <c r="Y268" s="464">
        <v>100</v>
      </c>
    </row>
    <row r="269" spans="1:25">
      <c r="A269" s="462" t="s">
        <v>443</v>
      </c>
      <c r="B269" s="462" t="s">
        <v>449</v>
      </c>
      <c r="C269" s="462">
        <v>1997</v>
      </c>
      <c r="D269" s="462">
        <v>0.1</v>
      </c>
      <c r="E269" s="462">
        <v>0.1</v>
      </c>
      <c r="F269" s="462">
        <v>0</v>
      </c>
      <c r="G269" s="462">
        <v>0</v>
      </c>
      <c r="H269" s="462">
        <v>0</v>
      </c>
      <c r="K269" s="44">
        <f t="shared" si="13"/>
        <v>1.9013856812933028</v>
      </c>
      <c r="L269" s="462">
        <v>0.1</v>
      </c>
      <c r="M269" s="462">
        <v>0</v>
      </c>
      <c r="N269" s="462">
        <v>0</v>
      </c>
      <c r="O269" s="462">
        <v>0</v>
      </c>
      <c r="P269" s="44">
        <f t="shared" si="14"/>
        <v>1.1547344110854503</v>
      </c>
      <c r="Q269" s="44">
        <f t="shared" si="15"/>
        <v>0.60046189376443426</v>
      </c>
      <c r="R269" s="44">
        <f t="shared" si="16"/>
        <v>4.6189376443418015E-2</v>
      </c>
      <c r="U269" s="465">
        <v>216500</v>
      </c>
      <c r="V269" s="464">
        <v>2500</v>
      </c>
      <c r="W269" s="464">
        <v>1300</v>
      </c>
      <c r="X269" s="464">
        <v>200</v>
      </c>
      <c r="Y269" s="464">
        <v>100</v>
      </c>
    </row>
    <row r="270" spans="1:25">
      <c r="A270" s="462" t="s">
        <v>443</v>
      </c>
      <c r="B270" s="462" t="s">
        <v>449</v>
      </c>
      <c r="C270" s="462">
        <v>1998</v>
      </c>
      <c r="D270" s="462">
        <v>0.1</v>
      </c>
      <c r="E270" s="462">
        <v>0.1</v>
      </c>
      <c r="F270" s="462">
        <v>0</v>
      </c>
      <c r="G270" s="462">
        <v>0</v>
      </c>
      <c r="H270" s="462">
        <v>0</v>
      </c>
      <c r="K270" s="44">
        <f t="shared" si="13"/>
        <v>1.7853932584269665</v>
      </c>
      <c r="L270" s="462">
        <v>0.1</v>
      </c>
      <c r="M270" s="462">
        <v>0</v>
      </c>
      <c r="N270" s="462">
        <v>0</v>
      </c>
      <c r="O270" s="462">
        <v>0</v>
      </c>
      <c r="P270" s="44">
        <f t="shared" si="14"/>
        <v>1.1235955056179776</v>
      </c>
      <c r="Q270" s="44">
        <f t="shared" si="15"/>
        <v>0.51858254105445112</v>
      </c>
      <c r="R270" s="44">
        <f t="shared" si="16"/>
        <v>4.3215211754537596E-2</v>
      </c>
      <c r="U270" s="465">
        <v>231400</v>
      </c>
      <c r="V270" s="464">
        <v>2600</v>
      </c>
      <c r="W270" s="464">
        <v>1200</v>
      </c>
      <c r="X270" s="464">
        <v>200</v>
      </c>
      <c r="Y270" s="464">
        <v>100</v>
      </c>
    </row>
    <row r="271" spans="1:25">
      <c r="A271" s="462" t="s">
        <v>443</v>
      </c>
      <c r="B271" s="462" t="s">
        <v>449</v>
      </c>
      <c r="C271" s="462">
        <v>1999</v>
      </c>
      <c r="D271" s="462">
        <v>0.1</v>
      </c>
      <c r="E271" s="462">
        <v>0.1</v>
      </c>
      <c r="F271" s="462">
        <v>0</v>
      </c>
      <c r="G271" s="462">
        <v>0</v>
      </c>
      <c r="H271" s="462">
        <v>0</v>
      </c>
      <c r="K271" s="44">
        <f t="shared" si="13"/>
        <v>1.6028432168968318</v>
      </c>
      <c r="L271" s="462">
        <v>0.1</v>
      </c>
      <c r="M271" s="462">
        <v>0</v>
      </c>
      <c r="N271" s="462">
        <v>0</v>
      </c>
      <c r="O271" s="462">
        <v>0</v>
      </c>
      <c r="P271" s="44">
        <f t="shared" si="14"/>
        <v>1.0154346060113728</v>
      </c>
      <c r="Q271" s="44">
        <f t="shared" si="15"/>
        <v>0.44679122664500409</v>
      </c>
      <c r="R271" s="44">
        <f t="shared" si="16"/>
        <v>4.0617384240454912E-2</v>
      </c>
      <c r="U271" s="465">
        <v>246200</v>
      </c>
      <c r="V271" s="464">
        <v>2500</v>
      </c>
      <c r="W271" s="464">
        <v>1100</v>
      </c>
      <c r="X271" s="464">
        <v>200</v>
      </c>
      <c r="Y271" s="464">
        <v>100</v>
      </c>
    </row>
    <row r="272" spans="1:25">
      <c r="A272" s="462" t="s">
        <v>443</v>
      </c>
      <c r="B272" s="462" t="s">
        <v>449</v>
      </c>
      <c r="C272" s="462">
        <v>2000</v>
      </c>
      <c r="D272" s="462">
        <v>0.1</v>
      </c>
      <c r="E272" s="462">
        <v>0.1</v>
      </c>
      <c r="F272" s="462">
        <v>0</v>
      </c>
      <c r="G272" s="462">
        <v>0</v>
      </c>
      <c r="H272" s="462">
        <v>0</v>
      </c>
      <c r="K272" s="44">
        <f t="shared" si="13"/>
        <v>1.6860735009671179</v>
      </c>
      <c r="L272" s="462">
        <v>0.1</v>
      </c>
      <c r="M272" s="462">
        <v>0</v>
      </c>
      <c r="N272" s="462">
        <v>0</v>
      </c>
      <c r="O272" s="462">
        <v>0</v>
      </c>
      <c r="P272" s="44">
        <f t="shared" si="14"/>
        <v>1.0831721470019342</v>
      </c>
      <c r="Q272" s="44">
        <f t="shared" si="15"/>
        <v>0.46421663442940037</v>
      </c>
      <c r="R272" s="44">
        <f t="shared" si="16"/>
        <v>3.8684719535783361E-2</v>
      </c>
      <c r="U272" s="465">
        <v>258500</v>
      </c>
      <c r="V272" s="464">
        <v>2800</v>
      </c>
      <c r="W272" s="464">
        <v>1200</v>
      </c>
      <c r="X272" s="464">
        <v>200</v>
      </c>
      <c r="Y272" s="464">
        <v>100</v>
      </c>
    </row>
    <row r="273" spans="1:25">
      <c r="A273" s="462" t="s">
        <v>443</v>
      </c>
      <c r="B273" s="462" t="s">
        <v>449</v>
      </c>
      <c r="C273" s="462">
        <v>2001</v>
      </c>
      <c r="D273" s="462">
        <v>0.2</v>
      </c>
      <c r="E273" s="462">
        <v>0.1</v>
      </c>
      <c r="F273" s="462">
        <v>0</v>
      </c>
      <c r="G273" s="462">
        <v>0</v>
      </c>
      <c r="H273" s="462">
        <v>0</v>
      </c>
      <c r="K273" s="44">
        <f t="shared" si="13"/>
        <v>1.6724606884827882</v>
      </c>
      <c r="L273" s="462">
        <v>0.1</v>
      </c>
      <c r="M273" s="462">
        <v>0</v>
      </c>
      <c r="N273" s="462">
        <v>0</v>
      </c>
      <c r="O273" s="462">
        <v>0</v>
      </c>
      <c r="P273" s="44">
        <f t="shared" si="14"/>
        <v>1.0624734381640459</v>
      </c>
      <c r="Q273" s="44">
        <f t="shared" si="15"/>
        <v>0.46748831279218017</v>
      </c>
      <c r="R273" s="44">
        <f t="shared" si="16"/>
        <v>4.2498937526561836E-2</v>
      </c>
      <c r="U273" s="465">
        <v>235300</v>
      </c>
      <c r="V273" s="464">
        <v>2500</v>
      </c>
      <c r="W273" s="464">
        <v>1100</v>
      </c>
      <c r="X273" s="464">
        <v>200</v>
      </c>
      <c r="Y273" s="464">
        <v>100</v>
      </c>
    </row>
    <row r="274" spans="1:25">
      <c r="A274" s="462" t="s">
        <v>443</v>
      </c>
      <c r="B274" s="462" t="s">
        <v>449</v>
      </c>
      <c r="C274" s="462">
        <v>2002</v>
      </c>
      <c r="D274" s="462">
        <v>0.2</v>
      </c>
      <c r="E274" s="462">
        <v>0.1</v>
      </c>
      <c r="F274" s="462">
        <v>0</v>
      </c>
      <c r="G274" s="462">
        <v>0</v>
      </c>
      <c r="H274" s="462">
        <v>0</v>
      </c>
      <c r="K274" s="44">
        <f t="shared" si="13"/>
        <v>1.7100178890876565</v>
      </c>
      <c r="L274" s="462">
        <v>0.1</v>
      </c>
      <c r="M274" s="462">
        <v>0</v>
      </c>
      <c r="N274" s="462">
        <v>0</v>
      </c>
      <c r="O274" s="462">
        <v>0</v>
      </c>
      <c r="P274" s="44">
        <f t="shared" si="14"/>
        <v>1.0733452593917709</v>
      </c>
      <c r="Q274" s="44">
        <f t="shared" si="15"/>
        <v>0.49194991055456172</v>
      </c>
      <c r="R274" s="44">
        <f t="shared" si="16"/>
        <v>4.4722719141323794E-2</v>
      </c>
      <c r="U274" s="465">
        <v>223600</v>
      </c>
      <c r="V274" s="464">
        <v>2400</v>
      </c>
      <c r="W274" s="464">
        <v>1100</v>
      </c>
      <c r="X274" s="464">
        <v>400</v>
      </c>
      <c r="Y274" s="464">
        <v>100</v>
      </c>
    </row>
    <row r="275" spans="1:25">
      <c r="A275" s="462" t="s">
        <v>443</v>
      </c>
      <c r="B275" s="462" t="s">
        <v>449</v>
      </c>
      <c r="C275" s="462">
        <v>2003</v>
      </c>
      <c r="D275" s="462">
        <v>0.2</v>
      </c>
      <c r="E275" s="462">
        <v>0.2</v>
      </c>
      <c r="F275" s="462">
        <v>0</v>
      </c>
      <c r="G275" s="462">
        <v>0</v>
      </c>
      <c r="H275" s="462">
        <v>0</v>
      </c>
      <c r="K275" s="44">
        <f t="shared" si="13"/>
        <v>1.7421780466724288</v>
      </c>
      <c r="L275" s="462">
        <v>0.1</v>
      </c>
      <c r="M275" s="462">
        <v>0</v>
      </c>
      <c r="N275" s="462">
        <v>0</v>
      </c>
      <c r="O275" s="462">
        <v>0</v>
      </c>
      <c r="P275" s="44">
        <f t="shared" si="14"/>
        <v>1.0803802938634399</v>
      </c>
      <c r="Q275" s="44">
        <f t="shared" si="15"/>
        <v>0.51858254105445112</v>
      </c>
      <c r="R275" s="44">
        <f t="shared" si="16"/>
        <v>4.3215211754537596E-2</v>
      </c>
      <c r="U275" s="465">
        <v>231400</v>
      </c>
      <c r="V275" s="464">
        <v>2500</v>
      </c>
      <c r="W275" s="464">
        <v>1200</v>
      </c>
      <c r="X275" s="464">
        <v>400</v>
      </c>
      <c r="Y275" s="464">
        <v>100</v>
      </c>
    </row>
    <row r="276" spans="1:25">
      <c r="A276" s="462" t="s">
        <v>443</v>
      </c>
      <c r="B276" s="462" t="s">
        <v>449</v>
      </c>
      <c r="C276" s="462">
        <v>2004</v>
      </c>
      <c r="D276" s="462">
        <v>0.2</v>
      </c>
      <c r="E276" s="462">
        <v>0.1</v>
      </c>
      <c r="F276" s="462">
        <v>0</v>
      </c>
      <c r="G276" s="462">
        <v>0</v>
      </c>
      <c r="H276" s="462">
        <v>0</v>
      </c>
      <c r="K276" s="44">
        <f t="shared" si="13"/>
        <v>1.6476190476190475</v>
      </c>
      <c r="L276" s="462">
        <v>0.1</v>
      </c>
      <c r="M276" s="462">
        <v>0</v>
      </c>
      <c r="N276" s="462">
        <v>0</v>
      </c>
      <c r="O276" s="462">
        <v>0</v>
      </c>
      <c r="P276" s="44">
        <f t="shared" si="14"/>
        <v>0.99206349206349198</v>
      </c>
      <c r="Q276" s="44">
        <f t="shared" si="15"/>
        <v>0.51587301587301582</v>
      </c>
      <c r="R276" s="44">
        <f t="shared" si="16"/>
        <v>3.968253968253968E-2</v>
      </c>
      <c r="U276" s="465">
        <v>252000</v>
      </c>
      <c r="V276" s="464">
        <v>2500</v>
      </c>
      <c r="W276" s="464">
        <v>1300</v>
      </c>
      <c r="X276" s="464">
        <v>300</v>
      </c>
      <c r="Y276" s="464">
        <v>100</v>
      </c>
    </row>
    <row r="277" spans="1:25">
      <c r="A277" s="462" t="s">
        <v>443</v>
      </c>
      <c r="B277" s="462" t="s">
        <v>449</v>
      </c>
      <c r="C277" s="462">
        <v>2005</v>
      </c>
      <c r="D277" s="462">
        <v>0.2</v>
      </c>
      <c r="E277" s="462">
        <v>0.2</v>
      </c>
      <c r="F277" s="462">
        <v>0</v>
      </c>
      <c r="G277" s="462">
        <v>0</v>
      </c>
      <c r="H277" s="462">
        <v>0</v>
      </c>
      <c r="K277" s="44">
        <f t="shared" si="13"/>
        <v>1.7105417276720352</v>
      </c>
      <c r="L277" s="462">
        <v>0.1</v>
      </c>
      <c r="M277" s="462">
        <v>0</v>
      </c>
      <c r="N277" s="462">
        <v>0</v>
      </c>
      <c r="O277" s="462">
        <v>0</v>
      </c>
      <c r="P277" s="44">
        <f t="shared" si="14"/>
        <v>1.061493411420205</v>
      </c>
      <c r="Q277" s="44">
        <f t="shared" si="15"/>
        <v>0.51244509516837478</v>
      </c>
      <c r="R277" s="44">
        <f t="shared" si="16"/>
        <v>3.6603221083455345E-2</v>
      </c>
      <c r="U277" s="465">
        <v>273200</v>
      </c>
      <c r="V277" s="464">
        <v>2900</v>
      </c>
      <c r="W277" s="464">
        <v>1400</v>
      </c>
      <c r="X277" s="464">
        <v>200</v>
      </c>
      <c r="Y277" s="464">
        <v>100</v>
      </c>
    </row>
    <row r="278" spans="1:25">
      <c r="A278" s="462" t="s">
        <v>443</v>
      </c>
      <c r="B278" s="462" t="s">
        <v>449</v>
      </c>
      <c r="C278" s="462">
        <v>2006</v>
      </c>
      <c r="D278" s="462">
        <v>0.2</v>
      </c>
      <c r="E278" s="462">
        <v>0.1</v>
      </c>
      <c r="F278" s="462">
        <v>0</v>
      </c>
      <c r="G278" s="462">
        <v>0</v>
      </c>
      <c r="H278" s="462">
        <v>0</v>
      </c>
      <c r="K278" s="44">
        <f t="shared" si="13"/>
        <v>1.7818500350385427</v>
      </c>
      <c r="L278" s="462">
        <v>0.1</v>
      </c>
      <c r="M278" s="462">
        <v>0</v>
      </c>
      <c r="N278" s="462">
        <v>0</v>
      </c>
      <c r="O278" s="462">
        <v>0</v>
      </c>
      <c r="P278" s="44">
        <f t="shared" si="14"/>
        <v>1.051156271899089</v>
      </c>
      <c r="Q278" s="44">
        <f t="shared" si="15"/>
        <v>0.59565522074281718</v>
      </c>
      <c r="R278" s="44">
        <f t="shared" si="16"/>
        <v>3.5038542396636299E-2</v>
      </c>
      <c r="U278" s="465">
        <v>285400</v>
      </c>
      <c r="V278" s="464">
        <v>3000</v>
      </c>
      <c r="W278" s="464">
        <v>1700</v>
      </c>
      <c r="X278" s="464">
        <v>200</v>
      </c>
      <c r="Y278" s="464">
        <v>100</v>
      </c>
    </row>
    <row r="279" spans="1:25">
      <c r="A279" s="462" t="s">
        <v>443</v>
      </c>
      <c r="B279" s="462" t="s">
        <v>449</v>
      </c>
      <c r="C279" s="462">
        <v>2007</v>
      </c>
      <c r="D279" s="462">
        <v>0.2</v>
      </c>
      <c r="E279" s="462">
        <v>0.2</v>
      </c>
      <c r="F279" s="462">
        <v>0</v>
      </c>
      <c r="G279" s="462">
        <v>0</v>
      </c>
      <c r="H279" s="462">
        <v>0</v>
      </c>
      <c r="K279" s="44">
        <f t="shared" si="13"/>
        <v>1.8200674536256325</v>
      </c>
      <c r="L279" s="462">
        <v>0.1</v>
      </c>
      <c r="M279" s="462">
        <v>0</v>
      </c>
      <c r="N279" s="462">
        <v>0</v>
      </c>
      <c r="O279" s="462">
        <v>0</v>
      </c>
      <c r="P279" s="44">
        <f t="shared" si="14"/>
        <v>1.0792580101180438</v>
      </c>
      <c r="Q279" s="44">
        <f t="shared" si="15"/>
        <v>0.60708263069139967</v>
      </c>
      <c r="R279" s="44">
        <f t="shared" si="16"/>
        <v>3.3726812816188868E-2</v>
      </c>
      <c r="U279" s="465">
        <v>296500</v>
      </c>
      <c r="V279" s="464">
        <v>3200</v>
      </c>
      <c r="W279" s="464">
        <v>1800</v>
      </c>
      <c r="X279" s="464">
        <v>200</v>
      </c>
      <c r="Y279" s="464">
        <v>100</v>
      </c>
    </row>
    <row r="280" spans="1:25">
      <c r="A280" s="462" t="s">
        <v>443</v>
      </c>
      <c r="B280" s="462" t="s">
        <v>449</v>
      </c>
      <c r="C280" s="462">
        <v>2008</v>
      </c>
      <c r="D280" s="462">
        <v>0.2</v>
      </c>
      <c r="E280" s="462">
        <v>0.2</v>
      </c>
      <c r="F280" s="462">
        <v>0</v>
      </c>
      <c r="G280" s="462">
        <v>0</v>
      </c>
      <c r="H280" s="462">
        <v>0</v>
      </c>
      <c r="K280" s="44">
        <f t="shared" si="13"/>
        <v>1.775977653631285</v>
      </c>
      <c r="L280" s="462">
        <v>0.1</v>
      </c>
      <c r="M280" s="462">
        <v>0</v>
      </c>
      <c r="N280" s="462">
        <v>0</v>
      </c>
      <c r="O280" s="462">
        <v>0</v>
      </c>
      <c r="P280" s="44">
        <f t="shared" si="14"/>
        <v>1.042830540037244</v>
      </c>
      <c r="Q280" s="44">
        <f t="shared" si="15"/>
        <v>0.5959031657355679</v>
      </c>
      <c r="R280" s="44">
        <f t="shared" si="16"/>
        <v>3.7243947858472994E-2</v>
      </c>
      <c r="U280" s="465">
        <v>268500</v>
      </c>
      <c r="V280" s="464">
        <v>2800</v>
      </c>
      <c r="W280" s="464">
        <v>1600</v>
      </c>
      <c r="X280" s="464">
        <v>300</v>
      </c>
      <c r="Y280" s="464">
        <v>100</v>
      </c>
    </row>
    <row r="281" spans="1:25">
      <c r="A281" s="462" t="s">
        <v>443</v>
      </c>
      <c r="B281" s="462" t="s">
        <v>449</v>
      </c>
      <c r="C281" s="462">
        <v>2009</v>
      </c>
      <c r="D281" s="462">
        <v>0.3</v>
      </c>
      <c r="E281" s="462">
        <v>0.2</v>
      </c>
      <c r="F281" s="462">
        <v>0</v>
      </c>
      <c r="G281" s="462">
        <v>0</v>
      </c>
      <c r="H281" s="462">
        <v>0</v>
      </c>
      <c r="K281" s="44">
        <f t="shared" si="13"/>
        <v>2.1016122364613476</v>
      </c>
      <c r="L281" s="462">
        <v>0.2</v>
      </c>
      <c r="M281" s="462">
        <v>0</v>
      </c>
      <c r="N281" s="462">
        <v>0</v>
      </c>
      <c r="O281" s="462">
        <v>0</v>
      </c>
      <c r="P281" s="44">
        <f t="shared" si="14"/>
        <v>1.1988424968995453</v>
      </c>
      <c r="Q281" s="44">
        <f t="shared" si="15"/>
        <v>0.70276973956180244</v>
      </c>
      <c r="R281" s="44">
        <f t="shared" si="16"/>
        <v>0</v>
      </c>
      <c r="U281" s="465">
        <v>241900</v>
      </c>
      <c r="V281" s="464">
        <v>2900</v>
      </c>
      <c r="W281" s="464">
        <v>1700</v>
      </c>
      <c r="X281" s="464">
        <v>700</v>
      </c>
      <c r="Y281" s="464">
        <v>0</v>
      </c>
    </row>
    <row r="282" spans="1:25">
      <c r="A282" s="462" t="s">
        <v>443</v>
      </c>
      <c r="B282" s="462" t="s">
        <v>449</v>
      </c>
      <c r="C282" s="462">
        <v>2010</v>
      </c>
      <c r="D282" s="462">
        <v>0.3</v>
      </c>
      <c r="E282" s="462">
        <v>0.2</v>
      </c>
      <c r="F282" s="462">
        <v>0</v>
      </c>
      <c r="G282" s="462">
        <v>0</v>
      </c>
      <c r="H282" s="462">
        <v>0</v>
      </c>
      <c r="K282" s="44">
        <f t="shared" si="13"/>
        <v>2.0964836033188465</v>
      </c>
      <c r="L282" s="462">
        <v>0.2</v>
      </c>
      <c r="M282" s="462">
        <v>0</v>
      </c>
      <c r="N282" s="462">
        <v>0</v>
      </c>
      <c r="O282" s="462">
        <v>0</v>
      </c>
      <c r="P282" s="44">
        <f t="shared" si="14"/>
        <v>1.1853022520742789</v>
      </c>
      <c r="Q282" s="44">
        <f t="shared" si="15"/>
        <v>0.67167127617542466</v>
      </c>
      <c r="R282" s="44">
        <f t="shared" si="16"/>
        <v>3.9510075069142628E-2</v>
      </c>
      <c r="U282" s="465">
        <v>253100</v>
      </c>
      <c r="V282" s="464">
        <v>3000</v>
      </c>
      <c r="W282" s="464">
        <v>1700</v>
      </c>
      <c r="X282" s="464">
        <v>600</v>
      </c>
      <c r="Y282" s="464">
        <v>100</v>
      </c>
    </row>
    <row r="283" spans="1:25">
      <c r="A283" s="462" t="s">
        <v>443</v>
      </c>
      <c r="B283" s="462" t="s">
        <v>449</v>
      </c>
      <c r="C283" s="462">
        <v>2011</v>
      </c>
      <c r="D283" s="462">
        <v>0.2</v>
      </c>
      <c r="E283" s="462">
        <v>0.2</v>
      </c>
      <c r="F283" s="462">
        <v>0</v>
      </c>
      <c r="G283" s="462">
        <v>0</v>
      </c>
      <c r="H283" s="462">
        <v>0</v>
      </c>
      <c r="K283" s="44">
        <f t="shared" si="13"/>
        <v>2.1921875000000002</v>
      </c>
      <c r="L283" s="462">
        <v>0.2</v>
      </c>
      <c r="M283" s="462">
        <v>0</v>
      </c>
      <c r="N283" s="462">
        <v>0</v>
      </c>
      <c r="O283" s="462">
        <v>0</v>
      </c>
      <c r="P283" s="44">
        <f t="shared" si="14"/>
        <v>1.25</v>
      </c>
      <c r="Q283" s="44">
        <f t="shared" si="15"/>
        <v>0.703125</v>
      </c>
      <c r="R283" s="44">
        <f t="shared" si="16"/>
        <v>3.90625E-2</v>
      </c>
      <c r="U283" s="465">
        <v>256000</v>
      </c>
      <c r="V283" s="464">
        <v>3200</v>
      </c>
      <c r="W283" s="464">
        <v>1800</v>
      </c>
      <c r="X283" s="464">
        <v>500</v>
      </c>
      <c r="Y283" s="464">
        <v>100</v>
      </c>
    </row>
    <row r="284" spans="1:25">
      <c r="A284" s="462" t="s">
        <v>443</v>
      </c>
      <c r="B284" s="462" t="s">
        <v>449</v>
      </c>
      <c r="C284" s="462">
        <v>2012</v>
      </c>
      <c r="D284" s="462">
        <v>0.2</v>
      </c>
      <c r="E284" s="462">
        <v>0.2</v>
      </c>
      <c r="F284" s="462">
        <v>0</v>
      </c>
      <c r="G284" s="462">
        <v>0</v>
      </c>
      <c r="H284" s="462">
        <v>0</v>
      </c>
      <c r="K284" s="44">
        <f t="shared" si="13"/>
        <v>2.1812680115273775</v>
      </c>
      <c r="L284" s="462">
        <v>0.2</v>
      </c>
      <c r="M284" s="462">
        <v>0</v>
      </c>
      <c r="N284" s="462">
        <v>0</v>
      </c>
      <c r="O284" s="462">
        <v>0</v>
      </c>
      <c r="P284" s="44">
        <f t="shared" si="14"/>
        <v>1.2247838616714697</v>
      </c>
      <c r="Q284" s="44">
        <f t="shared" si="15"/>
        <v>0.72046109510086453</v>
      </c>
      <c r="R284" s="44">
        <f t="shared" si="16"/>
        <v>3.6023054755043228E-2</v>
      </c>
      <c r="U284" s="465">
        <v>277600</v>
      </c>
      <c r="V284" s="464">
        <v>3400</v>
      </c>
      <c r="W284" s="464">
        <v>2000</v>
      </c>
      <c r="X284" s="464">
        <v>400</v>
      </c>
      <c r="Y284" s="464">
        <v>100</v>
      </c>
    </row>
    <row r="285" spans="1:25">
      <c r="A285" s="462" t="s">
        <v>443</v>
      </c>
      <c r="B285" s="462" t="s">
        <v>449</v>
      </c>
      <c r="C285" s="462">
        <v>2013</v>
      </c>
      <c r="D285" s="462">
        <v>0.2</v>
      </c>
      <c r="E285" s="462">
        <v>0.2</v>
      </c>
      <c r="F285" s="462">
        <v>0</v>
      </c>
      <c r="G285" s="462">
        <v>0</v>
      </c>
      <c r="H285" s="462">
        <v>0</v>
      </c>
      <c r="K285" s="44">
        <f t="shared" si="13"/>
        <v>2.1989505247376311</v>
      </c>
      <c r="L285" s="462">
        <v>0.1</v>
      </c>
      <c r="M285" s="462">
        <v>0</v>
      </c>
      <c r="N285" s="462">
        <v>0</v>
      </c>
      <c r="O285" s="462">
        <v>0</v>
      </c>
      <c r="P285" s="44">
        <f t="shared" si="14"/>
        <v>1.3118440779610194</v>
      </c>
      <c r="Q285" s="44">
        <f t="shared" si="15"/>
        <v>0.7496251874062968</v>
      </c>
      <c r="R285" s="44">
        <f t="shared" si="16"/>
        <v>3.7481259370314844E-2</v>
      </c>
      <c r="U285" s="465">
        <v>266800</v>
      </c>
      <c r="V285" s="464">
        <v>3500</v>
      </c>
      <c r="W285" s="464">
        <v>2000</v>
      </c>
      <c r="X285" s="464">
        <v>300</v>
      </c>
      <c r="Y285" s="464">
        <v>100</v>
      </c>
    </row>
    <row r="286" spans="1:25">
      <c r="A286" s="462" t="s">
        <v>443</v>
      </c>
      <c r="B286" s="462" t="s">
        <v>449</v>
      </c>
      <c r="C286" s="462">
        <v>2014</v>
      </c>
      <c r="D286" s="462">
        <v>0.3</v>
      </c>
      <c r="E286" s="462">
        <v>0.2</v>
      </c>
      <c r="F286" s="462">
        <v>0</v>
      </c>
      <c r="G286" s="462">
        <v>0</v>
      </c>
      <c r="H286" s="462">
        <v>0</v>
      </c>
      <c r="K286" s="44">
        <f t="shared" si="13"/>
        <v>2.3276595744680848</v>
      </c>
      <c r="L286" s="462">
        <v>0.2</v>
      </c>
      <c r="M286" s="462">
        <v>0</v>
      </c>
      <c r="N286" s="462">
        <v>0</v>
      </c>
      <c r="O286" s="462">
        <v>0</v>
      </c>
      <c r="P286" s="44">
        <f t="shared" si="14"/>
        <v>1.3475177304964538</v>
      </c>
      <c r="Q286" s="44">
        <f t="shared" si="15"/>
        <v>0.74468085106382986</v>
      </c>
      <c r="R286" s="44">
        <f t="shared" si="16"/>
        <v>3.5460992907801421E-2</v>
      </c>
      <c r="U286" s="465">
        <v>282000</v>
      </c>
      <c r="V286" s="464">
        <v>3800</v>
      </c>
      <c r="W286" s="464">
        <v>2100</v>
      </c>
      <c r="X286" s="464">
        <v>200</v>
      </c>
      <c r="Y286" s="464">
        <v>100</v>
      </c>
    </row>
    <row r="287" spans="1:25">
      <c r="A287" s="462" t="s">
        <v>443</v>
      </c>
      <c r="B287" s="462" t="s">
        <v>449</v>
      </c>
      <c r="C287" s="462">
        <v>2015</v>
      </c>
      <c r="D287" s="462">
        <v>0.3</v>
      </c>
      <c r="E287" s="462">
        <v>0.2</v>
      </c>
      <c r="F287" s="462">
        <v>0</v>
      </c>
      <c r="G287" s="462">
        <v>0</v>
      </c>
      <c r="H287" s="462">
        <v>0</v>
      </c>
      <c r="K287" s="44">
        <f t="shared" si="13"/>
        <v>2.2177838577291382</v>
      </c>
      <c r="L287" s="462">
        <v>0.2</v>
      </c>
      <c r="M287" s="462">
        <v>0</v>
      </c>
      <c r="N287" s="462">
        <v>0</v>
      </c>
      <c r="O287" s="462">
        <v>0</v>
      </c>
      <c r="P287" s="44">
        <f t="shared" si="14"/>
        <v>1.265389876880985</v>
      </c>
      <c r="Q287" s="44">
        <f t="shared" si="15"/>
        <v>0.75239398084815323</v>
      </c>
      <c r="R287" s="44">
        <f t="shared" si="16"/>
        <v>0</v>
      </c>
      <c r="U287" s="465">
        <v>292400</v>
      </c>
      <c r="V287" s="464">
        <v>3700</v>
      </c>
      <c r="W287" s="464">
        <v>2200</v>
      </c>
      <c r="X287" s="464">
        <v>200</v>
      </c>
      <c r="Y287" s="464">
        <v>0</v>
      </c>
    </row>
    <row r="288" spans="1:25">
      <c r="A288" s="462" t="s">
        <v>443</v>
      </c>
      <c r="B288" s="462" t="s">
        <v>449</v>
      </c>
      <c r="C288" s="462">
        <v>2016</v>
      </c>
      <c r="D288" s="462">
        <v>0.3</v>
      </c>
      <c r="E288" s="462">
        <v>0.3</v>
      </c>
      <c r="F288" s="462">
        <v>0</v>
      </c>
      <c r="G288" s="462">
        <v>0</v>
      </c>
      <c r="H288" s="462">
        <v>0</v>
      </c>
      <c r="K288" s="44">
        <f t="shared" si="13"/>
        <v>2.4151178918169207</v>
      </c>
      <c r="L288" s="462">
        <v>0.3</v>
      </c>
      <c r="M288" s="462">
        <v>0</v>
      </c>
      <c r="N288" s="462">
        <v>0</v>
      </c>
      <c r="O288" s="462">
        <v>0</v>
      </c>
      <c r="P288" s="44">
        <f t="shared" si="14"/>
        <v>1.3176144244105408</v>
      </c>
      <c r="Q288" s="44">
        <f t="shared" si="15"/>
        <v>0.76282940360610263</v>
      </c>
      <c r="R288" s="44">
        <f t="shared" si="16"/>
        <v>3.4674063800277391E-2</v>
      </c>
      <c r="U288" s="465">
        <v>288400</v>
      </c>
      <c r="V288" s="464">
        <v>3800</v>
      </c>
      <c r="W288" s="464">
        <v>2200</v>
      </c>
      <c r="X288" s="464">
        <v>200</v>
      </c>
      <c r="Y288" s="464">
        <v>100</v>
      </c>
    </row>
    <row r="289" spans="1:25">
      <c r="A289" s="462" t="s">
        <v>443</v>
      </c>
      <c r="B289" s="462" t="s">
        <v>450</v>
      </c>
      <c r="C289" s="462">
        <v>1979</v>
      </c>
      <c r="D289" s="462">
        <v>0.2</v>
      </c>
      <c r="E289" s="462">
        <v>0.1</v>
      </c>
      <c r="F289" s="462">
        <v>0</v>
      </c>
      <c r="G289" s="462">
        <v>0</v>
      </c>
      <c r="H289" s="462">
        <v>0.1</v>
      </c>
      <c r="K289" s="44">
        <f t="shared" si="13"/>
        <v>1.7145307769929363</v>
      </c>
      <c r="L289" s="462">
        <v>0</v>
      </c>
      <c r="M289" s="462">
        <v>0</v>
      </c>
      <c r="N289" s="462">
        <v>0</v>
      </c>
      <c r="O289" s="462">
        <v>0.1</v>
      </c>
      <c r="P289" s="44">
        <f t="shared" si="14"/>
        <v>1.2108980827447022</v>
      </c>
      <c r="Q289" s="44">
        <f t="shared" si="15"/>
        <v>0.30272452068617556</v>
      </c>
      <c r="R289" s="44">
        <f t="shared" si="16"/>
        <v>0.20090817356205853</v>
      </c>
      <c r="U289" s="465">
        <v>99100</v>
      </c>
      <c r="V289" s="464">
        <v>1200</v>
      </c>
      <c r="W289" s="464">
        <v>300</v>
      </c>
      <c r="X289" s="464">
        <v>200</v>
      </c>
      <c r="Y289" s="464">
        <v>100</v>
      </c>
    </row>
    <row r="290" spans="1:25">
      <c r="A290" s="462" t="s">
        <v>443</v>
      </c>
      <c r="B290" s="462" t="s">
        <v>450</v>
      </c>
      <c r="C290" s="462">
        <v>1980</v>
      </c>
      <c r="D290" s="462">
        <v>0.1</v>
      </c>
      <c r="E290" s="462">
        <v>0</v>
      </c>
      <c r="F290" s="462">
        <v>0</v>
      </c>
      <c r="G290" s="462">
        <v>0</v>
      </c>
      <c r="H290" s="462">
        <v>0.1</v>
      </c>
      <c r="K290" s="44">
        <f t="shared" si="13"/>
        <v>2.0668737060041407</v>
      </c>
      <c r="L290" s="462">
        <v>0</v>
      </c>
      <c r="M290" s="462">
        <v>0</v>
      </c>
      <c r="N290" s="462">
        <v>0</v>
      </c>
      <c r="O290" s="462">
        <v>0.1</v>
      </c>
      <c r="P290" s="44">
        <f t="shared" si="14"/>
        <v>1.4492753623188406</v>
      </c>
      <c r="Q290" s="44">
        <f t="shared" si="15"/>
        <v>0.41407867494824019</v>
      </c>
      <c r="R290" s="44">
        <f t="shared" si="16"/>
        <v>0.20351966873706007</v>
      </c>
      <c r="U290" s="465">
        <v>96600</v>
      </c>
      <c r="V290" s="464">
        <v>1400</v>
      </c>
      <c r="W290" s="464">
        <v>400</v>
      </c>
      <c r="X290" s="464">
        <v>400</v>
      </c>
      <c r="Y290" s="464">
        <v>100</v>
      </c>
    </row>
    <row r="291" spans="1:25">
      <c r="A291" s="462" t="s">
        <v>443</v>
      </c>
      <c r="B291" s="462" t="s">
        <v>450</v>
      </c>
      <c r="C291" s="462">
        <v>1981</v>
      </c>
      <c r="D291" s="462">
        <v>0.2</v>
      </c>
      <c r="E291" s="462">
        <v>0.1</v>
      </c>
      <c r="F291" s="462">
        <v>0</v>
      </c>
      <c r="G291" s="462">
        <v>0.1</v>
      </c>
      <c r="H291" s="462">
        <v>0</v>
      </c>
      <c r="K291" s="44">
        <f t="shared" si="13"/>
        <v>2.176165803108808</v>
      </c>
      <c r="L291" s="462">
        <v>0</v>
      </c>
      <c r="M291" s="462">
        <v>0</v>
      </c>
      <c r="N291" s="462">
        <v>0</v>
      </c>
      <c r="O291" s="462">
        <v>0</v>
      </c>
      <c r="P291" s="44">
        <f t="shared" si="14"/>
        <v>1.6580310880829014</v>
      </c>
      <c r="Q291" s="44">
        <f t="shared" si="15"/>
        <v>0.41450777202072536</v>
      </c>
      <c r="R291" s="44">
        <f t="shared" si="16"/>
        <v>0.10362694300518134</v>
      </c>
      <c r="U291" s="465">
        <v>96500</v>
      </c>
      <c r="V291" s="464">
        <v>1600</v>
      </c>
      <c r="W291" s="464">
        <v>400</v>
      </c>
      <c r="X291" s="464">
        <v>300</v>
      </c>
      <c r="Y291" s="464">
        <v>100</v>
      </c>
    </row>
    <row r="292" spans="1:25">
      <c r="A292" s="462" t="s">
        <v>443</v>
      </c>
      <c r="B292" s="462" t="s">
        <v>450</v>
      </c>
      <c r="C292" s="462">
        <v>1982</v>
      </c>
      <c r="D292" s="462">
        <v>0.1</v>
      </c>
      <c r="E292" s="462">
        <v>0.1</v>
      </c>
      <c r="F292" s="462">
        <v>0</v>
      </c>
      <c r="G292" s="462">
        <v>0</v>
      </c>
      <c r="H292" s="462">
        <v>0</v>
      </c>
      <c r="K292" s="44">
        <f t="shared" si="13"/>
        <v>2.395833333333333</v>
      </c>
      <c r="L292" s="462">
        <v>0</v>
      </c>
      <c r="M292" s="462">
        <v>0</v>
      </c>
      <c r="N292" s="462">
        <v>0</v>
      </c>
      <c r="O292" s="462">
        <v>0</v>
      </c>
      <c r="P292" s="44">
        <f t="shared" si="14"/>
        <v>1.7708333333333333</v>
      </c>
      <c r="Q292" s="44">
        <f t="shared" si="15"/>
        <v>0.52083333333333326</v>
      </c>
      <c r="R292" s="44">
        <f t="shared" si="16"/>
        <v>0.10416666666666667</v>
      </c>
      <c r="U292" s="465">
        <v>96000</v>
      </c>
      <c r="V292" s="464">
        <v>1700</v>
      </c>
      <c r="W292" s="464">
        <v>500</v>
      </c>
      <c r="X292" s="464">
        <v>400</v>
      </c>
      <c r="Y292" s="464">
        <v>100</v>
      </c>
    </row>
    <row r="293" spans="1:25">
      <c r="A293" s="462" t="s">
        <v>443</v>
      </c>
      <c r="B293" s="462" t="s">
        <v>450</v>
      </c>
      <c r="C293" s="462">
        <v>1983</v>
      </c>
      <c r="D293" s="462">
        <v>0.1</v>
      </c>
      <c r="E293" s="462">
        <v>0</v>
      </c>
      <c r="F293" s="462">
        <v>0</v>
      </c>
      <c r="G293" s="462">
        <v>0</v>
      </c>
      <c r="H293" s="462">
        <v>0</v>
      </c>
      <c r="K293" s="44">
        <f t="shared" si="13"/>
        <v>2.4665981500513872</v>
      </c>
      <c r="L293" s="462">
        <v>0</v>
      </c>
      <c r="M293" s="462">
        <v>0</v>
      </c>
      <c r="N293" s="462">
        <v>0</v>
      </c>
      <c r="O293" s="462">
        <v>0</v>
      </c>
      <c r="P293" s="44">
        <f t="shared" si="14"/>
        <v>1.7471736896197325</v>
      </c>
      <c r="Q293" s="44">
        <f t="shared" si="15"/>
        <v>0.61664953751284679</v>
      </c>
      <c r="R293" s="44">
        <f t="shared" si="16"/>
        <v>0.10277492291880781</v>
      </c>
      <c r="U293" s="465">
        <v>97300</v>
      </c>
      <c r="V293" s="464">
        <v>1700</v>
      </c>
      <c r="W293" s="464">
        <v>600</v>
      </c>
      <c r="X293" s="464">
        <v>300</v>
      </c>
      <c r="Y293" s="464">
        <v>100</v>
      </c>
    </row>
    <row r="294" spans="1:25">
      <c r="A294" s="462" t="s">
        <v>443</v>
      </c>
      <c r="B294" s="462" t="s">
        <v>450</v>
      </c>
      <c r="C294" s="462">
        <v>1984</v>
      </c>
      <c r="D294" s="462">
        <v>0.1</v>
      </c>
      <c r="E294" s="462">
        <v>0</v>
      </c>
      <c r="F294" s="462">
        <v>0</v>
      </c>
      <c r="G294" s="462">
        <v>0</v>
      </c>
      <c r="H294" s="462">
        <v>0</v>
      </c>
      <c r="K294" s="44">
        <f t="shared" si="13"/>
        <v>2.603664416586307</v>
      </c>
      <c r="L294" s="462">
        <v>0</v>
      </c>
      <c r="M294" s="462">
        <v>0</v>
      </c>
      <c r="N294" s="462">
        <v>0</v>
      </c>
      <c r="O294" s="462">
        <v>0</v>
      </c>
      <c r="P294" s="44">
        <f t="shared" si="14"/>
        <v>1.9286403085824495</v>
      </c>
      <c r="Q294" s="44">
        <f t="shared" si="15"/>
        <v>0.57859209257473487</v>
      </c>
      <c r="R294" s="44">
        <f t="shared" si="16"/>
        <v>9.643201542912247E-2</v>
      </c>
      <c r="U294" s="465">
        <v>103700</v>
      </c>
      <c r="V294" s="464">
        <v>2000</v>
      </c>
      <c r="W294" s="464">
        <v>600</v>
      </c>
      <c r="X294" s="464">
        <v>300</v>
      </c>
      <c r="Y294" s="464">
        <v>100</v>
      </c>
    </row>
    <row r="295" spans="1:25">
      <c r="A295" s="462" t="s">
        <v>443</v>
      </c>
      <c r="B295" s="462" t="s">
        <v>450</v>
      </c>
      <c r="C295" s="462">
        <v>1985</v>
      </c>
      <c r="D295" s="462">
        <v>0.1</v>
      </c>
      <c r="E295" s="462">
        <v>0</v>
      </c>
      <c r="F295" s="462">
        <v>0</v>
      </c>
      <c r="G295" s="462">
        <v>0.1</v>
      </c>
      <c r="H295" s="462">
        <v>0</v>
      </c>
      <c r="K295" s="44">
        <f t="shared" si="13"/>
        <v>2.5291828793774322</v>
      </c>
      <c r="L295" s="462">
        <v>0</v>
      </c>
      <c r="M295" s="462">
        <v>0</v>
      </c>
      <c r="N295" s="462">
        <v>0</v>
      </c>
      <c r="O295" s="462">
        <v>0</v>
      </c>
      <c r="P295" s="44">
        <f t="shared" si="14"/>
        <v>1.8482490272373542</v>
      </c>
      <c r="Q295" s="44">
        <f t="shared" si="15"/>
        <v>0.58365758754863817</v>
      </c>
      <c r="R295" s="44">
        <f t="shared" si="16"/>
        <v>9.727626459143969E-2</v>
      </c>
      <c r="U295" s="465">
        <v>102800</v>
      </c>
      <c r="V295" s="464">
        <v>1900</v>
      </c>
      <c r="W295" s="464">
        <v>600</v>
      </c>
      <c r="X295" s="464">
        <v>200</v>
      </c>
      <c r="Y295" s="464">
        <v>100</v>
      </c>
    </row>
    <row r="296" spans="1:25">
      <c r="A296" s="462" t="s">
        <v>443</v>
      </c>
      <c r="B296" s="462" t="s">
        <v>450</v>
      </c>
      <c r="C296" s="462">
        <v>1986</v>
      </c>
      <c r="D296" s="462">
        <v>0.1</v>
      </c>
      <c r="E296" s="462">
        <v>0</v>
      </c>
      <c r="F296" s="462">
        <v>0</v>
      </c>
      <c r="G296" s="462">
        <v>0</v>
      </c>
      <c r="H296" s="462">
        <v>0</v>
      </c>
      <c r="K296" s="44">
        <f t="shared" si="13"/>
        <v>2.2201665124884364</v>
      </c>
      <c r="L296" s="462">
        <v>0</v>
      </c>
      <c r="M296" s="462">
        <v>0</v>
      </c>
      <c r="N296" s="462">
        <v>0</v>
      </c>
      <c r="O296" s="462">
        <v>0</v>
      </c>
      <c r="P296" s="44">
        <f t="shared" si="14"/>
        <v>1.572617946345976</v>
      </c>
      <c r="Q296" s="44">
        <f t="shared" si="15"/>
        <v>0.55504162812210911</v>
      </c>
      <c r="R296" s="44">
        <f t="shared" si="16"/>
        <v>9.2506938020351537E-2</v>
      </c>
      <c r="U296" s="465">
        <v>108100</v>
      </c>
      <c r="V296" s="464">
        <v>1700</v>
      </c>
      <c r="W296" s="464">
        <v>600</v>
      </c>
      <c r="X296" s="464">
        <v>300</v>
      </c>
      <c r="Y296" s="464">
        <v>100</v>
      </c>
    </row>
    <row r="297" spans="1:25">
      <c r="A297" s="462" t="s">
        <v>443</v>
      </c>
      <c r="B297" s="462" t="s">
        <v>450</v>
      </c>
      <c r="C297" s="462">
        <v>1987</v>
      </c>
      <c r="D297" s="462">
        <v>0.1</v>
      </c>
      <c r="E297" s="462">
        <v>0</v>
      </c>
      <c r="F297" s="462">
        <v>0</v>
      </c>
      <c r="G297" s="462">
        <v>0</v>
      </c>
      <c r="H297" s="462">
        <v>0</v>
      </c>
      <c r="K297" s="44">
        <f t="shared" si="13"/>
        <v>1.9230769230769231</v>
      </c>
      <c r="L297" s="462">
        <v>0</v>
      </c>
      <c r="M297" s="462">
        <v>0</v>
      </c>
      <c r="N297" s="462">
        <v>0</v>
      </c>
      <c r="O297" s="462">
        <v>0</v>
      </c>
      <c r="P297" s="44">
        <f t="shared" si="14"/>
        <v>1.3736263736263736</v>
      </c>
      <c r="Q297" s="44">
        <f t="shared" si="15"/>
        <v>0.45787545787545791</v>
      </c>
      <c r="R297" s="44">
        <f t="shared" si="16"/>
        <v>9.1575091575091569E-2</v>
      </c>
      <c r="U297" s="465">
        <v>109200</v>
      </c>
      <c r="V297" s="464">
        <v>1500</v>
      </c>
      <c r="W297" s="464">
        <v>500</v>
      </c>
      <c r="X297" s="464">
        <v>200</v>
      </c>
      <c r="Y297" s="464">
        <v>100</v>
      </c>
    </row>
    <row r="298" spans="1:25">
      <c r="A298" s="462" t="s">
        <v>443</v>
      </c>
      <c r="B298" s="462" t="s">
        <v>450</v>
      </c>
      <c r="C298" s="462">
        <v>1988</v>
      </c>
      <c r="D298" s="462">
        <v>0.1</v>
      </c>
      <c r="E298" s="462">
        <v>0</v>
      </c>
      <c r="F298" s="462">
        <v>0</v>
      </c>
      <c r="G298" s="462">
        <v>0</v>
      </c>
      <c r="H298" s="462">
        <v>0</v>
      </c>
      <c r="K298" s="44">
        <f t="shared" si="13"/>
        <v>2.1739130434782612</v>
      </c>
      <c r="L298" s="462">
        <v>0</v>
      </c>
      <c r="M298" s="462">
        <v>0</v>
      </c>
      <c r="N298" s="462">
        <v>0</v>
      </c>
      <c r="O298" s="462">
        <v>0</v>
      </c>
      <c r="P298" s="44">
        <f t="shared" si="14"/>
        <v>1.5398550724637683</v>
      </c>
      <c r="Q298" s="44">
        <f t="shared" si="15"/>
        <v>0.54347826086956519</v>
      </c>
      <c r="R298" s="44">
        <f t="shared" si="16"/>
        <v>9.0579710144927536E-2</v>
      </c>
      <c r="U298" s="465">
        <v>110400</v>
      </c>
      <c r="V298" s="464">
        <v>1700</v>
      </c>
      <c r="W298" s="464">
        <v>600</v>
      </c>
      <c r="X298" s="464">
        <v>200</v>
      </c>
      <c r="Y298" s="464">
        <v>100</v>
      </c>
    </row>
    <row r="299" spans="1:25">
      <c r="A299" s="462" t="s">
        <v>443</v>
      </c>
      <c r="B299" s="462" t="s">
        <v>450</v>
      </c>
      <c r="C299" s="462">
        <v>1989</v>
      </c>
      <c r="D299" s="462">
        <v>0.1</v>
      </c>
      <c r="E299" s="462">
        <v>0.1</v>
      </c>
      <c r="F299" s="462">
        <v>0</v>
      </c>
      <c r="G299" s="462">
        <v>0</v>
      </c>
      <c r="H299" s="462">
        <v>0</v>
      </c>
      <c r="K299" s="44">
        <f t="shared" si="13"/>
        <v>2.2409455842997321</v>
      </c>
      <c r="L299" s="462">
        <v>0.1</v>
      </c>
      <c r="M299" s="462">
        <v>0</v>
      </c>
      <c r="N299" s="462">
        <v>0</v>
      </c>
      <c r="O299" s="462">
        <v>0</v>
      </c>
      <c r="P299" s="44">
        <f t="shared" si="14"/>
        <v>1.5165031222123104</v>
      </c>
      <c r="Q299" s="44">
        <f t="shared" si="15"/>
        <v>0.53523639607493301</v>
      </c>
      <c r="R299" s="44">
        <f t="shared" si="16"/>
        <v>8.9206066012488858E-2</v>
      </c>
      <c r="U299" s="465">
        <v>112100</v>
      </c>
      <c r="V299" s="464">
        <v>1700</v>
      </c>
      <c r="W299" s="464">
        <v>600</v>
      </c>
      <c r="X299" s="464">
        <v>200</v>
      </c>
      <c r="Y299" s="464">
        <v>100</v>
      </c>
    </row>
    <row r="300" spans="1:25">
      <c r="A300" s="462" t="s">
        <v>443</v>
      </c>
      <c r="B300" s="462" t="s">
        <v>450</v>
      </c>
      <c r="C300" s="462">
        <v>1990</v>
      </c>
      <c r="D300" s="462">
        <v>0.2</v>
      </c>
      <c r="E300" s="462">
        <v>0.1</v>
      </c>
      <c r="F300" s="462">
        <v>0</v>
      </c>
      <c r="G300" s="462">
        <v>0</v>
      </c>
      <c r="H300" s="462">
        <v>0</v>
      </c>
      <c r="K300" s="44">
        <f t="shared" si="13"/>
        <v>2.3624434389140272</v>
      </c>
      <c r="L300" s="462">
        <v>0.1</v>
      </c>
      <c r="M300" s="462">
        <v>0</v>
      </c>
      <c r="N300" s="462">
        <v>0</v>
      </c>
      <c r="O300" s="462">
        <v>0</v>
      </c>
      <c r="P300" s="44">
        <f t="shared" si="14"/>
        <v>1.5384615384615385</v>
      </c>
      <c r="Q300" s="44">
        <f t="shared" si="15"/>
        <v>0.63348416289592757</v>
      </c>
      <c r="R300" s="44">
        <f t="shared" si="16"/>
        <v>9.0497737556561084E-2</v>
      </c>
      <c r="U300" s="465">
        <v>110500</v>
      </c>
      <c r="V300" s="464">
        <v>1700</v>
      </c>
      <c r="W300" s="464">
        <v>700</v>
      </c>
      <c r="X300" s="464">
        <v>300</v>
      </c>
      <c r="Y300" s="464">
        <v>100</v>
      </c>
    </row>
    <row r="301" spans="1:25">
      <c r="A301" s="462" t="s">
        <v>443</v>
      </c>
      <c r="B301" s="462" t="s">
        <v>450</v>
      </c>
      <c r="C301" s="462">
        <v>1991</v>
      </c>
      <c r="D301" s="462">
        <v>0.2</v>
      </c>
      <c r="E301" s="462">
        <v>0.1</v>
      </c>
      <c r="F301" s="462">
        <v>0</v>
      </c>
      <c r="G301" s="462">
        <v>0</v>
      </c>
      <c r="H301" s="462">
        <v>0.1</v>
      </c>
      <c r="K301" s="44">
        <f t="shared" si="13"/>
        <v>2.4956841138659316</v>
      </c>
      <c r="L301" s="462">
        <v>0.1</v>
      </c>
      <c r="M301" s="462">
        <v>0</v>
      </c>
      <c r="N301" s="462">
        <v>0</v>
      </c>
      <c r="O301" s="462">
        <v>0.1</v>
      </c>
      <c r="P301" s="44">
        <f t="shared" si="14"/>
        <v>1.5610651974288337</v>
      </c>
      <c r="Q301" s="44">
        <f t="shared" si="15"/>
        <v>0.64279155188246095</v>
      </c>
      <c r="R301" s="44">
        <f t="shared" si="16"/>
        <v>0.19182736455463728</v>
      </c>
      <c r="U301" s="465">
        <v>108900</v>
      </c>
      <c r="V301" s="464">
        <v>1700</v>
      </c>
      <c r="W301" s="464">
        <v>700</v>
      </c>
      <c r="X301" s="464">
        <v>300</v>
      </c>
      <c r="Y301" s="464">
        <v>100</v>
      </c>
    </row>
    <row r="302" spans="1:25">
      <c r="A302" s="462" t="s">
        <v>443</v>
      </c>
      <c r="B302" s="462" t="s">
        <v>450</v>
      </c>
      <c r="C302" s="462">
        <v>1992</v>
      </c>
      <c r="D302" s="462">
        <v>0.2</v>
      </c>
      <c r="E302" s="462">
        <v>0.1</v>
      </c>
      <c r="F302" s="462">
        <v>0</v>
      </c>
      <c r="G302" s="462">
        <v>0.1</v>
      </c>
      <c r="H302" s="462">
        <v>0</v>
      </c>
      <c r="K302" s="44">
        <f t="shared" si="13"/>
        <v>2.4679417122040075</v>
      </c>
      <c r="L302" s="462">
        <v>0.1</v>
      </c>
      <c r="M302" s="462">
        <v>0</v>
      </c>
      <c r="N302" s="462">
        <v>0</v>
      </c>
      <c r="O302" s="462">
        <v>0</v>
      </c>
      <c r="P302" s="44">
        <f t="shared" si="14"/>
        <v>1.5482695810564664</v>
      </c>
      <c r="Q302" s="44">
        <f t="shared" si="15"/>
        <v>0.63752276867030966</v>
      </c>
      <c r="R302" s="44">
        <f t="shared" si="16"/>
        <v>0.18214936247723132</v>
      </c>
      <c r="U302" s="465">
        <v>109800</v>
      </c>
      <c r="V302" s="464">
        <v>1700</v>
      </c>
      <c r="W302" s="464">
        <v>700</v>
      </c>
      <c r="X302" s="464">
        <v>400</v>
      </c>
      <c r="Y302" s="464">
        <v>200</v>
      </c>
    </row>
    <row r="303" spans="1:25">
      <c r="A303" s="462" t="s">
        <v>443</v>
      </c>
      <c r="B303" s="462" t="s">
        <v>450</v>
      </c>
      <c r="C303" s="462">
        <v>1993</v>
      </c>
      <c r="D303" s="462">
        <v>0.2</v>
      </c>
      <c r="E303" s="462">
        <v>0.1</v>
      </c>
      <c r="F303" s="462">
        <v>0</v>
      </c>
      <c r="G303" s="462">
        <v>0.1</v>
      </c>
      <c r="H303" s="462">
        <v>0</v>
      </c>
      <c r="K303" s="44">
        <f t="shared" si="13"/>
        <v>2.6258760107816714</v>
      </c>
      <c r="L303" s="462">
        <v>0.1</v>
      </c>
      <c r="M303" s="462">
        <v>0</v>
      </c>
      <c r="N303" s="462">
        <v>0.1</v>
      </c>
      <c r="O303" s="462">
        <v>0</v>
      </c>
      <c r="P303" s="44">
        <f t="shared" si="14"/>
        <v>1.6172506738544474</v>
      </c>
      <c r="Q303" s="44">
        <f t="shared" si="15"/>
        <v>0.7187780772686434</v>
      </c>
      <c r="R303" s="44">
        <f t="shared" si="16"/>
        <v>0.18984725965858043</v>
      </c>
      <c r="U303" s="465">
        <v>111300</v>
      </c>
      <c r="V303" s="464">
        <v>1800</v>
      </c>
      <c r="W303" s="464">
        <v>800</v>
      </c>
      <c r="X303" s="464">
        <v>300</v>
      </c>
      <c r="Y303" s="464">
        <v>100</v>
      </c>
    </row>
    <row r="304" spans="1:25">
      <c r="A304" s="462" t="s">
        <v>443</v>
      </c>
      <c r="B304" s="462" t="s">
        <v>450</v>
      </c>
      <c r="C304" s="462">
        <v>1994</v>
      </c>
      <c r="D304" s="462">
        <v>0.3</v>
      </c>
      <c r="E304" s="462">
        <v>0.2</v>
      </c>
      <c r="F304" s="462">
        <v>0</v>
      </c>
      <c r="G304" s="462">
        <v>0.1</v>
      </c>
      <c r="H304" s="462">
        <v>0.1</v>
      </c>
      <c r="K304" s="44">
        <f t="shared" si="13"/>
        <v>2.8647887323943664</v>
      </c>
      <c r="L304" s="462">
        <v>0.2</v>
      </c>
      <c r="M304" s="462">
        <v>0</v>
      </c>
      <c r="N304" s="462">
        <v>0.1</v>
      </c>
      <c r="O304" s="462">
        <v>0.1</v>
      </c>
      <c r="P304" s="44">
        <f t="shared" si="14"/>
        <v>1.6725352112676055</v>
      </c>
      <c r="Q304" s="44">
        <f t="shared" si="15"/>
        <v>0.70422535211267612</v>
      </c>
      <c r="R304" s="44">
        <f t="shared" si="16"/>
        <v>0.28802816901408451</v>
      </c>
      <c r="U304" s="465">
        <v>113600</v>
      </c>
      <c r="V304" s="464">
        <v>1900</v>
      </c>
      <c r="W304" s="464">
        <v>800</v>
      </c>
      <c r="X304" s="464">
        <v>300</v>
      </c>
      <c r="Y304" s="464">
        <v>100</v>
      </c>
    </row>
    <row r="305" spans="1:25">
      <c r="A305" s="462" t="s">
        <v>443</v>
      </c>
      <c r="B305" s="462" t="s">
        <v>450</v>
      </c>
      <c r="C305" s="462">
        <v>1995</v>
      </c>
      <c r="D305" s="462">
        <v>0.3</v>
      </c>
      <c r="E305" s="462">
        <v>0.2</v>
      </c>
      <c r="F305" s="462">
        <v>0</v>
      </c>
      <c r="G305" s="462">
        <v>0.1</v>
      </c>
      <c r="H305" s="462">
        <v>0</v>
      </c>
      <c r="K305" s="44">
        <f t="shared" si="13"/>
        <v>2.7807527801539775</v>
      </c>
      <c r="L305" s="462">
        <v>0.2</v>
      </c>
      <c r="M305" s="462">
        <v>0</v>
      </c>
      <c r="N305" s="462">
        <v>0.1</v>
      </c>
      <c r="O305" s="462">
        <v>0</v>
      </c>
      <c r="P305" s="44">
        <f t="shared" si="14"/>
        <v>1.6253207869974338</v>
      </c>
      <c r="Q305" s="44">
        <f t="shared" si="15"/>
        <v>0.7698887938408896</v>
      </c>
      <c r="R305" s="44">
        <f t="shared" si="16"/>
        <v>0.18554319931565441</v>
      </c>
      <c r="U305" s="465">
        <v>116900</v>
      </c>
      <c r="V305" s="464">
        <v>1900</v>
      </c>
      <c r="W305" s="464">
        <v>900</v>
      </c>
      <c r="X305" s="464">
        <v>200</v>
      </c>
      <c r="Y305" s="464">
        <v>100</v>
      </c>
    </row>
    <row r="306" spans="1:25">
      <c r="A306" s="462" t="s">
        <v>443</v>
      </c>
      <c r="B306" s="462" t="s">
        <v>450</v>
      </c>
      <c r="C306" s="462">
        <v>1996</v>
      </c>
      <c r="D306" s="462">
        <v>0.3</v>
      </c>
      <c r="E306" s="462">
        <v>0.2</v>
      </c>
      <c r="F306" s="462">
        <v>0</v>
      </c>
      <c r="G306" s="462">
        <v>0.1</v>
      </c>
      <c r="H306" s="462">
        <v>0</v>
      </c>
      <c r="K306" s="44">
        <f t="shared" si="13"/>
        <v>3.1547439126784216</v>
      </c>
      <c r="L306" s="462">
        <v>0.2</v>
      </c>
      <c r="M306" s="462">
        <v>0</v>
      </c>
      <c r="N306" s="462">
        <v>0.1</v>
      </c>
      <c r="O306" s="462">
        <v>0</v>
      </c>
      <c r="P306" s="44">
        <f t="shared" si="14"/>
        <v>1.8471872376154492</v>
      </c>
      <c r="Q306" s="44">
        <f t="shared" si="15"/>
        <v>0.92359361880772461</v>
      </c>
      <c r="R306" s="44">
        <f t="shared" si="16"/>
        <v>0.1839630562552477</v>
      </c>
      <c r="U306" s="465">
        <v>119100</v>
      </c>
      <c r="V306" s="464">
        <v>2200</v>
      </c>
      <c r="W306" s="464">
        <v>1100</v>
      </c>
      <c r="X306" s="464">
        <v>200</v>
      </c>
      <c r="Y306" s="464">
        <v>100</v>
      </c>
    </row>
    <row r="307" spans="1:25">
      <c r="A307" s="462" t="s">
        <v>443</v>
      </c>
      <c r="B307" s="462" t="s">
        <v>450</v>
      </c>
      <c r="C307" s="462">
        <v>1997</v>
      </c>
      <c r="D307" s="462">
        <v>0.3</v>
      </c>
      <c r="E307" s="462">
        <v>0.2</v>
      </c>
      <c r="F307" s="462">
        <v>0</v>
      </c>
      <c r="G307" s="462">
        <v>0.1</v>
      </c>
      <c r="H307" s="462">
        <v>0</v>
      </c>
      <c r="K307" s="44">
        <f t="shared" si="13"/>
        <v>2.6326797385620919</v>
      </c>
      <c r="L307" s="462">
        <v>0.1</v>
      </c>
      <c r="M307" s="462">
        <v>0</v>
      </c>
      <c r="N307" s="462">
        <v>0</v>
      </c>
      <c r="O307" s="462">
        <v>0</v>
      </c>
      <c r="P307" s="44">
        <f t="shared" si="14"/>
        <v>1.6339869281045754</v>
      </c>
      <c r="Q307" s="44">
        <f t="shared" si="15"/>
        <v>0.81699346405228768</v>
      </c>
      <c r="R307" s="44">
        <f t="shared" si="16"/>
        <v>8.1699346405228759E-2</v>
      </c>
      <c r="U307" s="465">
        <v>122400</v>
      </c>
      <c r="V307" s="464">
        <v>2000</v>
      </c>
      <c r="W307" s="464">
        <v>1000</v>
      </c>
      <c r="X307" s="464">
        <v>200</v>
      </c>
      <c r="Y307" s="464">
        <v>100</v>
      </c>
    </row>
    <row r="308" spans="1:25">
      <c r="A308" s="462" t="s">
        <v>443</v>
      </c>
      <c r="B308" s="462" t="s">
        <v>450</v>
      </c>
      <c r="C308" s="462">
        <v>1998</v>
      </c>
      <c r="D308" s="462">
        <v>0.3</v>
      </c>
      <c r="E308" s="462">
        <v>0.2</v>
      </c>
      <c r="F308" s="462">
        <v>0</v>
      </c>
      <c r="G308" s="462">
        <v>0</v>
      </c>
      <c r="H308" s="462">
        <v>0</v>
      </c>
      <c r="K308" s="44">
        <f t="shared" si="13"/>
        <v>2.7117739403453687</v>
      </c>
      <c r="L308" s="462">
        <v>0.2</v>
      </c>
      <c r="M308" s="462">
        <v>0</v>
      </c>
      <c r="N308" s="462">
        <v>0</v>
      </c>
      <c r="O308" s="462">
        <v>0</v>
      </c>
      <c r="P308" s="44">
        <f t="shared" si="14"/>
        <v>1.6483516483516485</v>
      </c>
      <c r="Q308" s="44">
        <f t="shared" si="15"/>
        <v>0.78492935635792771</v>
      </c>
      <c r="R308" s="44">
        <f t="shared" si="16"/>
        <v>7.8492935635792779E-2</v>
      </c>
      <c r="U308" s="465">
        <v>127400</v>
      </c>
      <c r="V308" s="464">
        <v>2100</v>
      </c>
      <c r="W308" s="464">
        <v>1000</v>
      </c>
      <c r="X308" s="464">
        <v>200</v>
      </c>
      <c r="Y308" s="464">
        <v>100</v>
      </c>
    </row>
    <row r="309" spans="1:25">
      <c r="A309" s="462" t="s">
        <v>443</v>
      </c>
      <c r="B309" s="462" t="s">
        <v>450</v>
      </c>
      <c r="C309" s="462">
        <v>1999</v>
      </c>
      <c r="D309" s="462">
        <v>0.3</v>
      </c>
      <c r="E309" s="462">
        <v>0.2</v>
      </c>
      <c r="F309" s="462">
        <v>0</v>
      </c>
      <c r="G309" s="462">
        <v>0.1</v>
      </c>
      <c r="H309" s="462">
        <v>0</v>
      </c>
      <c r="K309" s="44">
        <f t="shared" si="13"/>
        <v>2.5943310657596372</v>
      </c>
      <c r="L309" s="462">
        <v>0.1</v>
      </c>
      <c r="M309" s="462">
        <v>0</v>
      </c>
      <c r="N309" s="462">
        <v>0</v>
      </c>
      <c r="O309" s="462">
        <v>0</v>
      </c>
      <c r="P309" s="44">
        <f t="shared" si="14"/>
        <v>1.6628873771730914</v>
      </c>
      <c r="Q309" s="44">
        <f t="shared" si="15"/>
        <v>0.75585789871504161</v>
      </c>
      <c r="R309" s="44">
        <f t="shared" si="16"/>
        <v>7.5585789871504161E-2</v>
      </c>
      <c r="U309" s="465">
        <v>132300</v>
      </c>
      <c r="V309" s="464">
        <v>2200</v>
      </c>
      <c r="W309" s="464">
        <v>1000</v>
      </c>
      <c r="X309" s="464">
        <v>200</v>
      </c>
      <c r="Y309" s="464">
        <v>100</v>
      </c>
    </row>
    <row r="310" spans="1:25">
      <c r="A310" s="462" t="s">
        <v>443</v>
      </c>
      <c r="B310" s="462" t="s">
        <v>450</v>
      </c>
      <c r="C310" s="462">
        <v>2000</v>
      </c>
      <c r="D310" s="462">
        <v>0.3</v>
      </c>
      <c r="E310" s="462">
        <v>0.2</v>
      </c>
      <c r="F310" s="462">
        <v>0</v>
      </c>
      <c r="G310" s="462">
        <v>0.1</v>
      </c>
      <c r="H310" s="462">
        <v>0</v>
      </c>
      <c r="K310" s="44">
        <f t="shared" si="13"/>
        <v>2.637223042836041</v>
      </c>
      <c r="L310" s="462">
        <v>0.2</v>
      </c>
      <c r="M310" s="462">
        <v>0</v>
      </c>
      <c r="N310" s="462">
        <v>0</v>
      </c>
      <c r="O310" s="462">
        <v>0</v>
      </c>
      <c r="P310" s="44">
        <f t="shared" si="14"/>
        <v>1.6248153618906942</v>
      </c>
      <c r="Q310" s="44">
        <f t="shared" si="15"/>
        <v>0.73855243722304276</v>
      </c>
      <c r="R310" s="44">
        <f t="shared" si="16"/>
        <v>7.3855243722304287E-2</v>
      </c>
      <c r="U310" s="465">
        <v>135400</v>
      </c>
      <c r="V310" s="464">
        <v>2200</v>
      </c>
      <c r="W310" s="464">
        <v>1000</v>
      </c>
      <c r="X310" s="464">
        <v>200</v>
      </c>
      <c r="Y310" s="464">
        <v>100</v>
      </c>
    </row>
    <row r="311" spans="1:25">
      <c r="A311" s="462" t="s">
        <v>443</v>
      </c>
      <c r="B311" s="462" t="s">
        <v>450</v>
      </c>
      <c r="C311" s="462">
        <v>2001</v>
      </c>
      <c r="D311" s="462">
        <v>0.3</v>
      </c>
      <c r="E311" s="462">
        <v>0.2</v>
      </c>
      <c r="F311" s="462">
        <v>0</v>
      </c>
      <c r="G311" s="462">
        <v>0</v>
      </c>
      <c r="H311" s="462">
        <v>0</v>
      </c>
      <c r="K311" s="44">
        <f t="shared" si="13"/>
        <v>2.5970037453183523</v>
      </c>
      <c r="L311" s="462">
        <v>0.2</v>
      </c>
      <c r="M311" s="462">
        <v>0</v>
      </c>
      <c r="N311" s="462">
        <v>0</v>
      </c>
      <c r="O311" s="462">
        <v>0</v>
      </c>
      <c r="P311" s="44">
        <f t="shared" si="14"/>
        <v>1.5730337078651686</v>
      </c>
      <c r="Q311" s="44">
        <f t="shared" si="15"/>
        <v>0.74906367041198507</v>
      </c>
      <c r="R311" s="44">
        <f t="shared" si="16"/>
        <v>7.4906367041198504E-2</v>
      </c>
      <c r="U311" s="465">
        <v>133500</v>
      </c>
      <c r="V311" s="464">
        <v>2100</v>
      </c>
      <c r="W311" s="464">
        <v>1000</v>
      </c>
      <c r="X311" s="464">
        <v>300</v>
      </c>
      <c r="Y311" s="464">
        <v>100</v>
      </c>
    </row>
    <row r="312" spans="1:25">
      <c r="A312" s="462" t="s">
        <v>443</v>
      </c>
      <c r="B312" s="462" t="s">
        <v>450</v>
      </c>
      <c r="C312" s="462">
        <v>2002</v>
      </c>
      <c r="D312" s="462">
        <v>0.4</v>
      </c>
      <c r="E312" s="462">
        <v>0.3</v>
      </c>
      <c r="F312" s="462">
        <v>0</v>
      </c>
      <c r="G312" s="462">
        <v>0.1</v>
      </c>
      <c r="H312" s="462">
        <v>0</v>
      </c>
      <c r="K312" s="44">
        <f t="shared" si="13"/>
        <v>2.6371667936024377</v>
      </c>
      <c r="L312" s="462">
        <v>0.2</v>
      </c>
      <c r="M312" s="462">
        <v>0</v>
      </c>
      <c r="N312" s="462">
        <v>0</v>
      </c>
      <c r="O312" s="462">
        <v>0</v>
      </c>
      <c r="P312" s="44">
        <f t="shared" si="14"/>
        <v>1.5993907083015995</v>
      </c>
      <c r="Q312" s="44">
        <f t="shared" si="15"/>
        <v>0.76161462300076166</v>
      </c>
      <c r="R312" s="44">
        <f t="shared" si="16"/>
        <v>7.6161462300076158E-2</v>
      </c>
      <c r="U312" s="465">
        <v>131300</v>
      </c>
      <c r="V312" s="464">
        <v>2100</v>
      </c>
      <c r="W312" s="464">
        <v>1000</v>
      </c>
      <c r="X312" s="464">
        <v>500</v>
      </c>
      <c r="Y312" s="464">
        <v>100</v>
      </c>
    </row>
    <row r="313" spans="1:25">
      <c r="A313" s="462" t="s">
        <v>443</v>
      </c>
      <c r="B313" s="462" t="s">
        <v>450</v>
      </c>
      <c r="C313" s="462">
        <v>2003</v>
      </c>
      <c r="D313" s="462">
        <v>0.4</v>
      </c>
      <c r="E313" s="462">
        <v>0.3</v>
      </c>
      <c r="F313" s="462">
        <v>0</v>
      </c>
      <c r="G313" s="462">
        <v>0</v>
      </c>
      <c r="H313" s="462">
        <v>0</v>
      </c>
      <c r="K313" s="44">
        <f t="shared" si="13"/>
        <v>2.5988005997001498</v>
      </c>
      <c r="L313" s="462">
        <v>0.2</v>
      </c>
      <c r="M313" s="462">
        <v>0</v>
      </c>
      <c r="N313" s="462">
        <v>0</v>
      </c>
      <c r="O313" s="462">
        <v>0</v>
      </c>
      <c r="P313" s="44">
        <f t="shared" si="14"/>
        <v>1.5742128935532234</v>
      </c>
      <c r="Q313" s="44">
        <f t="shared" si="15"/>
        <v>0.7496251874062968</v>
      </c>
      <c r="R313" s="44">
        <f t="shared" si="16"/>
        <v>7.4962518740629688E-2</v>
      </c>
      <c r="U313" s="465">
        <v>133400</v>
      </c>
      <c r="V313" s="464">
        <v>2100</v>
      </c>
      <c r="W313" s="464">
        <v>1000</v>
      </c>
      <c r="X313" s="464">
        <v>500</v>
      </c>
      <c r="Y313" s="464">
        <v>100</v>
      </c>
    </row>
    <row r="314" spans="1:25">
      <c r="A314" s="462" t="s">
        <v>443</v>
      </c>
      <c r="B314" s="462" t="s">
        <v>450</v>
      </c>
      <c r="C314" s="462">
        <v>2004</v>
      </c>
      <c r="D314" s="462">
        <v>0.4</v>
      </c>
      <c r="E314" s="462">
        <v>0.3</v>
      </c>
      <c r="F314" s="462">
        <v>0</v>
      </c>
      <c r="G314" s="462">
        <v>0.1</v>
      </c>
      <c r="H314" s="462">
        <v>0</v>
      </c>
      <c r="K314" s="44">
        <f t="shared" si="13"/>
        <v>3.0124818577648766</v>
      </c>
      <c r="L314" s="462">
        <v>0.3</v>
      </c>
      <c r="M314" s="462">
        <v>0</v>
      </c>
      <c r="N314" s="462">
        <v>0.1</v>
      </c>
      <c r="O314" s="462">
        <v>0</v>
      </c>
      <c r="P314" s="44">
        <f t="shared" si="14"/>
        <v>1.6690856313497822</v>
      </c>
      <c r="Q314" s="44">
        <f t="shared" si="15"/>
        <v>0.8708272859216255</v>
      </c>
      <c r="R314" s="44">
        <f t="shared" si="16"/>
        <v>0.1725689404934688</v>
      </c>
      <c r="U314" s="465">
        <v>137800</v>
      </c>
      <c r="V314" s="464">
        <v>2300</v>
      </c>
      <c r="W314" s="464">
        <v>1200</v>
      </c>
      <c r="X314" s="464">
        <v>300</v>
      </c>
      <c r="Y314" s="464">
        <v>100</v>
      </c>
    </row>
    <row r="315" spans="1:25">
      <c r="A315" s="462" t="s">
        <v>443</v>
      </c>
      <c r="B315" s="462" t="s">
        <v>450</v>
      </c>
      <c r="C315" s="462">
        <v>2005</v>
      </c>
      <c r="D315" s="462">
        <v>0.4</v>
      </c>
      <c r="E315" s="462">
        <v>0.3</v>
      </c>
      <c r="F315" s="462">
        <v>0</v>
      </c>
      <c r="G315" s="462">
        <v>0.1</v>
      </c>
      <c r="H315" s="462">
        <v>0</v>
      </c>
      <c r="K315" s="44">
        <f t="shared" si="13"/>
        <v>3.0777777777777775</v>
      </c>
      <c r="L315" s="462">
        <v>0.3</v>
      </c>
      <c r="M315" s="462">
        <v>0</v>
      </c>
      <c r="N315" s="462">
        <v>0</v>
      </c>
      <c r="O315" s="462">
        <v>0</v>
      </c>
      <c r="P315" s="44">
        <f t="shared" si="14"/>
        <v>1.7806267806267806</v>
      </c>
      <c r="Q315" s="44">
        <f t="shared" si="15"/>
        <v>0.92592592592592582</v>
      </c>
      <c r="R315" s="44">
        <f t="shared" si="16"/>
        <v>7.1225071225071226E-2</v>
      </c>
      <c r="U315" s="465">
        <v>140400</v>
      </c>
      <c r="V315" s="464">
        <v>2500</v>
      </c>
      <c r="W315" s="464">
        <v>1300</v>
      </c>
      <c r="X315" s="464">
        <v>300</v>
      </c>
      <c r="Y315" s="464">
        <v>100</v>
      </c>
    </row>
    <row r="316" spans="1:25">
      <c r="A316" s="462" t="s">
        <v>443</v>
      </c>
      <c r="B316" s="462" t="s">
        <v>450</v>
      </c>
      <c r="C316" s="462">
        <v>2006</v>
      </c>
      <c r="D316" s="462">
        <v>0.4</v>
      </c>
      <c r="E316" s="462">
        <v>0.3</v>
      </c>
      <c r="F316" s="462">
        <v>0</v>
      </c>
      <c r="G316" s="462">
        <v>0.1</v>
      </c>
      <c r="H316" s="462">
        <v>0</v>
      </c>
      <c r="K316" s="44">
        <f t="shared" si="13"/>
        <v>3.3146426092990979</v>
      </c>
      <c r="L316" s="462">
        <v>0.3</v>
      </c>
      <c r="M316" s="462">
        <v>0</v>
      </c>
      <c r="N316" s="462">
        <v>0.1</v>
      </c>
      <c r="O316" s="462">
        <v>0</v>
      </c>
      <c r="P316" s="44">
        <f t="shared" si="14"/>
        <v>1.8043025676613464</v>
      </c>
      <c r="Q316" s="44">
        <f t="shared" si="15"/>
        <v>1.0409437890353921</v>
      </c>
      <c r="R316" s="44">
        <f t="shared" si="16"/>
        <v>0.16939625260235947</v>
      </c>
      <c r="U316" s="465">
        <v>144100</v>
      </c>
      <c r="V316" s="464">
        <v>2600</v>
      </c>
      <c r="W316" s="464">
        <v>1500</v>
      </c>
      <c r="X316" s="464">
        <v>200</v>
      </c>
      <c r="Y316" s="464">
        <v>100</v>
      </c>
    </row>
    <row r="317" spans="1:25">
      <c r="A317" s="462" t="s">
        <v>443</v>
      </c>
      <c r="B317" s="462" t="s">
        <v>450</v>
      </c>
      <c r="C317" s="462">
        <v>2007</v>
      </c>
      <c r="D317" s="462">
        <v>0.4</v>
      </c>
      <c r="E317" s="462">
        <v>0.3</v>
      </c>
      <c r="F317" s="462">
        <v>0</v>
      </c>
      <c r="G317" s="462">
        <v>0.1</v>
      </c>
      <c r="H317" s="462">
        <v>0</v>
      </c>
      <c r="K317" s="44">
        <f t="shared" si="13"/>
        <v>3.4674846625766875</v>
      </c>
      <c r="L317" s="462">
        <v>0.3</v>
      </c>
      <c r="M317" s="462">
        <v>0</v>
      </c>
      <c r="N317" s="462">
        <v>0.1</v>
      </c>
      <c r="O317" s="462">
        <v>0</v>
      </c>
      <c r="P317" s="44">
        <f t="shared" si="14"/>
        <v>1.9086571233810499</v>
      </c>
      <c r="Q317" s="44">
        <f t="shared" si="15"/>
        <v>1.0906612133606</v>
      </c>
      <c r="R317" s="44">
        <f t="shared" si="16"/>
        <v>0.16816632583503749</v>
      </c>
      <c r="U317" s="465">
        <v>146700</v>
      </c>
      <c r="V317" s="464">
        <v>2800</v>
      </c>
      <c r="W317" s="464">
        <v>1600</v>
      </c>
      <c r="X317" s="464">
        <v>200</v>
      </c>
      <c r="Y317" s="464">
        <v>100</v>
      </c>
    </row>
    <row r="318" spans="1:25">
      <c r="A318" s="462" t="s">
        <v>443</v>
      </c>
      <c r="B318" s="462" t="s">
        <v>450</v>
      </c>
      <c r="C318" s="462">
        <v>2008</v>
      </c>
      <c r="D318" s="462">
        <v>0.4</v>
      </c>
      <c r="E318" s="462">
        <v>0.3</v>
      </c>
      <c r="F318" s="462">
        <v>0</v>
      </c>
      <c r="G318" s="462">
        <v>0.1</v>
      </c>
      <c r="H318" s="462">
        <v>0</v>
      </c>
      <c r="K318" s="44">
        <f t="shared" ref="K318:K381" si="17">L318+P318+Q318+R318</f>
        <v>3.1492008339124391</v>
      </c>
      <c r="L318" s="462">
        <v>0.3</v>
      </c>
      <c r="M318" s="462">
        <v>0</v>
      </c>
      <c r="N318" s="462">
        <v>0</v>
      </c>
      <c r="O318" s="462">
        <v>0</v>
      </c>
      <c r="P318" s="44">
        <f t="shared" ref="P318:P381" si="18">V318/$U318*100</f>
        <v>1.7373175816539264</v>
      </c>
      <c r="Q318" s="44">
        <f t="shared" ref="Q318:Q381" si="19">W318/$U318*100</f>
        <v>1.0423905489923557</v>
      </c>
      <c r="R318" s="44">
        <f t="shared" ref="R318:R381" si="20">M318+N318+O318+Y318/$U318*100</f>
        <v>6.9492703266157058E-2</v>
      </c>
      <c r="U318" s="465">
        <v>143900</v>
      </c>
      <c r="V318" s="464">
        <v>2500</v>
      </c>
      <c r="W318" s="464">
        <v>1500</v>
      </c>
      <c r="X318" s="464">
        <v>300</v>
      </c>
      <c r="Y318" s="464">
        <v>100</v>
      </c>
    </row>
    <row r="319" spans="1:25">
      <c r="A319" s="462" t="s">
        <v>443</v>
      </c>
      <c r="B319" s="462" t="s">
        <v>450</v>
      </c>
      <c r="C319" s="462">
        <v>2009</v>
      </c>
      <c r="D319" s="462">
        <v>0.5</v>
      </c>
      <c r="E319" s="462">
        <v>0.4</v>
      </c>
      <c r="F319" s="462">
        <v>0</v>
      </c>
      <c r="G319" s="462">
        <v>0.1</v>
      </c>
      <c r="H319" s="462">
        <v>0</v>
      </c>
      <c r="K319" s="44">
        <f t="shared" si="17"/>
        <v>3.4107526881720434</v>
      </c>
      <c r="L319" s="462">
        <v>0.4</v>
      </c>
      <c r="M319" s="462">
        <v>0</v>
      </c>
      <c r="N319" s="462">
        <v>0</v>
      </c>
      <c r="O319" s="462">
        <v>0</v>
      </c>
      <c r="P319" s="44">
        <f t="shared" si="18"/>
        <v>1.935483870967742</v>
      </c>
      <c r="Q319" s="44">
        <f t="shared" si="19"/>
        <v>1.0752688172043012</v>
      </c>
      <c r="R319" s="44">
        <f t="shared" si="20"/>
        <v>0</v>
      </c>
      <c r="U319" s="465">
        <v>139500</v>
      </c>
      <c r="V319" s="464">
        <v>2700</v>
      </c>
      <c r="W319" s="464">
        <v>1500</v>
      </c>
      <c r="X319" s="464">
        <v>700</v>
      </c>
      <c r="Y319" s="464">
        <v>0</v>
      </c>
    </row>
    <row r="320" spans="1:25">
      <c r="A320" s="462" t="s">
        <v>443</v>
      </c>
      <c r="B320" s="462" t="s">
        <v>450</v>
      </c>
      <c r="C320" s="462">
        <v>2010</v>
      </c>
      <c r="D320" s="462">
        <v>0.5</v>
      </c>
      <c r="E320" s="462">
        <v>0.4</v>
      </c>
      <c r="F320" s="462">
        <v>0</v>
      </c>
      <c r="G320" s="462">
        <v>0</v>
      </c>
      <c r="H320" s="462">
        <v>0</v>
      </c>
      <c r="K320" s="44">
        <f t="shared" si="17"/>
        <v>3.6788641265276776</v>
      </c>
      <c r="L320" s="462">
        <v>0.3</v>
      </c>
      <c r="M320" s="462">
        <v>0</v>
      </c>
      <c r="N320" s="462">
        <v>0</v>
      </c>
      <c r="O320" s="462">
        <v>0</v>
      </c>
      <c r="P320" s="44">
        <f t="shared" si="18"/>
        <v>2.0848310567936736</v>
      </c>
      <c r="Q320" s="44">
        <f t="shared" si="19"/>
        <v>1.2221423436376708</v>
      </c>
      <c r="R320" s="44">
        <f t="shared" si="20"/>
        <v>7.1890726096333582E-2</v>
      </c>
      <c r="U320" s="465">
        <v>139100</v>
      </c>
      <c r="V320" s="464">
        <v>2900</v>
      </c>
      <c r="W320" s="464">
        <v>1700</v>
      </c>
      <c r="X320" s="464">
        <v>700</v>
      </c>
      <c r="Y320" s="464">
        <v>100</v>
      </c>
    </row>
    <row r="321" spans="1:25">
      <c r="A321" s="462" t="s">
        <v>443</v>
      </c>
      <c r="B321" s="462" t="s">
        <v>450</v>
      </c>
      <c r="C321" s="462">
        <v>2011</v>
      </c>
      <c r="D321" s="462">
        <v>0.5</v>
      </c>
      <c r="E321" s="462">
        <v>0.3</v>
      </c>
      <c r="F321" s="462">
        <v>0</v>
      </c>
      <c r="G321" s="462">
        <v>0.1</v>
      </c>
      <c r="H321" s="462">
        <v>0</v>
      </c>
      <c r="K321" s="44">
        <f t="shared" si="17"/>
        <v>3.7042553191489356</v>
      </c>
      <c r="L321" s="462">
        <v>0.3</v>
      </c>
      <c r="M321" s="462">
        <v>0</v>
      </c>
      <c r="N321" s="462">
        <v>0</v>
      </c>
      <c r="O321" s="462">
        <v>0</v>
      </c>
      <c r="P321" s="44">
        <f t="shared" si="18"/>
        <v>2.1276595744680851</v>
      </c>
      <c r="Q321" s="44">
        <f t="shared" si="19"/>
        <v>1.2056737588652482</v>
      </c>
      <c r="R321" s="44">
        <f t="shared" si="20"/>
        <v>7.0921985815602842E-2</v>
      </c>
      <c r="U321" s="465">
        <v>141000</v>
      </c>
      <c r="V321" s="464">
        <v>3000</v>
      </c>
      <c r="W321" s="464">
        <v>1700</v>
      </c>
      <c r="X321" s="464">
        <v>600</v>
      </c>
      <c r="Y321" s="464">
        <v>100</v>
      </c>
    </row>
    <row r="322" spans="1:25">
      <c r="A322" s="462" t="s">
        <v>443</v>
      </c>
      <c r="B322" s="462" t="s">
        <v>450</v>
      </c>
      <c r="C322" s="462">
        <v>2012</v>
      </c>
      <c r="D322" s="462">
        <v>0.5</v>
      </c>
      <c r="E322" s="462">
        <v>0.4</v>
      </c>
      <c r="F322" s="462">
        <v>0</v>
      </c>
      <c r="G322" s="462">
        <v>0.1</v>
      </c>
      <c r="H322" s="462">
        <v>0</v>
      </c>
      <c r="K322" s="44">
        <f t="shared" si="17"/>
        <v>4.124525650035137</v>
      </c>
      <c r="L322" s="462">
        <v>0.3</v>
      </c>
      <c r="M322" s="462">
        <v>0</v>
      </c>
      <c r="N322" s="462">
        <v>0.1</v>
      </c>
      <c r="O322" s="462">
        <v>0</v>
      </c>
      <c r="P322" s="44">
        <f t="shared" si="18"/>
        <v>2.3190442726633873</v>
      </c>
      <c r="Q322" s="44">
        <f t="shared" si="19"/>
        <v>1.3352073085031624</v>
      </c>
      <c r="R322" s="44">
        <f t="shared" si="20"/>
        <v>0.17027406886858748</v>
      </c>
      <c r="U322" s="465">
        <v>142300</v>
      </c>
      <c r="V322" s="464">
        <v>3300</v>
      </c>
      <c r="W322" s="464">
        <v>1900</v>
      </c>
      <c r="X322" s="464">
        <v>400</v>
      </c>
      <c r="Y322" s="464">
        <v>100</v>
      </c>
    </row>
    <row r="323" spans="1:25">
      <c r="A323" s="462" t="s">
        <v>443</v>
      </c>
      <c r="B323" s="462" t="s">
        <v>450</v>
      </c>
      <c r="C323" s="462">
        <v>2013</v>
      </c>
      <c r="D323" s="462">
        <v>0.4</v>
      </c>
      <c r="E323" s="462">
        <v>0.3</v>
      </c>
      <c r="F323" s="462">
        <v>0</v>
      </c>
      <c r="G323" s="462">
        <v>0</v>
      </c>
      <c r="H323" s="462">
        <v>0</v>
      </c>
      <c r="K323" s="44">
        <f t="shared" si="17"/>
        <v>4.0370242214532874</v>
      </c>
      <c r="L323" s="462">
        <v>0.3</v>
      </c>
      <c r="M323" s="462">
        <v>0</v>
      </c>
      <c r="N323" s="462">
        <v>0</v>
      </c>
      <c r="O323" s="462">
        <v>0</v>
      </c>
      <c r="P323" s="44">
        <f t="shared" si="18"/>
        <v>2.3529411764705883</v>
      </c>
      <c r="Q323" s="44">
        <f t="shared" si="19"/>
        <v>1.314878892733564</v>
      </c>
      <c r="R323" s="44">
        <f t="shared" si="20"/>
        <v>6.920415224913494E-2</v>
      </c>
      <c r="U323" s="465">
        <v>144500</v>
      </c>
      <c r="V323" s="464">
        <v>3400</v>
      </c>
      <c r="W323" s="464">
        <v>1900</v>
      </c>
      <c r="X323" s="464">
        <v>400</v>
      </c>
      <c r="Y323" s="464">
        <v>100</v>
      </c>
    </row>
    <row r="324" spans="1:25">
      <c r="A324" s="462" t="s">
        <v>443</v>
      </c>
      <c r="B324" s="462" t="s">
        <v>450</v>
      </c>
      <c r="C324" s="462">
        <v>2014</v>
      </c>
      <c r="D324" s="462">
        <v>0.6</v>
      </c>
      <c r="E324" s="462">
        <v>0.5</v>
      </c>
      <c r="F324" s="462">
        <v>0</v>
      </c>
      <c r="G324" s="462">
        <v>0</v>
      </c>
      <c r="H324" s="462">
        <v>0.1</v>
      </c>
      <c r="K324" s="44">
        <f t="shared" si="17"/>
        <v>4.0511156186612576</v>
      </c>
      <c r="L324" s="462">
        <v>0.4</v>
      </c>
      <c r="M324" s="462">
        <v>0</v>
      </c>
      <c r="N324" s="462">
        <v>0</v>
      </c>
      <c r="O324" s="462">
        <v>0</v>
      </c>
      <c r="P324" s="44">
        <f t="shared" si="18"/>
        <v>2.2988505747126435</v>
      </c>
      <c r="Q324" s="44">
        <f t="shared" si="19"/>
        <v>1.2846517917511833</v>
      </c>
      <c r="R324" s="44">
        <f t="shared" si="20"/>
        <v>6.7613252197430695E-2</v>
      </c>
      <c r="U324" s="465">
        <v>147900</v>
      </c>
      <c r="V324" s="464">
        <v>3400</v>
      </c>
      <c r="W324" s="464">
        <v>1900</v>
      </c>
      <c r="X324" s="464">
        <v>200</v>
      </c>
      <c r="Y324" s="464">
        <v>100</v>
      </c>
    </row>
    <row r="325" spans="1:25">
      <c r="A325" s="462" t="s">
        <v>443</v>
      </c>
      <c r="B325" s="462" t="s">
        <v>450</v>
      </c>
      <c r="C325" s="462">
        <v>2015</v>
      </c>
      <c r="D325" s="462">
        <v>0.6</v>
      </c>
      <c r="E325" s="462">
        <v>0.5</v>
      </c>
      <c r="F325" s="462">
        <v>0</v>
      </c>
      <c r="G325" s="462">
        <v>0.1</v>
      </c>
      <c r="H325" s="462">
        <v>0.1</v>
      </c>
      <c r="K325" s="44">
        <f t="shared" si="17"/>
        <v>4.0110533159947979</v>
      </c>
      <c r="L325" s="462">
        <v>0.5</v>
      </c>
      <c r="M325" s="462">
        <v>0</v>
      </c>
      <c r="N325" s="462">
        <v>0</v>
      </c>
      <c r="O325" s="462">
        <v>0</v>
      </c>
      <c r="P325" s="44">
        <f t="shared" si="18"/>
        <v>2.2106631989596877</v>
      </c>
      <c r="Q325" s="44">
        <f t="shared" si="19"/>
        <v>1.3003901170351104</v>
      </c>
      <c r="R325" s="44">
        <f t="shared" si="20"/>
        <v>0</v>
      </c>
      <c r="U325" s="465">
        <v>153800</v>
      </c>
      <c r="V325" s="464">
        <v>3400</v>
      </c>
      <c r="W325" s="464">
        <v>2000</v>
      </c>
      <c r="X325" s="464">
        <v>200</v>
      </c>
      <c r="Y325" s="464">
        <v>0</v>
      </c>
    </row>
    <row r="326" spans="1:25">
      <c r="A326" s="462" t="s">
        <v>443</v>
      </c>
      <c r="B326" s="462" t="s">
        <v>450</v>
      </c>
      <c r="C326" s="462">
        <v>2016</v>
      </c>
      <c r="D326" s="462">
        <v>0.7</v>
      </c>
      <c r="E326" s="462">
        <v>0.6</v>
      </c>
      <c r="F326" s="462">
        <v>0</v>
      </c>
      <c r="G326" s="462">
        <v>0</v>
      </c>
      <c r="H326" s="462">
        <v>0.1</v>
      </c>
      <c r="K326" s="44">
        <f t="shared" si="17"/>
        <v>4.3917098445595855</v>
      </c>
      <c r="L326" s="462">
        <v>0.6</v>
      </c>
      <c r="M326" s="462">
        <v>0</v>
      </c>
      <c r="N326" s="462">
        <v>0</v>
      </c>
      <c r="O326" s="462">
        <v>0.1</v>
      </c>
      <c r="P326" s="44">
        <f t="shared" si="18"/>
        <v>2.266839378238342</v>
      </c>
      <c r="Q326" s="44">
        <f t="shared" si="19"/>
        <v>1.3601036269430051</v>
      </c>
      <c r="R326" s="44">
        <f t="shared" si="20"/>
        <v>0.16476683937823836</v>
      </c>
      <c r="U326" s="465">
        <v>154400</v>
      </c>
      <c r="V326" s="464">
        <v>3500</v>
      </c>
      <c r="W326" s="464">
        <v>2100</v>
      </c>
      <c r="X326" s="464">
        <v>200</v>
      </c>
      <c r="Y326" s="464">
        <v>100</v>
      </c>
    </row>
    <row r="327" spans="1:25">
      <c r="A327" s="462" t="s">
        <v>443</v>
      </c>
      <c r="B327" s="462" t="s">
        <v>451</v>
      </c>
      <c r="C327" s="462">
        <v>1979</v>
      </c>
      <c r="D327" s="462">
        <v>0.1</v>
      </c>
      <c r="E327" s="462">
        <v>0</v>
      </c>
      <c r="F327" s="462">
        <v>0</v>
      </c>
      <c r="G327" s="462">
        <v>0</v>
      </c>
      <c r="H327" s="462">
        <v>0</v>
      </c>
      <c r="K327" s="44">
        <f t="shared" si="17"/>
        <v>1.3866231647634584</v>
      </c>
      <c r="L327" s="462">
        <v>0</v>
      </c>
      <c r="M327" s="462">
        <v>0</v>
      </c>
      <c r="N327" s="462">
        <v>0</v>
      </c>
      <c r="O327" s="462">
        <v>0</v>
      </c>
      <c r="P327" s="44">
        <f t="shared" si="18"/>
        <v>1.0603588907014683</v>
      </c>
      <c r="Q327" s="44">
        <f t="shared" si="19"/>
        <v>0.24469820554649263</v>
      </c>
      <c r="R327" s="44">
        <f t="shared" si="20"/>
        <v>8.1566068515497553E-2</v>
      </c>
      <c r="U327" s="465">
        <v>122600</v>
      </c>
      <c r="V327" s="464">
        <v>1300</v>
      </c>
      <c r="W327" s="464">
        <v>300</v>
      </c>
      <c r="X327" s="464">
        <v>200</v>
      </c>
      <c r="Y327" s="464">
        <v>100</v>
      </c>
    </row>
    <row r="328" spans="1:25">
      <c r="A328" s="462" t="s">
        <v>443</v>
      </c>
      <c r="B328" s="462" t="s">
        <v>451</v>
      </c>
      <c r="C328" s="462">
        <v>1980</v>
      </c>
      <c r="D328" s="462">
        <v>0.1</v>
      </c>
      <c r="E328" s="462">
        <v>0</v>
      </c>
      <c r="F328" s="462">
        <v>0</v>
      </c>
      <c r="G328" s="462">
        <v>0</v>
      </c>
      <c r="H328" s="462">
        <v>0</v>
      </c>
      <c r="K328" s="44">
        <f t="shared" si="17"/>
        <v>1.6597510373443982</v>
      </c>
      <c r="L328" s="462">
        <v>0</v>
      </c>
      <c r="M328" s="462">
        <v>0</v>
      </c>
      <c r="N328" s="462">
        <v>0</v>
      </c>
      <c r="O328" s="462">
        <v>0</v>
      </c>
      <c r="P328" s="44">
        <f t="shared" si="18"/>
        <v>1.2448132780082988</v>
      </c>
      <c r="Q328" s="44">
        <f t="shared" si="19"/>
        <v>0.33195020746887965</v>
      </c>
      <c r="R328" s="44">
        <f t="shared" si="20"/>
        <v>8.2987551867219914E-2</v>
      </c>
      <c r="U328" s="465">
        <v>120500</v>
      </c>
      <c r="V328" s="464">
        <v>1500</v>
      </c>
      <c r="W328" s="464">
        <v>400</v>
      </c>
      <c r="X328" s="464">
        <v>200</v>
      </c>
      <c r="Y328" s="464">
        <v>100</v>
      </c>
    </row>
    <row r="329" spans="1:25">
      <c r="A329" s="462" t="s">
        <v>443</v>
      </c>
      <c r="B329" s="462" t="s">
        <v>451</v>
      </c>
      <c r="C329" s="462">
        <v>1981</v>
      </c>
      <c r="D329" s="462">
        <v>0.1</v>
      </c>
      <c r="E329" s="462">
        <v>0</v>
      </c>
      <c r="F329" s="462">
        <v>0</v>
      </c>
      <c r="G329" s="462">
        <v>0</v>
      </c>
      <c r="H329" s="462">
        <v>0</v>
      </c>
      <c r="K329" s="44">
        <f t="shared" si="17"/>
        <v>1.8333333333333335</v>
      </c>
      <c r="L329" s="462">
        <v>0</v>
      </c>
      <c r="M329" s="462">
        <v>0</v>
      </c>
      <c r="N329" s="462">
        <v>0</v>
      </c>
      <c r="O329" s="462">
        <v>0</v>
      </c>
      <c r="P329" s="44">
        <f t="shared" si="18"/>
        <v>1.3333333333333335</v>
      </c>
      <c r="Q329" s="44">
        <f t="shared" si="19"/>
        <v>0.41666666666666669</v>
      </c>
      <c r="R329" s="44">
        <f t="shared" si="20"/>
        <v>8.3333333333333343E-2</v>
      </c>
      <c r="U329" s="465">
        <v>120000</v>
      </c>
      <c r="V329" s="464">
        <v>1600</v>
      </c>
      <c r="W329" s="464">
        <v>500</v>
      </c>
      <c r="X329" s="464">
        <v>200</v>
      </c>
      <c r="Y329" s="464">
        <v>100</v>
      </c>
    </row>
    <row r="330" spans="1:25">
      <c r="A330" s="462" t="s">
        <v>443</v>
      </c>
      <c r="B330" s="462" t="s">
        <v>451</v>
      </c>
      <c r="C330" s="462">
        <v>1982</v>
      </c>
      <c r="D330" s="462">
        <v>0.1</v>
      </c>
      <c r="E330" s="462">
        <v>0</v>
      </c>
      <c r="F330" s="462">
        <v>0</v>
      </c>
      <c r="G330" s="462">
        <v>0</v>
      </c>
      <c r="H330" s="462">
        <v>0</v>
      </c>
      <c r="K330" s="44">
        <f t="shared" si="17"/>
        <v>1.9311502938706973</v>
      </c>
      <c r="L330" s="462">
        <v>0</v>
      </c>
      <c r="M330" s="462">
        <v>0</v>
      </c>
      <c r="N330" s="462">
        <v>0</v>
      </c>
      <c r="O330" s="462">
        <v>0</v>
      </c>
      <c r="P330" s="44">
        <f t="shared" si="18"/>
        <v>1.4273719563392109</v>
      </c>
      <c r="Q330" s="44">
        <f t="shared" si="19"/>
        <v>0.41981528127623846</v>
      </c>
      <c r="R330" s="44">
        <f t="shared" si="20"/>
        <v>8.3963056255247692E-2</v>
      </c>
      <c r="U330" s="465">
        <v>119100</v>
      </c>
      <c r="V330" s="464">
        <v>1700</v>
      </c>
      <c r="W330" s="464">
        <v>500</v>
      </c>
      <c r="X330" s="464">
        <v>300</v>
      </c>
      <c r="Y330" s="464">
        <v>100</v>
      </c>
    </row>
    <row r="331" spans="1:25">
      <c r="A331" s="462" t="s">
        <v>443</v>
      </c>
      <c r="B331" s="462" t="s">
        <v>451</v>
      </c>
      <c r="C331" s="462">
        <v>1983</v>
      </c>
      <c r="D331" s="462">
        <v>0.1</v>
      </c>
      <c r="E331" s="462">
        <v>0</v>
      </c>
      <c r="F331" s="462">
        <v>0</v>
      </c>
      <c r="G331" s="462">
        <v>0</v>
      </c>
      <c r="H331" s="462">
        <v>0</v>
      </c>
      <c r="K331" s="44">
        <f t="shared" si="17"/>
        <v>1.9623875715453802</v>
      </c>
      <c r="L331" s="462">
        <v>0</v>
      </c>
      <c r="M331" s="462">
        <v>0</v>
      </c>
      <c r="N331" s="462">
        <v>0</v>
      </c>
      <c r="O331" s="462">
        <v>0</v>
      </c>
      <c r="P331" s="44">
        <f t="shared" si="18"/>
        <v>1.3900245298446443</v>
      </c>
      <c r="Q331" s="44">
        <f t="shared" si="19"/>
        <v>0.49059689288634506</v>
      </c>
      <c r="R331" s="44">
        <f t="shared" si="20"/>
        <v>8.1766148814390843E-2</v>
      </c>
      <c r="U331" s="465">
        <v>122300</v>
      </c>
      <c r="V331" s="464">
        <v>1700</v>
      </c>
      <c r="W331" s="464">
        <v>600</v>
      </c>
      <c r="X331" s="464">
        <v>200</v>
      </c>
      <c r="Y331" s="464">
        <v>100</v>
      </c>
    </row>
    <row r="332" spans="1:25">
      <c r="A332" s="462" t="s">
        <v>443</v>
      </c>
      <c r="B332" s="462" t="s">
        <v>451</v>
      </c>
      <c r="C332" s="462">
        <v>1984</v>
      </c>
      <c r="D332" s="462">
        <v>0.1</v>
      </c>
      <c r="E332" s="462">
        <v>0</v>
      </c>
      <c r="F332" s="462">
        <v>0</v>
      </c>
      <c r="G332" s="462">
        <v>0</v>
      </c>
      <c r="H332" s="462">
        <v>0</v>
      </c>
      <c r="K332" s="44">
        <f t="shared" si="17"/>
        <v>2.2003034901365703</v>
      </c>
      <c r="L332" s="462">
        <v>0</v>
      </c>
      <c r="M332" s="462">
        <v>0</v>
      </c>
      <c r="N332" s="462">
        <v>0</v>
      </c>
      <c r="O332" s="462">
        <v>0</v>
      </c>
      <c r="P332" s="44">
        <f t="shared" si="18"/>
        <v>1.5933232169954477</v>
      </c>
      <c r="Q332" s="44">
        <f t="shared" si="19"/>
        <v>0.53110773899848251</v>
      </c>
      <c r="R332" s="44">
        <f t="shared" si="20"/>
        <v>7.5872534142640363E-2</v>
      </c>
      <c r="U332" s="465">
        <v>131800</v>
      </c>
      <c r="V332" s="464">
        <v>2100</v>
      </c>
      <c r="W332" s="464">
        <v>700</v>
      </c>
      <c r="X332" s="464">
        <v>200</v>
      </c>
      <c r="Y332" s="464">
        <v>100</v>
      </c>
    </row>
    <row r="333" spans="1:25">
      <c r="A333" s="462" t="s">
        <v>443</v>
      </c>
      <c r="B333" s="462" t="s">
        <v>451</v>
      </c>
      <c r="C333" s="462">
        <v>1985</v>
      </c>
      <c r="D333" s="462">
        <v>0.1</v>
      </c>
      <c r="E333" s="462">
        <v>0</v>
      </c>
      <c r="F333" s="462">
        <v>0</v>
      </c>
      <c r="G333" s="462">
        <v>0</v>
      </c>
      <c r="H333" s="462">
        <v>0</v>
      </c>
      <c r="K333" s="44">
        <f t="shared" si="17"/>
        <v>1.902587519025875</v>
      </c>
      <c r="L333" s="462">
        <v>0</v>
      </c>
      <c r="M333" s="462">
        <v>0</v>
      </c>
      <c r="N333" s="462">
        <v>0</v>
      </c>
      <c r="O333" s="462">
        <v>0</v>
      </c>
      <c r="P333" s="44">
        <f t="shared" si="18"/>
        <v>1.445966514459665</v>
      </c>
      <c r="Q333" s="44">
        <f t="shared" si="19"/>
        <v>0.45662100456621002</v>
      </c>
      <c r="R333" s="44">
        <f t="shared" si="20"/>
        <v>0</v>
      </c>
      <c r="U333" s="465">
        <v>131400</v>
      </c>
      <c r="V333" s="464">
        <v>1900</v>
      </c>
      <c r="W333" s="464">
        <v>600</v>
      </c>
      <c r="X333" s="464">
        <v>200</v>
      </c>
      <c r="Y333" s="464">
        <v>0</v>
      </c>
    </row>
    <row r="334" spans="1:25">
      <c r="A334" s="462" t="s">
        <v>443</v>
      </c>
      <c r="B334" s="462" t="s">
        <v>451</v>
      </c>
      <c r="C334" s="462">
        <v>1986</v>
      </c>
      <c r="D334" s="462">
        <v>0.1</v>
      </c>
      <c r="E334" s="462">
        <v>0</v>
      </c>
      <c r="F334" s="462">
        <v>0</v>
      </c>
      <c r="G334" s="462">
        <v>0</v>
      </c>
      <c r="H334" s="462">
        <v>0</v>
      </c>
      <c r="K334" s="44">
        <f t="shared" si="17"/>
        <v>1.9693654266958425</v>
      </c>
      <c r="L334" s="462">
        <v>0</v>
      </c>
      <c r="M334" s="462">
        <v>0</v>
      </c>
      <c r="N334" s="462">
        <v>0</v>
      </c>
      <c r="O334" s="462">
        <v>0</v>
      </c>
      <c r="P334" s="44">
        <f t="shared" si="18"/>
        <v>1.3858497447118892</v>
      </c>
      <c r="Q334" s="44">
        <f t="shared" si="19"/>
        <v>0.51057622173595918</v>
      </c>
      <c r="R334" s="44">
        <f t="shared" si="20"/>
        <v>7.2939460247994164E-2</v>
      </c>
      <c r="U334" s="465">
        <v>137100</v>
      </c>
      <c r="V334" s="464">
        <v>1900</v>
      </c>
      <c r="W334" s="464">
        <v>700</v>
      </c>
      <c r="X334" s="464">
        <v>200</v>
      </c>
      <c r="Y334" s="464">
        <v>100</v>
      </c>
    </row>
    <row r="335" spans="1:25">
      <c r="A335" s="462" t="s">
        <v>443</v>
      </c>
      <c r="B335" s="462" t="s">
        <v>451</v>
      </c>
      <c r="C335" s="462">
        <v>1987</v>
      </c>
      <c r="D335" s="462">
        <v>0.1</v>
      </c>
      <c r="E335" s="462">
        <v>0</v>
      </c>
      <c r="F335" s="462">
        <v>0</v>
      </c>
      <c r="G335" s="462">
        <v>0</v>
      </c>
      <c r="H335" s="462">
        <v>0</v>
      </c>
      <c r="K335" s="44">
        <f t="shared" si="17"/>
        <v>1.7033356990773598</v>
      </c>
      <c r="L335" s="462">
        <v>0</v>
      </c>
      <c r="M335" s="462">
        <v>0</v>
      </c>
      <c r="N335" s="462">
        <v>0</v>
      </c>
      <c r="O335" s="462">
        <v>0</v>
      </c>
      <c r="P335" s="44">
        <f t="shared" si="18"/>
        <v>1.2065294535131299</v>
      </c>
      <c r="Q335" s="44">
        <f t="shared" si="19"/>
        <v>0.42583392476933996</v>
      </c>
      <c r="R335" s="44">
        <f t="shared" si="20"/>
        <v>7.0972320794889993E-2</v>
      </c>
      <c r="U335" s="465">
        <v>140900</v>
      </c>
      <c r="V335" s="464">
        <v>1700</v>
      </c>
      <c r="W335" s="464">
        <v>600</v>
      </c>
      <c r="X335" s="464">
        <v>200</v>
      </c>
      <c r="Y335" s="464">
        <v>100</v>
      </c>
    </row>
    <row r="336" spans="1:25">
      <c r="A336" s="462" t="s">
        <v>443</v>
      </c>
      <c r="B336" s="462" t="s">
        <v>451</v>
      </c>
      <c r="C336" s="462">
        <v>1988</v>
      </c>
      <c r="D336" s="462">
        <v>0.1</v>
      </c>
      <c r="E336" s="462">
        <v>0</v>
      </c>
      <c r="F336" s="462">
        <v>0</v>
      </c>
      <c r="G336" s="462">
        <v>0</v>
      </c>
      <c r="H336" s="462">
        <v>0</v>
      </c>
      <c r="K336" s="44">
        <f t="shared" si="17"/>
        <v>1.6129032258064515</v>
      </c>
      <c r="L336" s="462">
        <v>0</v>
      </c>
      <c r="M336" s="462">
        <v>0</v>
      </c>
      <c r="N336" s="462">
        <v>0</v>
      </c>
      <c r="O336" s="462">
        <v>0</v>
      </c>
      <c r="P336" s="44">
        <f t="shared" si="18"/>
        <v>1.1220196353436185</v>
      </c>
      <c r="Q336" s="44">
        <f t="shared" si="19"/>
        <v>0.42075736325385693</v>
      </c>
      <c r="R336" s="44">
        <f t="shared" si="20"/>
        <v>7.0126227208976155E-2</v>
      </c>
      <c r="U336" s="465">
        <v>142600</v>
      </c>
      <c r="V336" s="464">
        <v>1600</v>
      </c>
      <c r="W336" s="464">
        <v>600</v>
      </c>
      <c r="X336" s="464">
        <v>200</v>
      </c>
      <c r="Y336" s="464">
        <v>100</v>
      </c>
    </row>
    <row r="337" spans="1:25">
      <c r="A337" s="462" t="s">
        <v>443</v>
      </c>
      <c r="B337" s="462" t="s">
        <v>451</v>
      </c>
      <c r="C337" s="462">
        <v>1989</v>
      </c>
      <c r="D337" s="462">
        <v>0.1</v>
      </c>
      <c r="E337" s="462">
        <v>0</v>
      </c>
      <c r="F337" s="462">
        <v>0</v>
      </c>
      <c r="G337" s="462">
        <v>0</v>
      </c>
      <c r="H337" s="462">
        <v>0</v>
      </c>
      <c r="K337" s="44">
        <f t="shared" si="17"/>
        <v>1.7844886753603293</v>
      </c>
      <c r="L337" s="462">
        <v>0</v>
      </c>
      <c r="M337" s="462">
        <v>0</v>
      </c>
      <c r="N337" s="462">
        <v>0</v>
      </c>
      <c r="O337" s="462">
        <v>0</v>
      </c>
      <c r="P337" s="44">
        <f t="shared" si="18"/>
        <v>1.2354152367879203</v>
      </c>
      <c r="Q337" s="44">
        <f t="shared" si="19"/>
        <v>0.48043925875085791</v>
      </c>
      <c r="R337" s="44">
        <f t="shared" si="20"/>
        <v>6.8634179821551136E-2</v>
      </c>
      <c r="U337" s="465">
        <v>145700</v>
      </c>
      <c r="V337" s="464">
        <v>1800</v>
      </c>
      <c r="W337" s="464">
        <v>700</v>
      </c>
      <c r="X337" s="464">
        <v>200</v>
      </c>
      <c r="Y337" s="464">
        <v>100</v>
      </c>
    </row>
    <row r="338" spans="1:25">
      <c r="A338" s="462" t="s">
        <v>443</v>
      </c>
      <c r="B338" s="462" t="s">
        <v>451</v>
      </c>
      <c r="C338" s="462">
        <v>1990</v>
      </c>
      <c r="D338" s="462">
        <v>0.1</v>
      </c>
      <c r="E338" s="462">
        <v>0</v>
      </c>
      <c r="F338" s="462">
        <v>0</v>
      </c>
      <c r="G338" s="462">
        <v>0</v>
      </c>
      <c r="H338" s="462">
        <v>0</v>
      </c>
      <c r="K338" s="44">
        <f t="shared" si="17"/>
        <v>1.8987341772151898</v>
      </c>
      <c r="L338" s="462">
        <v>0</v>
      </c>
      <c r="M338" s="462">
        <v>0</v>
      </c>
      <c r="N338" s="462">
        <v>0</v>
      </c>
      <c r="O338" s="462">
        <v>0</v>
      </c>
      <c r="P338" s="44">
        <f t="shared" si="18"/>
        <v>1.2658227848101267</v>
      </c>
      <c r="Q338" s="44">
        <f t="shared" si="19"/>
        <v>0.49226441631504925</v>
      </c>
      <c r="R338" s="44">
        <f t="shared" si="20"/>
        <v>0.14064697609001406</v>
      </c>
      <c r="U338" s="465">
        <v>142200</v>
      </c>
      <c r="V338" s="464">
        <v>1800</v>
      </c>
      <c r="W338" s="464">
        <v>700</v>
      </c>
      <c r="X338" s="464">
        <v>200</v>
      </c>
      <c r="Y338" s="464">
        <v>200</v>
      </c>
    </row>
    <row r="339" spans="1:25">
      <c r="A339" s="462" t="s">
        <v>443</v>
      </c>
      <c r="B339" s="462" t="s">
        <v>451</v>
      </c>
      <c r="C339" s="462">
        <v>1991</v>
      </c>
      <c r="D339" s="462">
        <v>0.1</v>
      </c>
      <c r="E339" s="462">
        <v>0</v>
      </c>
      <c r="F339" s="462">
        <v>0</v>
      </c>
      <c r="G339" s="462">
        <v>0</v>
      </c>
      <c r="H339" s="462">
        <v>0</v>
      </c>
      <c r="K339" s="44">
        <f t="shared" si="17"/>
        <v>1.8452803406671399</v>
      </c>
      <c r="L339" s="462">
        <v>0</v>
      </c>
      <c r="M339" s="462">
        <v>0</v>
      </c>
      <c r="N339" s="462">
        <v>0</v>
      </c>
      <c r="O339" s="462">
        <v>0</v>
      </c>
      <c r="P339" s="44">
        <f t="shared" si="18"/>
        <v>1.2775017743080199</v>
      </c>
      <c r="Q339" s="44">
        <f t="shared" si="19"/>
        <v>0.49680624556422998</v>
      </c>
      <c r="R339" s="44">
        <f t="shared" si="20"/>
        <v>7.0972320794889993E-2</v>
      </c>
      <c r="U339" s="465">
        <v>140900</v>
      </c>
      <c r="V339" s="464">
        <v>1800</v>
      </c>
      <c r="W339" s="464">
        <v>700</v>
      </c>
      <c r="X339" s="464">
        <v>200</v>
      </c>
      <c r="Y339" s="464">
        <v>100</v>
      </c>
    </row>
    <row r="340" spans="1:25">
      <c r="A340" s="462" t="s">
        <v>443</v>
      </c>
      <c r="B340" s="462" t="s">
        <v>451</v>
      </c>
      <c r="C340" s="462">
        <v>1992</v>
      </c>
      <c r="D340" s="462">
        <v>0.2</v>
      </c>
      <c r="E340" s="462">
        <v>0.1</v>
      </c>
      <c r="F340" s="462">
        <v>0</v>
      </c>
      <c r="G340" s="462">
        <v>0</v>
      </c>
      <c r="H340" s="462">
        <v>0</v>
      </c>
      <c r="K340" s="44">
        <f t="shared" si="17"/>
        <v>1.8519271198318152</v>
      </c>
      <c r="L340" s="462">
        <v>0.1</v>
      </c>
      <c r="M340" s="462">
        <v>0</v>
      </c>
      <c r="N340" s="462">
        <v>0</v>
      </c>
      <c r="O340" s="462">
        <v>0</v>
      </c>
      <c r="P340" s="44">
        <f t="shared" si="18"/>
        <v>1.1913104414856344</v>
      </c>
      <c r="Q340" s="44">
        <f t="shared" si="19"/>
        <v>0.49053959355290822</v>
      </c>
      <c r="R340" s="44">
        <f t="shared" si="20"/>
        <v>7.0077084793272598E-2</v>
      </c>
      <c r="U340" s="465">
        <v>142700</v>
      </c>
      <c r="V340" s="464">
        <v>1700</v>
      </c>
      <c r="W340" s="464">
        <v>700</v>
      </c>
      <c r="X340" s="464">
        <v>300</v>
      </c>
      <c r="Y340" s="464">
        <v>100</v>
      </c>
    </row>
    <row r="341" spans="1:25">
      <c r="A341" s="462" t="s">
        <v>443</v>
      </c>
      <c r="B341" s="462" t="s">
        <v>451</v>
      </c>
      <c r="C341" s="462">
        <v>1993</v>
      </c>
      <c r="D341" s="462">
        <v>0.2</v>
      </c>
      <c r="E341" s="462">
        <v>0.1</v>
      </c>
      <c r="F341" s="462">
        <v>0</v>
      </c>
      <c r="G341" s="462">
        <v>0</v>
      </c>
      <c r="H341" s="462">
        <v>0</v>
      </c>
      <c r="K341" s="44">
        <f t="shared" si="17"/>
        <v>2.0417475728155341</v>
      </c>
      <c r="L341" s="462">
        <v>0.1</v>
      </c>
      <c r="M341" s="462">
        <v>0</v>
      </c>
      <c r="N341" s="462">
        <v>0</v>
      </c>
      <c r="O341" s="462">
        <v>0</v>
      </c>
      <c r="P341" s="44">
        <f t="shared" si="18"/>
        <v>1.3176144244105408</v>
      </c>
      <c r="Q341" s="44">
        <f t="shared" si="19"/>
        <v>0.55478502080443826</v>
      </c>
      <c r="R341" s="44">
        <f t="shared" si="20"/>
        <v>6.9348127600554782E-2</v>
      </c>
      <c r="U341" s="465">
        <v>144200</v>
      </c>
      <c r="V341" s="464">
        <v>1900</v>
      </c>
      <c r="W341" s="464">
        <v>800</v>
      </c>
      <c r="X341" s="464">
        <v>300</v>
      </c>
      <c r="Y341" s="464">
        <v>100</v>
      </c>
    </row>
    <row r="342" spans="1:25">
      <c r="A342" s="462" t="s">
        <v>443</v>
      </c>
      <c r="B342" s="462" t="s">
        <v>451</v>
      </c>
      <c r="C342" s="462">
        <v>1994</v>
      </c>
      <c r="D342" s="462">
        <v>0.2</v>
      </c>
      <c r="E342" s="462">
        <v>0.1</v>
      </c>
      <c r="F342" s="462">
        <v>0</v>
      </c>
      <c r="G342" s="462">
        <v>0</v>
      </c>
      <c r="H342" s="462">
        <v>0</v>
      </c>
      <c r="K342" s="44">
        <f t="shared" si="17"/>
        <v>2.2872863978127138</v>
      </c>
      <c r="L342" s="462">
        <v>0.1</v>
      </c>
      <c r="M342" s="462">
        <v>0</v>
      </c>
      <c r="N342" s="462">
        <v>0</v>
      </c>
      <c r="O342" s="462">
        <v>0</v>
      </c>
      <c r="P342" s="44">
        <f t="shared" si="18"/>
        <v>1.5037593984962405</v>
      </c>
      <c r="Q342" s="44">
        <f t="shared" si="19"/>
        <v>0.61517429938482571</v>
      </c>
      <c r="R342" s="44">
        <f t="shared" si="20"/>
        <v>6.8352699931647304E-2</v>
      </c>
      <c r="U342" s="465">
        <v>146300</v>
      </c>
      <c r="V342" s="464">
        <v>2200</v>
      </c>
      <c r="W342" s="464">
        <v>900</v>
      </c>
      <c r="X342" s="464">
        <v>200</v>
      </c>
      <c r="Y342" s="464">
        <v>100</v>
      </c>
    </row>
    <row r="343" spans="1:25">
      <c r="A343" s="462" t="s">
        <v>443</v>
      </c>
      <c r="B343" s="462" t="s">
        <v>451</v>
      </c>
      <c r="C343" s="462">
        <v>1995</v>
      </c>
      <c r="D343" s="462">
        <v>0.2</v>
      </c>
      <c r="E343" s="462">
        <v>0.1</v>
      </c>
      <c r="F343" s="462">
        <v>0</v>
      </c>
      <c r="G343" s="462">
        <v>0</v>
      </c>
      <c r="H343" s="462">
        <v>0</v>
      </c>
      <c r="K343" s="44">
        <f t="shared" si="17"/>
        <v>2.2150033046926638</v>
      </c>
      <c r="L343" s="462">
        <v>0.1</v>
      </c>
      <c r="M343" s="462">
        <v>0</v>
      </c>
      <c r="N343" s="462">
        <v>0</v>
      </c>
      <c r="O343" s="462">
        <v>0</v>
      </c>
      <c r="P343" s="44">
        <f t="shared" si="18"/>
        <v>1.3879709187045606</v>
      </c>
      <c r="Q343" s="44">
        <f t="shared" si="19"/>
        <v>0.66093853271645742</v>
      </c>
      <c r="R343" s="44">
        <f t="shared" si="20"/>
        <v>6.6093853271645728E-2</v>
      </c>
      <c r="U343" s="465">
        <v>151300</v>
      </c>
      <c r="V343" s="464">
        <v>2100</v>
      </c>
      <c r="W343" s="464">
        <v>1000</v>
      </c>
      <c r="X343" s="464">
        <v>200</v>
      </c>
      <c r="Y343" s="464">
        <v>100</v>
      </c>
    </row>
    <row r="344" spans="1:25">
      <c r="A344" s="462" t="s">
        <v>443</v>
      </c>
      <c r="B344" s="462" t="s">
        <v>451</v>
      </c>
      <c r="C344" s="462">
        <v>1996</v>
      </c>
      <c r="D344" s="462">
        <v>0.2</v>
      </c>
      <c r="E344" s="462">
        <v>0.1</v>
      </c>
      <c r="F344" s="462">
        <v>0</v>
      </c>
      <c r="G344" s="462">
        <v>0</v>
      </c>
      <c r="H344" s="462">
        <v>0</v>
      </c>
      <c r="K344" s="44">
        <f t="shared" si="17"/>
        <v>2.3264631043257</v>
      </c>
      <c r="L344" s="462">
        <v>0.1</v>
      </c>
      <c r="M344" s="462">
        <v>0</v>
      </c>
      <c r="N344" s="462">
        <v>0</v>
      </c>
      <c r="O344" s="462">
        <v>0</v>
      </c>
      <c r="P344" s="44">
        <f t="shared" si="18"/>
        <v>1.4631043256997456</v>
      </c>
      <c r="Q344" s="44">
        <f t="shared" si="19"/>
        <v>0.69974554707379133</v>
      </c>
      <c r="R344" s="44">
        <f t="shared" si="20"/>
        <v>6.3613231552162849E-2</v>
      </c>
      <c r="U344" s="465">
        <v>157200</v>
      </c>
      <c r="V344" s="464">
        <v>2300</v>
      </c>
      <c r="W344" s="464">
        <v>1100</v>
      </c>
      <c r="X344" s="464">
        <v>200</v>
      </c>
      <c r="Y344" s="464">
        <v>100</v>
      </c>
    </row>
    <row r="345" spans="1:25">
      <c r="A345" s="462" t="s">
        <v>443</v>
      </c>
      <c r="B345" s="462" t="s">
        <v>451</v>
      </c>
      <c r="C345" s="462">
        <v>1997</v>
      </c>
      <c r="D345" s="462">
        <v>0.1</v>
      </c>
      <c r="E345" s="462">
        <v>0.1</v>
      </c>
      <c r="F345" s="462">
        <v>0</v>
      </c>
      <c r="G345" s="462">
        <v>0</v>
      </c>
      <c r="H345" s="462">
        <v>0</v>
      </c>
      <c r="K345" s="44">
        <f t="shared" si="17"/>
        <v>2.4970497848801476</v>
      </c>
      <c r="L345" s="462">
        <v>0.1</v>
      </c>
      <c r="M345" s="462">
        <v>0</v>
      </c>
      <c r="N345" s="462">
        <v>0</v>
      </c>
      <c r="O345" s="462">
        <v>0</v>
      </c>
      <c r="P345" s="44">
        <f t="shared" si="18"/>
        <v>1.5365703749231714</v>
      </c>
      <c r="Q345" s="44">
        <f t="shared" si="19"/>
        <v>0.79901659496004929</v>
      </c>
      <c r="R345" s="44">
        <f t="shared" si="20"/>
        <v>6.1462814996926851E-2</v>
      </c>
      <c r="U345" s="465">
        <v>162700</v>
      </c>
      <c r="V345" s="464">
        <v>2500</v>
      </c>
      <c r="W345" s="464">
        <v>1300</v>
      </c>
      <c r="X345" s="464">
        <v>100</v>
      </c>
      <c r="Y345" s="464">
        <v>100</v>
      </c>
    </row>
    <row r="346" spans="1:25">
      <c r="A346" s="462" t="s">
        <v>443</v>
      </c>
      <c r="B346" s="462" t="s">
        <v>451</v>
      </c>
      <c r="C346" s="462">
        <v>1998</v>
      </c>
      <c r="D346" s="462">
        <v>0.2</v>
      </c>
      <c r="E346" s="462">
        <v>0.1</v>
      </c>
      <c r="F346" s="462">
        <v>0</v>
      </c>
      <c r="G346" s="462">
        <v>0</v>
      </c>
      <c r="H346" s="462">
        <v>0</v>
      </c>
      <c r="K346" s="44">
        <f t="shared" si="17"/>
        <v>2.3366097704532076</v>
      </c>
      <c r="L346" s="462">
        <v>0.1</v>
      </c>
      <c r="M346" s="462">
        <v>0</v>
      </c>
      <c r="N346" s="462">
        <v>0</v>
      </c>
      <c r="O346" s="462">
        <v>0</v>
      </c>
      <c r="P346" s="44">
        <f t="shared" si="18"/>
        <v>1.4714537963507945</v>
      </c>
      <c r="Q346" s="44">
        <f t="shared" si="19"/>
        <v>0.70629782224838134</v>
      </c>
      <c r="R346" s="44">
        <f t="shared" si="20"/>
        <v>5.885815185403178E-2</v>
      </c>
      <c r="U346" s="465">
        <v>169900</v>
      </c>
      <c r="V346" s="464">
        <v>2500</v>
      </c>
      <c r="W346" s="464">
        <v>1200</v>
      </c>
      <c r="X346" s="464">
        <v>100</v>
      </c>
      <c r="Y346" s="464">
        <v>100</v>
      </c>
    </row>
    <row r="347" spans="1:25">
      <c r="A347" s="462" t="s">
        <v>443</v>
      </c>
      <c r="B347" s="462" t="s">
        <v>451</v>
      </c>
      <c r="C347" s="462">
        <v>1999</v>
      </c>
      <c r="D347" s="462">
        <v>0.2</v>
      </c>
      <c r="E347" s="462">
        <v>0.1</v>
      </c>
      <c r="F347" s="462">
        <v>0</v>
      </c>
      <c r="G347" s="462">
        <v>0</v>
      </c>
      <c r="H347" s="462">
        <v>0</v>
      </c>
      <c r="K347" s="44">
        <f t="shared" si="17"/>
        <v>2.1361990950226244</v>
      </c>
      <c r="L347" s="462">
        <v>0.1</v>
      </c>
      <c r="M347" s="462">
        <v>0</v>
      </c>
      <c r="N347" s="462">
        <v>0</v>
      </c>
      <c r="O347" s="462">
        <v>0</v>
      </c>
      <c r="P347" s="44">
        <f t="shared" si="18"/>
        <v>1.3574660633484164</v>
      </c>
      <c r="Q347" s="44">
        <f t="shared" si="19"/>
        <v>0.62217194570135748</v>
      </c>
      <c r="R347" s="44">
        <f t="shared" si="20"/>
        <v>5.6561085972850686E-2</v>
      </c>
      <c r="U347" s="465">
        <v>176800</v>
      </c>
      <c r="V347" s="464">
        <v>2400</v>
      </c>
      <c r="W347" s="464">
        <v>1100</v>
      </c>
      <c r="X347" s="464">
        <v>200</v>
      </c>
      <c r="Y347" s="464">
        <v>100</v>
      </c>
    </row>
    <row r="348" spans="1:25">
      <c r="A348" s="462" t="s">
        <v>443</v>
      </c>
      <c r="B348" s="462" t="s">
        <v>451</v>
      </c>
      <c r="C348" s="462">
        <v>2000</v>
      </c>
      <c r="D348" s="462">
        <v>0.2</v>
      </c>
      <c r="E348" s="462">
        <v>0.1</v>
      </c>
      <c r="F348" s="462">
        <v>0</v>
      </c>
      <c r="G348" s="462">
        <v>0</v>
      </c>
      <c r="H348" s="462">
        <v>0</v>
      </c>
      <c r="K348" s="44">
        <f t="shared" si="17"/>
        <v>2.3527472527472528</v>
      </c>
      <c r="L348" s="462">
        <v>0.1</v>
      </c>
      <c r="M348" s="462">
        <v>0</v>
      </c>
      <c r="N348" s="462">
        <v>0</v>
      </c>
      <c r="O348" s="462">
        <v>0</v>
      </c>
      <c r="P348" s="44">
        <f t="shared" si="18"/>
        <v>1.5384615384615385</v>
      </c>
      <c r="Q348" s="44">
        <f t="shared" si="19"/>
        <v>0.65934065934065933</v>
      </c>
      <c r="R348" s="44">
        <f t="shared" si="20"/>
        <v>5.4945054945054944E-2</v>
      </c>
      <c r="U348" s="465">
        <v>182000</v>
      </c>
      <c r="V348" s="464">
        <v>2800</v>
      </c>
      <c r="W348" s="464">
        <v>1200</v>
      </c>
      <c r="X348" s="464">
        <v>200</v>
      </c>
      <c r="Y348" s="464">
        <v>100</v>
      </c>
    </row>
    <row r="349" spans="1:25">
      <c r="A349" s="462" t="s">
        <v>443</v>
      </c>
      <c r="B349" s="462" t="s">
        <v>451</v>
      </c>
      <c r="C349" s="462">
        <v>2001</v>
      </c>
      <c r="D349" s="462">
        <v>0.2</v>
      </c>
      <c r="E349" s="462">
        <v>0.2</v>
      </c>
      <c r="F349" s="462">
        <v>0</v>
      </c>
      <c r="G349" s="462">
        <v>0</v>
      </c>
      <c r="H349" s="462">
        <v>0</v>
      </c>
      <c r="K349" s="44">
        <f t="shared" si="17"/>
        <v>2.0144144144144147</v>
      </c>
      <c r="L349" s="462">
        <v>0.1</v>
      </c>
      <c r="M349" s="462">
        <v>0</v>
      </c>
      <c r="N349" s="462">
        <v>0</v>
      </c>
      <c r="O349" s="462">
        <v>0</v>
      </c>
      <c r="P349" s="44">
        <f t="shared" si="18"/>
        <v>1.295045045045045</v>
      </c>
      <c r="Q349" s="44">
        <f t="shared" si="19"/>
        <v>0.56306306306306309</v>
      </c>
      <c r="R349" s="44">
        <f t="shared" si="20"/>
        <v>5.6306306306306307E-2</v>
      </c>
      <c r="U349" s="465">
        <v>177600</v>
      </c>
      <c r="V349" s="464">
        <v>2300</v>
      </c>
      <c r="W349" s="464">
        <v>1000</v>
      </c>
      <c r="X349" s="464">
        <v>200</v>
      </c>
      <c r="Y349" s="464">
        <v>100</v>
      </c>
    </row>
    <row r="350" spans="1:25">
      <c r="A350" s="462" t="s">
        <v>443</v>
      </c>
      <c r="B350" s="462" t="s">
        <v>451</v>
      </c>
      <c r="C350" s="462">
        <v>2002</v>
      </c>
      <c r="D350" s="462">
        <v>0.2</v>
      </c>
      <c r="E350" s="462">
        <v>0.2</v>
      </c>
      <c r="F350" s="462">
        <v>0</v>
      </c>
      <c r="G350" s="462">
        <v>0</v>
      </c>
      <c r="H350" s="462">
        <v>0</v>
      </c>
      <c r="K350" s="44">
        <f t="shared" si="17"/>
        <v>1.8241379310344827</v>
      </c>
      <c r="L350" s="462">
        <v>0.1</v>
      </c>
      <c r="M350" s="462">
        <v>0</v>
      </c>
      <c r="N350" s="462">
        <v>0</v>
      </c>
      <c r="O350" s="462">
        <v>0</v>
      </c>
      <c r="P350" s="44">
        <f t="shared" si="18"/>
        <v>1.1494252873563218</v>
      </c>
      <c r="Q350" s="44">
        <f t="shared" si="19"/>
        <v>0.51724137931034486</v>
      </c>
      <c r="R350" s="44">
        <f t="shared" si="20"/>
        <v>5.7471264367816091E-2</v>
      </c>
      <c r="U350" s="465">
        <v>174000</v>
      </c>
      <c r="V350" s="464">
        <v>2000</v>
      </c>
      <c r="W350" s="464">
        <v>900</v>
      </c>
      <c r="X350" s="464">
        <v>400</v>
      </c>
      <c r="Y350" s="464">
        <v>100</v>
      </c>
    </row>
    <row r="351" spans="1:25">
      <c r="A351" s="462" t="s">
        <v>443</v>
      </c>
      <c r="B351" s="462" t="s">
        <v>451</v>
      </c>
      <c r="C351" s="462">
        <v>2003</v>
      </c>
      <c r="D351" s="462">
        <v>0.2</v>
      </c>
      <c r="E351" s="462">
        <v>0.2</v>
      </c>
      <c r="F351" s="462">
        <v>0</v>
      </c>
      <c r="G351" s="462">
        <v>0</v>
      </c>
      <c r="H351" s="462">
        <v>0</v>
      </c>
      <c r="K351" s="44">
        <f t="shared" si="17"/>
        <v>2.176284584980237</v>
      </c>
      <c r="L351" s="462">
        <v>0.2</v>
      </c>
      <c r="M351" s="462">
        <v>0</v>
      </c>
      <c r="N351" s="462">
        <v>0</v>
      </c>
      <c r="O351" s="462">
        <v>0</v>
      </c>
      <c r="P351" s="44">
        <f t="shared" si="18"/>
        <v>1.355166572557877</v>
      </c>
      <c r="Q351" s="44">
        <f t="shared" si="19"/>
        <v>0.6211180124223602</v>
      </c>
      <c r="R351" s="44">
        <f t="shared" si="20"/>
        <v>0</v>
      </c>
      <c r="U351" s="465">
        <v>177100</v>
      </c>
      <c r="V351" s="464">
        <v>2400</v>
      </c>
      <c r="W351" s="464">
        <v>1100</v>
      </c>
      <c r="X351" s="464">
        <v>400</v>
      </c>
      <c r="Y351" s="464">
        <v>0</v>
      </c>
    </row>
    <row r="352" spans="1:25">
      <c r="A352" s="462" t="s">
        <v>443</v>
      </c>
      <c r="B352" s="462" t="s">
        <v>451</v>
      </c>
      <c r="C352" s="462">
        <v>2004</v>
      </c>
      <c r="D352" s="462">
        <v>0.2</v>
      </c>
      <c r="E352" s="462">
        <v>0.1</v>
      </c>
      <c r="F352" s="462">
        <v>0</v>
      </c>
      <c r="G352" s="462">
        <v>0</v>
      </c>
      <c r="H352" s="462">
        <v>0</v>
      </c>
      <c r="K352" s="44">
        <f t="shared" si="17"/>
        <v>1.8876489707475623</v>
      </c>
      <c r="L352" s="462">
        <v>0.1</v>
      </c>
      <c r="M352" s="462">
        <v>0</v>
      </c>
      <c r="N352" s="462">
        <v>0</v>
      </c>
      <c r="O352" s="462">
        <v>0</v>
      </c>
      <c r="P352" s="44">
        <f t="shared" si="18"/>
        <v>1.1917659804983749</v>
      </c>
      <c r="Q352" s="44">
        <f t="shared" si="19"/>
        <v>0.59588299024918745</v>
      </c>
      <c r="R352" s="44">
        <f t="shared" si="20"/>
        <v>0</v>
      </c>
      <c r="U352" s="465">
        <v>184600</v>
      </c>
      <c r="V352" s="464">
        <v>2200</v>
      </c>
      <c r="W352" s="464">
        <v>1100</v>
      </c>
      <c r="X352" s="464">
        <v>300</v>
      </c>
      <c r="Y352" s="464">
        <v>0</v>
      </c>
    </row>
    <row r="353" spans="1:25">
      <c r="A353" s="462" t="s">
        <v>443</v>
      </c>
      <c r="B353" s="462" t="s">
        <v>451</v>
      </c>
      <c r="C353" s="462">
        <v>2005</v>
      </c>
      <c r="D353" s="462">
        <v>0.3</v>
      </c>
      <c r="E353" s="462">
        <v>0.2</v>
      </c>
      <c r="F353" s="462">
        <v>0</v>
      </c>
      <c r="G353" s="462">
        <v>0</v>
      </c>
      <c r="H353" s="462">
        <v>0</v>
      </c>
      <c r="K353" s="44">
        <f t="shared" si="17"/>
        <v>2.3966527196652718</v>
      </c>
      <c r="L353" s="462">
        <v>0.2</v>
      </c>
      <c r="M353" s="462">
        <v>0</v>
      </c>
      <c r="N353" s="462">
        <v>0</v>
      </c>
      <c r="O353" s="462">
        <v>0</v>
      </c>
      <c r="P353" s="44">
        <f t="shared" si="18"/>
        <v>1.4121338912133892</v>
      </c>
      <c r="Q353" s="44">
        <f t="shared" si="19"/>
        <v>0.73221757322175729</v>
      </c>
      <c r="R353" s="44">
        <f t="shared" si="20"/>
        <v>5.2301255230125521E-2</v>
      </c>
      <c r="U353" s="465">
        <v>191200</v>
      </c>
      <c r="V353" s="464">
        <v>2700</v>
      </c>
      <c r="W353" s="464">
        <v>1400</v>
      </c>
      <c r="X353" s="464">
        <v>200</v>
      </c>
      <c r="Y353" s="464">
        <v>100</v>
      </c>
    </row>
    <row r="354" spans="1:25">
      <c r="A354" s="462" t="s">
        <v>443</v>
      </c>
      <c r="B354" s="462" t="s">
        <v>451</v>
      </c>
      <c r="C354" s="462">
        <v>2006</v>
      </c>
      <c r="D354" s="462">
        <v>0.3</v>
      </c>
      <c r="E354" s="462">
        <v>0.2</v>
      </c>
      <c r="F354" s="462">
        <v>0</v>
      </c>
      <c r="G354" s="462">
        <v>0</v>
      </c>
      <c r="H354" s="462">
        <v>0</v>
      </c>
      <c r="K354" s="44">
        <f t="shared" si="17"/>
        <v>2.4505365355135416</v>
      </c>
      <c r="L354" s="462">
        <v>0.1</v>
      </c>
      <c r="M354" s="462">
        <v>0</v>
      </c>
      <c r="N354" s="462">
        <v>0</v>
      </c>
      <c r="O354" s="462">
        <v>0</v>
      </c>
      <c r="P354" s="44">
        <f t="shared" si="18"/>
        <v>1.481859989780276</v>
      </c>
      <c r="Q354" s="44">
        <f t="shared" si="19"/>
        <v>0.81757792539601437</v>
      </c>
      <c r="R354" s="44">
        <f t="shared" si="20"/>
        <v>5.1098620337250898E-2</v>
      </c>
      <c r="U354" s="465">
        <v>195700</v>
      </c>
      <c r="V354" s="464">
        <v>2900</v>
      </c>
      <c r="W354" s="464">
        <v>1600</v>
      </c>
      <c r="X354" s="464">
        <v>200</v>
      </c>
      <c r="Y354" s="464">
        <v>100</v>
      </c>
    </row>
    <row r="355" spans="1:25">
      <c r="A355" s="462" t="s">
        <v>443</v>
      </c>
      <c r="B355" s="462" t="s">
        <v>451</v>
      </c>
      <c r="C355" s="462">
        <v>2007</v>
      </c>
      <c r="D355" s="462">
        <v>0.3</v>
      </c>
      <c r="E355" s="462">
        <v>0.2</v>
      </c>
      <c r="F355" s="462">
        <v>0</v>
      </c>
      <c r="G355" s="462">
        <v>0</v>
      </c>
      <c r="H355" s="462">
        <v>0</v>
      </c>
      <c r="K355" s="44">
        <f t="shared" si="17"/>
        <v>2.640239043824701</v>
      </c>
      <c r="L355" s="462">
        <v>0.2</v>
      </c>
      <c r="M355" s="462">
        <v>0</v>
      </c>
      <c r="N355" s="462">
        <v>0</v>
      </c>
      <c r="O355" s="462">
        <v>0</v>
      </c>
      <c r="P355" s="44">
        <f t="shared" si="18"/>
        <v>1.5438247011952191</v>
      </c>
      <c r="Q355" s="44">
        <f t="shared" si="19"/>
        <v>0.84661354581673298</v>
      </c>
      <c r="R355" s="44">
        <f t="shared" si="20"/>
        <v>4.9800796812749001E-2</v>
      </c>
      <c r="U355" s="465">
        <v>200800</v>
      </c>
      <c r="V355" s="464">
        <v>3100</v>
      </c>
      <c r="W355" s="464">
        <v>1700</v>
      </c>
      <c r="X355" s="464">
        <v>200</v>
      </c>
      <c r="Y355" s="464">
        <v>100</v>
      </c>
    </row>
    <row r="356" spans="1:25">
      <c r="A356" s="462" t="s">
        <v>443</v>
      </c>
      <c r="B356" s="462" t="s">
        <v>451</v>
      </c>
      <c r="C356" s="462">
        <v>2008</v>
      </c>
      <c r="D356" s="462">
        <v>0.3</v>
      </c>
      <c r="E356" s="462">
        <v>0.2</v>
      </c>
      <c r="F356" s="462">
        <v>0</v>
      </c>
      <c r="G356" s="462">
        <v>0</v>
      </c>
      <c r="H356" s="462">
        <v>0</v>
      </c>
      <c r="K356" s="44">
        <f t="shared" si="17"/>
        <v>2.5160061760164694</v>
      </c>
      <c r="L356" s="462">
        <v>0.2</v>
      </c>
      <c r="M356" s="462">
        <v>0</v>
      </c>
      <c r="N356" s="462">
        <v>0</v>
      </c>
      <c r="O356" s="462">
        <v>0</v>
      </c>
      <c r="P356" s="44">
        <f t="shared" si="18"/>
        <v>1.4410705095213587</v>
      </c>
      <c r="Q356" s="44">
        <f t="shared" si="19"/>
        <v>0.82346886258363361</v>
      </c>
      <c r="R356" s="44">
        <f t="shared" si="20"/>
        <v>5.1466803911477101E-2</v>
      </c>
      <c r="U356" s="465">
        <v>194300</v>
      </c>
      <c r="V356" s="464">
        <v>2800</v>
      </c>
      <c r="W356" s="464">
        <v>1600</v>
      </c>
      <c r="X356" s="464">
        <v>300</v>
      </c>
      <c r="Y356" s="464">
        <v>100</v>
      </c>
    </row>
    <row r="357" spans="1:25">
      <c r="A357" s="462" t="s">
        <v>443</v>
      </c>
      <c r="B357" s="462" t="s">
        <v>451</v>
      </c>
      <c r="C357" s="462">
        <v>2009</v>
      </c>
      <c r="D357" s="462">
        <v>0.3</v>
      </c>
      <c r="E357" s="462">
        <v>0.2</v>
      </c>
      <c r="F357" s="462">
        <v>0</v>
      </c>
      <c r="G357" s="462">
        <v>0</v>
      </c>
      <c r="H357" s="462">
        <v>0</v>
      </c>
      <c r="K357" s="44">
        <f t="shared" si="17"/>
        <v>2.6481106971793507</v>
      </c>
      <c r="L357" s="462">
        <v>0.2</v>
      </c>
      <c r="M357" s="462">
        <v>0</v>
      </c>
      <c r="N357" s="462">
        <v>0</v>
      </c>
      <c r="O357" s="462">
        <v>0</v>
      </c>
      <c r="P357" s="44">
        <f t="shared" si="18"/>
        <v>1.5433741351782864</v>
      </c>
      <c r="Q357" s="44">
        <f t="shared" si="19"/>
        <v>0.85151676423629585</v>
      </c>
      <c r="R357" s="44">
        <f t="shared" si="20"/>
        <v>5.3219797764768491E-2</v>
      </c>
      <c r="U357" s="465">
        <v>187900</v>
      </c>
      <c r="V357" s="464">
        <v>2900</v>
      </c>
      <c r="W357" s="464">
        <v>1600</v>
      </c>
      <c r="X357" s="464">
        <v>700</v>
      </c>
      <c r="Y357" s="464">
        <v>100</v>
      </c>
    </row>
    <row r="358" spans="1:25">
      <c r="A358" s="462" t="s">
        <v>443</v>
      </c>
      <c r="B358" s="462" t="s">
        <v>451</v>
      </c>
      <c r="C358" s="462">
        <v>2010</v>
      </c>
      <c r="D358" s="462">
        <v>0.3</v>
      </c>
      <c r="E358" s="462">
        <v>0.2</v>
      </c>
      <c r="F358" s="462">
        <v>0</v>
      </c>
      <c r="G358" s="462">
        <v>0</v>
      </c>
      <c r="H358" s="462">
        <v>0</v>
      </c>
      <c r="K358" s="44">
        <f t="shared" si="17"/>
        <v>2.6723829563387689</v>
      </c>
      <c r="L358" s="462">
        <v>0.2</v>
      </c>
      <c r="M358" s="462">
        <v>0</v>
      </c>
      <c r="N358" s="462">
        <v>0</v>
      </c>
      <c r="O358" s="462">
        <v>0</v>
      </c>
      <c r="P358" s="44">
        <f t="shared" si="18"/>
        <v>1.5255128879537085</v>
      </c>
      <c r="Q358" s="44">
        <f t="shared" si="19"/>
        <v>0.89426617569700151</v>
      </c>
      <c r="R358" s="44">
        <f t="shared" si="20"/>
        <v>5.2603892688058915E-2</v>
      </c>
      <c r="U358" s="465">
        <v>190100</v>
      </c>
      <c r="V358" s="464">
        <v>2900</v>
      </c>
      <c r="W358" s="464">
        <v>1700</v>
      </c>
      <c r="X358" s="464">
        <v>600</v>
      </c>
      <c r="Y358" s="464">
        <v>100</v>
      </c>
    </row>
    <row r="359" spans="1:25">
      <c r="A359" s="462" t="s">
        <v>443</v>
      </c>
      <c r="B359" s="462" t="s">
        <v>451</v>
      </c>
      <c r="C359" s="462">
        <v>2011</v>
      </c>
      <c r="D359" s="462">
        <v>0.2</v>
      </c>
      <c r="E359" s="462">
        <v>0.2</v>
      </c>
      <c r="F359" s="462">
        <v>0</v>
      </c>
      <c r="G359" s="462">
        <v>0</v>
      </c>
      <c r="H359" s="462">
        <v>0</v>
      </c>
      <c r="K359" s="44">
        <f t="shared" si="17"/>
        <v>2.6948024948024947</v>
      </c>
      <c r="L359" s="462">
        <v>0.2</v>
      </c>
      <c r="M359" s="462">
        <v>0</v>
      </c>
      <c r="N359" s="462">
        <v>0</v>
      </c>
      <c r="O359" s="462">
        <v>0</v>
      </c>
      <c r="P359" s="44">
        <f t="shared" si="18"/>
        <v>1.6112266112266114</v>
      </c>
      <c r="Q359" s="44">
        <f t="shared" si="19"/>
        <v>0.83160083160083165</v>
      </c>
      <c r="R359" s="44">
        <f t="shared" si="20"/>
        <v>5.1975051975051978E-2</v>
      </c>
      <c r="U359" s="465">
        <v>192400</v>
      </c>
      <c r="V359" s="464">
        <v>3100</v>
      </c>
      <c r="W359" s="464">
        <v>1600</v>
      </c>
      <c r="X359" s="464">
        <v>500</v>
      </c>
      <c r="Y359" s="464">
        <v>100</v>
      </c>
    </row>
    <row r="360" spans="1:25">
      <c r="A360" s="462" t="s">
        <v>443</v>
      </c>
      <c r="B360" s="462" t="s">
        <v>451</v>
      </c>
      <c r="C360" s="462">
        <v>2012</v>
      </c>
      <c r="D360" s="462">
        <v>0.3</v>
      </c>
      <c r="E360" s="462">
        <v>0.2</v>
      </c>
      <c r="F360" s="462">
        <v>0</v>
      </c>
      <c r="G360" s="462">
        <v>0</v>
      </c>
      <c r="H360" s="462">
        <v>0</v>
      </c>
      <c r="K360" s="44">
        <f t="shared" si="17"/>
        <v>2.9165556125064072</v>
      </c>
      <c r="L360" s="462">
        <v>0.2</v>
      </c>
      <c r="M360" s="462">
        <v>0</v>
      </c>
      <c r="N360" s="462">
        <v>0</v>
      </c>
      <c r="O360" s="462">
        <v>0</v>
      </c>
      <c r="P360" s="44">
        <f t="shared" si="18"/>
        <v>1.6914402870322913</v>
      </c>
      <c r="Q360" s="44">
        <f t="shared" si="19"/>
        <v>0.97385955920041012</v>
      </c>
      <c r="R360" s="44">
        <f t="shared" si="20"/>
        <v>5.1255766273705788E-2</v>
      </c>
      <c r="U360" s="465">
        <v>195100</v>
      </c>
      <c r="V360" s="464">
        <v>3300</v>
      </c>
      <c r="W360" s="464">
        <v>1900</v>
      </c>
      <c r="X360" s="464">
        <v>400</v>
      </c>
      <c r="Y360" s="464">
        <v>100</v>
      </c>
    </row>
    <row r="361" spans="1:25">
      <c r="A361" s="462" t="s">
        <v>443</v>
      </c>
      <c r="B361" s="462" t="s">
        <v>451</v>
      </c>
      <c r="C361" s="462">
        <v>2013</v>
      </c>
      <c r="D361" s="462">
        <v>0.2</v>
      </c>
      <c r="E361" s="462">
        <v>0.2</v>
      </c>
      <c r="F361" s="462">
        <v>0</v>
      </c>
      <c r="G361" s="462">
        <v>0</v>
      </c>
      <c r="H361" s="462">
        <v>0</v>
      </c>
      <c r="K361" s="44">
        <f t="shared" si="17"/>
        <v>2.6838549428713363</v>
      </c>
      <c r="L361" s="462">
        <v>0.2</v>
      </c>
      <c r="M361" s="462">
        <v>0</v>
      </c>
      <c r="N361" s="462">
        <v>0</v>
      </c>
      <c r="O361" s="462">
        <v>0</v>
      </c>
      <c r="P361" s="44">
        <f t="shared" si="18"/>
        <v>1.5399900645802287</v>
      </c>
      <c r="Q361" s="44">
        <f t="shared" si="19"/>
        <v>0.89418777943368111</v>
      </c>
      <c r="R361" s="44">
        <f t="shared" si="20"/>
        <v>4.967709885742673E-2</v>
      </c>
      <c r="U361" s="465">
        <v>201300</v>
      </c>
      <c r="V361" s="464">
        <v>3100</v>
      </c>
      <c r="W361" s="464">
        <v>1800</v>
      </c>
      <c r="X361" s="464">
        <v>300</v>
      </c>
      <c r="Y361" s="464">
        <v>100</v>
      </c>
    </row>
    <row r="362" spans="1:25">
      <c r="A362" s="462" t="s">
        <v>443</v>
      </c>
      <c r="B362" s="462" t="s">
        <v>451</v>
      </c>
      <c r="C362" s="462">
        <v>2014</v>
      </c>
      <c r="D362" s="462">
        <v>0.3</v>
      </c>
      <c r="E362" s="462">
        <v>0.2</v>
      </c>
      <c r="F362" s="462">
        <v>0</v>
      </c>
      <c r="G362" s="462">
        <v>0</v>
      </c>
      <c r="H362" s="462">
        <v>0</v>
      </c>
      <c r="K362" s="44">
        <f t="shared" si="17"/>
        <v>3.0334147532975084</v>
      </c>
      <c r="L362" s="462">
        <v>0.2</v>
      </c>
      <c r="M362" s="462">
        <v>0</v>
      </c>
      <c r="N362" s="462">
        <v>0</v>
      </c>
      <c r="O362" s="462">
        <v>0</v>
      </c>
      <c r="P362" s="44">
        <f t="shared" si="18"/>
        <v>1.8075232046897898</v>
      </c>
      <c r="Q362" s="44">
        <f t="shared" si="19"/>
        <v>0.97703957010258913</v>
      </c>
      <c r="R362" s="44">
        <f t="shared" si="20"/>
        <v>4.8851978505129456E-2</v>
      </c>
      <c r="U362" s="465">
        <v>204700</v>
      </c>
      <c r="V362" s="464">
        <v>3700</v>
      </c>
      <c r="W362" s="464">
        <v>2000</v>
      </c>
      <c r="X362" s="464">
        <v>200</v>
      </c>
      <c r="Y362" s="464">
        <v>100</v>
      </c>
    </row>
    <row r="363" spans="1:25">
      <c r="A363" s="462" t="s">
        <v>443</v>
      </c>
      <c r="B363" s="462" t="s">
        <v>451</v>
      </c>
      <c r="C363" s="462">
        <v>2015</v>
      </c>
      <c r="D363" s="462">
        <v>0.4</v>
      </c>
      <c r="E363" s="462">
        <v>0.3</v>
      </c>
      <c r="F363" s="462">
        <v>0</v>
      </c>
      <c r="G363" s="462">
        <v>0</v>
      </c>
      <c r="H363" s="462">
        <v>0</v>
      </c>
      <c r="K363" s="44">
        <f t="shared" si="17"/>
        <v>2.9924893717524799</v>
      </c>
      <c r="L363" s="462">
        <v>0.3</v>
      </c>
      <c r="M363" s="462">
        <v>0</v>
      </c>
      <c r="N363" s="462">
        <v>0</v>
      </c>
      <c r="O363" s="462">
        <v>0</v>
      </c>
      <c r="P363" s="44">
        <f t="shared" si="18"/>
        <v>1.7005196032120924</v>
      </c>
      <c r="Q363" s="44">
        <f t="shared" si="19"/>
        <v>0.99196976854038743</v>
      </c>
      <c r="R363" s="44">
        <f t="shared" si="20"/>
        <v>0</v>
      </c>
      <c r="U363" s="465">
        <v>211700</v>
      </c>
      <c r="V363" s="464">
        <v>3600</v>
      </c>
      <c r="W363" s="464">
        <v>2100</v>
      </c>
      <c r="X363" s="464">
        <v>200</v>
      </c>
      <c r="Y363" s="464">
        <v>0</v>
      </c>
    </row>
    <row r="364" spans="1:25">
      <c r="A364" s="462" t="s">
        <v>443</v>
      </c>
      <c r="B364" s="462" t="s">
        <v>451</v>
      </c>
      <c r="C364" s="462">
        <v>2016</v>
      </c>
      <c r="D364" s="462">
        <v>0.4</v>
      </c>
      <c r="E364" s="462">
        <v>0.3</v>
      </c>
      <c r="F364" s="462">
        <v>0</v>
      </c>
      <c r="G364" s="462">
        <v>0</v>
      </c>
      <c r="H364" s="462">
        <v>0</v>
      </c>
      <c r="K364" s="44">
        <f t="shared" si="17"/>
        <v>3.0140851661207302</v>
      </c>
      <c r="L364" s="462">
        <v>0.3</v>
      </c>
      <c r="M364" s="462">
        <v>0</v>
      </c>
      <c r="N364" s="462">
        <v>0</v>
      </c>
      <c r="O364" s="462">
        <v>0</v>
      </c>
      <c r="P364" s="44">
        <f t="shared" si="18"/>
        <v>1.6846045858680394</v>
      </c>
      <c r="Q364" s="44">
        <f t="shared" si="19"/>
        <v>0.98268600842302289</v>
      </c>
      <c r="R364" s="44">
        <f t="shared" si="20"/>
        <v>4.6794571829667758E-2</v>
      </c>
      <c r="U364" s="465">
        <v>213700</v>
      </c>
      <c r="V364" s="464">
        <v>3600</v>
      </c>
      <c r="W364" s="464">
        <v>2100</v>
      </c>
      <c r="X364" s="464">
        <v>200</v>
      </c>
      <c r="Y364" s="464">
        <v>100</v>
      </c>
    </row>
    <row r="365" spans="1:25">
      <c r="A365" s="462" t="s">
        <v>443</v>
      </c>
      <c r="B365" s="462" t="s">
        <v>452</v>
      </c>
      <c r="C365" s="462">
        <v>1979</v>
      </c>
      <c r="D365" s="462">
        <v>0.1</v>
      </c>
      <c r="E365" s="462">
        <v>0</v>
      </c>
      <c r="F365" s="462">
        <v>0</v>
      </c>
      <c r="G365" s="462">
        <v>0</v>
      </c>
      <c r="H365" s="462">
        <v>0</v>
      </c>
      <c r="K365" s="44">
        <f t="shared" si="17"/>
        <v>1.5748031496062991</v>
      </c>
      <c r="L365" s="462">
        <v>0</v>
      </c>
      <c r="M365" s="462">
        <v>0</v>
      </c>
      <c r="N365" s="462">
        <v>0</v>
      </c>
      <c r="O365" s="462">
        <v>0</v>
      </c>
      <c r="P365" s="44">
        <f t="shared" si="18"/>
        <v>1.1811023622047243</v>
      </c>
      <c r="Q365" s="44">
        <f t="shared" si="19"/>
        <v>0.33745781777277839</v>
      </c>
      <c r="R365" s="44">
        <f t="shared" si="20"/>
        <v>5.6242969628796408E-2</v>
      </c>
      <c r="U365" s="465">
        <v>177800</v>
      </c>
      <c r="V365" s="464">
        <v>2100</v>
      </c>
      <c r="W365" s="464">
        <v>600</v>
      </c>
      <c r="X365" s="464">
        <v>100</v>
      </c>
      <c r="Y365" s="464">
        <v>100</v>
      </c>
    </row>
    <row r="366" spans="1:25">
      <c r="A366" s="462" t="s">
        <v>443</v>
      </c>
      <c r="B366" s="462" t="s">
        <v>452</v>
      </c>
      <c r="C366" s="462">
        <v>1980</v>
      </c>
      <c r="D366" s="462">
        <v>0.1</v>
      </c>
      <c r="E366" s="462">
        <v>0</v>
      </c>
      <c r="F366" s="462">
        <v>0</v>
      </c>
      <c r="G366" s="462">
        <v>0</v>
      </c>
      <c r="H366" s="462">
        <v>0</v>
      </c>
      <c r="K366" s="44">
        <f t="shared" si="17"/>
        <v>1.754385964912281</v>
      </c>
      <c r="L366" s="462">
        <v>0</v>
      </c>
      <c r="M366" s="462">
        <v>0</v>
      </c>
      <c r="N366" s="462">
        <v>0</v>
      </c>
      <c r="O366" s="462">
        <v>0</v>
      </c>
      <c r="P366" s="44">
        <f t="shared" si="18"/>
        <v>1.2865497076023393</v>
      </c>
      <c r="Q366" s="44">
        <f t="shared" si="19"/>
        <v>0.40935672514619886</v>
      </c>
      <c r="R366" s="44">
        <f t="shared" si="20"/>
        <v>5.8479532163742694E-2</v>
      </c>
      <c r="U366" s="465">
        <v>171000</v>
      </c>
      <c r="V366" s="464">
        <v>2200</v>
      </c>
      <c r="W366" s="464">
        <v>700</v>
      </c>
      <c r="X366" s="464">
        <v>200</v>
      </c>
      <c r="Y366" s="464">
        <v>100</v>
      </c>
    </row>
    <row r="367" spans="1:25">
      <c r="A367" s="462" t="s">
        <v>443</v>
      </c>
      <c r="B367" s="462" t="s">
        <v>452</v>
      </c>
      <c r="C367" s="462">
        <v>1981</v>
      </c>
      <c r="D367" s="462">
        <v>0.1</v>
      </c>
      <c r="E367" s="462">
        <v>0</v>
      </c>
      <c r="F367" s="462">
        <v>0</v>
      </c>
      <c r="G367" s="462">
        <v>0</v>
      </c>
      <c r="H367" s="462">
        <v>0</v>
      </c>
      <c r="K367" s="44">
        <f t="shared" si="17"/>
        <v>1.887905604719764</v>
      </c>
      <c r="L367" s="462">
        <v>0</v>
      </c>
      <c r="M367" s="462">
        <v>0</v>
      </c>
      <c r="N367" s="462">
        <v>0</v>
      </c>
      <c r="O367" s="462">
        <v>0</v>
      </c>
      <c r="P367" s="44">
        <f t="shared" si="18"/>
        <v>1.3569321533923304</v>
      </c>
      <c r="Q367" s="44">
        <f t="shared" si="19"/>
        <v>0.471976401179941</v>
      </c>
      <c r="R367" s="44">
        <f t="shared" si="20"/>
        <v>5.8997050147492625E-2</v>
      </c>
      <c r="U367" s="465">
        <v>169500</v>
      </c>
      <c r="V367" s="464">
        <v>2300</v>
      </c>
      <c r="W367" s="464">
        <v>800</v>
      </c>
      <c r="X367" s="464">
        <v>100</v>
      </c>
      <c r="Y367" s="464">
        <v>100</v>
      </c>
    </row>
    <row r="368" spans="1:25">
      <c r="A368" s="462" t="s">
        <v>443</v>
      </c>
      <c r="B368" s="462" t="s">
        <v>452</v>
      </c>
      <c r="C368" s="462">
        <v>1982</v>
      </c>
      <c r="D368" s="462">
        <v>0.1</v>
      </c>
      <c r="E368" s="462">
        <v>0</v>
      </c>
      <c r="F368" s="462">
        <v>0</v>
      </c>
      <c r="G368" s="462">
        <v>0</v>
      </c>
      <c r="H368" s="462">
        <v>0</v>
      </c>
      <c r="K368" s="44">
        <f t="shared" si="17"/>
        <v>2.1251475796930341</v>
      </c>
      <c r="L368" s="462">
        <v>0</v>
      </c>
      <c r="M368" s="462">
        <v>0</v>
      </c>
      <c r="N368" s="462">
        <v>0</v>
      </c>
      <c r="O368" s="462">
        <v>0</v>
      </c>
      <c r="P368" s="44">
        <f t="shared" si="18"/>
        <v>1.5348288075560803</v>
      </c>
      <c r="Q368" s="44">
        <f t="shared" si="19"/>
        <v>0.53128689492325853</v>
      </c>
      <c r="R368" s="44">
        <f t="shared" si="20"/>
        <v>5.9031877213695391E-2</v>
      </c>
      <c r="U368" s="465">
        <v>169400</v>
      </c>
      <c r="V368" s="464">
        <v>2600</v>
      </c>
      <c r="W368" s="464">
        <v>900</v>
      </c>
      <c r="X368" s="464">
        <v>200</v>
      </c>
      <c r="Y368" s="464">
        <v>100</v>
      </c>
    </row>
    <row r="369" spans="1:25">
      <c r="A369" s="462" t="s">
        <v>443</v>
      </c>
      <c r="B369" s="462" t="s">
        <v>452</v>
      </c>
      <c r="C369" s="462">
        <v>1983</v>
      </c>
      <c r="D369" s="462">
        <v>0.1</v>
      </c>
      <c r="E369" s="462">
        <v>0</v>
      </c>
      <c r="F369" s="462">
        <v>0</v>
      </c>
      <c r="G369" s="462">
        <v>0</v>
      </c>
      <c r="H369" s="462">
        <v>0</v>
      </c>
      <c r="K369" s="44">
        <f t="shared" si="17"/>
        <v>2.0477815699658701</v>
      </c>
      <c r="L369" s="462">
        <v>0</v>
      </c>
      <c r="M369" s="462">
        <v>0</v>
      </c>
      <c r="N369" s="462">
        <v>0</v>
      </c>
      <c r="O369" s="462">
        <v>0</v>
      </c>
      <c r="P369" s="44">
        <f t="shared" si="18"/>
        <v>1.4789533560864618</v>
      </c>
      <c r="Q369" s="44">
        <f t="shared" si="19"/>
        <v>0.51194539249146753</v>
      </c>
      <c r="R369" s="44">
        <f t="shared" si="20"/>
        <v>5.6882821387940839E-2</v>
      </c>
      <c r="U369" s="465">
        <v>175800</v>
      </c>
      <c r="V369" s="464">
        <v>2600</v>
      </c>
      <c r="W369" s="464">
        <v>900</v>
      </c>
      <c r="X369" s="464">
        <v>200</v>
      </c>
      <c r="Y369" s="464">
        <v>100</v>
      </c>
    </row>
    <row r="370" spans="1:25">
      <c r="A370" s="462" t="s">
        <v>443</v>
      </c>
      <c r="B370" s="462" t="s">
        <v>452</v>
      </c>
      <c r="C370" s="462">
        <v>1984</v>
      </c>
      <c r="D370" s="462">
        <v>0.1</v>
      </c>
      <c r="E370" s="462">
        <v>0</v>
      </c>
      <c r="F370" s="462">
        <v>0</v>
      </c>
      <c r="G370" s="462">
        <v>0</v>
      </c>
      <c r="H370" s="462">
        <v>0</v>
      </c>
      <c r="K370" s="44">
        <f t="shared" si="17"/>
        <v>1.8353434714210803</v>
      </c>
      <c r="L370" s="462">
        <v>0</v>
      </c>
      <c r="M370" s="462">
        <v>0</v>
      </c>
      <c r="N370" s="462">
        <v>0</v>
      </c>
      <c r="O370" s="462">
        <v>0</v>
      </c>
      <c r="P370" s="44">
        <f t="shared" si="18"/>
        <v>1.3633980073413738</v>
      </c>
      <c r="Q370" s="44">
        <f t="shared" si="19"/>
        <v>0.41950707918196117</v>
      </c>
      <c r="R370" s="44">
        <f t="shared" si="20"/>
        <v>5.2438384897745147E-2</v>
      </c>
      <c r="U370" s="465">
        <v>190700</v>
      </c>
      <c r="V370" s="464">
        <v>2600</v>
      </c>
      <c r="W370" s="464">
        <v>800</v>
      </c>
      <c r="X370" s="464">
        <v>200</v>
      </c>
      <c r="Y370" s="464">
        <v>100</v>
      </c>
    </row>
    <row r="371" spans="1:25">
      <c r="A371" s="462" t="s">
        <v>443</v>
      </c>
      <c r="B371" s="462" t="s">
        <v>452</v>
      </c>
      <c r="C371" s="462">
        <v>1985</v>
      </c>
      <c r="D371" s="462">
        <v>0.1</v>
      </c>
      <c r="E371" s="462">
        <v>0</v>
      </c>
      <c r="F371" s="462">
        <v>0</v>
      </c>
      <c r="G371" s="462">
        <v>0</v>
      </c>
      <c r="H371" s="462">
        <v>0</v>
      </c>
      <c r="K371" s="44">
        <f t="shared" si="17"/>
        <v>1.9250780437044746</v>
      </c>
      <c r="L371" s="462">
        <v>0</v>
      </c>
      <c r="M371" s="462">
        <v>0</v>
      </c>
      <c r="N371" s="462">
        <v>0</v>
      </c>
      <c r="O371" s="462">
        <v>0</v>
      </c>
      <c r="P371" s="44">
        <f t="shared" si="18"/>
        <v>1.3527575442247659</v>
      </c>
      <c r="Q371" s="44">
        <f t="shared" si="19"/>
        <v>0.52029136316337155</v>
      </c>
      <c r="R371" s="44">
        <f t="shared" si="20"/>
        <v>5.2029136316337155E-2</v>
      </c>
      <c r="U371" s="465">
        <v>192200</v>
      </c>
      <c r="V371" s="464">
        <v>2600</v>
      </c>
      <c r="W371" s="464">
        <v>1000</v>
      </c>
      <c r="X371" s="464">
        <v>100</v>
      </c>
      <c r="Y371" s="464">
        <v>100</v>
      </c>
    </row>
    <row r="372" spans="1:25">
      <c r="A372" s="462" t="s">
        <v>443</v>
      </c>
      <c r="B372" s="462" t="s">
        <v>452</v>
      </c>
      <c r="C372" s="462">
        <v>1986</v>
      </c>
      <c r="D372" s="462">
        <v>0.1</v>
      </c>
      <c r="E372" s="462">
        <v>0</v>
      </c>
      <c r="F372" s="462">
        <v>0</v>
      </c>
      <c r="G372" s="462">
        <v>0</v>
      </c>
      <c r="H372" s="462">
        <v>0</v>
      </c>
      <c r="K372" s="44">
        <f t="shared" si="17"/>
        <v>1.8000947418285171</v>
      </c>
      <c r="L372" s="462">
        <v>0</v>
      </c>
      <c r="M372" s="462">
        <v>0</v>
      </c>
      <c r="N372" s="462">
        <v>0</v>
      </c>
      <c r="O372" s="462">
        <v>0</v>
      </c>
      <c r="P372" s="44">
        <f t="shared" si="18"/>
        <v>1.2790146849834201</v>
      </c>
      <c r="Q372" s="44">
        <f t="shared" si="19"/>
        <v>0.47370914258645197</v>
      </c>
      <c r="R372" s="44">
        <f t="shared" si="20"/>
        <v>4.7370914258645196E-2</v>
      </c>
      <c r="U372" s="465">
        <v>211100</v>
      </c>
      <c r="V372" s="464">
        <v>2700</v>
      </c>
      <c r="W372" s="464">
        <v>1000</v>
      </c>
      <c r="X372" s="464">
        <v>100</v>
      </c>
      <c r="Y372" s="464">
        <v>100</v>
      </c>
    </row>
    <row r="373" spans="1:25">
      <c r="A373" s="462" t="s">
        <v>443</v>
      </c>
      <c r="B373" s="462" t="s">
        <v>452</v>
      </c>
      <c r="C373" s="462">
        <v>1987</v>
      </c>
      <c r="D373" s="462">
        <v>0.1</v>
      </c>
      <c r="E373" s="462">
        <v>0</v>
      </c>
      <c r="F373" s="462">
        <v>0</v>
      </c>
      <c r="G373" s="462">
        <v>0</v>
      </c>
      <c r="H373" s="462">
        <v>0</v>
      </c>
      <c r="K373" s="44">
        <f t="shared" si="17"/>
        <v>1.6859344894026973</v>
      </c>
      <c r="L373" s="462">
        <v>0</v>
      </c>
      <c r="M373" s="462">
        <v>0</v>
      </c>
      <c r="N373" s="462">
        <v>0</v>
      </c>
      <c r="O373" s="462">
        <v>0</v>
      </c>
      <c r="P373" s="44">
        <f t="shared" si="18"/>
        <v>1.1560693641618496</v>
      </c>
      <c r="Q373" s="44">
        <f t="shared" si="19"/>
        <v>0.48169556840077066</v>
      </c>
      <c r="R373" s="44">
        <f t="shared" si="20"/>
        <v>4.8169556840077073E-2</v>
      </c>
      <c r="U373" s="465">
        <v>207600</v>
      </c>
      <c r="V373" s="464">
        <v>2400</v>
      </c>
      <c r="W373" s="464">
        <v>1000</v>
      </c>
      <c r="X373" s="464">
        <v>100</v>
      </c>
      <c r="Y373" s="464">
        <v>100</v>
      </c>
    </row>
    <row r="374" spans="1:25">
      <c r="A374" s="462" t="s">
        <v>443</v>
      </c>
      <c r="B374" s="462" t="s">
        <v>452</v>
      </c>
      <c r="C374" s="462">
        <v>1988</v>
      </c>
      <c r="D374" s="462">
        <v>0.1</v>
      </c>
      <c r="E374" s="462">
        <v>0</v>
      </c>
      <c r="F374" s="462">
        <v>0</v>
      </c>
      <c r="G374" s="462">
        <v>0</v>
      </c>
      <c r="H374" s="462">
        <v>0</v>
      </c>
      <c r="K374" s="44">
        <f t="shared" si="17"/>
        <v>1.5821312238250351</v>
      </c>
      <c r="L374" s="462">
        <v>0</v>
      </c>
      <c r="M374" s="462">
        <v>0</v>
      </c>
      <c r="N374" s="462">
        <v>0</v>
      </c>
      <c r="O374" s="462">
        <v>0</v>
      </c>
      <c r="P374" s="44">
        <f t="shared" si="18"/>
        <v>1.1167985109353189</v>
      </c>
      <c r="Q374" s="44">
        <f t="shared" si="19"/>
        <v>0.4187994416007445</v>
      </c>
      <c r="R374" s="44">
        <f t="shared" si="20"/>
        <v>4.6533271288971619E-2</v>
      </c>
      <c r="U374" s="465">
        <v>214900</v>
      </c>
      <c r="V374" s="464">
        <v>2400</v>
      </c>
      <c r="W374" s="464">
        <v>900</v>
      </c>
      <c r="X374" s="464">
        <v>100</v>
      </c>
      <c r="Y374" s="464">
        <v>100</v>
      </c>
    </row>
    <row r="375" spans="1:25">
      <c r="A375" s="462" t="s">
        <v>443</v>
      </c>
      <c r="B375" s="462" t="s">
        <v>452</v>
      </c>
      <c r="C375" s="462">
        <v>1989</v>
      </c>
      <c r="D375" s="462">
        <v>0.1</v>
      </c>
      <c r="E375" s="462">
        <v>0</v>
      </c>
      <c r="F375" s="462">
        <v>0</v>
      </c>
      <c r="G375" s="462">
        <v>0</v>
      </c>
      <c r="H375" s="462">
        <v>0</v>
      </c>
      <c r="K375" s="44">
        <f t="shared" si="17"/>
        <v>1.6453382084095063</v>
      </c>
      <c r="L375" s="462">
        <v>0</v>
      </c>
      <c r="M375" s="462">
        <v>0</v>
      </c>
      <c r="N375" s="462">
        <v>0</v>
      </c>
      <c r="O375" s="462">
        <v>0</v>
      </c>
      <c r="P375" s="44">
        <f t="shared" si="18"/>
        <v>1.1425959780621573</v>
      </c>
      <c r="Q375" s="44">
        <f t="shared" si="19"/>
        <v>0.45703839122486289</v>
      </c>
      <c r="R375" s="44">
        <f t="shared" si="20"/>
        <v>4.5703839122486288E-2</v>
      </c>
      <c r="U375" s="465">
        <v>218800</v>
      </c>
      <c r="V375" s="464">
        <v>2500</v>
      </c>
      <c r="W375" s="464">
        <v>1000</v>
      </c>
      <c r="X375" s="464">
        <v>100</v>
      </c>
      <c r="Y375" s="464">
        <v>100</v>
      </c>
    </row>
    <row r="376" spans="1:25">
      <c r="A376" s="462" t="s">
        <v>443</v>
      </c>
      <c r="B376" s="462" t="s">
        <v>452</v>
      </c>
      <c r="C376" s="462">
        <v>1990</v>
      </c>
      <c r="D376" s="462">
        <v>0.1</v>
      </c>
      <c r="E376" s="462">
        <v>0</v>
      </c>
      <c r="F376" s="462">
        <v>0</v>
      </c>
      <c r="G376" s="462">
        <v>0</v>
      </c>
      <c r="H376" s="462">
        <v>0</v>
      </c>
      <c r="K376" s="44">
        <f t="shared" si="17"/>
        <v>1.6408813877168307</v>
      </c>
      <c r="L376" s="462">
        <v>0</v>
      </c>
      <c r="M376" s="462">
        <v>0</v>
      </c>
      <c r="N376" s="462">
        <v>0</v>
      </c>
      <c r="O376" s="462">
        <v>0</v>
      </c>
      <c r="P376" s="44">
        <f t="shared" si="18"/>
        <v>1.1251758087201125</v>
      </c>
      <c r="Q376" s="44">
        <f t="shared" si="19"/>
        <v>0.46882325363338023</v>
      </c>
      <c r="R376" s="44">
        <f t="shared" si="20"/>
        <v>4.6882325363338022E-2</v>
      </c>
      <c r="U376" s="465">
        <v>213300</v>
      </c>
      <c r="V376" s="464">
        <v>2400</v>
      </c>
      <c r="W376" s="464">
        <v>1000</v>
      </c>
      <c r="X376" s="464">
        <v>100</v>
      </c>
      <c r="Y376" s="464">
        <v>100</v>
      </c>
    </row>
    <row r="377" spans="1:25">
      <c r="A377" s="462" t="s">
        <v>443</v>
      </c>
      <c r="B377" s="462" t="s">
        <v>452</v>
      </c>
      <c r="C377" s="462">
        <v>1991</v>
      </c>
      <c r="D377" s="462">
        <v>0.1</v>
      </c>
      <c r="E377" s="462">
        <v>0</v>
      </c>
      <c r="F377" s="462">
        <v>0</v>
      </c>
      <c r="G377" s="462">
        <v>0</v>
      </c>
      <c r="H377" s="462">
        <v>0</v>
      </c>
      <c r="K377" s="44">
        <f t="shared" si="17"/>
        <v>1.6275730014360941</v>
      </c>
      <c r="L377" s="462">
        <v>0</v>
      </c>
      <c r="M377" s="462">
        <v>0</v>
      </c>
      <c r="N377" s="462">
        <v>0</v>
      </c>
      <c r="O377" s="462">
        <v>0</v>
      </c>
      <c r="P377" s="44">
        <f t="shared" si="18"/>
        <v>1.1010052656773577</v>
      </c>
      <c r="Q377" s="44">
        <f t="shared" si="19"/>
        <v>0.47869794159885115</v>
      </c>
      <c r="R377" s="44">
        <f t="shared" si="20"/>
        <v>4.7869794159885112E-2</v>
      </c>
      <c r="U377" s="465">
        <v>208900</v>
      </c>
      <c r="V377" s="464">
        <v>2300</v>
      </c>
      <c r="W377" s="464">
        <v>1000</v>
      </c>
      <c r="X377" s="464">
        <v>200</v>
      </c>
      <c r="Y377" s="464">
        <v>100</v>
      </c>
    </row>
    <row r="378" spans="1:25">
      <c r="A378" s="462" t="s">
        <v>443</v>
      </c>
      <c r="B378" s="462" t="s">
        <v>452</v>
      </c>
      <c r="C378" s="462">
        <v>1992</v>
      </c>
      <c r="D378" s="462">
        <v>0.1</v>
      </c>
      <c r="E378" s="462">
        <v>0</v>
      </c>
      <c r="F378" s="462">
        <v>0</v>
      </c>
      <c r="G378" s="462">
        <v>0</v>
      </c>
      <c r="H378" s="462">
        <v>0</v>
      </c>
      <c r="K378" s="44">
        <f t="shared" si="17"/>
        <v>1.6114180478821361</v>
      </c>
      <c r="L378" s="462">
        <v>0</v>
      </c>
      <c r="M378" s="462">
        <v>0</v>
      </c>
      <c r="N378" s="462">
        <v>0</v>
      </c>
      <c r="O378" s="462">
        <v>0</v>
      </c>
      <c r="P378" s="44">
        <f t="shared" si="18"/>
        <v>1.1049723756906076</v>
      </c>
      <c r="Q378" s="44">
        <f t="shared" si="19"/>
        <v>0.46040515653775327</v>
      </c>
      <c r="R378" s="44">
        <f t="shared" si="20"/>
        <v>4.6040515653775323E-2</v>
      </c>
      <c r="U378" s="465">
        <v>217200</v>
      </c>
      <c r="V378" s="464">
        <v>2400</v>
      </c>
      <c r="W378" s="464">
        <v>1000</v>
      </c>
      <c r="X378" s="464">
        <v>200</v>
      </c>
      <c r="Y378" s="464">
        <v>100</v>
      </c>
    </row>
    <row r="379" spans="1:25">
      <c r="A379" s="462" t="s">
        <v>443</v>
      </c>
      <c r="B379" s="462" t="s">
        <v>452</v>
      </c>
      <c r="C379" s="462">
        <v>1993</v>
      </c>
      <c r="D379" s="462">
        <v>0.1</v>
      </c>
      <c r="E379" s="462">
        <v>0</v>
      </c>
      <c r="F379" s="462">
        <v>0</v>
      </c>
      <c r="G379" s="462">
        <v>0</v>
      </c>
      <c r="H379" s="462">
        <v>0</v>
      </c>
      <c r="K379" s="44">
        <f t="shared" si="17"/>
        <v>1.695692025664528</v>
      </c>
      <c r="L379" s="462">
        <v>0</v>
      </c>
      <c r="M379" s="462">
        <v>0</v>
      </c>
      <c r="N379" s="462">
        <v>0</v>
      </c>
      <c r="O379" s="462">
        <v>0</v>
      </c>
      <c r="P379" s="44">
        <f t="shared" si="18"/>
        <v>1.1457378551787352</v>
      </c>
      <c r="Q379" s="44">
        <f t="shared" si="19"/>
        <v>0.50412465627864345</v>
      </c>
      <c r="R379" s="44">
        <f t="shared" si="20"/>
        <v>4.5829514207149404E-2</v>
      </c>
      <c r="U379" s="465">
        <v>218200</v>
      </c>
      <c r="V379" s="464">
        <v>2500</v>
      </c>
      <c r="W379" s="464">
        <v>1100</v>
      </c>
      <c r="X379" s="464">
        <v>200</v>
      </c>
      <c r="Y379" s="464">
        <v>100</v>
      </c>
    </row>
    <row r="380" spans="1:25">
      <c r="A380" s="462" t="s">
        <v>443</v>
      </c>
      <c r="B380" s="462" t="s">
        <v>452</v>
      </c>
      <c r="C380" s="462">
        <v>1994</v>
      </c>
      <c r="D380" s="462">
        <v>0.1</v>
      </c>
      <c r="E380" s="462">
        <v>0.1</v>
      </c>
      <c r="F380" s="462">
        <v>0</v>
      </c>
      <c r="G380" s="462">
        <v>0</v>
      </c>
      <c r="H380" s="462">
        <v>0</v>
      </c>
      <c r="K380" s="44">
        <f t="shared" si="17"/>
        <v>1.8921146953405019</v>
      </c>
      <c r="L380" s="462">
        <v>0.1</v>
      </c>
      <c r="M380" s="462">
        <v>0</v>
      </c>
      <c r="N380" s="462">
        <v>0</v>
      </c>
      <c r="O380" s="462">
        <v>0</v>
      </c>
      <c r="P380" s="44">
        <f t="shared" si="18"/>
        <v>1.2096774193548387</v>
      </c>
      <c r="Q380" s="44">
        <f t="shared" si="19"/>
        <v>0.49283154121863798</v>
      </c>
      <c r="R380" s="44">
        <f t="shared" si="20"/>
        <v>8.9605734767025089E-2</v>
      </c>
      <c r="U380" s="465">
        <v>223200</v>
      </c>
      <c r="V380" s="464">
        <v>2700</v>
      </c>
      <c r="W380" s="464">
        <v>1100</v>
      </c>
      <c r="X380" s="464">
        <v>200</v>
      </c>
      <c r="Y380" s="464">
        <v>200</v>
      </c>
    </row>
    <row r="381" spans="1:25">
      <c r="A381" s="462" t="s">
        <v>443</v>
      </c>
      <c r="B381" s="462" t="s">
        <v>452</v>
      </c>
      <c r="C381" s="462">
        <v>1995</v>
      </c>
      <c r="D381" s="462">
        <v>0.1</v>
      </c>
      <c r="E381" s="462">
        <v>0.1</v>
      </c>
      <c r="F381" s="462">
        <v>0</v>
      </c>
      <c r="G381" s="462">
        <v>0</v>
      </c>
      <c r="H381" s="462">
        <v>0</v>
      </c>
      <c r="K381" s="44">
        <f t="shared" si="17"/>
        <v>1.8439387494683113</v>
      </c>
      <c r="L381" s="462">
        <v>0.1</v>
      </c>
      <c r="M381" s="462">
        <v>0</v>
      </c>
      <c r="N381" s="462">
        <v>0</v>
      </c>
      <c r="O381" s="462">
        <v>0</v>
      </c>
      <c r="P381" s="44">
        <f t="shared" si="18"/>
        <v>1.1484474691620588</v>
      </c>
      <c r="Q381" s="44">
        <f t="shared" si="19"/>
        <v>0.552956188855806</v>
      </c>
      <c r="R381" s="44">
        <f t="shared" si="20"/>
        <v>4.2535091450446622E-2</v>
      </c>
      <c r="U381" s="465">
        <v>235100</v>
      </c>
      <c r="V381" s="464">
        <v>2700</v>
      </c>
      <c r="W381" s="464">
        <v>1300</v>
      </c>
      <c r="X381" s="464">
        <v>100</v>
      </c>
      <c r="Y381" s="464">
        <v>100</v>
      </c>
    </row>
    <row r="382" spans="1:25">
      <c r="A382" s="462" t="s">
        <v>443</v>
      </c>
      <c r="B382" s="462" t="s">
        <v>452</v>
      </c>
      <c r="C382" s="462">
        <v>1996</v>
      </c>
      <c r="D382" s="462">
        <v>0.1</v>
      </c>
      <c r="E382" s="462">
        <v>0.1</v>
      </c>
      <c r="F382" s="462">
        <v>0</v>
      </c>
      <c r="G382" s="462">
        <v>0</v>
      </c>
      <c r="H382" s="462">
        <v>0</v>
      </c>
      <c r="K382" s="44">
        <f t="shared" ref="K382:K440" si="21">L382+P382+Q382+R382</f>
        <v>1.9025399426464564</v>
      </c>
      <c r="L382" s="462">
        <v>0.1</v>
      </c>
      <c r="M382" s="462">
        <v>0</v>
      </c>
      <c r="N382" s="462">
        <v>0</v>
      </c>
      <c r="O382" s="462">
        <v>0</v>
      </c>
      <c r="P382" s="44">
        <f t="shared" ref="P382:P440" si="22">V382/$U382*100</f>
        <v>1.1880376894715281</v>
      </c>
      <c r="Q382" s="44">
        <f t="shared" ref="Q382:Q440" si="23">W382/$U382*100</f>
        <v>0.61450225317492835</v>
      </c>
      <c r="R382" s="44">
        <f t="shared" ref="R382:R440" si="24">M382+N382+O382+Y382/$U382*100</f>
        <v>0</v>
      </c>
      <c r="U382" s="465">
        <v>244100</v>
      </c>
      <c r="V382" s="464">
        <v>2900</v>
      </c>
      <c r="W382" s="464">
        <v>1500</v>
      </c>
      <c r="X382" s="464">
        <v>100</v>
      </c>
      <c r="Y382" s="464">
        <v>0</v>
      </c>
    </row>
    <row r="383" spans="1:25">
      <c r="A383" s="462" t="s">
        <v>443</v>
      </c>
      <c r="B383" s="462" t="s">
        <v>452</v>
      </c>
      <c r="C383" s="462">
        <v>1997</v>
      </c>
      <c r="D383" s="462">
        <v>0.1</v>
      </c>
      <c r="E383" s="462">
        <v>0.1</v>
      </c>
      <c r="F383" s="462">
        <v>0</v>
      </c>
      <c r="G383" s="462">
        <v>0</v>
      </c>
      <c r="H383" s="462">
        <v>0</v>
      </c>
      <c r="K383" s="44">
        <f t="shared" si="21"/>
        <v>2.0607843137254904</v>
      </c>
      <c r="L383" s="462">
        <v>0.1</v>
      </c>
      <c r="M383" s="462">
        <v>0</v>
      </c>
      <c r="N383" s="462">
        <v>0</v>
      </c>
      <c r="O383" s="462">
        <v>0</v>
      </c>
      <c r="P383" s="44">
        <f t="shared" si="22"/>
        <v>1.3071895424836601</v>
      </c>
      <c r="Q383" s="44">
        <f t="shared" si="23"/>
        <v>0.61514801999231072</v>
      </c>
      <c r="R383" s="44">
        <f t="shared" si="24"/>
        <v>3.844675124951942E-2</v>
      </c>
      <c r="U383" s="465">
        <v>260100</v>
      </c>
      <c r="V383" s="464">
        <v>3400</v>
      </c>
      <c r="W383" s="464">
        <v>1600</v>
      </c>
      <c r="X383" s="464">
        <v>100</v>
      </c>
      <c r="Y383" s="464">
        <v>100</v>
      </c>
    </row>
    <row r="384" spans="1:25">
      <c r="A384" s="462" t="s">
        <v>443</v>
      </c>
      <c r="B384" s="462" t="s">
        <v>452</v>
      </c>
      <c r="C384" s="462">
        <v>1998</v>
      </c>
      <c r="D384" s="462">
        <v>0.1</v>
      </c>
      <c r="E384" s="462">
        <v>0.1</v>
      </c>
      <c r="F384" s="462">
        <v>0</v>
      </c>
      <c r="G384" s="462">
        <v>0</v>
      </c>
      <c r="H384" s="462">
        <v>0</v>
      </c>
      <c r="K384" s="44">
        <f t="shared" si="21"/>
        <v>1.9083182640144667</v>
      </c>
      <c r="L384" s="462">
        <v>0.1</v>
      </c>
      <c r="M384" s="462">
        <v>0</v>
      </c>
      <c r="N384" s="462">
        <v>0</v>
      </c>
      <c r="O384" s="462">
        <v>0</v>
      </c>
      <c r="P384" s="44">
        <f t="shared" si="22"/>
        <v>1.2296564195298372</v>
      </c>
      <c r="Q384" s="44">
        <f t="shared" si="23"/>
        <v>0.57866184448462932</v>
      </c>
      <c r="R384" s="44">
        <f t="shared" si="24"/>
        <v>0</v>
      </c>
      <c r="U384" s="465">
        <v>276500</v>
      </c>
      <c r="V384" s="464">
        <v>3400</v>
      </c>
      <c r="W384" s="464">
        <v>1600</v>
      </c>
      <c r="X384" s="464">
        <v>100</v>
      </c>
      <c r="Y384" s="464">
        <v>0</v>
      </c>
    </row>
    <row r="385" spans="1:25">
      <c r="A385" s="462" t="s">
        <v>443</v>
      </c>
      <c r="B385" s="462" t="s">
        <v>452</v>
      </c>
      <c r="C385" s="462">
        <v>1999</v>
      </c>
      <c r="D385" s="462">
        <v>0.1</v>
      </c>
      <c r="E385" s="462">
        <v>0.1</v>
      </c>
      <c r="F385" s="462">
        <v>0</v>
      </c>
      <c r="G385" s="462">
        <v>0</v>
      </c>
      <c r="H385" s="462">
        <v>0</v>
      </c>
      <c r="K385" s="44">
        <f t="shared" si="21"/>
        <v>1.7218081435472741</v>
      </c>
      <c r="L385" s="462">
        <v>0.1</v>
      </c>
      <c r="M385" s="462">
        <v>0</v>
      </c>
      <c r="N385" s="462">
        <v>0</v>
      </c>
      <c r="O385" s="462">
        <v>0</v>
      </c>
      <c r="P385" s="44">
        <f t="shared" si="22"/>
        <v>1.1042097998619738</v>
      </c>
      <c r="Q385" s="44">
        <f t="shared" si="23"/>
        <v>0.48309178743961351</v>
      </c>
      <c r="R385" s="44">
        <f t="shared" si="24"/>
        <v>3.450655624568668E-2</v>
      </c>
      <c r="U385" s="465">
        <v>289800</v>
      </c>
      <c r="V385" s="464">
        <v>3200</v>
      </c>
      <c r="W385" s="464">
        <v>1400</v>
      </c>
      <c r="X385" s="464">
        <v>100</v>
      </c>
      <c r="Y385" s="464">
        <v>100</v>
      </c>
    </row>
    <row r="386" spans="1:25">
      <c r="A386" s="462" t="s">
        <v>443</v>
      </c>
      <c r="B386" s="462" t="s">
        <v>452</v>
      </c>
      <c r="C386" s="462">
        <v>2000</v>
      </c>
      <c r="D386" s="462">
        <v>0.1</v>
      </c>
      <c r="E386" s="462">
        <v>0.1</v>
      </c>
      <c r="F386" s="462">
        <v>0</v>
      </c>
      <c r="G386" s="462">
        <v>0</v>
      </c>
      <c r="H386" s="462">
        <v>0</v>
      </c>
      <c r="K386" s="44">
        <f t="shared" si="21"/>
        <v>1.8797179314976491</v>
      </c>
      <c r="L386" s="462">
        <v>0.1</v>
      </c>
      <c r="M386" s="462">
        <v>0</v>
      </c>
      <c r="N386" s="462">
        <v>0</v>
      </c>
      <c r="O386" s="462">
        <v>0</v>
      </c>
      <c r="P386" s="44">
        <f t="shared" si="22"/>
        <v>1.2088650100738749</v>
      </c>
      <c r="Q386" s="44">
        <f t="shared" si="23"/>
        <v>0.50369375419744788</v>
      </c>
      <c r="R386" s="44">
        <f t="shared" si="24"/>
        <v>6.7159167226326394E-2</v>
      </c>
      <c r="U386" s="465">
        <v>297800</v>
      </c>
      <c r="V386" s="464">
        <v>3600</v>
      </c>
      <c r="W386" s="464">
        <v>1500</v>
      </c>
      <c r="X386" s="464">
        <v>100</v>
      </c>
      <c r="Y386" s="464">
        <v>200</v>
      </c>
    </row>
    <row r="387" spans="1:25">
      <c r="A387" s="462" t="s">
        <v>443</v>
      </c>
      <c r="B387" s="462" t="s">
        <v>452</v>
      </c>
      <c r="C387" s="462">
        <v>2001</v>
      </c>
      <c r="D387" s="462">
        <v>0.1</v>
      </c>
      <c r="E387" s="462">
        <v>0.1</v>
      </c>
      <c r="F387" s="462">
        <v>0</v>
      </c>
      <c r="G387" s="462">
        <v>0</v>
      </c>
      <c r="H387" s="462">
        <v>0</v>
      </c>
      <c r="K387" s="44">
        <f t="shared" si="21"/>
        <v>1.7387602422515143</v>
      </c>
      <c r="L387" s="462">
        <v>0.1</v>
      </c>
      <c r="M387" s="462">
        <v>0</v>
      </c>
      <c r="N387" s="462">
        <v>0</v>
      </c>
      <c r="O387" s="462">
        <v>0</v>
      </c>
      <c r="P387" s="44">
        <f t="shared" si="22"/>
        <v>1.1043819023868899</v>
      </c>
      <c r="Q387" s="44">
        <f t="shared" si="23"/>
        <v>0.49875311720698251</v>
      </c>
      <c r="R387" s="44">
        <f t="shared" si="24"/>
        <v>3.5625222657641606E-2</v>
      </c>
      <c r="U387" s="465">
        <v>280700</v>
      </c>
      <c r="V387" s="464">
        <v>3100</v>
      </c>
      <c r="W387" s="464">
        <v>1400</v>
      </c>
      <c r="X387" s="464">
        <v>200</v>
      </c>
      <c r="Y387" s="464">
        <v>100</v>
      </c>
    </row>
    <row r="388" spans="1:25">
      <c r="A388" s="462" t="s">
        <v>443</v>
      </c>
      <c r="B388" s="462" t="s">
        <v>452</v>
      </c>
      <c r="C388" s="462">
        <v>2002</v>
      </c>
      <c r="D388" s="462">
        <v>0.1</v>
      </c>
      <c r="E388" s="462">
        <v>0.1</v>
      </c>
      <c r="F388" s="462">
        <v>0</v>
      </c>
      <c r="G388" s="462">
        <v>0</v>
      </c>
      <c r="H388" s="462">
        <v>0</v>
      </c>
      <c r="K388" s="44">
        <f t="shared" si="21"/>
        <v>1.6168331483536811</v>
      </c>
      <c r="L388" s="462">
        <v>0.1</v>
      </c>
      <c r="M388" s="462">
        <v>0</v>
      </c>
      <c r="N388" s="462">
        <v>0</v>
      </c>
      <c r="O388" s="462">
        <v>0</v>
      </c>
      <c r="P388" s="44">
        <f t="shared" si="22"/>
        <v>1.0728819829818719</v>
      </c>
      <c r="Q388" s="44">
        <f t="shared" si="23"/>
        <v>0.44395116537180912</v>
      </c>
      <c r="R388" s="44">
        <f t="shared" si="24"/>
        <v>0</v>
      </c>
      <c r="U388" s="465">
        <v>270300</v>
      </c>
      <c r="V388" s="464">
        <v>2900</v>
      </c>
      <c r="W388" s="464">
        <v>1200</v>
      </c>
      <c r="X388" s="464">
        <v>300</v>
      </c>
      <c r="Y388" s="464">
        <v>0</v>
      </c>
    </row>
    <row r="389" spans="1:25">
      <c r="A389" s="462" t="s">
        <v>443</v>
      </c>
      <c r="B389" s="462" t="s">
        <v>452</v>
      </c>
      <c r="C389" s="462">
        <v>2003</v>
      </c>
      <c r="D389" s="462">
        <v>0.1</v>
      </c>
      <c r="E389" s="462">
        <v>0.1</v>
      </c>
      <c r="F389" s="462">
        <v>0</v>
      </c>
      <c r="G389" s="462">
        <v>0</v>
      </c>
      <c r="H389" s="462">
        <v>0</v>
      </c>
      <c r="K389" s="44">
        <f t="shared" si="21"/>
        <v>1.6742397137745979</v>
      </c>
      <c r="L389" s="462">
        <v>0.1</v>
      </c>
      <c r="M389" s="462">
        <v>0</v>
      </c>
      <c r="N389" s="462">
        <v>0</v>
      </c>
      <c r="O389" s="462">
        <v>0</v>
      </c>
      <c r="P389" s="44">
        <f t="shared" si="22"/>
        <v>1.0375670840787121</v>
      </c>
      <c r="Q389" s="44">
        <f t="shared" si="23"/>
        <v>0.50089445438282654</v>
      </c>
      <c r="R389" s="44">
        <f t="shared" si="24"/>
        <v>3.5778175313059032E-2</v>
      </c>
      <c r="U389" s="465">
        <v>279500</v>
      </c>
      <c r="V389" s="464">
        <v>2900</v>
      </c>
      <c r="W389" s="464">
        <v>1400</v>
      </c>
      <c r="X389" s="464">
        <v>300</v>
      </c>
      <c r="Y389" s="464">
        <v>100</v>
      </c>
    </row>
    <row r="390" spans="1:25">
      <c r="A390" s="462" t="s">
        <v>443</v>
      </c>
      <c r="B390" s="462" t="s">
        <v>452</v>
      </c>
      <c r="C390" s="462">
        <v>2004</v>
      </c>
      <c r="D390" s="462">
        <v>0.1</v>
      </c>
      <c r="E390" s="462">
        <v>0.1</v>
      </c>
      <c r="F390" s="462">
        <v>0</v>
      </c>
      <c r="G390" s="462">
        <v>0</v>
      </c>
      <c r="H390" s="462">
        <v>0</v>
      </c>
      <c r="K390" s="44">
        <f t="shared" si="21"/>
        <v>1.6883744508279828</v>
      </c>
      <c r="L390" s="462">
        <v>0.1</v>
      </c>
      <c r="M390" s="462">
        <v>0</v>
      </c>
      <c r="N390" s="462">
        <v>0</v>
      </c>
      <c r="O390" s="462">
        <v>0</v>
      </c>
      <c r="P390" s="44">
        <f t="shared" si="22"/>
        <v>1.0476512335248396</v>
      </c>
      <c r="Q390" s="44">
        <f t="shared" si="23"/>
        <v>0.50692801622169659</v>
      </c>
      <c r="R390" s="44">
        <f t="shared" si="24"/>
        <v>3.379520108144643E-2</v>
      </c>
      <c r="U390" s="465">
        <v>295900</v>
      </c>
      <c r="V390" s="464">
        <v>3100</v>
      </c>
      <c r="W390" s="464">
        <v>1500</v>
      </c>
      <c r="X390" s="464">
        <v>200</v>
      </c>
      <c r="Y390" s="464">
        <v>100</v>
      </c>
    </row>
    <row r="391" spans="1:25">
      <c r="A391" s="462" t="s">
        <v>443</v>
      </c>
      <c r="B391" s="462" t="s">
        <v>452</v>
      </c>
      <c r="C391" s="462">
        <v>2005</v>
      </c>
      <c r="D391" s="462">
        <v>0.2</v>
      </c>
      <c r="E391" s="462">
        <v>0.1</v>
      </c>
      <c r="F391" s="462">
        <v>0</v>
      </c>
      <c r="G391" s="462">
        <v>0</v>
      </c>
      <c r="H391" s="462">
        <v>0</v>
      </c>
      <c r="K391" s="44">
        <f t="shared" si="21"/>
        <v>1.7557325835676354</v>
      </c>
      <c r="L391" s="462">
        <v>0.1</v>
      </c>
      <c r="M391" s="462">
        <v>0</v>
      </c>
      <c r="N391" s="462">
        <v>0</v>
      </c>
      <c r="O391" s="462">
        <v>0</v>
      </c>
      <c r="P391" s="44">
        <f t="shared" si="22"/>
        <v>1.0934083099031553</v>
      </c>
      <c r="Q391" s="44">
        <f t="shared" si="23"/>
        <v>0.53108403623867539</v>
      </c>
      <c r="R391" s="44">
        <f t="shared" si="24"/>
        <v>3.1240237425804434E-2</v>
      </c>
      <c r="U391" s="465">
        <v>320100</v>
      </c>
      <c r="V391" s="464">
        <v>3500</v>
      </c>
      <c r="W391" s="464">
        <v>1700</v>
      </c>
      <c r="X391" s="464">
        <v>200</v>
      </c>
      <c r="Y391" s="464">
        <v>100</v>
      </c>
    </row>
    <row r="392" spans="1:25">
      <c r="A392" s="462" t="s">
        <v>443</v>
      </c>
      <c r="B392" s="462" t="s">
        <v>452</v>
      </c>
      <c r="C392" s="462">
        <v>2006</v>
      </c>
      <c r="D392" s="462">
        <v>0.1</v>
      </c>
      <c r="E392" s="462">
        <v>0.1</v>
      </c>
      <c r="F392" s="462">
        <v>0</v>
      </c>
      <c r="G392" s="462">
        <v>0</v>
      </c>
      <c r="H392" s="462">
        <v>0</v>
      </c>
      <c r="K392" s="44">
        <f t="shared" si="21"/>
        <v>1.8257039055404178</v>
      </c>
      <c r="L392" s="462">
        <v>0.1</v>
      </c>
      <c r="M392" s="462">
        <v>0</v>
      </c>
      <c r="N392" s="462">
        <v>0</v>
      </c>
      <c r="O392" s="462">
        <v>0</v>
      </c>
      <c r="P392" s="44">
        <f t="shared" si="22"/>
        <v>1.1201937632455343</v>
      </c>
      <c r="Q392" s="44">
        <f t="shared" si="23"/>
        <v>0.60551014229488342</v>
      </c>
      <c r="R392" s="44">
        <f t="shared" si="24"/>
        <v>0</v>
      </c>
      <c r="U392" s="465">
        <v>330300</v>
      </c>
      <c r="V392" s="464">
        <v>3700</v>
      </c>
      <c r="W392" s="464">
        <v>2000</v>
      </c>
      <c r="X392" s="464">
        <v>100</v>
      </c>
      <c r="Y392" s="464">
        <v>0</v>
      </c>
    </row>
    <row r="393" spans="1:25">
      <c r="A393" s="462" t="s">
        <v>443</v>
      </c>
      <c r="B393" s="462" t="s">
        <v>452</v>
      </c>
      <c r="C393" s="462">
        <v>2007</v>
      </c>
      <c r="D393" s="462">
        <v>0.2</v>
      </c>
      <c r="E393" s="462">
        <v>0.1</v>
      </c>
      <c r="F393" s="462">
        <v>0</v>
      </c>
      <c r="G393" s="462">
        <v>0</v>
      </c>
      <c r="H393" s="462">
        <v>0</v>
      </c>
      <c r="K393" s="44">
        <f t="shared" si="21"/>
        <v>1.9762826150688948</v>
      </c>
      <c r="L393" s="462">
        <v>0.1</v>
      </c>
      <c r="M393" s="462">
        <v>0</v>
      </c>
      <c r="N393" s="462">
        <v>0</v>
      </c>
      <c r="O393" s="462">
        <v>0</v>
      </c>
      <c r="P393" s="44">
        <f t="shared" si="22"/>
        <v>1.2019935502785108</v>
      </c>
      <c r="Q393" s="44">
        <f t="shared" si="23"/>
        <v>0.64497214892993249</v>
      </c>
      <c r="R393" s="44">
        <f t="shared" si="24"/>
        <v>2.931691586045148E-2</v>
      </c>
      <c r="U393" s="465">
        <v>341100</v>
      </c>
      <c r="V393" s="464">
        <v>4100</v>
      </c>
      <c r="W393" s="464">
        <v>2200</v>
      </c>
      <c r="X393" s="464">
        <v>100</v>
      </c>
      <c r="Y393" s="464">
        <v>100</v>
      </c>
    </row>
    <row r="394" spans="1:25">
      <c r="A394" s="462" t="s">
        <v>443</v>
      </c>
      <c r="B394" s="462" t="s">
        <v>452</v>
      </c>
      <c r="C394" s="462">
        <v>2008</v>
      </c>
      <c r="D394" s="462">
        <v>0.2</v>
      </c>
      <c r="E394" s="462">
        <v>0.1</v>
      </c>
      <c r="F394" s="462">
        <v>0</v>
      </c>
      <c r="G394" s="462">
        <v>0</v>
      </c>
      <c r="H394" s="462">
        <v>0</v>
      </c>
      <c r="K394" s="44">
        <f t="shared" si="21"/>
        <v>1.6175466329434081</v>
      </c>
      <c r="L394" s="462">
        <v>0.1</v>
      </c>
      <c r="M394" s="462">
        <v>0</v>
      </c>
      <c r="N394" s="462">
        <v>0</v>
      </c>
      <c r="O394" s="462">
        <v>0</v>
      </c>
      <c r="P394" s="44">
        <f t="shared" si="22"/>
        <v>0.94846664558963012</v>
      </c>
      <c r="Q394" s="44">
        <f t="shared" si="23"/>
        <v>0.56907998735377796</v>
      </c>
      <c r="R394" s="44">
        <f t="shared" si="24"/>
        <v>0</v>
      </c>
      <c r="U394" s="465">
        <v>316300</v>
      </c>
      <c r="V394" s="464">
        <v>3000</v>
      </c>
      <c r="W394" s="464">
        <v>1800</v>
      </c>
      <c r="X394" s="464">
        <v>200</v>
      </c>
      <c r="Y394" s="464">
        <v>0</v>
      </c>
    </row>
    <row r="395" spans="1:25">
      <c r="A395" s="462" t="s">
        <v>443</v>
      </c>
      <c r="B395" s="462" t="s">
        <v>452</v>
      </c>
      <c r="C395" s="462">
        <v>2009</v>
      </c>
      <c r="D395" s="462">
        <v>0.2</v>
      </c>
      <c r="E395" s="462">
        <v>0.1</v>
      </c>
      <c r="F395" s="462">
        <v>0</v>
      </c>
      <c r="G395" s="462">
        <v>0</v>
      </c>
      <c r="H395" s="462">
        <v>0</v>
      </c>
      <c r="K395" s="44">
        <f t="shared" si="21"/>
        <v>1.7582064297800337</v>
      </c>
      <c r="L395" s="462">
        <v>0.1</v>
      </c>
      <c r="M395" s="462">
        <v>0</v>
      </c>
      <c r="N395" s="462">
        <v>0</v>
      </c>
      <c r="O395" s="462">
        <v>0</v>
      </c>
      <c r="P395" s="44">
        <f t="shared" si="22"/>
        <v>1.0490693739424704</v>
      </c>
      <c r="Q395" s="44">
        <f t="shared" si="23"/>
        <v>0.60913705583756339</v>
      </c>
      <c r="R395" s="44">
        <f t="shared" si="24"/>
        <v>0</v>
      </c>
      <c r="U395" s="465">
        <v>295500</v>
      </c>
      <c r="V395" s="464">
        <v>3100</v>
      </c>
      <c r="W395" s="464">
        <v>1800</v>
      </c>
      <c r="X395" s="464">
        <v>600</v>
      </c>
      <c r="Y395" s="464">
        <v>0</v>
      </c>
    </row>
    <row r="396" spans="1:25">
      <c r="A396" s="462" t="s">
        <v>443</v>
      </c>
      <c r="B396" s="462" t="s">
        <v>452</v>
      </c>
      <c r="C396" s="462">
        <v>2010</v>
      </c>
      <c r="D396" s="462">
        <v>0.2</v>
      </c>
      <c r="E396" s="462">
        <v>0.1</v>
      </c>
      <c r="F396" s="462">
        <v>0</v>
      </c>
      <c r="G396" s="462">
        <v>0</v>
      </c>
      <c r="H396" s="462">
        <v>0</v>
      </c>
      <c r="K396" s="44">
        <f t="shared" si="21"/>
        <v>1.7447368421052634</v>
      </c>
      <c r="L396" s="462">
        <v>0.1</v>
      </c>
      <c r="M396" s="462">
        <v>0</v>
      </c>
      <c r="N396" s="462">
        <v>0</v>
      </c>
      <c r="O396" s="462">
        <v>0</v>
      </c>
      <c r="P396" s="44">
        <f t="shared" si="22"/>
        <v>1.0526315789473684</v>
      </c>
      <c r="Q396" s="44">
        <f t="shared" si="23"/>
        <v>0.5921052631578948</v>
      </c>
      <c r="R396" s="44">
        <f t="shared" si="24"/>
        <v>0</v>
      </c>
      <c r="U396" s="465">
        <v>304000</v>
      </c>
      <c r="V396" s="464">
        <v>3200</v>
      </c>
      <c r="W396" s="464">
        <v>1800</v>
      </c>
      <c r="X396" s="464">
        <v>500</v>
      </c>
      <c r="Y396" s="464">
        <v>0</v>
      </c>
    </row>
    <row r="397" spans="1:25">
      <c r="A397" s="462" t="s">
        <v>443</v>
      </c>
      <c r="B397" s="462" t="s">
        <v>452</v>
      </c>
      <c r="C397" s="462">
        <v>2011</v>
      </c>
      <c r="D397" s="462">
        <v>0.1</v>
      </c>
      <c r="E397" s="462">
        <v>0.1</v>
      </c>
      <c r="F397" s="462">
        <v>0</v>
      </c>
      <c r="G397" s="462">
        <v>0</v>
      </c>
      <c r="H397" s="462">
        <v>0</v>
      </c>
      <c r="K397" s="44">
        <f t="shared" si="21"/>
        <v>1.8052767052767051</v>
      </c>
      <c r="L397" s="462">
        <v>0.1</v>
      </c>
      <c r="M397" s="462">
        <v>0</v>
      </c>
      <c r="N397" s="462">
        <v>0</v>
      </c>
      <c r="O397" s="462">
        <v>0</v>
      </c>
      <c r="P397" s="44">
        <f t="shared" si="22"/>
        <v>1.0939510939510939</v>
      </c>
      <c r="Q397" s="44">
        <f t="shared" si="23"/>
        <v>0.61132561132561125</v>
      </c>
      <c r="R397" s="44">
        <f t="shared" si="24"/>
        <v>0</v>
      </c>
      <c r="U397" s="465">
        <v>310800</v>
      </c>
      <c r="V397" s="464">
        <v>3400</v>
      </c>
      <c r="W397" s="464">
        <v>1900</v>
      </c>
      <c r="X397" s="464">
        <v>400</v>
      </c>
      <c r="Y397" s="464">
        <v>0</v>
      </c>
    </row>
    <row r="398" spans="1:25">
      <c r="A398" s="462" t="s">
        <v>443</v>
      </c>
      <c r="B398" s="462" t="s">
        <v>452</v>
      </c>
      <c r="C398" s="462">
        <v>2012</v>
      </c>
      <c r="D398" s="462">
        <v>0.1</v>
      </c>
      <c r="E398" s="462">
        <v>0.1</v>
      </c>
      <c r="F398" s="462">
        <v>0</v>
      </c>
      <c r="G398" s="462">
        <v>0</v>
      </c>
      <c r="H398" s="462">
        <v>0</v>
      </c>
      <c r="K398" s="44">
        <f t="shared" si="21"/>
        <v>1.7824717038849802</v>
      </c>
      <c r="L398" s="462">
        <v>0.1</v>
      </c>
      <c r="M398" s="462">
        <v>0</v>
      </c>
      <c r="N398" s="462">
        <v>0</v>
      </c>
      <c r="O398" s="462">
        <v>0</v>
      </c>
      <c r="P398" s="44">
        <f t="shared" si="22"/>
        <v>1.0400734169470787</v>
      </c>
      <c r="Q398" s="44">
        <f t="shared" si="23"/>
        <v>0.64239828693790146</v>
      </c>
      <c r="R398" s="44">
        <f t="shared" si="24"/>
        <v>0</v>
      </c>
      <c r="U398" s="465">
        <v>326900</v>
      </c>
      <c r="V398" s="464">
        <v>3400</v>
      </c>
      <c r="W398" s="464">
        <v>2100</v>
      </c>
      <c r="X398" s="464">
        <v>300</v>
      </c>
      <c r="Y398" s="464">
        <v>0</v>
      </c>
    </row>
    <row r="399" spans="1:25">
      <c r="A399" s="462" t="s">
        <v>443</v>
      </c>
      <c r="B399" s="462" t="s">
        <v>452</v>
      </c>
      <c r="C399" s="462">
        <v>2013</v>
      </c>
      <c r="D399" s="462">
        <v>0.1</v>
      </c>
      <c r="E399" s="462">
        <v>0.1</v>
      </c>
      <c r="F399" s="462">
        <v>0</v>
      </c>
      <c r="G399" s="462">
        <v>0</v>
      </c>
      <c r="H399" s="462">
        <v>0</v>
      </c>
      <c r="K399" s="44">
        <f t="shared" si="21"/>
        <v>2.0417475728155341</v>
      </c>
      <c r="L399" s="462">
        <v>0.1</v>
      </c>
      <c r="M399" s="462">
        <v>0</v>
      </c>
      <c r="N399" s="462">
        <v>0</v>
      </c>
      <c r="O399" s="462">
        <v>0</v>
      </c>
      <c r="P399" s="44">
        <f t="shared" si="22"/>
        <v>1.2439320388349515</v>
      </c>
      <c r="Q399" s="44">
        <f t="shared" si="23"/>
        <v>0.66747572815533973</v>
      </c>
      <c r="R399" s="44">
        <f t="shared" si="24"/>
        <v>3.0339805825242715E-2</v>
      </c>
      <c r="U399" s="465">
        <v>329600</v>
      </c>
      <c r="V399" s="464">
        <v>4100</v>
      </c>
      <c r="W399" s="464">
        <v>2200</v>
      </c>
      <c r="X399" s="464">
        <v>200</v>
      </c>
      <c r="Y399" s="464">
        <v>100</v>
      </c>
    </row>
    <row r="400" spans="1:25">
      <c r="A400" s="462" t="s">
        <v>443</v>
      </c>
      <c r="B400" s="462" t="s">
        <v>452</v>
      </c>
      <c r="C400" s="462">
        <v>2014</v>
      </c>
      <c r="D400" s="462">
        <v>0.2</v>
      </c>
      <c r="E400" s="462">
        <v>0.1</v>
      </c>
      <c r="F400" s="462">
        <v>0</v>
      </c>
      <c r="G400" s="462">
        <v>0</v>
      </c>
      <c r="H400" s="462">
        <v>0</v>
      </c>
      <c r="K400" s="44">
        <f t="shared" si="21"/>
        <v>2.0877228880444316</v>
      </c>
      <c r="L400" s="462">
        <v>0.1</v>
      </c>
      <c r="M400" s="462">
        <v>0</v>
      </c>
      <c r="N400" s="462">
        <v>0</v>
      </c>
      <c r="O400" s="462">
        <v>0</v>
      </c>
      <c r="P400" s="44">
        <f t="shared" si="22"/>
        <v>1.2861736334405145</v>
      </c>
      <c r="Q400" s="44">
        <f t="shared" si="23"/>
        <v>0.70154925460391693</v>
      </c>
      <c r="R400" s="44">
        <f t="shared" si="24"/>
        <v>0</v>
      </c>
      <c r="U400" s="465">
        <v>342100</v>
      </c>
      <c r="V400" s="464">
        <v>4400</v>
      </c>
      <c r="W400" s="464">
        <v>2400</v>
      </c>
      <c r="X400" s="464">
        <v>100</v>
      </c>
      <c r="Y400" s="464">
        <v>0</v>
      </c>
    </row>
    <row r="401" spans="1:25">
      <c r="A401" s="462" t="s">
        <v>443</v>
      </c>
      <c r="B401" s="462" t="s">
        <v>452</v>
      </c>
      <c r="C401" s="462">
        <v>2015</v>
      </c>
      <c r="D401" s="462">
        <v>0.2</v>
      </c>
      <c r="E401" s="462">
        <v>0.2</v>
      </c>
      <c r="F401" s="462">
        <v>0</v>
      </c>
      <c r="G401" s="462">
        <v>0</v>
      </c>
      <c r="H401" s="462">
        <v>0</v>
      </c>
      <c r="K401" s="44">
        <f t="shared" si="21"/>
        <v>2.0560179977502813</v>
      </c>
      <c r="L401" s="462">
        <v>0.2</v>
      </c>
      <c r="M401" s="462">
        <v>0</v>
      </c>
      <c r="N401" s="462">
        <v>0</v>
      </c>
      <c r="O401" s="462">
        <v>0</v>
      </c>
      <c r="P401" s="44">
        <f t="shared" si="22"/>
        <v>1.1529808773903261</v>
      </c>
      <c r="Q401" s="44">
        <f t="shared" si="23"/>
        <v>0.70303712035995503</v>
      </c>
      <c r="R401" s="44">
        <f t="shared" si="24"/>
        <v>0</v>
      </c>
      <c r="U401" s="465">
        <v>355600</v>
      </c>
      <c r="V401" s="464">
        <v>4100</v>
      </c>
      <c r="W401" s="464">
        <v>2500</v>
      </c>
      <c r="X401" s="464">
        <v>100</v>
      </c>
      <c r="Y401" s="464">
        <v>0</v>
      </c>
    </row>
    <row r="402" spans="1:25">
      <c r="A402" s="462" t="s">
        <v>443</v>
      </c>
      <c r="B402" s="462" t="s">
        <v>452</v>
      </c>
      <c r="C402" s="462">
        <v>2016</v>
      </c>
      <c r="D402" s="462">
        <v>0.2</v>
      </c>
      <c r="E402" s="462">
        <v>0.2</v>
      </c>
      <c r="F402" s="462">
        <v>0</v>
      </c>
      <c r="G402" s="462">
        <v>0</v>
      </c>
      <c r="H402" s="462">
        <v>0</v>
      </c>
      <c r="K402" s="44">
        <f t="shared" si="21"/>
        <v>2.1685039370078738</v>
      </c>
      <c r="L402" s="462">
        <v>0.2</v>
      </c>
      <c r="M402" s="462">
        <v>0</v>
      </c>
      <c r="N402" s="462">
        <v>0</v>
      </c>
      <c r="O402" s="462">
        <v>0</v>
      </c>
      <c r="P402" s="44">
        <f t="shared" si="22"/>
        <v>1.2092238470191226</v>
      </c>
      <c r="Q402" s="44">
        <f t="shared" si="23"/>
        <v>0.73115860517435327</v>
      </c>
      <c r="R402" s="44">
        <f t="shared" si="24"/>
        <v>2.8121484814398204E-2</v>
      </c>
      <c r="U402" s="465">
        <v>355600</v>
      </c>
      <c r="V402" s="464">
        <v>4300</v>
      </c>
      <c r="W402" s="464">
        <v>2600</v>
      </c>
      <c r="X402" s="464">
        <v>100</v>
      </c>
      <c r="Y402" s="464">
        <v>100</v>
      </c>
    </row>
    <row r="403" spans="1:25">
      <c r="A403" s="462" t="s">
        <v>443</v>
      </c>
      <c r="B403" s="462" t="s">
        <v>453</v>
      </c>
      <c r="C403" s="462">
        <v>1979</v>
      </c>
      <c r="D403" s="462">
        <v>0</v>
      </c>
      <c r="E403" s="462">
        <v>0</v>
      </c>
      <c r="F403" s="462">
        <v>0</v>
      </c>
      <c r="G403" s="462">
        <v>0</v>
      </c>
      <c r="H403" s="462">
        <v>0</v>
      </c>
      <c r="K403" s="44">
        <f t="shared" si="21"/>
        <v>0.8521214273033908</v>
      </c>
      <c r="L403" s="462">
        <v>0</v>
      </c>
      <c r="M403" s="462">
        <v>0</v>
      </c>
      <c r="N403" s="462">
        <v>0</v>
      </c>
      <c r="O403" s="462">
        <v>0</v>
      </c>
      <c r="P403" s="44">
        <f t="shared" si="22"/>
        <v>0.65684360021303034</v>
      </c>
      <c r="Q403" s="44">
        <f t="shared" si="23"/>
        <v>0.1952778270903604</v>
      </c>
      <c r="R403" s="44">
        <f t="shared" si="24"/>
        <v>0</v>
      </c>
      <c r="U403" s="465">
        <v>563300</v>
      </c>
      <c r="V403" s="464">
        <v>3700</v>
      </c>
      <c r="W403" s="464">
        <v>1100</v>
      </c>
      <c r="X403" s="464">
        <v>100</v>
      </c>
      <c r="Y403" s="464">
        <v>0</v>
      </c>
    </row>
    <row r="404" spans="1:25">
      <c r="A404" s="462" t="s">
        <v>443</v>
      </c>
      <c r="B404" s="462" t="s">
        <v>453</v>
      </c>
      <c r="C404" s="462">
        <v>1980</v>
      </c>
      <c r="D404" s="462">
        <v>0</v>
      </c>
      <c r="E404" s="462">
        <v>0</v>
      </c>
      <c r="F404" s="462">
        <v>0</v>
      </c>
      <c r="G404" s="462">
        <v>0</v>
      </c>
      <c r="H404" s="462">
        <v>0</v>
      </c>
      <c r="K404" s="44">
        <f t="shared" si="21"/>
        <v>0.9264406151565685</v>
      </c>
      <c r="L404" s="462">
        <v>0</v>
      </c>
      <c r="M404" s="462">
        <v>0</v>
      </c>
      <c r="N404" s="462">
        <v>0</v>
      </c>
      <c r="O404" s="462">
        <v>0</v>
      </c>
      <c r="P404" s="44">
        <f t="shared" si="22"/>
        <v>0.68556605521586067</v>
      </c>
      <c r="Q404" s="44">
        <f t="shared" si="23"/>
        <v>0.22234574763757642</v>
      </c>
      <c r="R404" s="44">
        <f t="shared" si="24"/>
        <v>1.8528812303131369E-2</v>
      </c>
      <c r="U404" s="465">
        <v>539700</v>
      </c>
      <c r="V404" s="464">
        <v>3700</v>
      </c>
      <c r="W404" s="464">
        <v>1200</v>
      </c>
      <c r="X404" s="464">
        <v>100</v>
      </c>
      <c r="Y404" s="464">
        <v>100</v>
      </c>
    </row>
    <row r="405" spans="1:25">
      <c r="A405" s="462" t="s">
        <v>443</v>
      </c>
      <c r="B405" s="462" t="s">
        <v>453</v>
      </c>
      <c r="C405" s="462">
        <v>1981</v>
      </c>
      <c r="D405" s="462">
        <v>0</v>
      </c>
      <c r="E405" s="462">
        <v>0</v>
      </c>
      <c r="F405" s="462">
        <v>0</v>
      </c>
      <c r="G405" s="462">
        <v>0</v>
      </c>
      <c r="H405" s="462">
        <v>0</v>
      </c>
      <c r="K405" s="44">
        <f t="shared" si="21"/>
        <v>0.96834264432029804</v>
      </c>
      <c r="L405" s="462">
        <v>0</v>
      </c>
      <c r="M405" s="462">
        <v>0</v>
      </c>
      <c r="N405" s="462">
        <v>0</v>
      </c>
      <c r="O405" s="462">
        <v>0</v>
      </c>
      <c r="P405" s="44">
        <f t="shared" si="22"/>
        <v>0.707635009310987</v>
      </c>
      <c r="Q405" s="44">
        <f t="shared" si="23"/>
        <v>0.26070763500931099</v>
      </c>
      <c r="R405" s="44">
        <f t="shared" si="24"/>
        <v>0</v>
      </c>
      <c r="U405" s="465">
        <v>537000</v>
      </c>
      <c r="V405" s="464">
        <v>3800</v>
      </c>
      <c r="W405" s="464">
        <v>1400</v>
      </c>
      <c r="X405" s="464">
        <v>100</v>
      </c>
      <c r="Y405" s="464">
        <v>0</v>
      </c>
    </row>
    <row r="406" spans="1:25">
      <c r="A406" s="462" t="s">
        <v>443</v>
      </c>
      <c r="B406" s="462" t="s">
        <v>453</v>
      </c>
      <c r="C406" s="462">
        <v>1982</v>
      </c>
      <c r="D406" s="462">
        <v>0</v>
      </c>
      <c r="E406" s="462">
        <v>0</v>
      </c>
      <c r="F406" s="462">
        <v>0</v>
      </c>
      <c r="G406" s="462">
        <v>0</v>
      </c>
      <c r="H406" s="462">
        <v>0</v>
      </c>
      <c r="K406" s="44">
        <f t="shared" si="21"/>
        <v>1.0250972074938141</v>
      </c>
      <c r="L406" s="462">
        <v>0</v>
      </c>
      <c r="M406" s="462">
        <v>0</v>
      </c>
      <c r="N406" s="462">
        <v>0</v>
      </c>
      <c r="O406" s="462">
        <v>0</v>
      </c>
      <c r="P406" s="44">
        <f t="shared" si="22"/>
        <v>0.75998586072817254</v>
      </c>
      <c r="Q406" s="44">
        <f t="shared" si="23"/>
        <v>0.26511134676564158</v>
      </c>
      <c r="R406" s="44">
        <f t="shared" si="24"/>
        <v>0</v>
      </c>
      <c r="U406" s="465">
        <v>565800</v>
      </c>
      <c r="V406" s="464">
        <v>4300</v>
      </c>
      <c r="W406" s="464">
        <v>1500</v>
      </c>
      <c r="X406" s="464">
        <v>100</v>
      </c>
      <c r="Y406" s="464">
        <v>0</v>
      </c>
    </row>
    <row r="407" spans="1:25">
      <c r="A407" s="462" t="s">
        <v>443</v>
      </c>
      <c r="B407" s="462" t="s">
        <v>453</v>
      </c>
      <c r="C407" s="462">
        <v>1983</v>
      </c>
      <c r="D407" s="462">
        <v>0</v>
      </c>
      <c r="E407" s="462">
        <v>0</v>
      </c>
      <c r="F407" s="462">
        <v>0</v>
      </c>
      <c r="G407" s="462">
        <v>0</v>
      </c>
      <c r="H407" s="462">
        <v>0</v>
      </c>
      <c r="K407" s="44">
        <f t="shared" si="21"/>
        <v>0.98434726480555113</v>
      </c>
      <c r="L407" s="462">
        <v>0</v>
      </c>
      <c r="M407" s="462">
        <v>0</v>
      </c>
      <c r="N407" s="462">
        <v>0</v>
      </c>
      <c r="O407" s="462">
        <v>0</v>
      </c>
      <c r="P407" s="44">
        <f t="shared" si="22"/>
        <v>0.71002097789252872</v>
      </c>
      <c r="Q407" s="44">
        <f t="shared" si="23"/>
        <v>0.25818944650637404</v>
      </c>
      <c r="R407" s="44">
        <f t="shared" si="24"/>
        <v>1.6136840406648378E-2</v>
      </c>
      <c r="U407" s="465">
        <v>619700</v>
      </c>
      <c r="V407" s="464">
        <v>4400</v>
      </c>
      <c r="W407" s="464">
        <v>1600</v>
      </c>
      <c r="X407" s="464">
        <v>100</v>
      </c>
      <c r="Y407" s="464">
        <v>100</v>
      </c>
    </row>
    <row r="408" spans="1:25">
      <c r="A408" s="462" t="s">
        <v>443</v>
      </c>
      <c r="B408" s="462" t="s">
        <v>453</v>
      </c>
      <c r="C408" s="462">
        <v>1984</v>
      </c>
      <c r="D408" s="462">
        <v>0</v>
      </c>
      <c r="E408" s="462">
        <v>0</v>
      </c>
      <c r="F408" s="462">
        <v>0</v>
      </c>
      <c r="G408" s="462">
        <v>0</v>
      </c>
      <c r="H408" s="462">
        <v>0</v>
      </c>
      <c r="K408" s="44">
        <f t="shared" si="21"/>
        <v>0.97200058029885394</v>
      </c>
      <c r="L408" s="462">
        <v>0</v>
      </c>
      <c r="M408" s="462">
        <v>0</v>
      </c>
      <c r="N408" s="462">
        <v>0</v>
      </c>
      <c r="O408" s="462">
        <v>0</v>
      </c>
      <c r="P408" s="44">
        <f t="shared" si="22"/>
        <v>0.71086609603946038</v>
      </c>
      <c r="Q408" s="44">
        <f t="shared" si="23"/>
        <v>0.24662701291164948</v>
      </c>
      <c r="R408" s="44">
        <f t="shared" si="24"/>
        <v>1.450747134774409E-2</v>
      </c>
      <c r="U408" s="465">
        <v>689300</v>
      </c>
      <c r="V408" s="464">
        <v>4900</v>
      </c>
      <c r="W408" s="464">
        <v>1700</v>
      </c>
      <c r="X408" s="464">
        <v>100</v>
      </c>
      <c r="Y408" s="464">
        <v>100</v>
      </c>
    </row>
    <row r="409" spans="1:25">
      <c r="A409" s="462" t="s">
        <v>443</v>
      </c>
      <c r="B409" s="462" t="s">
        <v>453</v>
      </c>
      <c r="C409" s="462">
        <v>1985</v>
      </c>
      <c r="D409" s="462">
        <v>0</v>
      </c>
      <c r="E409" s="462">
        <v>0</v>
      </c>
      <c r="F409" s="462">
        <v>0</v>
      </c>
      <c r="G409" s="462">
        <v>0</v>
      </c>
      <c r="H409" s="462">
        <v>0</v>
      </c>
      <c r="K409" s="44">
        <f t="shared" si="21"/>
        <v>0.9126821958861191</v>
      </c>
      <c r="L409" s="462">
        <v>0</v>
      </c>
      <c r="M409" s="462">
        <v>0</v>
      </c>
      <c r="N409" s="462">
        <v>0</v>
      </c>
      <c r="O409" s="462">
        <v>0</v>
      </c>
      <c r="P409" s="44">
        <f t="shared" si="22"/>
        <v>0.64023974935294925</v>
      </c>
      <c r="Q409" s="44">
        <f t="shared" si="23"/>
        <v>0.24519820187985289</v>
      </c>
      <c r="R409" s="44">
        <f t="shared" si="24"/>
        <v>2.7244244653316988E-2</v>
      </c>
      <c r="U409" s="465">
        <v>734100</v>
      </c>
      <c r="V409" s="464">
        <v>4700</v>
      </c>
      <c r="W409" s="464">
        <v>1800</v>
      </c>
      <c r="X409" s="464">
        <v>100</v>
      </c>
      <c r="Y409" s="464">
        <v>200</v>
      </c>
    </row>
    <row r="410" spans="1:25">
      <c r="A410" s="462" t="s">
        <v>443</v>
      </c>
      <c r="B410" s="462" t="s">
        <v>453</v>
      </c>
      <c r="C410" s="462">
        <v>1986</v>
      </c>
      <c r="D410" s="462">
        <v>0</v>
      </c>
      <c r="E410" s="462">
        <v>0</v>
      </c>
      <c r="F410" s="462">
        <v>0</v>
      </c>
      <c r="G410" s="462">
        <v>0</v>
      </c>
      <c r="H410" s="462">
        <v>0</v>
      </c>
      <c r="K410" s="44">
        <f t="shared" si="21"/>
        <v>0.70598006644518274</v>
      </c>
      <c r="L410" s="462">
        <v>0</v>
      </c>
      <c r="M410" s="462">
        <v>0</v>
      </c>
      <c r="N410" s="462">
        <v>0</v>
      </c>
      <c r="O410" s="462">
        <v>0</v>
      </c>
      <c r="P410" s="44">
        <f t="shared" si="22"/>
        <v>0.49833887043189368</v>
      </c>
      <c r="Q410" s="44">
        <f t="shared" si="23"/>
        <v>0.18687707641196014</v>
      </c>
      <c r="R410" s="44">
        <f t="shared" si="24"/>
        <v>2.0764119601328904E-2</v>
      </c>
      <c r="U410" s="465">
        <v>963200</v>
      </c>
      <c r="V410" s="464">
        <v>4800</v>
      </c>
      <c r="W410" s="464">
        <v>1800</v>
      </c>
      <c r="X410" s="464">
        <v>100</v>
      </c>
      <c r="Y410" s="464">
        <v>200</v>
      </c>
    </row>
    <row r="411" spans="1:25">
      <c r="A411" s="462" t="s">
        <v>443</v>
      </c>
      <c r="B411" s="462" t="s">
        <v>453</v>
      </c>
      <c r="C411" s="462">
        <v>1987</v>
      </c>
      <c r="D411" s="462">
        <v>0</v>
      </c>
      <c r="E411" s="462">
        <v>0</v>
      </c>
      <c r="F411" s="462">
        <v>0</v>
      </c>
      <c r="G411" s="462">
        <v>0</v>
      </c>
      <c r="H411" s="462">
        <v>0</v>
      </c>
      <c r="K411" s="44">
        <f t="shared" si="21"/>
        <v>0.69911962713619891</v>
      </c>
      <c r="L411" s="462">
        <v>0</v>
      </c>
      <c r="M411" s="462">
        <v>0</v>
      </c>
      <c r="N411" s="462">
        <v>0</v>
      </c>
      <c r="O411" s="462">
        <v>0</v>
      </c>
      <c r="P411" s="44">
        <f t="shared" si="22"/>
        <v>0.49197307094769555</v>
      </c>
      <c r="Q411" s="44">
        <f t="shared" si="23"/>
        <v>0.19419989642672192</v>
      </c>
      <c r="R411" s="44">
        <f t="shared" si="24"/>
        <v>1.294665976178146E-2</v>
      </c>
      <c r="U411" s="465">
        <v>772400</v>
      </c>
      <c r="V411" s="464">
        <v>3800</v>
      </c>
      <c r="W411" s="464">
        <v>1500</v>
      </c>
      <c r="X411" s="464">
        <v>100</v>
      </c>
      <c r="Y411" s="464">
        <v>100</v>
      </c>
    </row>
    <row r="412" spans="1:25">
      <c r="A412" s="462" t="s">
        <v>443</v>
      </c>
      <c r="B412" s="462" t="s">
        <v>453</v>
      </c>
      <c r="C412" s="462">
        <v>1988</v>
      </c>
      <c r="D412" s="462">
        <v>0</v>
      </c>
      <c r="E412" s="462">
        <v>0</v>
      </c>
      <c r="F412" s="462">
        <v>0</v>
      </c>
      <c r="G412" s="462">
        <v>0</v>
      </c>
      <c r="H412" s="462">
        <v>0</v>
      </c>
      <c r="K412" s="44">
        <f t="shared" si="21"/>
        <v>0.61070282579443125</v>
      </c>
      <c r="L412" s="462">
        <v>0</v>
      </c>
      <c r="M412" s="462">
        <v>0</v>
      </c>
      <c r="N412" s="462">
        <v>0</v>
      </c>
      <c r="O412" s="462">
        <v>0</v>
      </c>
      <c r="P412" s="44">
        <f t="shared" si="22"/>
        <v>0.43473760480281542</v>
      </c>
      <c r="Q412" s="44">
        <f t="shared" si="23"/>
        <v>0.15526343028671982</v>
      </c>
      <c r="R412" s="44">
        <f t="shared" si="24"/>
        <v>2.0701790704895976E-2</v>
      </c>
      <c r="U412" s="465">
        <v>966100</v>
      </c>
      <c r="V412" s="464">
        <v>4200</v>
      </c>
      <c r="W412" s="464">
        <v>1500</v>
      </c>
      <c r="X412" s="464">
        <v>0</v>
      </c>
      <c r="Y412" s="464">
        <v>200</v>
      </c>
    </row>
    <row r="413" spans="1:25">
      <c r="A413" s="462" t="s">
        <v>443</v>
      </c>
      <c r="B413" s="462" t="s">
        <v>453</v>
      </c>
      <c r="C413" s="462">
        <v>1989</v>
      </c>
      <c r="D413" s="462">
        <v>0</v>
      </c>
      <c r="E413" s="462">
        <v>0</v>
      </c>
      <c r="F413" s="462">
        <v>0</v>
      </c>
      <c r="G413" s="462">
        <v>0</v>
      </c>
      <c r="H413" s="462">
        <v>0</v>
      </c>
      <c r="K413" s="44">
        <f t="shared" si="21"/>
        <v>0.61050061050061055</v>
      </c>
      <c r="L413" s="462">
        <v>0</v>
      </c>
      <c r="M413" s="462">
        <v>0</v>
      </c>
      <c r="N413" s="462">
        <v>0</v>
      </c>
      <c r="O413" s="462">
        <v>0</v>
      </c>
      <c r="P413" s="44">
        <f t="shared" si="22"/>
        <v>0.4329004329004329</v>
      </c>
      <c r="Q413" s="44">
        <f t="shared" si="23"/>
        <v>0.1665001665001665</v>
      </c>
      <c r="R413" s="44">
        <f t="shared" si="24"/>
        <v>1.11000111000111E-2</v>
      </c>
      <c r="U413" s="465">
        <v>900900</v>
      </c>
      <c r="V413" s="464">
        <v>3900</v>
      </c>
      <c r="W413" s="464">
        <v>1500</v>
      </c>
      <c r="X413" s="464">
        <v>100</v>
      </c>
      <c r="Y413" s="464">
        <v>100</v>
      </c>
    </row>
    <row r="414" spans="1:25">
      <c r="A414" s="462" t="s">
        <v>443</v>
      </c>
      <c r="B414" s="462" t="s">
        <v>453</v>
      </c>
      <c r="C414" s="462">
        <v>1990</v>
      </c>
      <c r="D414" s="462">
        <v>0</v>
      </c>
      <c r="E414" s="462">
        <v>0</v>
      </c>
      <c r="F414" s="462">
        <v>0</v>
      </c>
      <c r="G414" s="462">
        <v>0</v>
      </c>
      <c r="H414" s="462">
        <v>0</v>
      </c>
      <c r="K414" s="44">
        <f t="shared" si="21"/>
        <v>0.67699368904188195</v>
      </c>
      <c r="L414" s="462">
        <v>0</v>
      </c>
      <c r="M414" s="462">
        <v>0</v>
      </c>
      <c r="N414" s="462">
        <v>0</v>
      </c>
      <c r="O414" s="462">
        <v>0</v>
      </c>
      <c r="P414" s="44">
        <f t="shared" si="22"/>
        <v>0.49340218014916815</v>
      </c>
      <c r="Q414" s="44">
        <f t="shared" si="23"/>
        <v>0.17211703958691912</v>
      </c>
      <c r="R414" s="44">
        <f t="shared" si="24"/>
        <v>1.1474469305794608E-2</v>
      </c>
      <c r="U414" s="465">
        <v>871500</v>
      </c>
      <c r="V414" s="464">
        <v>4300</v>
      </c>
      <c r="W414" s="464">
        <v>1500</v>
      </c>
      <c r="X414" s="464">
        <v>100</v>
      </c>
      <c r="Y414" s="464">
        <v>100</v>
      </c>
    </row>
    <row r="415" spans="1:25">
      <c r="A415" s="462" t="s">
        <v>443</v>
      </c>
      <c r="B415" s="462" t="s">
        <v>453</v>
      </c>
      <c r="C415" s="462">
        <v>1991</v>
      </c>
      <c r="D415" s="462">
        <v>0</v>
      </c>
      <c r="E415" s="462">
        <v>0</v>
      </c>
      <c r="F415" s="462">
        <v>0</v>
      </c>
      <c r="G415" s="462">
        <v>0</v>
      </c>
      <c r="H415" s="462">
        <v>0</v>
      </c>
      <c r="K415" s="44">
        <f t="shared" si="21"/>
        <v>0.78165043567401338</v>
      </c>
      <c r="L415" s="462">
        <v>0</v>
      </c>
      <c r="M415" s="462">
        <v>0</v>
      </c>
      <c r="N415" s="462">
        <v>0</v>
      </c>
      <c r="O415" s="462">
        <v>0</v>
      </c>
      <c r="P415" s="44">
        <f t="shared" si="22"/>
        <v>0.55099948744233729</v>
      </c>
      <c r="Q415" s="44">
        <f t="shared" si="23"/>
        <v>0.19220912352639674</v>
      </c>
      <c r="R415" s="44">
        <f t="shared" si="24"/>
        <v>3.8441824705279348E-2</v>
      </c>
      <c r="U415" s="465">
        <v>780400</v>
      </c>
      <c r="V415" s="464">
        <v>4300</v>
      </c>
      <c r="W415" s="464">
        <v>1500</v>
      </c>
      <c r="X415" s="464">
        <v>100</v>
      </c>
      <c r="Y415" s="464">
        <v>300</v>
      </c>
    </row>
    <row r="416" spans="1:25">
      <c r="A416" s="462" t="s">
        <v>443</v>
      </c>
      <c r="B416" s="462" t="s">
        <v>453</v>
      </c>
      <c r="C416" s="462">
        <v>1992</v>
      </c>
      <c r="D416" s="462">
        <v>0</v>
      </c>
      <c r="E416" s="462">
        <v>0</v>
      </c>
      <c r="F416" s="462">
        <v>0</v>
      </c>
      <c r="G416" s="462">
        <v>0</v>
      </c>
      <c r="H416" s="462">
        <v>0</v>
      </c>
      <c r="K416" s="44">
        <f t="shared" si="21"/>
        <v>0.65477534432151729</v>
      </c>
      <c r="L416" s="462">
        <v>0</v>
      </c>
      <c r="M416" s="462">
        <v>0</v>
      </c>
      <c r="N416" s="462">
        <v>0</v>
      </c>
      <c r="O416" s="462">
        <v>0</v>
      </c>
      <c r="P416" s="44">
        <f t="shared" si="22"/>
        <v>0.47414766312937462</v>
      </c>
      <c r="Q416" s="44">
        <f t="shared" si="23"/>
        <v>0.1806276811921427</v>
      </c>
      <c r="R416" s="44">
        <f t="shared" si="24"/>
        <v>0</v>
      </c>
      <c r="U416" s="465">
        <v>885800</v>
      </c>
      <c r="V416" s="464">
        <v>4200</v>
      </c>
      <c r="W416" s="464">
        <v>1600</v>
      </c>
      <c r="X416" s="464">
        <v>100</v>
      </c>
      <c r="Y416" s="464">
        <v>0</v>
      </c>
    </row>
    <row r="417" spans="1:25">
      <c r="A417" s="462" t="s">
        <v>443</v>
      </c>
      <c r="B417" s="462" t="s">
        <v>453</v>
      </c>
      <c r="C417" s="462">
        <v>1993</v>
      </c>
      <c r="D417" s="462">
        <v>0</v>
      </c>
      <c r="E417" s="462">
        <v>0</v>
      </c>
      <c r="F417" s="462">
        <v>0</v>
      </c>
      <c r="G417" s="462">
        <v>0</v>
      </c>
      <c r="H417" s="462">
        <v>0</v>
      </c>
      <c r="K417" s="44">
        <f t="shared" si="21"/>
        <v>0.70688030160226201</v>
      </c>
      <c r="L417" s="462">
        <v>0</v>
      </c>
      <c r="M417" s="462">
        <v>0</v>
      </c>
      <c r="N417" s="462">
        <v>0</v>
      </c>
      <c r="O417" s="462">
        <v>0</v>
      </c>
      <c r="P417" s="44">
        <f t="shared" si="22"/>
        <v>0.49481621112158342</v>
      </c>
      <c r="Q417" s="44">
        <f t="shared" si="23"/>
        <v>0.20028275212064092</v>
      </c>
      <c r="R417" s="44">
        <f t="shared" si="24"/>
        <v>1.17813383600377E-2</v>
      </c>
      <c r="U417" s="465">
        <v>848800</v>
      </c>
      <c r="V417" s="464">
        <v>4200</v>
      </c>
      <c r="W417" s="464">
        <v>1700</v>
      </c>
      <c r="X417" s="464">
        <v>100</v>
      </c>
      <c r="Y417" s="464">
        <v>100</v>
      </c>
    </row>
    <row r="418" spans="1:25">
      <c r="A418" s="462" t="s">
        <v>443</v>
      </c>
      <c r="B418" s="462" t="s">
        <v>453</v>
      </c>
      <c r="C418" s="462">
        <v>1994</v>
      </c>
      <c r="D418" s="462">
        <v>0</v>
      </c>
      <c r="E418" s="462">
        <v>0</v>
      </c>
      <c r="F418" s="462">
        <v>0</v>
      </c>
      <c r="G418" s="462">
        <v>0</v>
      </c>
      <c r="H418" s="462">
        <v>0</v>
      </c>
      <c r="K418" s="44">
        <f t="shared" si="21"/>
        <v>0.69579103456142355</v>
      </c>
      <c r="L418" s="462">
        <v>0</v>
      </c>
      <c r="M418" s="462">
        <v>0</v>
      </c>
      <c r="N418" s="462">
        <v>0</v>
      </c>
      <c r="O418" s="462">
        <v>0</v>
      </c>
      <c r="P418" s="44">
        <f t="shared" si="22"/>
        <v>0.49047564731379034</v>
      </c>
      <c r="Q418" s="44">
        <f t="shared" si="23"/>
        <v>0.19390897684498687</v>
      </c>
      <c r="R418" s="44">
        <f t="shared" si="24"/>
        <v>1.1406410402646287E-2</v>
      </c>
      <c r="U418" s="465">
        <v>876700</v>
      </c>
      <c r="V418" s="464">
        <v>4300</v>
      </c>
      <c r="W418" s="464">
        <v>1700</v>
      </c>
      <c r="X418" s="464">
        <v>100</v>
      </c>
      <c r="Y418" s="464">
        <v>100</v>
      </c>
    </row>
    <row r="419" spans="1:25">
      <c r="A419" s="462" t="s">
        <v>443</v>
      </c>
      <c r="B419" s="462" t="s">
        <v>453</v>
      </c>
      <c r="C419" s="462">
        <v>1995</v>
      </c>
      <c r="D419" s="462">
        <v>0</v>
      </c>
      <c r="E419" s="462">
        <v>0</v>
      </c>
      <c r="F419" s="462">
        <v>0</v>
      </c>
      <c r="G419" s="462">
        <v>0</v>
      </c>
      <c r="H419" s="462">
        <v>0</v>
      </c>
      <c r="K419" s="44">
        <f t="shared" si="21"/>
        <v>0.62583358982250947</v>
      </c>
      <c r="L419" s="462">
        <v>0</v>
      </c>
      <c r="M419" s="462">
        <v>0</v>
      </c>
      <c r="N419" s="462">
        <v>0</v>
      </c>
      <c r="O419" s="462">
        <v>0</v>
      </c>
      <c r="P419" s="44">
        <f t="shared" si="22"/>
        <v>0.38986354775828458</v>
      </c>
      <c r="Q419" s="44">
        <f t="shared" si="23"/>
        <v>0.18467220683287164</v>
      </c>
      <c r="R419" s="44">
        <f t="shared" si="24"/>
        <v>5.1297835231353242E-2</v>
      </c>
      <c r="U419" s="465">
        <v>974700</v>
      </c>
      <c r="V419" s="464">
        <v>3800</v>
      </c>
      <c r="W419" s="464">
        <v>1800</v>
      </c>
      <c r="X419" s="464">
        <v>100</v>
      </c>
      <c r="Y419" s="464">
        <v>500</v>
      </c>
    </row>
    <row r="420" spans="1:25">
      <c r="A420" s="462" t="s">
        <v>443</v>
      </c>
      <c r="B420" s="462" t="s">
        <v>453</v>
      </c>
      <c r="C420" s="462">
        <v>1996</v>
      </c>
      <c r="D420" s="462">
        <v>0</v>
      </c>
      <c r="E420" s="462">
        <v>0</v>
      </c>
      <c r="F420" s="462">
        <v>0</v>
      </c>
      <c r="G420" s="462">
        <v>0</v>
      </c>
      <c r="H420" s="462">
        <v>0</v>
      </c>
      <c r="K420" s="44">
        <f t="shared" si="21"/>
        <v>0.5947402657745563</v>
      </c>
      <c r="L420" s="462">
        <v>0</v>
      </c>
      <c r="M420" s="462">
        <v>0</v>
      </c>
      <c r="N420" s="462">
        <v>0</v>
      </c>
      <c r="O420" s="462">
        <v>0</v>
      </c>
      <c r="P420" s="44">
        <f t="shared" si="22"/>
        <v>0.39959111606728004</v>
      </c>
      <c r="Q420" s="44">
        <f t="shared" si="23"/>
        <v>0.19514914970727629</v>
      </c>
      <c r="R420" s="44">
        <f t="shared" si="24"/>
        <v>0</v>
      </c>
      <c r="U420" s="465">
        <v>1076100</v>
      </c>
      <c r="V420" s="464">
        <v>4300</v>
      </c>
      <c r="W420" s="464">
        <v>2100</v>
      </c>
      <c r="X420" s="464">
        <v>100</v>
      </c>
      <c r="Y420" s="464">
        <v>0</v>
      </c>
    </row>
    <row r="421" spans="1:25">
      <c r="A421" s="462" t="s">
        <v>443</v>
      </c>
      <c r="B421" s="462" t="s">
        <v>453</v>
      </c>
      <c r="C421" s="462">
        <v>1997</v>
      </c>
      <c r="D421" s="462">
        <v>0</v>
      </c>
      <c r="E421" s="462">
        <v>0</v>
      </c>
      <c r="F421" s="462">
        <v>0</v>
      </c>
      <c r="G421" s="462">
        <v>0</v>
      </c>
      <c r="H421" s="462">
        <v>0</v>
      </c>
      <c r="K421" s="44">
        <f t="shared" si="21"/>
        <v>0.56130222115307515</v>
      </c>
      <c r="L421" s="462">
        <v>0</v>
      </c>
      <c r="M421" s="462">
        <v>0</v>
      </c>
      <c r="N421" s="462">
        <v>0</v>
      </c>
      <c r="O421" s="462">
        <v>0</v>
      </c>
      <c r="P421" s="44">
        <f t="shared" si="22"/>
        <v>0.37687434848849333</v>
      </c>
      <c r="Q421" s="44">
        <f t="shared" si="23"/>
        <v>0.17640926950525218</v>
      </c>
      <c r="R421" s="44">
        <f t="shared" si="24"/>
        <v>8.0186031593296441E-3</v>
      </c>
      <c r="U421" s="465">
        <v>1247100</v>
      </c>
      <c r="V421" s="464">
        <v>4700</v>
      </c>
      <c r="W421" s="464">
        <v>2200</v>
      </c>
      <c r="X421" s="464">
        <v>0</v>
      </c>
      <c r="Y421" s="464">
        <v>100</v>
      </c>
    </row>
    <row r="422" spans="1:25">
      <c r="A422" s="462" t="s">
        <v>443</v>
      </c>
      <c r="B422" s="462" t="s">
        <v>453</v>
      </c>
      <c r="C422" s="462">
        <v>1998</v>
      </c>
      <c r="D422" s="462">
        <v>0</v>
      </c>
      <c r="E422" s="462">
        <v>0</v>
      </c>
      <c r="F422" s="462">
        <v>0</v>
      </c>
      <c r="G422" s="462">
        <v>0</v>
      </c>
      <c r="H422" s="462">
        <v>0</v>
      </c>
      <c r="K422" s="44">
        <f t="shared" si="21"/>
        <v>0.45373980857851826</v>
      </c>
      <c r="L422" s="462">
        <v>0</v>
      </c>
      <c r="M422" s="462">
        <v>0</v>
      </c>
      <c r="N422" s="462">
        <v>0</v>
      </c>
      <c r="O422" s="462">
        <v>0</v>
      </c>
      <c r="P422" s="44">
        <f t="shared" si="22"/>
        <v>0.30485643388869194</v>
      </c>
      <c r="Q422" s="44">
        <f t="shared" si="23"/>
        <v>0.14888337468982629</v>
      </c>
      <c r="R422" s="44">
        <f t="shared" si="24"/>
        <v>0</v>
      </c>
      <c r="U422" s="465">
        <v>1410500</v>
      </c>
      <c r="V422" s="464">
        <v>4300</v>
      </c>
      <c r="W422" s="464">
        <v>2100</v>
      </c>
      <c r="X422" s="464">
        <v>100</v>
      </c>
      <c r="Y422" s="464">
        <v>0</v>
      </c>
    </row>
    <row r="423" spans="1:25">
      <c r="A423" s="462" t="s">
        <v>443</v>
      </c>
      <c r="B423" s="462" t="s">
        <v>453</v>
      </c>
      <c r="C423" s="462">
        <v>1999</v>
      </c>
      <c r="D423" s="462">
        <v>0</v>
      </c>
      <c r="E423" s="462">
        <v>0</v>
      </c>
      <c r="F423" s="462">
        <v>0</v>
      </c>
      <c r="G423" s="462">
        <v>0</v>
      </c>
      <c r="H423" s="462">
        <v>0</v>
      </c>
      <c r="K423" s="44">
        <f t="shared" si="21"/>
        <v>0.40795182283235121</v>
      </c>
      <c r="L423" s="462">
        <v>0</v>
      </c>
      <c r="M423" s="462">
        <v>0</v>
      </c>
      <c r="N423" s="462">
        <v>0</v>
      </c>
      <c r="O423" s="462">
        <v>0</v>
      </c>
      <c r="P423" s="44">
        <f t="shared" si="22"/>
        <v>0.27196788188823412</v>
      </c>
      <c r="Q423" s="44">
        <f t="shared" si="23"/>
        <v>0.12303308942562974</v>
      </c>
      <c r="R423" s="44">
        <f t="shared" si="24"/>
        <v>1.2950851518487341E-2</v>
      </c>
      <c r="U423" s="465">
        <v>1544300</v>
      </c>
      <c r="V423" s="464">
        <v>4200</v>
      </c>
      <c r="W423" s="464">
        <v>1900</v>
      </c>
      <c r="X423" s="464">
        <v>100</v>
      </c>
      <c r="Y423" s="464">
        <v>200</v>
      </c>
    </row>
    <row r="424" spans="1:25">
      <c r="A424" s="462" t="s">
        <v>443</v>
      </c>
      <c r="B424" s="462" t="s">
        <v>453</v>
      </c>
      <c r="C424" s="462">
        <v>2000</v>
      </c>
      <c r="D424" s="462">
        <v>0</v>
      </c>
      <c r="E424" s="462">
        <v>0</v>
      </c>
      <c r="F424" s="462">
        <v>0</v>
      </c>
      <c r="G424" s="462">
        <v>0</v>
      </c>
      <c r="H424" s="462">
        <v>0</v>
      </c>
      <c r="K424" s="44">
        <f t="shared" si="21"/>
        <v>0.41222542841999876</v>
      </c>
      <c r="L424" s="462">
        <v>0</v>
      </c>
      <c r="M424" s="462">
        <v>0</v>
      </c>
      <c r="N424" s="462">
        <v>0</v>
      </c>
      <c r="O424" s="462">
        <v>0</v>
      </c>
      <c r="P424" s="44">
        <f t="shared" si="22"/>
        <v>0.29444673458571341</v>
      </c>
      <c r="Q424" s="44">
        <f t="shared" si="23"/>
        <v>0.11777869383428538</v>
      </c>
      <c r="R424" s="44">
        <f t="shared" si="24"/>
        <v>0</v>
      </c>
      <c r="U424" s="465">
        <v>1698100</v>
      </c>
      <c r="V424" s="464">
        <v>5000</v>
      </c>
      <c r="W424" s="464">
        <v>2000</v>
      </c>
      <c r="X424" s="464">
        <v>100</v>
      </c>
      <c r="Y424" s="464">
        <v>0</v>
      </c>
    </row>
    <row r="425" spans="1:25">
      <c r="A425" s="462" t="s">
        <v>443</v>
      </c>
      <c r="B425" s="462" t="s">
        <v>453</v>
      </c>
      <c r="C425" s="462">
        <v>2001</v>
      </c>
      <c r="D425" s="462">
        <v>0</v>
      </c>
      <c r="E425" s="462">
        <v>0</v>
      </c>
      <c r="F425" s="462">
        <v>0</v>
      </c>
      <c r="G425" s="462">
        <v>0</v>
      </c>
      <c r="H425" s="462">
        <v>0</v>
      </c>
      <c r="K425" s="44">
        <f t="shared" si="21"/>
        <v>0.44971984665290471</v>
      </c>
      <c r="L425" s="462">
        <v>0</v>
      </c>
      <c r="M425" s="462">
        <v>0</v>
      </c>
      <c r="N425" s="462">
        <v>0</v>
      </c>
      <c r="O425" s="462">
        <v>0</v>
      </c>
      <c r="P425" s="44">
        <f t="shared" si="22"/>
        <v>0.30964317310527867</v>
      </c>
      <c r="Q425" s="44">
        <f t="shared" si="23"/>
        <v>0.13270421704511942</v>
      </c>
      <c r="R425" s="44">
        <f t="shared" si="24"/>
        <v>7.3724565025066356E-3</v>
      </c>
      <c r="U425" s="465">
        <v>1356400</v>
      </c>
      <c r="V425" s="464">
        <v>4200</v>
      </c>
      <c r="W425" s="464">
        <v>1800</v>
      </c>
      <c r="X425" s="464">
        <v>100</v>
      </c>
      <c r="Y425" s="464">
        <v>100</v>
      </c>
    </row>
    <row r="426" spans="1:25">
      <c r="A426" s="462" t="s">
        <v>443</v>
      </c>
      <c r="B426" s="462" t="s">
        <v>453</v>
      </c>
      <c r="C426" s="462">
        <v>2002</v>
      </c>
      <c r="D426" s="462">
        <v>0</v>
      </c>
      <c r="E426" s="462">
        <v>0</v>
      </c>
      <c r="F426" s="462">
        <v>0</v>
      </c>
      <c r="G426" s="462">
        <v>0</v>
      </c>
      <c r="H426" s="462">
        <v>0</v>
      </c>
      <c r="K426" s="44">
        <f t="shared" si="21"/>
        <v>0.5410804961291934</v>
      </c>
      <c r="L426" s="462">
        <v>0</v>
      </c>
      <c r="M426" s="462">
        <v>0</v>
      </c>
      <c r="N426" s="462">
        <v>0</v>
      </c>
      <c r="O426" s="462">
        <v>0</v>
      </c>
      <c r="P426" s="44">
        <f t="shared" si="22"/>
        <v>0.37459418962790308</v>
      </c>
      <c r="Q426" s="44">
        <f t="shared" si="23"/>
        <v>0.16648630650129029</v>
      </c>
      <c r="R426" s="44">
        <f t="shared" si="24"/>
        <v>0</v>
      </c>
      <c r="U426" s="465">
        <v>1201300</v>
      </c>
      <c r="V426" s="464">
        <v>4500</v>
      </c>
      <c r="W426" s="464">
        <v>2000</v>
      </c>
      <c r="X426" s="464">
        <v>200</v>
      </c>
      <c r="Y426" s="464">
        <v>0</v>
      </c>
    </row>
    <row r="427" spans="1:25">
      <c r="A427" s="462" t="s">
        <v>443</v>
      </c>
      <c r="B427" s="462" t="s">
        <v>453</v>
      </c>
      <c r="C427" s="462">
        <v>2003</v>
      </c>
      <c r="D427" s="462">
        <v>0</v>
      </c>
      <c r="E427" s="462">
        <v>0</v>
      </c>
      <c r="F427" s="462">
        <v>0</v>
      </c>
      <c r="G427" s="462">
        <v>0</v>
      </c>
      <c r="H427" s="462">
        <v>0</v>
      </c>
      <c r="K427" s="44">
        <f t="shared" si="21"/>
        <v>0.50876643706950531</v>
      </c>
      <c r="L427" s="462">
        <v>0</v>
      </c>
      <c r="M427" s="462">
        <v>0</v>
      </c>
      <c r="N427" s="462">
        <v>0</v>
      </c>
      <c r="O427" s="462">
        <v>0</v>
      </c>
      <c r="P427" s="44">
        <f t="shared" si="22"/>
        <v>0.33656856606136509</v>
      </c>
      <c r="Q427" s="44">
        <f t="shared" si="23"/>
        <v>0.1643706950532248</v>
      </c>
      <c r="R427" s="44">
        <f t="shared" si="24"/>
        <v>7.8271759549154666E-3</v>
      </c>
      <c r="U427" s="465">
        <v>1277600</v>
      </c>
      <c r="V427" s="464">
        <v>4300</v>
      </c>
      <c r="W427" s="464">
        <v>2100</v>
      </c>
      <c r="X427" s="464">
        <v>200</v>
      </c>
      <c r="Y427" s="464">
        <v>100</v>
      </c>
    </row>
    <row r="428" spans="1:25">
      <c r="A428" s="462" t="s">
        <v>443</v>
      </c>
      <c r="B428" s="462" t="s">
        <v>453</v>
      </c>
      <c r="C428" s="462">
        <v>2004</v>
      </c>
      <c r="D428" s="462">
        <v>0</v>
      </c>
      <c r="E428" s="462">
        <v>0</v>
      </c>
      <c r="F428" s="462">
        <v>0</v>
      </c>
      <c r="G428" s="462">
        <v>0</v>
      </c>
      <c r="H428" s="462">
        <v>0</v>
      </c>
      <c r="K428" s="44">
        <f t="shared" si="21"/>
        <v>0.46514675052410903</v>
      </c>
      <c r="L428" s="462">
        <v>0</v>
      </c>
      <c r="M428" s="462">
        <v>0</v>
      </c>
      <c r="N428" s="462">
        <v>0</v>
      </c>
      <c r="O428" s="462">
        <v>0</v>
      </c>
      <c r="P428" s="44">
        <f t="shared" si="22"/>
        <v>0.31446540880503149</v>
      </c>
      <c r="Q428" s="44">
        <f t="shared" si="23"/>
        <v>0.15068134171907757</v>
      </c>
      <c r="R428" s="44">
        <f t="shared" si="24"/>
        <v>0</v>
      </c>
      <c r="U428" s="465">
        <v>1526400</v>
      </c>
      <c r="V428" s="464">
        <v>4800</v>
      </c>
      <c r="W428" s="464">
        <v>2300</v>
      </c>
      <c r="X428" s="464">
        <v>100</v>
      </c>
      <c r="Y428" s="464">
        <v>0</v>
      </c>
    </row>
    <row r="429" spans="1:25">
      <c r="A429" s="462" t="s">
        <v>443</v>
      </c>
      <c r="B429" s="462" t="s">
        <v>453</v>
      </c>
      <c r="C429" s="462">
        <v>2005</v>
      </c>
      <c r="D429" s="462">
        <v>0</v>
      </c>
      <c r="E429" s="462">
        <v>0</v>
      </c>
      <c r="F429" s="462">
        <v>0</v>
      </c>
      <c r="G429" s="462">
        <v>0</v>
      </c>
      <c r="H429" s="462">
        <v>0</v>
      </c>
      <c r="K429" s="44">
        <f t="shared" si="21"/>
        <v>0.43919102098357099</v>
      </c>
      <c r="L429" s="462">
        <v>0</v>
      </c>
      <c r="M429" s="462">
        <v>0</v>
      </c>
      <c r="N429" s="462">
        <v>0</v>
      </c>
      <c r="O429" s="462">
        <v>0</v>
      </c>
      <c r="P429" s="44">
        <f t="shared" si="22"/>
        <v>0.29279401398904731</v>
      </c>
      <c r="Q429" s="44">
        <f t="shared" si="23"/>
        <v>0.14097489562435614</v>
      </c>
      <c r="R429" s="44">
        <f t="shared" si="24"/>
        <v>5.4221113701675427E-3</v>
      </c>
      <c r="U429" s="465">
        <v>1844300</v>
      </c>
      <c r="V429" s="464">
        <v>5400</v>
      </c>
      <c r="W429" s="464">
        <v>2600</v>
      </c>
      <c r="X429" s="464">
        <v>100</v>
      </c>
      <c r="Y429" s="464">
        <v>100</v>
      </c>
    </row>
    <row r="430" spans="1:25">
      <c r="A430" s="462" t="s">
        <v>443</v>
      </c>
      <c r="B430" s="462" t="s">
        <v>453</v>
      </c>
      <c r="C430" s="462">
        <v>2006</v>
      </c>
      <c r="D430" s="462">
        <v>0</v>
      </c>
      <c r="E430" s="462">
        <v>0</v>
      </c>
      <c r="F430" s="462">
        <v>0</v>
      </c>
      <c r="G430" s="462">
        <v>0</v>
      </c>
      <c r="H430" s="462">
        <v>0</v>
      </c>
      <c r="K430" s="44">
        <f t="shared" si="21"/>
        <v>0.42046250875963564</v>
      </c>
      <c r="L430" s="462">
        <v>0</v>
      </c>
      <c r="M430" s="462">
        <v>0</v>
      </c>
      <c r="N430" s="462">
        <v>0</v>
      </c>
      <c r="O430" s="462">
        <v>0</v>
      </c>
      <c r="P430" s="44">
        <f t="shared" si="22"/>
        <v>0.27029732705976578</v>
      </c>
      <c r="Q430" s="44">
        <f t="shared" si="23"/>
        <v>0.15016518169986987</v>
      </c>
      <c r="R430" s="44">
        <f t="shared" si="24"/>
        <v>0</v>
      </c>
      <c r="U430" s="465">
        <v>1997800</v>
      </c>
      <c r="V430" s="464">
        <v>5400</v>
      </c>
      <c r="W430" s="464">
        <v>3000</v>
      </c>
      <c r="X430" s="464">
        <v>100</v>
      </c>
      <c r="Y430" s="464">
        <v>0</v>
      </c>
    </row>
    <row r="431" spans="1:25">
      <c r="A431" s="462" t="s">
        <v>443</v>
      </c>
      <c r="B431" s="462" t="s">
        <v>453</v>
      </c>
      <c r="C431" s="462">
        <v>2007</v>
      </c>
      <c r="D431" s="462">
        <v>0</v>
      </c>
      <c r="E431" s="462">
        <v>0</v>
      </c>
      <c r="F431" s="462">
        <v>0</v>
      </c>
      <c r="G431" s="462">
        <v>0</v>
      </c>
      <c r="H431" s="462">
        <v>0</v>
      </c>
      <c r="K431" s="44">
        <f t="shared" si="21"/>
        <v>0.38960421912861687</v>
      </c>
      <c r="L431" s="462">
        <v>0</v>
      </c>
      <c r="M431" s="462">
        <v>0</v>
      </c>
      <c r="N431" s="462">
        <v>0</v>
      </c>
      <c r="O431" s="462">
        <v>0</v>
      </c>
      <c r="P431" s="44">
        <f t="shared" si="22"/>
        <v>0.25181736114410602</v>
      </c>
      <c r="Q431" s="44">
        <f t="shared" si="23"/>
        <v>0.13778685798451085</v>
      </c>
      <c r="R431" s="44">
        <f t="shared" si="24"/>
        <v>0</v>
      </c>
      <c r="U431" s="465">
        <v>2104700</v>
      </c>
      <c r="V431" s="464">
        <v>5300</v>
      </c>
      <c r="W431" s="464">
        <v>2900</v>
      </c>
      <c r="X431" s="464">
        <v>100</v>
      </c>
      <c r="Y431" s="464">
        <v>0</v>
      </c>
    </row>
    <row r="432" spans="1:25">
      <c r="A432" s="462" t="s">
        <v>443</v>
      </c>
      <c r="B432" s="462" t="s">
        <v>453</v>
      </c>
      <c r="C432" s="462">
        <v>2008</v>
      </c>
      <c r="D432" s="462">
        <v>0</v>
      </c>
      <c r="E432" s="462">
        <v>0</v>
      </c>
      <c r="F432" s="462">
        <v>0</v>
      </c>
      <c r="G432" s="462">
        <v>0</v>
      </c>
      <c r="H432" s="462">
        <v>0</v>
      </c>
      <c r="K432" s="44">
        <f t="shared" si="21"/>
        <v>0.44270985029416904</v>
      </c>
      <c r="L432" s="462">
        <v>0</v>
      </c>
      <c r="M432" s="462">
        <v>0</v>
      </c>
      <c r="N432" s="462">
        <v>0</v>
      </c>
      <c r="O432" s="462">
        <v>0</v>
      </c>
      <c r="P432" s="44">
        <f t="shared" si="22"/>
        <v>0.27960622123842255</v>
      </c>
      <c r="Q432" s="44">
        <f t="shared" si="23"/>
        <v>0.15727849944661268</v>
      </c>
      <c r="R432" s="44">
        <f t="shared" si="24"/>
        <v>5.8251296091338034E-3</v>
      </c>
      <c r="U432" s="465">
        <v>1716700</v>
      </c>
      <c r="V432" s="464">
        <v>4800</v>
      </c>
      <c r="W432" s="464">
        <v>2700</v>
      </c>
      <c r="X432" s="464">
        <v>200</v>
      </c>
      <c r="Y432" s="464">
        <v>100</v>
      </c>
    </row>
    <row r="433" spans="1:25">
      <c r="A433" s="462" t="s">
        <v>443</v>
      </c>
      <c r="B433" s="462" t="s">
        <v>453</v>
      </c>
      <c r="C433" s="462">
        <v>2009</v>
      </c>
      <c r="D433" s="462">
        <v>0</v>
      </c>
      <c r="E433" s="462">
        <v>0</v>
      </c>
      <c r="F433" s="462">
        <v>0</v>
      </c>
      <c r="G433" s="462">
        <v>0</v>
      </c>
      <c r="H433" s="462">
        <v>0</v>
      </c>
      <c r="K433" s="44">
        <f t="shared" si="21"/>
        <v>0.56750298685782552</v>
      </c>
      <c r="L433" s="462">
        <v>0</v>
      </c>
      <c r="M433" s="462">
        <v>0</v>
      </c>
      <c r="N433" s="462">
        <v>0</v>
      </c>
      <c r="O433" s="462">
        <v>0</v>
      </c>
      <c r="P433" s="44">
        <f t="shared" si="22"/>
        <v>0.35842293906810035</v>
      </c>
      <c r="Q433" s="44">
        <f t="shared" si="23"/>
        <v>0.20908004778972519</v>
      </c>
      <c r="R433" s="44">
        <f t="shared" si="24"/>
        <v>0</v>
      </c>
      <c r="U433" s="465">
        <v>1339200</v>
      </c>
      <c r="V433" s="464">
        <v>4800</v>
      </c>
      <c r="W433" s="464">
        <v>2800</v>
      </c>
      <c r="X433" s="464">
        <v>300</v>
      </c>
      <c r="Y433" s="464">
        <v>0</v>
      </c>
    </row>
    <row r="434" spans="1:25">
      <c r="A434" s="462" t="s">
        <v>443</v>
      </c>
      <c r="B434" s="462" t="s">
        <v>453</v>
      </c>
      <c r="C434" s="462">
        <v>2010</v>
      </c>
      <c r="D434" s="462">
        <v>0.1</v>
      </c>
      <c r="E434" s="462">
        <v>0</v>
      </c>
      <c r="F434" s="462">
        <v>0</v>
      </c>
      <c r="G434" s="462">
        <v>0</v>
      </c>
      <c r="H434" s="462">
        <v>0</v>
      </c>
      <c r="K434" s="44">
        <f t="shared" si="21"/>
        <v>0.50636198390028564</v>
      </c>
      <c r="L434" s="462">
        <v>0</v>
      </c>
      <c r="M434" s="462">
        <v>0</v>
      </c>
      <c r="N434" s="462">
        <v>0</v>
      </c>
      <c r="O434" s="462">
        <v>0</v>
      </c>
      <c r="P434" s="44">
        <f t="shared" si="22"/>
        <v>0.31809919501428202</v>
      </c>
      <c r="Q434" s="44">
        <f t="shared" si="23"/>
        <v>0.18177096857958971</v>
      </c>
      <c r="R434" s="44">
        <f t="shared" si="24"/>
        <v>6.4918203064139183E-3</v>
      </c>
      <c r="U434" s="465">
        <v>1540400</v>
      </c>
      <c r="V434" s="464">
        <v>4900</v>
      </c>
      <c r="W434" s="464">
        <v>2800</v>
      </c>
      <c r="X434" s="464">
        <v>300</v>
      </c>
      <c r="Y434" s="464">
        <v>100</v>
      </c>
    </row>
    <row r="435" spans="1:25">
      <c r="A435" s="462" t="s">
        <v>443</v>
      </c>
      <c r="B435" s="462" t="s">
        <v>453</v>
      </c>
      <c r="C435" s="462">
        <v>2011</v>
      </c>
      <c r="D435" s="462">
        <v>0.1</v>
      </c>
      <c r="E435" s="462">
        <v>0</v>
      </c>
      <c r="F435" s="462">
        <v>0</v>
      </c>
      <c r="G435" s="462">
        <v>0</v>
      </c>
      <c r="H435" s="462">
        <v>0</v>
      </c>
      <c r="K435" s="44">
        <f t="shared" si="21"/>
        <v>0.5019229515676944</v>
      </c>
      <c r="L435" s="462">
        <v>0</v>
      </c>
      <c r="M435" s="462">
        <v>0</v>
      </c>
      <c r="N435" s="462">
        <v>0</v>
      </c>
      <c r="O435" s="462">
        <v>0</v>
      </c>
      <c r="P435" s="44">
        <f t="shared" si="22"/>
        <v>0.3259239945244769</v>
      </c>
      <c r="Q435" s="44">
        <f t="shared" si="23"/>
        <v>0.17599895704321752</v>
      </c>
      <c r="R435" s="44">
        <f t="shared" si="24"/>
        <v>0</v>
      </c>
      <c r="U435" s="465">
        <v>1534100</v>
      </c>
      <c r="V435" s="464">
        <v>5000</v>
      </c>
      <c r="W435" s="464">
        <v>2700</v>
      </c>
      <c r="X435" s="464">
        <v>200</v>
      </c>
      <c r="Y435" s="464">
        <v>0</v>
      </c>
    </row>
    <row r="436" spans="1:25">
      <c r="A436" s="462" t="s">
        <v>443</v>
      </c>
      <c r="B436" s="462" t="s">
        <v>453</v>
      </c>
      <c r="C436" s="462">
        <v>2012</v>
      </c>
      <c r="D436" s="462">
        <v>0</v>
      </c>
      <c r="E436" s="462">
        <v>0</v>
      </c>
      <c r="F436" s="462">
        <v>0</v>
      </c>
      <c r="G436" s="462">
        <v>0</v>
      </c>
      <c r="H436" s="462">
        <v>0</v>
      </c>
      <c r="K436" s="44">
        <f t="shared" si="21"/>
        <v>0.45279839941030903</v>
      </c>
      <c r="L436" s="462">
        <v>0</v>
      </c>
      <c r="M436" s="462">
        <v>0</v>
      </c>
      <c r="N436" s="462">
        <v>0</v>
      </c>
      <c r="O436" s="462">
        <v>0</v>
      </c>
      <c r="P436" s="44">
        <f t="shared" si="22"/>
        <v>0.28431527404833357</v>
      </c>
      <c r="Q436" s="44">
        <f t="shared" si="23"/>
        <v>0.16321802769441374</v>
      </c>
      <c r="R436" s="44">
        <f t="shared" si="24"/>
        <v>5.2650976675617332E-3</v>
      </c>
      <c r="U436" s="465">
        <v>1899300</v>
      </c>
      <c r="V436" s="464">
        <v>5400</v>
      </c>
      <c r="W436" s="464">
        <v>3100</v>
      </c>
      <c r="X436" s="464">
        <v>200</v>
      </c>
      <c r="Y436" s="464">
        <v>100</v>
      </c>
    </row>
    <row r="437" spans="1:25">
      <c r="A437" s="462" t="s">
        <v>443</v>
      </c>
      <c r="B437" s="462" t="s">
        <v>453</v>
      </c>
      <c r="C437" s="462">
        <v>2013</v>
      </c>
      <c r="D437" s="462">
        <v>0</v>
      </c>
      <c r="E437" s="462">
        <v>0</v>
      </c>
      <c r="F437" s="462">
        <v>0</v>
      </c>
      <c r="G437" s="462">
        <v>0</v>
      </c>
      <c r="H437" s="462">
        <v>0</v>
      </c>
      <c r="K437" s="44">
        <f t="shared" si="21"/>
        <v>0.5246393104740491</v>
      </c>
      <c r="L437" s="462">
        <v>0</v>
      </c>
      <c r="M437" s="462">
        <v>0</v>
      </c>
      <c r="N437" s="462">
        <v>0</v>
      </c>
      <c r="O437" s="462">
        <v>0</v>
      </c>
      <c r="P437" s="44">
        <f t="shared" si="22"/>
        <v>0.33726812816188867</v>
      </c>
      <c r="Q437" s="44">
        <f t="shared" si="23"/>
        <v>0.18737118231216041</v>
      </c>
      <c r="R437" s="44">
        <f t="shared" si="24"/>
        <v>0</v>
      </c>
      <c r="U437" s="465">
        <v>1601100</v>
      </c>
      <c r="V437" s="464">
        <v>5400</v>
      </c>
      <c r="W437" s="464">
        <v>3000</v>
      </c>
      <c r="X437" s="464">
        <v>100</v>
      </c>
      <c r="Y437" s="464">
        <v>0</v>
      </c>
    </row>
    <row r="438" spans="1:25">
      <c r="A438" s="462" t="s">
        <v>443</v>
      </c>
      <c r="B438" s="462" t="s">
        <v>453</v>
      </c>
      <c r="C438" s="462">
        <v>2014</v>
      </c>
      <c r="D438" s="462">
        <v>0.1</v>
      </c>
      <c r="E438" s="462">
        <v>0</v>
      </c>
      <c r="F438" s="462">
        <v>0</v>
      </c>
      <c r="G438" s="462">
        <v>0</v>
      </c>
      <c r="H438" s="462">
        <v>0</v>
      </c>
      <c r="K438" s="44">
        <f t="shared" si="21"/>
        <v>0.45558086560364464</v>
      </c>
      <c r="L438" s="462">
        <v>0</v>
      </c>
      <c r="M438" s="462">
        <v>0</v>
      </c>
      <c r="N438" s="462">
        <v>0</v>
      </c>
      <c r="O438" s="462">
        <v>0</v>
      </c>
      <c r="P438" s="44">
        <f t="shared" si="22"/>
        <v>0.29446080337796543</v>
      </c>
      <c r="Q438" s="44">
        <f t="shared" si="23"/>
        <v>0.16112006222567921</v>
      </c>
      <c r="R438" s="44">
        <f t="shared" si="24"/>
        <v>0</v>
      </c>
      <c r="U438" s="465">
        <v>1799900</v>
      </c>
      <c r="V438" s="464">
        <v>5300</v>
      </c>
      <c r="W438" s="464">
        <v>2900</v>
      </c>
      <c r="X438" s="464">
        <v>100</v>
      </c>
      <c r="Y438" s="464">
        <v>0</v>
      </c>
    </row>
    <row r="439" spans="1:25">
      <c r="A439" s="462" t="s">
        <v>443</v>
      </c>
      <c r="B439" s="462" t="s">
        <v>453</v>
      </c>
      <c r="C439" s="462">
        <v>2015</v>
      </c>
      <c r="D439" s="462">
        <v>0.1</v>
      </c>
      <c r="E439" s="462">
        <v>0</v>
      </c>
      <c r="F439" s="462">
        <v>0</v>
      </c>
      <c r="G439" s="462">
        <v>0</v>
      </c>
      <c r="H439" s="462">
        <v>0</v>
      </c>
      <c r="K439" s="44">
        <f t="shared" si="21"/>
        <v>0.49586776859504134</v>
      </c>
      <c r="L439" s="462">
        <v>0</v>
      </c>
      <c r="M439" s="462">
        <v>0</v>
      </c>
      <c r="N439" s="462">
        <v>0</v>
      </c>
      <c r="O439" s="462">
        <v>0</v>
      </c>
      <c r="P439" s="44">
        <f t="shared" si="22"/>
        <v>0.3199146894161557</v>
      </c>
      <c r="Q439" s="44">
        <f t="shared" si="23"/>
        <v>0.17595307917888564</v>
      </c>
      <c r="R439" s="44">
        <f t="shared" si="24"/>
        <v>0</v>
      </c>
      <c r="U439" s="465">
        <v>1875500</v>
      </c>
      <c r="V439" s="464">
        <v>6000</v>
      </c>
      <c r="W439" s="464">
        <v>3300</v>
      </c>
      <c r="X439" s="464">
        <v>100</v>
      </c>
      <c r="Y439" s="464">
        <v>0</v>
      </c>
    </row>
    <row r="440" spans="1:25">
      <c r="A440" s="462" t="s">
        <v>443</v>
      </c>
      <c r="B440" s="462" t="s">
        <v>453</v>
      </c>
      <c r="C440" s="462">
        <v>2016</v>
      </c>
      <c r="D440" s="462">
        <v>0.1</v>
      </c>
      <c r="E440" s="462">
        <v>0</v>
      </c>
      <c r="F440" s="462">
        <v>0</v>
      </c>
      <c r="G440" s="462">
        <v>0</v>
      </c>
      <c r="H440" s="462">
        <v>0</v>
      </c>
      <c r="K440" s="44">
        <f t="shared" si="21"/>
        <v>0.48012505582849485</v>
      </c>
      <c r="L440" s="462">
        <v>0</v>
      </c>
      <c r="M440" s="462">
        <v>0</v>
      </c>
      <c r="N440" s="462">
        <v>0</v>
      </c>
      <c r="O440" s="462">
        <v>0</v>
      </c>
      <c r="P440" s="44">
        <f t="shared" si="22"/>
        <v>0.30147387226440375</v>
      </c>
      <c r="Q440" s="44">
        <f t="shared" si="23"/>
        <v>0.1786511835640911</v>
      </c>
      <c r="R440" s="44">
        <f t="shared" si="24"/>
        <v>0</v>
      </c>
      <c r="U440" s="465">
        <v>1791200</v>
      </c>
      <c r="V440" s="464">
        <v>5400</v>
      </c>
      <c r="W440" s="464">
        <v>3200</v>
      </c>
      <c r="X440" s="464">
        <v>100</v>
      </c>
      <c r="Y440" s="464">
        <v>0</v>
      </c>
    </row>
  </sheetData>
  <mergeCells count="2">
    <mergeCell ref="A28:I28"/>
    <mergeCell ref="A29:I29"/>
  </mergeCells>
  <hyperlinks>
    <hyperlink ref="I1" location="Index!A1" display="index" xr:uid="{DFAADE0E-C742-48F7-B4C6-AB72030A252F}"/>
  </hyperlinks>
  <pageMargins left="0.7" right="0.7" top="0.75" bottom="0.75" header="0.3" footer="0.3"/>
  <pageSetup orientation="portrait" horizontalDpi="1200" verticalDpi="12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DB43A-812D-4245-B488-85DDB80031A5}">
  <sheetPr>
    <tabColor theme="9" tint="0.79998168889431442"/>
  </sheetPr>
  <dimension ref="A1:AV48"/>
  <sheetViews>
    <sheetView zoomScale="85" zoomScaleNormal="85" workbookViewId="0"/>
  </sheetViews>
  <sheetFormatPr defaultRowHeight="15"/>
  <cols>
    <col min="1" max="1" width="8.28515625" style="46" customWidth="1"/>
    <col min="2" max="2" width="10.28515625" style="564" customWidth="1"/>
    <col min="3" max="3" width="6.42578125" style="564" customWidth="1"/>
    <col min="4" max="4" width="1.85546875" style="564" customWidth="1"/>
    <col min="5" max="5" width="5.85546875" style="564" customWidth="1"/>
    <col min="6" max="7" width="5.5703125" style="564" customWidth="1"/>
    <col min="8" max="8" width="6" style="564" customWidth="1"/>
    <col min="9" max="12" width="6.5703125" style="564" customWidth="1"/>
    <col min="13" max="13" width="3.42578125" style="564" customWidth="1"/>
    <col min="14" max="17" width="5" style="564" customWidth="1"/>
    <col min="18" max="21" width="5.7109375" style="564" customWidth="1"/>
    <col min="22" max="22" width="2.140625" style="564" customWidth="1"/>
    <col min="23" max="26" width="5.5703125" style="564" customWidth="1"/>
    <col min="27" max="28" width="6.7109375" style="564" customWidth="1"/>
    <col min="29" max="29" width="7.140625" style="564" customWidth="1"/>
    <col min="30" max="30" width="7.28515625" style="564" customWidth="1"/>
    <col min="31" max="31" width="2.28515625" style="564" customWidth="1"/>
    <col min="32" max="39" width="6.140625" style="564" customWidth="1"/>
    <col min="40" max="40" width="3.140625" style="564" customWidth="1"/>
    <col min="41" max="41" width="7.42578125" style="564" customWidth="1"/>
    <col min="42" max="44" width="6.140625" style="564" customWidth="1"/>
    <col min="45" max="45" width="7" style="564" customWidth="1"/>
    <col min="46" max="46" width="7.28515625" style="564" customWidth="1"/>
    <col min="47" max="48" width="6.140625" style="564" customWidth="1"/>
    <col min="49" max="16384" width="9.140625" style="564"/>
  </cols>
  <sheetData>
    <row r="1" spans="1:48">
      <c r="A1" s="147" t="s">
        <v>770</v>
      </c>
      <c r="H1" s="641" t="s">
        <v>762</v>
      </c>
      <c r="X1" s="127"/>
    </row>
    <row r="2" spans="1:48">
      <c r="A2" s="103"/>
    </row>
    <row r="3" spans="1:48">
      <c r="A3" s="103"/>
      <c r="E3" s="6" t="s">
        <v>158</v>
      </c>
      <c r="F3" s="6" t="s">
        <v>159</v>
      </c>
      <c r="G3" s="6" t="s">
        <v>160</v>
      </c>
      <c r="H3" s="6" t="s">
        <v>161</v>
      </c>
      <c r="I3" s="51" t="s">
        <v>33</v>
      </c>
      <c r="J3" s="51" t="s">
        <v>51</v>
      </c>
      <c r="K3" s="51" t="s">
        <v>52</v>
      </c>
      <c r="L3" s="51" t="s">
        <v>28</v>
      </c>
    </row>
    <row r="4" spans="1:48">
      <c r="A4" s="103"/>
      <c r="E4" s="45">
        <v>0.2</v>
      </c>
      <c r="F4" s="45">
        <v>0.2</v>
      </c>
      <c r="G4" s="45">
        <v>0.2</v>
      </c>
      <c r="H4" s="45">
        <v>0.2</v>
      </c>
      <c r="I4" s="45">
        <v>0.1</v>
      </c>
      <c r="J4" s="45">
        <v>0.05</v>
      </c>
      <c r="K4" s="45">
        <v>0.04</v>
      </c>
      <c r="L4" s="45">
        <v>0.01</v>
      </c>
      <c r="M4" s="45"/>
      <c r="N4" s="45"/>
      <c r="O4" s="45"/>
      <c r="P4" s="45"/>
      <c r="Q4" s="45"/>
      <c r="R4" s="45"/>
      <c r="S4" s="45"/>
      <c r="T4" s="45"/>
      <c r="U4" s="45"/>
    </row>
    <row r="5" spans="1:48">
      <c r="A5" s="103"/>
      <c r="C5" s="564" t="s">
        <v>769</v>
      </c>
      <c r="D5" s="564">
        <v>0</v>
      </c>
      <c r="E5" s="45">
        <v>0.2</v>
      </c>
      <c r="F5" s="45">
        <f t="shared" ref="F5:L5" si="0">E5+F4</f>
        <v>0.4</v>
      </c>
      <c r="G5" s="45">
        <f t="shared" si="0"/>
        <v>0.60000000000000009</v>
      </c>
      <c r="H5" s="45">
        <f t="shared" si="0"/>
        <v>0.8</v>
      </c>
      <c r="I5" s="45">
        <f t="shared" si="0"/>
        <v>0.9</v>
      </c>
      <c r="J5" s="45">
        <f t="shared" si="0"/>
        <v>0.95000000000000007</v>
      </c>
      <c r="K5" s="45">
        <f t="shared" si="0"/>
        <v>0.9900000000000001</v>
      </c>
      <c r="L5" s="45">
        <f t="shared" si="0"/>
        <v>1</v>
      </c>
      <c r="M5" s="45"/>
      <c r="N5" s="45"/>
      <c r="O5" s="45"/>
      <c r="P5" s="45"/>
      <c r="Q5" s="45"/>
      <c r="R5" s="45"/>
      <c r="S5" s="45"/>
      <c r="T5" s="45"/>
      <c r="U5" s="45"/>
      <c r="V5" s="45"/>
      <c r="AF5" s="127"/>
      <c r="AO5" s="44"/>
    </row>
    <row r="7" spans="1:48">
      <c r="A7" s="144"/>
      <c r="B7" s="729" t="s">
        <v>763</v>
      </c>
      <c r="C7" s="486"/>
      <c r="D7" s="486"/>
      <c r="E7" s="731" t="s">
        <v>764</v>
      </c>
      <c r="F7" s="731"/>
      <c r="G7" s="731"/>
      <c r="H7" s="731"/>
      <c r="I7" s="731"/>
      <c r="J7" s="731"/>
      <c r="K7" s="731"/>
      <c r="L7" s="731"/>
      <c r="M7" s="559"/>
      <c r="N7" s="736" t="s">
        <v>767</v>
      </c>
      <c r="O7" s="736"/>
      <c r="P7" s="736"/>
      <c r="Q7" s="736"/>
      <c r="R7" s="736"/>
      <c r="S7" s="736"/>
      <c r="T7" s="736"/>
      <c r="U7" s="736"/>
      <c r="V7" s="134"/>
      <c r="W7" s="736" t="s">
        <v>768</v>
      </c>
      <c r="X7" s="736"/>
      <c r="Y7" s="736"/>
      <c r="Z7" s="736"/>
      <c r="AA7" s="736"/>
      <c r="AB7" s="736"/>
      <c r="AC7" s="736"/>
      <c r="AD7" s="736"/>
      <c r="AE7" s="559"/>
      <c r="AF7" s="731" t="s">
        <v>196</v>
      </c>
      <c r="AG7" s="731"/>
      <c r="AH7" s="731"/>
      <c r="AI7" s="731"/>
      <c r="AJ7" s="731"/>
      <c r="AK7" s="731"/>
      <c r="AL7" s="731"/>
      <c r="AM7" s="731"/>
      <c r="AN7" s="134"/>
      <c r="AO7" s="764" t="s">
        <v>633</v>
      </c>
      <c r="AP7" s="764"/>
      <c r="AQ7" s="764"/>
      <c r="AR7" s="764"/>
      <c r="AS7" s="764"/>
      <c r="AT7" s="764"/>
      <c r="AU7" s="764"/>
      <c r="AV7" s="764"/>
    </row>
    <row r="8" spans="1:48" ht="15" customHeight="1">
      <c r="A8" s="53"/>
      <c r="B8" s="730"/>
      <c r="C8" s="6"/>
      <c r="D8" s="6"/>
      <c r="E8" s="6" t="s">
        <v>158</v>
      </c>
      <c r="F8" s="6" t="s">
        <v>159</v>
      </c>
      <c r="G8" s="6" t="s">
        <v>160</v>
      </c>
      <c r="H8" s="6" t="s">
        <v>161</v>
      </c>
      <c r="I8" s="51" t="s">
        <v>33</v>
      </c>
      <c r="J8" s="51" t="s">
        <v>51</v>
      </c>
      <c r="K8" s="51" t="s">
        <v>52</v>
      </c>
      <c r="L8" s="51" t="s">
        <v>28</v>
      </c>
      <c r="M8" s="51"/>
      <c r="N8" s="6" t="s">
        <v>158</v>
      </c>
      <c r="O8" s="6" t="s">
        <v>159</v>
      </c>
      <c r="P8" s="6" t="s">
        <v>160</v>
      </c>
      <c r="Q8" s="6" t="s">
        <v>161</v>
      </c>
      <c r="R8" s="51" t="s">
        <v>33</v>
      </c>
      <c r="S8" s="51" t="s">
        <v>51</v>
      </c>
      <c r="T8" s="51" t="s">
        <v>52</v>
      </c>
      <c r="U8" s="51" t="s">
        <v>28</v>
      </c>
      <c r="V8" s="5"/>
      <c r="W8" s="6" t="s">
        <v>158</v>
      </c>
      <c r="X8" s="6" t="s">
        <v>159</v>
      </c>
      <c r="Y8" s="6" t="s">
        <v>160</v>
      </c>
      <c r="Z8" s="6" t="s">
        <v>161</v>
      </c>
      <c r="AA8" s="51" t="s">
        <v>33</v>
      </c>
      <c r="AB8" s="51" t="s">
        <v>51</v>
      </c>
      <c r="AC8" s="51" t="s">
        <v>52</v>
      </c>
      <c r="AD8" s="51" t="s">
        <v>28</v>
      </c>
      <c r="AE8" s="51"/>
      <c r="AF8" s="6" t="s">
        <v>158</v>
      </c>
      <c r="AG8" s="6" t="s">
        <v>159</v>
      </c>
      <c r="AH8" s="6" t="s">
        <v>160</v>
      </c>
      <c r="AI8" s="6" t="s">
        <v>161</v>
      </c>
      <c r="AJ8" s="51" t="s">
        <v>33</v>
      </c>
      <c r="AK8" s="51" t="s">
        <v>51</v>
      </c>
      <c r="AL8" s="51" t="s">
        <v>52</v>
      </c>
      <c r="AM8" s="51" t="s">
        <v>28</v>
      </c>
      <c r="AN8" s="5"/>
      <c r="AO8" s="6" t="s">
        <v>158</v>
      </c>
      <c r="AP8" s="6" t="s">
        <v>159</v>
      </c>
      <c r="AQ8" s="6" t="s">
        <v>160</v>
      </c>
      <c r="AR8" s="6" t="s">
        <v>161</v>
      </c>
      <c r="AS8" s="51" t="s">
        <v>33</v>
      </c>
      <c r="AT8" s="51" t="s">
        <v>51</v>
      </c>
      <c r="AU8" s="51" t="s">
        <v>52</v>
      </c>
      <c r="AV8" s="51" t="s">
        <v>28</v>
      </c>
    </row>
    <row r="9" spans="1:48">
      <c r="A9" s="46">
        <v>1979</v>
      </c>
      <c r="B9" s="141">
        <f t="shared" ref="B9:B46" si="1">SUM(E9:L9)*2</f>
        <v>0.14773890902597678</v>
      </c>
      <c r="C9" s="46"/>
      <c r="D9" s="46"/>
      <c r="E9" s="154">
        <f>((W9-N9)*(W9-V9))</f>
        <v>1.4463170784630212E-3</v>
      </c>
      <c r="F9" s="154">
        <f t="shared" ref="F9:L9" si="2">((X9-O9)*(X9-W9))</f>
        <v>7.39431195157978E-3</v>
      </c>
      <c r="G9" s="154">
        <f t="shared" si="2"/>
        <v>1.4391560449727107E-2</v>
      </c>
      <c r="H9" s="154">
        <f t="shared" si="2"/>
        <v>2.2070220713935999E-2</v>
      </c>
      <c r="I9" s="154">
        <f t="shared" si="2"/>
        <v>1.4102185022320442E-2</v>
      </c>
      <c r="J9" s="154">
        <f t="shared" si="2"/>
        <v>7.8789858522193001E-3</v>
      </c>
      <c r="K9" s="154">
        <f t="shared" si="2"/>
        <v>6.5858734447427642E-3</v>
      </c>
      <c r="L9" s="154">
        <f t="shared" si="2"/>
        <v>-1.992424171809856E-17</v>
      </c>
      <c r="M9" s="154"/>
      <c r="N9" s="158">
        <f>AF9/SUM($AF9:$AM9)</f>
        <v>2.083732806006967E-2</v>
      </c>
      <c r="O9" s="158">
        <f>N9+AG9/SUM($AF9:$AM9)</f>
        <v>9.5296749286988808E-2</v>
      </c>
      <c r="P9" s="158">
        <f t="shared" ref="P9:U9" si="3">O9+AH9/SUM($AF9:$AM9)</f>
        <v>0.23081979476277709</v>
      </c>
      <c r="Q9" s="158">
        <f t="shared" si="3"/>
        <v>0.44554354494460335</v>
      </c>
      <c r="R9" s="158">
        <f t="shared" si="3"/>
        <v>0.60446161481490446</v>
      </c>
      <c r="S9" s="158">
        <f t="shared" si="3"/>
        <v>0.71578868769242476</v>
      </c>
      <c r="T9" s="158">
        <f t="shared" si="3"/>
        <v>0.85282892229162732</v>
      </c>
      <c r="U9" s="158">
        <f t="shared" si="3"/>
        <v>1.0000000000000002</v>
      </c>
      <c r="W9" s="158">
        <f t="shared" ref="W9:W46" si="4">AO9/SUM($AO9:$AV9)</f>
        <v>4.9850448654037878E-2</v>
      </c>
      <c r="X9" s="158">
        <f t="shared" ref="X9:X46" si="5">W9+AP9/SUM($AO9:$AV9)</f>
        <v>0.16151545363908273</v>
      </c>
      <c r="Y9" s="158">
        <f t="shared" ref="Y9:Y46" si="6">X9+AQ9/SUM($AO9:$AV9)</f>
        <v>0.32103688933200392</v>
      </c>
      <c r="Z9" s="158">
        <f t="shared" ref="Z9:Z46" si="7">Y9+AR9/SUM($AO9:$AV9)</f>
        <v>0.54436689930209359</v>
      </c>
      <c r="AA9" s="158">
        <f t="shared" ref="AA9:AA46" si="8">Z9+AS9/SUM($AO9:$AV9)</f>
        <v>0.69690927218344956</v>
      </c>
      <c r="AB9" s="158">
        <f t="shared" ref="AB9:AB46" si="9">AA9+AT9/SUM($AO9:$AV9)</f>
        <v>0.79561316051844455</v>
      </c>
      <c r="AC9" s="158">
        <f t="shared" ref="AC9:AC46" si="10">AB9+AU9/SUM($AO9:$AV9)</f>
        <v>0.91026919242273163</v>
      </c>
      <c r="AD9" s="158">
        <v>1</v>
      </c>
      <c r="AE9" s="143"/>
      <c r="AF9" s="143">
        <f>'3-Kak'!AQ9</f>
        <v>2.0837328060069667E-2</v>
      </c>
      <c r="AG9" s="143">
        <f>'3-Kak'!AR9</f>
        <v>7.445942122691912E-2</v>
      </c>
      <c r="AH9" s="143">
        <f>'3-Kak'!AS9</f>
        <v>0.13552304547578825</v>
      </c>
      <c r="AI9" s="143">
        <f>'3-Kak'!AT9</f>
        <v>0.21472375018182621</v>
      </c>
      <c r="AJ9" s="143">
        <f>'3-Kak'!AU9</f>
        <v>0.15891806987030105</v>
      </c>
      <c r="AK9" s="143">
        <f>'3-Kak'!AV9</f>
        <v>0.11132707287752028</v>
      </c>
      <c r="AL9" s="143">
        <f>'3-Kak'!AW9</f>
        <v>0.1370402345992025</v>
      </c>
      <c r="AM9" s="143">
        <f>'3-Kak'!AX9</f>
        <v>0.1471710777083729</v>
      </c>
      <c r="AO9" s="152">
        <f>Shares!D50</f>
        <v>5</v>
      </c>
      <c r="AP9" s="152">
        <f>Shares!E50</f>
        <v>11.2</v>
      </c>
      <c r="AQ9" s="152">
        <f>Shares!F50</f>
        <v>16</v>
      </c>
      <c r="AR9" s="152">
        <f>Shares!G50</f>
        <v>22.4</v>
      </c>
      <c r="AS9" s="152">
        <f>Shares!J50</f>
        <v>15.3</v>
      </c>
      <c r="AT9" s="152">
        <f>Shares!K50</f>
        <v>9.9</v>
      </c>
      <c r="AU9" s="152">
        <f>Shares!L50</f>
        <v>11.5</v>
      </c>
      <c r="AV9" s="152">
        <f>Shares!M50</f>
        <v>9</v>
      </c>
    </row>
    <row r="10" spans="1:48">
      <c r="A10" s="46">
        <f>A9+1</f>
        <v>1980</v>
      </c>
      <c r="B10" s="141">
        <f t="shared" si="1"/>
        <v>0.14099404479866012</v>
      </c>
      <c r="C10" s="46"/>
      <c r="D10" s="46"/>
      <c r="E10" s="154">
        <f t="shared" ref="E10:E46" si="11">((W10-N10)*(W10-V10))</f>
        <v>1.427842909881622E-3</v>
      </c>
      <c r="F10" s="154">
        <f t="shared" ref="F10:F46" si="12">((X10-O10)*(X10-W10))</f>
        <v>7.3213410251111227E-3</v>
      </c>
      <c r="G10" s="154">
        <f t="shared" ref="G10:G46" si="13">((Y10-P10)*(Y10-X10))</f>
        <v>1.4526198857362876E-2</v>
      </c>
      <c r="H10" s="154">
        <f t="shared" ref="H10:H46" si="14">((Z10-Q10)*(Z10-Y10))</f>
        <v>2.166525430750238E-2</v>
      </c>
      <c r="I10" s="154">
        <f t="shared" ref="I10:I46" si="15">((AA10-R10)*(AA10-Z10))</f>
        <v>1.304260434716956E-2</v>
      </c>
      <c r="J10" s="154">
        <f t="shared" ref="J10:J46" si="16">((AB10-S10)*(AB10-AA10))</f>
        <v>7.1483971025539531E-3</v>
      </c>
      <c r="K10" s="154">
        <f t="shared" ref="K10:K46" si="17">((AC10-T10)*(AC10-AB10))</f>
        <v>5.3653838497485498E-3</v>
      </c>
      <c r="L10" s="154">
        <f t="shared" ref="L10:L46" si="18">((AD10-U10)*(AD10-AC10))</f>
        <v>0</v>
      </c>
      <c r="M10" s="154"/>
      <c r="N10" s="158">
        <f t="shared" ref="N10:N46" si="19">AF10/SUM($AF10:$AM10)</f>
        <v>1.9626369505217001E-2</v>
      </c>
      <c r="O10" s="158">
        <f t="shared" ref="O10:O46" si="20">N10+AG10/SUM($AF10:$AM10)</f>
        <v>9.1767108099963621E-2</v>
      </c>
      <c r="P10" s="158">
        <f t="shared" ref="P10:P46" si="21">O10+AH10/SUM($AF10:$AM10)</f>
        <v>0.2269847533256682</v>
      </c>
      <c r="Q10" s="158">
        <f t="shared" ref="Q10:Q46" si="22">P10+AI10/SUM($AF10:$AM10)</f>
        <v>0.44436582742559749</v>
      </c>
      <c r="R10" s="158">
        <f t="shared" ref="R10:R46" si="23">Q10+AJ10/SUM($AF10:$AM10)</f>
        <v>0.60996894150864489</v>
      </c>
      <c r="S10" s="158">
        <f t="shared" ref="S10:S46" si="24">R10+AK10/SUM($AF10:$AM10)</f>
        <v>0.72291772860674774</v>
      </c>
      <c r="T10" s="158">
        <f t="shared" ref="T10:T46" si="25">S10+AL10/SUM($AF10:$AM10)</f>
        <v>0.86387712344602674</v>
      </c>
      <c r="U10" s="158">
        <f t="shared" ref="U10:U46" si="26">T10+AM10/SUM($AF10:$AM10)</f>
        <v>1</v>
      </c>
      <c r="W10" s="158">
        <f t="shared" si="4"/>
        <v>4.8853439680957136E-2</v>
      </c>
      <c r="X10" s="158">
        <f t="shared" si="5"/>
        <v>0.15852442671984049</v>
      </c>
      <c r="Y10" s="158">
        <f t="shared" si="6"/>
        <v>0.31804586241276173</v>
      </c>
      <c r="Z10" s="158">
        <f t="shared" si="7"/>
        <v>0.54137587238285145</v>
      </c>
      <c r="AA10" s="158">
        <f t="shared" si="8"/>
        <v>0.69491525423728817</v>
      </c>
      <c r="AB10" s="158">
        <f t="shared" si="9"/>
        <v>0.79461615154536391</v>
      </c>
      <c r="AC10" s="158">
        <f t="shared" si="10"/>
        <v>0.91026919242273185</v>
      </c>
      <c r="AD10" s="158">
        <v>1</v>
      </c>
      <c r="AE10" s="143"/>
      <c r="AF10" s="143">
        <f>'3-Kak'!AQ10</f>
        <v>1.9626369505217001E-2</v>
      </c>
      <c r="AG10" s="143">
        <f>'3-Kak'!AR10</f>
        <v>7.2140738594746623E-2</v>
      </c>
      <c r="AH10" s="143">
        <f>'3-Kak'!AS10</f>
        <v>0.13521764522570459</v>
      </c>
      <c r="AI10" s="143">
        <f>'3-Kak'!AT10</f>
        <v>0.21738107409992927</v>
      </c>
      <c r="AJ10" s="143">
        <f>'3-Kak'!AU10</f>
        <v>0.16560311408304734</v>
      </c>
      <c r="AK10" s="143">
        <f>'3-Kak'!AV10</f>
        <v>0.11294878709810288</v>
      </c>
      <c r="AL10" s="143">
        <f>'3-Kak'!AW10</f>
        <v>0.14095939483927902</v>
      </c>
      <c r="AM10" s="143">
        <f>'3-Kak'!AX10</f>
        <v>0.13612287655397326</v>
      </c>
      <c r="AN10" s="46"/>
      <c r="AO10" s="152">
        <f>Shares!D51</f>
        <v>4.9000000000000004</v>
      </c>
      <c r="AP10" s="152">
        <f>Shares!E51</f>
        <v>11</v>
      </c>
      <c r="AQ10" s="152">
        <f>Shares!F51</f>
        <v>16</v>
      </c>
      <c r="AR10" s="152">
        <f>Shares!G51</f>
        <v>22.4</v>
      </c>
      <c r="AS10" s="152">
        <f>Shares!J51</f>
        <v>15.4</v>
      </c>
      <c r="AT10" s="152">
        <f>Shares!K51</f>
        <v>10</v>
      </c>
      <c r="AU10" s="152">
        <f>Shares!L51</f>
        <v>11.6</v>
      </c>
      <c r="AV10" s="152">
        <f>Shares!M51</f>
        <v>9</v>
      </c>
    </row>
    <row r="11" spans="1:48">
      <c r="A11" s="46">
        <f t="shared" ref="A11:A46" si="27">A10+1</f>
        <v>1981</v>
      </c>
      <c r="B11" s="141">
        <f t="shared" si="1"/>
        <v>0.12352539388518535</v>
      </c>
      <c r="C11" s="46"/>
      <c r="D11" s="46"/>
      <c r="E11" s="154">
        <f t="shared" si="11"/>
        <v>1.2515216539078773E-3</v>
      </c>
      <c r="F11" s="154">
        <f t="shared" si="12"/>
        <v>6.704248942246741E-3</v>
      </c>
      <c r="G11" s="154">
        <f t="shared" si="13"/>
        <v>1.343183900566332E-2</v>
      </c>
      <c r="H11" s="154">
        <f t="shared" si="14"/>
        <v>1.9490474147634426E-2</v>
      </c>
      <c r="I11" s="154">
        <f t="shared" si="15"/>
        <v>1.1207469930071016E-2</v>
      </c>
      <c r="J11" s="154">
        <f t="shared" si="16"/>
        <v>5.914831511220341E-3</v>
      </c>
      <c r="K11" s="154">
        <f t="shared" si="17"/>
        <v>3.762311751848955E-3</v>
      </c>
      <c r="L11" s="154">
        <f t="shared" si="18"/>
        <v>0</v>
      </c>
      <c r="M11" s="154"/>
      <c r="N11" s="158">
        <f t="shared" si="19"/>
        <v>2.0004908256837008E-2</v>
      </c>
      <c r="O11" s="158">
        <f t="shared" si="20"/>
        <v>9.3409475212079374E-2</v>
      </c>
      <c r="P11" s="158">
        <f t="shared" si="21"/>
        <v>0.23157817625107327</v>
      </c>
      <c r="Q11" s="158">
        <f t="shared" si="22"/>
        <v>0.45224603139429764</v>
      </c>
      <c r="R11" s="158">
        <f t="shared" si="23"/>
        <v>0.62086454940702951</v>
      </c>
      <c r="S11" s="158">
        <f t="shared" si="24"/>
        <v>0.73517434907521473</v>
      </c>
      <c r="T11" s="158">
        <f t="shared" si="25"/>
        <v>0.87813046794096827</v>
      </c>
      <c r="U11" s="158">
        <f t="shared" si="26"/>
        <v>1</v>
      </c>
      <c r="W11" s="158">
        <f t="shared" si="4"/>
        <v>4.6766169154228855E-2</v>
      </c>
      <c r="X11" s="158">
        <f t="shared" si="5"/>
        <v>0.15522388059701492</v>
      </c>
      <c r="Y11" s="158">
        <f t="shared" si="6"/>
        <v>0.31542288557213932</v>
      </c>
      <c r="Z11" s="158">
        <f t="shared" si="7"/>
        <v>0.53930348258706473</v>
      </c>
      <c r="AA11" s="158">
        <f t="shared" si="8"/>
        <v>0.69353233830845773</v>
      </c>
      <c r="AB11" s="158">
        <f t="shared" si="9"/>
        <v>0.79402985074626864</v>
      </c>
      <c r="AC11" s="158">
        <f t="shared" si="10"/>
        <v>0.91044776119402981</v>
      </c>
      <c r="AD11" s="158">
        <v>1</v>
      </c>
      <c r="AE11" s="143"/>
      <c r="AF11" s="143">
        <f>'3-Kak'!AQ11</f>
        <v>2.0004908256837005E-2</v>
      </c>
      <c r="AG11" s="143">
        <f>'3-Kak'!AR11</f>
        <v>7.3404566955242348E-2</v>
      </c>
      <c r="AH11" s="143">
        <f>'3-Kak'!AS11</f>
        <v>0.13816870103899387</v>
      </c>
      <c r="AI11" s="143">
        <f>'3-Kak'!AT11</f>
        <v>0.22066785514322437</v>
      </c>
      <c r="AJ11" s="143">
        <f>'3-Kak'!AU11</f>
        <v>0.16861851801273181</v>
      </c>
      <c r="AK11" s="143">
        <f>'3-Kak'!AV11</f>
        <v>0.11430979966818526</v>
      </c>
      <c r="AL11" s="143">
        <f>'3-Kak'!AW11</f>
        <v>0.14295611886575346</v>
      </c>
      <c r="AM11" s="143">
        <f>'3-Kak'!AX11</f>
        <v>0.12186953205903181</v>
      </c>
      <c r="AN11" s="46"/>
      <c r="AO11" s="152">
        <f>Shares!D52</f>
        <v>4.7</v>
      </c>
      <c r="AP11" s="152">
        <f>Shares!E52</f>
        <v>10.9</v>
      </c>
      <c r="AQ11" s="152">
        <f>Shares!F52</f>
        <v>16.100000000000001</v>
      </c>
      <c r="AR11" s="152">
        <f>Shares!G52</f>
        <v>22.5</v>
      </c>
      <c r="AS11" s="152">
        <f>Shares!J52</f>
        <v>15.5</v>
      </c>
      <c r="AT11" s="152">
        <f>Shares!K52</f>
        <v>10.1</v>
      </c>
      <c r="AU11" s="152">
        <f>Shares!L52</f>
        <v>11.7</v>
      </c>
      <c r="AV11" s="152">
        <f>Shares!M52</f>
        <v>9</v>
      </c>
    </row>
    <row r="12" spans="1:48">
      <c r="A12" s="46">
        <f t="shared" si="27"/>
        <v>1982</v>
      </c>
      <c r="B12" s="141">
        <f t="shared" si="1"/>
        <v>0.11187397925087891</v>
      </c>
      <c r="C12" s="46"/>
      <c r="D12" s="46"/>
      <c r="E12" s="154">
        <f t="shared" si="11"/>
        <v>1.0072485515522924E-3</v>
      </c>
      <c r="F12" s="154">
        <f t="shared" si="12"/>
        <v>6.1537814706169635E-3</v>
      </c>
      <c r="G12" s="154">
        <f t="shared" si="13"/>
        <v>1.2370709034489474E-2</v>
      </c>
      <c r="H12" s="154">
        <f t="shared" si="14"/>
        <v>1.8016959844574874E-2</v>
      </c>
      <c r="I12" s="154">
        <f t="shared" si="15"/>
        <v>1.0147997906165057E-2</v>
      </c>
      <c r="J12" s="154">
        <f t="shared" si="16"/>
        <v>5.0599218484427529E-3</v>
      </c>
      <c r="K12" s="154">
        <f t="shared" si="17"/>
        <v>3.1803709695980564E-3</v>
      </c>
      <c r="L12" s="154">
        <f t="shared" si="18"/>
        <v>-2.0989291012813908E-17</v>
      </c>
      <c r="M12" s="154"/>
      <c r="N12" s="158">
        <f t="shared" si="19"/>
        <v>2.0774621929407419E-2</v>
      </c>
      <c r="O12" s="158">
        <f t="shared" si="20"/>
        <v>9.2449219976194763E-2</v>
      </c>
      <c r="P12" s="158">
        <f t="shared" si="21"/>
        <v>0.23026549396063567</v>
      </c>
      <c r="Q12" s="158">
        <f t="shared" si="22"/>
        <v>0.45186255448527701</v>
      </c>
      <c r="R12" s="158">
        <f t="shared" si="23"/>
        <v>0.62359709994502421</v>
      </c>
      <c r="S12" s="158">
        <f t="shared" si="24"/>
        <v>0.73870599906434764</v>
      </c>
      <c r="T12" s="158">
        <f t="shared" si="25"/>
        <v>0.87815406566680887</v>
      </c>
      <c r="U12" s="158">
        <f t="shared" si="26"/>
        <v>1.0000000000000002</v>
      </c>
      <c r="W12" s="158">
        <f t="shared" si="4"/>
        <v>4.3781094527363187E-2</v>
      </c>
      <c r="X12" s="158">
        <f t="shared" si="5"/>
        <v>0.15024875621890549</v>
      </c>
      <c r="Y12" s="158">
        <f t="shared" si="6"/>
        <v>0.30845771144278611</v>
      </c>
      <c r="Z12" s="158">
        <f t="shared" si="7"/>
        <v>0.53233830845771146</v>
      </c>
      <c r="AA12" s="158">
        <f t="shared" si="8"/>
        <v>0.6885572139303483</v>
      </c>
      <c r="AB12" s="158">
        <f t="shared" si="9"/>
        <v>0.78905472636815921</v>
      </c>
      <c r="AC12" s="158">
        <f t="shared" si="10"/>
        <v>0.90547263681592038</v>
      </c>
      <c r="AD12" s="158">
        <v>1</v>
      </c>
      <c r="AE12" s="143"/>
      <c r="AF12" s="143">
        <f>'3-Kak'!AQ12</f>
        <v>2.0774621929407416E-2</v>
      </c>
      <c r="AG12" s="143">
        <f>'3-Kak'!AR12</f>
        <v>7.167459804678733E-2</v>
      </c>
      <c r="AH12" s="143">
        <f>'3-Kak'!AS12</f>
        <v>0.13781627398444088</v>
      </c>
      <c r="AI12" s="143">
        <f>'3-Kak'!AT12</f>
        <v>0.22159706052464129</v>
      </c>
      <c r="AJ12" s="143">
        <f>'3-Kak'!AU12</f>
        <v>0.17173454545974712</v>
      </c>
      <c r="AK12" s="143">
        <f>'3-Kak'!AV12</f>
        <v>0.11510889911932341</v>
      </c>
      <c r="AL12" s="143">
        <f>'3-Kak'!AW12</f>
        <v>0.13944806660246123</v>
      </c>
      <c r="AM12" s="143">
        <f>'3-Kak'!AX12</f>
        <v>0.12184593433319126</v>
      </c>
      <c r="AN12" s="46"/>
      <c r="AO12" s="152">
        <f>Shares!D53</f>
        <v>4.4000000000000004</v>
      </c>
      <c r="AP12" s="152">
        <f>Shares!E53</f>
        <v>10.7</v>
      </c>
      <c r="AQ12" s="152">
        <f>Shares!F53</f>
        <v>15.9</v>
      </c>
      <c r="AR12" s="152">
        <f>Shares!G53</f>
        <v>22.5</v>
      </c>
      <c r="AS12" s="152">
        <f>Shares!J53</f>
        <v>15.7</v>
      </c>
      <c r="AT12" s="152">
        <f>Shares!K53</f>
        <v>10.1</v>
      </c>
      <c r="AU12" s="152">
        <f>Shares!L53</f>
        <v>11.7</v>
      </c>
      <c r="AV12" s="152">
        <f>Shares!M53</f>
        <v>9.5</v>
      </c>
    </row>
    <row r="13" spans="1:48">
      <c r="A13" s="46">
        <f t="shared" si="27"/>
        <v>1983</v>
      </c>
      <c r="B13" s="141">
        <f t="shared" si="1"/>
        <v>0.10597841645632265</v>
      </c>
      <c r="C13" s="46"/>
      <c r="D13" s="46"/>
      <c r="E13" s="154">
        <f t="shared" si="11"/>
        <v>7.6186947918022846E-4</v>
      </c>
      <c r="F13" s="154">
        <f t="shared" si="12"/>
        <v>5.39360745742968E-3</v>
      </c>
      <c r="G13" s="154">
        <f t="shared" si="13"/>
        <v>1.1471452775059874E-2</v>
      </c>
      <c r="H13" s="154">
        <f t="shared" si="14"/>
        <v>1.7039629655830644E-2</v>
      </c>
      <c r="I13" s="154">
        <f t="shared" si="15"/>
        <v>9.8675219958058898E-3</v>
      </c>
      <c r="J13" s="154">
        <f t="shared" si="16"/>
        <v>4.8499885352193493E-3</v>
      </c>
      <c r="K13" s="154">
        <f t="shared" si="17"/>
        <v>3.6051383296356412E-3</v>
      </c>
      <c r="L13" s="154">
        <f t="shared" si="18"/>
        <v>2.2491111918920712E-17</v>
      </c>
      <c r="M13" s="154"/>
      <c r="N13" s="158">
        <f t="shared" si="19"/>
        <v>2.2002737338793529E-2</v>
      </c>
      <c r="O13" s="158">
        <f t="shared" si="20"/>
        <v>9.325784036885508E-2</v>
      </c>
      <c r="P13" s="158">
        <f t="shared" si="21"/>
        <v>0.22731569956105552</v>
      </c>
      <c r="Q13" s="158">
        <f t="shared" si="22"/>
        <v>0.44806788298415362</v>
      </c>
      <c r="R13" s="158">
        <f t="shared" si="23"/>
        <v>0.61694791989623621</v>
      </c>
      <c r="S13" s="158">
        <f t="shared" si="24"/>
        <v>0.73218041998927674</v>
      </c>
      <c r="T13" s="158">
        <f t="shared" si="25"/>
        <v>0.86820168970126199</v>
      </c>
      <c r="U13" s="158">
        <f t="shared" si="26"/>
        <v>0.99999999999999978</v>
      </c>
      <c r="W13" s="158">
        <f t="shared" si="4"/>
        <v>4.0714995034756701E-2</v>
      </c>
      <c r="X13" s="158">
        <f t="shared" si="5"/>
        <v>0.14498510427010924</v>
      </c>
      <c r="Y13" s="158">
        <f t="shared" si="6"/>
        <v>0.30089374379344591</v>
      </c>
      <c r="Z13" s="158">
        <f t="shared" si="7"/>
        <v>0.52432969215491565</v>
      </c>
      <c r="AA13" s="158">
        <f t="shared" si="8"/>
        <v>0.68023833167825232</v>
      </c>
      <c r="AB13" s="158">
        <f t="shared" si="9"/>
        <v>0.78053624627606766</v>
      </c>
      <c r="AC13" s="158">
        <f t="shared" si="10"/>
        <v>0.89870903674280056</v>
      </c>
      <c r="AD13" s="158">
        <v>1</v>
      </c>
      <c r="AE13" s="143"/>
      <c r="AF13" s="143">
        <f>'3-Kak'!AQ13</f>
        <v>2.2002737338793533E-2</v>
      </c>
      <c r="AG13" s="143">
        <f>'3-Kak'!AR13</f>
        <v>7.1255103030061565E-2</v>
      </c>
      <c r="AH13" s="143">
        <f>'3-Kak'!AS13</f>
        <v>0.13405785919220048</v>
      </c>
      <c r="AI13" s="143">
        <f>'3-Kak'!AT13</f>
        <v>0.22075218342309816</v>
      </c>
      <c r="AJ13" s="143">
        <f>'3-Kak'!AU13</f>
        <v>0.16888003691208262</v>
      </c>
      <c r="AK13" s="143">
        <f>'3-Kak'!AV13</f>
        <v>0.1152325000930406</v>
      </c>
      <c r="AL13" s="143">
        <f>'3-Kak'!AW13</f>
        <v>0.1360212697119853</v>
      </c>
      <c r="AM13" s="143">
        <f>'3-Kak'!AX13</f>
        <v>0.13179831029873781</v>
      </c>
      <c r="AN13" s="46"/>
      <c r="AO13" s="152">
        <f>Shares!D54</f>
        <v>4.0999999999999996</v>
      </c>
      <c r="AP13" s="152">
        <f>Shares!E54</f>
        <v>10.5</v>
      </c>
      <c r="AQ13" s="152">
        <f>Shares!F54</f>
        <v>15.7</v>
      </c>
      <c r="AR13" s="152">
        <f>Shares!G54</f>
        <v>22.5</v>
      </c>
      <c r="AS13" s="152">
        <f>Shares!J54</f>
        <v>15.7</v>
      </c>
      <c r="AT13" s="152">
        <f>Shares!K54</f>
        <v>10.1</v>
      </c>
      <c r="AU13" s="152">
        <f>Shares!L54</f>
        <v>11.9</v>
      </c>
      <c r="AV13" s="152">
        <f>Shares!M54</f>
        <v>10.199999999999999</v>
      </c>
    </row>
    <row r="14" spans="1:48">
      <c r="A14" s="46">
        <f t="shared" si="27"/>
        <v>1984</v>
      </c>
      <c r="B14" s="141">
        <f t="shared" si="1"/>
        <v>9.8117097955930113E-2</v>
      </c>
      <c r="C14" s="46"/>
      <c r="D14" s="46"/>
      <c r="E14" s="154">
        <f t="shared" si="11"/>
        <v>7.4834016785526973E-4</v>
      </c>
      <c r="F14" s="154">
        <f t="shared" si="12"/>
        <v>4.8028204193463122E-3</v>
      </c>
      <c r="G14" s="154">
        <f t="shared" si="13"/>
        <v>1.0349006936812144E-2</v>
      </c>
      <c r="H14" s="154">
        <f t="shared" si="14"/>
        <v>1.5865196771138193E-2</v>
      </c>
      <c r="I14" s="154">
        <f t="shared" si="15"/>
        <v>9.0860721598477242E-3</v>
      </c>
      <c r="J14" s="154">
        <f t="shared" si="16"/>
        <v>4.7645756516303739E-3</v>
      </c>
      <c r="K14" s="154">
        <f t="shared" si="17"/>
        <v>3.4425368713350583E-3</v>
      </c>
      <c r="L14" s="154">
        <f t="shared" si="18"/>
        <v>-2.3373116307898006E-17</v>
      </c>
      <c r="M14" s="154"/>
      <c r="N14" s="158">
        <f t="shared" si="19"/>
        <v>2.517600981793797E-2</v>
      </c>
      <c r="O14" s="158">
        <f t="shared" si="20"/>
        <v>9.9473920599861487E-2</v>
      </c>
      <c r="P14" s="158">
        <f t="shared" si="21"/>
        <v>0.23408957722056239</v>
      </c>
      <c r="Q14" s="158">
        <f t="shared" si="22"/>
        <v>0.45201408479670918</v>
      </c>
      <c r="R14" s="158">
        <f t="shared" si="23"/>
        <v>0.6182290265712822</v>
      </c>
      <c r="S14" s="158">
        <f t="shared" si="24"/>
        <v>0.73005286583066931</v>
      </c>
      <c r="T14" s="158">
        <f t="shared" si="25"/>
        <v>0.86535858253378528</v>
      </c>
      <c r="U14" s="158">
        <f t="shared" si="26"/>
        <v>1.0000000000000002</v>
      </c>
      <c r="W14" s="158">
        <f t="shared" si="4"/>
        <v>4.270109235352533E-2</v>
      </c>
      <c r="X14" s="158">
        <f t="shared" si="5"/>
        <v>0.14597815292949357</v>
      </c>
      <c r="Y14" s="158">
        <f t="shared" si="6"/>
        <v>0.30089374379344591</v>
      </c>
      <c r="Z14" s="158">
        <f t="shared" si="7"/>
        <v>0.52333664349553133</v>
      </c>
      <c r="AA14" s="158">
        <f t="shared" si="8"/>
        <v>0.67725918570009935</v>
      </c>
      <c r="AB14" s="158">
        <f t="shared" si="9"/>
        <v>0.77755710029791469</v>
      </c>
      <c r="AC14" s="158">
        <f t="shared" si="10"/>
        <v>0.89473684210526327</v>
      </c>
      <c r="AD14" s="158">
        <v>1</v>
      </c>
      <c r="AE14" s="143"/>
      <c r="AF14" s="143">
        <f>'3-Kak'!AQ14</f>
        <v>2.5176009817937967E-2</v>
      </c>
      <c r="AG14" s="143">
        <f>'3-Kak'!AR14</f>
        <v>7.4297910781923507E-2</v>
      </c>
      <c r="AH14" s="143">
        <f>'3-Kak'!AS14</f>
        <v>0.13461565662070088</v>
      </c>
      <c r="AI14" s="143">
        <f>'3-Kak'!AT14</f>
        <v>0.21792450757614676</v>
      </c>
      <c r="AJ14" s="143">
        <f>'3-Kak'!AU14</f>
        <v>0.16621494177457299</v>
      </c>
      <c r="AK14" s="143">
        <f>'3-Kak'!AV14</f>
        <v>0.11182383925938703</v>
      </c>
      <c r="AL14" s="143">
        <f>'3-Kak'!AW14</f>
        <v>0.13530571670311592</v>
      </c>
      <c r="AM14" s="143">
        <f>'3-Kak'!AX14</f>
        <v>0.13464141746621486</v>
      </c>
      <c r="AN14" s="46"/>
      <c r="AO14" s="152">
        <f>Shares!D55</f>
        <v>4.3</v>
      </c>
      <c r="AP14" s="152">
        <f>Shares!E55</f>
        <v>10.4</v>
      </c>
      <c r="AQ14" s="152">
        <f>Shares!F55</f>
        <v>15.6</v>
      </c>
      <c r="AR14" s="152">
        <f>Shares!G55</f>
        <v>22.4</v>
      </c>
      <c r="AS14" s="152">
        <f>Shares!J55</f>
        <v>15.5</v>
      </c>
      <c r="AT14" s="152">
        <f>Shares!K55</f>
        <v>10.1</v>
      </c>
      <c r="AU14" s="152">
        <f>Shares!L55</f>
        <v>11.8</v>
      </c>
      <c r="AV14" s="152">
        <f>Shares!M55</f>
        <v>10.6</v>
      </c>
    </row>
    <row r="15" spans="1:48">
      <c r="A15" s="46">
        <f t="shared" si="27"/>
        <v>1985</v>
      </c>
      <c r="B15" s="141">
        <f t="shared" si="1"/>
        <v>0.10024254981540463</v>
      </c>
      <c r="C15" s="46"/>
      <c r="D15" s="46"/>
      <c r="E15" s="154">
        <f t="shared" si="11"/>
        <v>7.2109322549940248E-4</v>
      </c>
      <c r="F15" s="154">
        <f t="shared" si="12"/>
        <v>4.6864114810153739E-3</v>
      </c>
      <c r="G15" s="154">
        <f t="shared" si="13"/>
        <v>1.0171901706682817E-2</v>
      </c>
      <c r="H15" s="154">
        <f t="shared" si="14"/>
        <v>1.5874371100450622E-2</v>
      </c>
      <c r="I15" s="154">
        <f t="shared" si="15"/>
        <v>9.4782540360470145E-3</v>
      </c>
      <c r="J15" s="154">
        <f t="shared" si="16"/>
        <v>5.071630681736829E-3</v>
      </c>
      <c r="K15" s="154">
        <f t="shared" si="17"/>
        <v>4.1176126762702643E-3</v>
      </c>
      <c r="L15" s="154">
        <f t="shared" si="18"/>
        <v>0</v>
      </c>
      <c r="M15" s="154"/>
      <c r="N15" s="158">
        <f t="shared" si="19"/>
        <v>2.3062301712614235E-2</v>
      </c>
      <c r="O15" s="158">
        <f t="shared" si="20"/>
        <v>9.5926235434443605E-2</v>
      </c>
      <c r="P15" s="158">
        <f t="shared" si="21"/>
        <v>0.22878101058825978</v>
      </c>
      <c r="Q15" s="158">
        <f t="shared" si="22"/>
        <v>0.44264982489220495</v>
      </c>
      <c r="R15" s="158">
        <f t="shared" si="23"/>
        <v>0.60746915730375894</v>
      </c>
      <c r="S15" s="158">
        <f t="shared" si="24"/>
        <v>0.71886824765641588</v>
      </c>
      <c r="T15" s="158">
        <f t="shared" si="25"/>
        <v>0.85286455834370378</v>
      </c>
      <c r="U15" s="158">
        <f t="shared" si="26"/>
        <v>1</v>
      </c>
      <c r="W15" s="158">
        <f t="shared" si="4"/>
        <v>4.0755467196819085E-2</v>
      </c>
      <c r="X15" s="158">
        <f t="shared" si="5"/>
        <v>0.14214711729622267</v>
      </c>
      <c r="Y15" s="158">
        <f t="shared" si="6"/>
        <v>0.29522862823061635</v>
      </c>
      <c r="Z15" s="158">
        <f t="shared" si="7"/>
        <v>0.51491053677932408</v>
      </c>
      <c r="AA15" s="158">
        <f t="shared" si="8"/>
        <v>0.66898608349900601</v>
      </c>
      <c r="AB15" s="158">
        <f t="shared" si="9"/>
        <v>0.76938369781312133</v>
      </c>
      <c r="AC15" s="158">
        <f t="shared" si="10"/>
        <v>0.88767395626242551</v>
      </c>
      <c r="AD15" s="158">
        <v>1</v>
      </c>
      <c r="AE15" s="143"/>
      <c r="AF15" s="143">
        <f>'3-Kak'!AQ15</f>
        <v>2.3062301712614232E-2</v>
      </c>
      <c r="AG15" s="143">
        <f>'3-Kak'!AR15</f>
        <v>7.2863933721829352E-2</v>
      </c>
      <c r="AH15" s="143">
        <f>'3-Kak'!AS15</f>
        <v>0.13285477515381616</v>
      </c>
      <c r="AI15" s="143">
        <f>'3-Kak'!AT15</f>
        <v>0.21386881430394511</v>
      </c>
      <c r="AJ15" s="143">
        <f>'3-Kak'!AU15</f>
        <v>0.16481933241155397</v>
      </c>
      <c r="AK15" s="143">
        <f>'3-Kak'!AV15</f>
        <v>0.11139909035265694</v>
      </c>
      <c r="AL15" s="143">
        <f>'3-Kak'!AW15</f>
        <v>0.1339963106872879</v>
      </c>
      <c r="AM15" s="143">
        <f>'3-Kak'!AX15</f>
        <v>0.14713544165629625</v>
      </c>
      <c r="AN15" s="46"/>
      <c r="AO15" s="152">
        <f>Shares!D56</f>
        <v>4.0999999999999996</v>
      </c>
      <c r="AP15" s="152">
        <f>Shares!E56</f>
        <v>10.199999999999999</v>
      </c>
      <c r="AQ15" s="152">
        <f>Shares!F56</f>
        <v>15.4</v>
      </c>
      <c r="AR15" s="152">
        <f>Shares!G56</f>
        <v>22.1</v>
      </c>
      <c r="AS15" s="152">
        <f>Shares!J56</f>
        <v>15.5</v>
      </c>
      <c r="AT15" s="152">
        <f>Shares!K56</f>
        <v>10.1</v>
      </c>
      <c r="AU15" s="152">
        <f>Shares!L56</f>
        <v>11.9</v>
      </c>
      <c r="AV15" s="152">
        <f>Shares!M56</f>
        <v>11.3</v>
      </c>
    </row>
    <row r="16" spans="1:48">
      <c r="A16" s="46">
        <f t="shared" si="27"/>
        <v>1986</v>
      </c>
      <c r="B16" s="141">
        <f t="shared" si="1"/>
        <v>9.1665556040870969E-2</v>
      </c>
      <c r="C16" s="46"/>
      <c r="D16" s="46"/>
      <c r="E16" s="154">
        <f t="shared" si="11"/>
        <v>6.71279808526293E-4</v>
      </c>
      <c r="F16" s="154">
        <f t="shared" si="12"/>
        <v>4.287434653958702E-3</v>
      </c>
      <c r="G16" s="154">
        <f t="shared" si="13"/>
        <v>9.4739368127522046E-3</v>
      </c>
      <c r="H16" s="154">
        <f t="shared" si="14"/>
        <v>1.44536652036315E-2</v>
      </c>
      <c r="I16" s="154">
        <f t="shared" si="15"/>
        <v>8.5390793694829614E-3</v>
      </c>
      <c r="J16" s="154">
        <f t="shared" si="16"/>
        <v>4.5692553087865618E-3</v>
      </c>
      <c r="K16" s="154">
        <f t="shared" si="17"/>
        <v>3.8381268632972669E-3</v>
      </c>
      <c r="L16" s="154">
        <f t="shared" si="18"/>
        <v>0</v>
      </c>
      <c r="M16" s="154"/>
      <c r="N16" s="158">
        <f t="shared" si="19"/>
        <v>2.1396108813783538E-2</v>
      </c>
      <c r="O16" s="158">
        <f t="shared" si="20"/>
        <v>9.054485791815875E-2</v>
      </c>
      <c r="P16" s="158">
        <f t="shared" si="21"/>
        <v>0.21899031510277339</v>
      </c>
      <c r="Q16" s="158">
        <f t="shared" si="22"/>
        <v>0.42751800598577561</v>
      </c>
      <c r="R16" s="158">
        <f t="shared" si="23"/>
        <v>0.58716289377328801</v>
      </c>
      <c r="S16" s="158">
        <f t="shared" si="24"/>
        <v>0.69632322453311957</v>
      </c>
      <c r="T16" s="158">
        <f t="shared" si="25"/>
        <v>0.83101718788644996</v>
      </c>
      <c r="U16" s="158">
        <f t="shared" si="26"/>
        <v>1</v>
      </c>
      <c r="W16" s="158">
        <f t="shared" si="4"/>
        <v>3.872889771598808E-2</v>
      </c>
      <c r="X16" s="158">
        <f t="shared" si="5"/>
        <v>0.13505461767626611</v>
      </c>
      <c r="Y16" s="158">
        <f t="shared" si="6"/>
        <v>0.28301886792452824</v>
      </c>
      <c r="Z16" s="158">
        <f t="shared" si="7"/>
        <v>0.49553128103277055</v>
      </c>
      <c r="AA16" s="158">
        <f t="shared" si="8"/>
        <v>0.64448857994041697</v>
      </c>
      <c r="AB16" s="158">
        <f t="shared" si="9"/>
        <v>0.74280039721946367</v>
      </c>
      <c r="AC16" s="158">
        <f t="shared" si="10"/>
        <v>0.86295928500496522</v>
      </c>
      <c r="AD16" s="158">
        <v>1</v>
      </c>
      <c r="AE16" s="143"/>
      <c r="AF16" s="143">
        <f>'3-Kak'!AQ16</f>
        <v>2.1396108813783538E-2</v>
      </c>
      <c r="AG16" s="143">
        <f>'3-Kak'!AR16</f>
        <v>6.9148749104375212E-2</v>
      </c>
      <c r="AH16" s="143">
        <f>'3-Kak'!AS16</f>
        <v>0.12844545718461464</v>
      </c>
      <c r="AI16" s="143">
        <f>'3-Kak'!AT16</f>
        <v>0.20852769088300219</v>
      </c>
      <c r="AJ16" s="143">
        <f>'3-Kak'!AU16</f>
        <v>0.15964488778751237</v>
      </c>
      <c r="AK16" s="143">
        <f>'3-Kak'!AV16</f>
        <v>0.10916033075983154</v>
      </c>
      <c r="AL16" s="143">
        <f>'3-Kak'!AW16</f>
        <v>0.13469396335333039</v>
      </c>
      <c r="AM16" s="143">
        <f>'3-Kak'!AX16</f>
        <v>0.16898281211355001</v>
      </c>
      <c r="AN16" s="46"/>
      <c r="AO16" s="152">
        <f>Shares!D57</f>
        <v>3.9</v>
      </c>
      <c r="AP16" s="152">
        <f>Shares!E57</f>
        <v>9.6999999999999993</v>
      </c>
      <c r="AQ16" s="152">
        <f>Shares!F57</f>
        <v>14.9</v>
      </c>
      <c r="AR16" s="152">
        <f>Shares!G57</f>
        <v>21.4</v>
      </c>
      <c r="AS16" s="152">
        <f>Shares!J57</f>
        <v>15</v>
      </c>
      <c r="AT16" s="152">
        <f>Shares!K57</f>
        <v>9.9</v>
      </c>
      <c r="AU16" s="152">
        <f>Shares!L57</f>
        <v>12.1</v>
      </c>
      <c r="AV16" s="152">
        <f>Shares!M57</f>
        <v>13.8</v>
      </c>
    </row>
    <row r="17" spans="1:48">
      <c r="A17" s="46">
        <f t="shared" si="27"/>
        <v>1987</v>
      </c>
      <c r="B17" s="141">
        <f t="shared" si="1"/>
        <v>0.12175037616074862</v>
      </c>
      <c r="C17" s="46"/>
      <c r="D17" s="46"/>
      <c r="E17" s="154">
        <f t="shared" si="11"/>
        <v>6.7253771270689195E-4</v>
      </c>
      <c r="F17" s="154">
        <f t="shared" si="12"/>
        <v>5.2081228699028701E-3</v>
      </c>
      <c r="G17" s="154">
        <f t="shared" si="13"/>
        <v>1.2074176777462125E-2</v>
      </c>
      <c r="H17" s="154">
        <f t="shared" si="14"/>
        <v>1.971485887767967E-2</v>
      </c>
      <c r="I17" s="154">
        <f t="shared" si="15"/>
        <v>1.2222253618396099E-2</v>
      </c>
      <c r="J17" s="154">
        <f t="shared" si="16"/>
        <v>6.4685092497234866E-3</v>
      </c>
      <c r="K17" s="154">
        <f t="shared" si="17"/>
        <v>4.514728974503163E-3</v>
      </c>
      <c r="L17" s="154">
        <f t="shared" si="18"/>
        <v>0</v>
      </c>
      <c r="M17" s="154"/>
      <c r="N17" s="158">
        <f t="shared" si="19"/>
        <v>1.8329685075125359E-2</v>
      </c>
      <c r="O17" s="158">
        <f t="shared" si="20"/>
        <v>8.4739415169282573E-2</v>
      </c>
      <c r="P17" s="158">
        <f t="shared" si="21"/>
        <v>0.21328244537765612</v>
      </c>
      <c r="Q17" s="158">
        <f t="shared" si="22"/>
        <v>0.42457470603387815</v>
      </c>
      <c r="R17" s="158">
        <f t="shared" si="23"/>
        <v>0.5904297994099581</v>
      </c>
      <c r="S17" s="158">
        <f t="shared" si="24"/>
        <v>0.70608186745304291</v>
      </c>
      <c r="T17" s="158">
        <f t="shared" si="25"/>
        <v>0.85234247320322754</v>
      </c>
      <c r="U17" s="158">
        <f t="shared" si="26"/>
        <v>1</v>
      </c>
      <c r="W17" s="158">
        <f t="shared" si="4"/>
        <v>3.6669970267591681E-2</v>
      </c>
      <c r="X17" s="158">
        <f t="shared" si="5"/>
        <v>0.13676907829534193</v>
      </c>
      <c r="Y17" s="158">
        <f t="shared" si="6"/>
        <v>0.29137760158572845</v>
      </c>
      <c r="Z17" s="158">
        <f t="shared" si="7"/>
        <v>0.51337958374628345</v>
      </c>
      <c r="AA17" s="158">
        <f t="shared" si="8"/>
        <v>0.6689791873141725</v>
      </c>
      <c r="AB17" s="158">
        <f t="shared" si="9"/>
        <v>0.77006937561942523</v>
      </c>
      <c r="AC17" s="158">
        <f t="shared" si="10"/>
        <v>0.889990089197225</v>
      </c>
      <c r="AD17" s="158">
        <v>1</v>
      </c>
      <c r="AE17" s="143"/>
      <c r="AF17" s="143">
        <f>'3-Kak'!AQ17</f>
        <v>1.8329685075125359E-2</v>
      </c>
      <c r="AG17" s="143">
        <f>'3-Kak'!AR17</f>
        <v>6.640973009415721E-2</v>
      </c>
      <c r="AH17" s="143">
        <f>'3-Kak'!AS17</f>
        <v>0.12854303020837354</v>
      </c>
      <c r="AI17" s="143">
        <f>'3-Kak'!AT17</f>
        <v>0.21129226065622203</v>
      </c>
      <c r="AJ17" s="143">
        <f>'3-Kak'!AU17</f>
        <v>0.16585509337607998</v>
      </c>
      <c r="AK17" s="143">
        <f>'3-Kak'!AV17</f>
        <v>0.11565206804308487</v>
      </c>
      <c r="AL17" s="143">
        <f>'3-Kak'!AW17</f>
        <v>0.1462606057501846</v>
      </c>
      <c r="AM17" s="143">
        <f>'3-Kak'!AX17</f>
        <v>0.14765752679677241</v>
      </c>
      <c r="AN17" s="46"/>
      <c r="AO17" s="152">
        <f>Shares!D58</f>
        <v>3.7</v>
      </c>
      <c r="AP17" s="152">
        <f>Shares!E58</f>
        <v>10.1</v>
      </c>
      <c r="AQ17" s="152">
        <f>Shares!F58</f>
        <v>15.6</v>
      </c>
      <c r="AR17" s="152">
        <f>Shares!G58</f>
        <v>22.4</v>
      </c>
      <c r="AS17" s="152">
        <f>Shares!J58</f>
        <v>15.7</v>
      </c>
      <c r="AT17" s="152">
        <f>Shares!K58</f>
        <v>10.199999999999999</v>
      </c>
      <c r="AU17" s="152">
        <f>Shares!L58</f>
        <v>12.1</v>
      </c>
      <c r="AV17" s="152">
        <f>Shares!M58</f>
        <v>11.1</v>
      </c>
    </row>
    <row r="18" spans="1:48">
      <c r="A18" s="46">
        <f t="shared" si="27"/>
        <v>1988</v>
      </c>
      <c r="B18" s="141">
        <f t="shared" si="1"/>
        <v>0.1237990532856498</v>
      </c>
      <c r="C18" s="46"/>
      <c r="D18" s="46"/>
      <c r="E18" s="154">
        <f t="shared" si="11"/>
        <v>7.2969836965583587E-4</v>
      </c>
      <c r="F18" s="154">
        <f t="shared" si="12"/>
        <v>5.0492504693204696E-3</v>
      </c>
      <c r="G18" s="154">
        <f t="shared" si="13"/>
        <v>1.1741124282251124E-2</v>
      </c>
      <c r="H18" s="154">
        <f t="shared" si="14"/>
        <v>1.9386859297462377E-2</v>
      </c>
      <c r="I18" s="154">
        <f t="shared" si="15"/>
        <v>1.2380111541894747E-2</v>
      </c>
      <c r="J18" s="154">
        <f t="shared" si="16"/>
        <v>6.8392887023162145E-3</v>
      </c>
      <c r="K18" s="154">
        <f t="shared" si="17"/>
        <v>5.7731939799241239E-3</v>
      </c>
      <c r="L18" s="154">
        <f t="shared" si="18"/>
        <v>0</v>
      </c>
      <c r="M18" s="154"/>
      <c r="N18" s="158">
        <f t="shared" si="19"/>
        <v>1.6826999027617237E-2</v>
      </c>
      <c r="O18" s="158">
        <f t="shared" si="20"/>
        <v>8.1993423744132307E-2</v>
      </c>
      <c r="P18" s="158">
        <f t="shared" si="21"/>
        <v>0.20535232246188631</v>
      </c>
      <c r="Q18" s="158">
        <f t="shared" si="22"/>
        <v>0.41035800838604553</v>
      </c>
      <c r="R18" s="158">
        <f t="shared" si="23"/>
        <v>0.5702226264802901</v>
      </c>
      <c r="S18" s="158">
        <f t="shared" si="24"/>
        <v>0.68036360594005307</v>
      </c>
      <c r="T18" s="158">
        <f t="shared" si="25"/>
        <v>0.82055278961625644</v>
      </c>
      <c r="U18" s="158">
        <f t="shared" si="26"/>
        <v>1</v>
      </c>
      <c r="W18" s="158">
        <f t="shared" si="4"/>
        <v>3.6706349206349201E-2</v>
      </c>
      <c r="X18" s="158">
        <f t="shared" si="5"/>
        <v>0.13392857142857142</v>
      </c>
      <c r="Y18" s="158">
        <f t="shared" si="6"/>
        <v>0.28373015873015872</v>
      </c>
      <c r="Z18" s="158">
        <f t="shared" si="7"/>
        <v>0.5</v>
      </c>
      <c r="AA18" s="158">
        <f t="shared" si="8"/>
        <v>0.6517857142857143</v>
      </c>
      <c r="AB18" s="158">
        <f t="shared" si="9"/>
        <v>0.75</v>
      </c>
      <c r="AC18" s="158">
        <f t="shared" si="10"/>
        <v>0.86904761904761907</v>
      </c>
      <c r="AD18" s="158">
        <v>1</v>
      </c>
      <c r="AE18" s="143"/>
      <c r="AF18" s="143">
        <f>'3-Kak'!AQ18</f>
        <v>1.6826999027617237E-2</v>
      </c>
      <c r="AG18" s="143">
        <f>'3-Kak'!AR18</f>
        <v>6.516642471651507E-2</v>
      </c>
      <c r="AH18" s="143">
        <f>'3-Kak'!AS18</f>
        <v>0.123358898717754</v>
      </c>
      <c r="AI18" s="143">
        <f>'3-Kak'!AT18</f>
        <v>0.20500568592415921</v>
      </c>
      <c r="AJ18" s="143">
        <f>'3-Kak'!AU18</f>
        <v>0.15986461809424451</v>
      </c>
      <c r="AK18" s="143">
        <f>'3-Kak'!AV18</f>
        <v>0.11014097945976302</v>
      </c>
      <c r="AL18" s="143">
        <f>'3-Kak'!AW18</f>
        <v>0.14018918367620337</v>
      </c>
      <c r="AM18" s="143">
        <f>'3-Kak'!AX18</f>
        <v>0.17944721038374362</v>
      </c>
      <c r="AN18" s="46"/>
      <c r="AO18" s="152">
        <f>Shares!D59</f>
        <v>3.7</v>
      </c>
      <c r="AP18" s="152">
        <f>Shares!E59</f>
        <v>9.8000000000000007</v>
      </c>
      <c r="AQ18" s="152">
        <f>Shares!F59</f>
        <v>15.1</v>
      </c>
      <c r="AR18" s="152">
        <f>Shares!G59</f>
        <v>21.8</v>
      </c>
      <c r="AS18" s="152">
        <f>Shares!J59</f>
        <v>15.3</v>
      </c>
      <c r="AT18" s="152">
        <f>Shares!K59</f>
        <v>9.9</v>
      </c>
      <c r="AU18" s="152">
        <f>Shares!L59</f>
        <v>12</v>
      </c>
      <c r="AV18" s="152">
        <f>Shares!M59</f>
        <v>13.2</v>
      </c>
    </row>
    <row r="19" spans="1:48">
      <c r="A19" s="46">
        <f t="shared" si="27"/>
        <v>1989</v>
      </c>
      <c r="B19" s="141">
        <f t="shared" si="1"/>
        <v>0.11897975047142462</v>
      </c>
      <c r="C19" s="46"/>
      <c r="D19" s="46"/>
      <c r="E19" s="154">
        <f t="shared" si="11"/>
        <v>7.962619934228759E-4</v>
      </c>
      <c r="F19" s="154">
        <f t="shared" si="12"/>
        <v>5.3447787328431565E-3</v>
      </c>
      <c r="G19" s="154">
        <f t="shared" si="13"/>
        <v>1.1835725110197454E-2</v>
      </c>
      <c r="H19" s="154">
        <f t="shared" si="14"/>
        <v>1.8664028064061491E-2</v>
      </c>
      <c r="I19" s="154">
        <f t="shared" si="15"/>
        <v>1.1401933343543223E-2</v>
      </c>
      <c r="J19" s="154">
        <f t="shared" si="16"/>
        <v>6.3707706313680026E-3</v>
      </c>
      <c r="K19" s="154">
        <f t="shared" si="17"/>
        <v>5.0763773602761257E-3</v>
      </c>
      <c r="L19" s="154">
        <f t="shared" si="18"/>
        <v>-2.7121634961051458E-17</v>
      </c>
      <c r="M19" s="154"/>
      <c r="N19" s="158">
        <f t="shared" si="19"/>
        <v>1.663490623089757E-2</v>
      </c>
      <c r="O19" s="158">
        <f t="shared" si="20"/>
        <v>8.1682088719760987E-2</v>
      </c>
      <c r="P19" s="158">
        <f t="shared" si="21"/>
        <v>0.20857938370700746</v>
      </c>
      <c r="Q19" s="158">
        <f t="shared" si="22"/>
        <v>0.41864827942152205</v>
      </c>
      <c r="R19" s="158">
        <f t="shared" si="23"/>
        <v>0.58136106661807441</v>
      </c>
      <c r="S19" s="158">
        <f t="shared" si="24"/>
        <v>0.69318460294799689</v>
      </c>
      <c r="T19" s="158">
        <f t="shared" si="25"/>
        <v>0.83595409684820499</v>
      </c>
      <c r="U19" s="158">
        <f t="shared" si="26"/>
        <v>1.0000000000000002</v>
      </c>
      <c r="W19" s="158">
        <f t="shared" si="4"/>
        <v>3.7735849056603779E-2</v>
      </c>
      <c r="X19" s="158">
        <f t="shared" si="5"/>
        <v>0.13604766633565046</v>
      </c>
      <c r="Y19" s="158">
        <f t="shared" si="6"/>
        <v>0.28699106256206558</v>
      </c>
      <c r="Z19" s="158">
        <f t="shared" si="7"/>
        <v>0.50446871896722945</v>
      </c>
      <c r="AA19" s="158">
        <f t="shared" si="8"/>
        <v>0.65640516385302883</v>
      </c>
      <c r="AB19" s="158">
        <f t="shared" si="9"/>
        <v>0.75670307845084417</v>
      </c>
      <c r="AC19" s="158">
        <f t="shared" si="10"/>
        <v>0.87785501489573003</v>
      </c>
      <c r="AD19" s="158">
        <v>1</v>
      </c>
      <c r="AE19" s="143"/>
      <c r="AF19" s="143">
        <f>'3-Kak'!AQ19</f>
        <v>1.6634906230897566E-2</v>
      </c>
      <c r="AG19" s="143">
        <f>'3-Kak'!AR19</f>
        <v>6.5047182488863403E-2</v>
      </c>
      <c r="AH19" s="143">
        <f>'3-Kak'!AS19</f>
        <v>0.12689729498724645</v>
      </c>
      <c r="AI19" s="143">
        <f>'3-Kak'!AT19</f>
        <v>0.21006889571451454</v>
      </c>
      <c r="AJ19" s="143">
        <f>'3-Kak'!AU19</f>
        <v>0.1627127871965523</v>
      </c>
      <c r="AK19" s="143">
        <f>'3-Kak'!AV19</f>
        <v>0.11182353632992251</v>
      </c>
      <c r="AL19" s="143">
        <f>'3-Kak'!AW19</f>
        <v>0.14276949390020804</v>
      </c>
      <c r="AM19" s="143">
        <f>'3-Kak'!AX19</f>
        <v>0.16404590315179521</v>
      </c>
      <c r="AN19" s="46"/>
      <c r="AO19" s="152">
        <f>Shares!D60</f>
        <v>3.8</v>
      </c>
      <c r="AP19" s="152">
        <f>Shares!E60</f>
        <v>9.9</v>
      </c>
      <c r="AQ19" s="152">
        <f>Shares!F60</f>
        <v>15.2</v>
      </c>
      <c r="AR19" s="152">
        <f>Shares!G60</f>
        <v>21.9</v>
      </c>
      <c r="AS19" s="152">
        <f>Shares!J60</f>
        <v>15.3</v>
      </c>
      <c r="AT19" s="152">
        <f>Shares!K60</f>
        <v>10.1</v>
      </c>
      <c r="AU19" s="152">
        <f>Shares!L60</f>
        <v>12.2</v>
      </c>
      <c r="AV19" s="152">
        <f>Shares!M60</f>
        <v>12.3</v>
      </c>
    </row>
    <row r="20" spans="1:48">
      <c r="A20" s="46">
        <f t="shared" si="27"/>
        <v>1990</v>
      </c>
      <c r="B20" s="141">
        <f t="shared" si="1"/>
        <v>0.11022253053182431</v>
      </c>
      <c r="C20" s="46"/>
      <c r="D20" s="46"/>
      <c r="E20" s="154">
        <f t="shared" si="11"/>
        <v>7.4837630833728542E-4</v>
      </c>
      <c r="F20" s="154">
        <f t="shared" si="12"/>
        <v>4.9949460219123106E-3</v>
      </c>
      <c r="G20" s="154">
        <f t="shared" si="13"/>
        <v>1.1001223345253112E-2</v>
      </c>
      <c r="H20" s="154">
        <f t="shared" si="14"/>
        <v>1.7576082731429968E-2</v>
      </c>
      <c r="I20" s="154">
        <f t="shared" si="15"/>
        <v>1.0539104733244075E-2</v>
      </c>
      <c r="J20" s="154">
        <f t="shared" si="16"/>
        <v>5.7259320207922485E-3</v>
      </c>
      <c r="K20" s="154">
        <f t="shared" si="17"/>
        <v>4.5256001049431534E-3</v>
      </c>
      <c r="L20" s="154">
        <f t="shared" si="18"/>
        <v>0</v>
      </c>
      <c r="M20" s="154"/>
      <c r="N20" s="158">
        <f t="shared" si="19"/>
        <v>1.9347826990374045E-2</v>
      </c>
      <c r="O20" s="158">
        <f t="shared" si="20"/>
        <v>8.903833849198188E-2</v>
      </c>
      <c r="P20" s="158">
        <f t="shared" si="21"/>
        <v>0.21672705855086111</v>
      </c>
      <c r="Q20" s="158">
        <f t="shared" si="22"/>
        <v>0.4274060925125015</v>
      </c>
      <c r="R20" s="158">
        <f t="shared" si="23"/>
        <v>0.59028812045026124</v>
      </c>
      <c r="S20" s="158">
        <f t="shared" si="24"/>
        <v>0.70277469950520333</v>
      </c>
      <c r="T20" s="158">
        <f t="shared" si="25"/>
        <v>0.84356053746235882</v>
      </c>
      <c r="U20" s="158">
        <f t="shared" si="26"/>
        <v>1</v>
      </c>
      <c r="W20" s="158">
        <f t="shared" si="4"/>
        <v>3.8690476190476192E-2</v>
      </c>
      <c r="X20" s="158">
        <f t="shared" si="5"/>
        <v>0.1388888888888889</v>
      </c>
      <c r="Y20" s="158">
        <f t="shared" si="6"/>
        <v>0.28968253968253965</v>
      </c>
      <c r="Z20" s="158">
        <f t="shared" si="7"/>
        <v>0.50793650793650791</v>
      </c>
      <c r="AA20" s="158">
        <f t="shared" si="8"/>
        <v>0.65972222222222221</v>
      </c>
      <c r="AB20" s="158">
        <f t="shared" si="9"/>
        <v>0.75992063492063489</v>
      </c>
      <c r="AC20" s="158">
        <f t="shared" si="10"/>
        <v>0.88095238095238093</v>
      </c>
      <c r="AD20" s="158">
        <v>1</v>
      </c>
      <c r="AE20" s="143"/>
      <c r="AF20" s="143">
        <f>'3-Kak'!AQ20</f>
        <v>1.9347826990374045E-2</v>
      </c>
      <c r="AG20" s="143">
        <f>'3-Kak'!AR20</f>
        <v>6.9690511501607835E-2</v>
      </c>
      <c r="AH20" s="143">
        <f>'3-Kak'!AS20</f>
        <v>0.12768872005887921</v>
      </c>
      <c r="AI20" s="143">
        <f>'3-Kak'!AT20</f>
        <v>0.21067903396164039</v>
      </c>
      <c r="AJ20" s="143">
        <f>'3-Kak'!AU20</f>
        <v>0.16288202793775977</v>
      </c>
      <c r="AK20" s="143">
        <f>'3-Kak'!AV20</f>
        <v>0.11248657905494203</v>
      </c>
      <c r="AL20" s="143">
        <f>'3-Kak'!AW20</f>
        <v>0.14078583795715552</v>
      </c>
      <c r="AM20" s="143">
        <f>'3-Kak'!AX20</f>
        <v>0.15643946253764113</v>
      </c>
      <c r="AN20" s="46"/>
      <c r="AO20" s="152">
        <f>Shares!D61</f>
        <v>3.9</v>
      </c>
      <c r="AP20" s="152">
        <f>Shares!E61</f>
        <v>10.1</v>
      </c>
      <c r="AQ20" s="152">
        <f>Shares!F61</f>
        <v>15.2</v>
      </c>
      <c r="AR20" s="152">
        <f>Shares!G61</f>
        <v>22</v>
      </c>
      <c r="AS20" s="152">
        <f>Shares!J61</f>
        <v>15.3</v>
      </c>
      <c r="AT20" s="152">
        <f>Shares!K61</f>
        <v>10.1</v>
      </c>
      <c r="AU20" s="152">
        <f>Shares!L61</f>
        <v>12.2</v>
      </c>
      <c r="AV20" s="152">
        <f>Shares!M61</f>
        <v>12</v>
      </c>
    </row>
    <row r="21" spans="1:48">
      <c r="A21" s="46">
        <f t="shared" si="27"/>
        <v>1991</v>
      </c>
      <c r="B21" s="141">
        <f t="shared" si="1"/>
        <v>0.1215808341461706</v>
      </c>
      <c r="C21" s="46"/>
      <c r="D21" s="46"/>
      <c r="E21" s="154">
        <f t="shared" si="11"/>
        <v>8.2615742824039616E-4</v>
      </c>
      <c r="F21" s="154">
        <f t="shared" si="12"/>
        <v>5.3249568522183918E-3</v>
      </c>
      <c r="G21" s="154">
        <f t="shared" si="13"/>
        <v>1.2268824323971418E-2</v>
      </c>
      <c r="H21" s="154">
        <f t="shared" si="14"/>
        <v>1.9383686653551755E-2</v>
      </c>
      <c r="I21" s="154">
        <f t="shared" si="15"/>
        <v>1.1726252309132624E-2</v>
      </c>
      <c r="J21" s="154">
        <f t="shared" si="16"/>
        <v>6.4405008004777302E-3</v>
      </c>
      <c r="K21" s="154">
        <f t="shared" si="17"/>
        <v>4.8200387054929926E-3</v>
      </c>
      <c r="L21" s="154">
        <f t="shared" si="18"/>
        <v>0</v>
      </c>
      <c r="M21" s="154"/>
      <c r="N21" s="158">
        <f t="shared" si="19"/>
        <v>1.8863372490881696E-2</v>
      </c>
      <c r="O21" s="158">
        <f t="shared" si="20"/>
        <v>8.6736828548911404E-2</v>
      </c>
      <c r="P21" s="158">
        <f t="shared" si="21"/>
        <v>0.21536737689565721</v>
      </c>
      <c r="Q21" s="158">
        <f t="shared" si="22"/>
        <v>0.42547822759124115</v>
      </c>
      <c r="R21" s="158">
        <f t="shared" si="23"/>
        <v>0.58991301518870776</v>
      </c>
      <c r="S21" s="158">
        <f t="shared" si="24"/>
        <v>0.70420984082889237</v>
      </c>
      <c r="T21" s="158">
        <f t="shared" si="25"/>
        <v>0.85038014737983914</v>
      </c>
      <c r="U21" s="158">
        <f t="shared" si="26"/>
        <v>1</v>
      </c>
      <c r="W21" s="158">
        <f t="shared" si="4"/>
        <v>3.968253968253968E-2</v>
      </c>
      <c r="X21" s="158">
        <f t="shared" si="5"/>
        <v>0.13988095238095238</v>
      </c>
      <c r="Y21" s="158">
        <f t="shared" si="6"/>
        <v>0.29464285714285715</v>
      </c>
      <c r="Z21" s="158">
        <f t="shared" si="7"/>
        <v>0.51388888888888895</v>
      </c>
      <c r="AA21" s="158">
        <f t="shared" si="8"/>
        <v>0.66666666666666674</v>
      </c>
      <c r="AB21" s="158">
        <f t="shared" si="9"/>
        <v>0.7678571428571429</v>
      </c>
      <c r="AC21" s="158">
        <f t="shared" si="10"/>
        <v>0.88988095238095244</v>
      </c>
      <c r="AD21" s="158">
        <v>1</v>
      </c>
      <c r="AE21" s="143"/>
      <c r="AF21" s="143">
        <f>'3-Kak'!AQ21</f>
        <v>1.88633724908817E-2</v>
      </c>
      <c r="AG21" s="143">
        <f>'3-Kak'!AR21</f>
        <v>6.7873456058029719E-2</v>
      </c>
      <c r="AH21" s="143">
        <f>'3-Kak'!AS21</f>
        <v>0.12863054834674584</v>
      </c>
      <c r="AI21" s="143">
        <f>'3-Kak'!AT21</f>
        <v>0.21011085069558399</v>
      </c>
      <c r="AJ21" s="143">
        <f>'3-Kak'!AU21</f>
        <v>0.16443478759746666</v>
      </c>
      <c r="AK21" s="143">
        <f>'3-Kak'!AV21</f>
        <v>0.11429682564018459</v>
      </c>
      <c r="AL21" s="143">
        <f>'3-Kak'!AW21</f>
        <v>0.14617030655094682</v>
      </c>
      <c r="AM21" s="143">
        <f>'3-Kak'!AX21</f>
        <v>0.14961985262016084</v>
      </c>
      <c r="AN21" s="46"/>
      <c r="AO21" s="152">
        <f>Shares!D62</f>
        <v>4</v>
      </c>
      <c r="AP21" s="152">
        <f>Shares!E62</f>
        <v>10.1</v>
      </c>
      <c r="AQ21" s="152">
        <f>Shares!F62</f>
        <v>15.6</v>
      </c>
      <c r="AR21" s="152">
        <f>Shares!G62</f>
        <v>22.1</v>
      </c>
      <c r="AS21" s="152">
        <f>Shares!J62</f>
        <v>15.4</v>
      </c>
      <c r="AT21" s="152">
        <f>Shares!K62</f>
        <v>10.199999999999999</v>
      </c>
      <c r="AU21" s="152">
        <f>Shares!L62</f>
        <v>12.3</v>
      </c>
      <c r="AV21" s="152">
        <f>Shares!M62</f>
        <v>11.1</v>
      </c>
    </row>
    <row r="22" spans="1:48">
      <c r="A22" s="46">
        <f t="shared" si="27"/>
        <v>1992</v>
      </c>
      <c r="B22" s="141">
        <f t="shared" si="1"/>
        <v>0.12909109349357839</v>
      </c>
      <c r="C22" s="46"/>
      <c r="D22" s="46"/>
      <c r="E22" s="154">
        <f t="shared" si="11"/>
        <v>7.5675273578682412E-4</v>
      </c>
      <c r="F22" s="154">
        <f t="shared" si="12"/>
        <v>5.354599569916821E-3</v>
      </c>
      <c r="G22" s="154">
        <f t="shared" si="13"/>
        <v>1.2318877891400001E-2</v>
      </c>
      <c r="H22" s="154">
        <f t="shared" si="14"/>
        <v>2.040852627825622E-2</v>
      </c>
      <c r="I22" s="154">
        <f t="shared" si="15"/>
        <v>1.2846180889272142E-2</v>
      </c>
      <c r="J22" s="154">
        <f t="shared" si="16"/>
        <v>7.0745161469481866E-3</v>
      </c>
      <c r="K22" s="154">
        <f t="shared" si="17"/>
        <v>5.7860932352090068E-3</v>
      </c>
      <c r="L22" s="154">
        <f t="shared" si="18"/>
        <v>0</v>
      </c>
      <c r="M22" s="154"/>
      <c r="N22" s="158">
        <f t="shared" si="19"/>
        <v>1.7624550654383255E-2</v>
      </c>
      <c r="O22" s="158">
        <f t="shared" si="20"/>
        <v>8.1393139155363531E-2</v>
      </c>
      <c r="P22" s="158">
        <f t="shared" si="21"/>
        <v>0.20653874659036567</v>
      </c>
      <c r="Q22" s="158">
        <f t="shared" si="22"/>
        <v>0.41102518280971345</v>
      </c>
      <c r="R22" s="158">
        <f t="shared" si="23"/>
        <v>0.5721123694167094</v>
      </c>
      <c r="S22" s="158">
        <f t="shared" si="24"/>
        <v>0.68633937240361498</v>
      </c>
      <c r="T22" s="158">
        <f t="shared" si="25"/>
        <v>0.83292497890313455</v>
      </c>
      <c r="U22" s="158">
        <f t="shared" si="26"/>
        <v>1</v>
      </c>
      <c r="W22" s="158">
        <f t="shared" si="4"/>
        <v>3.7698412698412696E-2</v>
      </c>
      <c r="X22" s="158">
        <f t="shared" si="5"/>
        <v>0.13591269841269843</v>
      </c>
      <c r="Y22" s="158">
        <f t="shared" si="6"/>
        <v>0.28769841269841273</v>
      </c>
      <c r="Z22" s="158">
        <f t="shared" si="7"/>
        <v>0.50496031746031744</v>
      </c>
      <c r="AA22" s="158">
        <f t="shared" si="8"/>
        <v>0.65674603174603174</v>
      </c>
      <c r="AB22" s="158">
        <f t="shared" si="9"/>
        <v>0.75694444444444442</v>
      </c>
      <c r="AC22" s="158">
        <f t="shared" si="10"/>
        <v>0.87996031746031744</v>
      </c>
      <c r="AD22" s="158">
        <v>1</v>
      </c>
      <c r="AE22" s="143"/>
      <c r="AF22" s="143">
        <f>'3-Kak'!AQ22</f>
        <v>1.7624550654383252E-2</v>
      </c>
      <c r="AG22" s="143">
        <f>'3-Kak'!AR22</f>
        <v>6.3768588500980258E-2</v>
      </c>
      <c r="AH22" s="143">
        <f>'3-Kak'!AS22</f>
        <v>0.12514560743500211</v>
      </c>
      <c r="AI22" s="143">
        <f>'3-Kak'!AT22</f>
        <v>0.20448643621934773</v>
      </c>
      <c r="AJ22" s="143">
        <f>'3-Kak'!AU22</f>
        <v>0.16108718660699595</v>
      </c>
      <c r="AK22" s="143">
        <f>'3-Kak'!AV22</f>
        <v>0.11422700298690558</v>
      </c>
      <c r="AL22" s="143">
        <f>'3-Kak'!AW22</f>
        <v>0.1465856064995196</v>
      </c>
      <c r="AM22" s="143">
        <f>'3-Kak'!AX22</f>
        <v>0.16707502109686539</v>
      </c>
      <c r="AN22" s="46"/>
      <c r="AO22" s="152">
        <f>Shares!D63</f>
        <v>3.8</v>
      </c>
      <c r="AP22" s="152">
        <f>Shares!E63</f>
        <v>9.9</v>
      </c>
      <c r="AQ22" s="152">
        <f>Shares!F63</f>
        <v>15.3</v>
      </c>
      <c r="AR22" s="152">
        <f>Shares!G63</f>
        <v>21.9</v>
      </c>
      <c r="AS22" s="152">
        <f>Shares!J63</f>
        <v>15.3</v>
      </c>
      <c r="AT22" s="152">
        <f>Shares!K63</f>
        <v>10.1</v>
      </c>
      <c r="AU22" s="152">
        <f>Shares!L63</f>
        <v>12.4</v>
      </c>
      <c r="AV22" s="152">
        <f>Shares!M63</f>
        <v>12.1</v>
      </c>
    </row>
    <row r="23" spans="1:48">
      <c r="A23" s="46">
        <f t="shared" si="27"/>
        <v>1993</v>
      </c>
      <c r="B23" s="141">
        <f t="shared" si="1"/>
        <v>0.1446353342299154</v>
      </c>
      <c r="C23" s="46"/>
      <c r="D23" s="46"/>
      <c r="E23" s="154">
        <f t="shared" si="11"/>
        <v>7.7804842453304548E-4</v>
      </c>
      <c r="F23" s="154">
        <f t="shared" si="12"/>
        <v>5.6998081422814789E-3</v>
      </c>
      <c r="G23" s="154">
        <f t="shared" si="13"/>
        <v>1.3219127726053936E-2</v>
      </c>
      <c r="H23" s="154">
        <f t="shared" si="14"/>
        <v>2.2384682929481758E-2</v>
      </c>
      <c r="I23" s="154">
        <f t="shared" si="15"/>
        <v>1.4592078420177559E-2</v>
      </c>
      <c r="J23" s="154">
        <f t="shared" si="16"/>
        <v>8.4440285896406446E-3</v>
      </c>
      <c r="K23" s="154">
        <f t="shared" si="17"/>
        <v>7.1998928827892751E-3</v>
      </c>
      <c r="L23" s="154">
        <f t="shared" si="18"/>
        <v>0</v>
      </c>
      <c r="M23" s="154"/>
      <c r="N23" s="158">
        <f t="shared" si="19"/>
        <v>1.7059654489746636E-2</v>
      </c>
      <c r="O23" s="158">
        <f t="shared" si="20"/>
        <v>7.9450695830564577E-2</v>
      </c>
      <c r="P23" s="158">
        <f t="shared" si="21"/>
        <v>0.20159975234823846</v>
      </c>
      <c r="Q23" s="158">
        <f t="shared" si="22"/>
        <v>0.40438189720390982</v>
      </c>
      <c r="R23" s="158">
        <f t="shared" si="23"/>
        <v>0.56421043619924183</v>
      </c>
      <c r="S23" s="158">
        <f t="shared" si="24"/>
        <v>0.67746582764448493</v>
      </c>
      <c r="T23" s="158">
        <f t="shared" si="25"/>
        <v>0.82540040992976826</v>
      </c>
      <c r="U23" s="158">
        <f t="shared" si="26"/>
        <v>1</v>
      </c>
      <c r="W23" s="158">
        <f t="shared" si="4"/>
        <v>3.7698412698412689E-2</v>
      </c>
      <c r="X23" s="158">
        <f t="shared" si="5"/>
        <v>0.13690476190476189</v>
      </c>
      <c r="Y23" s="158">
        <f t="shared" si="6"/>
        <v>0.28869047619047616</v>
      </c>
      <c r="Z23" s="158">
        <f t="shared" si="7"/>
        <v>0.50694444444444442</v>
      </c>
      <c r="AA23" s="158">
        <f t="shared" si="8"/>
        <v>0.65972222222222221</v>
      </c>
      <c r="AB23" s="158">
        <f t="shared" si="9"/>
        <v>0.76091269841269837</v>
      </c>
      <c r="AC23" s="158">
        <f t="shared" si="10"/>
        <v>0.8839285714285714</v>
      </c>
      <c r="AD23" s="158">
        <v>1</v>
      </c>
      <c r="AE23" s="143"/>
      <c r="AF23" s="143">
        <f>'3-Kak'!AQ23</f>
        <v>1.7059654489746636E-2</v>
      </c>
      <c r="AG23" s="143">
        <f>'3-Kak'!AR23</f>
        <v>6.2391041340817938E-2</v>
      </c>
      <c r="AH23" s="143">
        <f>'3-Kak'!AS23</f>
        <v>0.12214905651767388</v>
      </c>
      <c r="AI23" s="143">
        <f>'3-Kak'!AT23</f>
        <v>0.20278214485567134</v>
      </c>
      <c r="AJ23" s="143">
        <f>'3-Kak'!AU23</f>
        <v>0.15982853899533203</v>
      </c>
      <c r="AK23" s="143">
        <f>'3-Kak'!AV23</f>
        <v>0.11325539144524314</v>
      </c>
      <c r="AL23" s="143">
        <f>'3-Kak'!AW23</f>
        <v>0.14793458228528336</v>
      </c>
      <c r="AM23" s="143">
        <f>'3-Kak'!AX23</f>
        <v>0.17459959007023182</v>
      </c>
      <c r="AN23" s="46"/>
      <c r="AO23" s="152">
        <f>Shares!D64</f>
        <v>3.8</v>
      </c>
      <c r="AP23" s="152">
        <f>Shares!E64</f>
        <v>10</v>
      </c>
      <c r="AQ23" s="152">
        <f>Shares!F64</f>
        <v>15.3</v>
      </c>
      <c r="AR23" s="152">
        <f>Shares!G64</f>
        <v>22</v>
      </c>
      <c r="AS23" s="152">
        <f>Shares!J64</f>
        <v>15.4</v>
      </c>
      <c r="AT23" s="152">
        <f>Shares!K64</f>
        <v>10.199999999999999</v>
      </c>
      <c r="AU23" s="152">
        <f>Shares!L64</f>
        <v>12.4</v>
      </c>
      <c r="AV23" s="152">
        <f>Shares!M64</f>
        <v>11.7</v>
      </c>
    </row>
    <row r="24" spans="1:48">
      <c r="A24" s="46">
        <f t="shared" si="27"/>
        <v>1994</v>
      </c>
      <c r="B24" s="141">
        <f t="shared" si="1"/>
        <v>0.1523729253586418</v>
      </c>
      <c r="C24" s="46"/>
      <c r="D24" s="46"/>
      <c r="E24" s="154">
        <f t="shared" si="11"/>
        <v>8.4788278865149968E-4</v>
      </c>
      <c r="F24" s="154">
        <f t="shared" si="12"/>
        <v>6.0624286769638382E-3</v>
      </c>
      <c r="G24" s="154">
        <f t="shared" si="13"/>
        <v>1.3974972290145372E-2</v>
      </c>
      <c r="H24" s="154">
        <f t="shared" si="14"/>
        <v>2.3378269705350865E-2</v>
      </c>
      <c r="I24" s="154">
        <f t="shared" si="15"/>
        <v>1.546649149561995E-2</v>
      </c>
      <c r="J24" s="154">
        <f t="shared" si="16"/>
        <v>8.9350732559042908E-3</v>
      </c>
      <c r="K24" s="154">
        <f t="shared" si="17"/>
        <v>7.5213444666851247E-3</v>
      </c>
      <c r="L24" s="154">
        <f t="shared" si="18"/>
        <v>-2.6019129474829914E-17</v>
      </c>
      <c r="M24" s="154"/>
      <c r="N24" s="158">
        <f t="shared" si="19"/>
        <v>1.3666639095271884E-2</v>
      </c>
      <c r="O24" s="158">
        <f t="shared" si="20"/>
        <v>7.3389307800482417E-2</v>
      </c>
      <c r="P24" s="158">
        <f t="shared" si="21"/>
        <v>0.19501199657398455</v>
      </c>
      <c r="Q24" s="158">
        <f t="shared" si="22"/>
        <v>0.39845305129348491</v>
      </c>
      <c r="R24" s="158">
        <f t="shared" si="23"/>
        <v>0.55725647587251625</v>
      </c>
      <c r="S24" s="158">
        <f t="shared" si="24"/>
        <v>0.6714702757162947</v>
      </c>
      <c r="T24" s="158">
        <f t="shared" si="25"/>
        <v>0.82173966240271645</v>
      </c>
      <c r="U24" s="158">
        <f t="shared" si="26"/>
        <v>1.0000000000000002</v>
      </c>
      <c r="W24" s="158">
        <f t="shared" si="4"/>
        <v>3.6742800397219458E-2</v>
      </c>
      <c r="X24" s="158">
        <f t="shared" si="5"/>
        <v>0.13505461767626611</v>
      </c>
      <c r="Y24" s="158">
        <f t="shared" si="6"/>
        <v>0.28699106256206552</v>
      </c>
      <c r="Z24" s="158">
        <f t="shared" si="7"/>
        <v>0.50546176762661366</v>
      </c>
      <c r="AA24" s="158">
        <f t="shared" si="8"/>
        <v>0.65839126117179736</v>
      </c>
      <c r="AB24" s="158">
        <f t="shared" si="9"/>
        <v>0.75968222442899691</v>
      </c>
      <c r="AC24" s="158">
        <f t="shared" si="10"/>
        <v>0.88282025819265131</v>
      </c>
      <c r="AD24" s="158">
        <v>1</v>
      </c>
      <c r="AE24" s="143"/>
      <c r="AF24" s="143">
        <f>'3-Kak'!AQ24</f>
        <v>1.366663909527188E-2</v>
      </c>
      <c r="AG24" s="143">
        <f>'3-Kak'!AR24</f>
        <v>5.9722668705210515E-2</v>
      </c>
      <c r="AH24" s="143">
        <f>'3-Kak'!AS24</f>
        <v>0.12162268877350212</v>
      </c>
      <c r="AI24" s="143">
        <f>'3-Kak'!AT24</f>
        <v>0.2034410547195003</v>
      </c>
      <c r="AJ24" s="143">
        <f>'3-Kak'!AU24</f>
        <v>0.15880342457903132</v>
      </c>
      <c r="AK24" s="143">
        <f>'3-Kak'!AV24</f>
        <v>0.11421379984377839</v>
      </c>
      <c r="AL24" s="143">
        <f>'3-Kak'!AW24</f>
        <v>0.15026938668642167</v>
      </c>
      <c r="AM24" s="143">
        <f>'3-Kak'!AX24</f>
        <v>0.17826033759728371</v>
      </c>
      <c r="AN24" s="46"/>
      <c r="AO24" s="152">
        <f>Shares!D65</f>
        <v>3.7</v>
      </c>
      <c r="AP24" s="152">
        <f>Shares!E65</f>
        <v>9.9</v>
      </c>
      <c r="AQ24" s="152">
        <f>Shares!F65</f>
        <v>15.3</v>
      </c>
      <c r="AR24" s="152">
        <f>Shares!G65</f>
        <v>22</v>
      </c>
      <c r="AS24" s="152">
        <f>Shares!J65</f>
        <v>15.4</v>
      </c>
      <c r="AT24" s="152">
        <f>Shares!K65</f>
        <v>10.199999999999999</v>
      </c>
      <c r="AU24" s="152">
        <f>Shares!L65</f>
        <v>12.4</v>
      </c>
      <c r="AV24" s="152">
        <f>Shares!M65</f>
        <v>11.8</v>
      </c>
    </row>
    <row r="25" spans="1:48">
      <c r="A25" s="46">
        <f t="shared" si="27"/>
        <v>1995</v>
      </c>
      <c r="B25" s="141">
        <f t="shared" si="1"/>
        <v>0.16064086300385927</v>
      </c>
      <c r="C25" s="46"/>
      <c r="D25" s="46"/>
      <c r="E25" s="154">
        <f t="shared" si="11"/>
        <v>1.0451638861421631E-3</v>
      </c>
      <c r="F25" s="154">
        <f t="shared" si="12"/>
        <v>6.3383127436687841E-3</v>
      </c>
      <c r="G25" s="154">
        <f t="shared" si="13"/>
        <v>1.4397458369568752E-2</v>
      </c>
      <c r="H25" s="154">
        <f t="shared" si="14"/>
        <v>2.4432301137756147E-2</v>
      </c>
      <c r="I25" s="154">
        <f t="shared" si="15"/>
        <v>1.6251090584752201E-2</v>
      </c>
      <c r="J25" s="154">
        <f t="shared" si="16"/>
        <v>9.5607804576735324E-3</v>
      </c>
      <c r="K25" s="154">
        <f t="shared" si="17"/>
        <v>8.2953243223680608E-3</v>
      </c>
      <c r="L25" s="154">
        <f t="shared" si="18"/>
        <v>0</v>
      </c>
      <c r="M25" s="154"/>
      <c r="N25" s="158">
        <f t="shared" si="19"/>
        <v>1.3278952072163045E-2</v>
      </c>
      <c r="O25" s="158">
        <f t="shared" si="20"/>
        <v>7.3160587276260541E-2</v>
      </c>
      <c r="P25" s="158">
        <f t="shared" si="21"/>
        <v>0.19120774739694452</v>
      </c>
      <c r="Q25" s="158">
        <f t="shared" si="22"/>
        <v>0.38887312996566425</v>
      </c>
      <c r="R25" s="158">
        <f t="shared" si="23"/>
        <v>0.54524459761087651</v>
      </c>
      <c r="S25" s="158">
        <f t="shared" si="24"/>
        <v>0.65963535116181116</v>
      </c>
      <c r="T25" s="158">
        <f t="shared" si="25"/>
        <v>0.81113726793704022</v>
      </c>
      <c r="U25" s="158">
        <f t="shared" si="26"/>
        <v>1</v>
      </c>
      <c r="W25" s="158">
        <f t="shared" si="4"/>
        <v>3.9643211100099107E-2</v>
      </c>
      <c r="X25" s="158">
        <f t="shared" si="5"/>
        <v>0.1377601585728444</v>
      </c>
      <c r="Y25" s="158">
        <f t="shared" si="6"/>
        <v>0.28741328047571851</v>
      </c>
      <c r="Z25" s="158">
        <f t="shared" si="7"/>
        <v>0.50247770069375619</v>
      </c>
      <c r="AA25" s="158">
        <f t="shared" si="8"/>
        <v>0.65312190287413285</v>
      </c>
      <c r="AB25" s="158">
        <f t="shared" si="9"/>
        <v>0.75421209117938559</v>
      </c>
      <c r="AC25" s="158">
        <f t="shared" si="10"/>
        <v>0.87809712586719524</v>
      </c>
      <c r="AD25" s="158">
        <v>1</v>
      </c>
      <c r="AE25" s="143"/>
      <c r="AF25" s="143">
        <f>'3-Kak'!AQ25</f>
        <v>1.3278952072163045E-2</v>
      </c>
      <c r="AG25" s="143">
        <f>'3-Kak'!AR25</f>
        <v>5.9881635204097491E-2</v>
      </c>
      <c r="AH25" s="143">
        <f>'3-Kak'!AS25</f>
        <v>0.11804716012068399</v>
      </c>
      <c r="AI25" s="143">
        <f>'3-Kak'!AT25</f>
        <v>0.19766538256871974</v>
      </c>
      <c r="AJ25" s="143">
        <f>'3-Kak'!AU25</f>
        <v>0.15637146764521223</v>
      </c>
      <c r="AK25" s="143">
        <f>'3-Kak'!AV25</f>
        <v>0.11439075355093468</v>
      </c>
      <c r="AL25" s="143">
        <f>'3-Kak'!AW25</f>
        <v>0.15150191677522903</v>
      </c>
      <c r="AM25" s="143">
        <f>'3-Kak'!AX25</f>
        <v>0.18886273206295973</v>
      </c>
      <c r="AN25" s="46"/>
      <c r="AO25" s="152">
        <f>Shares!D66</f>
        <v>4</v>
      </c>
      <c r="AP25" s="152">
        <f>Shares!E66</f>
        <v>9.9</v>
      </c>
      <c r="AQ25" s="152">
        <f>Shares!F66</f>
        <v>15.1</v>
      </c>
      <c r="AR25" s="152">
        <f>Shares!G66</f>
        <v>21.7</v>
      </c>
      <c r="AS25" s="152">
        <f>Shares!J66</f>
        <v>15.2</v>
      </c>
      <c r="AT25" s="152">
        <f>Shares!K66</f>
        <v>10.199999999999999</v>
      </c>
      <c r="AU25" s="152">
        <f>Shares!L66</f>
        <v>12.5</v>
      </c>
      <c r="AV25" s="152">
        <f>Shares!M66</f>
        <v>12.3</v>
      </c>
    </row>
    <row r="26" spans="1:48">
      <c r="A26" s="46">
        <f t="shared" si="27"/>
        <v>1996</v>
      </c>
      <c r="B26" s="141">
        <f t="shared" si="1"/>
        <v>0.16804179233999467</v>
      </c>
      <c r="C26" s="46"/>
      <c r="D26" s="46"/>
      <c r="E26" s="154">
        <f t="shared" si="11"/>
        <v>1.0053429293354857E-3</v>
      </c>
      <c r="F26" s="154">
        <f t="shared" si="12"/>
        <v>6.2058486864168738E-3</v>
      </c>
      <c r="G26" s="154">
        <f t="shared" si="13"/>
        <v>1.4234431826429535E-2</v>
      </c>
      <c r="H26" s="154">
        <f t="shared" si="14"/>
        <v>2.4914514103486263E-2</v>
      </c>
      <c r="I26" s="154">
        <f t="shared" si="15"/>
        <v>1.7197293111683099E-2</v>
      </c>
      <c r="J26" s="154">
        <f t="shared" si="16"/>
        <v>1.0580982447291732E-2</v>
      </c>
      <c r="K26" s="154">
        <f t="shared" si="17"/>
        <v>9.8824830653543427E-3</v>
      </c>
      <c r="L26" s="154">
        <f t="shared" si="18"/>
        <v>0</v>
      </c>
      <c r="M26" s="154"/>
      <c r="N26" s="158">
        <f t="shared" si="19"/>
        <v>1.1094261429213407E-2</v>
      </c>
      <c r="O26" s="158">
        <f t="shared" si="20"/>
        <v>6.7971753407270533E-2</v>
      </c>
      <c r="P26" s="158">
        <f t="shared" si="21"/>
        <v>0.18153597363247037</v>
      </c>
      <c r="Q26" s="158">
        <f t="shared" si="22"/>
        <v>0.37277770110575204</v>
      </c>
      <c r="R26" s="158">
        <f t="shared" si="23"/>
        <v>0.52407217555372976</v>
      </c>
      <c r="S26" s="158">
        <f t="shared" si="24"/>
        <v>0.63432571337573895</v>
      </c>
      <c r="T26" s="158">
        <f t="shared" si="25"/>
        <v>0.78596395020617982</v>
      </c>
      <c r="U26" s="158">
        <f t="shared" si="26"/>
        <v>1</v>
      </c>
      <c r="W26" s="158">
        <f t="shared" si="4"/>
        <v>3.7735849056603779E-2</v>
      </c>
      <c r="X26" s="158">
        <f t="shared" si="5"/>
        <v>0.13306852035749753</v>
      </c>
      <c r="Y26" s="158">
        <f t="shared" si="6"/>
        <v>0.27904667328699106</v>
      </c>
      <c r="Z26" s="158">
        <f t="shared" si="7"/>
        <v>0.49056603773584906</v>
      </c>
      <c r="AA26" s="158">
        <f t="shared" si="8"/>
        <v>0.63952333664349559</v>
      </c>
      <c r="AB26" s="158">
        <f t="shared" si="9"/>
        <v>0.73982125124131093</v>
      </c>
      <c r="AC26" s="158">
        <f t="shared" si="10"/>
        <v>0.86494538232373397</v>
      </c>
      <c r="AD26" s="158">
        <v>1</v>
      </c>
      <c r="AE26" s="143"/>
      <c r="AF26" s="143">
        <f>'3-Kak'!AQ26</f>
        <v>1.1094261429213407E-2</v>
      </c>
      <c r="AG26" s="143">
        <f>'3-Kak'!AR26</f>
        <v>5.6877491978057131E-2</v>
      </c>
      <c r="AH26" s="143">
        <f>'3-Kak'!AS26</f>
        <v>0.11356422022519984</v>
      </c>
      <c r="AI26" s="143">
        <f>'3-Kak'!AT26</f>
        <v>0.19124172747328166</v>
      </c>
      <c r="AJ26" s="143">
        <f>'3-Kak'!AU26</f>
        <v>0.15129447444797775</v>
      </c>
      <c r="AK26" s="143">
        <f>'3-Kak'!AV26</f>
        <v>0.11025353782200915</v>
      </c>
      <c r="AL26" s="143">
        <f>'3-Kak'!AW26</f>
        <v>0.15163823683044086</v>
      </c>
      <c r="AM26" s="143">
        <f>'3-Kak'!AX26</f>
        <v>0.21403604979382024</v>
      </c>
      <c r="AN26" s="46"/>
      <c r="AO26" s="152">
        <f>Shares!D67</f>
        <v>3.8</v>
      </c>
      <c r="AP26" s="152">
        <f>Shares!E67</f>
        <v>9.6</v>
      </c>
      <c r="AQ26" s="152">
        <f>Shares!F67</f>
        <v>14.7</v>
      </c>
      <c r="AR26" s="152">
        <f>Shares!G67</f>
        <v>21.3</v>
      </c>
      <c r="AS26" s="152">
        <f>Shares!J67</f>
        <v>15</v>
      </c>
      <c r="AT26" s="152">
        <f>Shares!K67</f>
        <v>10.1</v>
      </c>
      <c r="AU26" s="152">
        <f>Shares!L67</f>
        <v>12.6</v>
      </c>
      <c r="AV26" s="152">
        <f>Shares!M67</f>
        <v>13.6</v>
      </c>
    </row>
    <row r="27" spans="1:48">
      <c r="A27" s="46">
        <f t="shared" si="27"/>
        <v>1997</v>
      </c>
      <c r="B27" s="141">
        <f t="shared" si="1"/>
        <v>0.14942555733749935</v>
      </c>
      <c r="C27" s="46"/>
      <c r="D27" s="46"/>
      <c r="E27" s="154">
        <f t="shared" si="11"/>
        <v>1.0426101479212018E-3</v>
      </c>
      <c r="F27" s="154">
        <f t="shared" si="12"/>
        <v>5.7766716327430218E-3</v>
      </c>
      <c r="G27" s="154">
        <f t="shared" si="13"/>
        <v>1.3118349119328543E-2</v>
      </c>
      <c r="H27" s="154">
        <f t="shared" si="14"/>
        <v>2.2465735781587434E-2</v>
      </c>
      <c r="I27" s="154">
        <f t="shared" si="15"/>
        <v>1.5261835279449576E-2</v>
      </c>
      <c r="J27" s="154">
        <f t="shared" si="16"/>
        <v>9.189317727586634E-3</v>
      </c>
      <c r="K27" s="154">
        <f t="shared" si="17"/>
        <v>7.8582589801332644E-3</v>
      </c>
      <c r="L27" s="154">
        <f t="shared" si="18"/>
        <v>0</v>
      </c>
      <c r="M27" s="154"/>
      <c r="N27" s="158">
        <f t="shared" si="19"/>
        <v>1.1808169024791915E-2</v>
      </c>
      <c r="O27" s="158">
        <f t="shared" si="20"/>
        <v>6.8532871058382391E-2</v>
      </c>
      <c r="P27" s="158">
        <f t="shared" si="21"/>
        <v>0.18234408580143163</v>
      </c>
      <c r="Q27" s="158">
        <f t="shared" si="22"/>
        <v>0.37035266706204889</v>
      </c>
      <c r="R27" s="158">
        <f t="shared" si="23"/>
        <v>0.52446132906373122</v>
      </c>
      <c r="S27" s="158">
        <f t="shared" si="24"/>
        <v>0.63628444008434526</v>
      </c>
      <c r="T27" s="158">
        <f t="shared" si="25"/>
        <v>0.79171265972409544</v>
      </c>
      <c r="U27" s="158">
        <f t="shared" si="26"/>
        <v>1</v>
      </c>
      <c r="W27" s="158">
        <f t="shared" si="4"/>
        <v>3.872889771598808E-2</v>
      </c>
      <c r="X27" s="158">
        <f t="shared" si="5"/>
        <v>0.13108242303872888</v>
      </c>
      <c r="Y27" s="158">
        <f t="shared" si="6"/>
        <v>0.27408142999006946</v>
      </c>
      <c r="Z27" s="158">
        <f t="shared" si="7"/>
        <v>0.47964250248262158</v>
      </c>
      <c r="AA27" s="158">
        <f t="shared" si="8"/>
        <v>0.62760675273088373</v>
      </c>
      <c r="AB27" s="158">
        <f t="shared" si="9"/>
        <v>0.72790466732869907</v>
      </c>
      <c r="AC27" s="158">
        <f t="shared" si="10"/>
        <v>0.85402184707050643</v>
      </c>
      <c r="AD27" s="158">
        <v>1</v>
      </c>
      <c r="AE27" s="143"/>
      <c r="AF27" s="143">
        <f>'3-Kak'!AQ27</f>
        <v>1.1808169024791915E-2</v>
      </c>
      <c r="AG27" s="143">
        <f>'3-Kak'!AR27</f>
        <v>5.6724702033590479E-2</v>
      </c>
      <c r="AH27" s="143">
        <f>'3-Kak'!AS27</f>
        <v>0.11381121474304924</v>
      </c>
      <c r="AI27" s="143">
        <f>'3-Kak'!AT27</f>
        <v>0.18800858126061726</v>
      </c>
      <c r="AJ27" s="143">
        <f>'3-Kak'!AU27</f>
        <v>0.15410866200168236</v>
      </c>
      <c r="AK27" s="143">
        <f>'3-Kak'!AV27</f>
        <v>0.11182311102061401</v>
      </c>
      <c r="AL27" s="143">
        <f>'3-Kak'!AW27</f>
        <v>0.15542821963975018</v>
      </c>
      <c r="AM27" s="143">
        <f>'3-Kak'!AX27</f>
        <v>0.20828734027590454</v>
      </c>
      <c r="AN27" s="46"/>
      <c r="AO27" s="152">
        <f>Shares!D68</f>
        <v>3.9</v>
      </c>
      <c r="AP27" s="152">
        <f>Shares!E68</f>
        <v>9.3000000000000007</v>
      </c>
      <c r="AQ27" s="152">
        <f>Shares!F68</f>
        <v>14.4</v>
      </c>
      <c r="AR27" s="152">
        <f>Shares!G68</f>
        <v>20.7</v>
      </c>
      <c r="AS27" s="152">
        <f>Shares!J68</f>
        <v>14.9</v>
      </c>
      <c r="AT27" s="152">
        <f>Shares!K68</f>
        <v>10.1</v>
      </c>
      <c r="AU27" s="152">
        <f>Shares!L68</f>
        <v>12.7</v>
      </c>
      <c r="AV27" s="152">
        <f>Shares!M68</f>
        <v>14.7</v>
      </c>
    </row>
    <row r="28" spans="1:48">
      <c r="A28" s="46">
        <f t="shared" si="27"/>
        <v>1998</v>
      </c>
      <c r="B28" s="141">
        <f t="shared" si="1"/>
        <v>0.14915933063786541</v>
      </c>
      <c r="C28" s="46"/>
      <c r="D28" s="46"/>
      <c r="E28" s="154">
        <f t="shared" si="11"/>
        <v>1.0959988013993674E-3</v>
      </c>
      <c r="F28" s="154">
        <f t="shared" si="12"/>
        <v>5.7480620694422644E-3</v>
      </c>
      <c r="G28" s="154">
        <f t="shared" si="13"/>
        <v>1.3367810678664452E-2</v>
      </c>
      <c r="H28" s="154">
        <f t="shared" si="14"/>
        <v>2.2564495579883059E-2</v>
      </c>
      <c r="I28" s="154">
        <f t="shared" si="15"/>
        <v>1.5100147786834692E-2</v>
      </c>
      <c r="J28" s="154">
        <f t="shared" si="16"/>
        <v>8.9501297320856085E-3</v>
      </c>
      <c r="K28" s="154">
        <f t="shared" si="17"/>
        <v>7.7530206706232438E-3</v>
      </c>
      <c r="L28" s="154">
        <f t="shared" si="18"/>
        <v>0</v>
      </c>
      <c r="M28" s="154"/>
      <c r="N28" s="158">
        <f t="shared" si="19"/>
        <v>1.2130176550143323E-2</v>
      </c>
      <c r="O28" s="158">
        <f t="shared" si="20"/>
        <v>6.6481698511999976E-2</v>
      </c>
      <c r="P28" s="158">
        <f t="shared" si="21"/>
        <v>0.17630379560758491</v>
      </c>
      <c r="Q28" s="158">
        <f t="shared" si="22"/>
        <v>0.36383605406890873</v>
      </c>
      <c r="R28" s="158">
        <f t="shared" si="23"/>
        <v>0.51721426367068668</v>
      </c>
      <c r="S28" s="158">
        <f t="shared" si="24"/>
        <v>0.62983247165152267</v>
      </c>
      <c r="T28" s="158">
        <f t="shared" si="25"/>
        <v>0.78460271909214385</v>
      </c>
      <c r="U28" s="158">
        <f t="shared" si="26"/>
        <v>1</v>
      </c>
      <c r="W28" s="158">
        <f t="shared" si="4"/>
        <v>3.9721946375372394E-2</v>
      </c>
      <c r="X28" s="158">
        <f t="shared" si="5"/>
        <v>0.13008937437934459</v>
      </c>
      <c r="Y28" s="158">
        <f t="shared" si="6"/>
        <v>0.27110228401191661</v>
      </c>
      <c r="Z28" s="158">
        <f t="shared" si="7"/>
        <v>0.47467725918570014</v>
      </c>
      <c r="AA28" s="158">
        <f t="shared" si="8"/>
        <v>0.62065541211519371</v>
      </c>
      <c r="AB28" s="158">
        <f t="shared" si="9"/>
        <v>0.71996027805362472</v>
      </c>
      <c r="AC28" s="158">
        <f t="shared" si="10"/>
        <v>0.84607745779543209</v>
      </c>
      <c r="AD28" s="158">
        <v>1</v>
      </c>
      <c r="AE28" s="143"/>
      <c r="AF28" s="143">
        <f>'3-Kak'!AQ28</f>
        <v>1.2130176550143323E-2</v>
      </c>
      <c r="AG28" s="143">
        <f>'3-Kak'!AR28</f>
        <v>5.435152196185665E-2</v>
      </c>
      <c r="AH28" s="143">
        <f>'3-Kak'!AS28</f>
        <v>0.10982209709558494</v>
      </c>
      <c r="AI28" s="143">
        <f>'3-Kak'!AT28</f>
        <v>0.18753225846132379</v>
      </c>
      <c r="AJ28" s="143">
        <f>'3-Kak'!AU28</f>
        <v>0.15337820960177798</v>
      </c>
      <c r="AK28" s="143">
        <f>'3-Kak'!AV28</f>
        <v>0.11261820798083597</v>
      </c>
      <c r="AL28" s="143">
        <f>'3-Kak'!AW28</f>
        <v>0.15477024744062112</v>
      </c>
      <c r="AM28" s="143">
        <f>'3-Kak'!AX28</f>
        <v>0.21539728090785626</v>
      </c>
      <c r="AN28" s="46"/>
      <c r="AO28" s="152">
        <f>Shares!D69</f>
        <v>4</v>
      </c>
      <c r="AP28" s="152">
        <f>Shares!E69</f>
        <v>9.1</v>
      </c>
      <c r="AQ28" s="152">
        <f>Shares!F69</f>
        <v>14.2</v>
      </c>
      <c r="AR28" s="152">
        <f>Shares!G69</f>
        <v>20.5</v>
      </c>
      <c r="AS28" s="152">
        <f>Shares!J69</f>
        <v>14.7</v>
      </c>
      <c r="AT28" s="152">
        <f>Shares!K69</f>
        <v>10</v>
      </c>
      <c r="AU28" s="152">
        <f>Shares!L69</f>
        <v>12.7</v>
      </c>
      <c r="AV28" s="152">
        <f>Shares!M69</f>
        <v>15.5</v>
      </c>
    </row>
    <row r="29" spans="1:48">
      <c r="A29" s="46">
        <f t="shared" si="27"/>
        <v>1999</v>
      </c>
      <c r="B29" s="141">
        <f t="shared" si="1"/>
        <v>0.15770552896435902</v>
      </c>
      <c r="C29" s="46"/>
      <c r="D29" s="46"/>
      <c r="E29" s="154">
        <f t="shared" si="11"/>
        <v>1.0924116614954894E-3</v>
      </c>
      <c r="F29" s="154">
        <f t="shared" si="12"/>
        <v>5.5858509566541498E-3</v>
      </c>
      <c r="G29" s="154">
        <f t="shared" si="13"/>
        <v>1.3173272349217478E-2</v>
      </c>
      <c r="H29" s="154">
        <f t="shared" si="14"/>
        <v>2.3447756727231497E-2</v>
      </c>
      <c r="I29" s="154">
        <f t="shared" si="15"/>
        <v>1.6015749980407126E-2</v>
      </c>
      <c r="J29" s="154">
        <f t="shared" si="16"/>
        <v>9.9967804233390828E-3</v>
      </c>
      <c r="K29" s="154">
        <f t="shared" si="17"/>
        <v>9.5409423838346864E-3</v>
      </c>
      <c r="L29" s="154">
        <f t="shared" si="18"/>
        <v>0</v>
      </c>
      <c r="M29" s="154"/>
      <c r="N29" s="158">
        <f t="shared" si="19"/>
        <v>1.2287278124919246E-2</v>
      </c>
      <c r="O29" s="158">
        <f t="shared" si="20"/>
        <v>6.5091671780905094E-2</v>
      </c>
      <c r="P29" s="158">
        <f t="shared" si="21"/>
        <v>0.16937630841607848</v>
      </c>
      <c r="Q29" s="158">
        <f t="shared" si="22"/>
        <v>0.34942831167844196</v>
      </c>
      <c r="R29" s="158">
        <f t="shared" si="23"/>
        <v>0.49745612749080986</v>
      </c>
      <c r="S29" s="158">
        <f t="shared" si="24"/>
        <v>0.60617003361131794</v>
      </c>
      <c r="T29" s="158">
        <f t="shared" si="25"/>
        <v>0.76157953699225944</v>
      </c>
      <c r="U29" s="158">
        <f t="shared" si="26"/>
        <v>1</v>
      </c>
      <c r="W29" s="158">
        <f t="shared" si="4"/>
        <v>3.9761431411530809E-2</v>
      </c>
      <c r="X29" s="158">
        <f t="shared" si="5"/>
        <v>0.12823061630218685</v>
      </c>
      <c r="Y29" s="158">
        <f t="shared" si="6"/>
        <v>0.26540755467196819</v>
      </c>
      <c r="Z29" s="158">
        <f t="shared" si="7"/>
        <v>0.46620278330019882</v>
      </c>
      <c r="AA29" s="158">
        <f t="shared" si="8"/>
        <v>0.60934393638170969</v>
      </c>
      <c r="AB29" s="158">
        <f t="shared" si="9"/>
        <v>0.70775347912524844</v>
      </c>
      <c r="AC29" s="158">
        <f t="shared" si="10"/>
        <v>0.83598409542743535</v>
      </c>
      <c r="AD29" s="158">
        <v>1</v>
      </c>
      <c r="AE29" s="143"/>
      <c r="AF29" s="143">
        <f>'3-Kak'!AQ29</f>
        <v>1.2287278124919246E-2</v>
      </c>
      <c r="AG29" s="143">
        <f>'3-Kak'!AR29</f>
        <v>5.2804393655985854E-2</v>
      </c>
      <c r="AH29" s="143">
        <f>'3-Kak'!AS29</f>
        <v>0.10428463663517337</v>
      </c>
      <c r="AI29" s="143">
        <f>'3-Kak'!AT29</f>
        <v>0.18005200326236348</v>
      </c>
      <c r="AJ29" s="143">
        <f>'3-Kak'!AU29</f>
        <v>0.1480278158123679</v>
      </c>
      <c r="AK29" s="143">
        <f>'3-Kak'!AV29</f>
        <v>0.10871390612050806</v>
      </c>
      <c r="AL29" s="143">
        <f>'3-Kak'!AW29</f>
        <v>0.1554095033809415</v>
      </c>
      <c r="AM29" s="143">
        <f>'3-Kak'!AX29</f>
        <v>0.23842046300774061</v>
      </c>
      <c r="AN29" s="46"/>
      <c r="AO29" s="152">
        <f>Shares!D70</f>
        <v>4</v>
      </c>
      <c r="AP29" s="152">
        <f>Shares!E70</f>
        <v>8.9</v>
      </c>
      <c r="AQ29" s="152">
        <f>Shares!F70</f>
        <v>13.8</v>
      </c>
      <c r="AR29" s="152">
        <f>Shares!G70</f>
        <v>20.2</v>
      </c>
      <c r="AS29" s="152">
        <f>Shares!J70</f>
        <v>14.4</v>
      </c>
      <c r="AT29" s="152">
        <f>Shares!K70</f>
        <v>9.9</v>
      </c>
      <c r="AU29" s="152">
        <f>Shares!L70</f>
        <v>12.9</v>
      </c>
      <c r="AV29" s="152">
        <f>Shares!M70</f>
        <v>16.5</v>
      </c>
    </row>
    <row r="30" spans="1:48">
      <c r="A30" s="46">
        <f t="shared" si="27"/>
        <v>2000</v>
      </c>
      <c r="B30" s="141">
        <f t="shared" si="1"/>
        <v>0.154485907120056</v>
      </c>
      <c r="C30" s="46"/>
      <c r="D30" s="46"/>
      <c r="E30" s="154">
        <f t="shared" si="11"/>
        <v>1.0174314774562241E-3</v>
      </c>
      <c r="F30" s="154">
        <f t="shared" si="12"/>
        <v>5.4784473133024864E-3</v>
      </c>
      <c r="G30" s="154">
        <f t="shared" si="13"/>
        <v>1.2989189864016815E-2</v>
      </c>
      <c r="H30" s="154">
        <f t="shared" si="14"/>
        <v>2.2926273589177783E-2</v>
      </c>
      <c r="I30" s="154">
        <f t="shared" si="15"/>
        <v>1.5845994375810728E-2</v>
      </c>
      <c r="J30" s="154">
        <f t="shared" si="16"/>
        <v>9.8496031396587136E-3</v>
      </c>
      <c r="K30" s="154">
        <f t="shared" si="17"/>
        <v>9.1360138006052454E-3</v>
      </c>
      <c r="L30" s="154">
        <f t="shared" si="18"/>
        <v>0</v>
      </c>
      <c r="M30" s="154"/>
      <c r="N30" s="158">
        <f t="shared" si="19"/>
        <v>1.0838200200928965E-2</v>
      </c>
      <c r="O30" s="158">
        <f t="shared" si="20"/>
        <v>6.2619895341977719E-2</v>
      </c>
      <c r="P30" s="158">
        <f t="shared" si="21"/>
        <v>0.16435557425140246</v>
      </c>
      <c r="Q30" s="158">
        <f t="shared" si="22"/>
        <v>0.34235184761732551</v>
      </c>
      <c r="R30" s="158">
        <f t="shared" si="23"/>
        <v>0.48892159793603407</v>
      </c>
      <c r="S30" s="158">
        <f t="shared" si="24"/>
        <v>0.59670392985913445</v>
      </c>
      <c r="T30" s="158">
        <f t="shared" si="25"/>
        <v>0.75479699429231328</v>
      </c>
      <c r="U30" s="158">
        <f t="shared" si="26"/>
        <v>1</v>
      </c>
      <c r="W30" s="158">
        <f t="shared" si="4"/>
        <v>3.7773359840954271E-2</v>
      </c>
      <c r="X30" s="158">
        <f t="shared" si="5"/>
        <v>0.12524850894632206</v>
      </c>
      <c r="Y30" s="158">
        <f t="shared" si="6"/>
        <v>0.26043737574552683</v>
      </c>
      <c r="Z30" s="158">
        <f t="shared" si="7"/>
        <v>0.45825049701789261</v>
      </c>
      <c r="AA30" s="158">
        <f t="shared" si="8"/>
        <v>0.6003976143141152</v>
      </c>
      <c r="AB30" s="158">
        <f t="shared" si="9"/>
        <v>0.69781312127236572</v>
      </c>
      <c r="AC30" s="158">
        <f t="shared" si="10"/>
        <v>0.82604373757455263</v>
      </c>
      <c r="AD30" s="158">
        <v>1</v>
      </c>
      <c r="AE30" s="143"/>
      <c r="AF30" s="143">
        <f>'3-Kak'!AQ30</f>
        <v>1.0838200200928965E-2</v>
      </c>
      <c r="AG30" s="143">
        <f>'3-Kak'!AR30</f>
        <v>5.1781695141048759E-2</v>
      </c>
      <c r="AH30" s="143">
        <f>'3-Kak'!AS30</f>
        <v>0.10173567890942474</v>
      </c>
      <c r="AI30" s="143">
        <f>'3-Kak'!AT30</f>
        <v>0.17799627336592305</v>
      </c>
      <c r="AJ30" s="143">
        <f>'3-Kak'!AU30</f>
        <v>0.14656975031870859</v>
      </c>
      <c r="AK30" s="143">
        <f>'3-Kak'!AV30</f>
        <v>0.10778233192310038</v>
      </c>
      <c r="AL30" s="143">
        <f>'3-Kak'!AW30</f>
        <v>0.1580930644331788</v>
      </c>
      <c r="AM30" s="143">
        <f>'3-Kak'!AX30</f>
        <v>0.2452030057076868</v>
      </c>
      <c r="AN30" s="46"/>
      <c r="AO30" s="152">
        <f>Shares!D71</f>
        <v>3.8</v>
      </c>
      <c r="AP30" s="152">
        <f>Shares!E71</f>
        <v>8.8000000000000007</v>
      </c>
      <c r="AQ30" s="152">
        <f>Shares!F71</f>
        <v>13.6</v>
      </c>
      <c r="AR30" s="152">
        <f>Shares!G71</f>
        <v>19.899999999999999</v>
      </c>
      <c r="AS30" s="152">
        <f>Shares!J71</f>
        <v>14.3</v>
      </c>
      <c r="AT30" s="152">
        <f>Shares!K71</f>
        <v>9.8000000000000007</v>
      </c>
      <c r="AU30" s="152">
        <f>Shares!L71</f>
        <v>12.9</v>
      </c>
      <c r="AV30" s="152">
        <f>Shares!M71</f>
        <v>17.5</v>
      </c>
    </row>
    <row r="31" spans="1:48">
      <c r="A31" s="46">
        <f t="shared" si="27"/>
        <v>2001</v>
      </c>
      <c r="B31" s="141">
        <f t="shared" si="1"/>
        <v>0.1745798678657893</v>
      </c>
      <c r="C31" s="46"/>
      <c r="D31" s="46"/>
      <c r="E31" s="154">
        <f t="shared" si="11"/>
        <v>1.0726107846220025E-3</v>
      </c>
      <c r="F31" s="154">
        <f t="shared" si="12"/>
        <v>6.3511005244115447E-3</v>
      </c>
      <c r="G31" s="154">
        <f t="shared" si="13"/>
        <v>1.5304819360994126E-2</v>
      </c>
      <c r="H31" s="154">
        <f t="shared" si="14"/>
        <v>2.6999257793291875E-2</v>
      </c>
      <c r="I31" s="154">
        <f t="shared" si="15"/>
        <v>1.7766039837307658E-2</v>
      </c>
      <c r="J31" s="154">
        <f t="shared" si="16"/>
        <v>1.0654209509575479E-2</v>
      </c>
      <c r="K31" s="154">
        <f t="shared" si="17"/>
        <v>9.141896122691973E-3</v>
      </c>
      <c r="L31" s="154">
        <f t="shared" si="18"/>
        <v>0</v>
      </c>
      <c r="M31" s="154"/>
      <c r="N31" s="158">
        <f t="shared" si="19"/>
        <v>1.1099537951121154E-2</v>
      </c>
      <c r="O31" s="158">
        <f t="shared" si="20"/>
        <v>6.0770784312350216E-2</v>
      </c>
      <c r="P31" s="158">
        <f t="shared" si="21"/>
        <v>0.16469693609793656</v>
      </c>
      <c r="Q31" s="158">
        <f t="shared" si="22"/>
        <v>0.35177401846022943</v>
      </c>
      <c r="R31" s="158">
        <f t="shared" si="23"/>
        <v>0.50746956173237945</v>
      </c>
      <c r="S31" s="158">
        <f t="shared" si="24"/>
        <v>0.62250808441201577</v>
      </c>
      <c r="T31" s="158">
        <f t="shared" si="25"/>
        <v>0.78245544070674622</v>
      </c>
      <c r="U31" s="158">
        <f t="shared" si="26"/>
        <v>1</v>
      </c>
      <c r="W31" s="158">
        <f t="shared" si="4"/>
        <v>3.8767395626242547E-2</v>
      </c>
      <c r="X31" s="158">
        <f t="shared" si="5"/>
        <v>0.13021868787276342</v>
      </c>
      <c r="Y31" s="158">
        <f t="shared" si="6"/>
        <v>0.27236580516898612</v>
      </c>
      <c r="Z31" s="158">
        <f t="shared" si="7"/>
        <v>0.4811133200795229</v>
      </c>
      <c r="AA31" s="158">
        <f t="shared" si="8"/>
        <v>0.62823061630218691</v>
      </c>
      <c r="AB31" s="158">
        <f t="shared" si="9"/>
        <v>0.72862823061630222</v>
      </c>
      <c r="AC31" s="158">
        <f t="shared" si="10"/>
        <v>0.85487077534791256</v>
      </c>
      <c r="AD31" s="158">
        <v>1</v>
      </c>
      <c r="AE31" s="143"/>
      <c r="AF31" s="143">
        <f>'3-Kak'!AQ31</f>
        <v>1.1099537951121154E-2</v>
      </c>
      <c r="AG31" s="143">
        <f>'3-Kak'!AR31</f>
        <v>4.9671246361229063E-2</v>
      </c>
      <c r="AH31" s="143">
        <f>'3-Kak'!AS31</f>
        <v>0.10392615178558634</v>
      </c>
      <c r="AI31" s="143">
        <f>'3-Kak'!AT31</f>
        <v>0.18707708236229287</v>
      </c>
      <c r="AJ31" s="143">
        <f>'3-Kak'!AU31</f>
        <v>0.15569554327215002</v>
      </c>
      <c r="AK31" s="143">
        <f>'3-Kak'!AV31</f>
        <v>0.11503852267963637</v>
      </c>
      <c r="AL31" s="143">
        <f>'3-Kak'!AW31</f>
        <v>0.15994735629473045</v>
      </c>
      <c r="AM31" s="143">
        <f>'3-Kak'!AX31</f>
        <v>0.21754455929325386</v>
      </c>
      <c r="AN31" s="46"/>
      <c r="AO31" s="152">
        <f>Shares!D72</f>
        <v>3.9</v>
      </c>
      <c r="AP31" s="152">
        <f>Shares!E72</f>
        <v>9.1999999999999993</v>
      </c>
      <c r="AQ31" s="152">
        <f>Shares!F72</f>
        <v>14.3</v>
      </c>
      <c r="AR31" s="152">
        <f>Shares!G72</f>
        <v>21</v>
      </c>
      <c r="AS31" s="152">
        <f>Shares!J72</f>
        <v>14.8</v>
      </c>
      <c r="AT31" s="152">
        <f>Shares!K72</f>
        <v>10.1</v>
      </c>
      <c r="AU31" s="152">
        <f>Shares!L72</f>
        <v>12.7</v>
      </c>
      <c r="AV31" s="152">
        <f>Shares!M72</f>
        <v>14.6</v>
      </c>
    </row>
    <row r="32" spans="1:48">
      <c r="A32" s="46">
        <f t="shared" si="27"/>
        <v>2002</v>
      </c>
      <c r="B32" s="141">
        <f t="shared" si="1"/>
        <v>0.18193690867992041</v>
      </c>
      <c r="C32" s="46"/>
      <c r="D32" s="46"/>
      <c r="E32" s="154">
        <f t="shared" si="11"/>
        <v>1.1483201410222544E-3</v>
      </c>
      <c r="F32" s="154">
        <f t="shared" si="12"/>
        <v>6.7537617404041881E-3</v>
      </c>
      <c r="G32" s="154">
        <f t="shared" si="13"/>
        <v>1.6155553137219104E-2</v>
      </c>
      <c r="H32" s="154">
        <f t="shared" si="14"/>
        <v>2.8169102966952457E-2</v>
      </c>
      <c r="I32" s="154">
        <f t="shared" si="15"/>
        <v>1.855955152585784E-2</v>
      </c>
      <c r="J32" s="154">
        <f t="shared" si="16"/>
        <v>1.0959123199512729E-2</v>
      </c>
      <c r="K32" s="154">
        <f t="shared" si="17"/>
        <v>9.2230416289916361E-3</v>
      </c>
      <c r="L32" s="154">
        <f t="shared" si="18"/>
        <v>0</v>
      </c>
      <c r="M32" s="154"/>
      <c r="N32" s="158">
        <f t="shared" si="19"/>
        <v>1.0812986825137148E-2</v>
      </c>
      <c r="O32" s="158">
        <f t="shared" si="20"/>
        <v>6.0717051500188822E-2</v>
      </c>
      <c r="P32" s="158">
        <f t="shared" si="21"/>
        <v>0.16662456977021195</v>
      </c>
      <c r="Q32" s="158">
        <f t="shared" si="22"/>
        <v>0.35639793420453458</v>
      </c>
      <c r="R32" s="158">
        <f t="shared" si="23"/>
        <v>0.51575202282535759</v>
      </c>
      <c r="S32" s="158">
        <f t="shared" si="24"/>
        <v>0.63261981890158436</v>
      </c>
      <c r="T32" s="158">
        <f t="shared" si="25"/>
        <v>0.79536513048630431</v>
      </c>
      <c r="U32" s="158">
        <f t="shared" si="26"/>
        <v>1</v>
      </c>
      <c r="W32" s="158">
        <f t="shared" si="4"/>
        <v>3.9721946375372401E-2</v>
      </c>
      <c r="X32" s="158">
        <f t="shared" si="5"/>
        <v>0.13306852035749753</v>
      </c>
      <c r="Y32" s="158">
        <f t="shared" si="6"/>
        <v>0.27805362462760674</v>
      </c>
      <c r="Z32" s="158">
        <f t="shared" si="7"/>
        <v>0.48957298907646474</v>
      </c>
      <c r="AA32" s="158">
        <f t="shared" si="8"/>
        <v>0.63952333664349559</v>
      </c>
      <c r="AB32" s="158">
        <f t="shared" si="9"/>
        <v>0.74081429990069525</v>
      </c>
      <c r="AC32" s="158">
        <f t="shared" si="10"/>
        <v>0.86792452830188693</v>
      </c>
      <c r="AD32" s="158">
        <v>1</v>
      </c>
      <c r="AE32" s="143"/>
      <c r="AF32" s="143">
        <f>'3-Kak'!AQ32</f>
        <v>1.0812986825137148E-2</v>
      </c>
      <c r="AG32" s="143">
        <f>'3-Kak'!AR32</f>
        <v>4.9904064675051672E-2</v>
      </c>
      <c r="AH32" s="143">
        <f>'3-Kak'!AS32</f>
        <v>0.10590751827002312</v>
      </c>
      <c r="AI32" s="143">
        <f>'3-Kak'!AT32</f>
        <v>0.18977336443432263</v>
      </c>
      <c r="AJ32" s="143">
        <f>'3-Kak'!AU32</f>
        <v>0.15935408862082306</v>
      </c>
      <c r="AK32" s="143">
        <f>'3-Kak'!AV32</f>
        <v>0.11686779607622673</v>
      </c>
      <c r="AL32" s="143">
        <f>'3-Kak'!AW32</f>
        <v>0.16274531158471997</v>
      </c>
      <c r="AM32" s="143">
        <f>'3-Kak'!AX32</f>
        <v>0.20463486951369564</v>
      </c>
      <c r="AN32" s="46"/>
      <c r="AO32" s="152">
        <f>Shares!D73</f>
        <v>4</v>
      </c>
      <c r="AP32" s="152">
        <f>Shares!E73</f>
        <v>9.4</v>
      </c>
      <c r="AQ32" s="152">
        <f>Shares!F73</f>
        <v>14.6</v>
      </c>
      <c r="AR32" s="152">
        <f>Shares!G73</f>
        <v>21.3</v>
      </c>
      <c r="AS32" s="152">
        <f>Shares!J73</f>
        <v>15.1</v>
      </c>
      <c r="AT32" s="152">
        <f>Shares!K73</f>
        <v>10.199999999999999</v>
      </c>
      <c r="AU32" s="152">
        <f>Shares!L73</f>
        <v>12.8</v>
      </c>
      <c r="AV32" s="152">
        <f>Shares!M73</f>
        <v>13.3</v>
      </c>
    </row>
    <row r="33" spans="1:48">
      <c r="A33" s="46">
        <f t="shared" si="27"/>
        <v>2003</v>
      </c>
      <c r="B33" s="141">
        <f t="shared" si="1"/>
        <v>0.17764873084532209</v>
      </c>
      <c r="C33" s="46"/>
      <c r="D33" s="46"/>
      <c r="E33" s="154">
        <f t="shared" si="11"/>
        <v>1.0641066019536881E-3</v>
      </c>
      <c r="F33" s="154">
        <f t="shared" si="12"/>
        <v>6.54528412121534E-3</v>
      </c>
      <c r="G33" s="154">
        <f t="shared" si="13"/>
        <v>1.5814180694223821E-2</v>
      </c>
      <c r="H33" s="154">
        <f t="shared" si="14"/>
        <v>2.7348815128816897E-2</v>
      </c>
      <c r="I33" s="154">
        <f t="shared" si="15"/>
        <v>1.8193005188444449E-2</v>
      </c>
      <c r="J33" s="154">
        <f t="shared" si="16"/>
        <v>1.0766428418117206E-2</v>
      </c>
      <c r="K33" s="154">
        <f t="shared" si="17"/>
        <v>9.0925452698896458E-3</v>
      </c>
      <c r="L33" s="154">
        <f t="shared" si="18"/>
        <v>0</v>
      </c>
      <c r="M33" s="154"/>
      <c r="N33" s="158">
        <f t="shared" si="19"/>
        <v>1.1187413247673179E-2</v>
      </c>
      <c r="O33" s="158">
        <f t="shared" si="20"/>
        <v>5.8246769697436307E-2</v>
      </c>
      <c r="P33" s="158">
        <f t="shared" si="21"/>
        <v>0.16211819545789363</v>
      </c>
      <c r="Q33" s="158">
        <f t="shared" si="22"/>
        <v>0.35149069766490731</v>
      </c>
      <c r="R33" s="158">
        <f t="shared" si="23"/>
        <v>0.51049709855072267</v>
      </c>
      <c r="S33" s="158">
        <f t="shared" si="24"/>
        <v>0.62673727509117416</v>
      </c>
      <c r="T33" s="158">
        <f t="shared" si="25"/>
        <v>0.7885152536186667</v>
      </c>
      <c r="U33" s="158">
        <f t="shared" si="26"/>
        <v>1</v>
      </c>
      <c r="W33" s="158">
        <f t="shared" si="4"/>
        <v>3.8690476190476192E-2</v>
      </c>
      <c r="X33" s="158">
        <f t="shared" si="5"/>
        <v>0.12996031746031744</v>
      </c>
      <c r="Y33" s="158">
        <f t="shared" si="6"/>
        <v>0.27281746031746035</v>
      </c>
      <c r="Z33" s="158">
        <f t="shared" si="7"/>
        <v>0.48214285714285721</v>
      </c>
      <c r="AA33" s="158">
        <f t="shared" si="8"/>
        <v>0.63194444444444453</v>
      </c>
      <c r="AB33" s="158">
        <f t="shared" si="9"/>
        <v>0.73313492063492069</v>
      </c>
      <c r="AC33" s="158">
        <f t="shared" si="10"/>
        <v>0.86011904761904767</v>
      </c>
      <c r="AD33" s="158">
        <v>1</v>
      </c>
      <c r="AE33" s="143"/>
      <c r="AF33" s="143">
        <f>'3-Kak'!AQ33</f>
        <v>1.1187413247673179E-2</v>
      </c>
      <c r="AG33" s="143">
        <f>'3-Kak'!AR33</f>
        <v>4.7059356449763126E-2</v>
      </c>
      <c r="AH33" s="143">
        <f>'3-Kak'!AS33</f>
        <v>0.10387142576045733</v>
      </c>
      <c r="AI33" s="143">
        <f>'3-Kak'!AT33</f>
        <v>0.18937250220701368</v>
      </c>
      <c r="AJ33" s="143">
        <f>'3-Kak'!AU33</f>
        <v>0.1590064008858153</v>
      </c>
      <c r="AK33" s="143">
        <f>'3-Kak'!AV33</f>
        <v>0.11624017654045152</v>
      </c>
      <c r="AL33" s="143">
        <f>'3-Kak'!AW33</f>
        <v>0.16177797852749251</v>
      </c>
      <c r="AM33" s="143">
        <f>'3-Kak'!AX33</f>
        <v>0.21148474638133333</v>
      </c>
      <c r="AN33" s="46"/>
      <c r="AO33" s="152">
        <f>Shares!D74</f>
        <v>3.9</v>
      </c>
      <c r="AP33" s="152">
        <f>Shares!E74</f>
        <v>9.1999999999999993</v>
      </c>
      <c r="AQ33" s="152">
        <f>Shares!F74</f>
        <v>14.4</v>
      </c>
      <c r="AR33" s="152">
        <f>Shares!G74</f>
        <v>21.1</v>
      </c>
      <c r="AS33" s="152">
        <f>Shares!J74</f>
        <v>15.1</v>
      </c>
      <c r="AT33" s="152">
        <f>Shares!K74</f>
        <v>10.199999999999999</v>
      </c>
      <c r="AU33" s="152">
        <f>Shares!L74</f>
        <v>12.8</v>
      </c>
      <c r="AV33" s="152">
        <f>Shares!M74</f>
        <v>14.1</v>
      </c>
    </row>
    <row r="34" spans="1:48">
      <c r="A34" s="46">
        <f t="shared" si="27"/>
        <v>2004</v>
      </c>
      <c r="B34" s="141">
        <f t="shared" si="1"/>
        <v>0.17240169618757828</v>
      </c>
      <c r="C34" s="46"/>
      <c r="D34" s="46"/>
      <c r="E34" s="154">
        <f t="shared" si="11"/>
        <v>1.0506029584130907E-3</v>
      </c>
      <c r="F34" s="154">
        <f t="shared" si="12"/>
        <v>6.3490348634324878E-3</v>
      </c>
      <c r="G34" s="154">
        <f t="shared" si="13"/>
        <v>1.509584029757172E-2</v>
      </c>
      <c r="H34" s="154">
        <f t="shared" si="14"/>
        <v>2.6242295984453438E-2</v>
      </c>
      <c r="I34" s="154">
        <f t="shared" si="15"/>
        <v>1.7756800938645491E-2</v>
      </c>
      <c r="J34" s="154">
        <f t="shared" si="16"/>
        <v>1.0608351451947346E-2</v>
      </c>
      <c r="K34" s="154">
        <f t="shared" si="17"/>
        <v>9.0979215993255685E-3</v>
      </c>
      <c r="L34" s="154">
        <f t="shared" si="18"/>
        <v>0</v>
      </c>
      <c r="M34" s="154"/>
      <c r="N34" s="158">
        <f t="shared" si="19"/>
        <v>9.8948706586568669E-3</v>
      </c>
      <c r="O34" s="158">
        <f t="shared" si="20"/>
        <v>5.6071582762563722E-2</v>
      </c>
      <c r="P34" s="158">
        <f t="shared" si="21"/>
        <v>0.15755481800317553</v>
      </c>
      <c r="Q34" s="158">
        <f t="shared" si="22"/>
        <v>0.34080473756514629</v>
      </c>
      <c r="R34" s="158">
        <f t="shared" si="23"/>
        <v>0.49405004266034008</v>
      </c>
      <c r="S34" s="158">
        <f t="shared" si="24"/>
        <v>0.60816893563559338</v>
      </c>
      <c r="T34" s="158">
        <f t="shared" si="25"/>
        <v>0.76897357630543295</v>
      </c>
      <c r="U34" s="158">
        <f t="shared" si="26"/>
        <v>1</v>
      </c>
      <c r="W34" s="158">
        <f t="shared" si="4"/>
        <v>3.7735849056603772E-2</v>
      </c>
      <c r="X34" s="158">
        <f t="shared" si="5"/>
        <v>0.12711022840119166</v>
      </c>
      <c r="Y34" s="158">
        <f t="shared" si="6"/>
        <v>0.266137040714995</v>
      </c>
      <c r="Z34" s="158">
        <f t="shared" si="7"/>
        <v>0.46971201588877853</v>
      </c>
      <c r="AA34" s="158">
        <f t="shared" si="8"/>
        <v>0.6156901688182721</v>
      </c>
      <c r="AB34" s="158">
        <f t="shared" si="9"/>
        <v>0.71499503475670312</v>
      </c>
      <c r="AC34" s="158">
        <f t="shared" si="10"/>
        <v>0.84111221449851048</v>
      </c>
      <c r="AD34" s="158">
        <v>1</v>
      </c>
      <c r="AE34" s="143"/>
      <c r="AF34" s="143">
        <f>'3-Kak'!AQ34</f>
        <v>9.8948706586568669E-3</v>
      </c>
      <c r="AG34" s="143">
        <f>'3-Kak'!AR34</f>
        <v>4.6176712103906857E-2</v>
      </c>
      <c r="AH34" s="143">
        <f>'3-Kak'!AS34</f>
        <v>0.1014832352406118</v>
      </c>
      <c r="AI34" s="143">
        <f>'3-Kak'!AT34</f>
        <v>0.18324991956197076</v>
      </c>
      <c r="AJ34" s="143">
        <f>'3-Kak'!AU34</f>
        <v>0.1532453050951938</v>
      </c>
      <c r="AK34" s="143">
        <f>'3-Kak'!AV34</f>
        <v>0.11411889297525329</v>
      </c>
      <c r="AL34" s="143">
        <f>'3-Kak'!AW34</f>
        <v>0.16080464066983954</v>
      </c>
      <c r="AM34" s="143">
        <f>'3-Kak'!AX34</f>
        <v>0.23102642369456711</v>
      </c>
      <c r="AN34" s="46"/>
      <c r="AO34" s="152">
        <f>Shares!D75</f>
        <v>3.8</v>
      </c>
      <c r="AP34" s="152">
        <f>Shares!E75</f>
        <v>9</v>
      </c>
      <c r="AQ34" s="152">
        <f>Shares!F75</f>
        <v>14</v>
      </c>
      <c r="AR34" s="152">
        <f>Shares!G75</f>
        <v>20.5</v>
      </c>
      <c r="AS34" s="152">
        <f>Shares!J75</f>
        <v>14.7</v>
      </c>
      <c r="AT34" s="152">
        <f>Shares!K75</f>
        <v>10</v>
      </c>
      <c r="AU34" s="152">
        <f>Shares!L75</f>
        <v>12.7</v>
      </c>
      <c r="AV34" s="152">
        <f>Shares!M75</f>
        <v>16</v>
      </c>
    </row>
    <row r="35" spans="1:48">
      <c r="A35" s="46">
        <f t="shared" si="27"/>
        <v>2005</v>
      </c>
      <c r="B35" s="141">
        <f t="shared" si="1"/>
        <v>0.17114063037961991</v>
      </c>
      <c r="C35" s="46"/>
      <c r="D35" s="46"/>
      <c r="E35" s="154">
        <f t="shared" si="11"/>
        <v>9.8811677058423708E-4</v>
      </c>
      <c r="F35" s="154">
        <f t="shared" si="12"/>
        <v>5.8485735669807012E-3</v>
      </c>
      <c r="G35" s="154">
        <f t="shared" si="13"/>
        <v>1.4279516898282912E-2</v>
      </c>
      <c r="H35" s="154">
        <f t="shared" si="14"/>
        <v>2.5466700134183423E-2</v>
      </c>
      <c r="I35" s="154">
        <f t="shared" si="15"/>
        <v>1.7792062617431822E-2</v>
      </c>
      <c r="J35" s="154">
        <f t="shared" si="16"/>
        <v>1.1136928892395887E-2</v>
      </c>
      <c r="K35" s="154">
        <f t="shared" si="17"/>
        <v>1.0058416309950975E-2</v>
      </c>
      <c r="L35" s="154">
        <f t="shared" si="18"/>
        <v>0</v>
      </c>
      <c r="M35" s="154"/>
      <c r="N35" s="158">
        <f t="shared" si="19"/>
        <v>9.7868436725948478E-3</v>
      </c>
      <c r="O35" s="158">
        <f t="shared" si="20"/>
        <v>5.3473086785244997E-2</v>
      </c>
      <c r="P35" s="158">
        <f t="shared" si="21"/>
        <v>0.14933198811186851</v>
      </c>
      <c r="Q35" s="158">
        <f t="shared" si="22"/>
        <v>0.32437586142448871</v>
      </c>
      <c r="R35" s="158">
        <f t="shared" si="23"/>
        <v>0.46982271678794629</v>
      </c>
      <c r="S35" s="158">
        <f t="shared" si="24"/>
        <v>0.58005819586616814</v>
      </c>
      <c r="T35" s="158">
        <f t="shared" si="25"/>
        <v>0.74442922230193798</v>
      </c>
      <c r="U35" s="158">
        <f t="shared" si="26"/>
        <v>1</v>
      </c>
      <c r="W35" s="158">
        <f t="shared" si="4"/>
        <v>3.6706349206349201E-2</v>
      </c>
      <c r="X35" s="158">
        <f t="shared" si="5"/>
        <v>0.12202380952380951</v>
      </c>
      <c r="Y35" s="158">
        <f t="shared" si="6"/>
        <v>0.25595238095238093</v>
      </c>
      <c r="Z35" s="158">
        <f t="shared" si="7"/>
        <v>0.45337301587301582</v>
      </c>
      <c r="AA35" s="158">
        <f t="shared" si="8"/>
        <v>0.59523809523809512</v>
      </c>
      <c r="AB35" s="158">
        <f t="shared" si="9"/>
        <v>0.69345238095238082</v>
      </c>
      <c r="AC35" s="158">
        <f t="shared" si="10"/>
        <v>0.82242063492063477</v>
      </c>
      <c r="AD35" s="158">
        <v>1</v>
      </c>
      <c r="AE35" s="143"/>
      <c r="AF35" s="143">
        <f>'3-Kak'!AQ35</f>
        <v>9.7868436725948478E-3</v>
      </c>
      <c r="AG35" s="143">
        <f>'3-Kak'!AR35</f>
        <v>4.3686243112650153E-2</v>
      </c>
      <c r="AH35" s="143">
        <f>'3-Kak'!AS35</f>
        <v>9.5858901326623516E-2</v>
      </c>
      <c r="AI35" s="143">
        <f>'3-Kak'!AT35</f>
        <v>0.1750438733126202</v>
      </c>
      <c r="AJ35" s="143">
        <f>'3-Kak'!AU35</f>
        <v>0.14544685536345758</v>
      </c>
      <c r="AK35" s="143">
        <f>'3-Kak'!AV35</f>
        <v>0.11023547907822187</v>
      </c>
      <c r="AL35" s="143">
        <f>'3-Kak'!AW35</f>
        <v>0.16437102643576987</v>
      </c>
      <c r="AM35" s="143">
        <f>'3-Kak'!AX35</f>
        <v>0.25557077769806197</v>
      </c>
      <c r="AN35" s="46"/>
      <c r="AO35" s="152">
        <f>Shares!D76</f>
        <v>3.7</v>
      </c>
      <c r="AP35" s="152">
        <f>Shares!E76</f>
        <v>8.6</v>
      </c>
      <c r="AQ35" s="152">
        <f>Shares!F76</f>
        <v>13.5</v>
      </c>
      <c r="AR35" s="152">
        <f>Shares!G76</f>
        <v>19.899999999999999</v>
      </c>
      <c r="AS35" s="152">
        <f>Shares!J76</f>
        <v>14.3</v>
      </c>
      <c r="AT35" s="152">
        <f>Shares!K76</f>
        <v>9.9</v>
      </c>
      <c r="AU35" s="152">
        <f>Shares!L76</f>
        <v>13</v>
      </c>
      <c r="AV35" s="152">
        <f>Shares!M76</f>
        <v>17.899999999999999</v>
      </c>
    </row>
    <row r="36" spans="1:48">
      <c r="A36" s="46">
        <f t="shared" si="27"/>
        <v>2006</v>
      </c>
      <c r="B36" s="141">
        <f t="shared" si="1"/>
        <v>0.16257329608493332</v>
      </c>
      <c r="C36" s="46"/>
      <c r="D36" s="46"/>
      <c r="E36" s="154">
        <f t="shared" si="11"/>
        <v>9.1251276598306428E-4</v>
      </c>
      <c r="F36" s="154">
        <f t="shared" si="12"/>
        <v>5.6142587410101825E-3</v>
      </c>
      <c r="G36" s="154">
        <f t="shared" si="13"/>
        <v>1.3602770089959828E-2</v>
      </c>
      <c r="H36" s="154">
        <f t="shared" si="14"/>
        <v>2.428624766974239E-2</v>
      </c>
      <c r="I36" s="154">
        <f t="shared" si="15"/>
        <v>1.6794730280257089E-2</v>
      </c>
      <c r="J36" s="154">
        <f t="shared" si="16"/>
        <v>1.0481341528414513E-2</v>
      </c>
      <c r="K36" s="154">
        <f t="shared" si="17"/>
        <v>9.5947869670995872E-3</v>
      </c>
      <c r="L36" s="154">
        <f t="shared" si="18"/>
        <v>0</v>
      </c>
      <c r="M36" s="154"/>
      <c r="N36" s="158">
        <f t="shared" si="19"/>
        <v>1.0285625976517668E-2</v>
      </c>
      <c r="O36" s="158">
        <f t="shared" si="20"/>
        <v>5.3831926567454322E-2</v>
      </c>
      <c r="P36" s="158">
        <f t="shared" si="21"/>
        <v>0.14959496382036663</v>
      </c>
      <c r="Q36" s="158">
        <f t="shared" si="22"/>
        <v>0.32266321993196234</v>
      </c>
      <c r="R36" s="158">
        <f t="shared" si="23"/>
        <v>0.46764891746041293</v>
      </c>
      <c r="S36" s="158">
        <f t="shared" si="24"/>
        <v>0.5772964767005061</v>
      </c>
      <c r="T36" s="158">
        <f t="shared" si="25"/>
        <v>0.74142723944094513</v>
      </c>
      <c r="U36" s="158">
        <f t="shared" si="26"/>
        <v>1</v>
      </c>
      <c r="W36" s="158">
        <f t="shared" si="4"/>
        <v>3.5785288270377739E-2</v>
      </c>
      <c r="X36" s="158">
        <f t="shared" si="5"/>
        <v>0.12027833001988072</v>
      </c>
      <c r="Y36" s="158">
        <f t="shared" si="6"/>
        <v>0.25248508946322068</v>
      </c>
      <c r="Z36" s="158">
        <f t="shared" si="7"/>
        <v>0.44731610337972172</v>
      </c>
      <c r="AA36" s="158">
        <f t="shared" si="8"/>
        <v>0.5874751491053678</v>
      </c>
      <c r="AB36" s="158">
        <f t="shared" si="9"/>
        <v>0.68489065606361832</v>
      </c>
      <c r="AC36" s="158">
        <f t="shared" si="10"/>
        <v>0.81510934393638168</v>
      </c>
      <c r="AD36" s="158">
        <v>1</v>
      </c>
      <c r="AE36" s="143"/>
      <c r="AF36" s="143">
        <f>'3-Kak'!AQ36</f>
        <v>1.0285625976517668E-2</v>
      </c>
      <c r="AG36" s="143">
        <f>'3-Kak'!AR36</f>
        <v>4.354630059093665E-2</v>
      </c>
      <c r="AH36" s="143">
        <f>'3-Kak'!AS36</f>
        <v>9.5763037252912325E-2</v>
      </c>
      <c r="AI36" s="143">
        <f>'3-Kak'!AT36</f>
        <v>0.17306825611159571</v>
      </c>
      <c r="AJ36" s="143">
        <f>'3-Kak'!AU36</f>
        <v>0.14498569752845061</v>
      </c>
      <c r="AK36" s="143">
        <f>'3-Kak'!AV36</f>
        <v>0.10964755924009316</v>
      </c>
      <c r="AL36" s="143">
        <f>'3-Kak'!AW36</f>
        <v>0.16413076274043903</v>
      </c>
      <c r="AM36" s="143">
        <f>'3-Kak'!AX36</f>
        <v>0.25857276055905493</v>
      </c>
      <c r="AN36" s="46"/>
      <c r="AO36" s="152">
        <f>Shares!D77</f>
        <v>3.6</v>
      </c>
      <c r="AP36" s="152">
        <f>Shares!E77</f>
        <v>8.5</v>
      </c>
      <c r="AQ36" s="152">
        <f>Shares!F77</f>
        <v>13.3</v>
      </c>
      <c r="AR36" s="152">
        <f>Shares!G77</f>
        <v>19.600000000000001</v>
      </c>
      <c r="AS36" s="152">
        <f>Shares!J77</f>
        <v>14.1</v>
      </c>
      <c r="AT36" s="152">
        <f>Shares!K77</f>
        <v>9.8000000000000007</v>
      </c>
      <c r="AU36" s="152">
        <f>Shares!L77</f>
        <v>13.1</v>
      </c>
      <c r="AV36" s="152">
        <f>Shares!M77</f>
        <v>18.600000000000001</v>
      </c>
    </row>
    <row r="37" spans="1:48">
      <c r="A37" s="46">
        <f t="shared" si="27"/>
        <v>2007</v>
      </c>
      <c r="B37" s="141">
        <f t="shared" si="1"/>
        <v>0.1677618857595839</v>
      </c>
      <c r="C37" s="46"/>
      <c r="D37" s="37"/>
      <c r="E37" s="154">
        <f t="shared" si="11"/>
        <v>1.1143378951672554E-3</v>
      </c>
      <c r="F37" s="154">
        <f t="shared" si="12"/>
        <v>5.8341087331248466E-3</v>
      </c>
      <c r="G37" s="154">
        <f t="shared" si="13"/>
        <v>1.3748163084114034E-2</v>
      </c>
      <c r="H37" s="154">
        <f t="shared" si="14"/>
        <v>2.4395115502969043E-2</v>
      </c>
      <c r="I37" s="154">
        <f t="shared" si="15"/>
        <v>1.7255976705574414E-2</v>
      </c>
      <c r="J37" s="154">
        <f t="shared" si="16"/>
        <v>1.0941358098487713E-2</v>
      </c>
      <c r="K37" s="154">
        <f t="shared" si="17"/>
        <v>1.0591882860354651E-2</v>
      </c>
      <c r="L37" s="154">
        <f t="shared" si="18"/>
        <v>0</v>
      </c>
      <c r="M37" s="154"/>
      <c r="N37" s="158">
        <f t="shared" si="19"/>
        <v>9.8891275153840403E-3</v>
      </c>
      <c r="O37" s="158">
        <f t="shared" si="20"/>
        <v>5.5626755077821985E-2</v>
      </c>
      <c r="P37" s="158">
        <f t="shared" si="21"/>
        <v>0.1499743448179921</v>
      </c>
      <c r="Q37" s="158">
        <f t="shared" si="22"/>
        <v>0.31901781273948954</v>
      </c>
      <c r="R37" s="158">
        <f t="shared" si="23"/>
        <v>0.4610744280373244</v>
      </c>
      <c r="S37" s="158">
        <f t="shared" si="24"/>
        <v>0.56784773282828271</v>
      </c>
      <c r="T37" s="158">
        <f t="shared" si="25"/>
        <v>0.728388042837123</v>
      </c>
      <c r="U37" s="158">
        <f t="shared" si="26"/>
        <v>1</v>
      </c>
      <c r="W37" s="158">
        <f t="shared" si="4"/>
        <v>3.8690476190476185E-2</v>
      </c>
      <c r="X37" s="158">
        <f t="shared" si="5"/>
        <v>0.12400793650793648</v>
      </c>
      <c r="Y37" s="158">
        <f t="shared" si="6"/>
        <v>0.25496031746031744</v>
      </c>
      <c r="Z37" s="158">
        <f t="shared" si="7"/>
        <v>0.4464285714285714</v>
      </c>
      <c r="AA37" s="158">
        <f t="shared" si="8"/>
        <v>0.58531746031746024</v>
      </c>
      <c r="AB37" s="158">
        <f t="shared" si="9"/>
        <v>0.68154761904761896</v>
      </c>
      <c r="AC37" s="158">
        <f t="shared" si="10"/>
        <v>0.81051587301587291</v>
      </c>
      <c r="AD37" s="158">
        <v>1</v>
      </c>
      <c r="AE37" s="143"/>
      <c r="AF37" s="143">
        <f>'3-Kak'!AQ37</f>
        <v>9.8891275153840403E-3</v>
      </c>
      <c r="AG37" s="143">
        <f>'3-Kak'!AR37</f>
        <v>4.5737627562437946E-2</v>
      </c>
      <c r="AH37" s="143">
        <f>'3-Kak'!AS37</f>
        <v>9.4347589740170101E-2</v>
      </c>
      <c r="AI37" s="143">
        <f>'3-Kak'!AT37</f>
        <v>0.16904346792149744</v>
      </c>
      <c r="AJ37" s="143">
        <f>'3-Kak'!AU37</f>
        <v>0.14205661529783487</v>
      </c>
      <c r="AK37" s="143">
        <f>'3-Kak'!AV37</f>
        <v>0.10677330479095831</v>
      </c>
      <c r="AL37" s="143">
        <f>'3-Kak'!AW37</f>
        <v>0.16054031000884023</v>
      </c>
      <c r="AM37" s="143">
        <f>'3-Kak'!AX37</f>
        <v>0.27161195716287712</v>
      </c>
      <c r="AN37" s="46"/>
      <c r="AO37" s="152">
        <f>Shares!D78</f>
        <v>3.9</v>
      </c>
      <c r="AP37" s="152">
        <f>Shares!E78</f>
        <v>8.6</v>
      </c>
      <c r="AQ37" s="152">
        <f>Shares!F78</f>
        <v>13.2</v>
      </c>
      <c r="AR37" s="152">
        <f>Shares!G78</f>
        <v>19.3</v>
      </c>
      <c r="AS37" s="152">
        <f>Shares!J78</f>
        <v>14</v>
      </c>
      <c r="AT37" s="152">
        <f>Shares!K78</f>
        <v>9.6999999999999993</v>
      </c>
      <c r="AU37" s="152">
        <f>Shares!L78</f>
        <v>13</v>
      </c>
      <c r="AV37" s="152">
        <f>Shares!M78</f>
        <v>19.100000000000001</v>
      </c>
    </row>
    <row r="38" spans="1:48">
      <c r="A38" s="46">
        <f t="shared" si="27"/>
        <v>2008</v>
      </c>
      <c r="B38" s="141">
        <f t="shared" si="1"/>
        <v>0.20985689892184509</v>
      </c>
      <c r="C38" s="46"/>
      <c r="D38" s="37"/>
      <c r="E38" s="154">
        <f t="shared" si="11"/>
        <v>1.4844617940876484E-3</v>
      </c>
      <c r="F38" s="154">
        <f t="shared" si="12"/>
        <v>7.858577906202183E-3</v>
      </c>
      <c r="G38" s="154">
        <f t="shared" si="13"/>
        <v>1.841103191407684E-2</v>
      </c>
      <c r="H38" s="154">
        <f t="shared" si="14"/>
        <v>3.2078910862590494E-2</v>
      </c>
      <c r="I38" s="154">
        <f t="shared" si="15"/>
        <v>2.172226391942178E-2</v>
      </c>
      <c r="J38" s="154">
        <f t="shared" si="16"/>
        <v>1.2796192638247302E-2</v>
      </c>
      <c r="K38" s="154">
        <f t="shared" si="17"/>
        <v>1.0577010426296302E-2</v>
      </c>
      <c r="L38" s="154">
        <f t="shared" si="18"/>
        <v>0</v>
      </c>
      <c r="M38" s="154"/>
      <c r="N38" s="158">
        <f t="shared" si="19"/>
        <v>1.9688083091872247E-3</v>
      </c>
      <c r="O38" s="158">
        <f t="shared" si="20"/>
        <v>4.0093155345086395E-2</v>
      </c>
      <c r="P38" s="158">
        <f t="shared" si="21"/>
        <v>0.13176736806800182</v>
      </c>
      <c r="Q38" s="158">
        <f t="shared" si="22"/>
        <v>0.3082547465392888</v>
      </c>
      <c r="R38" s="158">
        <f t="shared" si="23"/>
        <v>0.46109205791128166</v>
      </c>
      <c r="S38" s="158">
        <f t="shared" si="24"/>
        <v>0.58097683880133244</v>
      </c>
      <c r="T38" s="158">
        <f t="shared" si="25"/>
        <v>0.75496842719897028</v>
      </c>
      <c r="U38" s="158">
        <f t="shared" si="26"/>
        <v>1</v>
      </c>
      <c r="W38" s="158">
        <f t="shared" si="4"/>
        <v>3.9525691699604737E-2</v>
      </c>
      <c r="X38" s="158">
        <f t="shared" si="5"/>
        <v>0.1284584980237154</v>
      </c>
      <c r="Y38" s="158">
        <f t="shared" si="6"/>
        <v>0.26581027667984186</v>
      </c>
      <c r="Z38" s="158">
        <f t="shared" si="7"/>
        <v>0.467391304347826</v>
      </c>
      <c r="AA38" s="158">
        <f t="shared" si="8"/>
        <v>0.61166007905138331</v>
      </c>
      <c r="AB38" s="158">
        <f t="shared" si="9"/>
        <v>0.71047430830039515</v>
      </c>
      <c r="AC38" s="158">
        <f t="shared" si="10"/>
        <v>0.83794466403162038</v>
      </c>
      <c r="AD38" s="158">
        <v>1</v>
      </c>
      <c r="AE38" s="143"/>
      <c r="AF38" s="143">
        <f>'3-Kak'!AQ38</f>
        <v>1.9688083091872243E-3</v>
      </c>
      <c r="AG38" s="143">
        <f>'3-Kak'!AR38</f>
        <v>3.8124347035899162E-2</v>
      </c>
      <c r="AH38" s="143">
        <f>'3-Kak'!AS38</f>
        <v>9.1674212722915413E-2</v>
      </c>
      <c r="AI38" s="143">
        <f>'3-Kak'!AT38</f>
        <v>0.17648737847128695</v>
      </c>
      <c r="AJ38" s="143">
        <f>'3-Kak'!AU38</f>
        <v>0.15283731137199283</v>
      </c>
      <c r="AK38" s="143">
        <f>'3-Kak'!AV38</f>
        <v>0.11988478089005078</v>
      </c>
      <c r="AL38" s="143">
        <f>'3-Kak'!AW38</f>
        <v>0.17399158839763779</v>
      </c>
      <c r="AM38" s="143">
        <f>'3-Kak'!AX38</f>
        <v>0.24503157280102975</v>
      </c>
      <c r="AN38" s="46"/>
      <c r="AO38" s="152">
        <f>Shares!D79</f>
        <v>4</v>
      </c>
      <c r="AP38" s="152">
        <f>Shares!E79</f>
        <v>9</v>
      </c>
      <c r="AQ38" s="152">
        <f>Shares!F79</f>
        <v>13.9</v>
      </c>
      <c r="AR38" s="152">
        <f>Shares!G79</f>
        <v>20.399999999999999</v>
      </c>
      <c r="AS38" s="152">
        <f>Shares!J79</f>
        <v>14.6</v>
      </c>
      <c r="AT38" s="152">
        <f>Shares!K79</f>
        <v>10</v>
      </c>
      <c r="AU38" s="152">
        <f>Shares!L79</f>
        <v>12.9</v>
      </c>
      <c r="AV38" s="152">
        <f>Shares!M79</f>
        <v>16.399999999999999</v>
      </c>
    </row>
    <row r="39" spans="1:48">
      <c r="A39" s="46">
        <f t="shared" si="27"/>
        <v>2009</v>
      </c>
      <c r="B39" s="141">
        <f t="shared" si="1"/>
        <v>0.22308110538873105</v>
      </c>
      <c r="C39" s="46"/>
      <c r="D39" s="37"/>
      <c r="E39" s="154">
        <f t="shared" si="11"/>
        <v>1.5018179519099739E-3</v>
      </c>
      <c r="F39" s="154">
        <f t="shared" si="12"/>
        <v>8.6944718823340952E-3</v>
      </c>
      <c r="G39" s="154">
        <f t="shared" si="13"/>
        <v>2.0054900801044585E-2</v>
      </c>
      <c r="H39" s="154">
        <f t="shared" si="14"/>
        <v>3.5082262859757456E-2</v>
      </c>
      <c r="I39" s="154">
        <f t="shared" si="15"/>
        <v>2.2879022442301295E-2</v>
      </c>
      <c r="J39" s="154">
        <f t="shared" si="16"/>
        <v>1.3305397502373664E-2</v>
      </c>
      <c r="K39" s="154">
        <f t="shared" si="17"/>
        <v>1.0022679254644465E-2</v>
      </c>
      <c r="L39" s="154">
        <f t="shared" si="18"/>
        <v>0</v>
      </c>
      <c r="M39" s="154"/>
      <c r="N39" s="158">
        <f t="shared" si="19"/>
        <v>-6.6212958207535972E-4</v>
      </c>
      <c r="O39" s="158">
        <f t="shared" si="20"/>
        <v>3.7152685305757834E-2</v>
      </c>
      <c r="P39" s="158">
        <f t="shared" si="21"/>
        <v>0.13350732000845142</v>
      </c>
      <c r="Q39" s="158">
        <f t="shared" si="22"/>
        <v>0.32009337035310509</v>
      </c>
      <c r="R39" s="158">
        <f t="shared" si="23"/>
        <v>0.48467406616040531</v>
      </c>
      <c r="S39" s="158">
        <f t="shared" si="24"/>
        <v>0.60906069399504636</v>
      </c>
      <c r="T39" s="158">
        <f t="shared" si="25"/>
        <v>0.78554791613980846</v>
      </c>
      <c r="U39" s="158">
        <f t="shared" si="26"/>
        <v>1</v>
      </c>
      <c r="W39" s="158">
        <f t="shared" si="4"/>
        <v>3.8423645320197042E-2</v>
      </c>
      <c r="X39" s="158">
        <f t="shared" si="5"/>
        <v>0.13103448275862067</v>
      </c>
      <c r="Y39" s="158">
        <f t="shared" si="6"/>
        <v>0.27389162561576352</v>
      </c>
      <c r="Z39" s="158">
        <f t="shared" si="7"/>
        <v>0.48571428571428565</v>
      </c>
      <c r="AA39" s="158">
        <f t="shared" si="8"/>
        <v>0.63645320197044331</v>
      </c>
      <c r="AB39" s="158">
        <f t="shared" si="9"/>
        <v>0.73891625615763545</v>
      </c>
      <c r="AC39" s="158">
        <f t="shared" si="10"/>
        <v>0.86502463054187195</v>
      </c>
      <c r="AD39" s="158">
        <v>1</v>
      </c>
      <c r="AE39" s="143"/>
      <c r="AF39" s="143">
        <f>'3-Kak'!AQ39</f>
        <v>-6.6212958207535972E-4</v>
      </c>
      <c r="AG39" s="143">
        <f>'3-Kak'!AR39</f>
        <v>3.7814814887833191E-2</v>
      </c>
      <c r="AH39" s="143">
        <f>'3-Kak'!AS39</f>
        <v>9.6354634702693578E-2</v>
      </c>
      <c r="AI39" s="143">
        <f>'3-Kak'!AT39</f>
        <v>0.18658605034465367</v>
      </c>
      <c r="AJ39" s="143">
        <f>'3-Kak'!AU39</f>
        <v>0.1645806958073002</v>
      </c>
      <c r="AK39" s="143">
        <f>'3-Kak'!AV39</f>
        <v>0.12438662783464106</v>
      </c>
      <c r="AL39" s="143">
        <f>'3-Kak'!AW39</f>
        <v>0.17648722214476212</v>
      </c>
      <c r="AM39" s="143">
        <f>'3-Kak'!AX39</f>
        <v>0.21445208386019152</v>
      </c>
      <c r="AN39" s="46"/>
      <c r="AO39" s="152">
        <f>Shares!D80</f>
        <v>3.9</v>
      </c>
      <c r="AP39" s="152">
        <f>Shares!E80</f>
        <v>9.4</v>
      </c>
      <c r="AQ39" s="152">
        <f>Shares!F80</f>
        <v>14.5</v>
      </c>
      <c r="AR39" s="152">
        <f>Shares!G80</f>
        <v>21.5</v>
      </c>
      <c r="AS39" s="152">
        <f>Shares!J80</f>
        <v>15.3</v>
      </c>
      <c r="AT39" s="152">
        <f>Shares!K80</f>
        <v>10.4</v>
      </c>
      <c r="AU39" s="152">
        <f>Shares!L80</f>
        <v>12.8</v>
      </c>
      <c r="AV39" s="152">
        <f>Shares!M80</f>
        <v>13.7</v>
      </c>
    </row>
    <row r="40" spans="1:48">
      <c r="A40" s="46">
        <f t="shared" si="27"/>
        <v>2010</v>
      </c>
      <c r="B40" s="141">
        <f t="shared" si="1"/>
        <v>0.22809963977128431</v>
      </c>
      <c r="C40" s="46"/>
      <c r="D40" s="46"/>
      <c r="E40" s="154">
        <f t="shared" si="11"/>
        <v>1.4044014954347223E-3</v>
      </c>
      <c r="F40" s="154">
        <f t="shared" si="12"/>
        <v>8.1064948618992643E-3</v>
      </c>
      <c r="G40" s="154">
        <f t="shared" si="13"/>
        <v>1.9416007932053291E-2</v>
      </c>
      <c r="H40" s="154">
        <f t="shared" si="14"/>
        <v>3.4539391672041002E-2</v>
      </c>
      <c r="I40" s="154">
        <f t="shared" si="15"/>
        <v>2.3655654717554188E-2</v>
      </c>
      <c r="J40" s="154">
        <f t="shared" si="16"/>
        <v>1.4283084146556017E-2</v>
      </c>
      <c r="K40" s="154">
        <f t="shared" si="17"/>
        <v>1.2644785060103674E-2</v>
      </c>
      <c r="L40" s="154">
        <f t="shared" si="18"/>
        <v>0</v>
      </c>
      <c r="M40" s="154"/>
      <c r="N40" s="158">
        <f t="shared" si="19"/>
        <v>0</v>
      </c>
      <c r="O40" s="158">
        <f t="shared" si="20"/>
        <v>3.6889420735793634E-2</v>
      </c>
      <c r="P40" s="158">
        <f t="shared" si="21"/>
        <v>0.12861167811411042</v>
      </c>
      <c r="Q40" s="158">
        <f t="shared" si="22"/>
        <v>0.30579889036915775</v>
      </c>
      <c r="R40" s="158">
        <f t="shared" si="23"/>
        <v>0.46138954925726261</v>
      </c>
      <c r="S40" s="158">
        <f t="shared" si="24"/>
        <v>0.57990283107908569</v>
      </c>
      <c r="T40" s="158">
        <f t="shared" si="25"/>
        <v>0.74971853416771117</v>
      </c>
      <c r="U40" s="158">
        <f t="shared" si="26"/>
        <v>1</v>
      </c>
      <c r="W40" s="158">
        <f t="shared" si="4"/>
        <v>3.7475345167652857E-2</v>
      </c>
      <c r="X40" s="158">
        <f t="shared" si="5"/>
        <v>0.12721893491124259</v>
      </c>
      <c r="Y40" s="158">
        <f t="shared" si="6"/>
        <v>0.267258382642998</v>
      </c>
      <c r="Z40" s="158">
        <f t="shared" si="7"/>
        <v>0.47337278106508873</v>
      </c>
      <c r="AA40" s="158">
        <f t="shared" si="8"/>
        <v>0.62130177514792895</v>
      </c>
      <c r="AB40" s="158">
        <f t="shared" si="9"/>
        <v>0.72189349112426027</v>
      </c>
      <c r="AC40" s="158">
        <f t="shared" si="10"/>
        <v>0.84911242603550285</v>
      </c>
      <c r="AD40" s="158">
        <v>1</v>
      </c>
      <c r="AE40" s="143"/>
      <c r="AF40" s="143">
        <f>'3-Kak'!AQ40</f>
        <v>0</v>
      </c>
      <c r="AG40" s="143">
        <f>'3-Kak'!AR40</f>
        <v>3.6889420735793634E-2</v>
      </c>
      <c r="AH40" s="143">
        <f>'3-Kak'!AS40</f>
        <v>9.1722257378316796E-2</v>
      </c>
      <c r="AI40" s="143">
        <f>'3-Kak'!AT40</f>
        <v>0.1771872122550473</v>
      </c>
      <c r="AJ40" s="143">
        <f>'3-Kak'!AU40</f>
        <v>0.15559065888810483</v>
      </c>
      <c r="AK40" s="143">
        <f>'3-Kak'!AV40</f>
        <v>0.11851328182182311</v>
      </c>
      <c r="AL40" s="143">
        <f>'3-Kak'!AW40</f>
        <v>0.16981570308862548</v>
      </c>
      <c r="AM40" s="143">
        <f>'3-Kak'!AX40</f>
        <v>0.25028146583228883</v>
      </c>
      <c r="AN40" s="46"/>
      <c r="AO40" s="152">
        <f>Shares!D81</f>
        <v>3.8</v>
      </c>
      <c r="AP40" s="152">
        <f>Shares!E81</f>
        <v>9.1</v>
      </c>
      <c r="AQ40" s="152">
        <f>Shares!F81</f>
        <v>14.2</v>
      </c>
      <c r="AR40" s="152">
        <f>Shares!G81</f>
        <v>20.9</v>
      </c>
      <c r="AS40" s="152">
        <f>Shares!J81</f>
        <v>15</v>
      </c>
      <c r="AT40" s="152">
        <f>Shares!K81</f>
        <v>10.199999999999999</v>
      </c>
      <c r="AU40" s="152">
        <f>Shares!L81</f>
        <v>12.9</v>
      </c>
      <c r="AV40" s="152">
        <f>Shares!M81</f>
        <v>15.3</v>
      </c>
    </row>
    <row r="41" spans="1:48">
      <c r="A41" s="46">
        <f t="shared" si="27"/>
        <v>2011</v>
      </c>
      <c r="B41" s="141">
        <f t="shared" si="1"/>
        <v>0.21437353113110141</v>
      </c>
      <c r="C41" s="46"/>
      <c r="D41" s="46"/>
      <c r="E41" s="154">
        <f t="shared" si="11"/>
        <v>1.4319980332410435E-3</v>
      </c>
      <c r="F41" s="154">
        <f t="shared" si="12"/>
        <v>7.9568654889912386E-3</v>
      </c>
      <c r="G41" s="154">
        <f t="shared" si="13"/>
        <v>1.8512160778710287E-2</v>
      </c>
      <c r="H41" s="154">
        <f t="shared" si="14"/>
        <v>3.2916050573616976E-2</v>
      </c>
      <c r="I41" s="154">
        <f t="shared" si="15"/>
        <v>2.2263762879128169E-2</v>
      </c>
      <c r="J41" s="154">
        <f t="shared" si="16"/>
        <v>1.3298657089802414E-2</v>
      </c>
      <c r="K41" s="154">
        <f t="shared" si="17"/>
        <v>1.0807270722060579E-2</v>
      </c>
      <c r="L41" s="154">
        <f t="shared" si="18"/>
        <v>0</v>
      </c>
      <c r="M41" s="154"/>
      <c r="N41" s="158">
        <f t="shared" si="19"/>
        <v>1.3042754506055062E-3</v>
      </c>
      <c r="O41" s="158">
        <f t="shared" si="20"/>
        <v>3.9756910688818418E-2</v>
      </c>
      <c r="P41" s="158">
        <f t="shared" si="21"/>
        <v>0.13258633821655372</v>
      </c>
      <c r="Q41" s="158">
        <f t="shared" si="22"/>
        <v>0.31331243735232428</v>
      </c>
      <c r="R41" s="158">
        <f t="shared" si="23"/>
        <v>0.47057332484427711</v>
      </c>
      <c r="S41" s="158">
        <f t="shared" si="24"/>
        <v>0.59181447352202476</v>
      </c>
      <c r="T41" s="158">
        <f t="shared" si="25"/>
        <v>0.76672422970927023</v>
      </c>
      <c r="U41" s="158">
        <f t="shared" si="26"/>
        <v>1</v>
      </c>
      <c r="W41" s="158">
        <f t="shared" si="4"/>
        <v>3.8499506416584402E-2</v>
      </c>
      <c r="X41" s="158">
        <f t="shared" si="5"/>
        <v>0.12833168805528133</v>
      </c>
      <c r="Y41" s="158">
        <f t="shared" si="6"/>
        <v>0.26653504442250742</v>
      </c>
      <c r="Z41" s="158">
        <f t="shared" si="7"/>
        <v>0.47285291214215203</v>
      </c>
      <c r="AA41" s="158">
        <f t="shared" si="8"/>
        <v>0.62092793682132275</v>
      </c>
      <c r="AB41" s="158">
        <f t="shared" si="9"/>
        <v>0.72260612043435335</v>
      </c>
      <c r="AC41" s="158">
        <f t="shared" si="10"/>
        <v>0.85093780848963463</v>
      </c>
      <c r="AD41" s="158">
        <v>1</v>
      </c>
      <c r="AE41" s="143"/>
      <c r="AF41" s="143">
        <f>'3-Kak'!AQ41</f>
        <v>1.3042754506055062E-3</v>
      </c>
      <c r="AG41" s="143">
        <f>'3-Kak'!AR41</f>
        <v>3.8452635238212914E-2</v>
      </c>
      <c r="AH41" s="143">
        <f>'3-Kak'!AS41</f>
        <v>9.2829427527735306E-2</v>
      </c>
      <c r="AI41" s="143">
        <f>'3-Kak'!AT41</f>
        <v>0.18072609913577056</v>
      </c>
      <c r="AJ41" s="143">
        <f>'3-Kak'!AU41</f>
        <v>0.15726088749195283</v>
      </c>
      <c r="AK41" s="143">
        <f>'3-Kak'!AV41</f>
        <v>0.1212411486777477</v>
      </c>
      <c r="AL41" s="143">
        <f>'3-Kak'!AW41</f>
        <v>0.17490975618724544</v>
      </c>
      <c r="AM41" s="143">
        <f>'3-Kak'!AX41</f>
        <v>0.23327577029072985</v>
      </c>
      <c r="AN41" s="46"/>
      <c r="AO41" s="152">
        <f>Shares!D82</f>
        <v>3.9</v>
      </c>
      <c r="AP41" s="152">
        <f>Shares!E82</f>
        <v>9.1</v>
      </c>
      <c r="AQ41" s="152">
        <f>Shares!F82</f>
        <v>14</v>
      </c>
      <c r="AR41" s="152">
        <f>Shares!G82</f>
        <v>20.9</v>
      </c>
      <c r="AS41" s="152">
        <f>Shares!J82</f>
        <v>15</v>
      </c>
      <c r="AT41" s="152">
        <f>Shares!K82</f>
        <v>10.3</v>
      </c>
      <c r="AU41" s="152">
        <f>Shares!L82</f>
        <v>13</v>
      </c>
      <c r="AV41" s="152">
        <f>Shares!M82</f>
        <v>15.1</v>
      </c>
    </row>
    <row r="42" spans="1:48">
      <c r="A42" s="46">
        <f t="shared" si="27"/>
        <v>2012</v>
      </c>
      <c r="B42" s="141">
        <f t="shared" si="1"/>
        <v>0.21573669802532949</v>
      </c>
      <c r="C42" s="46"/>
      <c r="D42" s="46"/>
      <c r="E42" s="154">
        <f t="shared" si="11"/>
        <v>1.203079570652444E-3</v>
      </c>
      <c r="F42" s="154">
        <f t="shared" si="12"/>
        <v>6.9951252098898022E-3</v>
      </c>
      <c r="G42" s="154">
        <f t="shared" si="13"/>
        <v>1.7397128275113548E-2</v>
      </c>
      <c r="H42" s="154">
        <f t="shared" si="14"/>
        <v>3.2045095252309502E-2</v>
      </c>
      <c r="I42" s="154">
        <f t="shared" si="15"/>
        <v>2.2753372061376072E-2</v>
      </c>
      <c r="J42" s="154">
        <f t="shared" si="16"/>
        <v>1.4299668507778676E-2</v>
      </c>
      <c r="K42" s="154">
        <f t="shared" si="17"/>
        <v>1.3174880135544681E-2</v>
      </c>
      <c r="L42" s="154">
        <f t="shared" si="18"/>
        <v>0</v>
      </c>
      <c r="M42" s="154"/>
      <c r="N42" s="158">
        <f t="shared" si="19"/>
        <v>1.6846835599197139E-3</v>
      </c>
      <c r="O42" s="158">
        <f t="shared" si="20"/>
        <v>3.6081753190785576E-2</v>
      </c>
      <c r="P42" s="158">
        <f t="shared" si="21"/>
        <v>0.1221718129140069</v>
      </c>
      <c r="Q42" s="158">
        <f t="shared" si="22"/>
        <v>0.28963433891761742</v>
      </c>
      <c r="R42" s="158">
        <f t="shared" si="23"/>
        <v>0.43739059990770512</v>
      </c>
      <c r="S42" s="158">
        <f t="shared" si="24"/>
        <v>0.55154402145417747</v>
      </c>
      <c r="T42" s="158">
        <f t="shared" si="25"/>
        <v>0.72240526910611091</v>
      </c>
      <c r="U42" s="158">
        <f t="shared" si="26"/>
        <v>1</v>
      </c>
      <c r="W42" s="158">
        <f t="shared" si="4"/>
        <v>3.5538005923000986E-2</v>
      </c>
      <c r="X42" s="158">
        <f t="shared" si="5"/>
        <v>0.1194471865745311</v>
      </c>
      <c r="Y42" s="158">
        <f t="shared" si="6"/>
        <v>0.25271470878578484</v>
      </c>
      <c r="Z42" s="158">
        <f t="shared" si="7"/>
        <v>0.45113524185587373</v>
      </c>
      <c r="AA42" s="158">
        <f t="shared" si="8"/>
        <v>0.59526159921026656</v>
      </c>
      <c r="AB42" s="158">
        <f t="shared" si="9"/>
        <v>0.69496544916090819</v>
      </c>
      <c r="AC42" s="158">
        <f t="shared" si="10"/>
        <v>0.82428430404738395</v>
      </c>
      <c r="AD42" s="158">
        <v>1</v>
      </c>
      <c r="AE42" s="143"/>
      <c r="AF42" s="143">
        <f>'3-Kak'!AQ42</f>
        <v>1.6846835599197139E-3</v>
      </c>
      <c r="AG42" s="143">
        <f>'3-Kak'!AR42</f>
        <v>3.4397069630865862E-2</v>
      </c>
      <c r="AH42" s="143">
        <f>'3-Kak'!AS42</f>
        <v>8.6090059723221327E-2</v>
      </c>
      <c r="AI42" s="143">
        <f>'3-Kak'!AT42</f>
        <v>0.16746252600361053</v>
      </c>
      <c r="AJ42" s="143">
        <f>'3-Kak'!AU42</f>
        <v>0.14775626099008773</v>
      </c>
      <c r="AK42" s="143">
        <f>'3-Kak'!AV42</f>
        <v>0.11415342154647239</v>
      </c>
      <c r="AL42" s="143">
        <f>'3-Kak'!AW42</f>
        <v>0.17086124765193342</v>
      </c>
      <c r="AM42" s="143">
        <f>'3-Kak'!AX42</f>
        <v>0.27759473089388914</v>
      </c>
      <c r="AN42" s="46"/>
      <c r="AO42" s="152">
        <f>Shares!D83</f>
        <v>3.6</v>
      </c>
      <c r="AP42" s="152">
        <f>Shares!E83</f>
        <v>8.5</v>
      </c>
      <c r="AQ42" s="152">
        <f>Shares!F83</f>
        <v>13.5</v>
      </c>
      <c r="AR42" s="152">
        <f>Shares!G83</f>
        <v>20.100000000000001</v>
      </c>
      <c r="AS42" s="152">
        <f>Shares!J83</f>
        <v>14.6</v>
      </c>
      <c r="AT42" s="152">
        <f>Shares!K83</f>
        <v>10.1</v>
      </c>
      <c r="AU42" s="152">
        <f>Shares!L83</f>
        <v>13.1</v>
      </c>
      <c r="AV42" s="152">
        <f>Shares!M83</f>
        <v>17.8</v>
      </c>
    </row>
    <row r="43" spans="1:48">
      <c r="A43" s="46">
        <f t="shared" si="27"/>
        <v>2013</v>
      </c>
      <c r="B43" s="141">
        <f t="shared" si="1"/>
        <v>0.21778821785397598</v>
      </c>
      <c r="C43" s="46"/>
      <c r="D43" s="46"/>
      <c r="E43" s="154">
        <f t="shared" si="11"/>
        <v>1.2510214717745163E-3</v>
      </c>
      <c r="F43" s="154">
        <f t="shared" si="12"/>
        <v>7.0887750833147425E-3</v>
      </c>
      <c r="G43" s="154">
        <f t="shared" si="13"/>
        <v>1.7487649076389108E-2</v>
      </c>
      <c r="H43" s="154">
        <f t="shared" si="14"/>
        <v>3.2384883842204275E-2</v>
      </c>
      <c r="I43" s="154">
        <f t="shared" si="15"/>
        <v>2.3080087160216204E-2</v>
      </c>
      <c r="J43" s="154">
        <f t="shared" si="16"/>
        <v>1.4235706248141673E-2</v>
      </c>
      <c r="K43" s="154">
        <f t="shared" si="17"/>
        <v>1.3365986044947476E-2</v>
      </c>
      <c r="L43" s="154">
        <f t="shared" si="18"/>
        <v>0</v>
      </c>
      <c r="M43" s="154"/>
      <c r="N43" s="158">
        <f t="shared" si="19"/>
        <v>4.1627408772955737E-3</v>
      </c>
      <c r="O43" s="158">
        <f t="shared" si="20"/>
        <v>4.2781553010073511E-2</v>
      </c>
      <c r="P43" s="158">
        <f t="shared" si="21"/>
        <v>0.13415324973141143</v>
      </c>
      <c r="Q43" s="158">
        <f t="shared" si="22"/>
        <v>0.30746019682546727</v>
      </c>
      <c r="R43" s="158">
        <f t="shared" si="23"/>
        <v>0.46016964912356628</v>
      </c>
      <c r="S43" s="158">
        <f t="shared" si="24"/>
        <v>0.57667563955041445</v>
      </c>
      <c r="T43" s="158">
        <f t="shared" si="25"/>
        <v>0.74617372255596248</v>
      </c>
      <c r="U43" s="158">
        <f t="shared" si="26"/>
        <v>1</v>
      </c>
      <c r="W43" s="158">
        <f t="shared" si="4"/>
        <v>3.7512339585389923E-2</v>
      </c>
      <c r="X43" s="158">
        <f t="shared" si="5"/>
        <v>0.12438302073050345</v>
      </c>
      <c r="Y43" s="158">
        <f t="shared" si="6"/>
        <v>0.26159921026653499</v>
      </c>
      <c r="Z43" s="158">
        <f t="shared" si="7"/>
        <v>0.46594274432379063</v>
      </c>
      <c r="AA43" s="158">
        <f t="shared" si="8"/>
        <v>0.61500493583415583</v>
      </c>
      <c r="AB43" s="158">
        <f t="shared" si="9"/>
        <v>0.71668311944718643</v>
      </c>
      <c r="AC43" s="158">
        <f t="shared" si="10"/>
        <v>0.84797630799605117</v>
      </c>
      <c r="AD43" s="158">
        <v>1</v>
      </c>
      <c r="AE43" s="143"/>
      <c r="AF43" s="143">
        <f>'3-Kak'!AQ43</f>
        <v>4.1627408772955737E-3</v>
      </c>
      <c r="AG43" s="143">
        <f>'3-Kak'!AR43</f>
        <v>3.8618812132777937E-2</v>
      </c>
      <c r="AH43" s="143">
        <f>'3-Kak'!AS43</f>
        <v>9.1371696721337922E-2</v>
      </c>
      <c r="AI43" s="143">
        <f>'3-Kak'!AT43</f>
        <v>0.17330694709405584</v>
      </c>
      <c r="AJ43" s="143">
        <f>'3-Kak'!AU43</f>
        <v>0.15270945229809901</v>
      </c>
      <c r="AK43" s="143">
        <f>'3-Kak'!AV43</f>
        <v>0.11650599042684817</v>
      </c>
      <c r="AL43" s="143">
        <f>'3-Kak'!AW43</f>
        <v>0.16949808300554803</v>
      </c>
      <c r="AM43" s="143">
        <f>'3-Kak'!AX43</f>
        <v>0.25382627744403752</v>
      </c>
      <c r="AN43" s="46"/>
      <c r="AO43" s="152">
        <f>Shares!D84</f>
        <v>3.8</v>
      </c>
      <c r="AP43" s="152">
        <f>Shares!E84</f>
        <v>8.8000000000000007</v>
      </c>
      <c r="AQ43" s="152">
        <f>Shares!F84</f>
        <v>13.9</v>
      </c>
      <c r="AR43" s="152">
        <f>Shares!G84</f>
        <v>20.7</v>
      </c>
      <c r="AS43" s="152">
        <f>Shares!J84</f>
        <v>15.1</v>
      </c>
      <c r="AT43" s="152">
        <f>Shares!K84</f>
        <v>10.3</v>
      </c>
      <c r="AU43" s="152">
        <f>Shares!L84</f>
        <v>13.3</v>
      </c>
      <c r="AV43" s="152">
        <f>Shares!M84</f>
        <v>15.4</v>
      </c>
    </row>
    <row r="44" spans="1:48">
      <c r="A44" s="46">
        <f t="shared" si="27"/>
        <v>2014</v>
      </c>
      <c r="B44" s="141">
        <f t="shared" si="1"/>
        <v>0.21118562838451713</v>
      </c>
      <c r="C44" s="46"/>
      <c r="D44" s="46"/>
      <c r="E44" s="154">
        <f t="shared" si="11"/>
        <v>1.1515826231820467E-3</v>
      </c>
      <c r="F44" s="154">
        <f t="shared" si="12"/>
        <v>6.8600121122059004E-3</v>
      </c>
      <c r="G44" s="154">
        <f t="shared" si="13"/>
        <v>1.6494794467165945E-2</v>
      </c>
      <c r="H44" s="154">
        <f t="shared" si="14"/>
        <v>3.1030010849384091E-2</v>
      </c>
      <c r="I44" s="154">
        <f t="shared" si="15"/>
        <v>2.2315637765517485E-2</v>
      </c>
      <c r="J44" s="154">
        <f t="shared" si="16"/>
        <v>1.4143825283152573E-2</v>
      </c>
      <c r="K44" s="154">
        <f t="shared" si="17"/>
        <v>1.3596951091650532E-2</v>
      </c>
      <c r="L44" s="154">
        <f t="shared" si="18"/>
        <v>0</v>
      </c>
      <c r="M44" s="154"/>
      <c r="N44" s="158">
        <f t="shared" si="19"/>
        <v>3.2008554557489636E-3</v>
      </c>
      <c r="O44" s="158">
        <f t="shared" si="20"/>
        <v>3.9828565991325039E-2</v>
      </c>
      <c r="P44" s="158">
        <f t="shared" si="21"/>
        <v>0.12839180000603798</v>
      </c>
      <c r="Q44" s="158">
        <f t="shared" si="22"/>
        <v>0.29886582959495112</v>
      </c>
      <c r="R44" s="158">
        <f t="shared" si="23"/>
        <v>0.44721165925296347</v>
      </c>
      <c r="S44" s="158">
        <f t="shared" si="24"/>
        <v>0.56261451129370832</v>
      </c>
      <c r="T44" s="158">
        <f t="shared" si="25"/>
        <v>0.73305346304488839</v>
      </c>
      <c r="U44" s="158">
        <f t="shared" si="26"/>
        <v>1</v>
      </c>
      <c r="W44" s="158">
        <f t="shared" si="4"/>
        <v>3.5573122529644272E-2</v>
      </c>
      <c r="X44" s="158">
        <f t="shared" si="5"/>
        <v>0.12055335968379446</v>
      </c>
      <c r="Y44" s="158">
        <f t="shared" si="6"/>
        <v>0.25296442687747034</v>
      </c>
      <c r="Z44" s="158">
        <f t="shared" si="7"/>
        <v>0.45355731225296442</v>
      </c>
      <c r="AA44" s="158">
        <f t="shared" si="8"/>
        <v>0.59980237154150196</v>
      </c>
      <c r="AB44" s="158">
        <f t="shared" si="9"/>
        <v>0.70158102766798414</v>
      </c>
      <c r="AC44" s="158">
        <f t="shared" si="10"/>
        <v>0.83498023715415015</v>
      </c>
      <c r="AD44" s="158">
        <v>1</v>
      </c>
      <c r="AE44" s="143"/>
      <c r="AF44" s="143">
        <f>'3-Kak'!AQ44</f>
        <v>3.2008554557489632E-3</v>
      </c>
      <c r="AG44" s="143">
        <f>'3-Kak'!AR44</f>
        <v>3.662771053557607E-2</v>
      </c>
      <c r="AH44" s="143">
        <f>'3-Kak'!AS44</f>
        <v>8.856323401471293E-2</v>
      </c>
      <c r="AI44" s="143">
        <f>'3-Kak'!AT44</f>
        <v>0.17047402958891308</v>
      </c>
      <c r="AJ44" s="143">
        <f>'3-Kak'!AU44</f>
        <v>0.14834582965801232</v>
      </c>
      <c r="AK44" s="143">
        <f>'3-Kak'!AV44</f>
        <v>0.11540285204074482</v>
      </c>
      <c r="AL44" s="143">
        <f>'3-Kak'!AW44</f>
        <v>0.17043895175118007</v>
      </c>
      <c r="AM44" s="143">
        <f>'3-Kak'!AX44</f>
        <v>0.26694653695511161</v>
      </c>
      <c r="AN44" s="46"/>
      <c r="AO44" s="152">
        <f>Shares!D85</f>
        <v>3.6</v>
      </c>
      <c r="AP44" s="152">
        <f>Shares!E85</f>
        <v>8.6</v>
      </c>
      <c r="AQ44" s="152">
        <f>Shares!F85</f>
        <v>13.4</v>
      </c>
      <c r="AR44" s="152">
        <f>Shares!G85</f>
        <v>20.3</v>
      </c>
      <c r="AS44" s="152">
        <f>Shares!J85</f>
        <v>14.8</v>
      </c>
      <c r="AT44" s="152">
        <f>Shares!K85</f>
        <v>10.3</v>
      </c>
      <c r="AU44" s="152">
        <f>Shares!L85</f>
        <v>13.5</v>
      </c>
      <c r="AV44" s="152">
        <f>Shares!M85</f>
        <v>16.7</v>
      </c>
    </row>
    <row r="45" spans="1:48">
      <c r="A45" s="46">
        <f t="shared" si="27"/>
        <v>2015</v>
      </c>
      <c r="B45" s="141">
        <f t="shared" si="1"/>
        <v>0.21293389139051297</v>
      </c>
      <c r="C45" s="46"/>
      <c r="D45" s="161">
        <v>0</v>
      </c>
      <c r="E45" s="154">
        <f t="shared" si="11"/>
        <v>1.2380878995283775E-3</v>
      </c>
      <c r="F45" s="154">
        <f t="shared" si="12"/>
        <v>7.0505644946840425E-3</v>
      </c>
      <c r="G45" s="154">
        <f t="shared" si="13"/>
        <v>1.7047696677494579E-2</v>
      </c>
      <c r="H45" s="154">
        <f t="shared" si="14"/>
        <v>3.1260109178409885E-2</v>
      </c>
      <c r="I45" s="154">
        <f t="shared" si="15"/>
        <v>2.2286756214243097E-2</v>
      </c>
      <c r="J45" s="154">
        <f t="shared" si="16"/>
        <v>1.425418438444722E-2</v>
      </c>
      <c r="K45" s="154">
        <f t="shared" si="17"/>
        <v>1.3329546846449287E-2</v>
      </c>
      <c r="L45" s="154">
        <f t="shared" si="18"/>
        <v>0</v>
      </c>
      <c r="M45" s="154"/>
      <c r="N45" s="158">
        <f t="shared" si="19"/>
        <v>2.6283337752158391E-3</v>
      </c>
      <c r="O45" s="158">
        <f t="shared" si="20"/>
        <v>4.0314183239207234E-2</v>
      </c>
      <c r="P45" s="158">
        <f t="shared" si="21"/>
        <v>0.12968310600540092</v>
      </c>
      <c r="Q45" s="158">
        <f t="shared" si="22"/>
        <v>0.30106567832220699</v>
      </c>
      <c r="R45" s="158">
        <f t="shared" si="23"/>
        <v>0.45061512274476673</v>
      </c>
      <c r="S45" s="158">
        <f t="shared" si="24"/>
        <v>0.56464790600251291</v>
      </c>
      <c r="T45" s="158">
        <f t="shared" si="25"/>
        <v>0.73460526124387471</v>
      </c>
      <c r="U45" s="158">
        <f t="shared" si="26"/>
        <v>1</v>
      </c>
      <c r="V45" s="161">
        <v>0</v>
      </c>
      <c r="W45" s="158">
        <f t="shared" si="4"/>
        <v>3.6525172754195465E-2</v>
      </c>
      <c r="X45" s="158">
        <f t="shared" si="5"/>
        <v>0.12240868706811453</v>
      </c>
      <c r="Y45" s="158">
        <f t="shared" si="6"/>
        <v>0.25666337611056272</v>
      </c>
      <c r="Z45" s="158">
        <f t="shared" si="7"/>
        <v>0.45705824284304053</v>
      </c>
      <c r="AA45" s="158">
        <f t="shared" si="8"/>
        <v>0.60315893385982244</v>
      </c>
      <c r="AB45" s="158">
        <f t="shared" si="9"/>
        <v>0.70483711747285305</v>
      </c>
      <c r="AC45" s="158">
        <f t="shared" si="10"/>
        <v>0.83613030602171778</v>
      </c>
      <c r="AD45" s="158">
        <v>1</v>
      </c>
      <c r="AE45" s="143"/>
      <c r="AF45" s="143">
        <f>'3-Kak'!AQ45</f>
        <v>2.6283337752158391E-3</v>
      </c>
      <c r="AG45" s="143">
        <f>'3-Kak'!AR45</f>
        <v>3.7685849463991394E-2</v>
      </c>
      <c r="AH45" s="143">
        <f>'3-Kak'!AS45</f>
        <v>8.9368922766193695E-2</v>
      </c>
      <c r="AI45" s="143">
        <f>'3-Kak'!AT45</f>
        <v>0.17138257231680609</v>
      </c>
      <c r="AJ45" s="143">
        <f>'3-Kak'!AU45</f>
        <v>0.14954944442255974</v>
      </c>
      <c r="AK45" s="143">
        <f>'3-Kak'!AV45</f>
        <v>0.11403278325774613</v>
      </c>
      <c r="AL45" s="143">
        <f>'3-Kak'!AW45</f>
        <v>0.16995735524136182</v>
      </c>
      <c r="AM45" s="143">
        <f>'3-Kak'!AX45</f>
        <v>0.26539473875612529</v>
      </c>
      <c r="AN45" s="46"/>
      <c r="AO45" s="152">
        <f>Shares!D86</f>
        <v>3.7</v>
      </c>
      <c r="AP45" s="152">
        <f>Shares!E86</f>
        <v>8.6999999999999993</v>
      </c>
      <c r="AQ45" s="152">
        <f>Shares!F86</f>
        <v>13.6</v>
      </c>
      <c r="AR45" s="152">
        <f>Shares!G86</f>
        <v>20.3</v>
      </c>
      <c r="AS45" s="152">
        <f>Shares!J86</f>
        <v>14.8</v>
      </c>
      <c r="AT45" s="152">
        <f>Shares!K86</f>
        <v>10.3</v>
      </c>
      <c r="AU45" s="152">
        <f>Shares!L86</f>
        <v>13.3</v>
      </c>
      <c r="AV45" s="152">
        <f>Shares!M86</f>
        <v>16.600000000000001</v>
      </c>
    </row>
    <row r="46" spans="1:48">
      <c r="A46" s="46">
        <f t="shared" si="27"/>
        <v>2016</v>
      </c>
      <c r="B46" s="141">
        <f t="shared" si="1"/>
        <v>0.21322658856922519</v>
      </c>
      <c r="C46" s="46"/>
      <c r="D46" s="161">
        <v>0</v>
      </c>
      <c r="E46" s="154">
        <f t="shared" si="11"/>
        <v>1.2960054076999628E-3</v>
      </c>
      <c r="F46" s="154">
        <f t="shared" si="12"/>
        <v>7.299254957946321E-3</v>
      </c>
      <c r="G46" s="154">
        <f t="shared" si="13"/>
        <v>1.712926781953937E-2</v>
      </c>
      <c r="H46" s="154">
        <f t="shared" si="14"/>
        <v>3.1511250401126532E-2</v>
      </c>
      <c r="I46" s="154">
        <f t="shared" si="15"/>
        <v>2.2309525495524483E-2</v>
      </c>
      <c r="J46" s="154">
        <f t="shared" si="16"/>
        <v>1.3963873597577725E-2</v>
      </c>
      <c r="K46" s="154">
        <f t="shared" si="17"/>
        <v>1.3104116605198191E-2</v>
      </c>
      <c r="L46" s="154">
        <f t="shared" si="18"/>
        <v>0</v>
      </c>
      <c r="M46" s="643">
        <v>0</v>
      </c>
      <c r="N46" s="158">
        <f t="shared" si="19"/>
        <v>3.1059830463924863E-3</v>
      </c>
      <c r="O46" s="158">
        <f t="shared" si="20"/>
        <v>4.2701944043931947E-2</v>
      </c>
      <c r="P46" s="158">
        <f t="shared" si="21"/>
        <v>0.13280252259719993</v>
      </c>
      <c r="Q46" s="158">
        <f t="shared" si="22"/>
        <v>0.30750374769607558</v>
      </c>
      <c r="R46" s="158">
        <f t="shared" si="23"/>
        <v>0.45891147372851004</v>
      </c>
      <c r="S46" s="158">
        <f t="shared" si="24"/>
        <v>0.57510329630924173</v>
      </c>
      <c r="T46" s="158">
        <f t="shared" si="25"/>
        <v>0.74410809837188086</v>
      </c>
      <c r="U46" s="158">
        <f t="shared" si="26"/>
        <v>1</v>
      </c>
      <c r="V46" s="643">
        <v>0</v>
      </c>
      <c r="W46" s="158">
        <f t="shared" si="4"/>
        <v>3.7586547972304651E-2</v>
      </c>
      <c r="X46" s="158">
        <f t="shared" si="5"/>
        <v>0.12561819980217609</v>
      </c>
      <c r="Y46" s="158">
        <f t="shared" si="6"/>
        <v>0.26013847675568746</v>
      </c>
      <c r="Z46" s="158">
        <f t="shared" si="7"/>
        <v>0.4629080118694362</v>
      </c>
      <c r="AA46" s="158">
        <f t="shared" si="8"/>
        <v>0.61028684470820971</v>
      </c>
      <c r="AB46" s="158">
        <f t="shared" si="9"/>
        <v>0.71216617210682498</v>
      </c>
      <c r="AC46" s="158">
        <f t="shared" si="10"/>
        <v>0.8437190900098912</v>
      </c>
      <c r="AD46" s="158">
        <v>1</v>
      </c>
      <c r="AE46" s="143"/>
      <c r="AF46" s="143">
        <f>'3-Kak'!AQ46</f>
        <v>3.1059830463924863E-3</v>
      </c>
      <c r="AG46" s="143">
        <f>'3-Kak'!AR46</f>
        <v>3.959596099753946E-2</v>
      </c>
      <c r="AH46" s="143">
        <f>'3-Kak'!AS46</f>
        <v>9.0100578553267988E-2</v>
      </c>
      <c r="AI46" s="143">
        <f>'3-Kak'!AT46</f>
        <v>0.17470122509887565</v>
      </c>
      <c r="AJ46" s="143">
        <f>'3-Kak'!AU46</f>
        <v>0.15140772603243444</v>
      </c>
      <c r="AK46" s="143">
        <f>'3-Kak'!AV46</f>
        <v>0.11619182258073166</v>
      </c>
      <c r="AL46" s="143">
        <f>'3-Kak'!AW46</f>
        <v>0.16900480206263907</v>
      </c>
      <c r="AM46" s="143">
        <f>'3-Kak'!AX46</f>
        <v>0.25589190162811926</v>
      </c>
      <c r="AN46" s="46"/>
      <c r="AO46" s="152">
        <f>Shares!D87</f>
        <v>3.8</v>
      </c>
      <c r="AP46" s="152">
        <f>Shares!E87</f>
        <v>8.9</v>
      </c>
      <c r="AQ46" s="152">
        <f>Shares!F87</f>
        <v>13.6</v>
      </c>
      <c r="AR46" s="152">
        <f>Shares!G87</f>
        <v>20.5</v>
      </c>
      <c r="AS46" s="152">
        <f>Shares!J87</f>
        <v>14.9</v>
      </c>
      <c r="AT46" s="152">
        <f>Shares!K87</f>
        <v>10.3</v>
      </c>
      <c r="AU46" s="152">
        <f>Shares!L87</f>
        <v>13.3</v>
      </c>
      <c r="AV46" s="152">
        <f>Shares!M87</f>
        <v>15.8</v>
      </c>
    </row>
    <row r="47" spans="1:48">
      <c r="A47" s="201" t="s">
        <v>154</v>
      </c>
      <c r="B47" s="451">
        <f>(B46-B9)/B9</f>
        <v>0.44326629981905297</v>
      </c>
      <c r="C47" s="451"/>
      <c r="AO47" s="148"/>
    </row>
    <row r="48" spans="1:48">
      <c r="A48" s="201" t="s">
        <v>791</v>
      </c>
      <c r="B48" s="451">
        <f>(B46-B16)/B16</f>
        <v>1.3261364222146184</v>
      </c>
      <c r="C48" s="451"/>
      <c r="AO48" s="148"/>
    </row>
  </sheetData>
  <mergeCells count="6">
    <mergeCell ref="AO7:AV7"/>
    <mergeCell ref="W7:AD7"/>
    <mergeCell ref="AF7:AM7"/>
    <mergeCell ref="B7:B8"/>
    <mergeCell ref="E7:L7"/>
    <mergeCell ref="N7:U7"/>
  </mergeCells>
  <hyperlinks>
    <hyperlink ref="H1" location="Index!A1" display="index" xr:uid="{888B80DF-81FD-4201-A097-46ED40886BF8}"/>
  </hyperlinks>
  <pageMargins left="0.7" right="0.7" top="0.75" bottom="0.75" header="0.3" footer="0.3"/>
  <pageSetup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959325-6081-4250-9DB6-3CFA51D2898F}">
  <dimension ref="A1:N79"/>
  <sheetViews>
    <sheetView zoomScale="85" zoomScaleNormal="85" workbookViewId="0"/>
  </sheetViews>
  <sheetFormatPr defaultRowHeight="14.25" customHeight="1"/>
  <cols>
    <col min="1" max="1" width="8.28515625" style="405" customWidth="1"/>
    <col min="2" max="2" width="9.5703125" style="406" customWidth="1"/>
    <col min="3" max="3" width="11.140625" style="406" customWidth="1"/>
    <col min="4" max="4" width="9.85546875" style="406" customWidth="1"/>
    <col min="5" max="5" width="9.140625" style="423"/>
    <col min="6" max="6" width="12.28515625" style="423" bestFit="1" customWidth="1"/>
    <col min="7" max="12" width="9.140625" style="423"/>
    <col min="13" max="13" width="11" style="423" customWidth="1"/>
    <col min="14" max="16384" width="9.140625" style="423"/>
  </cols>
  <sheetData>
    <row r="1" spans="1:9" ht="14.25" customHeight="1">
      <c r="A1" s="133" t="s">
        <v>658</v>
      </c>
      <c r="I1" s="641" t="s">
        <v>762</v>
      </c>
    </row>
    <row r="30" spans="1:11" ht="14.25" customHeight="1">
      <c r="A30" s="718" t="s">
        <v>430</v>
      </c>
      <c r="B30" s="718"/>
      <c r="C30" s="718"/>
      <c r="D30" s="718"/>
      <c r="E30" s="718"/>
      <c r="F30" s="718"/>
      <c r="G30" s="718"/>
      <c r="H30" s="718"/>
      <c r="I30" s="718"/>
      <c r="J30" s="718"/>
      <c r="K30" s="718"/>
    </row>
    <row r="31" spans="1:11" ht="29.25" customHeight="1">
      <c r="A31" s="718" t="s">
        <v>659</v>
      </c>
      <c r="B31" s="718"/>
      <c r="C31" s="718"/>
      <c r="D31" s="718"/>
      <c r="E31" s="718"/>
      <c r="F31" s="718"/>
      <c r="G31" s="718"/>
      <c r="H31" s="718"/>
      <c r="I31" s="718"/>
      <c r="J31" s="718"/>
      <c r="K31" s="718"/>
    </row>
    <row r="33" spans="1:14" ht="14.25" customHeight="1">
      <c r="A33" s="133" t="s">
        <v>427</v>
      </c>
    </row>
    <row r="34" spans="1:14" ht="28.5">
      <c r="A34" s="136" t="s">
        <v>3</v>
      </c>
      <c r="B34" s="136" t="s">
        <v>428</v>
      </c>
      <c r="C34" s="136" t="s">
        <v>429</v>
      </c>
      <c r="D34" s="136" t="s">
        <v>238</v>
      </c>
      <c r="F34" s="431" t="s">
        <v>155</v>
      </c>
      <c r="G34" s="431" t="s">
        <v>156</v>
      </c>
      <c r="H34" s="431" t="s">
        <v>157</v>
      </c>
    </row>
    <row r="35" spans="1:14" ht="15">
      <c r="A35" s="405">
        <v>1979</v>
      </c>
      <c r="B35" s="406">
        <v>9.3000000000000007</v>
      </c>
      <c r="C35" s="406">
        <v>19.100000000000001</v>
      </c>
      <c r="D35" s="425">
        <v>27.1</v>
      </c>
      <c r="F35" s="425">
        <f>D35-B35</f>
        <v>17.8</v>
      </c>
      <c r="G35" s="425">
        <f>D35-C35</f>
        <v>8</v>
      </c>
      <c r="H35" s="425">
        <f>C35-B35</f>
        <v>9.8000000000000007</v>
      </c>
    </row>
    <row r="36" spans="1:14" ht="15">
      <c r="A36" s="405">
        <v>1980</v>
      </c>
      <c r="B36" s="406">
        <v>8.9</v>
      </c>
      <c r="C36" s="406">
        <v>19</v>
      </c>
      <c r="D36" s="406">
        <v>26.9</v>
      </c>
      <c r="F36" s="425">
        <f t="shared" ref="F36:F72" si="0">D36-B36</f>
        <v>18</v>
      </c>
      <c r="G36" s="425">
        <f t="shared" ref="G36:G72" si="1">D36-C36</f>
        <v>7.8999999999999986</v>
      </c>
      <c r="H36" s="425">
        <f t="shared" ref="H36:H72" si="2">C36-B36</f>
        <v>10.1</v>
      </c>
      <c r="M36" s="127"/>
      <c r="N36" s="127"/>
    </row>
    <row r="37" spans="1:14" ht="15">
      <c r="A37" s="405">
        <v>1981</v>
      </c>
      <c r="B37" s="406">
        <v>9.6</v>
      </c>
      <c r="C37" s="406">
        <v>19.399999999999999</v>
      </c>
      <c r="D37" s="406">
        <v>26.6</v>
      </c>
      <c r="F37" s="425">
        <f t="shared" si="0"/>
        <v>17</v>
      </c>
      <c r="G37" s="425">
        <f t="shared" si="1"/>
        <v>7.2000000000000028</v>
      </c>
      <c r="H37" s="425">
        <f t="shared" si="2"/>
        <v>9.7999999999999989</v>
      </c>
      <c r="M37" s="127"/>
      <c r="N37" s="127"/>
    </row>
    <row r="38" spans="1:14" ht="15">
      <c r="A38" s="405">
        <v>1982</v>
      </c>
      <c r="B38" s="406">
        <v>9.8000000000000007</v>
      </c>
      <c r="C38" s="406">
        <v>18.100000000000001</v>
      </c>
      <c r="D38" s="406">
        <v>24.2</v>
      </c>
      <c r="F38" s="425">
        <f t="shared" si="0"/>
        <v>14.399999999999999</v>
      </c>
      <c r="G38" s="425">
        <f t="shared" si="1"/>
        <v>6.0999999999999979</v>
      </c>
      <c r="H38" s="425">
        <f t="shared" si="2"/>
        <v>8.3000000000000007</v>
      </c>
      <c r="M38" s="127"/>
      <c r="N38" s="127"/>
    </row>
    <row r="39" spans="1:14" ht="15">
      <c r="A39" s="405">
        <v>1983</v>
      </c>
      <c r="B39" s="406">
        <v>11.1</v>
      </c>
      <c r="C39" s="406">
        <v>17.5</v>
      </c>
      <c r="D39" s="406">
        <v>23.6</v>
      </c>
      <c r="F39" s="425">
        <f t="shared" si="0"/>
        <v>12.500000000000002</v>
      </c>
      <c r="G39" s="425">
        <f t="shared" si="1"/>
        <v>6.1000000000000014</v>
      </c>
      <c r="H39" s="425">
        <f t="shared" si="2"/>
        <v>6.4</v>
      </c>
      <c r="M39" s="127"/>
      <c r="N39" s="127"/>
    </row>
    <row r="40" spans="1:14" ht="15">
      <c r="A40" s="405">
        <v>1984</v>
      </c>
      <c r="B40" s="406">
        <v>12.1</v>
      </c>
      <c r="C40" s="406">
        <v>18</v>
      </c>
      <c r="D40" s="406">
        <v>23.7</v>
      </c>
      <c r="F40" s="425">
        <f t="shared" si="0"/>
        <v>11.6</v>
      </c>
      <c r="G40" s="425">
        <f t="shared" si="1"/>
        <v>5.6999999999999993</v>
      </c>
      <c r="H40" s="425">
        <f t="shared" si="2"/>
        <v>5.9</v>
      </c>
      <c r="M40" s="127"/>
      <c r="N40" s="127"/>
    </row>
    <row r="41" spans="1:14" ht="15">
      <c r="A41" s="405">
        <v>1985</v>
      </c>
      <c r="B41" s="406">
        <v>11.8</v>
      </c>
      <c r="C41" s="406">
        <v>18.2</v>
      </c>
      <c r="D41" s="406">
        <v>23.7</v>
      </c>
      <c r="F41" s="425">
        <f t="shared" si="0"/>
        <v>11.899999999999999</v>
      </c>
      <c r="G41" s="425">
        <f t="shared" si="1"/>
        <v>5.5</v>
      </c>
      <c r="H41" s="425">
        <f t="shared" si="2"/>
        <v>6.3999999999999986</v>
      </c>
      <c r="M41" s="127"/>
      <c r="N41" s="127"/>
    </row>
    <row r="42" spans="1:14" ht="15">
      <c r="A42" s="405">
        <v>1986</v>
      </c>
      <c r="B42" s="406">
        <v>11.7</v>
      </c>
      <c r="C42" s="406">
        <v>18.2</v>
      </c>
      <c r="D42" s="406">
        <v>23.5</v>
      </c>
      <c r="F42" s="425">
        <f t="shared" si="0"/>
        <v>11.8</v>
      </c>
      <c r="G42" s="425">
        <f t="shared" si="1"/>
        <v>5.3000000000000007</v>
      </c>
      <c r="H42" s="425">
        <f t="shared" si="2"/>
        <v>6.5</v>
      </c>
      <c r="M42" s="127"/>
      <c r="N42" s="127"/>
    </row>
    <row r="43" spans="1:14" ht="15">
      <c r="A43" s="405">
        <v>1987</v>
      </c>
      <c r="B43" s="406">
        <v>10.7</v>
      </c>
      <c r="C43" s="406">
        <v>17.8</v>
      </c>
      <c r="D43" s="406">
        <v>25.6</v>
      </c>
      <c r="F43" s="425">
        <f t="shared" si="0"/>
        <v>14.900000000000002</v>
      </c>
      <c r="G43" s="425">
        <f t="shared" si="1"/>
        <v>7.8000000000000007</v>
      </c>
      <c r="H43" s="425">
        <f t="shared" si="2"/>
        <v>7.1000000000000014</v>
      </c>
      <c r="M43" s="127"/>
      <c r="N43" s="127"/>
    </row>
    <row r="44" spans="1:14" ht="15">
      <c r="A44" s="405">
        <v>1988</v>
      </c>
      <c r="B44" s="406">
        <v>10.199999999999999</v>
      </c>
      <c r="C44" s="406">
        <v>18.2</v>
      </c>
      <c r="D44" s="406">
        <v>25.4</v>
      </c>
      <c r="F44" s="425">
        <f t="shared" si="0"/>
        <v>15.2</v>
      </c>
      <c r="G44" s="425">
        <f t="shared" si="1"/>
        <v>7.1999999999999993</v>
      </c>
      <c r="H44" s="425">
        <f t="shared" si="2"/>
        <v>8</v>
      </c>
      <c r="M44" s="127"/>
      <c r="N44" s="127"/>
    </row>
    <row r="45" spans="1:14" ht="15">
      <c r="A45" s="405">
        <v>1989</v>
      </c>
      <c r="B45" s="406">
        <v>9.6</v>
      </c>
      <c r="C45" s="406">
        <v>18.100000000000001</v>
      </c>
      <c r="D45" s="406">
        <v>25</v>
      </c>
      <c r="F45" s="425">
        <f t="shared" si="0"/>
        <v>15.4</v>
      </c>
      <c r="G45" s="425">
        <f t="shared" si="1"/>
        <v>6.8999999999999986</v>
      </c>
      <c r="H45" s="425">
        <f t="shared" si="2"/>
        <v>8.5000000000000018</v>
      </c>
      <c r="M45" s="127"/>
      <c r="N45" s="127"/>
    </row>
    <row r="46" spans="1:14" ht="15">
      <c r="A46" s="405">
        <v>1990</v>
      </c>
      <c r="B46" s="406">
        <v>10.7</v>
      </c>
      <c r="C46" s="406">
        <v>18.2</v>
      </c>
      <c r="D46" s="406">
        <v>24.9</v>
      </c>
      <c r="F46" s="425">
        <f t="shared" si="0"/>
        <v>14.2</v>
      </c>
      <c r="G46" s="425">
        <f t="shared" si="1"/>
        <v>6.6999999999999993</v>
      </c>
      <c r="H46" s="425">
        <f t="shared" si="2"/>
        <v>7.5</v>
      </c>
      <c r="M46" s="127"/>
      <c r="N46" s="127"/>
    </row>
    <row r="47" spans="1:14" ht="15">
      <c r="A47" s="405">
        <v>1991</v>
      </c>
      <c r="B47" s="406">
        <v>10.199999999999999</v>
      </c>
      <c r="C47" s="406">
        <v>17.8</v>
      </c>
      <c r="D47" s="406">
        <v>25.2</v>
      </c>
      <c r="F47" s="425">
        <f t="shared" si="0"/>
        <v>15</v>
      </c>
      <c r="G47" s="425">
        <f t="shared" si="1"/>
        <v>7.3999999999999986</v>
      </c>
      <c r="H47" s="425">
        <f t="shared" si="2"/>
        <v>7.6000000000000014</v>
      </c>
      <c r="M47" s="127"/>
      <c r="N47" s="127"/>
    </row>
    <row r="48" spans="1:14" ht="15">
      <c r="A48" s="405">
        <v>1992</v>
      </c>
      <c r="B48" s="406">
        <v>10</v>
      </c>
      <c r="C48" s="406">
        <v>17.7</v>
      </c>
      <c r="D48" s="406">
        <v>25.4</v>
      </c>
      <c r="F48" s="425">
        <f t="shared" si="0"/>
        <v>15.399999999999999</v>
      </c>
      <c r="G48" s="425">
        <f t="shared" si="1"/>
        <v>7.6999999999999993</v>
      </c>
      <c r="H48" s="425">
        <f t="shared" si="2"/>
        <v>7.6999999999999993</v>
      </c>
      <c r="M48" s="127"/>
      <c r="N48" s="127"/>
    </row>
    <row r="49" spans="1:14" ht="15">
      <c r="A49" s="405">
        <v>1993</v>
      </c>
      <c r="B49" s="406">
        <v>10</v>
      </c>
      <c r="C49" s="406">
        <v>17.600000000000001</v>
      </c>
      <c r="D49" s="312">
        <v>26.5</v>
      </c>
      <c r="E49" s="12"/>
      <c r="F49" s="312">
        <f t="shared" si="0"/>
        <v>16.5</v>
      </c>
      <c r="G49" s="312">
        <f t="shared" si="1"/>
        <v>8.8999999999999986</v>
      </c>
      <c r="H49" s="425">
        <f t="shared" si="2"/>
        <v>7.6000000000000014</v>
      </c>
      <c r="M49" s="127"/>
      <c r="N49" s="127"/>
    </row>
    <row r="50" spans="1:14" ht="15">
      <c r="A50" s="405">
        <v>1994</v>
      </c>
      <c r="B50" s="406">
        <v>8.1999999999999993</v>
      </c>
      <c r="C50" s="406">
        <v>17.8</v>
      </c>
      <c r="D50" s="312">
        <v>27.1</v>
      </c>
      <c r="E50" s="12"/>
      <c r="F50" s="312">
        <f t="shared" si="0"/>
        <v>18.900000000000002</v>
      </c>
      <c r="G50" s="312">
        <f t="shared" si="1"/>
        <v>9.3000000000000007</v>
      </c>
      <c r="H50" s="425">
        <f t="shared" si="2"/>
        <v>9.6000000000000014</v>
      </c>
      <c r="M50" s="127"/>
      <c r="N50" s="127"/>
    </row>
    <row r="51" spans="1:14" ht="15">
      <c r="A51" s="405">
        <v>1995</v>
      </c>
      <c r="B51" s="406">
        <v>7.6</v>
      </c>
      <c r="C51" s="406">
        <v>17.8</v>
      </c>
      <c r="D51" s="312">
        <v>27.5</v>
      </c>
      <c r="E51" s="12"/>
      <c r="F51" s="312">
        <f t="shared" si="0"/>
        <v>19.899999999999999</v>
      </c>
      <c r="G51" s="312">
        <f t="shared" si="1"/>
        <v>9.6999999999999993</v>
      </c>
      <c r="H51" s="425">
        <f t="shared" si="2"/>
        <v>10.200000000000001</v>
      </c>
      <c r="J51" s="44"/>
      <c r="K51" s="44"/>
      <c r="L51" s="44"/>
      <c r="M51" s="127"/>
      <c r="N51" s="127"/>
    </row>
    <row r="52" spans="1:14" ht="15">
      <c r="A52" s="405">
        <v>1996</v>
      </c>
      <c r="B52" s="406">
        <v>6.8</v>
      </c>
      <c r="C52" s="406">
        <v>17.8</v>
      </c>
      <c r="D52" s="406">
        <v>27.7</v>
      </c>
      <c r="F52" s="425">
        <f t="shared" si="0"/>
        <v>20.9</v>
      </c>
      <c r="G52" s="425">
        <f t="shared" si="1"/>
        <v>9.8999999999999986</v>
      </c>
      <c r="H52" s="425">
        <f t="shared" si="2"/>
        <v>11</v>
      </c>
      <c r="M52" s="127"/>
      <c r="N52" s="127"/>
    </row>
    <row r="53" spans="1:14" ht="15">
      <c r="A53" s="405">
        <v>1997</v>
      </c>
      <c r="B53" s="406">
        <v>7</v>
      </c>
      <c r="C53" s="406">
        <v>18.100000000000001</v>
      </c>
      <c r="D53" s="406">
        <v>27.7</v>
      </c>
      <c r="F53" s="425">
        <f t="shared" si="0"/>
        <v>20.7</v>
      </c>
      <c r="G53" s="425">
        <f t="shared" si="1"/>
        <v>9.5999999999999979</v>
      </c>
      <c r="H53" s="425">
        <f t="shared" si="2"/>
        <v>11.100000000000001</v>
      </c>
      <c r="M53" s="127"/>
      <c r="N53" s="127"/>
    </row>
    <row r="54" spans="1:14" ht="15">
      <c r="A54" s="405">
        <v>1998</v>
      </c>
      <c r="B54" s="406">
        <v>6.9</v>
      </c>
      <c r="C54" s="406">
        <v>17.399999999999999</v>
      </c>
      <c r="D54" s="406">
        <v>27.4</v>
      </c>
      <c r="F54" s="425">
        <f t="shared" si="0"/>
        <v>20.5</v>
      </c>
      <c r="G54" s="425">
        <f t="shared" si="1"/>
        <v>10</v>
      </c>
      <c r="H54" s="425">
        <f t="shared" si="2"/>
        <v>10.499999999999998</v>
      </c>
      <c r="M54" s="127"/>
      <c r="N54" s="127"/>
    </row>
    <row r="55" spans="1:14" ht="15">
      <c r="A55" s="405">
        <v>1999</v>
      </c>
      <c r="B55" s="406">
        <v>7.2</v>
      </c>
      <c r="C55" s="406">
        <v>17.5</v>
      </c>
      <c r="D55" s="406">
        <v>27.8</v>
      </c>
      <c r="F55" s="425">
        <f t="shared" si="0"/>
        <v>20.6</v>
      </c>
      <c r="G55" s="425">
        <f t="shared" si="1"/>
        <v>10.3</v>
      </c>
      <c r="H55" s="425">
        <f t="shared" si="2"/>
        <v>10.3</v>
      </c>
      <c r="M55" s="127"/>
      <c r="N55" s="127"/>
    </row>
    <row r="56" spans="1:14" ht="15">
      <c r="A56" s="405">
        <v>2000</v>
      </c>
      <c r="B56" s="406">
        <v>6.6</v>
      </c>
      <c r="C56" s="406">
        <v>17.3</v>
      </c>
      <c r="D56" s="406">
        <v>27.8</v>
      </c>
      <c r="F56" s="425">
        <f t="shared" si="0"/>
        <v>21.200000000000003</v>
      </c>
      <c r="G56" s="425">
        <f t="shared" si="1"/>
        <v>10.5</v>
      </c>
      <c r="H56" s="425">
        <f t="shared" si="2"/>
        <v>10.700000000000001</v>
      </c>
      <c r="M56" s="127"/>
      <c r="N56" s="127"/>
    </row>
    <row r="57" spans="1:14" ht="15">
      <c r="A57" s="405">
        <v>2001</v>
      </c>
      <c r="B57" s="406">
        <v>6.1</v>
      </c>
      <c r="C57" s="406">
        <v>15.7</v>
      </c>
      <c r="D57" s="406">
        <v>26.6</v>
      </c>
      <c r="F57" s="425">
        <f t="shared" si="0"/>
        <v>20.5</v>
      </c>
      <c r="G57" s="425">
        <f t="shared" si="1"/>
        <v>10.900000000000002</v>
      </c>
      <c r="H57" s="425">
        <f t="shared" si="2"/>
        <v>9.6</v>
      </c>
      <c r="M57" s="127"/>
      <c r="N57" s="127"/>
    </row>
    <row r="58" spans="1:14" ht="15">
      <c r="A58" s="405">
        <v>2002</v>
      </c>
      <c r="B58" s="406">
        <v>5.6</v>
      </c>
      <c r="C58" s="406">
        <v>15.1</v>
      </c>
      <c r="D58" s="406">
        <v>25.9</v>
      </c>
      <c r="F58" s="425">
        <f t="shared" si="0"/>
        <v>20.299999999999997</v>
      </c>
      <c r="G58" s="425">
        <f t="shared" si="1"/>
        <v>10.799999999999999</v>
      </c>
      <c r="H58" s="425">
        <f t="shared" si="2"/>
        <v>9.5</v>
      </c>
      <c r="M58" s="127"/>
      <c r="N58" s="127"/>
    </row>
    <row r="59" spans="1:14" ht="15">
      <c r="A59" s="405">
        <v>2003</v>
      </c>
      <c r="B59" s="406">
        <v>5.7</v>
      </c>
      <c r="C59" s="406">
        <v>14.3</v>
      </c>
      <c r="D59" s="406">
        <v>24.8</v>
      </c>
      <c r="F59" s="425">
        <f t="shared" si="0"/>
        <v>19.100000000000001</v>
      </c>
      <c r="G59" s="425">
        <f t="shared" si="1"/>
        <v>10.5</v>
      </c>
      <c r="H59" s="425">
        <f t="shared" si="2"/>
        <v>8.6000000000000014</v>
      </c>
      <c r="M59" s="127"/>
      <c r="N59" s="127"/>
    </row>
    <row r="60" spans="1:14" ht="15">
      <c r="A60" s="405">
        <v>2004</v>
      </c>
      <c r="B60" s="406">
        <v>5.3</v>
      </c>
      <c r="C60" s="406">
        <v>14.6</v>
      </c>
      <c r="D60" s="406">
        <v>25.1</v>
      </c>
      <c r="F60" s="425">
        <f t="shared" si="0"/>
        <v>19.8</v>
      </c>
      <c r="G60" s="425">
        <f t="shared" si="1"/>
        <v>10.500000000000002</v>
      </c>
      <c r="H60" s="425">
        <f t="shared" si="2"/>
        <v>9.3000000000000007</v>
      </c>
      <c r="M60" s="127"/>
      <c r="N60" s="127"/>
    </row>
    <row r="61" spans="1:14" ht="15">
      <c r="A61" s="405">
        <v>2005</v>
      </c>
      <c r="B61" s="406">
        <v>5.5</v>
      </c>
      <c r="C61" s="406">
        <v>14.8</v>
      </c>
      <c r="D61" s="406">
        <v>25.5</v>
      </c>
      <c r="F61" s="425">
        <f t="shared" si="0"/>
        <v>20</v>
      </c>
      <c r="G61" s="425">
        <f t="shared" si="1"/>
        <v>10.7</v>
      </c>
      <c r="H61" s="425">
        <f t="shared" si="2"/>
        <v>9.3000000000000007</v>
      </c>
      <c r="M61" s="127"/>
      <c r="N61" s="127"/>
    </row>
    <row r="62" spans="1:14" ht="15">
      <c r="A62" s="405">
        <v>2006</v>
      </c>
      <c r="B62" s="312">
        <v>5.9</v>
      </c>
      <c r="C62" s="312">
        <v>14.9</v>
      </c>
      <c r="D62" s="312">
        <v>25.5</v>
      </c>
      <c r="E62" s="12"/>
      <c r="F62" s="312">
        <f t="shared" si="0"/>
        <v>19.600000000000001</v>
      </c>
      <c r="G62" s="312">
        <f t="shared" si="1"/>
        <v>10.6</v>
      </c>
      <c r="H62" s="312">
        <f t="shared" si="2"/>
        <v>9</v>
      </c>
      <c r="M62" s="127"/>
      <c r="N62" s="127"/>
    </row>
    <row r="63" spans="1:14" ht="15">
      <c r="A63" s="405">
        <v>2007</v>
      </c>
      <c r="B63" s="312">
        <v>5.3</v>
      </c>
      <c r="C63" s="312">
        <v>14.8</v>
      </c>
      <c r="D63" s="312">
        <v>24.8</v>
      </c>
      <c r="E63" s="12"/>
      <c r="F63" s="312">
        <f t="shared" si="0"/>
        <v>19.5</v>
      </c>
      <c r="G63" s="312">
        <f t="shared" si="1"/>
        <v>10</v>
      </c>
      <c r="H63" s="312">
        <f t="shared" si="2"/>
        <v>9.5</v>
      </c>
      <c r="M63" s="127"/>
      <c r="N63" s="127"/>
    </row>
    <row r="64" spans="1:14" ht="15">
      <c r="A64" s="405">
        <v>2008</v>
      </c>
      <c r="B64" s="312">
        <v>0.9</v>
      </c>
      <c r="C64" s="312">
        <v>12.2</v>
      </c>
      <c r="D64" s="312">
        <v>23.7</v>
      </c>
      <c r="E64" s="12"/>
      <c r="F64" s="312">
        <f t="shared" si="0"/>
        <v>22.8</v>
      </c>
      <c r="G64" s="312">
        <f t="shared" si="1"/>
        <v>11.5</v>
      </c>
      <c r="H64" s="312">
        <f t="shared" si="2"/>
        <v>11.299999999999999</v>
      </c>
      <c r="J64" s="44"/>
      <c r="K64" s="44"/>
      <c r="L64" s="44"/>
      <c r="M64" s="127"/>
      <c r="N64" s="127"/>
    </row>
    <row r="65" spans="1:14" ht="15">
      <c r="A65" s="405">
        <v>2009</v>
      </c>
      <c r="B65" s="312">
        <v>-0.3</v>
      </c>
      <c r="C65" s="312">
        <v>11.8</v>
      </c>
      <c r="D65" s="312">
        <v>23.2</v>
      </c>
      <c r="E65" s="12"/>
      <c r="F65" s="312">
        <f t="shared" si="0"/>
        <v>23.5</v>
      </c>
      <c r="G65" s="312">
        <f t="shared" si="1"/>
        <v>11.399999999999999</v>
      </c>
      <c r="H65" s="312">
        <f t="shared" si="2"/>
        <v>12.100000000000001</v>
      </c>
      <c r="M65" s="127"/>
      <c r="N65" s="127"/>
    </row>
    <row r="66" spans="1:14" ht="15">
      <c r="A66" s="405">
        <v>2010</v>
      </c>
      <c r="B66" s="312">
        <v>0</v>
      </c>
      <c r="C66" s="312">
        <v>12.1</v>
      </c>
      <c r="D66" s="312">
        <v>24</v>
      </c>
      <c r="E66" s="12"/>
      <c r="F66" s="312">
        <f t="shared" si="0"/>
        <v>24</v>
      </c>
      <c r="G66" s="312">
        <f t="shared" si="1"/>
        <v>11.9</v>
      </c>
      <c r="H66" s="312">
        <f t="shared" si="2"/>
        <v>12.1</v>
      </c>
      <c r="M66" s="127"/>
      <c r="N66" s="127"/>
    </row>
    <row r="67" spans="1:14" ht="15">
      <c r="A67" s="405">
        <v>2011</v>
      </c>
      <c r="B67" s="312">
        <v>0.6</v>
      </c>
      <c r="C67" s="312">
        <v>12</v>
      </c>
      <c r="D67" s="312">
        <v>23.5</v>
      </c>
      <c r="E67" s="12"/>
      <c r="F67" s="312">
        <f t="shared" si="0"/>
        <v>22.9</v>
      </c>
      <c r="G67" s="312">
        <f t="shared" si="1"/>
        <v>11.5</v>
      </c>
      <c r="H67" s="312">
        <f t="shared" si="2"/>
        <v>11.4</v>
      </c>
      <c r="M67" s="127"/>
      <c r="N67" s="127"/>
    </row>
    <row r="68" spans="1:14" ht="15">
      <c r="A68" s="405">
        <v>2012</v>
      </c>
      <c r="B68" s="312">
        <v>0.9</v>
      </c>
      <c r="C68" s="312">
        <v>12.2</v>
      </c>
      <c r="D68" s="312">
        <v>24</v>
      </c>
      <c r="E68" s="12"/>
      <c r="F68" s="312">
        <f t="shared" si="0"/>
        <v>23.1</v>
      </c>
      <c r="G68" s="312">
        <f t="shared" si="1"/>
        <v>11.8</v>
      </c>
      <c r="H68" s="312">
        <f t="shared" si="2"/>
        <v>11.299999999999999</v>
      </c>
      <c r="J68" s="44"/>
      <c r="K68" s="44"/>
      <c r="L68" s="44"/>
      <c r="M68" s="127"/>
      <c r="N68" s="127"/>
    </row>
    <row r="69" spans="1:14" ht="15">
      <c r="A69" s="405">
        <v>2013</v>
      </c>
      <c r="B69" s="312">
        <v>2.2999999999999998</v>
      </c>
      <c r="C69" s="312">
        <v>13.7</v>
      </c>
      <c r="D69" s="312">
        <v>26.3</v>
      </c>
      <c r="E69" s="12"/>
      <c r="F69" s="312">
        <f t="shared" si="0"/>
        <v>24</v>
      </c>
      <c r="G69" s="312">
        <f t="shared" si="1"/>
        <v>12.600000000000001</v>
      </c>
      <c r="H69" s="312">
        <f t="shared" si="2"/>
        <v>11.399999999999999</v>
      </c>
      <c r="J69" s="44"/>
      <c r="K69" s="44"/>
      <c r="L69" s="44"/>
      <c r="M69" s="127"/>
      <c r="N69" s="127"/>
    </row>
    <row r="70" spans="1:14" ht="15">
      <c r="A70" s="405">
        <v>2014</v>
      </c>
      <c r="B70" s="406">
        <v>1.9</v>
      </c>
      <c r="C70" s="406">
        <v>14</v>
      </c>
      <c r="D70" s="406">
        <v>26.7</v>
      </c>
      <c r="F70" s="425">
        <f t="shared" si="0"/>
        <v>24.8</v>
      </c>
      <c r="G70" s="425">
        <f t="shared" si="1"/>
        <v>12.7</v>
      </c>
      <c r="H70" s="425">
        <f t="shared" si="2"/>
        <v>12.1</v>
      </c>
      <c r="M70" s="127"/>
      <c r="N70" s="127"/>
    </row>
    <row r="71" spans="1:14" ht="15">
      <c r="A71" s="405">
        <v>2015</v>
      </c>
      <c r="B71" s="406">
        <v>1.5</v>
      </c>
      <c r="C71" s="406">
        <v>14</v>
      </c>
      <c r="D71" s="406">
        <v>26.7</v>
      </c>
      <c r="F71" s="425">
        <f t="shared" si="0"/>
        <v>25.2</v>
      </c>
      <c r="G71" s="425">
        <f t="shared" si="1"/>
        <v>12.7</v>
      </c>
      <c r="H71" s="425">
        <f t="shared" si="2"/>
        <v>12.5</v>
      </c>
      <c r="M71" s="127"/>
      <c r="N71" s="127"/>
    </row>
    <row r="72" spans="1:14" ht="15">
      <c r="A72" s="405">
        <v>2016</v>
      </c>
      <c r="B72" s="406">
        <v>1.7</v>
      </c>
      <c r="C72" s="406">
        <v>13.9</v>
      </c>
      <c r="D72" s="406">
        <v>26.5</v>
      </c>
      <c r="F72" s="425">
        <f t="shared" si="0"/>
        <v>24.8</v>
      </c>
      <c r="G72" s="425">
        <f t="shared" si="1"/>
        <v>12.6</v>
      </c>
      <c r="H72" s="425">
        <f t="shared" si="2"/>
        <v>12.200000000000001</v>
      </c>
      <c r="M72" s="127"/>
      <c r="N72" s="127"/>
    </row>
    <row r="73" spans="1:14" ht="15">
      <c r="A73" s="405">
        <v>2017</v>
      </c>
    </row>
    <row r="74" spans="1:14" ht="15">
      <c r="A74" s="405">
        <v>2018</v>
      </c>
    </row>
    <row r="75" spans="1:14" ht="15">
      <c r="A75" s="405">
        <v>2019</v>
      </c>
    </row>
    <row r="76" spans="1:14" ht="25.5" customHeight="1">
      <c r="A76" s="727" t="s">
        <v>154</v>
      </c>
      <c r="B76" s="430">
        <f>B72-B35</f>
        <v>-7.6000000000000005</v>
      </c>
      <c r="C76" s="430">
        <f>C72-C35</f>
        <v>-5.2000000000000011</v>
      </c>
      <c r="D76" s="430">
        <f>D72-D35</f>
        <v>-0.60000000000000142</v>
      </c>
      <c r="F76" s="430">
        <f>F72-F35</f>
        <v>7</v>
      </c>
      <c r="G76" s="430">
        <f>G72-G35</f>
        <v>4.5999999999999996</v>
      </c>
      <c r="H76" s="430">
        <f>H72-H35</f>
        <v>2.4000000000000004</v>
      </c>
    </row>
    <row r="77" spans="1:14" ht="25.5" customHeight="1">
      <c r="A77" s="727"/>
      <c r="F77" s="16">
        <f>F76/F35</f>
        <v>0.3932584269662921</v>
      </c>
      <c r="G77" s="16">
        <f>G76/G35</f>
        <v>0.57499999999999996</v>
      </c>
      <c r="H77" s="16">
        <f>H76/H35</f>
        <v>0.24489795918367349</v>
      </c>
    </row>
    <row r="78" spans="1:14" ht="25.5">
      <c r="A78" s="160" t="s">
        <v>791</v>
      </c>
      <c r="B78" s="16">
        <f>(B$72-B42)/B42</f>
        <v>-0.85470085470085477</v>
      </c>
      <c r="C78" s="16">
        <f>(C$72-C42)/C42</f>
        <v>-0.2362637362637362</v>
      </c>
      <c r="D78" s="16">
        <f>(D$72-D42)/D42</f>
        <v>0.1276595744680851</v>
      </c>
      <c r="F78" s="16">
        <f>(F72-F42)/F42</f>
        <v>1.1016949152542372</v>
      </c>
      <c r="G78" s="16">
        <f>(G72-G42)/G42</f>
        <v>1.3773584905660374</v>
      </c>
      <c r="H78" s="16">
        <f>(H72-H42)/H42</f>
        <v>0.87692307692307714</v>
      </c>
    </row>
    <row r="79" spans="1:14" s="556" customFormat="1" ht="15">
      <c r="A79" s="472"/>
      <c r="B79" s="473"/>
      <c r="C79" s="473"/>
      <c r="D79" s="473"/>
      <c r="F79" s="16"/>
      <c r="G79" s="16"/>
      <c r="H79" s="16"/>
    </row>
  </sheetData>
  <mergeCells count="3">
    <mergeCell ref="A30:K30"/>
    <mergeCell ref="A31:K31"/>
    <mergeCell ref="A76:A77"/>
  </mergeCells>
  <hyperlinks>
    <hyperlink ref="I1" location="Index!A1" display="index" xr:uid="{EF0A3C7D-91F8-4B90-9CF6-7C199EBDC453}"/>
  </hyperlinks>
  <pageMargins left="0.7" right="0.7" top="0.75" bottom="0.75" header="0.3" footer="0.3"/>
  <pageSetup orientation="portrait" horizontalDpi="1200" verticalDpi="12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C8AB36-44B6-4488-8BEA-2F20B9346753}">
  <sheetPr>
    <tabColor theme="9" tint="0.79998168889431442"/>
  </sheetPr>
  <dimension ref="A1:DO69"/>
  <sheetViews>
    <sheetView zoomScale="85" zoomScaleNormal="85" workbookViewId="0">
      <selection activeCell="A2" sqref="A2"/>
    </sheetView>
  </sheetViews>
  <sheetFormatPr defaultRowHeight="15"/>
  <cols>
    <col min="1" max="1" width="8.28515625" style="46" customWidth="1"/>
    <col min="2" max="2" width="10.28515625" style="564" customWidth="1"/>
    <col min="3" max="3" width="6.42578125" style="564" customWidth="1"/>
    <col min="4" max="4" width="19.28515625" style="564" customWidth="1"/>
    <col min="5" max="5" width="12.85546875" style="564" customWidth="1"/>
    <col min="6" max="6" width="4.28515625" style="564" customWidth="1"/>
    <col min="7" max="10" width="5.5703125" style="564" customWidth="1"/>
    <col min="11" max="14" width="7" style="564" customWidth="1"/>
    <col min="15" max="15" width="1.85546875" style="564" customWidth="1"/>
    <col min="16" max="16" width="5.85546875" style="564" customWidth="1"/>
    <col min="17" max="18" width="5.5703125" style="564" customWidth="1"/>
    <col min="19" max="19" width="6" style="564" customWidth="1"/>
    <col min="20" max="23" width="6.5703125" style="564" customWidth="1"/>
    <col min="24" max="24" width="3.42578125" style="564" customWidth="1"/>
    <col min="25" max="28" width="5" style="564" customWidth="1"/>
    <col min="29" max="32" width="5.7109375" style="564" customWidth="1"/>
    <col min="33" max="33" width="2.140625" style="564" customWidth="1"/>
    <col min="34" max="37" width="5.5703125" style="564" customWidth="1"/>
    <col min="38" max="39" width="6.7109375" style="564" customWidth="1"/>
    <col min="40" max="40" width="7.140625" style="564" customWidth="1"/>
    <col min="41" max="41" width="7.28515625" style="564" customWidth="1"/>
    <col min="42" max="42" width="2.28515625" style="564" customWidth="1"/>
    <col min="43" max="50" width="6.140625" style="564" customWidth="1"/>
    <col min="51" max="51" width="3.140625" style="564" customWidth="1"/>
    <col min="52" max="59" width="6.140625" style="564" customWidth="1"/>
    <col min="60" max="60" width="2.5703125" style="564" customWidth="1"/>
    <col min="61" max="68" width="6.5703125" style="564" customWidth="1"/>
    <col min="69" max="69" width="2.140625" style="564" customWidth="1"/>
    <col min="70" max="72" width="5.7109375" style="564" customWidth="1"/>
    <col min="73" max="73" width="6.42578125" style="564" customWidth="1"/>
    <col min="74" max="74" width="7.28515625" style="564" customWidth="1"/>
    <col min="75" max="77" width="7" style="564" customWidth="1"/>
    <col min="78" max="78" width="2" style="564" customWidth="1"/>
    <col min="79" max="82" width="5.5703125" style="564" customWidth="1"/>
    <col min="83" max="86" width="6.28515625" style="564" customWidth="1"/>
    <col min="87" max="87" width="3" style="564" customWidth="1"/>
    <col min="88" max="96" width="7.7109375" style="564" customWidth="1"/>
    <col min="97" max="97" width="3.7109375" style="564" customWidth="1"/>
    <col min="98" max="98" width="17.42578125" style="564" customWidth="1"/>
    <col min="99" max="16384" width="9.140625" style="564"/>
  </cols>
  <sheetData>
    <row r="1" spans="1:119">
      <c r="A1" s="147" t="s">
        <v>1059</v>
      </c>
      <c r="AI1" s="127"/>
    </row>
    <row r="2" spans="1:119">
      <c r="A2" s="642" t="s">
        <v>762</v>
      </c>
    </row>
    <row r="3" spans="1:119">
      <c r="A3" s="103"/>
      <c r="P3" s="6" t="s">
        <v>158</v>
      </c>
      <c r="Q3" s="6" t="s">
        <v>159</v>
      </c>
      <c r="R3" s="6" t="s">
        <v>160</v>
      </c>
      <c r="S3" s="6" t="s">
        <v>161</v>
      </c>
      <c r="T3" s="51" t="s">
        <v>33</v>
      </c>
      <c r="U3" s="51" t="s">
        <v>51</v>
      </c>
      <c r="V3" s="51" t="s">
        <v>52</v>
      </c>
      <c r="W3" s="51" t="s">
        <v>28</v>
      </c>
      <c r="CJ3" s="45">
        <v>0.2</v>
      </c>
      <c r="CK3" s="45">
        <v>0.2</v>
      </c>
      <c r="CL3" s="45">
        <v>0.2</v>
      </c>
      <c r="CM3" s="45">
        <v>0.2</v>
      </c>
      <c r="CN3" s="45">
        <v>0.1</v>
      </c>
      <c r="CO3" s="45">
        <v>0.05</v>
      </c>
      <c r="CP3" s="45">
        <v>0.04</v>
      </c>
      <c r="CQ3" s="45">
        <v>0.01</v>
      </c>
      <c r="CR3" s="45">
        <f>SUM(CJ3:CQ3)</f>
        <v>1</v>
      </c>
    </row>
    <row r="4" spans="1:119">
      <c r="A4" s="103"/>
      <c r="M4" s="149" t="s">
        <v>200</v>
      </c>
      <c r="P4" s="45">
        <v>0.2</v>
      </c>
      <c r="Q4" s="45">
        <v>0.2</v>
      </c>
      <c r="R4" s="45">
        <v>0.2</v>
      </c>
      <c r="S4" s="45">
        <v>0.2</v>
      </c>
      <c r="T4" s="45">
        <v>0.1</v>
      </c>
      <c r="U4" s="45">
        <v>0.05</v>
      </c>
      <c r="V4" s="45">
        <v>0.04</v>
      </c>
      <c r="W4" s="45">
        <v>0.01</v>
      </c>
      <c r="X4" s="45"/>
      <c r="Y4" s="45"/>
      <c r="Z4" s="45"/>
      <c r="AA4" s="45"/>
      <c r="AB4" s="45"/>
      <c r="AC4" s="45"/>
      <c r="AD4" s="45"/>
      <c r="AE4" s="45"/>
      <c r="AF4" s="45"/>
      <c r="CJ4" s="45"/>
      <c r="CK4" s="45"/>
      <c r="CL4" s="45"/>
      <c r="CM4" s="45"/>
      <c r="CN4" s="45"/>
      <c r="CO4" s="45"/>
      <c r="CP4" s="45"/>
      <c r="CQ4" s="45"/>
      <c r="CR4" s="45"/>
    </row>
    <row r="5" spans="1:119">
      <c r="A5" s="103"/>
      <c r="F5" s="148"/>
      <c r="G5" s="148"/>
      <c r="H5" s="148"/>
      <c r="I5" s="148"/>
      <c r="J5" s="148"/>
      <c r="K5" s="148"/>
      <c r="L5" s="148"/>
      <c r="M5" s="149" t="s">
        <v>203</v>
      </c>
      <c r="N5" s="148"/>
      <c r="O5" s="564">
        <v>0</v>
      </c>
      <c r="P5" s="45">
        <v>0.2</v>
      </c>
      <c r="Q5" s="45">
        <f>P5+Q4</f>
        <v>0.4</v>
      </c>
      <c r="R5" s="45">
        <f t="shared" ref="R5:W5" si="0">Q5+R4</f>
        <v>0.60000000000000009</v>
      </c>
      <c r="S5" s="45">
        <f t="shared" si="0"/>
        <v>0.8</v>
      </c>
      <c r="T5" s="45">
        <f t="shared" si="0"/>
        <v>0.9</v>
      </c>
      <c r="U5" s="45">
        <f t="shared" si="0"/>
        <v>0.95000000000000007</v>
      </c>
      <c r="V5" s="45">
        <f t="shared" si="0"/>
        <v>0.9900000000000001</v>
      </c>
      <c r="W5" s="45">
        <f t="shared" si="0"/>
        <v>1</v>
      </c>
      <c r="X5" s="45"/>
      <c r="Y5" s="45"/>
      <c r="Z5" s="45"/>
      <c r="AA5" s="45"/>
      <c r="AB5" s="45"/>
      <c r="AC5" s="45"/>
      <c r="AD5" s="45"/>
      <c r="AE5" s="45"/>
      <c r="AF5" s="45"/>
      <c r="AG5" s="45"/>
      <c r="AQ5" s="127"/>
      <c r="AZ5" s="44"/>
      <c r="CJ5" s="45"/>
      <c r="CK5" s="45"/>
      <c r="CL5" s="45"/>
      <c r="CM5" s="45"/>
      <c r="CN5" s="45"/>
      <c r="CO5" s="45"/>
      <c r="CP5" s="45"/>
      <c r="CQ5" s="45"/>
      <c r="CR5" s="45"/>
    </row>
    <row r="6" spans="1:119">
      <c r="CJ6" s="5"/>
      <c r="CK6" s="5"/>
      <c r="CL6" s="5"/>
      <c r="CM6" s="5"/>
      <c r="CN6" s="5"/>
      <c r="CO6" s="5"/>
      <c r="CP6" s="5"/>
      <c r="CQ6" s="5"/>
      <c r="CR6" s="5"/>
      <c r="CU6" s="273"/>
      <c r="CV6" s="191"/>
      <c r="CW6" s="191"/>
      <c r="CX6" s="191"/>
      <c r="CY6" s="191"/>
      <c r="CZ6" s="191"/>
      <c r="DA6" s="191"/>
      <c r="DB6" s="191"/>
      <c r="DC6" s="191"/>
      <c r="DD6" s="191"/>
      <c r="DE6" s="191"/>
      <c r="DF6" s="191"/>
      <c r="DG6" s="191"/>
      <c r="DH6" s="191"/>
      <c r="DI6" s="191"/>
      <c r="DJ6" s="191"/>
      <c r="DK6" s="191"/>
      <c r="DL6" s="191"/>
      <c r="DM6" s="191"/>
      <c r="DN6" s="191"/>
    </row>
    <row r="7" spans="1:119">
      <c r="A7" s="144"/>
      <c r="B7" s="729" t="s">
        <v>193</v>
      </c>
      <c r="C7" s="486"/>
      <c r="D7" s="733" t="s">
        <v>194</v>
      </c>
      <c r="E7" s="733" t="s">
        <v>195</v>
      </c>
      <c r="F7" s="560"/>
      <c r="G7" s="731" t="s">
        <v>772</v>
      </c>
      <c r="H7" s="731"/>
      <c r="I7" s="731"/>
      <c r="J7" s="731"/>
      <c r="K7" s="731"/>
      <c r="L7" s="731"/>
      <c r="M7" s="731"/>
      <c r="N7" s="731"/>
      <c r="O7" s="486"/>
      <c r="P7" s="731" t="s">
        <v>199</v>
      </c>
      <c r="Q7" s="731"/>
      <c r="R7" s="731"/>
      <c r="S7" s="731"/>
      <c r="T7" s="731"/>
      <c r="U7" s="731"/>
      <c r="V7" s="731"/>
      <c r="W7" s="731"/>
      <c r="X7" s="559"/>
      <c r="Y7" s="731" t="s">
        <v>773</v>
      </c>
      <c r="Z7" s="731"/>
      <c r="AA7" s="731"/>
      <c r="AB7" s="731"/>
      <c r="AC7" s="731"/>
      <c r="AD7" s="731"/>
      <c r="AE7" s="731"/>
      <c r="AF7" s="731"/>
      <c r="AG7" s="134"/>
      <c r="AH7" s="732" t="s">
        <v>765</v>
      </c>
      <c r="AI7" s="732"/>
      <c r="AJ7" s="732"/>
      <c r="AK7" s="732"/>
      <c r="AL7" s="732"/>
      <c r="AM7" s="732"/>
      <c r="AN7" s="732"/>
      <c r="AO7" s="732"/>
      <c r="AP7" s="559"/>
      <c r="AQ7" s="731" t="s">
        <v>196</v>
      </c>
      <c r="AR7" s="731"/>
      <c r="AS7" s="731"/>
      <c r="AT7" s="731"/>
      <c r="AU7" s="731"/>
      <c r="AV7" s="731"/>
      <c r="AW7" s="731"/>
      <c r="AX7" s="731"/>
      <c r="AY7" s="134"/>
      <c r="AZ7" s="736" t="s">
        <v>633</v>
      </c>
      <c r="BA7" s="736"/>
      <c r="BB7" s="736"/>
      <c r="BC7" s="736"/>
      <c r="BD7" s="736"/>
      <c r="BE7" s="736"/>
      <c r="BF7" s="736"/>
      <c r="BG7" s="736"/>
      <c r="BH7" s="134"/>
      <c r="BI7" s="731" t="s">
        <v>635</v>
      </c>
      <c r="BJ7" s="731"/>
      <c r="BK7" s="731"/>
      <c r="BL7" s="731"/>
      <c r="BM7" s="731"/>
      <c r="BN7" s="731"/>
      <c r="BO7" s="731"/>
      <c r="BP7" s="731"/>
      <c r="BQ7" s="486"/>
      <c r="BR7" s="731" t="s">
        <v>636</v>
      </c>
      <c r="BS7" s="731"/>
      <c r="BT7" s="731"/>
      <c r="BU7" s="731"/>
      <c r="BV7" s="731"/>
      <c r="BW7" s="731"/>
      <c r="BX7" s="731"/>
      <c r="BY7" s="731"/>
      <c r="BZ7" s="486"/>
      <c r="CA7" s="731" t="s">
        <v>187</v>
      </c>
      <c r="CB7" s="731"/>
      <c r="CC7" s="731"/>
      <c r="CD7" s="731"/>
      <c r="CE7" s="731"/>
      <c r="CF7" s="731"/>
      <c r="CG7" s="731"/>
      <c r="CH7" s="731"/>
      <c r="CI7" s="486"/>
      <c r="CJ7" s="735" t="s">
        <v>198</v>
      </c>
      <c r="CK7" s="735"/>
      <c r="CL7" s="735"/>
      <c r="CM7" s="735"/>
      <c r="CN7" s="735"/>
      <c r="CO7" s="735"/>
      <c r="CP7" s="735"/>
      <c r="CQ7" s="735"/>
      <c r="CR7" s="735"/>
      <c r="CT7" s="733" t="s">
        <v>259</v>
      </c>
      <c r="CU7" s="728" t="s">
        <v>283</v>
      </c>
      <c r="CV7" s="728"/>
      <c r="CW7" s="728"/>
      <c r="CX7" s="728"/>
      <c r="CY7" s="728"/>
      <c r="CZ7" s="728"/>
      <c r="DA7" s="728"/>
      <c r="DB7" s="728"/>
      <c r="DC7" s="728"/>
      <c r="DD7" s="558"/>
      <c r="DF7" s="728" t="s">
        <v>259</v>
      </c>
      <c r="DG7" s="728"/>
      <c r="DH7" s="728"/>
      <c r="DI7" s="728"/>
      <c r="DJ7" s="728"/>
      <c r="DK7" s="728"/>
      <c r="DL7" s="728"/>
      <c r="DM7" s="728"/>
      <c r="DN7" s="728"/>
    </row>
    <row r="8" spans="1:119" ht="15" customHeight="1">
      <c r="A8" s="53"/>
      <c r="B8" s="730"/>
      <c r="C8" s="6"/>
      <c r="D8" s="734"/>
      <c r="E8" s="734"/>
      <c r="F8" s="561"/>
      <c r="G8" s="6" t="s">
        <v>158</v>
      </c>
      <c r="H8" s="6" t="s">
        <v>159</v>
      </c>
      <c r="I8" s="6" t="s">
        <v>160</v>
      </c>
      <c r="J8" s="6" t="s">
        <v>161</v>
      </c>
      <c r="K8" s="51" t="s">
        <v>33</v>
      </c>
      <c r="L8" s="51" t="s">
        <v>51</v>
      </c>
      <c r="M8" s="51" t="s">
        <v>52</v>
      </c>
      <c r="N8" s="51" t="s">
        <v>28</v>
      </c>
      <c r="O8" s="6"/>
      <c r="P8" s="6" t="s">
        <v>158</v>
      </c>
      <c r="Q8" s="6" t="s">
        <v>159</v>
      </c>
      <c r="R8" s="6" t="s">
        <v>160</v>
      </c>
      <c r="S8" s="6" t="s">
        <v>161</v>
      </c>
      <c r="T8" s="51" t="s">
        <v>33</v>
      </c>
      <c r="U8" s="51" t="s">
        <v>51</v>
      </c>
      <c r="V8" s="51" t="s">
        <v>52</v>
      </c>
      <c r="W8" s="51" t="s">
        <v>28</v>
      </c>
      <c r="X8" s="51"/>
      <c r="Y8" s="6" t="s">
        <v>158</v>
      </c>
      <c r="Z8" s="6" t="s">
        <v>159</v>
      </c>
      <c r="AA8" s="6" t="s">
        <v>160</v>
      </c>
      <c r="AB8" s="6" t="s">
        <v>161</v>
      </c>
      <c r="AC8" s="51" t="s">
        <v>33</v>
      </c>
      <c r="AD8" s="51" t="s">
        <v>51</v>
      </c>
      <c r="AE8" s="51" t="s">
        <v>52</v>
      </c>
      <c r="AF8" s="51" t="s">
        <v>28</v>
      </c>
      <c r="AG8" s="5"/>
      <c r="AH8" s="6" t="s">
        <v>158</v>
      </c>
      <c r="AI8" s="6" t="s">
        <v>159</v>
      </c>
      <c r="AJ8" s="6" t="s">
        <v>160</v>
      </c>
      <c r="AK8" s="6" t="s">
        <v>161</v>
      </c>
      <c r="AL8" s="51" t="s">
        <v>33</v>
      </c>
      <c r="AM8" s="51" t="s">
        <v>51</v>
      </c>
      <c r="AN8" s="51" t="s">
        <v>52</v>
      </c>
      <c r="AO8" s="51" t="s">
        <v>28</v>
      </c>
      <c r="AP8" s="51"/>
      <c r="AQ8" s="6" t="s">
        <v>158</v>
      </c>
      <c r="AR8" s="6" t="s">
        <v>159</v>
      </c>
      <c r="AS8" s="6" t="s">
        <v>160</v>
      </c>
      <c r="AT8" s="6" t="s">
        <v>161</v>
      </c>
      <c r="AU8" s="51" t="s">
        <v>33</v>
      </c>
      <c r="AV8" s="51" t="s">
        <v>51</v>
      </c>
      <c r="AW8" s="51" t="s">
        <v>52</v>
      </c>
      <c r="AX8" s="51" t="s">
        <v>28</v>
      </c>
      <c r="AY8" s="5"/>
      <c r="AZ8" s="6" t="s">
        <v>158</v>
      </c>
      <c r="BA8" s="6" t="s">
        <v>159</v>
      </c>
      <c r="BB8" s="6" t="s">
        <v>160</v>
      </c>
      <c r="BC8" s="6" t="s">
        <v>161</v>
      </c>
      <c r="BD8" s="51" t="s">
        <v>33</v>
      </c>
      <c r="BE8" s="51" t="s">
        <v>51</v>
      </c>
      <c r="BF8" s="51" t="s">
        <v>52</v>
      </c>
      <c r="BG8" s="51" t="s">
        <v>28</v>
      </c>
      <c r="BH8" s="5"/>
      <c r="BI8" s="6" t="s">
        <v>158</v>
      </c>
      <c r="BJ8" s="6" t="s">
        <v>159</v>
      </c>
      <c r="BK8" s="6" t="s">
        <v>160</v>
      </c>
      <c r="BL8" s="6" t="s">
        <v>161</v>
      </c>
      <c r="BM8" s="51" t="s">
        <v>33</v>
      </c>
      <c r="BN8" s="51" t="s">
        <v>51</v>
      </c>
      <c r="BO8" s="51" t="s">
        <v>52</v>
      </c>
      <c r="BP8" s="51" t="s">
        <v>28</v>
      </c>
      <c r="BQ8" s="6"/>
      <c r="BR8" s="6" t="s">
        <v>158</v>
      </c>
      <c r="BS8" s="6" t="s">
        <v>159</v>
      </c>
      <c r="BT8" s="6" t="s">
        <v>160</v>
      </c>
      <c r="BU8" s="6" t="s">
        <v>161</v>
      </c>
      <c r="BV8" s="51" t="s">
        <v>33</v>
      </c>
      <c r="BW8" s="51" t="s">
        <v>51</v>
      </c>
      <c r="BX8" s="51" t="s">
        <v>52</v>
      </c>
      <c r="BY8" s="51" t="s">
        <v>28</v>
      </c>
      <c r="BZ8" s="6"/>
      <c r="CA8" s="6" t="s">
        <v>158</v>
      </c>
      <c r="CB8" s="6" t="s">
        <v>159</v>
      </c>
      <c r="CC8" s="6" t="s">
        <v>160</v>
      </c>
      <c r="CD8" s="6" t="s">
        <v>161</v>
      </c>
      <c r="CE8" s="51" t="s">
        <v>33</v>
      </c>
      <c r="CF8" s="51" t="s">
        <v>51</v>
      </c>
      <c r="CG8" s="51" t="s">
        <v>52</v>
      </c>
      <c r="CH8" s="51" t="s">
        <v>28</v>
      </c>
      <c r="CI8" s="6"/>
      <c r="CJ8" s="6" t="s">
        <v>158</v>
      </c>
      <c r="CK8" s="6" t="s">
        <v>159</v>
      </c>
      <c r="CL8" s="6" t="s">
        <v>160</v>
      </c>
      <c r="CM8" s="6" t="s">
        <v>161</v>
      </c>
      <c r="CN8" s="51" t="s">
        <v>33</v>
      </c>
      <c r="CO8" s="51" t="s">
        <v>51</v>
      </c>
      <c r="CP8" s="51" t="s">
        <v>52</v>
      </c>
      <c r="CQ8" s="51" t="s">
        <v>28</v>
      </c>
      <c r="CR8" s="51" t="s">
        <v>143</v>
      </c>
      <c r="CT8" s="734"/>
      <c r="CU8" s="6" t="s">
        <v>158</v>
      </c>
      <c r="CV8" s="6" t="s">
        <v>159</v>
      </c>
      <c r="CW8" s="6" t="s">
        <v>160</v>
      </c>
      <c r="CX8" s="6" t="s">
        <v>161</v>
      </c>
      <c r="CY8" s="51" t="s">
        <v>33</v>
      </c>
      <c r="CZ8" s="51" t="s">
        <v>51</v>
      </c>
      <c r="DA8" s="51" t="s">
        <v>52</v>
      </c>
      <c r="DB8" s="51" t="s">
        <v>28</v>
      </c>
      <c r="DC8" s="51" t="s">
        <v>143</v>
      </c>
      <c r="DD8" s="562" t="s">
        <v>293</v>
      </c>
      <c r="DF8" s="6" t="s">
        <v>158</v>
      </c>
      <c r="DG8" s="6" t="s">
        <v>159</v>
      </c>
      <c r="DH8" s="6" t="s">
        <v>160</v>
      </c>
      <c r="DI8" s="6" t="s">
        <v>161</v>
      </c>
      <c r="DJ8" s="51" t="s">
        <v>33</v>
      </c>
      <c r="DK8" s="51" t="s">
        <v>51</v>
      </c>
      <c r="DL8" s="51" t="s">
        <v>52</v>
      </c>
      <c r="DM8" s="51" t="s">
        <v>28</v>
      </c>
      <c r="DN8" s="51" t="s">
        <v>143</v>
      </c>
    </row>
    <row r="9" spans="1:119">
      <c r="A9" s="46">
        <v>1979</v>
      </c>
      <c r="B9" s="141">
        <f>D9-E9</f>
        <v>0.12774993877954149</v>
      </c>
      <c r="C9" s="46"/>
      <c r="D9" s="141">
        <f>SUM(G9:N9)*2</f>
        <v>0.5198237174435496</v>
      </c>
      <c r="E9" s="141">
        <f>SUM(Y9:AF9)*2</f>
        <v>0.39207377866400811</v>
      </c>
      <c r="F9" s="46"/>
      <c r="G9" s="157">
        <f>((O$5+0.5*(P$5-O$5))-(O9+0.5*(P9-O9)))*P$4</f>
        <v>1.7916267193993037E-2</v>
      </c>
      <c r="H9" s="157">
        <f t="shared" ref="H9:N9" si="1">((P$5+0.5*(Q$5-P$5))-(P9+0.5*(Q9-P9)))*Q$4</f>
        <v>4.8386592265294161E-2</v>
      </c>
      <c r="I9" s="157">
        <f t="shared" si="1"/>
        <v>6.7388345595023422E-2</v>
      </c>
      <c r="J9" s="157">
        <f t="shared" si="1"/>
        <v>7.2363666029261961E-2</v>
      </c>
      <c r="K9" s="157">
        <f t="shared" si="1"/>
        <v>3.2499742012024616E-2</v>
      </c>
      <c r="L9" s="157">
        <f t="shared" si="1"/>
        <v>1.3243742437316776E-2</v>
      </c>
      <c r="M9" s="157">
        <f t="shared" si="1"/>
        <v>7.427647800318962E-3</v>
      </c>
      <c r="N9" s="157">
        <f t="shared" si="1"/>
        <v>6.8585538854186499E-4</v>
      </c>
      <c r="O9" s="46"/>
      <c r="P9" s="154">
        <f>AQ9/SUM($AQ9:$AX9)</f>
        <v>2.083732806006967E-2</v>
      </c>
      <c r="Q9" s="154">
        <f t="shared" ref="Q9:Q26" si="2">P9+AR9/SUM($AQ9:$AX9)</f>
        <v>9.5296749286988808E-2</v>
      </c>
      <c r="R9" s="154">
        <f t="shared" ref="R9:V24" si="3">Q9+AS9/SUM($AQ9:$AX9)</f>
        <v>0.23081979476277709</v>
      </c>
      <c r="S9" s="154">
        <f t="shared" si="3"/>
        <v>0.44554354494460335</v>
      </c>
      <c r="T9" s="154">
        <f t="shared" si="3"/>
        <v>0.60446161481490446</v>
      </c>
      <c r="U9" s="154">
        <f t="shared" si="3"/>
        <v>0.71578868769242476</v>
      </c>
      <c r="V9" s="154">
        <f t="shared" si="3"/>
        <v>0.85282892229162732</v>
      </c>
      <c r="W9" s="162">
        <v>1</v>
      </c>
      <c r="X9" s="154"/>
      <c r="Y9" s="142">
        <f>((O$5+0.5*(P$5-O$5))-(AG9+0.5*(AH9-AG9)))*P$4</f>
        <v>1.5014955134596214E-2</v>
      </c>
      <c r="Z9" s="142">
        <f t="shared" ref="Z9:AF9" si="4">((P$5+0.5*(Q$5-P$5))-(AH9+0.5*(AI9-AH9)))*Q$4</f>
        <v>3.8863409770687946E-2</v>
      </c>
      <c r="AA9" s="142">
        <f t="shared" si="4"/>
        <v>5.174476570289134E-2</v>
      </c>
      <c r="AB9" s="142">
        <f t="shared" si="4"/>
        <v>5.3459621136590266E-2</v>
      </c>
      <c r="AC9" s="142">
        <f t="shared" si="4"/>
        <v>2.2936191425722854E-2</v>
      </c>
      <c r="AD9" s="142">
        <f t="shared" si="4"/>
        <v>8.9369391824526533E-3</v>
      </c>
      <c r="AE9" s="142">
        <f t="shared" si="4"/>
        <v>4.6823529411764795E-3</v>
      </c>
      <c r="AF9" s="142">
        <f t="shared" si="4"/>
        <v>3.9865403788634344E-4</v>
      </c>
      <c r="AH9" s="158">
        <f>AZ9/SUM($AZ9:$BG9)</f>
        <v>4.9850448654037878E-2</v>
      </c>
      <c r="AI9" s="158">
        <f t="shared" ref="AI9:AI25" si="5">AH9+BA9/SUM($AZ9:$BG9)</f>
        <v>0.16151545363908273</v>
      </c>
      <c r="AJ9" s="158">
        <f t="shared" ref="AJ9:AN24" si="6">AI9+BB9/SUM($AZ9:$BG9)</f>
        <v>0.32103688933200392</v>
      </c>
      <c r="AK9" s="158">
        <f t="shared" si="6"/>
        <v>0.54436689930209359</v>
      </c>
      <c r="AL9" s="158">
        <f t="shared" si="6"/>
        <v>0.69690927218344956</v>
      </c>
      <c r="AM9" s="158">
        <f t="shared" si="6"/>
        <v>0.79561316051844455</v>
      </c>
      <c r="AN9" s="158">
        <f t="shared" si="6"/>
        <v>0.91026919242273163</v>
      </c>
      <c r="AO9" s="158">
        <v>1</v>
      </c>
      <c r="AP9" s="143"/>
      <c r="AQ9" s="143">
        <f t="shared" ref="AQ9:AX40" si="7">CJ9/$CR9</f>
        <v>2.0837328060069667E-2</v>
      </c>
      <c r="AR9" s="143">
        <f t="shared" si="7"/>
        <v>7.445942122691912E-2</v>
      </c>
      <c r="AS9" s="143">
        <f t="shared" si="7"/>
        <v>0.13552304547578825</v>
      </c>
      <c r="AT9" s="143">
        <f t="shared" si="7"/>
        <v>0.21472375018182621</v>
      </c>
      <c r="AU9" s="143">
        <f t="shared" si="7"/>
        <v>0.15891806987030105</v>
      </c>
      <c r="AV9" s="143">
        <f t="shared" si="7"/>
        <v>0.11132707287752028</v>
      </c>
      <c r="AW9" s="143">
        <f t="shared" si="7"/>
        <v>0.1370402345992025</v>
      </c>
      <c r="AX9" s="143">
        <f t="shared" si="7"/>
        <v>0.1471710777083729</v>
      </c>
      <c r="AZ9" s="152">
        <f>Shares!D50</f>
        <v>5</v>
      </c>
      <c r="BA9" s="152">
        <f>Shares!E50</f>
        <v>11.2</v>
      </c>
      <c r="BB9" s="152">
        <f>Shares!F50</f>
        <v>16</v>
      </c>
      <c r="BC9" s="152">
        <f>Shares!G50</f>
        <v>22.4</v>
      </c>
      <c r="BD9" s="152">
        <f>Shares!J50</f>
        <v>15.3</v>
      </c>
      <c r="BE9" s="152">
        <f>Shares!K50</f>
        <v>9.9</v>
      </c>
      <c r="BF9" s="152">
        <f>Shares!L50</f>
        <v>11.5</v>
      </c>
      <c r="BG9" s="152">
        <f>Shares!M50</f>
        <v>9</v>
      </c>
      <c r="BI9" s="146">
        <f>TxRt!B53</f>
        <v>9.3000000000000007</v>
      </c>
      <c r="BJ9" s="146">
        <f>TxRt!B96</f>
        <v>15</v>
      </c>
      <c r="BK9" s="146">
        <f>TxRt!B136</f>
        <v>19.100000000000001</v>
      </c>
      <c r="BL9" s="146">
        <f>TxRt!B176</f>
        <v>21.7</v>
      </c>
      <c r="BM9" s="146">
        <f>TxRt!B256</f>
        <v>23.6</v>
      </c>
      <c r="BN9" s="146">
        <f>TxRt!B296</f>
        <v>25.2</v>
      </c>
      <c r="BO9" s="146">
        <f>TxRt!B336</f>
        <v>27.1</v>
      </c>
      <c r="BP9" s="146">
        <f>TxRt!B376</f>
        <v>35.1</v>
      </c>
      <c r="BQ9" s="46"/>
      <c r="BR9" s="60">
        <f>Inc!B50</f>
        <v>15500</v>
      </c>
      <c r="BS9" s="60">
        <f>Inc!B90</f>
        <v>37100</v>
      </c>
      <c r="BT9" s="60">
        <f>Inc!B130</f>
        <v>56900</v>
      </c>
      <c r="BU9" s="60">
        <f>Inc!B170</f>
        <v>77300</v>
      </c>
      <c r="BV9" s="60">
        <f>Inc!B250</f>
        <v>100500</v>
      </c>
      <c r="BW9" s="60">
        <f>Inc!B290</f>
        <v>124200</v>
      </c>
      <c r="BX9" s="60">
        <f>Inc!B330</f>
        <v>179800</v>
      </c>
      <c r="BY9" s="60">
        <f>Inc!B370</f>
        <v>563200</v>
      </c>
      <c r="CA9" s="60">
        <f t="shared" ref="CA9:CH40" si="8">BI9*BR9/100</f>
        <v>1441.5</v>
      </c>
      <c r="CB9" s="60">
        <f t="shared" si="8"/>
        <v>5565</v>
      </c>
      <c r="CC9" s="60">
        <f t="shared" si="8"/>
        <v>10867.9</v>
      </c>
      <c r="CD9" s="60">
        <f t="shared" si="8"/>
        <v>16774.099999999999</v>
      </c>
      <c r="CE9" s="60">
        <f t="shared" si="8"/>
        <v>23718</v>
      </c>
      <c r="CF9" s="60">
        <f t="shared" si="8"/>
        <v>31298.400000000001</v>
      </c>
      <c r="CG9" s="60">
        <f t="shared" si="8"/>
        <v>48725.8</v>
      </c>
      <c r="CH9" s="60">
        <f t="shared" si="8"/>
        <v>197683.20000000001</v>
      </c>
      <c r="CJ9" s="153">
        <f>CA9*CU9</f>
        <v>25190.212500000009</v>
      </c>
      <c r="CK9" s="153">
        <f t="shared" ref="CK9:CQ45" si="9">CB9*CV9</f>
        <v>90013.875000000029</v>
      </c>
      <c r="CL9" s="153">
        <f t="shared" si="9"/>
        <v>163833.59250000006</v>
      </c>
      <c r="CM9" s="153">
        <f t="shared" si="9"/>
        <v>259579.19750000007</v>
      </c>
      <c r="CN9" s="153">
        <f t="shared" si="9"/>
        <v>192115.8</v>
      </c>
      <c r="CO9" s="153">
        <f t="shared" si="9"/>
        <v>134583.12</v>
      </c>
      <c r="CP9" s="153">
        <f t="shared" si="9"/>
        <v>165667.72</v>
      </c>
      <c r="CQ9" s="153">
        <f t="shared" si="9"/>
        <v>177914.88</v>
      </c>
      <c r="CR9" s="153">
        <f>SUM(CJ9:CQ9)</f>
        <v>1208898.3975000002</v>
      </c>
      <c r="CT9" s="403">
        <v>221.9</v>
      </c>
      <c r="CU9" s="276">
        <f>Dem!B50+(DD9/4)</f>
        <v>17.475000000000005</v>
      </c>
      <c r="CV9" s="276">
        <f>Dem!B90+(DD9/4)</f>
        <v>16.175000000000004</v>
      </c>
      <c r="CW9" s="276">
        <f>Dem!B130+(DD9/4)</f>
        <v>15.075000000000005</v>
      </c>
      <c r="CX9" s="276">
        <f>Dem!B170+(DD9/4)</f>
        <v>15.475000000000005</v>
      </c>
      <c r="CY9" s="276">
        <f>Dem!B250</f>
        <v>8.1</v>
      </c>
      <c r="CZ9" s="276">
        <f>Dem!B290</f>
        <v>4.3</v>
      </c>
      <c r="DA9" s="276">
        <f>Dem!B330</f>
        <v>3.4</v>
      </c>
      <c r="DB9" s="276">
        <f>Dem!B370</f>
        <v>0.9</v>
      </c>
      <c r="DC9" s="275">
        <v>81.099999999999994</v>
      </c>
      <c r="DD9" s="46">
        <v>-9.9999999999980105E-2</v>
      </c>
      <c r="DE9" s="275"/>
      <c r="DF9" s="276">
        <f>Dem!$D50+(DO9/4)</f>
        <v>43.17499999999999</v>
      </c>
      <c r="DG9" s="276">
        <f>Dem!$D90+(DO9/4)</f>
        <v>44.17499999999999</v>
      </c>
      <c r="DH9" s="276">
        <f>Dem!$D130+(DO9/4)</f>
        <v>44.17499999999999</v>
      </c>
      <c r="DI9" s="276">
        <f>Dem!$D170+(DO9/4)</f>
        <v>44.17499999999999</v>
      </c>
      <c r="DJ9" s="275">
        <f>Dem!$D250</f>
        <v>22.2</v>
      </c>
      <c r="DK9" s="275">
        <f>Dem!$D290</f>
        <v>11.1</v>
      </c>
      <c r="DL9" s="275">
        <f>Dem!$D330</f>
        <v>8.9</v>
      </c>
      <c r="DM9" s="275">
        <f>Dem!$D370</f>
        <v>2.2000000000000002</v>
      </c>
      <c r="DN9" s="276">
        <f>CT9</f>
        <v>221.9</v>
      </c>
      <c r="DO9" s="44">
        <v>-0.90000000000003411</v>
      </c>
    </row>
    <row r="10" spans="1:119">
      <c r="A10" s="46">
        <f>A9+1</f>
        <v>1980</v>
      </c>
      <c r="B10" s="141">
        <f t="shared" ref="B10:B46" si="10">D10-E10</f>
        <v>0.12543562106286765</v>
      </c>
      <c r="C10" s="46"/>
      <c r="D10" s="141">
        <f t="shared" ref="D10:D46" si="11">SUM(G10:N10)*2</f>
        <v>0.52158716642677594</v>
      </c>
      <c r="E10" s="141">
        <f t="shared" ref="E10:E46" si="12">SUM(Y10:AF10)*2</f>
        <v>0.39615154536390829</v>
      </c>
      <c r="F10" s="46"/>
      <c r="G10" s="157">
        <f>((O$5+0.5*(P$5-O$5))-(O10+0.5*(P10-O10)))*P$4</f>
        <v>1.8037363049478301E-2</v>
      </c>
      <c r="H10" s="157">
        <f t="shared" ref="H10:N11" si="13">((P$5+0.5*(Q$5-P$5))-(P10+0.5*(Q10-P10)))*Q$4</f>
        <v>4.8860652239481953E-2</v>
      </c>
      <c r="I10" s="157">
        <f t="shared" si="13"/>
        <v>6.8124813857436822E-2</v>
      </c>
      <c r="J10" s="157">
        <f t="shared" si="13"/>
        <v>7.2864941924873458E-2</v>
      </c>
      <c r="K10" s="157">
        <f t="shared" si="13"/>
        <v>3.2283261553287888E-2</v>
      </c>
      <c r="L10" s="157">
        <f t="shared" si="13"/>
        <v>1.2927833247115184E-2</v>
      </c>
      <c r="M10" s="157">
        <f t="shared" si="13"/>
        <v>7.0641029589445159E-3</v>
      </c>
      <c r="N10" s="157">
        <f t="shared" si="13"/>
        <v>6.3061438276986739E-4</v>
      </c>
      <c r="O10" s="46"/>
      <c r="P10" s="154">
        <f>AQ10/SUM($AQ10:$AX10)</f>
        <v>1.9626369505217001E-2</v>
      </c>
      <c r="Q10" s="154">
        <f t="shared" si="2"/>
        <v>9.1767108099963621E-2</v>
      </c>
      <c r="R10" s="154">
        <f t="shared" si="3"/>
        <v>0.2269847533256682</v>
      </c>
      <c r="S10" s="154">
        <f t="shared" si="3"/>
        <v>0.44436582742559749</v>
      </c>
      <c r="T10" s="154">
        <f t="shared" si="3"/>
        <v>0.60996894150864489</v>
      </c>
      <c r="U10" s="154">
        <f t="shared" si="3"/>
        <v>0.72291772860674774</v>
      </c>
      <c r="V10" s="154">
        <f t="shared" si="3"/>
        <v>0.86387712344602674</v>
      </c>
      <c r="W10" s="162">
        <f>W9</f>
        <v>1</v>
      </c>
      <c r="X10" s="154"/>
      <c r="Y10" s="142">
        <f t="shared" ref="Y10:Y46" si="14">((O$5+0.5*(P$5-O$5))-(AG10+0.5*(AH10-AG10)))*P$4</f>
        <v>1.5114656031904289E-2</v>
      </c>
      <c r="Z10" s="142">
        <f t="shared" ref="Z10:Z46" si="15">((P$5+0.5*(Q$5-P$5))-(AH10+0.5*(AI10-AH10)))*Q$4</f>
        <v>3.9262213359920251E-2</v>
      </c>
      <c r="AA10" s="142">
        <f t="shared" ref="AA10:AA46" si="16">((Q$5+0.5*(R$5-Q$5))-(AI10+0.5*(AJ10-AI10)))*R$4</f>
        <v>5.2342971086739777E-2</v>
      </c>
      <c r="AB10" s="142">
        <f t="shared" ref="AB10:AB46" si="17">((R$5+0.5*(S$5-R$5))-(AJ10+0.5*(AK10-AJ10)))*S$4</f>
        <v>5.4057826520438695E-2</v>
      </c>
      <c r="AC10" s="142">
        <f t="shared" ref="AC10:AC46" si="18">((S$5+0.5*(T$5-S$5))-(AK10+0.5*(AL10-AK10)))*T$4</f>
        <v>2.3185443668993024E-2</v>
      </c>
      <c r="AD10" s="142">
        <f t="shared" ref="AD10:AD46" si="19">((T$5+0.5*(U$5-T$5))-(AL10+0.5*(AM10-AL10)))*U$4</f>
        <v>9.0117148554337001E-3</v>
      </c>
      <c r="AE10" s="142">
        <f t="shared" ref="AE10:AE46" si="20">((U$5+0.5*(V$5-U$5))-(AM10+0.5*(AN10-AM10)))*V$4</f>
        <v>4.7022931206380878E-3</v>
      </c>
      <c r="AF10" s="142">
        <f t="shared" ref="AF10:AF46" si="21">((V$5+0.5*(W$5-V$5))-(AN10+0.5*(AO10-AN10)))*W$4</f>
        <v>3.9865403788634122E-4</v>
      </c>
      <c r="AH10" s="158">
        <f t="shared" ref="AH10:AH46" si="22">AZ10/SUM($AZ10:$BG10)</f>
        <v>4.8853439680957136E-2</v>
      </c>
      <c r="AI10" s="158">
        <f t="shared" si="5"/>
        <v>0.15852442671984049</v>
      </c>
      <c r="AJ10" s="158">
        <f t="shared" si="6"/>
        <v>0.31804586241276173</v>
      </c>
      <c r="AK10" s="158">
        <f t="shared" si="6"/>
        <v>0.54137587238285145</v>
      </c>
      <c r="AL10" s="158">
        <f t="shared" si="6"/>
        <v>0.69491525423728817</v>
      </c>
      <c r="AM10" s="158">
        <f t="shared" si="6"/>
        <v>0.79461615154536391</v>
      </c>
      <c r="AN10" s="158">
        <f t="shared" si="6"/>
        <v>0.91026919242273185</v>
      </c>
      <c r="AO10" s="158">
        <v>1</v>
      </c>
      <c r="AP10" s="143"/>
      <c r="AQ10" s="143">
        <f t="shared" si="7"/>
        <v>1.9626369505217001E-2</v>
      </c>
      <c r="AR10" s="143">
        <f t="shared" si="7"/>
        <v>7.2140738594746623E-2</v>
      </c>
      <c r="AS10" s="143">
        <f t="shared" si="7"/>
        <v>0.13521764522570459</v>
      </c>
      <c r="AT10" s="143">
        <f t="shared" si="7"/>
        <v>0.21738107409992927</v>
      </c>
      <c r="AU10" s="143">
        <f t="shared" si="7"/>
        <v>0.16560311408304734</v>
      </c>
      <c r="AV10" s="143">
        <f t="shared" si="7"/>
        <v>0.11294878709810288</v>
      </c>
      <c r="AW10" s="143">
        <f t="shared" si="7"/>
        <v>0.14095939483927902</v>
      </c>
      <c r="AX10" s="143">
        <f t="shared" si="7"/>
        <v>0.13612287655397326</v>
      </c>
      <c r="AY10" s="46"/>
      <c r="AZ10" s="152">
        <f>Shares!D51</f>
        <v>4.9000000000000004</v>
      </c>
      <c r="BA10" s="152">
        <f>Shares!E51</f>
        <v>11</v>
      </c>
      <c r="BB10" s="152">
        <f>Shares!F51</f>
        <v>16</v>
      </c>
      <c r="BC10" s="152">
        <f>Shares!G51</f>
        <v>22.4</v>
      </c>
      <c r="BD10" s="152">
        <f>Shares!J51</f>
        <v>15.4</v>
      </c>
      <c r="BE10" s="152">
        <f>Shares!K51</f>
        <v>10</v>
      </c>
      <c r="BF10" s="152">
        <f>Shares!L51</f>
        <v>11.6</v>
      </c>
      <c r="BG10" s="152">
        <f>Shares!M51</f>
        <v>9</v>
      </c>
      <c r="BI10" s="146">
        <f>TxRt!B54</f>
        <v>8.9</v>
      </c>
      <c r="BJ10" s="146">
        <f>TxRt!B97</f>
        <v>14.7</v>
      </c>
      <c r="BK10" s="146">
        <f>TxRt!B137</f>
        <v>19</v>
      </c>
      <c r="BL10" s="146">
        <f>TxRt!B177</f>
        <v>21.8</v>
      </c>
      <c r="BM10" s="146">
        <f>TxRt!B257</f>
        <v>24</v>
      </c>
      <c r="BN10" s="146">
        <f>TxRt!B297</f>
        <v>25.5</v>
      </c>
      <c r="BO10" s="146">
        <f>TxRt!B337</f>
        <v>27.4</v>
      </c>
      <c r="BP10" s="146">
        <f>TxRt!B377</f>
        <v>33.1</v>
      </c>
      <c r="BQ10" s="46"/>
      <c r="BR10" s="60">
        <f>Inc!B51</f>
        <v>14900</v>
      </c>
      <c r="BS10" s="60">
        <f>Inc!B91</f>
        <v>35600</v>
      </c>
      <c r="BT10" s="60">
        <f>Inc!B131</f>
        <v>55000</v>
      </c>
      <c r="BU10" s="60">
        <f>Inc!B171</f>
        <v>75100</v>
      </c>
      <c r="BV10" s="60">
        <f>Inc!B251</f>
        <v>98300</v>
      </c>
      <c r="BW10" s="60">
        <f>Inc!B291</f>
        <v>121800</v>
      </c>
      <c r="BX10" s="60">
        <f>Inc!B331</f>
        <v>173800</v>
      </c>
      <c r="BY10" s="60">
        <f>Inc!B371</f>
        <v>540300</v>
      </c>
      <c r="CA10" s="60">
        <f t="shared" si="8"/>
        <v>1326.1</v>
      </c>
      <c r="CB10" s="60">
        <f t="shared" si="8"/>
        <v>5233.2</v>
      </c>
      <c r="CC10" s="60">
        <f t="shared" si="8"/>
        <v>10450</v>
      </c>
      <c r="CD10" s="60">
        <f t="shared" si="8"/>
        <v>16371.8</v>
      </c>
      <c r="CE10" s="60">
        <f t="shared" si="8"/>
        <v>23592</v>
      </c>
      <c r="CF10" s="60">
        <f t="shared" si="8"/>
        <v>31059</v>
      </c>
      <c r="CG10" s="60">
        <f t="shared" si="8"/>
        <v>47621.2</v>
      </c>
      <c r="CH10" s="60">
        <f t="shared" si="8"/>
        <v>178839.3</v>
      </c>
      <c r="CJ10" s="153">
        <f t="shared" ref="CJ10:CJ45" si="23">CA10*CU10</f>
        <v>23206.750000000004</v>
      </c>
      <c r="CK10" s="153">
        <f t="shared" si="9"/>
        <v>85301.16</v>
      </c>
      <c r="CL10" s="153">
        <f t="shared" si="9"/>
        <v>159885.00000000003</v>
      </c>
      <c r="CM10" s="153">
        <f t="shared" si="9"/>
        <v>257037.26000000004</v>
      </c>
      <c r="CN10" s="153">
        <f t="shared" si="9"/>
        <v>195813.6</v>
      </c>
      <c r="CO10" s="153">
        <f t="shared" si="9"/>
        <v>133553.69999999998</v>
      </c>
      <c r="CP10" s="153">
        <f t="shared" si="9"/>
        <v>166674.19999999998</v>
      </c>
      <c r="CQ10" s="153">
        <f t="shared" si="9"/>
        <v>160955.37</v>
      </c>
      <c r="CR10" s="153">
        <f t="shared" ref="CR10:CR46" si="24">SUM(CJ10:CQ10)</f>
        <v>1182427.04</v>
      </c>
      <c r="CT10" s="403">
        <v>224.5</v>
      </c>
      <c r="CU10" s="276">
        <f>Dem!B51+(DD10/4)</f>
        <v>17.500000000000004</v>
      </c>
      <c r="CV10" s="276">
        <f>Dem!B91+(DD10/4)</f>
        <v>16.3</v>
      </c>
      <c r="CW10" s="276">
        <f>Dem!B131+(DD10/4)</f>
        <v>15.300000000000002</v>
      </c>
      <c r="CX10" s="276">
        <f>Dem!B171+(DD10/4)</f>
        <v>15.700000000000003</v>
      </c>
      <c r="CY10" s="276">
        <f>Dem!B251</f>
        <v>8.3000000000000007</v>
      </c>
      <c r="CZ10" s="276">
        <f>Dem!B291</f>
        <v>4.3</v>
      </c>
      <c r="DA10" s="276">
        <f>Dem!B331</f>
        <v>3.5</v>
      </c>
      <c r="DB10" s="276">
        <f>Dem!B371</f>
        <v>0.9</v>
      </c>
      <c r="DC10" s="275">
        <v>82.6</v>
      </c>
      <c r="DD10" s="46">
        <v>-0.39999999999999147</v>
      </c>
      <c r="DE10" s="275"/>
      <c r="DF10" s="276">
        <f>Dem!$D51+(DO10/4)</f>
        <v>43.15</v>
      </c>
      <c r="DG10" s="276">
        <f>Dem!$D91+(DO10/4)</f>
        <v>44.55</v>
      </c>
      <c r="DH10" s="276">
        <f>Dem!$D131+(DO10/4)</f>
        <v>44.55</v>
      </c>
      <c r="DI10" s="276">
        <f>Dem!$D171+(DO10/4)</f>
        <v>44.55</v>
      </c>
      <c r="DJ10" s="275">
        <f>Dem!$D251</f>
        <v>22.5</v>
      </c>
      <c r="DK10" s="275">
        <f>Dem!$D291</f>
        <v>11.2</v>
      </c>
      <c r="DL10" s="275">
        <f>Dem!$D331</f>
        <v>9</v>
      </c>
      <c r="DM10" s="275">
        <f>Dem!$D371</f>
        <v>2.2000000000000002</v>
      </c>
      <c r="DN10" s="276">
        <f t="shared" ref="DN10:DN46" si="25">CT10</f>
        <v>224.5</v>
      </c>
      <c r="DO10" s="44">
        <v>-1.4000000000000057</v>
      </c>
    </row>
    <row r="11" spans="1:119">
      <c r="A11" s="46">
        <f t="shared" ref="A11:A46" si="26">A10+1</f>
        <v>1981</v>
      </c>
      <c r="B11" s="141">
        <f t="shared" si="10"/>
        <v>0.11289841374744958</v>
      </c>
      <c r="C11" s="46"/>
      <c r="D11" s="141">
        <f t="shared" si="11"/>
        <v>0.51312726946884268</v>
      </c>
      <c r="E11" s="141">
        <f t="shared" si="12"/>
        <v>0.40022885572139311</v>
      </c>
      <c r="F11" s="46"/>
      <c r="G11" s="157">
        <f t="shared" ref="G11:G46" si="27">((O$5+0.5*(P$5-O$5))-(O11+0.5*(P11-O11)))*P$4</f>
        <v>1.7999509174316301E-2</v>
      </c>
      <c r="H11" s="157">
        <f t="shared" si="13"/>
        <v>4.8658561653108369E-2</v>
      </c>
      <c r="I11" s="157">
        <f t="shared" si="13"/>
        <v>6.7501234853684741E-2</v>
      </c>
      <c r="J11" s="157">
        <f t="shared" si="13"/>
        <v>7.1617579235462928E-2</v>
      </c>
      <c r="K11" s="157">
        <f t="shared" si="13"/>
        <v>3.1344470959933646E-2</v>
      </c>
      <c r="L11" s="157">
        <f t="shared" si="13"/>
        <v>1.2349027537943896E-2</v>
      </c>
      <c r="M11" s="157">
        <f t="shared" si="13"/>
        <v>6.5339036596763437E-3</v>
      </c>
      <c r="N11" s="157">
        <f t="shared" si="13"/>
        <v>5.5934766029515966E-4</v>
      </c>
      <c r="O11" s="46"/>
      <c r="P11" s="154">
        <f t="shared" ref="P11:P46" si="28">AQ11/SUM($AQ11:$AX11)</f>
        <v>2.0004908256837008E-2</v>
      </c>
      <c r="Q11" s="154">
        <f t="shared" si="2"/>
        <v>9.3409475212079374E-2</v>
      </c>
      <c r="R11" s="154">
        <f t="shared" si="3"/>
        <v>0.23157817625107327</v>
      </c>
      <c r="S11" s="154">
        <f t="shared" si="3"/>
        <v>0.45224603139429764</v>
      </c>
      <c r="T11" s="154">
        <f t="shared" si="3"/>
        <v>0.62086454940702951</v>
      </c>
      <c r="U11" s="154">
        <f t="shared" si="3"/>
        <v>0.73517434907521473</v>
      </c>
      <c r="V11" s="154">
        <f t="shared" si="3"/>
        <v>0.87813046794096827</v>
      </c>
      <c r="W11" s="162">
        <f t="shared" ref="W11:W46" si="29">W10</f>
        <v>1</v>
      </c>
      <c r="X11" s="154"/>
      <c r="Y11" s="142">
        <f t="shared" si="14"/>
        <v>1.5323383084577117E-2</v>
      </c>
      <c r="Z11" s="142">
        <f t="shared" si="15"/>
        <v>3.9800995024875635E-2</v>
      </c>
      <c r="AA11" s="142">
        <f t="shared" si="16"/>
        <v>5.2935323383084577E-2</v>
      </c>
      <c r="AB11" s="142">
        <f t="shared" si="17"/>
        <v>5.4527363184079608E-2</v>
      </c>
      <c r="AC11" s="142">
        <f t="shared" si="18"/>
        <v>2.3358208955223891E-2</v>
      </c>
      <c r="AD11" s="142">
        <f t="shared" si="19"/>
        <v>9.0609452736318437E-3</v>
      </c>
      <c r="AE11" s="142">
        <f t="shared" si="20"/>
        <v>4.7104477611940344E-3</v>
      </c>
      <c r="AF11" s="142">
        <f t="shared" si="21"/>
        <v>3.9776119402985203E-4</v>
      </c>
      <c r="AH11" s="158">
        <f t="shared" si="22"/>
        <v>4.6766169154228855E-2</v>
      </c>
      <c r="AI11" s="158">
        <f t="shared" si="5"/>
        <v>0.15522388059701492</v>
      </c>
      <c r="AJ11" s="158">
        <f t="shared" si="6"/>
        <v>0.31542288557213932</v>
      </c>
      <c r="AK11" s="158">
        <f t="shared" si="6"/>
        <v>0.53930348258706473</v>
      </c>
      <c r="AL11" s="158">
        <f t="shared" si="6"/>
        <v>0.69353233830845773</v>
      </c>
      <c r="AM11" s="158">
        <f t="shared" si="6"/>
        <v>0.79402985074626864</v>
      </c>
      <c r="AN11" s="158">
        <f t="shared" si="6"/>
        <v>0.91044776119402981</v>
      </c>
      <c r="AO11" s="158">
        <v>1</v>
      </c>
      <c r="AP11" s="143"/>
      <c r="AQ11" s="143">
        <f t="shared" si="7"/>
        <v>2.0004908256837005E-2</v>
      </c>
      <c r="AR11" s="143">
        <f t="shared" si="7"/>
        <v>7.3404566955242348E-2</v>
      </c>
      <c r="AS11" s="143">
        <f t="shared" si="7"/>
        <v>0.13816870103899387</v>
      </c>
      <c r="AT11" s="143">
        <f t="shared" si="7"/>
        <v>0.22066785514322437</v>
      </c>
      <c r="AU11" s="143">
        <f t="shared" si="7"/>
        <v>0.16861851801273181</v>
      </c>
      <c r="AV11" s="143">
        <f t="shared" si="7"/>
        <v>0.11430979966818526</v>
      </c>
      <c r="AW11" s="143">
        <f t="shared" si="7"/>
        <v>0.14295611886575346</v>
      </c>
      <c r="AX11" s="143">
        <f t="shared" si="7"/>
        <v>0.12186953205903181</v>
      </c>
      <c r="AY11" s="46"/>
      <c r="AZ11" s="152">
        <f>Shares!D52</f>
        <v>4.7</v>
      </c>
      <c r="BA11" s="152">
        <f>Shares!E52</f>
        <v>10.9</v>
      </c>
      <c r="BB11" s="152">
        <f>Shares!F52</f>
        <v>16.100000000000001</v>
      </c>
      <c r="BC11" s="152">
        <f>Shares!G52</f>
        <v>22.5</v>
      </c>
      <c r="BD11" s="152">
        <f>Shares!J52</f>
        <v>15.5</v>
      </c>
      <c r="BE11" s="152">
        <f>Shares!K52</f>
        <v>10.1</v>
      </c>
      <c r="BF11" s="152">
        <f>Shares!L52</f>
        <v>11.7</v>
      </c>
      <c r="BG11" s="152">
        <f>Shares!M52</f>
        <v>9</v>
      </c>
      <c r="BI11" s="146">
        <f>TxRt!B55</f>
        <v>9.6</v>
      </c>
      <c r="BJ11" s="146">
        <f>TxRt!B98</f>
        <v>15.2</v>
      </c>
      <c r="BK11" s="146">
        <f>TxRt!B138</f>
        <v>19.399999999999999</v>
      </c>
      <c r="BL11" s="146">
        <f>TxRt!B178</f>
        <v>22.3</v>
      </c>
      <c r="BM11" s="146">
        <f>TxRt!B258</f>
        <v>24.5</v>
      </c>
      <c r="BN11" s="146">
        <f>TxRt!B298</f>
        <v>25.8</v>
      </c>
      <c r="BO11" s="146">
        <f>TxRt!B338</f>
        <v>27.2</v>
      </c>
      <c r="BP11" s="146">
        <f>TxRt!B378</f>
        <v>30.5</v>
      </c>
      <c r="BQ11" s="46"/>
      <c r="BR11" s="60">
        <f>Inc!B52</f>
        <v>14700</v>
      </c>
      <c r="BS11" s="60">
        <f>Inc!B92</f>
        <v>35300</v>
      </c>
      <c r="BT11" s="60">
        <f>Inc!B132</f>
        <v>54700</v>
      </c>
      <c r="BU11" s="60">
        <f>Inc!B172</f>
        <v>76000</v>
      </c>
      <c r="BV11" s="60">
        <f>Inc!B252</f>
        <v>98100</v>
      </c>
      <c r="BW11" s="60">
        <f>Inc!B292</f>
        <v>122000</v>
      </c>
      <c r="BX11" s="60">
        <f>Inc!B332</f>
        <v>172100</v>
      </c>
      <c r="BY11" s="60">
        <f>Inc!B372</f>
        <v>537900</v>
      </c>
      <c r="CA11" s="60">
        <f t="shared" si="8"/>
        <v>1411.2</v>
      </c>
      <c r="CB11" s="60">
        <f t="shared" si="8"/>
        <v>5365.6</v>
      </c>
      <c r="CC11" s="60">
        <f t="shared" si="8"/>
        <v>10611.8</v>
      </c>
      <c r="CD11" s="60">
        <f t="shared" si="8"/>
        <v>16948</v>
      </c>
      <c r="CE11" s="60">
        <f t="shared" si="8"/>
        <v>24034.5</v>
      </c>
      <c r="CF11" s="60">
        <f t="shared" si="8"/>
        <v>31476</v>
      </c>
      <c r="CG11" s="60">
        <f t="shared" si="8"/>
        <v>46811.199999999997</v>
      </c>
      <c r="CH11" s="60">
        <f t="shared" si="8"/>
        <v>164059.5</v>
      </c>
      <c r="CJ11" s="153">
        <f t="shared" si="23"/>
        <v>24237.360000000008</v>
      </c>
      <c r="CK11" s="153">
        <f t="shared" si="9"/>
        <v>88934.820000000022</v>
      </c>
      <c r="CL11" s="153">
        <f t="shared" si="9"/>
        <v>167401.14500000002</v>
      </c>
      <c r="CM11" s="153">
        <f t="shared" si="9"/>
        <v>267354.70000000007</v>
      </c>
      <c r="CN11" s="153">
        <f t="shared" si="9"/>
        <v>204293.25</v>
      </c>
      <c r="CO11" s="153">
        <f t="shared" si="9"/>
        <v>138494.40000000002</v>
      </c>
      <c r="CP11" s="153">
        <f t="shared" si="9"/>
        <v>173201.44</v>
      </c>
      <c r="CQ11" s="153">
        <f t="shared" si="9"/>
        <v>147653.55000000002</v>
      </c>
      <c r="CR11" s="153">
        <f t="shared" si="24"/>
        <v>1211570.6650000003</v>
      </c>
      <c r="CT11" s="403">
        <v>226</v>
      </c>
      <c r="CU11" s="276">
        <f>Dem!B52+(DD11/4)</f>
        <v>17.175000000000004</v>
      </c>
      <c r="CV11" s="276">
        <f>Dem!B92+(DD11/4)</f>
        <v>16.575000000000003</v>
      </c>
      <c r="CW11" s="276">
        <f>Dem!B132+(DD11/4)</f>
        <v>15.775000000000004</v>
      </c>
      <c r="CX11" s="276">
        <f>Dem!B172+(DD11/4)</f>
        <v>15.775000000000004</v>
      </c>
      <c r="CY11" s="276">
        <f>Dem!B252</f>
        <v>8.5</v>
      </c>
      <c r="CZ11" s="276">
        <f>Dem!B292</f>
        <v>4.4000000000000004</v>
      </c>
      <c r="DA11" s="276">
        <f>Dem!B332</f>
        <v>3.7</v>
      </c>
      <c r="DB11" s="276">
        <f>Dem!B372</f>
        <v>0.9</v>
      </c>
      <c r="DC11" s="275">
        <v>83.8</v>
      </c>
      <c r="DD11" s="46">
        <v>-0.49999999999998579</v>
      </c>
      <c r="DE11" s="275"/>
      <c r="DF11" s="276">
        <f>Dem!$D52+(DO11/4)</f>
        <v>43.2</v>
      </c>
      <c r="DG11" s="276">
        <f>Dem!$D92+(DO11/4)</f>
        <v>44.800000000000004</v>
      </c>
      <c r="DH11" s="276">
        <f>Dem!$D132+(DO11/4)</f>
        <v>44.800000000000004</v>
      </c>
      <c r="DI11" s="276">
        <f>Dem!$D172+(DO11/4)</f>
        <v>44.800000000000004</v>
      </c>
      <c r="DJ11" s="275">
        <f>Dem!$D252</f>
        <v>22.6</v>
      </c>
      <c r="DK11" s="275">
        <f>Dem!$D292</f>
        <v>11.3</v>
      </c>
      <c r="DL11" s="275">
        <f>Dem!$D332</f>
        <v>9</v>
      </c>
      <c r="DM11" s="275">
        <f>Dem!$D372</f>
        <v>2.2999999999999998</v>
      </c>
      <c r="DN11" s="276">
        <f t="shared" si="25"/>
        <v>226</v>
      </c>
      <c r="DO11" s="44">
        <v>-1.5999999999999943</v>
      </c>
    </row>
    <row r="12" spans="1:119">
      <c r="A12" s="46">
        <f t="shared" si="26"/>
        <v>1982</v>
      </c>
      <c r="B12" s="141">
        <f t="shared" si="10"/>
        <v>0.10338334783345443</v>
      </c>
      <c r="C12" s="46"/>
      <c r="D12" s="141">
        <f t="shared" si="11"/>
        <v>0.51311469111703656</v>
      </c>
      <c r="E12" s="141">
        <f t="shared" si="12"/>
        <v>0.40973134328358213</v>
      </c>
      <c r="F12" s="46"/>
      <c r="G12" s="157">
        <f t="shared" si="27"/>
        <v>1.7922537807059259E-2</v>
      </c>
      <c r="H12" s="157">
        <f t="shared" ref="H12:H46" si="30">((P$5+0.5*(Q$5-P$5))-(P12+0.5*(Q12-P12)))*Q$4</f>
        <v>4.8677615809439793E-2</v>
      </c>
      <c r="I12" s="157">
        <f t="shared" ref="I12:I46" si="31">((Q$5+0.5*(R$5-Q$5))-(Q12+0.5*(R12-Q12)))*R$4</f>
        <v>6.7728528606316951E-2</v>
      </c>
      <c r="J12" s="157">
        <f t="shared" ref="J12:J46" si="32">((R$5+0.5*(S$5-R$5))-(R12+0.5*(S12-R12)))*S$4</f>
        <v>7.1787195155408753E-2</v>
      </c>
      <c r="K12" s="157">
        <f t="shared" ref="K12:K46" si="33">((S$5+0.5*(T$5-S$5))-(S12+0.5*(T12-S12)))*T$4</f>
        <v>3.122701727848495E-2</v>
      </c>
      <c r="L12" s="157">
        <f t="shared" ref="L12:L46" si="34">((T$5+0.5*(U$5-T$5))-(T12+0.5*(U12-T12)))*U$4</f>
        <v>1.2192422524765706E-2</v>
      </c>
      <c r="M12" s="157">
        <f t="shared" ref="M12:M46" si="35">((U$5+0.5*(V$5-U$5))-(U12+0.5*(V12-U12)))*V$4</f>
        <v>6.4627987053768755E-3</v>
      </c>
      <c r="N12" s="157">
        <f t="shared" ref="N12:N46" si="36">((V$5+0.5*(W$5-V$5))-(V12+0.5*(W12-V12)))*W$4</f>
        <v>5.5922967166595729E-4</v>
      </c>
      <c r="O12" s="46"/>
      <c r="P12" s="154">
        <f t="shared" si="28"/>
        <v>2.0774621929407419E-2</v>
      </c>
      <c r="Q12" s="154">
        <f t="shared" si="2"/>
        <v>9.2449219976194763E-2</v>
      </c>
      <c r="R12" s="154">
        <f t="shared" si="3"/>
        <v>0.23026549396063567</v>
      </c>
      <c r="S12" s="154">
        <f t="shared" si="3"/>
        <v>0.45186255448527701</v>
      </c>
      <c r="T12" s="154">
        <f t="shared" si="3"/>
        <v>0.62359709994502421</v>
      </c>
      <c r="U12" s="154">
        <f t="shared" si="3"/>
        <v>0.73870599906434764</v>
      </c>
      <c r="V12" s="154">
        <f t="shared" si="3"/>
        <v>0.87815406566680887</v>
      </c>
      <c r="W12" s="162">
        <f t="shared" si="29"/>
        <v>1</v>
      </c>
      <c r="X12" s="154"/>
      <c r="Y12" s="142">
        <f t="shared" si="14"/>
        <v>1.5621890547263685E-2</v>
      </c>
      <c r="Z12" s="142">
        <f t="shared" si="15"/>
        <v>4.0597014925373147E-2</v>
      </c>
      <c r="AA12" s="142">
        <f t="shared" si="16"/>
        <v>5.4129353233830835E-2</v>
      </c>
      <c r="AB12" s="142">
        <f t="shared" si="17"/>
        <v>5.5920398009950259E-2</v>
      </c>
      <c r="AC12" s="142">
        <f t="shared" si="18"/>
        <v>2.3955223880597024E-2</v>
      </c>
      <c r="AD12" s="142">
        <f t="shared" si="19"/>
        <v>9.3097014925373148E-3</v>
      </c>
      <c r="AE12" s="142">
        <f t="shared" si="20"/>
        <v>4.9094527363184115E-3</v>
      </c>
      <c r="AF12" s="142">
        <f t="shared" si="21"/>
        <v>4.2263681592039862E-4</v>
      </c>
      <c r="AH12" s="158">
        <f t="shared" si="22"/>
        <v>4.3781094527363187E-2</v>
      </c>
      <c r="AI12" s="158">
        <f t="shared" si="5"/>
        <v>0.15024875621890549</v>
      </c>
      <c r="AJ12" s="158">
        <f t="shared" si="6"/>
        <v>0.30845771144278611</v>
      </c>
      <c r="AK12" s="158">
        <f t="shared" si="6"/>
        <v>0.53233830845771146</v>
      </c>
      <c r="AL12" s="158">
        <f t="shared" si="6"/>
        <v>0.6885572139303483</v>
      </c>
      <c r="AM12" s="158">
        <f t="shared" si="6"/>
        <v>0.78905472636815921</v>
      </c>
      <c r="AN12" s="158">
        <f t="shared" si="6"/>
        <v>0.90547263681592038</v>
      </c>
      <c r="AO12" s="158">
        <v>1</v>
      </c>
      <c r="AP12" s="143"/>
      <c r="AQ12" s="143">
        <f t="shared" si="7"/>
        <v>2.0774621929407416E-2</v>
      </c>
      <c r="AR12" s="143">
        <f t="shared" si="7"/>
        <v>7.167459804678733E-2</v>
      </c>
      <c r="AS12" s="143">
        <f t="shared" si="7"/>
        <v>0.13781627398444088</v>
      </c>
      <c r="AT12" s="143">
        <f t="shared" si="7"/>
        <v>0.22159706052464129</v>
      </c>
      <c r="AU12" s="143">
        <f t="shared" si="7"/>
        <v>0.17173454545974712</v>
      </c>
      <c r="AV12" s="143">
        <f t="shared" si="7"/>
        <v>0.11510889911932341</v>
      </c>
      <c r="AW12" s="143">
        <f t="shared" si="7"/>
        <v>0.13944806660246123</v>
      </c>
      <c r="AX12" s="143">
        <f t="shared" si="7"/>
        <v>0.12184593433319126</v>
      </c>
      <c r="AY12" s="46"/>
      <c r="AZ12" s="152">
        <f>Shares!D53</f>
        <v>4.4000000000000004</v>
      </c>
      <c r="BA12" s="152">
        <f>Shares!E53</f>
        <v>10.7</v>
      </c>
      <c r="BB12" s="152">
        <f>Shares!F53</f>
        <v>15.9</v>
      </c>
      <c r="BC12" s="152">
        <f>Shares!G53</f>
        <v>22.5</v>
      </c>
      <c r="BD12" s="152">
        <f>Shares!J53</f>
        <v>15.7</v>
      </c>
      <c r="BE12" s="152">
        <f>Shares!K53</f>
        <v>10.1</v>
      </c>
      <c r="BF12" s="152">
        <f>Shares!L53</f>
        <v>11.7</v>
      </c>
      <c r="BG12" s="152">
        <f>Shares!M53</f>
        <v>9.5</v>
      </c>
      <c r="BI12" s="146">
        <f>TxRt!B56</f>
        <v>9.8000000000000007</v>
      </c>
      <c r="BJ12" s="146">
        <f>TxRt!B99</f>
        <v>14</v>
      </c>
      <c r="BK12" s="146">
        <f>TxRt!B139</f>
        <v>18.100000000000001</v>
      </c>
      <c r="BL12" s="146">
        <f>TxRt!B179</f>
        <v>20.6</v>
      </c>
      <c r="BM12" s="146">
        <f>TxRt!B259</f>
        <v>22.6</v>
      </c>
      <c r="BN12" s="146">
        <f>TxRt!B299</f>
        <v>23.7</v>
      </c>
      <c r="BO12" s="146">
        <f>TxRt!B339</f>
        <v>24.5</v>
      </c>
      <c r="BP12" s="146">
        <f>TxRt!B379</f>
        <v>26.8</v>
      </c>
      <c r="BQ12" s="46"/>
      <c r="BR12" s="60">
        <f>Inc!B53</f>
        <v>14200</v>
      </c>
      <c r="BS12" s="60">
        <f>Inc!B93</f>
        <v>34500</v>
      </c>
      <c r="BT12" s="60">
        <f>Inc!B133</f>
        <v>53900</v>
      </c>
      <c r="BU12" s="60">
        <f>Inc!B173</f>
        <v>75200</v>
      </c>
      <c r="BV12" s="60">
        <f>Inc!B253</f>
        <v>98000</v>
      </c>
      <c r="BW12" s="60">
        <f>Inc!B293</f>
        <v>121100</v>
      </c>
      <c r="BX12" s="60">
        <f>Inc!B333</f>
        <v>172600</v>
      </c>
      <c r="BY12" s="60">
        <f>Inc!B373</f>
        <v>566800</v>
      </c>
      <c r="CA12" s="60">
        <f t="shared" si="8"/>
        <v>1391.6</v>
      </c>
      <c r="CB12" s="60">
        <f t="shared" si="8"/>
        <v>4830</v>
      </c>
      <c r="CC12" s="60">
        <f t="shared" si="8"/>
        <v>9755.9000000000015</v>
      </c>
      <c r="CD12" s="60">
        <f t="shared" si="8"/>
        <v>15491.2</v>
      </c>
      <c r="CE12" s="60">
        <f t="shared" si="8"/>
        <v>22148</v>
      </c>
      <c r="CF12" s="60">
        <f t="shared" si="8"/>
        <v>28700.7</v>
      </c>
      <c r="CG12" s="60">
        <f t="shared" si="8"/>
        <v>42287</v>
      </c>
      <c r="CH12" s="60">
        <f t="shared" si="8"/>
        <v>151902.39999999999</v>
      </c>
      <c r="CJ12" s="153">
        <f t="shared" si="23"/>
        <v>23309.300000000003</v>
      </c>
      <c r="CK12" s="153">
        <f t="shared" si="9"/>
        <v>80419.500000000029</v>
      </c>
      <c r="CL12" s="153">
        <f t="shared" si="9"/>
        <v>154631.01500000007</v>
      </c>
      <c r="CM12" s="153">
        <f t="shared" si="9"/>
        <v>248633.76000000007</v>
      </c>
      <c r="CN12" s="153">
        <f t="shared" si="9"/>
        <v>192687.59999999998</v>
      </c>
      <c r="CO12" s="153">
        <f t="shared" si="9"/>
        <v>129153.15000000001</v>
      </c>
      <c r="CP12" s="153">
        <f t="shared" si="9"/>
        <v>156461.9</v>
      </c>
      <c r="CQ12" s="153">
        <f t="shared" si="9"/>
        <v>136712.16</v>
      </c>
      <c r="CR12" s="153">
        <f t="shared" si="24"/>
        <v>1122008.3850000002</v>
      </c>
      <c r="CT12" s="403">
        <v>227.6</v>
      </c>
      <c r="CU12" s="276">
        <f>Dem!B53+(DD12/4)</f>
        <v>16.750000000000004</v>
      </c>
      <c r="CV12" s="276">
        <f>Dem!B93+(DD12/4)</f>
        <v>16.650000000000006</v>
      </c>
      <c r="CW12" s="276">
        <f>Dem!B133+(DD12/4)</f>
        <v>15.850000000000005</v>
      </c>
      <c r="CX12" s="276">
        <f>Dem!B173+(DD12/4)</f>
        <v>16.050000000000004</v>
      </c>
      <c r="CY12" s="276">
        <f>Dem!B253</f>
        <v>8.6999999999999993</v>
      </c>
      <c r="CZ12" s="276">
        <f>Dem!B293</f>
        <v>4.5</v>
      </c>
      <c r="DA12" s="276">
        <f>Dem!B333</f>
        <v>3.7</v>
      </c>
      <c r="DB12" s="276">
        <f>Dem!B373</f>
        <v>0.9</v>
      </c>
      <c r="DC12" s="275">
        <v>84.3</v>
      </c>
      <c r="DD12" s="46">
        <v>-0.5999999999999801</v>
      </c>
      <c r="DE12" s="275"/>
      <c r="DF12" s="276">
        <f>Dem!$D53+(DO12/4)</f>
        <v>43.500000000000007</v>
      </c>
      <c r="DG12" s="276">
        <f>Dem!$D93+(DO12/4)</f>
        <v>45.100000000000009</v>
      </c>
      <c r="DH12" s="276">
        <f>Dem!$D133+(DO12/4)</f>
        <v>45.100000000000009</v>
      </c>
      <c r="DI12" s="276">
        <f>Dem!$D173+(DO12/4)</f>
        <v>45.100000000000009</v>
      </c>
      <c r="DJ12" s="275">
        <f>Dem!$D253</f>
        <v>22.8</v>
      </c>
      <c r="DK12" s="275">
        <f>Dem!$D293</f>
        <v>11.4</v>
      </c>
      <c r="DL12" s="275">
        <f>Dem!$D333</f>
        <v>9.1</v>
      </c>
      <c r="DM12" s="275">
        <f>Dem!$D373</f>
        <v>2.2999999999999998</v>
      </c>
      <c r="DN12" s="276">
        <f t="shared" si="25"/>
        <v>227.6</v>
      </c>
      <c r="DO12" s="44">
        <v>-1.5999999999999659</v>
      </c>
    </row>
    <row r="13" spans="1:119">
      <c r="A13" s="46">
        <f t="shared" si="26"/>
        <v>1983</v>
      </c>
      <c r="B13" s="141">
        <f t="shared" si="10"/>
        <v>9.585652256826227E-2</v>
      </c>
      <c r="C13" s="46"/>
      <c r="D13" s="141">
        <f t="shared" si="11"/>
        <v>0.51670061392873901</v>
      </c>
      <c r="E13" s="141">
        <f t="shared" si="12"/>
        <v>0.42084409136047674</v>
      </c>
      <c r="F13" s="46"/>
      <c r="G13" s="157">
        <f t="shared" si="27"/>
        <v>1.7799726266120648E-2</v>
      </c>
      <c r="H13" s="157">
        <f t="shared" si="30"/>
        <v>4.8473942229235151E-2</v>
      </c>
      <c r="I13" s="157">
        <f t="shared" si="31"/>
        <v>6.7942646007008944E-2</v>
      </c>
      <c r="J13" s="157">
        <f t="shared" si="32"/>
        <v>7.2461641745479102E-2</v>
      </c>
      <c r="K13" s="157">
        <f t="shared" si="33"/>
        <v>3.1749209855980523E-2</v>
      </c>
      <c r="L13" s="157">
        <f t="shared" si="34"/>
        <v>1.252179150286218E-2</v>
      </c>
      <c r="M13" s="157">
        <f t="shared" si="35"/>
        <v>6.7923578061892314E-3</v>
      </c>
      <c r="N13" s="157">
        <f t="shared" si="36"/>
        <v>6.0899155149369167E-4</v>
      </c>
      <c r="O13" s="46"/>
      <c r="P13" s="154">
        <f t="shared" si="28"/>
        <v>2.2002737338793529E-2</v>
      </c>
      <c r="Q13" s="154">
        <f t="shared" si="2"/>
        <v>9.325784036885508E-2</v>
      </c>
      <c r="R13" s="154">
        <f t="shared" si="3"/>
        <v>0.22731569956105552</v>
      </c>
      <c r="S13" s="154">
        <f t="shared" si="3"/>
        <v>0.44806788298415362</v>
      </c>
      <c r="T13" s="154">
        <f t="shared" si="3"/>
        <v>0.61694791989623621</v>
      </c>
      <c r="U13" s="154">
        <f t="shared" si="3"/>
        <v>0.73218041998927674</v>
      </c>
      <c r="V13" s="154">
        <f t="shared" si="3"/>
        <v>0.86820168970126199</v>
      </c>
      <c r="W13" s="162">
        <f t="shared" si="29"/>
        <v>1</v>
      </c>
      <c r="X13" s="154"/>
      <c r="Y13" s="142">
        <f t="shared" si="14"/>
        <v>1.592850049652433E-2</v>
      </c>
      <c r="Z13" s="142">
        <f t="shared" si="15"/>
        <v>4.1429990069513416E-2</v>
      </c>
      <c r="AA13" s="142">
        <f t="shared" si="16"/>
        <v>5.5412115193644487E-2</v>
      </c>
      <c r="AB13" s="142">
        <f t="shared" si="17"/>
        <v>5.7477656405163863E-2</v>
      </c>
      <c r="AC13" s="142">
        <f t="shared" si="18"/>
        <v>2.4771598808341611E-2</v>
      </c>
      <c r="AD13" s="142">
        <f t="shared" si="19"/>
        <v>9.7306355511420032E-3</v>
      </c>
      <c r="AE13" s="142">
        <f t="shared" si="20"/>
        <v>5.215094339622639E-3</v>
      </c>
      <c r="AF13" s="142">
        <f t="shared" si="21"/>
        <v>4.5645481628599829E-4</v>
      </c>
      <c r="AH13" s="158">
        <f t="shared" si="22"/>
        <v>4.0714995034756701E-2</v>
      </c>
      <c r="AI13" s="158">
        <f t="shared" si="5"/>
        <v>0.14498510427010924</v>
      </c>
      <c r="AJ13" s="158">
        <f t="shared" si="6"/>
        <v>0.30089374379344591</v>
      </c>
      <c r="AK13" s="158">
        <f t="shared" si="6"/>
        <v>0.52432969215491565</v>
      </c>
      <c r="AL13" s="158">
        <f t="shared" si="6"/>
        <v>0.68023833167825232</v>
      </c>
      <c r="AM13" s="158">
        <f t="shared" si="6"/>
        <v>0.78053624627606766</v>
      </c>
      <c r="AN13" s="158">
        <f t="shared" si="6"/>
        <v>0.89870903674280056</v>
      </c>
      <c r="AO13" s="158">
        <v>1</v>
      </c>
      <c r="AP13" s="143"/>
      <c r="AQ13" s="143">
        <f t="shared" si="7"/>
        <v>2.2002737338793533E-2</v>
      </c>
      <c r="AR13" s="143">
        <f t="shared" si="7"/>
        <v>7.1255103030061565E-2</v>
      </c>
      <c r="AS13" s="143">
        <f t="shared" si="7"/>
        <v>0.13405785919220048</v>
      </c>
      <c r="AT13" s="143">
        <f t="shared" si="7"/>
        <v>0.22075218342309816</v>
      </c>
      <c r="AU13" s="143">
        <f t="shared" si="7"/>
        <v>0.16888003691208262</v>
      </c>
      <c r="AV13" s="143">
        <f t="shared" si="7"/>
        <v>0.1152325000930406</v>
      </c>
      <c r="AW13" s="143">
        <f t="shared" si="7"/>
        <v>0.1360212697119853</v>
      </c>
      <c r="AX13" s="143">
        <f t="shared" si="7"/>
        <v>0.13179831029873781</v>
      </c>
      <c r="AY13" s="46"/>
      <c r="AZ13" s="152">
        <f>Shares!D54</f>
        <v>4.0999999999999996</v>
      </c>
      <c r="BA13" s="152">
        <f>Shares!E54</f>
        <v>10.5</v>
      </c>
      <c r="BB13" s="152">
        <f>Shares!F54</f>
        <v>15.7</v>
      </c>
      <c r="BC13" s="152">
        <f>Shares!G54</f>
        <v>22.5</v>
      </c>
      <c r="BD13" s="152">
        <f>Shares!J54</f>
        <v>15.7</v>
      </c>
      <c r="BE13" s="152">
        <f>Shares!K54</f>
        <v>10.1</v>
      </c>
      <c r="BF13" s="152">
        <f>Shares!L54</f>
        <v>11.9</v>
      </c>
      <c r="BG13" s="152">
        <f>Shares!M54</f>
        <v>10.199999999999999</v>
      </c>
      <c r="BI13" s="146">
        <f>TxRt!B57</f>
        <v>11.1</v>
      </c>
      <c r="BJ13" s="146">
        <f>TxRt!B100</f>
        <v>14</v>
      </c>
      <c r="BK13" s="146">
        <f>TxRt!B140</f>
        <v>17.5</v>
      </c>
      <c r="BL13" s="146">
        <f>TxRt!B180</f>
        <v>20.100000000000001</v>
      </c>
      <c r="BM13" s="146">
        <f>TxRt!B260</f>
        <v>22</v>
      </c>
      <c r="BN13" s="146">
        <f>TxRt!B300</f>
        <v>22.9</v>
      </c>
      <c r="BO13" s="146">
        <f>TxRt!B340</f>
        <v>23.5</v>
      </c>
      <c r="BP13" s="146">
        <f>TxRt!B380</f>
        <v>26.8</v>
      </c>
      <c r="BQ13" s="46"/>
      <c r="BR13" s="60">
        <f>Inc!B54</f>
        <v>13600</v>
      </c>
      <c r="BS13" s="60">
        <f>Inc!B94</f>
        <v>33700</v>
      </c>
      <c r="BT13" s="60">
        <f>Inc!B134</f>
        <v>53200</v>
      </c>
      <c r="BU13" s="60">
        <f>Inc!B174</f>
        <v>74900</v>
      </c>
      <c r="BV13" s="60">
        <f>Inc!B254</f>
        <v>99200</v>
      </c>
      <c r="BW13" s="60">
        <f>Inc!B294</f>
        <v>124400</v>
      </c>
      <c r="BX13" s="60">
        <f>Inc!B334</f>
        <v>177900</v>
      </c>
      <c r="BY13" s="60">
        <f>Inc!B374</f>
        <v>621400</v>
      </c>
      <c r="CA13" s="60">
        <f t="shared" si="8"/>
        <v>1509.6</v>
      </c>
      <c r="CB13" s="60">
        <f t="shared" si="8"/>
        <v>4718</v>
      </c>
      <c r="CC13" s="60">
        <f t="shared" si="8"/>
        <v>9310</v>
      </c>
      <c r="CD13" s="60">
        <f t="shared" si="8"/>
        <v>15054.9</v>
      </c>
      <c r="CE13" s="60">
        <f t="shared" si="8"/>
        <v>21824</v>
      </c>
      <c r="CF13" s="60">
        <f t="shared" si="8"/>
        <v>28487.599999999999</v>
      </c>
      <c r="CG13" s="60">
        <f t="shared" si="8"/>
        <v>41806.5</v>
      </c>
      <c r="CH13" s="60">
        <f t="shared" si="8"/>
        <v>166535.20000000001</v>
      </c>
      <c r="CJ13" s="153">
        <f t="shared" si="23"/>
        <v>25021.62</v>
      </c>
      <c r="CK13" s="153">
        <f t="shared" si="9"/>
        <v>81031.650000000009</v>
      </c>
      <c r="CL13" s="153">
        <f t="shared" si="9"/>
        <v>152451.25</v>
      </c>
      <c r="CM13" s="153">
        <f t="shared" si="9"/>
        <v>251040.45750000002</v>
      </c>
      <c r="CN13" s="153">
        <f t="shared" si="9"/>
        <v>192051.20000000001</v>
      </c>
      <c r="CO13" s="153">
        <f t="shared" si="9"/>
        <v>131042.95999999998</v>
      </c>
      <c r="CP13" s="153">
        <f t="shared" si="9"/>
        <v>154684.05000000002</v>
      </c>
      <c r="CQ13" s="153">
        <f t="shared" si="9"/>
        <v>149881.68000000002</v>
      </c>
      <c r="CR13" s="153">
        <f t="shared" si="24"/>
        <v>1137204.8674999999</v>
      </c>
      <c r="CT13" s="403">
        <v>229.4</v>
      </c>
      <c r="CU13" s="276">
        <f>Dem!B54+(DD13/4)</f>
        <v>16.574999999999999</v>
      </c>
      <c r="CV13" s="276">
        <f>Dem!B94+(DD13/4)</f>
        <v>17.175000000000001</v>
      </c>
      <c r="CW13" s="276">
        <f>Dem!B134+(DD13/4)</f>
        <v>16.375</v>
      </c>
      <c r="CX13" s="276">
        <f>Dem!B174+(DD13/4)</f>
        <v>16.675000000000001</v>
      </c>
      <c r="CY13" s="276">
        <f>Dem!B254</f>
        <v>8.8000000000000007</v>
      </c>
      <c r="CZ13" s="276">
        <f>Dem!B294</f>
        <v>4.5999999999999996</v>
      </c>
      <c r="DA13" s="276">
        <f>Dem!B334</f>
        <v>3.7</v>
      </c>
      <c r="DB13" s="276">
        <f>Dem!B374</f>
        <v>0.9</v>
      </c>
      <c r="DC13" s="275">
        <v>85.8</v>
      </c>
      <c r="DD13" s="46">
        <v>-0.5</v>
      </c>
      <c r="DE13" s="275"/>
      <c r="DF13" s="276">
        <f>Dem!$D54+(DO13/4)</f>
        <v>43.800000000000004</v>
      </c>
      <c r="DG13" s="276">
        <f>Dem!$D94+(DO13/4)</f>
        <v>45.5</v>
      </c>
      <c r="DH13" s="276">
        <f>Dem!$D134+(DO13/4)</f>
        <v>45.5</v>
      </c>
      <c r="DI13" s="276">
        <f>Dem!$D174+(DO13/4)</f>
        <v>45.5</v>
      </c>
      <c r="DJ13" s="275">
        <f>Dem!$D254</f>
        <v>22.9</v>
      </c>
      <c r="DK13" s="275">
        <f>Dem!$D294</f>
        <v>11.5</v>
      </c>
      <c r="DL13" s="275">
        <f>Dem!$D334</f>
        <v>9.1999999999999993</v>
      </c>
      <c r="DM13" s="275">
        <f>Dem!$D374</f>
        <v>2.2999999999999998</v>
      </c>
      <c r="DN13" s="276">
        <f t="shared" si="25"/>
        <v>229.4</v>
      </c>
      <c r="DO13" s="44">
        <v>-1.5999999999999943</v>
      </c>
    </row>
    <row r="14" spans="1:119">
      <c r="A14" s="46">
        <f t="shared" si="26"/>
        <v>1984</v>
      </c>
      <c r="B14" s="141">
        <f t="shared" si="10"/>
        <v>8.8328978134836367E-2</v>
      </c>
      <c r="C14" s="46"/>
      <c r="D14" s="141">
        <f t="shared" si="11"/>
        <v>0.50919293046850078</v>
      </c>
      <c r="E14" s="141">
        <f t="shared" si="12"/>
        <v>0.42086395233366442</v>
      </c>
      <c r="F14" s="46"/>
      <c r="G14" s="157">
        <f t="shared" si="27"/>
        <v>1.7482399018206207E-2</v>
      </c>
      <c r="H14" s="157">
        <f t="shared" si="30"/>
        <v>4.7535006958220063E-2</v>
      </c>
      <c r="I14" s="157">
        <f t="shared" si="31"/>
        <v>6.6643650217957623E-2</v>
      </c>
      <c r="J14" s="157">
        <f t="shared" si="32"/>
        <v>7.1389633798272858E-2</v>
      </c>
      <c r="K14" s="157">
        <f t="shared" si="33"/>
        <v>3.1487844431600444E-2</v>
      </c>
      <c r="L14" s="157">
        <f t="shared" si="34"/>
        <v>1.2542952689951216E-2</v>
      </c>
      <c r="M14" s="157">
        <f t="shared" si="35"/>
        <v>6.8917710327109118E-3</v>
      </c>
      <c r="N14" s="157">
        <f t="shared" si="36"/>
        <v>6.2320708733107463E-4</v>
      </c>
      <c r="O14" s="46"/>
      <c r="P14" s="154">
        <f t="shared" si="28"/>
        <v>2.517600981793797E-2</v>
      </c>
      <c r="Q14" s="154">
        <f t="shared" si="2"/>
        <v>9.9473920599861487E-2</v>
      </c>
      <c r="R14" s="154">
        <f t="shared" si="3"/>
        <v>0.23408957722056239</v>
      </c>
      <c r="S14" s="154">
        <f t="shared" si="3"/>
        <v>0.45201408479670918</v>
      </c>
      <c r="T14" s="154">
        <f t="shared" si="3"/>
        <v>0.6182290265712822</v>
      </c>
      <c r="U14" s="154">
        <f t="shared" si="3"/>
        <v>0.73005286583066931</v>
      </c>
      <c r="V14" s="154">
        <f t="shared" si="3"/>
        <v>0.86535858253378528</v>
      </c>
      <c r="W14" s="162">
        <f t="shared" si="29"/>
        <v>1</v>
      </c>
      <c r="X14" s="154"/>
      <c r="Y14" s="142">
        <f t="shared" si="14"/>
        <v>1.572989076464747E-2</v>
      </c>
      <c r="Z14" s="142">
        <f t="shared" si="15"/>
        <v>4.1132075471698122E-2</v>
      </c>
      <c r="AA14" s="142">
        <f t="shared" si="16"/>
        <v>5.5312810327706054E-2</v>
      </c>
      <c r="AB14" s="142">
        <f t="shared" si="17"/>
        <v>5.7576961271102289E-2</v>
      </c>
      <c r="AC14" s="142">
        <f t="shared" si="18"/>
        <v>2.4970208540218475E-2</v>
      </c>
      <c r="AD14" s="142">
        <f t="shared" si="19"/>
        <v>9.8795928500496517E-3</v>
      </c>
      <c r="AE14" s="142">
        <f t="shared" si="20"/>
        <v>5.3541211519364442E-3</v>
      </c>
      <c r="AF14" s="142">
        <f t="shared" si="21"/>
        <v>4.7631578947368472E-4</v>
      </c>
      <c r="AH14" s="158">
        <f t="shared" si="22"/>
        <v>4.270109235352533E-2</v>
      </c>
      <c r="AI14" s="158">
        <f t="shared" si="5"/>
        <v>0.14597815292949357</v>
      </c>
      <c r="AJ14" s="158">
        <f t="shared" si="6"/>
        <v>0.30089374379344591</v>
      </c>
      <c r="AK14" s="158">
        <f t="shared" si="6"/>
        <v>0.52333664349553133</v>
      </c>
      <c r="AL14" s="158">
        <f t="shared" si="6"/>
        <v>0.67725918570009935</v>
      </c>
      <c r="AM14" s="158">
        <f t="shared" si="6"/>
        <v>0.77755710029791469</v>
      </c>
      <c r="AN14" s="158">
        <f t="shared" si="6"/>
        <v>0.89473684210526327</v>
      </c>
      <c r="AO14" s="158">
        <v>1</v>
      </c>
      <c r="AP14" s="143"/>
      <c r="AQ14" s="143">
        <f t="shared" si="7"/>
        <v>2.5176009817937967E-2</v>
      </c>
      <c r="AR14" s="143">
        <f t="shared" si="7"/>
        <v>7.4297910781923507E-2</v>
      </c>
      <c r="AS14" s="143">
        <f t="shared" si="7"/>
        <v>0.13461565662070088</v>
      </c>
      <c r="AT14" s="143">
        <f t="shared" si="7"/>
        <v>0.21792450757614676</v>
      </c>
      <c r="AU14" s="143">
        <f t="shared" si="7"/>
        <v>0.16621494177457299</v>
      </c>
      <c r="AV14" s="143">
        <f t="shared" si="7"/>
        <v>0.11182383925938703</v>
      </c>
      <c r="AW14" s="143">
        <f t="shared" si="7"/>
        <v>0.13530571670311592</v>
      </c>
      <c r="AX14" s="143">
        <f t="shared" si="7"/>
        <v>0.13464141746621486</v>
      </c>
      <c r="AY14" s="46"/>
      <c r="AZ14" s="152">
        <f>Shares!D55</f>
        <v>4.3</v>
      </c>
      <c r="BA14" s="152">
        <f>Shares!E55</f>
        <v>10.4</v>
      </c>
      <c r="BB14" s="152">
        <f>Shares!F55</f>
        <v>15.6</v>
      </c>
      <c r="BC14" s="152">
        <f>Shares!G55</f>
        <v>22.4</v>
      </c>
      <c r="BD14" s="152">
        <f>Shares!J55</f>
        <v>15.5</v>
      </c>
      <c r="BE14" s="152">
        <f>Shares!K55</f>
        <v>10.1</v>
      </c>
      <c r="BF14" s="152">
        <f>Shares!L55</f>
        <v>11.8</v>
      </c>
      <c r="BG14" s="152">
        <f>Shares!M55</f>
        <v>10.6</v>
      </c>
      <c r="BI14" s="146">
        <f>TxRt!B58</f>
        <v>12.1</v>
      </c>
      <c r="BJ14" s="146">
        <f>TxRt!B101</f>
        <v>14.9</v>
      </c>
      <c r="BK14" s="146">
        <f>TxRt!B141</f>
        <v>18</v>
      </c>
      <c r="BL14" s="146">
        <f>TxRt!B181</f>
        <v>20.3</v>
      </c>
      <c r="BM14" s="146">
        <f>TxRt!B261</f>
        <v>22.1</v>
      </c>
      <c r="BN14" s="146">
        <f>TxRt!B301</f>
        <v>23</v>
      </c>
      <c r="BO14" s="146">
        <f>TxRt!B341</f>
        <v>23.5</v>
      </c>
      <c r="BP14" s="146">
        <f>TxRt!B381</f>
        <v>27</v>
      </c>
      <c r="BQ14" s="46"/>
      <c r="BR14" s="60">
        <f>Inc!B55</f>
        <v>14600</v>
      </c>
      <c r="BS14" s="60">
        <f>Inc!B95</f>
        <v>35800</v>
      </c>
      <c r="BT14" s="60">
        <f>Inc!B135</f>
        <v>56300</v>
      </c>
      <c r="BU14" s="60">
        <f>Inc!B175</f>
        <v>78900</v>
      </c>
      <c r="BV14" s="60">
        <f>Inc!B255</f>
        <v>106000</v>
      </c>
      <c r="BW14" s="60">
        <f>Inc!B295</f>
        <v>134000</v>
      </c>
      <c r="BX14" s="60">
        <f>Inc!B335</f>
        <v>193000</v>
      </c>
      <c r="BY14" s="60">
        <f>Inc!B375</f>
        <v>687200</v>
      </c>
      <c r="CA14" s="60">
        <f t="shared" si="8"/>
        <v>1766.6</v>
      </c>
      <c r="CB14" s="60">
        <f t="shared" si="8"/>
        <v>5334.2</v>
      </c>
      <c r="CC14" s="60">
        <f t="shared" si="8"/>
        <v>10134</v>
      </c>
      <c r="CD14" s="60">
        <f t="shared" si="8"/>
        <v>16016.7</v>
      </c>
      <c r="CE14" s="60">
        <f t="shared" si="8"/>
        <v>23426</v>
      </c>
      <c r="CF14" s="60">
        <f t="shared" si="8"/>
        <v>30820</v>
      </c>
      <c r="CG14" s="60">
        <f t="shared" si="8"/>
        <v>45355</v>
      </c>
      <c r="CH14" s="60">
        <f t="shared" si="8"/>
        <v>185544</v>
      </c>
      <c r="CJ14" s="153">
        <f t="shared" si="23"/>
        <v>31224.655000000006</v>
      </c>
      <c r="CK14" s="153">
        <f t="shared" si="9"/>
        <v>92148.305000000008</v>
      </c>
      <c r="CL14" s="153">
        <f t="shared" si="9"/>
        <v>166957.65000000005</v>
      </c>
      <c r="CM14" s="153">
        <f t="shared" si="9"/>
        <v>270281.81250000006</v>
      </c>
      <c r="CN14" s="153">
        <f t="shared" si="9"/>
        <v>206148.80000000002</v>
      </c>
      <c r="CO14" s="153">
        <f t="shared" si="9"/>
        <v>138690</v>
      </c>
      <c r="CP14" s="153">
        <f t="shared" si="9"/>
        <v>167813.5</v>
      </c>
      <c r="CQ14" s="153">
        <f t="shared" si="9"/>
        <v>166989.6</v>
      </c>
      <c r="CR14" s="153">
        <f t="shared" si="24"/>
        <v>1240254.3225000002</v>
      </c>
      <c r="CT14" s="403">
        <v>231.3</v>
      </c>
      <c r="CU14" s="276">
        <f>Dem!B55+(DD14/4)</f>
        <v>17.675000000000004</v>
      </c>
      <c r="CV14" s="276">
        <f>Dem!B95+(DD14/4)</f>
        <v>17.275000000000002</v>
      </c>
      <c r="CW14" s="276">
        <f>Dem!B135+(DD14/4)</f>
        <v>16.475000000000005</v>
      </c>
      <c r="CX14" s="276">
        <f>Dem!B175+(DD14/4)</f>
        <v>16.875000000000004</v>
      </c>
      <c r="CY14" s="276">
        <f>Dem!B255</f>
        <v>8.8000000000000007</v>
      </c>
      <c r="CZ14" s="276">
        <f>Dem!B295</f>
        <v>4.5</v>
      </c>
      <c r="DA14" s="276">
        <f>Dem!B335</f>
        <v>3.7</v>
      </c>
      <c r="DB14" s="276">
        <f>Dem!B375</f>
        <v>0.9</v>
      </c>
      <c r="DC14" s="275">
        <v>87.2</v>
      </c>
      <c r="DD14" s="46">
        <v>-0.49999999999998579</v>
      </c>
      <c r="DE14" s="275"/>
      <c r="DF14" s="276">
        <f>Dem!$D55+(DO14/4)</f>
        <v>44.20000000000001</v>
      </c>
      <c r="DG14" s="276">
        <f>Dem!$D95+(DO14/4)</f>
        <v>45.800000000000011</v>
      </c>
      <c r="DH14" s="276">
        <f>Dem!$D135+(DO14/4)</f>
        <v>45.900000000000006</v>
      </c>
      <c r="DI14" s="276">
        <f>Dem!$D175+(DO14/4)</f>
        <v>45.900000000000006</v>
      </c>
      <c r="DJ14" s="275">
        <f>Dem!$D255</f>
        <v>23.1</v>
      </c>
      <c r="DK14" s="275">
        <f>Dem!$D295</f>
        <v>11.6</v>
      </c>
      <c r="DL14" s="275">
        <f>Dem!$D335</f>
        <v>9.3000000000000007</v>
      </c>
      <c r="DM14" s="275">
        <f>Dem!$D375</f>
        <v>2.2999999999999998</v>
      </c>
      <c r="DN14" s="276">
        <f t="shared" si="25"/>
        <v>231.3</v>
      </c>
      <c r="DO14" s="44">
        <v>-1.5999999999999659</v>
      </c>
    </row>
    <row r="15" spans="1:119">
      <c r="A15" s="46">
        <f t="shared" si="26"/>
        <v>1985</v>
      </c>
      <c r="B15" s="141">
        <f t="shared" si="10"/>
        <v>8.9337278900798511E-2</v>
      </c>
      <c r="C15" s="46"/>
      <c r="D15" s="141">
        <f t="shared" si="11"/>
        <v>0.51963548963638506</v>
      </c>
      <c r="E15" s="141">
        <f t="shared" si="12"/>
        <v>0.43029821073558655</v>
      </c>
      <c r="F15" s="46"/>
      <c r="G15" s="157">
        <f t="shared" si="27"/>
        <v>1.7693769828738579E-2</v>
      </c>
      <c r="H15" s="157">
        <f t="shared" si="30"/>
        <v>4.810114628529423E-2</v>
      </c>
      <c r="I15" s="157">
        <f t="shared" si="31"/>
        <v>6.7529275397729668E-2</v>
      </c>
      <c r="J15" s="157">
        <f t="shared" si="32"/>
        <v>7.2856916451953538E-2</v>
      </c>
      <c r="K15" s="157">
        <f t="shared" si="33"/>
        <v>3.2494050890201812E-2</v>
      </c>
      <c r="L15" s="157">
        <f t="shared" si="34"/>
        <v>1.3091564875995632E-2</v>
      </c>
      <c r="M15" s="157">
        <f t="shared" si="35"/>
        <v>7.3653438799976103E-3</v>
      </c>
      <c r="N15" s="157">
        <f t="shared" si="36"/>
        <v>6.8567720828148222E-4</v>
      </c>
      <c r="O15" s="46"/>
      <c r="P15" s="154">
        <f t="shared" si="28"/>
        <v>2.3062301712614235E-2</v>
      </c>
      <c r="Q15" s="154">
        <f t="shared" si="2"/>
        <v>9.5926235434443605E-2</v>
      </c>
      <c r="R15" s="154">
        <f t="shared" si="3"/>
        <v>0.22878101058825978</v>
      </c>
      <c r="S15" s="154">
        <f t="shared" si="3"/>
        <v>0.44264982489220495</v>
      </c>
      <c r="T15" s="154">
        <f t="shared" si="3"/>
        <v>0.60746915730375894</v>
      </c>
      <c r="U15" s="154">
        <f t="shared" si="3"/>
        <v>0.71886824765641588</v>
      </c>
      <c r="V15" s="154">
        <f t="shared" si="3"/>
        <v>0.85286455834370378</v>
      </c>
      <c r="W15" s="162">
        <f t="shared" si="29"/>
        <v>1</v>
      </c>
      <c r="X15" s="154"/>
      <c r="Y15" s="142">
        <f t="shared" si="14"/>
        <v>1.5924453280318093E-2</v>
      </c>
      <c r="Z15" s="142">
        <f t="shared" si="15"/>
        <v>4.1709741550695838E-2</v>
      </c>
      <c r="AA15" s="142">
        <f t="shared" si="16"/>
        <v>5.6262425447316106E-2</v>
      </c>
      <c r="AB15" s="142">
        <f t="shared" si="17"/>
        <v>5.898608349900597E-2</v>
      </c>
      <c r="AC15" s="142">
        <f t="shared" si="18"/>
        <v>2.5805168986083506E-2</v>
      </c>
      <c r="AD15" s="142">
        <f t="shared" si="19"/>
        <v>1.0290755467196822E-2</v>
      </c>
      <c r="AE15" s="142">
        <f t="shared" si="20"/>
        <v>5.6588469184890664E-3</v>
      </c>
      <c r="AF15" s="142">
        <f t="shared" si="21"/>
        <v>5.1163021868787294E-4</v>
      </c>
      <c r="AH15" s="158">
        <f t="shared" si="22"/>
        <v>4.0755467196819085E-2</v>
      </c>
      <c r="AI15" s="158">
        <f t="shared" si="5"/>
        <v>0.14214711729622267</v>
      </c>
      <c r="AJ15" s="158">
        <f t="shared" si="6"/>
        <v>0.29522862823061635</v>
      </c>
      <c r="AK15" s="158">
        <f t="shared" si="6"/>
        <v>0.51491053677932408</v>
      </c>
      <c r="AL15" s="158">
        <f t="shared" si="6"/>
        <v>0.66898608349900601</v>
      </c>
      <c r="AM15" s="158">
        <f t="shared" si="6"/>
        <v>0.76938369781312133</v>
      </c>
      <c r="AN15" s="158">
        <f t="shared" si="6"/>
        <v>0.88767395626242551</v>
      </c>
      <c r="AO15" s="158">
        <v>1</v>
      </c>
      <c r="AP15" s="143"/>
      <c r="AQ15" s="143">
        <f t="shared" si="7"/>
        <v>2.3062301712614232E-2</v>
      </c>
      <c r="AR15" s="143">
        <f t="shared" si="7"/>
        <v>7.2863933721829352E-2</v>
      </c>
      <c r="AS15" s="143">
        <f t="shared" si="7"/>
        <v>0.13285477515381616</v>
      </c>
      <c r="AT15" s="143">
        <f t="shared" si="7"/>
        <v>0.21386881430394511</v>
      </c>
      <c r="AU15" s="143">
        <f t="shared" si="7"/>
        <v>0.16481933241155397</v>
      </c>
      <c r="AV15" s="143">
        <f t="shared" si="7"/>
        <v>0.11139909035265694</v>
      </c>
      <c r="AW15" s="143">
        <f t="shared" si="7"/>
        <v>0.1339963106872879</v>
      </c>
      <c r="AX15" s="143">
        <f t="shared" si="7"/>
        <v>0.14713544165629625</v>
      </c>
      <c r="AY15" s="46"/>
      <c r="AZ15" s="152">
        <f>Shares!D56</f>
        <v>4.0999999999999996</v>
      </c>
      <c r="BA15" s="152">
        <f>Shares!E56</f>
        <v>10.199999999999999</v>
      </c>
      <c r="BB15" s="152">
        <f>Shares!F56</f>
        <v>15.4</v>
      </c>
      <c r="BC15" s="152">
        <f>Shares!G56</f>
        <v>22.1</v>
      </c>
      <c r="BD15" s="152">
        <f>Shares!J56</f>
        <v>15.5</v>
      </c>
      <c r="BE15" s="152">
        <f>Shares!K56</f>
        <v>10.1</v>
      </c>
      <c r="BF15" s="152">
        <f>Shares!L56</f>
        <v>11.9</v>
      </c>
      <c r="BG15" s="152">
        <f>Shares!M56</f>
        <v>11.3</v>
      </c>
      <c r="BI15" s="146">
        <f>TxRt!B59</f>
        <v>11.8</v>
      </c>
      <c r="BJ15" s="146">
        <f>TxRt!B102</f>
        <v>15.1</v>
      </c>
      <c r="BK15" s="146">
        <f>TxRt!B142</f>
        <v>18.2</v>
      </c>
      <c r="BL15" s="146">
        <f>TxRt!B182</f>
        <v>20.5</v>
      </c>
      <c r="BM15" s="146">
        <f>TxRt!B262</f>
        <v>22.3</v>
      </c>
      <c r="BN15" s="146">
        <f>TxRt!B302</f>
        <v>23.2</v>
      </c>
      <c r="BO15" s="146">
        <f>TxRt!B342</f>
        <v>23.6</v>
      </c>
      <c r="BP15" s="146">
        <f>TxRt!B382</f>
        <v>26.1</v>
      </c>
      <c r="BQ15" s="46"/>
      <c r="BR15" s="60">
        <f>Inc!B56</f>
        <v>14500</v>
      </c>
      <c r="BS15" s="60">
        <f>Inc!B96</f>
        <v>35800</v>
      </c>
      <c r="BT15" s="60">
        <f>Inc!B136</f>
        <v>56400</v>
      </c>
      <c r="BU15" s="60">
        <f>Inc!B176</f>
        <v>79200</v>
      </c>
      <c r="BV15" s="60">
        <f>Inc!B256</f>
        <v>104900</v>
      </c>
      <c r="BW15" s="60">
        <f>Inc!B296</f>
        <v>133400</v>
      </c>
      <c r="BX15" s="60">
        <f>Inc!B336</f>
        <v>195100</v>
      </c>
      <c r="BY15" s="60">
        <f>Inc!B376</f>
        <v>736100</v>
      </c>
      <c r="CA15" s="60">
        <f t="shared" si="8"/>
        <v>1711</v>
      </c>
      <c r="CB15" s="60">
        <f t="shared" si="8"/>
        <v>5405.8</v>
      </c>
      <c r="CC15" s="60">
        <f t="shared" si="8"/>
        <v>10264.799999999999</v>
      </c>
      <c r="CD15" s="60">
        <f t="shared" si="8"/>
        <v>16236</v>
      </c>
      <c r="CE15" s="60">
        <f t="shared" si="8"/>
        <v>23392.7</v>
      </c>
      <c r="CF15" s="60">
        <f t="shared" si="8"/>
        <v>30948.799999999999</v>
      </c>
      <c r="CG15" s="60">
        <f t="shared" si="8"/>
        <v>46043.6</v>
      </c>
      <c r="CH15" s="60">
        <f t="shared" si="8"/>
        <v>192122.1</v>
      </c>
      <c r="CJ15" s="153">
        <f t="shared" si="23"/>
        <v>30113.600000000002</v>
      </c>
      <c r="CK15" s="153">
        <f t="shared" si="9"/>
        <v>95142.080000000016</v>
      </c>
      <c r="CL15" s="153">
        <f t="shared" si="9"/>
        <v>173475.12</v>
      </c>
      <c r="CM15" s="153">
        <f t="shared" si="9"/>
        <v>279259.20000000007</v>
      </c>
      <c r="CN15" s="153">
        <f t="shared" si="9"/>
        <v>215212.84</v>
      </c>
      <c r="CO15" s="153">
        <f t="shared" si="9"/>
        <v>145459.36000000002</v>
      </c>
      <c r="CP15" s="153">
        <f t="shared" si="9"/>
        <v>174965.68</v>
      </c>
      <c r="CQ15" s="153">
        <f t="shared" si="9"/>
        <v>192122.1</v>
      </c>
      <c r="CR15" s="153">
        <f t="shared" si="24"/>
        <v>1305749.9800000002</v>
      </c>
      <c r="CT15" s="403">
        <v>234.6</v>
      </c>
      <c r="CU15" s="276">
        <f>Dem!B56+(DD15/4)</f>
        <v>17.600000000000001</v>
      </c>
      <c r="CV15" s="276">
        <f>Dem!B96+(DD15/4)</f>
        <v>17.600000000000001</v>
      </c>
      <c r="CW15" s="276">
        <f>Dem!B136+(DD15/4)</f>
        <v>16.900000000000002</v>
      </c>
      <c r="CX15" s="276">
        <f>Dem!B176+(DD15/4)</f>
        <v>17.200000000000003</v>
      </c>
      <c r="CY15" s="276">
        <f>Dem!B256</f>
        <v>9.1999999999999993</v>
      </c>
      <c r="CZ15" s="276">
        <f>Dem!B296</f>
        <v>4.7</v>
      </c>
      <c r="DA15" s="276">
        <f>Dem!B336</f>
        <v>3.8</v>
      </c>
      <c r="DB15" s="276">
        <f>Dem!B376</f>
        <v>1</v>
      </c>
      <c r="DC15" s="275">
        <v>88.8</v>
      </c>
      <c r="DD15" s="46">
        <v>-0.39999999999999147</v>
      </c>
      <c r="DE15" s="275"/>
      <c r="DF15" s="276">
        <f>Dem!$D56+(DO15/4)</f>
        <v>44.750000000000007</v>
      </c>
      <c r="DG15" s="276">
        <f>Dem!$D96+(DO15/4)</f>
        <v>46.45</v>
      </c>
      <c r="DH15" s="276">
        <f>Dem!$D136+(DO15/4)</f>
        <v>46.45</v>
      </c>
      <c r="DI15" s="276">
        <f>Dem!$D176+(DO15/4)</f>
        <v>46.45</v>
      </c>
      <c r="DJ15" s="275">
        <f>Dem!$D256</f>
        <v>23.5</v>
      </c>
      <c r="DK15" s="275">
        <f>Dem!$D296</f>
        <v>11.7</v>
      </c>
      <c r="DL15" s="275">
        <f>Dem!$D336</f>
        <v>9.4</v>
      </c>
      <c r="DM15" s="275">
        <f>Dem!$D376</f>
        <v>2.2999999999999998</v>
      </c>
      <c r="DN15" s="276">
        <f t="shared" si="25"/>
        <v>234.6</v>
      </c>
      <c r="DO15" s="44">
        <v>-1.7999999999999829</v>
      </c>
    </row>
    <row r="16" spans="1:119">
      <c r="A16" s="46">
        <f t="shared" si="26"/>
        <v>1986</v>
      </c>
      <c r="B16" s="141">
        <f t="shared" si="10"/>
        <v>8.5131326429691345E-2</v>
      </c>
      <c r="C16" s="46"/>
      <c r="D16" s="141">
        <f t="shared" si="11"/>
        <v>0.53707770180208481</v>
      </c>
      <c r="E16" s="141">
        <f t="shared" si="12"/>
        <v>0.45194637537239346</v>
      </c>
      <c r="F16" s="46"/>
      <c r="G16" s="157">
        <f t="shared" si="27"/>
        <v>1.7860389118621648E-2</v>
      </c>
      <c r="H16" s="157">
        <f t="shared" si="30"/>
        <v>4.8805903326805782E-2</v>
      </c>
      <c r="I16" s="157">
        <f t="shared" si="31"/>
        <v>6.9046482697906794E-2</v>
      </c>
      <c r="J16" s="157">
        <f t="shared" si="32"/>
        <v>7.5349167891145125E-2</v>
      </c>
      <c r="K16" s="157">
        <f t="shared" si="33"/>
        <v>3.4265955012046836E-2</v>
      </c>
      <c r="L16" s="157">
        <f t="shared" si="34"/>
        <v>1.4162847042339811E-2</v>
      </c>
      <c r="M16" s="157">
        <f t="shared" si="35"/>
        <v>8.2531917516086122E-3</v>
      </c>
      <c r="N16" s="157">
        <f t="shared" si="36"/>
        <v>7.9491406056775077E-4</v>
      </c>
      <c r="O16" s="46"/>
      <c r="P16" s="154">
        <f t="shared" si="28"/>
        <v>2.1396108813783538E-2</v>
      </c>
      <c r="Q16" s="154">
        <f t="shared" si="2"/>
        <v>9.054485791815875E-2</v>
      </c>
      <c r="R16" s="154">
        <f t="shared" si="3"/>
        <v>0.21899031510277339</v>
      </c>
      <c r="S16" s="154">
        <f t="shared" si="3"/>
        <v>0.42751800598577561</v>
      </c>
      <c r="T16" s="154">
        <f t="shared" si="3"/>
        <v>0.58716289377328801</v>
      </c>
      <c r="U16" s="154">
        <f t="shared" si="3"/>
        <v>0.69632322453311957</v>
      </c>
      <c r="V16" s="154">
        <f t="shared" si="3"/>
        <v>0.83101718788644996</v>
      </c>
      <c r="W16" s="162">
        <f t="shared" si="29"/>
        <v>1</v>
      </c>
      <c r="X16" s="154"/>
      <c r="Y16" s="142">
        <f t="shared" si="14"/>
        <v>1.6127110228401194E-2</v>
      </c>
      <c r="Z16" s="142">
        <f t="shared" si="15"/>
        <v>4.2621648460774597E-2</v>
      </c>
      <c r="AA16" s="142">
        <f t="shared" si="16"/>
        <v>5.8192651439920563E-2</v>
      </c>
      <c r="AB16" s="142">
        <f t="shared" si="17"/>
        <v>6.2144985104270134E-2</v>
      </c>
      <c r="AC16" s="142">
        <f t="shared" si="18"/>
        <v>2.7999006951340635E-2</v>
      </c>
      <c r="AD16" s="142">
        <f t="shared" si="19"/>
        <v>1.1567775571002987E-2</v>
      </c>
      <c r="AE16" s="142">
        <f t="shared" si="20"/>
        <v>6.6848063555114256E-3</v>
      </c>
      <c r="AF16" s="142">
        <f t="shared" si="21"/>
        <v>6.3520357497517499E-4</v>
      </c>
      <c r="AH16" s="158">
        <f t="shared" si="22"/>
        <v>3.872889771598808E-2</v>
      </c>
      <c r="AI16" s="158">
        <f t="shared" si="5"/>
        <v>0.13505461767626611</v>
      </c>
      <c r="AJ16" s="158">
        <f t="shared" si="6"/>
        <v>0.28301886792452824</v>
      </c>
      <c r="AK16" s="158">
        <f t="shared" si="6"/>
        <v>0.49553128103277055</v>
      </c>
      <c r="AL16" s="158">
        <f t="shared" si="6"/>
        <v>0.64448857994041697</v>
      </c>
      <c r="AM16" s="158">
        <f t="shared" si="6"/>
        <v>0.74280039721946367</v>
      </c>
      <c r="AN16" s="158">
        <f t="shared" si="6"/>
        <v>0.86295928500496522</v>
      </c>
      <c r="AO16" s="158">
        <v>1</v>
      </c>
      <c r="AP16" s="143"/>
      <c r="AQ16" s="143">
        <f t="shared" si="7"/>
        <v>2.1396108813783538E-2</v>
      </c>
      <c r="AR16" s="143">
        <f t="shared" si="7"/>
        <v>6.9148749104375212E-2</v>
      </c>
      <c r="AS16" s="143">
        <f t="shared" si="7"/>
        <v>0.12844545718461464</v>
      </c>
      <c r="AT16" s="143">
        <f t="shared" si="7"/>
        <v>0.20852769088300219</v>
      </c>
      <c r="AU16" s="143">
        <f t="shared" si="7"/>
        <v>0.15964488778751237</v>
      </c>
      <c r="AV16" s="143">
        <f t="shared" si="7"/>
        <v>0.10916033075983154</v>
      </c>
      <c r="AW16" s="143">
        <f t="shared" si="7"/>
        <v>0.13469396335333039</v>
      </c>
      <c r="AX16" s="143">
        <f t="shared" si="7"/>
        <v>0.16898281211355001</v>
      </c>
      <c r="AY16" s="46"/>
      <c r="AZ16" s="152">
        <f>Shares!D57</f>
        <v>3.9</v>
      </c>
      <c r="BA16" s="152">
        <f>Shares!E57</f>
        <v>9.6999999999999993</v>
      </c>
      <c r="BB16" s="152">
        <f>Shares!F57</f>
        <v>14.9</v>
      </c>
      <c r="BC16" s="152">
        <f>Shares!G57</f>
        <v>21.4</v>
      </c>
      <c r="BD16" s="152">
        <f>Shares!J57</f>
        <v>15</v>
      </c>
      <c r="BE16" s="152">
        <f>Shares!K57</f>
        <v>9.9</v>
      </c>
      <c r="BF16" s="152">
        <f>Shares!L57</f>
        <v>12.1</v>
      </c>
      <c r="BG16" s="152">
        <f>Shares!M57</f>
        <v>13.8</v>
      </c>
      <c r="BI16" s="146">
        <f>TxRt!B60</f>
        <v>11.7</v>
      </c>
      <c r="BJ16" s="146">
        <f>TxRt!B103</f>
        <v>15</v>
      </c>
      <c r="BK16" s="146">
        <f>TxRt!B143</f>
        <v>18.2</v>
      </c>
      <c r="BL16" s="146">
        <f>TxRt!B183</f>
        <v>20.6</v>
      </c>
      <c r="BM16" s="146">
        <f>TxRt!B263</f>
        <v>22.5</v>
      </c>
      <c r="BN16" s="146">
        <f>TxRt!B303</f>
        <v>23.4</v>
      </c>
      <c r="BO16" s="146">
        <f>TxRt!B343</f>
        <v>23.5</v>
      </c>
      <c r="BP16" s="146">
        <f>TxRt!B383</f>
        <v>24.7</v>
      </c>
      <c r="BQ16" s="46"/>
      <c r="BR16" s="60">
        <f>Inc!B57</f>
        <v>14400</v>
      </c>
      <c r="BS16" s="60">
        <f>Inc!B97</f>
        <v>36300</v>
      </c>
      <c r="BT16" s="60">
        <f>Inc!B137</f>
        <v>57500</v>
      </c>
      <c r="BU16" s="60">
        <f>Inc!B177</f>
        <v>82000</v>
      </c>
      <c r="BV16" s="60">
        <f>Inc!B257</f>
        <v>109900</v>
      </c>
      <c r="BW16" s="60">
        <f>Inc!B297</f>
        <v>139900</v>
      </c>
      <c r="BX16" s="60">
        <f>Inc!B337</f>
        <v>212600</v>
      </c>
      <c r="BY16" s="60">
        <f>Inc!B377</f>
        <v>964300</v>
      </c>
      <c r="CA16" s="60">
        <f t="shared" si="8"/>
        <v>1684.8</v>
      </c>
      <c r="CB16" s="60">
        <f t="shared" si="8"/>
        <v>5445</v>
      </c>
      <c r="CC16" s="60">
        <f t="shared" si="8"/>
        <v>10465</v>
      </c>
      <c r="CD16" s="60">
        <f t="shared" si="8"/>
        <v>16892.000000000004</v>
      </c>
      <c r="CE16" s="60">
        <f t="shared" si="8"/>
        <v>24727.5</v>
      </c>
      <c r="CF16" s="60">
        <f t="shared" si="8"/>
        <v>32736.6</v>
      </c>
      <c r="CG16" s="60">
        <f t="shared" si="8"/>
        <v>49961</v>
      </c>
      <c r="CH16" s="60">
        <f t="shared" si="8"/>
        <v>238182.1</v>
      </c>
      <c r="CJ16" s="153">
        <f t="shared" si="23"/>
        <v>30157.919999999998</v>
      </c>
      <c r="CK16" s="153">
        <f t="shared" si="9"/>
        <v>97465.499999999985</v>
      </c>
      <c r="CL16" s="153">
        <f t="shared" si="9"/>
        <v>181044.49999999997</v>
      </c>
      <c r="CM16" s="153">
        <f t="shared" si="9"/>
        <v>293920.80000000005</v>
      </c>
      <c r="CN16" s="153">
        <f t="shared" si="9"/>
        <v>225020.25</v>
      </c>
      <c r="CO16" s="153">
        <f t="shared" si="9"/>
        <v>153862.01999999999</v>
      </c>
      <c r="CP16" s="153">
        <f t="shared" si="9"/>
        <v>189851.8</v>
      </c>
      <c r="CQ16" s="153">
        <f t="shared" si="9"/>
        <v>238182.1</v>
      </c>
      <c r="CR16" s="153">
        <f t="shared" si="24"/>
        <v>1409504.8900000001</v>
      </c>
      <c r="CT16" s="403">
        <v>237.1</v>
      </c>
      <c r="CU16" s="276">
        <f>Dem!B57+(DD16/4)</f>
        <v>17.899999999999999</v>
      </c>
      <c r="CV16" s="276">
        <f>Dem!B97+(DD16/4)</f>
        <v>17.899999999999999</v>
      </c>
      <c r="CW16" s="276">
        <f>Dem!B137+(DD16/4)</f>
        <v>17.299999999999997</v>
      </c>
      <c r="CX16" s="276">
        <f>Dem!B177+(DD16/4)</f>
        <v>17.399999999999999</v>
      </c>
      <c r="CY16" s="276">
        <f>Dem!B257</f>
        <v>9.1</v>
      </c>
      <c r="CZ16" s="276">
        <f>Dem!B297</f>
        <v>4.7</v>
      </c>
      <c r="DA16" s="276">
        <f>Dem!B337</f>
        <v>3.8</v>
      </c>
      <c r="DB16" s="276">
        <f>Dem!B377</f>
        <v>1</v>
      </c>
      <c r="DC16" s="275">
        <v>89.9</v>
      </c>
      <c r="DD16" s="46">
        <v>-0.40000000000000568</v>
      </c>
      <c r="DE16" s="275"/>
      <c r="DF16" s="276">
        <f>Dem!$D57+(DO16/4)</f>
        <v>45.775000000000006</v>
      </c>
      <c r="DG16" s="276">
        <f>Dem!$D97+(DO16/4)</f>
        <v>47.075000000000003</v>
      </c>
      <c r="DH16" s="276">
        <f>Dem!$D137+(DO16/4)</f>
        <v>47.075000000000003</v>
      </c>
      <c r="DI16" s="276">
        <f>Dem!$D177+(DO16/4)</f>
        <v>47.075000000000003</v>
      </c>
      <c r="DJ16" s="275">
        <f>Dem!$D257</f>
        <v>23.7</v>
      </c>
      <c r="DK16" s="275">
        <f>Dem!$D297</f>
        <v>11.9</v>
      </c>
      <c r="DL16" s="275">
        <f>Dem!$D337</f>
        <v>9.5</v>
      </c>
      <c r="DM16" s="275">
        <f>Dem!$D377</f>
        <v>2.4</v>
      </c>
      <c r="DN16" s="276">
        <f t="shared" si="25"/>
        <v>237.1</v>
      </c>
      <c r="DO16" s="44">
        <v>-1.2999999999999829</v>
      </c>
    </row>
    <row r="17" spans="1:119">
      <c r="A17" s="46">
        <f t="shared" si="26"/>
        <v>1987</v>
      </c>
      <c r="B17" s="141">
        <f t="shared" si="10"/>
        <v>0.10545116984466724</v>
      </c>
      <c r="C17" s="46"/>
      <c r="D17" s="141">
        <f t="shared" si="11"/>
        <v>0.54135800829858205</v>
      </c>
      <c r="E17" s="141">
        <f t="shared" si="12"/>
        <v>0.43590683845391481</v>
      </c>
      <c r="F17" s="46"/>
      <c r="G17" s="157">
        <f t="shared" si="27"/>
        <v>1.8167031492487464E-2</v>
      </c>
      <c r="H17" s="157">
        <f t="shared" si="30"/>
        <v>4.9693089975559213E-2</v>
      </c>
      <c r="I17" s="157">
        <f t="shared" si="31"/>
        <v>7.0197813945306137E-2</v>
      </c>
      <c r="J17" s="157">
        <f t="shared" si="32"/>
        <v>7.6214284858846584E-2</v>
      </c>
      <c r="K17" s="157">
        <f t="shared" si="33"/>
        <v>3.4249774727808192E-2</v>
      </c>
      <c r="L17" s="157">
        <f t="shared" si="34"/>
        <v>1.3837208328424978E-2</v>
      </c>
      <c r="M17" s="157">
        <f t="shared" si="35"/>
        <v>7.6315131868745969E-3</v>
      </c>
      <c r="N17" s="157">
        <f t="shared" si="36"/>
        <v>6.8828763398386399E-4</v>
      </c>
      <c r="O17" s="46"/>
      <c r="P17" s="154">
        <f t="shared" si="28"/>
        <v>1.8329685075125359E-2</v>
      </c>
      <c r="Q17" s="154">
        <f t="shared" si="2"/>
        <v>8.4739415169282573E-2</v>
      </c>
      <c r="R17" s="154">
        <f t="shared" si="3"/>
        <v>0.21328244537765612</v>
      </c>
      <c r="S17" s="154">
        <f t="shared" si="3"/>
        <v>0.42457470603387815</v>
      </c>
      <c r="T17" s="154">
        <f t="shared" si="3"/>
        <v>0.5904297994099581</v>
      </c>
      <c r="U17" s="154">
        <f t="shared" si="3"/>
        <v>0.70608186745304291</v>
      </c>
      <c r="V17" s="154">
        <f t="shared" si="3"/>
        <v>0.85234247320322754</v>
      </c>
      <c r="W17" s="162">
        <f t="shared" si="29"/>
        <v>1</v>
      </c>
      <c r="X17" s="154"/>
      <c r="Y17" s="142">
        <f t="shared" si="14"/>
        <v>1.6333002973240834E-2</v>
      </c>
      <c r="Z17" s="142">
        <f t="shared" si="15"/>
        <v>4.2656095143706649E-2</v>
      </c>
      <c r="AA17" s="142">
        <f t="shared" si="16"/>
        <v>5.7185332011892964E-2</v>
      </c>
      <c r="AB17" s="142">
        <f t="shared" si="17"/>
        <v>5.9524281466798827E-2</v>
      </c>
      <c r="AC17" s="142">
        <f t="shared" si="18"/>
        <v>2.5882061446977214E-2</v>
      </c>
      <c r="AD17" s="142">
        <f t="shared" si="19"/>
        <v>1.0273785926660062E-2</v>
      </c>
      <c r="AE17" s="142">
        <f t="shared" si="20"/>
        <v>5.5988107036669989E-3</v>
      </c>
      <c r="AF17" s="142">
        <f t="shared" si="21"/>
        <v>5.0004955401387603E-4</v>
      </c>
      <c r="AH17" s="158">
        <f t="shared" si="22"/>
        <v>3.6669970267591681E-2</v>
      </c>
      <c r="AI17" s="158">
        <f t="shared" si="5"/>
        <v>0.13676907829534193</v>
      </c>
      <c r="AJ17" s="158">
        <f t="shared" si="6"/>
        <v>0.29137760158572845</v>
      </c>
      <c r="AK17" s="158">
        <f t="shared" si="6"/>
        <v>0.51337958374628345</v>
      </c>
      <c r="AL17" s="158">
        <f t="shared" si="6"/>
        <v>0.6689791873141725</v>
      </c>
      <c r="AM17" s="158">
        <f t="shared" si="6"/>
        <v>0.77006937561942523</v>
      </c>
      <c r="AN17" s="158">
        <f t="shared" si="6"/>
        <v>0.889990089197225</v>
      </c>
      <c r="AO17" s="158">
        <v>1</v>
      </c>
      <c r="AP17" s="143"/>
      <c r="AQ17" s="143">
        <f t="shared" si="7"/>
        <v>1.8329685075125359E-2</v>
      </c>
      <c r="AR17" s="143">
        <f t="shared" si="7"/>
        <v>6.640973009415721E-2</v>
      </c>
      <c r="AS17" s="143">
        <f t="shared" si="7"/>
        <v>0.12854303020837354</v>
      </c>
      <c r="AT17" s="143">
        <f t="shared" si="7"/>
        <v>0.21129226065622203</v>
      </c>
      <c r="AU17" s="143">
        <f t="shared" si="7"/>
        <v>0.16585509337607998</v>
      </c>
      <c r="AV17" s="143">
        <f t="shared" si="7"/>
        <v>0.11565206804308487</v>
      </c>
      <c r="AW17" s="143">
        <f t="shared" si="7"/>
        <v>0.1462606057501846</v>
      </c>
      <c r="AX17" s="143">
        <f t="shared" si="7"/>
        <v>0.14765752679677241</v>
      </c>
      <c r="AY17" s="46"/>
      <c r="AZ17" s="152">
        <f>Shares!D58</f>
        <v>3.7</v>
      </c>
      <c r="BA17" s="152">
        <f>Shares!E58</f>
        <v>10.1</v>
      </c>
      <c r="BB17" s="152">
        <f>Shares!F58</f>
        <v>15.6</v>
      </c>
      <c r="BC17" s="152">
        <f>Shares!G58</f>
        <v>22.4</v>
      </c>
      <c r="BD17" s="152">
        <f>Shares!J58</f>
        <v>15.7</v>
      </c>
      <c r="BE17" s="152">
        <f>Shares!K58</f>
        <v>10.199999999999999</v>
      </c>
      <c r="BF17" s="152">
        <f>Shares!L58</f>
        <v>12.1</v>
      </c>
      <c r="BG17" s="152">
        <f>Shares!M58</f>
        <v>11.1</v>
      </c>
      <c r="BI17" s="146">
        <f>TxRt!B61</f>
        <v>10.7</v>
      </c>
      <c r="BJ17" s="146">
        <f>TxRt!B104</f>
        <v>14.3</v>
      </c>
      <c r="BK17" s="146">
        <f>TxRt!B144</f>
        <v>17.8</v>
      </c>
      <c r="BL17" s="146">
        <f>TxRt!B184</f>
        <v>20.399999999999999</v>
      </c>
      <c r="BM17" s="146">
        <f>TxRt!B264</f>
        <v>22.8</v>
      </c>
      <c r="BN17" s="146">
        <f>TxRt!B304</f>
        <v>24.5</v>
      </c>
      <c r="BO17" s="146">
        <f>TxRt!B344</f>
        <v>25.9</v>
      </c>
      <c r="BP17" s="146">
        <f>TxRt!B384</f>
        <v>30.1</v>
      </c>
      <c r="BQ17" s="46"/>
      <c r="BR17" s="60">
        <f>Inc!B58</f>
        <v>13800</v>
      </c>
      <c r="BS17" s="60">
        <f>Inc!B98</f>
        <v>35400</v>
      </c>
      <c r="BT17" s="60">
        <f>Inc!B138</f>
        <v>57200</v>
      </c>
      <c r="BU17" s="60">
        <f>Inc!B178</f>
        <v>82500</v>
      </c>
      <c r="BV17" s="60">
        <f>Inc!B258</f>
        <v>110900</v>
      </c>
      <c r="BW17" s="60">
        <f>Inc!B298</f>
        <v>142400</v>
      </c>
      <c r="BX17" s="60">
        <f>Inc!B338</f>
        <v>210700</v>
      </c>
      <c r="BY17" s="60">
        <f>Inc!B378</f>
        <v>772800</v>
      </c>
      <c r="CA17" s="60">
        <f t="shared" si="8"/>
        <v>1476.6</v>
      </c>
      <c r="CB17" s="60">
        <f t="shared" si="8"/>
        <v>5062.2</v>
      </c>
      <c r="CC17" s="60">
        <f t="shared" si="8"/>
        <v>10181.6</v>
      </c>
      <c r="CD17" s="60">
        <f t="shared" si="8"/>
        <v>16829.999999999996</v>
      </c>
      <c r="CE17" s="60">
        <f t="shared" si="8"/>
        <v>25285.200000000001</v>
      </c>
      <c r="CF17" s="60">
        <f t="shared" si="8"/>
        <v>34888</v>
      </c>
      <c r="CG17" s="60">
        <f t="shared" si="8"/>
        <v>54571.3</v>
      </c>
      <c r="CH17" s="60">
        <f t="shared" si="8"/>
        <v>232612.8</v>
      </c>
      <c r="CJ17" s="153">
        <f t="shared" si="23"/>
        <v>25988.159999999996</v>
      </c>
      <c r="CK17" s="153">
        <f t="shared" si="9"/>
        <v>94156.919999999984</v>
      </c>
      <c r="CL17" s="153">
        <f t="shared" si="9"/>
        <v>182250.63999999998</v>
      </c>
      <c r="CM17" s="153">
        <f t="shared" si="9"/>
        <v>299573.99999999988</v>
      </c>
      <c r="CN17" s="153">
        <f t="shared" si="9"/>
        <v>235152.36000000002</v>
      </c>
      <c r="CO17" s="153">
        <f t="shared" si="9"/>
        <v>163973.6</v>
      </c>
      <c r="CP17" s="153">
        <f t="shared" si="9"/>
        <v>207370.94</v>
      </c>
      <c r="CQ17" s="153">
        <f t="shared" si="9"/>
        <v>209351.52</v>
      </c>
      <c r="CR17" s="153">
        <f t="shared" si="24"/>
        <v>1417818.14</v>
      </c>
      <c r="CT17" s="403">
        <v>239.8</v>
      </c>
      <c r="CU17" s="276">
        <f>Dem!B58+(DD17/4)</f>
        <v>17.599999999999998</v>
      </c>
      <c r="CV17" s="276">
        <f>Dem!B98+(DD17/4)</f>
        <v>18.599999999999998</v>
      </c>
      <c r="CW17" s="276">
        <f>Dem!B138+(DD17/4)</f>
        <v>17.899999999999999</v>
      </c>
      <c r="CX17" s="276">
        <f>Dem!B178+(DD17/4)</f>
        <v>17.799999999999997</v>
      </c>
      <c r="CY17" s="276">
        <f>Dem!B258</f>
        <v>9.3000000000000007</v>
      </c>
      <c r="CZ17" s="276">
        <f>Dem!B298</f>
        <v>4.7</v>
      </c>
      <c r="DA17" s="276">
        <f>Dem!B338</f>
        <v>3.8</v>
      </c>
      <c r="DB17" s="276">
        <f>Dem!B378</f>
        <v>0.9</v>
      </c>
      <c r="DC17" s="275">
        <v>91.4</v>
      </c>
      <c r="DD17" s="46">
        <v>-0.40000000000000568</v>
      </c>
      <c r="DE17" s="275"/>
      <c r="DF17" s="276">
        <f>Dem!$D58+(DO17/4)</f>
        <v>46.424999999999997</v>
      </c>
      <c r="DG17" s="276">
        <f>Dem!$D98+(DO17/4)</f>
        <v>47.724999999999994</v>
      </c>
      <c r="DH17" s="276">
        <f>Dem!$D138+(DO17/4)</f>
        <v>47.724999999999994</v>
      </c>
      <c r="DI17" s="276">
        <f>Dem!$D178+(DO17/4)</f>
        <v>47.724999999999994</v>
      </c>
      <c r="DJ17" s="275">
        <f>Dem!$D258</f>
        <v>24</v>
      </c>
      <c r="DK17" s="275">
        <f>Dem!$D298</f>
        <v>12</v>
      </c>
      <c r="DL17" s="275">
        <f>Dem!$D338</f>
        <v>9.6</v>
      </c>
      <c r="DM17" s="275">
        <f>Dem!$D378</f>
        <v>2.4</v>
      </c>
      <c r="DN17" s="276">
        <f t="shared" si="25"/>
        <v>239.8</v>
      </c>
      <c r="DO17" s="44">
        <v>-1.1000000000000227</v>
      </c>
    </row>
    <row r="18" spans="1:119">
      <c r="A18" s="46">
        <f t="shared" si="26"/>
        <v>1988</v>
      </c>
      <c r="B18" s="141">
        <f t="shared" si="10"/>
        <v>0.10789601124454079</v>
      </c>
      <c r="C18" s="46"/>
      <c r="D18" s="141">
        <f t="shared" si="11"/>
        <v>0.55742974140327106</v>
      </c>
      <c r="E18" s="141">
        <f t="shared" si="12"/>
        <v>0.44953373015873027</v>
      </c>
      <c r="F18" s="46"/>
      <c r="G18" s="157">
        <f t="shared" si="27"/>
        <v>1.8317300097238278E-2</v>
      </c>
      <c r="H18" s="157">
        <f t="shared" si="30"/>
        <v>5.0117957722825061E-2</v>
      </c>
      <c r="I18" s="157">
        <f t="shared" si="31"/>
        <v>7.1265425379398145E-2</v>
      </c>
      <c r="J18" s="157">
        <f t="shared" si="32"/>
        <v>7.8428966915206844E-2</v>
      </c>
      <c r="K18" s="157">
        <f t="shared" si="33"/>
        <v>3.5970968256683229E-2</v>
      </c>
      <c r="L18" s="157">
        <f t="shared" si="34"/>
        <v>1.4985344189491424E-2</v>
      </c>
      <c r="M18" s="157">
        <f t="shared" si="35"/>
        <v>8.7816720888738119E-3</v>
      </c>
      <c r="N18" s="157">
        <f t="shared" si="36"/>
        <v>8.4723605191871837E-4</v>
      </c>
      <c r="O18" s="46"/>
      <c r="P18" s="154">
        <f t="shared" si="28"/>
        <v>1.6826999027617237E-2</v>
      </c>
      <c r="Q18" s="154">
        <f t="shared" si="2"/>
        <v>8.1993423744132307E-2</v>
      </c>
      <c r="R18" s="154">
        <f t="shared" si="3"/>
        <v>0.20535232246188631</v>
      </c>
      <c r="S18" s="154">
        <f t="shared" si="3"/>
        <v>0.41035800838604553</v>
      </c>
      <c r="T18" s="154">
        <f t="shared" si="3"/>
        <v>0.5702226264802901</v>
      </c>
      <c r="U18" s="154">
        <f t="shared" si="3"/>
        <v>0.68036360594005307</v>
      </c>
      <c r="V18" s="154">
        <f t="shared" si="3"/>
        <v>0.82055278961625644</v>
      </c>
      <c r="W18" s="162">
        <f t="shared" si="29"/>
        <v>1</v>
      </c>
      <c r="X18" s="154"/>
      <c r="Y18" s="142">
        <f t="shared" si="14"/>
        <v>1.6329365079365082E-2</v>
      </c>
      <c r="Z18" s="142">
        <f t="shared" si="15"/>
        <v>4.2936507936507946E-2</v>
      </c>
      <c r="AA18" s="142">
        <f t="shared" si="16"/>
        <v>5.8234126984126992E-2</v>
      </c>
      <c r="AB18" s="142">
        <f t="shared" si="17"/>
        <v>6.1626984126984141E-2</v>
      </c>
      <c r="AC18" s="142">
        <f t="shared" si="18"/>
        <v>2.7410714285714288E-2</v>
      </c>
      <c r="AD18" s="142">
        <f t="shared" si="19"/>
        <v>1.1205357142857142E-2</v>
      </c>
      <c r="AE18" s="142">
        <f t="shared" si="20"/>
        <v>6.419047619047622E-3</v>
      </c>
      <c r="AF18" s="142">
        <f t="shared" si="21"/>
        <v>6.0476190476190569E-4</v>
      </c>
      <c r="AH18" s="158">
        <f t="shared" si="22"/>
        <v>3.6706349206349201E-2</v>
      </c>
      <c r="AI18" s="158">
        <f t="shared" si="5"/>
        <v>0.13392857142857142</v>
      </c>
      <c r="AJ18" s="158">
        <f t="shared" si="6"/>
        <v>0.28373015873015872</v>
      </c>
      <c r="AK18" s="158">
        <f t="shared" si="6"/>
        <v>0.5</v>
      </c>
      <c r="AL18" s="158">
        <f t="shared" si="6"/>
        <v>0.6517857142857143</v>
      </c>
      <c r="AM18" s="158">
        <f t="shared" si="6"/>
        <v>0.75</v>
      </c>
      <c r="AN18" s="158">
        <f t="shared" si="6"/>
        <v>0.86904761904761907</v>
      </c>
      <c r="AO18" s="158">
        <v>1</v>
      </c>
      <c r="AP18" s="143"/>
      <c r="AQ18" s="143">
        <f t="shared" si="7"/>
        <v>1.6826999027617237E-2</v>
      </c>
      <c r="AR18" s="143">
        <f t="shared" si="7"/>
        <v>6.516642471651507E-2</v>
      </c>
      <c r="AS18" s="143">
        <f t="shared" si="7"/>
        <v>0.123358898717754</v>
      </c>
      <c r="AT18" s="143">
        <f t="shared" si="7"/>
        <v>0.20500568592415921</v>
      </c>
      <c r="AU18" s="143">
        <f t="shared" si="7"/>
        <v>0.15986461809424451</v>
      </c>
      <c r="AV18" s="143">
        <f t="shared" si="7"/>
        <v>0.11014097945976302</v>
      </c>
      <c r="AW18" s="143">
        <f t="shared" si="7"/>
        <v>0.14018918367620337</v>
      </c>
      <c r="AX18" s="143">
        <f t="shared" si="7"/>
        <v>0.17944721038374362</v>
      </c>
      <c r="AY18" s="46"/>
      <c r="AZ18" s="152">
        <f>Shares!D59</f>
        <v>3.7</v>
      </c>
      <c r="BA18" s="152">
        <f>Shares!E59</f>
        <v>9.8000000000000007</v>
      </c>
      <c r="BB18" s="152">
        <f>Shares!F59</f>
        <v>15.1</v>
      </c>
      <c r="BC18" s="152">
        <f>Shares!G59</f>
        <v>21.8</v>
      </c>
      <c r="BD18" s="152">
        <f>Shares!J59</f>
        <v>15.3</v>
      </c>
      <c r="BE18" s="152">
        <f>Shares!K59</f>
        <v>9.9</v>
      </c>
      <c r="BF18" s="152">
        <f>Shares!L59</f>
        <v>12</v>
      </c>
      <c r="BG18" s="152">
        <f>Shares!M59</f>
        <v>13.2</v>
      </c>
      <c r="BI18" s="146">
        <f>TxRt!B62</f>
        <v>10.199999999999999</v>
      </c>
      <c r="BJ18" s="146">
        <f>TxRt!B105</f>
        <v>14.7</v>
      </c>
      <c r="BK18" s="146">
        <f>TxRt!B145</f>
        <v>18.2</v>
      </c>
      <c r="BL18" s="146">
        <f>TxRt!B185</f>
        <v>20.8</v>
      </c>
      <c r="BM18" s="146">
        <f>TxRt!B265</f>
        <v>23.1</v>
      </c>
      <c r="BN18" s="146">
        <f>TxRt!B305</f>
        <v>24.4</v>
      </c>
      <c r="BO18" s="146">
        <f>TxRt!B345</f>
        <v>25.5</v>
      </c>
      <c r="BP18" s="146">
        <f>TxRt!B385</f>
        <v>28.6</v>
      </c>
      <c r="BQ18" s="46"/>
      <c r="BR18" s="60">
        <f>Inc!B59</f>
        <v>14300</v>
      </c>
      <c r="BS18" s="60">
        <f>Inc!B99</f>
        <v>36000</v>
      </c>
      <c r="BT18" s="60">
        <f>Inc!B139</f>
        <v>58100</v>
      </c>
      <c r="BU18" s="60">
        <f>Inc!B179</f>
        <v>83100</v>
      </c>
      <c r="BV18" s="60">
        <f>Inc!B259</f>
        <v>112400</v>
      </c>
      <c r="BW18" s="60">
        <f>Inc!B299</f>
        <v>145100</v>
      </c>
      <c r="BX18" s="60">
        <f>Inc!B339</f>
        <v>217500</v>
      </c>
      <c r="BY18" s="60">
        <f>Inc!B379</f>
        <v>968100</v>
      </c>
      <c r="CA18" s="60">
        <f t="shared" si="8"/>
        <v>1458.6</v>
      </c>
      <c r="CB18" s="60">
        <f t="shared" si="8"/>
        <v>5292</v>
      </c>
      <c r="CC18" s="60">
        <f t="shared" si="8"/>
        <v>10574.2</v>
      </c>
      <c r="CD18" s="60">
        <f t="shared" si="8"/>
        <v>17284.8</v>
      </c>
      <c r="CE18" s="60">
        <f t="shared" si="8"/>
        <v>25964.400000000001</v>
      </c>
      <c r="CF18" s="60">
        <f t="shared" si="8"/>
        <v>35404.400000000001</v>
      </c>
      <c r="CG18" s="60">
        <f t="shared" si="8"/>
        <v>55462.5</v>
      </c>
      <c r="CH18" s="60">
        <f t="shared" si="8"/>
        <v>276876.59999999998</v>
      </c>
      <c r="CJ18" s="153">
        <f t="shared" si="23"/>
        <v>25963.079999999998</v>
      </c>
      <c r="CK18" s="153">
        <f t="shared" si="9"/>
        <v>100548.00000000001</v>
      </c>
      <c r="CL18" s="153">
        <f t="shared" si="9"/>
        <v>190335.60000000006</v>
      </c>
      <c r="CM18" s="153">
        <f t="shared" si="9"/>
        <v>316311.84000000003</v>
      </c>
      <c r="CN18" s="153">
        <f t="shared" si="9"/>
        <v>246661.80000000002</v>
      </c>
      <c r="CO18" s="153">
        <f t="shared" si="9"/>
        <v>169941.12</v>
      </c>
      <c r="CP18" s="153">
        <f t="shared" si="9"/>
        <v>216303.75</v>
      </c>
      <c r="CQ18" s="153">
        <f t="shared" si="9"/>
        <v>276876.59999999998</v>
      </c>
      <c r="CR18" s="153">
        <f t="shared" si="24"/>
        <v>1542941.79</v>
      </c>
      <c r="CT18" s="403">
        <v>241.7</v>
      </c>
      <c r="CU18" s="276">
        <f>Dem!B59+(DD18/4)</f>
        <v>17.8</v>
      </c>
      <c r="CV18" s="276">
        <f>Dem!B99+(DD18/4)</f>
        <v>19.000000000000004</v>
      </c>
      <c r="CW18" s="276">
        <f>Dem!B139+(DD18/4)</f>
        <v>18.000000000000004</v>
      </c>
      <c r="CX18" s="276">
        <f>Dem!B179+(DD18/4)</f>
        <v>18.3</v>
      </c>
      <c r="CY18" s="276">
        <f>Dem!B259</f>
        <v>9.5</v>
      </c>
      <c r="CZ18" s="276">
        <f>Dem!B299</f>
        <v>4.8</v>
      </c>
      <c r="DA18" s="276">
        <f>Dem!B339</f>
        <v>3.9</v>
      </c>
      <c r="DB18" s="276">
        <f>Dem!B379</f>
        <v>1</v>
      </c>
      <c r="DC18" s="275">
        <v>93.1</v>
      </c>
      <c r="DD18" s="46">
        <v>-0.39999999999999147</v>
      </c>
      <c r="DE18" s="275"/>
      <c r="DF18" s="276">
        <f>Dem!$D59+(DO18/4)</f>
        <v>46.800000000000004</v>
      </c>
      <c r="DG18" s="276">
        <f>Dem!$D99+(DO18/4)</f>
        <v>48.1</v>
      </c>
      <c r="DH18" s="276">
        <f>Dem!$D139+(DO18/4)</f>
        <v>48</v>
      </c>
      <c r="DI18" s="276">
        <f>Dem!$D179+(DO18/4)</f>
        <v>48</v>
      </c>
      <c r="DJ18" s="275">
        <f>Dem!$D259</f>
        <v>24.2</v>
      </c>
      <c r="DK18" s="275">
        <f>Dem!$D299</f>
        <v>12.1</v>
      </c>
      <c r="DL18" s="275">
        <f>Dem!$D339</f>
        <v>9.6999999999999993</v>
      </c>
      <c r="DM18" s="275">
        <f>Dem!$D379</f>
        <v>2.4</v>
      </c>
      <c r="DN18" s="276">
        <f t="shared" si="25"/>
        <v>241.7</v>
      </c>
      <c r="DO18" s="44">
        <v>-1.1999999999999886</v>
      </c>
    </row>
    <row r="19" spans="1:119">
      <c r="A19" s="46">
        <f t="shared" si="26"/>
        <v>1989</v>
      </c>
      <c r="B19" s="141">
        <f t="shared" si="10"/>
        <v>0.10636573486524947</v>
      </c>
      <c r="C19" s="46"/>
      <c r="D19" s="141">
        <f t="shared" si="11"/>
        <v>0.55025848561003599</v>
      </c>
      <c r="E19" s="141">
        <f t="shared" si="12"/>
        <v>0.44389275074478651</v>
      </c>
      <c r="F19" s="46"/>
      <c r="G19" s="157">
        <f t="shared" si="27"/>
        <v>1.8336509376910243E-2</v>
      </c>
      <c r="H19" s="157">
        <f t="shared" si="30"/>
        <v>5.0168300504934149E-2</v>
      </c>
      <c r="I19" s="157">
        <f t="shared" si="31"/>
        <v>7.0973852757323153E-2</v>
      </c>
      <c r="J19" s="157">
        <f t="shared" si="32"/>
        <v>7.7277233687147062E-2</v>
      </c>
      <c r="K19" s="157">
        <f t="shared" si="33"/>
        <v>3.499953269802019E-2</v>
      </c>
      <c r="L19" s="157">
        <f t="shared" si="34"/>
        <v>1.438635826084822E-2</v>
      </c>
      <c r="M19" s="157">
        <f t="shared" si="35"/>
        <v>8.2172260040759646E-3</v>
      </c>
      <c r="N19" s="157">
        <f t="shared" si="36"/>
        <v>7.7022951575897555E-4</v>
      </c>
      <c r="O19" s="46"/>
      <c r="P19" s="154">
        <f t="shared" si="28"/>
        <v>1.663490623089757E-2</v>
      </c>
      <c r="Q19" s="154">
        <f t="shared" si="2"/>
        <v>8.1682088719760987E-2</v>
      </c>
      <c r="R19" s="154">
        <f t="shared" si="3"/>
        <v>0.20857938370700746</v>
      </c>
      <c r="S19" s="154">
        <f t="shared" si="3"/>
        <v>0.41864827942152205</v>
      </c>
      <c r="T19" s="154">
        <f t="shared" si="3"/>
        <v>0.58136106661807441</v>
      </c>
      <c r="U19" s="154">
        <f t="shared" si="3"/>
        <v>0.69318460294799689</v>
      </c>
      <c r="V19" s="154">
        <f t="shared" si="3"/>
        <v>0.83595409684820499</v>
      </c>
      <c r="W19" s="162">
        <f t="shared" si="29"/>
        <v>1</v>
      </c>
      <c r="X19" s="154"/>
      <c r="Y19" s="142">
        <f t="shared" si="14"/>
        <v>1.6226415094339624E-2</v>
      </c>
      <c r="Z19" s="142">
        <f t="shared" si="15"/>
        <v>4.262164846077459E-2</v>
      </c>
      <c r="AA19" s="142">
        <f t="shared" si="16"/>
        <v>5.7696127110228403E-2</v>
      </c>
      <c r="AB19" s="142">
        <f t="shared" si="17"/>
        <v>6.0854021847070519E-2</v>
      </c>
      <c r="AC19" s="142">
        <f t="shared" si="18"/>
        <v>2.6956305858987097E-2</v>
      </c>
      <c r="AD19" s="142">
        <f t="shared" si="19"/>
        <v>1.0922293942403178E-2</v>
      </c>
      <c r="AE19" s="142">
        <f t="shared" si="20"/>
        <v>6.1088381330685199E-3</v>
      </c>
      <c r="AF19" s="142">
        <f t="shared" si="21"/>
        <v>5.6072492552135093E-4</v>
      </c>
      <c r="AH19" s="158">
        <f t="shared" si="22"/>
        <v>3.7735849056603779E-2</v>
      </c>
      <c r="AI19" s="158">
        <f t="shared" si="5"/>
        <v>0.13604766633565046</v>
      </c>
      <c r="AJ19" s="158">
        <f t="shared" si="6"/>
        <v>0.28699106256206558</v>
      </c>
      <c r="AK19" s="158">
        <f t="shared" si="6"/>
        <v>0.50446871896722945</v>
      </c>
      <c r="AL19" s="158">
        <f t="shared" si="6"/>
        <v>0.65640516385302883</v>
      </c>
      <c r="AM19" s="158">
        <f t="shared" si="6"/>
        <v>0.75670307845084417</v>
      </c>
      <c r="AN19" s="158">
        <f t="shared" si="6"/>
        <v>0.87785501489573003</v>
      </c>
      <c r="AO19" s="158">
        <v>1</v>
      </c>
      <c r="AP19" s="143"/>
      <c r="AQ19" s="143">
        <f t="shared" si="7"/>
        <v>1.6634906230897566E-2</v>
      </c>
      <c r="AR19" s="143">
        <f t="shared" si="7"/>
        <v>6.5047182488863403E-2</v>
      </c>
      <c r="AS19" s="143">
        <f t="shared" si="7"/>
        <v>0.12689729498724645</v>
      </c>
      <c r="AT19" s="143">
        <f t="shared" si="7"/>
        <v>0.21006889571451454</v>
      </c>
      <c r="AU19" s="143">
        <f t="shared" si="7"/>
        <v>0.1627127871965523</v>
      </c>
      <c r="AV19" s="143">
        <f t="shared" si="7"/>
        <v>0.11182353632992251</v>
      </c>
      <c r="AW19" s="143">
        <f t="shared" si="7"/>
        <v>0.14276949390020804</v>
      </c>
      <c r="AX19" s="143">
        <f t="shared" si="7"/>
        <v>0.16404590315179521</v>
      </c>
      <c r="AY19" s="46"/>
      <c r="AZ19" s="152">
        <f>Shares!D60</f>
        <v>3.8</v>
      </c>
      <c r="BA19" s="152">
        <f>Shares!E60</f>
        <v>9.9</v>
      </c>
      <c r="BB19" s="152">
        <f>Shares!F60</f>
        <v>15.2</v>
      </c>
      <c r="BC19" s="152">
        <f>Shares!G60</f>
        <v>21.9</v>
      </c>
      <c r="BD19" s="152">
        <f>Shares!J60</f>
        <v>15.3</v>
      </c>
      <c r="BE19" s="152">
        <f>Shares!K60</f>
        <v>10.1</v>
      </c>
      <c r="BF19" s="152">
        <f>Shares!L60</f>
        <v>12.2</v>
      </c>
      <c r="BG19" s="152">
        <f>Shares!M60</f>
        <v>12.3</v>
      </c>
      <c r="BI19" s="146">
        <f>TxRt!B63</f>
        <v>9.6</v>
      </c>
      <c r="BJ19" s="146">
        <f>TxRt!B106</f>
        <v>14.3</v>
      </c>
      <c r="BK19" s="146">
        <f>TxRt!B146</f>
        <v>18.100000000000001</v>
      </c>
      <c r="BL19" s="146">
        <f>TxRt!B186</f>
        <v>20.8</v>
      </c>
      <c r="BM19" s="146">
        <f>TxRt!B266</f>
        <v>23</v>
      </c>
      <c r="BN19" s="146">
        <f>TxRt!B306</f>
        <v>24.2</v>
      </c>
      <c r="BO19" s="146">
        <f>TxRt!B346</f>
        <v>25.3</v>
      </c>
      <c r="BP19" s="146">
        <f>TxRt!B386</f>
        <v>27.9</v>
      </c>
      <c r="BQ19" s="46"/>
      <c r="BR19" s="60">
        <f>Inc!B60</f>
        <v>15000</v>
      </c>
      <c r="BS19" s="60">
        <f>Inc!B100</f>
        <v>36300</v>
      </c>
      <c r="BT19" s="60">
        <f>Inc!B140</f>
        <v>58700</v>
      </c>
      <c r="BU19" s="60">
        <f>Inc!B180</f>
        <v>84100</v>
      </c>
      <c r="BV19" s="60">
        <f>Inc!B260</f>
        <v>114100</v>
      </c>
      <c r="BW19" s="60">
        <f>Inc!B300</f>
        <v>147500</v>
      </c>
      <c r="BX19" s="60">
        <f>Inc!B340</f>
        <v>221700</v>
      </c>
      <c r="BY19" s="60">
        <f>Inc!B380</f>
        <v>900900</v>
      </c>
      <c r="CA19" s="60">
        <f t="shared" si="8"/>
        <v>1440</v>
      </c>
      <c r="CB19" s="60">
        <f t="shared" si="8"/>
        <v>5190.8999999999996</v>
      </c>
      <c r="CC19" s="60">
        <f t="shared" si="8"/>
        <v>10624.7</v>
      </c>
      <c r="CD19" s="60">
        <f t="shared" si="8"/>
        <v>17492.8</v>
      </c>
      <c r="CE19" s="60">
        <f t="shared" si="8"/>
        <v>26243</v>
      </c>
      <c r="CF19" s="60">
        <f t="shared" si="8"/>
        <v>35695</v>
      </c>
      <c r="CG19" s="60">
        <f t="shared" si="8"/>
        <v>56090.1</v>
      </c>
      <c r="CH19" s="60">
        <f t="shared" si="8"/>
        <v>251351.1</v>
      </c>
      <c r="CJ19" s="153">
        <f t="shared" si="23"/>
        <v>25488.000000000004</v>
      </c>
      <c r="CK19" s="153">
        <f t="shared" si="9"/>
        <v>99665.280000000013</v>
      </c>
      <c r="CL19" s="153">
        <f t="shared" si="9"/>
        <v>194432.01</v>
      </c>
      <c r="CM19" s="153">
        <f t="shared" si="9"/>
        <v>321867.52000000002</v>
      </c>
      <c r="CN19" s="153">
        <f t="shared" si="9"/>
        <v>249308.5</v>
      </c>
      <c r="CO19" s="153">
        <f t="shared" si="9"/>
        <v>171336</v>
      </c>
      <c r="CP19" s="153">
        <f t="shared" si="9"/>
        <v>218751.38999999998</v>
      </c>
      <c r="CQ19" s="153">
        <f t="shared" si="9"/>
        <v>251351.1</v>
      </c>
      <c r="CR19" s="153">
        <f t="shared" si="24"/>
        <v>1532199.8</v>
      </c>
      <c r="CT19" s="403">
        <v>243.9</v>
      </c>
      <c r="CU19" s="276">
        <f>Dem!B60+(DD19/4)</f>
        <v>17.700000000000003</v>
      </c>
      <c r="CV19" s="276">
        <f>Dem!B100+(DD19/4)</f>
        <v>19.200000000000003</v>
      </c>
      <c r="CW19" s="276">
        <f>Dem!B140+(DD19/4)</f>
        <v>18.3</v>
      </c>
      <c r="CX19" s="276">
        <f>Dem!B180+(DD19/4)</f>
        <v>18.400000000000002</v>
      </c>
      <c r="CY19" s="276">
        <f>Dem!B260</f>
        <v>9.5</v>
      </c>
      <c r="CZ19" s="276">
        <f>Dem!B300</f>
        <v>4.8</v>
      </c>
      <c r="DA19" s="276">
        <f>Dem!B340</f>
        <v>3.9</v>
      </c>
      <c r="DB19" s="276">
        <f>Dem!B380</f>
        <v>1</v>
      </c>
      <c r="DC19" s="275">
        <v>93.6</v>
      </c>
      <c r="DD19" s="46">
        <v>-0.39999999999999147</v>
      </c>
      <c r="DE19" s="275"/>
      <c r="DF19" s="276">
        <f>Dem!$D60+(DO19/4)</f>
        <v>47.325000000000003</v>
      </c>
      <c r="DG19" s="276">
        <f>Dem!$D100+(DO19/4)</f>
        <v>48.524999999999999</v>
      </c>
      <c r="DH19" s="276">
        <f>Dem!$D140+(DO19/4)</f>
        <v>48.524999999999999</v>
      </c>
      <c r="DI19" s="276">
        <f>Dem!$D180+(DO19/4)</f>
        <v>48.524999999999999</v>
      </c>
      <c r="DJ19" s="275">
        <f>Dem!$D260</f>
        <v>24.4</v>
      </c>
      <c r="DK19" s="275">
        <f>Dem!$D300</f>
        <v>12.2</v>
      </c>
      <c r="DL19" s="275">
        <f>Dem!$D340</f>
        <v>9.8000000000000007</v>
      </c>
      <c r="DM19" s="275">
        <f>Dem!$D380</f>
        <v>2.4</v>
      </c>
      <c r="DN19" s="276">
        <f t="shared" si="25"/>
        <v>243.9</v>
      </c>
      <c r="DO19" s="44">
        <v>-1.0999999999999943</v>
      </c>
    </row>
    <row r="20" spans="1:119">
      <c r="A20" s="46">
        <f t="shared" si="26"/>
        <v>1990</v>
      </c>
      <c r="B20" s="141">
        <f t="shared" si="10"/>
        <v>9.8446438546361259E-2</v>
      </c>
      <c r="C20" s="46"/>
      <c r="D20" s="141">
        <f t="shared" si="11"/>
        <v>0.53776191473683754</v>
      </c>
      <c r="E20" s="141">
        <f t="shared" si="12"/>
        <v>0.43931547619047628</v>
      </c>
      <c r="F20" s="46"/>
      <c r="G20" s="157">
        <f t="shared" si="27"/>
        <v>1.8065217300962597E-2</v>
      </c>
      <c r="H20" s="157">
        <f t="shared" si="30"/>
        <v>4.916138345176442E-2</v>
      </c>
      <c r="I20" s="157">
        <f t="shared" si="31"/>
        <v>6.9423460295715708E-2</v>
      </c>
      <c r="J20" s="157">
        <f t="shared" si="32"/>
        <v>7.5586684893663769E-2</v>
      </c>
      <c r="K20" s="157">
        <f t="shared" si="33"/>
        <v>3.411528935186188E-2</v>
      </c>
      <c r="L20" s="157">
        <f t="shared" si="34"/>
        <v>1.3923429501113388E-2</v>
      </c>
      <c r="M20" s="157">
        <f t="shared" si="35"/>
        <v>7.8732952606487636E-3</v>
      </c>
      <c r="N20" s="157">
        <f t="shared" si="36"/>
        <v>7.3219731268820754E-4</v>
      </c>
      <c r="O20" s="46"/>
      <c r="P20" s="154">
        <f t="shared" si="28"/>
        <v>1.9347826990374045E-2</v>
      </c>
      <c r="Q20" s="154">
        <f t="shared" si="2"/>
        <v>8.903833849198188E-2</v>
      </c>
      <c r="R20" s="154">
        <f t="shared" si="3"/>
        <v>0.21672705855086111</v>
      </c>
      <c r="S20" s="154">
        <f t="shared" si="3"/>
        <v>0.4274060925125015</v>
      </c>
      <c r="T20" s="154">
        <f t="shared" si="3"/>
        <v>0.59028812045026124</v>
      </c>
      <c r="U20" s="154">
        <f t="shared" si="3"/>
        <v>0.70277469950520333</v>
      </c>
      <c r="V20" s="154">
        <f t="shared" si="3"/>
        <v>0.84356053746235882</v>
      </c>
      <c r="W20" s="162">
        <f t="shared" si="29"/>
        <v>1</v>
      </c>
      <c r="X20" s="154"/>
      <c r="Y20" s="142">
        <f t="shared" si="14"/>
        <v>1.6130952380952381E-2</v>
      </c>
      <c r="Z20" s="142">
        <f t="shared" si="15"/>
        <v>4.2242063492063497E-2</v>
      </c>
      <c r="AA20" s="142">
        <f t="shared" si="16"/>
        <v>5.7142857142857141E-2</v>
      </c>
      <c r="AB20" s="142">
        <f t="shared" si="17"/>
        <v>6.0238095238095257E-2</v>
      </c>
      <c r="AC20" s="142">
        <f t="shared" si="18"/>
        <v>2.6617063492063497E-2</v>
      </c>
      <c r="AD20" s="142">
        <f t="shared" si="19"/>
        <v>1.0758928571428572E-2</v>
      </c>
      <c r="AE20" s="142">
        <f t="shared" si="20"/>
        <v>5.9825396825396874E-3</v>
      </c>
      <c r="AF20" s="142">
        <f t="shared" si="21"/>
        <v>5.4523809523809646E-4</v>
      </c>
      <c r="AH20" s="158">
        <f t="shared" si="22"/>
        <v>3.8690476190476192E-2</v>
      </c>
      <c r="AI20" s="158">
        <f t="shared" si="5"/>
        <v>0.1388888888888889</v>
      </c>
      <c r="AJ20" s="158">
        <f t="shared" si="6"/>
        <v>0.28968253968253965</v>
      </c>
      <c r="AK20" s="158">
        <f t="shared" si="6"/>
        <v>0.50793650793650791</v>
      </c>
      <c r="AL20" s="158">
        <f t="shared" si="6"/>
        <v>0.65972222222222221</v>
      </c>
      <c r="AM20" s="158">
        <f t="shared" si="6"/>
        <v>0.75992063492063489</v>
      </c>
      <c r="AN20" s="158">
        <f t="shared" si="6"/>
        <v>0.88095238095238093</v>
      </c>
      <c r="AO20" s="158">
        <v>1</v>
      </c>
      <c r="AP20" s="143"/>
      <c r="AQ20" s="143">
        <f t="shared" si="7"/>
        <v>1.9347826990374045E-2</v>
      </c>
      <c r="AR20" s="143">
        <f t="shared" si="7"/>
        <v>6.9690511501607835E-2</v>
      </c>
      <c r="AS20" s="143">
        <f t="shared" si="7"/>
        <v>0.12768872005887921</v>
      </c>
      <c r="AT20" s="143">
        <f t="shared" si="7"/>
        <v>0.21067903396164039</v>
      </c>
      <c r="AU20" s="143">
        <f t="shared" si="7"/>
        <v>0.16288202793775977</v>
      </c>
      <c r="AV20" s="143">
        <f t="shared" si="7"/>
        <v>0.11248657905494203</v>
      </c>
      <c r="AW20" s="143">
        <f t="shared" si="7"/>
        <v>0.14078583795715552</v>
      </c>
      <c r="AX20" s="143">
        <f t="shared" si="7"/>
        <v>0.15643946253764113</v>
      </c>
      <c r="AY20" s="46"/>
      <c r="AZ20" s="152">
        <f>Shares!D61</f>
        <v>3.9</v>
      </c>
      <c r="BA20" s="152">
        <f>Shares!E61</f>
        <v>10.1</v>
      </c>
      <c r="BB20" s="152">
        <f>Shares!F61</f>
        <v>15.2</v>
      </c>
      <c r="BC20" s="152">
        <f>Shares!G61</f>
        <v>22</v>
      </c>
      <c r="BD20" s="152">
        <f>Shares!J61</f>
        <v>15.3</v>
      </c>
      <c r="BE20" s="152">
        <f>Shares!K61</f>
        <v>10.1</v>
      </c>
      <c r="BF20" s="152">
        <f>Shares!L61</f>
        <v>12.2</v>
      </c>
      <c r="BG20" s="152">
        <f>Shares!M61</f>
        <v>12</v>
      </c>
      <c r="BI20" s="146">
        <f>TxRt!B64</f>
        <v>10.7</v>
      </c>
      <c r="BJ20" s="146">
        <f>TxRt!B107</f>
        <v>15</v>
      </c>
      <c r="BK20" s="146">
        <f>TxRt!B147</f>
        <v>18.2</v>
      </c>
      <c r="BL20" s="146">
        <f>TxRt!B187</f>
        <v>20.8</v>
      </c>
      <c r="BM20" s="146">
        <f>TxRt!B267</f>
        <v>23</v>
      </c>
      <c r="BN20" s="146">
        <f>TxRt!B307</f>
        <v>24.1</v>
      </c>
      <c r="BO20" s="146">
        <f>TxRt!B347</f>
        <v>25.2</v>
      </c>
      <c r="BP20" s="146">
        <f>TxRt!B387</f>
        <v>27.7</v>
      </c>
      <c r="BQ20" s="46"/>
      <c r="BR20" s="60">
        <f>Inc!B61</f>
        <v>15400</v>
      </c>
      <c r="BS20" s="60">
        <f>Inc!B101</f>
        <v>37500</v>
      </c>
      <c r="BT20" s="60">
        <f>Inc!B141</f>
        <v>59100</v>
      </c>
      <c r="BU20" s="60">
        <f>Inc!B181</f>
        <v>83500</v>
      </c>
      <c r="BV20" s="60">
        <f>Inc!B261</f>
        <v>112700</v>
      </c>
      <c r="BW20" s="60">
        <f>Inc!B301</f>
        <v>144100</v>
      </c>
      <c r="BX20" s="60">
        <f>Inc!B341</f>
        <v>215600</v>
      </c>
      <c r="BY20" s="60">
        <f>Inc!B381</f>
        <v>871800</v>
      </c>
      <c r="CA20" s="60">
        <f t="shared" si="8"/>
        <v>1647.8</v>
      </c>
      <c r="CB20" s="60">
        <f t="shared" si="8"/>
        <v>5625</v>
      </c>
      <c r="CC20" s="60">
        <f t="shared" si="8"/>
        <v>10756.2</v>
      </c>
      <c r="CD20" s="60">
        <f t="shared" si="8"/>
        <v>17368</v>
      </c>
      <c r="CE20" s="60">
        <f t="shared" si="8"/>
        <v>25921</v>
      </c>
      <c r="CF20" s="60">
        <f t="shared" si="8"/>
        <v>34728.1</v>
      </c>
      <c r="CG20" s="60">
        <f t="shared" si="8"/>
        <v>54331.199999999997</v>
      </c>
      <c r="CH20" s="60">
        <f t="shared" si="8"/>
        <v>241488.6</v>
      </c>
      <c r="CJ20" s="153">
        <f t="shared" si="23"/>
        <v>29866.375</v>
      </c>
      <c r="CK20" s="153">
        <f t="shared" si="9"/>
        <v>107578.125</v>
      </c>
      <c r="CL20" s="153">
        <f t="shared" si="9"/>
        <v>197107.36500000002</v>
      </c>
      <c r="CM20" s="153">
        <f t="shared" si="9"/>
        <v>325215.80000000005</v>
      </c>
      <c r="CN20" s="153">
        <f t="shared" si="9"/>
        <v>251433.69999999998</v>
      </c>
      <c r="CO20" s="153">
        <f t="shared" si="9"/>
        <v>173640.5</v>
      </c>
      <c r="CP20" s="153">
        <f t="shared" si="9"/>
        <v>217324.79999999999</v>
      </c>
      <c r="CQ20" s="153">
        <f t="shared" si="9"/>
        <v>241488.6</v>
      </c>
      <c r="CR20" s="153">
        <f t="shared" si="24"/>
        <v>1543655.2650000001</v>
      </c>
      <c r="CT20" s="403">
        <v>246.7</v>
      </c>
      <c r="CU20" s="276">
        <f>Dem!B61+(DD20/4)</f>
        <v>18.125</v>
      </c>
      <c r="CV20" s="276">
        <f>Dem!B101+(DD20/4)</f>
        <v>19.125</v>
      </c>
      <c r="CW20" s="276">
        <f>Dem!B141+(DD20/4)</f>
        <v>18.324999999999999</v>
      </c>
      <c r="CX20" s="276">
        <f>Dem!B181+(DD20/4)</f>
        <v>18.725000000000001</v>
      </c>
      <c r="CY20" s="276">
        <f>Dem!B261</f>
        <v>9.6999999999999993</v>
      </c>
      <c r="CZ20" s="276">
        <f>Dem!B301</f>
        <v>5</v>
      </c>
      <c r="DA20" s="276">
        <f>Dem!B341</f>
        <v>4</v>
      </c>
      <c r="DB20" s="276">
        <f>Dem!B381</f>
        <v>1</v>
      </c>
      <c r="DC20" s="275">
        <v>94.6</v>
      </c>
      <c r="DD20" s="46">
        <v>-0.29999999999999716</v>
      </c>
      <c r="DE20" s="275"/>
      <c r="DF20" s="276">
        <f>Dem!$D61+(DO20/4)</f>
        <v>47.775000000000006</v>
      </c>
      <c r="DG20" s="276">
        <f>Dem!$D101+(DO20/4)</f>
        <v>48.975000000000001</v>
      </c>
      <c r="DH20" s="276">
        <f>Dem!$D141+(DO20/4)</f>
        <v>48.975000000000001</v>
      </c>
      <c r="DI20" s="276">
        <f>Dem!$D181+(DO20/4)</f>
        <v>48.975000000000001</v>
      </c>
      <c r="DJ20" s="275">
        <f>Dem!$D261</f>
        <v>24.7</v>
      </c>
      <c r="DK20" s="275">
        <f>Dem!$D301</f>
        <v>12.3</v>
      </c>
      <c r="DL20" s="275">
        <f>Dem!$D341</f>
        <v>9.9</v>
      </c>
      <c r="DM20" s="275">
        <f>Dem!$D381</f>
        <v>2.5</v>
      </c>
      <c r="DN20" s="276">
        <f t="shared" si="25"/>
        <v>246.7</v>
      </c>
      <c r="DO20" s="44">
        <v>-1.2999999999999829</v>
      </c>
    </row>
    <row r="21" spans="1:119">
      <c r="A21" s="46">
        <f t="shared" si="26"/>
        <v>1991</v>
      </c>
      <c r="B21" s="141">
        <f t="shared" si="10"/>
        <v>0.10703505205194597</v>
      </c>
      <c r="C21" s="46"/>
      <c r="D21" s="141">
        <f t="shared" si="11"/>
        <v>0.53958465522654919</v>
      </c>
      <c r="E21" s="141">
        <f t="shared" si="12"/>
        <v>0.43254960317460323</v>
      </c>
      <c r="F21" s="46"/>
      <c r="G21" s="157">
        <f t="shared" si="27"/>
        <v>1.8113662750911832E-2</v>
      </c>
      <c r="H21" s="157">
        <f t="shared" si="30"/>
        <v>4.9439979896020704E-2</v>
      </c>
      <c r="I21" s="157">
        <f t="shared" si="31"/>
        <v>6.9789579455543135E-2</v>
      </c>
      <c r="J21" s="157">
        <f t="shared" si="32"/>
        <v>7.5915439551310179E-2</v>
      </c>
      <c r="K21" s="157">
        <f t="shared" si="33"/>
        <v>3.4230437861002563E-2</v>
      </c>
      <c r="L21" s="157">
        <f t="shared" si="34"/>
        <v>1.389692859956E-2</v>
      </c>
      <c r="M21" s="157">
        <f t="shared" si="35"/>
        <v>7.7082002358253732E-3</v>
      </c>
      <c r="N21" s="157">
        <f t="shared" si="36"/>
        <v>6.9809926310080545E-4</v>
      </c>
      <c r="O21" s="46"/>
      <c r="P21" s="154">
        <f t="shared" si="28"/>
        <v>1.8863372490881696E-2</v>
      </c>
      <c r="Q21" s="154">
        <f t="shared" si="2"/>
        <v>8.6736828548911404E-2</v>
      </c>
      <c r="R21" s="154">
        <f t="shared" si="3"/>
        <v>0.21536737689565721</v>
      </c>
      <c r="S21" s="154">
        <f t="shared" si="3"/>
        <v>0.42547822759124115</v>
      </c>
      <c r="T21" s="154">
        <f t="shared" si="3"/>
        <v>0.58991301518870776</v>
      </c>
      <c r="U21" s="154">
        <f t="shared" si="3"/>
        <v>0.70420984082889237</v>
      </c>
      <c r="V21" s="154">
        <f t="shared" si="3"/>
        <v>0.85038014737983914</v>
      </c>
      <c r="W21" s="162">
        <f t="shared" si="29"/>
        <v>1</v>
      </c>
      <c r="X21" s="154"/>
      <c r="Y21" s="142">
        <f t="shared" si="14"/>
        <v>1.6031746031746032E-2</v>
      </c>
      <c r="Z21" s="142">
        <f t="shared" si="15"/>
        <v>4.20436507936508E-2</v>
      </c>
      <c r="AA21" s="142">
        <f t="shared" si="16"/>
        <v>5.6547619047619048E-2</v>
      </c>
      <c r="AB21" s="142">
        <f t="shared" si="17"/>
        <v>5.9146825396825413E-2</v>
      </c>
      <c r="AC21" s="142">
        <f t="shared" si="18"/>
        <v>2.5972222222222219E-2</v>
      </c>
      <c r="AD21" s="142">
        <f t="shared" si="19"/>
        <v>1.0386904761904759E-2</v>
      </c>
      <c r="AE21" s="142">
        <f t="shared" si="20"/>
        <v>5.6452380952380964E-3</v>
      </c>
      <c r="AF21" s="142">
        <f t="shared" si="21"/>
        <v>5.0059523809523835E-4</v>
      </c>
      <c r="AH21" s="158">
        <f t="shared" si="22"/>
        <v>3.968253968253968E-2</v>
      </c>
      <c r="AI21" s="158">
        <f t="shared" si="5"/>
        <v>0.13988095238095238</v>
      </c>
      <c r="AJ21" s="158">
        <f t="shared" si="6"/>
        <v>0.29464285714285715</v>
      </c>
      <c r="AK21" s="158">
        <f t="shared" si="6"/>
        <v>0.51388888888888895</v>
      </c>
      <c r="AL21" s="158">
        <f t="shared" si="6"/>
        <v>0.66666666666666674</v>
      </c>
      <c r="AM21" s="158">
        <f t="shared" si="6"/>
        <v>0.7678571428571429</v>
      </c>
      <c r="AN21" s="158">
        <f t="shared" si="6"/>
        <v>0.88988095238095244</v>
      </c>
      <c r="AO21" s="158">
        <v>1</v>
      </c>
      <c r="AP21" s="143"/>
      <c r="AQ21" s="143">
        <f t="shared" si="7"/>
        <v>1.88633724908817E-2</v>
      </c>
      <c r="AR21" s="143">
        <f t="shared" si="7"/>
        <v>6.7873456058029719E-2</v>
      </c>
      <c r="AS21" s="143">
        <f t="shared" si="7"/>
        <v>0.12863054834674584</v>
      </c>
      <c r="AT21" s="143">
        <f t="shared" si="7"/>
        <v>0.21011085069558399</v>
      </c>
      <c r="AU21" s="143">
        <f t="shared" si="7"/>
        <v>0.16443478759746666</v>
      </c>
      <c r="AV21" s="143">
        <f t="shared" si="7"/>
        <v>0.11429682564018459</v>
      </c>
      <c r="AW21" s="143">
        <f t="shared" si="7"/>
        <v>0.14617030655094682</v>
      </c>
      <c r="AX21" s="143">
        <f t="shared" si="7"/>
        <v>0.14961985262016084</v>
      </c>
      <c r="AY21" s="46"/>
      <c r="AZ21" s="152">
        <f>Shares!D62</f>
        <v>4</v>
      </c>
      <c r="BA21" s="152">
        <f>Shares!E62</f>
        <v>10.1</v>
      </c>
      <c r="BB21" s="152">
        <f>Shares!F62</f>
        <v>15.6</v>
      </c>
      <c r="BC21" s="152">
        <f>Shares!G62</f>
        <v>22.1</v>
      </c>
      <c r="BD21" s="152">
        <f>Shares!J62</f>
        <v>15.4</v>
      </c>
      <c r="BE21" s="152">
        <f>Shares!K62</f>
        <v>10.199999999999999</v>
      </c>
      <c r="BF21" s="152">
        <f>Shares!L62</f>
        <v>12.3</v>
      </c>
      <c r="BG21" s="152">
        <f>Shares!M62</f>
        <v>11.1</v>
      </c>
      <c r="BI21" s="146">
        <f>TxRt!B65</f>
        <v>10.199999999999999</v>
      </c>
      <c r="BJ21" s="146">
        <f>TxRt!B108</f>
        <v>14.5</v>
      </c>
      <c r="BK21" s="146">
        <f>TxRt!B148</f>
        <v>17.8</v>
      </c>
      <c r="BL21" s="146">
        <f>TxRt!B188</f>
        <v>20.5</v>
      </c>
      <c r="BM21" s="146">
        <f>TxRt!B268</f>
        <v>22.9</v>
      </c>
      <c r="BN21" s="146">
        <f>TxRt!B308</f>
        <v>24.2</v>
      </c>
      <c r="BO21" s="146">
        <f>TxRt!B348</f>
        <v>25.5</v>
      </c>
      <c r="BP21" s="146">
        <f>TxRt!B388</f>
        <v>28.9</v>
      </c>
      <c r="BQ21" s="46"/>
      <c r="BR21" s="60">
        <f>Inc!B62</f>
        <v>15500</v>
      </c>
      <c r="BS21" s="60">
        <f>Inc!B102</f>
        <v>36600</v>
      </c>
      <c r="BT21" s="60">
        <f>Inc!B142</f>
        <v>58000</v>
      </c>
      <c r="BU21" s="60">
        <f>Inc!B182</f>
        <v>82700</v>
      </c>
      <c r="BV21" s="60">
        <f>Inc!B262</f>
        <v>111000</v>
      </c>
      <c r="BW21" s="60">
        <f>Inc!B302</f>
        <v>143100</v>
      </c>
      <c r="BX21" s="60">
        <f>Inc!B342</f>
        <v>211800</v>
      </c>
      <c r="BY21" s="60">
        <f>Inc!B382</f>
        <v>784300</v>
      </c>
      <c r="CA21" s="60">
        <f t="shared" si="8"/>
        <v>1581</v>
      </c>
      <c r="CB21" s="60">
        <f t="shared" si="8"/>
        <v>5307</v>
      </c>
      <c r="CC21" s="60">
        <f t="shared" si="8"/>
        <v>10324</v>
      </c>
      <c r="CD21" s="60">
        <f t="shared" si="8"/>
        <v>16953.5</v>
      </c>
      <c r="CE21" s="60">
        <f t="shared" si="8"/>
        <v>25419</v>
      </c>
      <c r="CF21" s="60">
        <f t="shared" si="8"/>
        <v>34630.199999999997</v>
      </c>
      <c r="CG21" s="60">
        <f t="shared" si="8"/>
        <v>54009</v>
      </c>
      <c r="CH21" s="60">
        <f t="shared" si="8"/>
        <v>226662.7</v>
      </c>
      <c r="CJ21" s="153">
        <f t="shared" si="23"/>
        <v>28576.574999999993</v>
      </c>
      <c r="CK21" s="153">
        <f t="shared" si="9"/>
        <v>102823.12499999999</v>
      </c>
      <c r="CL21" s="153">
        <f t="shared" si="9"/>
        <v>194865.49999999997</v>
      </c>
      <c r="CM21" s="153">
        <f t="shared" si="9"/>
        <v>318301.96249999991</v>
      </c>
      <c r="CN21" s="153">
        <f t="shared" si="9"/>
        <v>249106.2</v>
      </c>
      <c r="CO21" s="153">
        <f t="shared" si="9"/>
        <v>173151</v>
      </c>
      <c r="CP21" s="153">
        <f t="shared" si="9"/>
        <v>221436.9</v>
      </c>
      <c r="CQ21" s="153">
        <f t="shared" si="9"/>
        <v>226662.7</v>
      </c>
      <c r="CR21" s="153">
        <f t="shared" si="24"/>
        <v>1514923.9624999997</v>
      </c>
      <c r="CT21" s="403">
        <v>249</v>
      </c>
      <c r="CU21" s="276">
        <f>Dem!B62+(DD21/4)</f>
        <v>18.074999999999996</v>
      </c>
      <c r="CV21" s="276">
        <f>Dem!B102+(DD21/4)</f>
        <v>19.374999999999996</v>
      </c>
      <c r="CW21" s="276">
        <f>Dem!B142+(DD21/4)</f>
        <v>18.874999999999996</v>
      </c>
      <c r="CX21" s="276">
        <f>Dem!B182+(DD21/4)</f>
        <v>18.774999999999995</v>
      </c>
      <c r="CY21" s="276">
        <f>Dem!B262</f>
        <v>9.8000000000000007</v>
      </c>
      <c r="CZ21" s="276">
        <f>Dem!B302</f>
        <v>5</v>
      </c>
      <c r="DA21" s="276">
        <f>Dem!B342</f>
        <v>4.0999999999999996</v>
      </c>
      <c r="DB21" s="276">
        <f>Dem!B382</f>
        <v>1</v>
      </c>
      <c r="DC21" s="275">
        <v>96</v>
      </c>
      <c r="DD21" s="46">
        <v>-0.50000000000001421</v>
      </c>
      <c r="DE21" s="275"/>
      <c r="DF21" s="276">
        <f>Dem!$D62+(DO21/4)</f>
        <v>48.174999999999997</v>
      </c>
      <c r="DG21" s="276">
        <f>Dem!$D102+(DO21/4)</f>
        <v>49.474999999999994</v>
      </c>
      <c r="DH21" s="276">
        <f>Dem!$D142+(DO21/4)</f>
        <v>49.474999999999994</v>
      </c>
      <c r="DI21" s="276">
        <f>Dem!$D182+(DO21/4)</f>
        <v>49.474999999999994</v>
      </c>
      <c r="DJ21" s="275">
        <f>Dem!$D262</f>
        <v>24.9</v>
      </c>
      <c r="DK21" s="275">
        <f>Dem!$D302</f>
        <v>12.4</v>
      </c>
      <c r="DL21" s="275">
        <f>Dem!$D342</f>
        <v>10</v>
      </c>
      <c r="DM21" s="275">
        <f>Dem!$D382</f>
        <v>2.5</v>
      </c>
      <c r="DN21" s="276">
        <f t="shared" si="25"/>
        <v>249</v>
      </c>
      <c r="DO21" s="44">
        <v>-1.3000000000000114</v>
      </c>
    </row>
    <row r="22" spans="1:119">
      <c r="A22" s="46">
        <f t="shared" si="26"/>
        <v>1992</v>
      </c>
      <c r="B22" s="141">
        <f t="shared" si="10"/>
        <v>0.11188304811987798</v>
      </c>
      <c r="C22" s="46"/>
      <c r="D22" s="141">
        <f t="shared" si="11"/>
        <v>0.55523622272305262</v>
      </c>
      <c r="E22" s="141">
        <f t="shared" si="12"/>
        <v>0.44335317460317464</v>
      </c>
      <c r="F22" s="46"/>
      <c r="G22" s="157">
        <f t="shared" si="27"/>
        <v>1.8237544934561676E-2</v>
      </c>
      <c r="H22" s="157">
        <f t="shared" si="30"/>
        <v>5.009823101902533E-2</v>
      </c>
      <c r="I22" s="157">
        <f t="shared" si="31"/>
        <v>7.1206811425427091E-2</v>
      </c>
      <c r="J22" s="157">
        <f t="shared" si="32"/>
        <v>7.8243607059992115E-2</v>
      </c>
      <c r="K22" s="157">
        <f t="shared" si="33"/>
        <v>3.5843122388678865E-2</v>
      </c>
      <c r="L22" s="157">
        <f t="shared" si="34"/>
        <v>1.4788706454491896E-2</v>
      </c>
      <c r="M22" s="157">
        <f t="shared" si="35"/>
        <v>8.4147129738650107E-3</v>
      </c>
      <c r="N22" s="157">
        <f t="shared" si="36"/>
        <v>7.8537510548432835E-4</v>
      </c>
      <c r="O22" s="46"/>
      <c r="P22" s="154">
        <f t="shared" si="28"/>
        <v>1.7624550654383255E-2</v>
      </c>
      <c r="Q22" s="154">
        <f t="shared" si="2"/>
        <v>8.1393139155363531E-2</v>
      </c>
      <c r="R22" s="154">
        <f t="shared" si="3"/>
        <v>0.20653874659036567</v>
      </c>
      <c r="S22" s="154">
        <f t="shared" si="3"/>
        <v>0.41102518280971345</v>
      </c>
      <c r="T22" s="154">
        <f t="shared" si="3"/>
        <v>0.5721123694167094</v>
      </c>
      <c r="U22" s="154">
        <f t="shared" si="3"/>
        <v>0.68633937240361498</v>
      </c>
      <c r="V22" s="154">
        <f t="shared" si="3"/>
        <v>0.83292497890313455</v>
      </c>
      <c r="W22" s="162">
        <f t="shared" si="29"/>
        <v>1</v>
      </c>
      <c r="X22" s="154"/>
      <c r="Y22" s="142">
        <f t="shared" si="14"/>
        <v>1.623015873015873E-2</v>
      </c>
      <c r="Z22" s="142">
        <f t="shared" si="15"/>
        <v>4.26388888888889E-2</v>
      </c>
      <c r="AA22" s="142">
        <f t="shared" si="16"/>
        <v>5.7638888888888885E-2</v>
      </c>
      <c r="AB22" s="142">
        <f t="shared" si="17"/>
        <v>6.0734126984126995E-2</v>
      </c>
      <c r="AC22" s="142">
        <f t="shared" si="18"/>
        <v>2.6914682539682544E-2</v>
      </c>
      <c r="AD22" s="142">
        <f t="shared" si="19"/>
        <v>1.0907738095238095E-2</v>
      </c>
      <c r="AE22" s="142">
        <f t="shared" si="20"/>
        <v>6.0619047619047666E-3</v>
      </c>
      <c r="AF22" s="142">
        <f t="shared" si="21"/>
        <v>5.5019841269841386E-4</v>
      </c>
      <c r="AH22" s="158">
        <f t="shared" si="22"/>
        <v>3.7698412698412696E-2</v>
      </c>
      <c r="AI22" s="158">
        <f t="shared" si="5"/>
        <v>0.13591269841269843</v>
      </c>
      <c r="AJ22" s="158">
        <f t="shared" si="6"/>
        <v>0.28769841269841273</v>
      </c>
      <c r="AK22" s="158">
        <f t="shared" si="6"/>
        <v>0.50496031746031744</v>
      </c>
      <c r="AL22" s="158">
        <f t="shared" si="6"/>
        <v>0.65674603174603174</v>
      </c>
      <c r="AM22" s="158">
        <f t="shared" si="6"/>
        <v>0.75694444444444442</v>
      </c>
      <c r="AN22" s="158">
        <f t="shared" si="6"/>
        <v>0.87996031746031744</v>
      </c>
      <c r="AO22" s="158">
        <v>1</v>
      </c>
      <c r="AP22" s="143"/>
      <c r="AQ22" s="143">
        <f t="shared" si="7"/>
        <v>1.7624550654383252E-2</v>
      </c>
      <c r="AR22" s="143">
        <f t="shared" si="7"/>
        <v>6.3768588500980258E-2</v>
      </c>
      <c r="AS22" s="143">
        <f t="shared" si="7"/>
        <v>0.12514560743500211</v>
      </c>
      <c r="AT22" s="143">
        <f t="shared" si="7"/>
        <v>0.20448643621934773</v>
      </c>
      <c r="AU22" s="143">
        <f t="shared" si="7"/>
        <v>0.16108718660699595</v>
      </c>
      <c r="AV22" s="143">
        <f t="shared" si="7"/>
        <v>0.11422700298690558</v>
      </c>
      <c r="AW22" s="143">
        <f t="shared" si="7"/>
        <v>0.1465856064995196</v>
      </c>
      <c r="AX22" s="143">
        <f t="shared" si="7"/>
        <v>0.16707502109686539</v>
      </c>
      <c r="AY22" s="46"/>
      <c r="AZ22" s="152">
        <f>Shares!D63</f>
        <v>3.8</v>
      </c>
      <c r="BA22" s="152">
        <f>Shares!E63</f>
        <v>9.9</v>
      </c>
      <c r="BB22" s="152">
        <f>Shares!F63</f>
        <v>15.3</v>
      </c>
      <c r="BC22" s="152">
        <f>Shares!G63</f>
        <v>21.9</v>
      </c>
      <c r="BD22" s="152">
        <f>Shares!J63</f>
        <v>15.3</v>
      </c>
      <c r="BE22" s="152">
        <f>Shares!K63</f>
        <v>10.1</v>
      </c>
      <c r="BF22" s="152">
        <f>Shares!L63</f>
        <v>12.4</v>
      </c>
      <c r="BG22" s="152">
        <f>Shares!M63</f>
        <v>12.1</v>
      </c>
      <c r="BI22" s="146">
        <f>TxRt!B66</f>
        <v>10</v>
      </c>
      <c r="BJ22" s="146">
        <f>TxRt!B109</f>
        <v>13.9</v>
      </c>
      <c r="BK22" s="146">
        <f>TxRt!B149</f>
        <v>17.7</v>
      </c>
      <c r="BL22" s="146">
        <f>TxRt!B189</f>
        <v>20.3</v>
      </c>
      <c r="BM22" s="146">
        <f>TxRt!B269</f>
        <v>22.7</v>
      </c>
      <c r="BN22" s="146">
        <f>TxRt!B309</f>
        <v>24.1</v>
      </c>
      <c r="BO22" s="146">
        <f>TxRt!B349</f>
        <v>25.6</v>
      </c>
      <c r="BP22" s="146">
        <f>TxRt!B389</f>
        <v>29.6</v>
      </c>
      <c r="BQ22" s="46"/>
      <c r="BR22" s="60">
        <f>Inc!B63</f>
        <v>15600</v>
      </c>
      <c r="BS22" s="60">
        <f>Inc!B103</f>
        <v>36300</v>
      </c>
      <c r="BT22" s="60">
        <f>Inc!B143</f>
        <v>58300</v>
      </c>
      <c r="BU22" s="60">
        <f>Inc!B183</f>
        <v>83500</v>
      </c>
      <c r="BV22" s="60">
        <f>Inc!B263</f>
        <v>112300</v>
      </c>
      <c r="BW22" s="60">
        <f>Inc!B303</f>
        <v>145600</v>
      </c>
      <c r="BX22" s="60">
        <f>Inc!B343</f>
        <v>218800</v>
      </c>
      <c r="BY22" s="60">
        <f>Inc!B383</f>
        <v>884300</v>
      </c>
      <c r="CA22" s="60">
        <f t="shared" si="8"/>
        <v>1560</v>
      </c>
      <c r="CB22" s="60">
        <f t="shared" si="8"/>
        <v>5045.7</v>
      </c>
      <c r="CC22" s="60">
        <f t="shared" si="8"/>
        <v>10319.1</v>
      </c>
      <c r="CD22" s="60">
        <f t="shared" si="8"/>
        <v>16950.5</v>
      </c>
      <c r="CE22" s="60">
        <f t="shared" si="8"/>
        <v>25492.1</v>
      </c>
      <c r="CF22" s="60">
        <f t="shared" si="8"/>
        <v>35089.599999999999</v>
      </c>
      <c r="CG22" s="60">
        <f t="shared" si="8"/>
        <v>56012.800000000003</v>
      </c>
      <c r="CH22" s="60">
        <f t="shared" si="8"/>
        <v>261752.8</v>
      </c>
      <c r="CJ22" s="153">
        <f t="shared" si="23"/>
        <v>27612.000000000004</v>
      </c>
      <c r="CK22" s="153">
        <f t="shared" si="9"/>
        <v>99904.86</v>
      </c>
      <c r="CL22" s="153">
        <f t="shared" si="9"/>
        <v>196062.90000000005</v>
      </c>
      <c r="CM22" s="153">
        <f t="shared" si="9"/>
        <v>320364.45</v>
      </c>
      <c r="CN22" s="153">
        <f t="shared" si="9"/>
        <v>252371.79</v>
      </c>
      <c r="CO22" s="153">
        <f t="shared" si="9"/>
        <v>178956.96</v>
      </c>
      <c r="CP22" s="153">
        <f t="shared" si="9"/>
        <v>229652.47999999998</v>
      </c>
      <c r="CQ22" s="153">
        <f t="shared" si="9"/>
        <v>261752.8</v>
      </c>
      <c r="CR22" s="153">
        <f t="shared" si="24"/>
        <v>1566678.2400000002</v>
      </c>
      <c r="CT22" s="403">
        <v>250.4</v>
      </c>
      <c r="CU22" s="276">
        <f>Dem!B63+(DD22/4)</f>
        <v>17.700000000000003</v>
      </c>
      <c r="CV22" s="276">
        <f>Dem!B103+(DD22/4)</f>
        <v>19.8</v>
      </c>
      <c r="CW22" s="276">
        <f>Dem!B143+(DD22/4)</f>
        <v>19.000000000000004</v>
      </c>
      <c r="CX22" s="276">
        <f>Dem!B183+(DD22/4)</f>
        <v>18.900000000000002</v>
      </c>
      <c r="CY22" s="276">
        <f>Dem!B263</f>
        <v>9.9</v>
      </c>
      <c r="CZ22" s="276">
        <f>Dem!B303</f>
        <v>5.0999999999999996</v>
      </c>
      <c r="DA22" s="276">
        <f>Dem!B343</f>
        <v>4.0999999999999996</v>
      </c>
      <c r="DB22" s="276">
        <f>Dem!B383</f>
        <v>1</v>
      </c>
      <c r="DC22" s="275">
        <v>96.3</v>
      </c>
      <c r="DD22" s="46">
        <v>-0.39999999999999147</v>
      </c>
      <c r="DE22" s="275"/>
      <c r="DF22" s="276">
        <f>Dem!$D63+(DO22/4)</f>
        <v>48.599999999999994</v>
      </c>
      <c r="DG22" s="276">
        <f>Dem!$D103+(DO22/4)</f>
        <v>49.8</v>
      </c>
      <c r="DH22" s="276">
        <f>Dem!$D143+(DO22/4)</f>
        <v>49.8</v>
      </c>
      <c r="DI22" s="276">
        <f>Dem!$D183+(DO22/4)</f>
        <v>49.8</v>
      </c>
      <c r="DJ22" s="275">
        <f>Dem!$D263</f>
        <v>25</v>
      </c>
      <c r="DK22" s="275">
        <f>Dem!$D303</f>
        <v>12.5</v>
      </c>
      <c r="DL22" s="275">
        <f>Dem!$D343</f>
        <v>10</v>
      </c>
      <c r="DM22" s="275">
        <f>Dem!$D383</f>
        <v>2.5</v>
      </c>
      <c r="DN22" s="276">
        <f t="shared" si="25"/>
        <v>250.4</v>
      </c>
      <c r="DO22" s="44">
        <v>-1.2000000000000171</v>
      </c>
    </row>
    <row r="23" spans="1:119">
      <c r="A23" s="46">
        <f t="shared" si="26"/>
        <v>1993</v>
      </c>
      <c r="B23" s="141">
        <f t="shared" si="10"/>
        <v>0.12160557776972725</v>
      </c>
      <c r="C23" s="46"/>
      <c r="D23" s="141">
        <f t="shared" si="11"/>
        <v>0.56256787935702901</v>
      </c>
      <c r="E23" s="141">
        <f t="shared" si="12"/>
        <v>0.44096230158730176</v>
      </c>
      <c r="F23" s="46"/>
      <c r="G23" s="157">
        <f t="shared" si="27"/>
        <v>1.8294034551025337E-2</v>
      </c>
      <c r="H23" s="157">
        <f t="shared" si="30"/>
        <v>5.0348964967968896E-2</v>
      </c>
      <c r="I23" s="157">
        <f t="shared" si="31"/>
        <v>7.1894955182119705E-2</v>
      </c>
      <c r="J23" s="157">
        <f t="shared" si="32"/>
        <v>7.9401835044785193E-2</v>
      </c>
      <c r="K23" s="157">
        <f t="shared" si="33"/>
        <v>3.6570383329842429E-2</v>
      </c>
      <c r="L23" s="157">
        <f t="shared" si="34"/>
        <v>1.5208093403906831E-2</v>
      </c>
      <c r="M23" s="157">
        <f t="shared" si="35"/>
        <v>8.7426752485149396E-3</v>
      </c>
      <c r="N23" s="157">
        <f t="shared" si="36"/>
        <v>8.2299795035115975E-4</v>
      </c>
      <c r="O23" s="46"/>
      <c r="P23" s="154">
        <f t="shared" si="28"/>
        <v>1.7059654489746636E-2</v>
      </c>
      <c r="Q23" s="154">
        <f t="shared" si="2"/>
        <v>7.9450695830564577E-2</v>
      </c>
      <c r="R23" s="154">
        <f t="shared" si="3"/>
        <v>0.20159975234823846</v>
      </c>
      <c r="S23" s="154">
        <f t="shared" si="3"/>
        <v>0.40438189720390982</v>
      </c>
      <c r="T23" s="154">
        <f t="shared" si="3"/>
        <v>0.56421043619924183</v>
      </c>
      <c r="U23" s="154">
        <f t="shared" si="3"/>
        <v>0.67746582764448493</v>
      </c>
      <c r="V23" s="154">
        <f t="shared" si="3"/>
        <v>0.82540040992976826</v>
      </c>
      <c r="W23" s="162">
        <f t="shared" si="29"/>
        <v>1</v>
      </c>
      <c r="X23" s="154"/>
      <c r="Y23" s="142">
        <f t="shared" si="14"/>
        <v>1.6230158730158734E-2</v>
      </c>
      <c r="Z23" s="142">
        <f t="shared" si="15"/>
        <v>4.2539682539682551E-2</v>
      </c>
      <c r="AA23" s="142">
        <f t="shared" si="16"/>
        <v>5.7440476190476202E-2</v>
      </c>
      <c r="AB23" s="142">
        <f t="shared" si="17"/>
        <v>6.0436507936507955E-2</v>
      </c>
      <c r="AC23" s="142">
        <f t="shared" si="18"/>
        <v>2.6666666666666686E-2</v>
      </c>
      <c r="AD23" s="142">
        <f t="shared" si="19"/>
        <v>1.0734126984126992E-2</v>
      </c>
      <c r="AE23" s="142">
        <f t="shared" si="20"/>
        <v>5.9031746031746081E-3</v>
      </c>
      <c r="AF23" s="142">
        <f t="shared" si="21"/>
        <v>5.3035714285714405E-4</v>
      </c>
      <c r="AH23" s="158">
        <f t="shared" si="22"/>
        <v>3.7698412698412689E-2</v>
      </c>
      <c r="AI23" s="158">
        <f t="shared" si="5"/>
        <v>0.13690476190476189</v>
      </c>
      <c r="AJ23" s="158">
        <f t="shared" si="6"/>
        <v>0.28869047619047616</v>
      </c>
      <c r="AK23" s="158">
        <f t="shared" si="6"/>
        <v>0.50694444444444442</v>
      </c>
      <c r="AL23" s="158">
        <f t="shared" si="6"/>
        <v>0.65972222222222221</v>
      </c>
      <c r="AM23" s="158">
        <f t="shared" si="6"/>
        <v>0.76091269841269837</v>
      </c>
      <c r="AN23" s="158">
        <f t="shared" si="6"/>
        <v>0.8839285714285714</v>
      </c>
      <c r="AO23" s="158">
        <v>1</v>
      </c>
      <c r="AP23" s="143"/>
      <c r="AQ23" s="143">
        <f t="shared" si="7"/>
        <v>1.7059654489746636E-2</v>
      </c>
      <c r="AR23" s="143">
        <f t="shared" si="7"/>
        <v>6.2391041340817938E-2</v>
      </c>
      <c r="AS23" s="143">
        <f t="shared" si="7"/>
        <v>0.12214905651767388</v>
      </c>
      <c r="AT23" s="143">
        <f t="shared" si="7"/>
        <v>0.20278214485567134</v>
      </c>
      <c r="AU23" s="143">
        <f t="shared" si="7"/>
        <v>0.15982853899533203</v>
      </c>
      <c r="AV23" s="143">
        <f t="shared" si="7"/>
        <v>0.11325539144524314</v>
      </c>
      <c r="AW23" s="143">
        <f t="shared" si="7"/>
        <v>0.14793458228528336</v>
      </c>
      <c r="AX23" s="143">
        <f t="shared" si="7"/>
        <v>0.17459959007023182</v>
      </c>
      <c r="AY23" s="46"/>
      <c r="AZ23" s="152">
        <f>Shares!D64</f>
        <v>3.8</v>
      </c>
      <c r="BA23" s="152">
        <f>Shares!E64</f>
        <v>10</v>
      </c>
      <c r="BB23" s="152">
        <f>Shares!F64</f>
        <v>15.3</v>
      </c>
      <c r="BC23" s="152">
        <f>Shares!G64</f>
        <v>22</v>
      </c>
      <c r="BD23" s="152">
        <f>Shares!J64</f>
        <v>15.4</v>
      </c>
      <c r="BE23" s="152">
        <f>Shares!K64</f>
        <v>10.199999999999999</v>
      </c>
      <c r="BF23" s="152">
        <f>Shares!L64</f>
        <v>12.4</v>
      </c>
      <c r="BG23" s="152">
        <f>Shares!M64</f>
        <v>11.7</v>
      </c>
      <c r="BI23" s="146">
        <f>TxRt!B67</f>
        <v>10</v>
      </c>
      <c r="BJ23" s="146">
        <f>TxRt!B110</f>
        <v>13.8</v>
      </c>
      <c r="BK23" s="146">
        <f>TxRt!B150</f>
        <v>17.600000000000001</v>
      </c>
      <c r="BL23" s="146">
        <f>TxRt!B190</f>
        <v>20.3</v>
      </c>
      <c r="BM23" s="146">
        <f>TxRt!B270</f>
        <v>22.7</v>
      </c>
      <c r="BN23" s="146">
        <f>TxRt!B310</f>
        <v>24.4</v>
      </c>
      <c r="BO23" s="146">
        <f>TxRt!B350</f>
        <v>26.4</v>
      </c>
      <c r="BP23" s="146">
        <f>TxRt!B390</f>
        <v>33.200000000000003</v>
      </c>
      <c r="BQ23" s="46"/>
      <c r="BR23" s="60">
        <f>Inc!B64</f>
        <v>15600</v>
      </c>
      <c r="BS23" s="60">
        <f>Inc!B104</f>
        <v>36400</v>
      </c>
      <c r="BT23" s="60">
        <f>Inc!B144</f>
        <v>58500</v>
      </c>
      <c r="BU23" s="60">
        <f>Inc!B184</f>
        <v>84200</v>
      </c>
      <c r="BV23" s="60">
        <f>Inc!B264</f>
        <v>113800</v>
      </c>
      <c r="BW23" s="60">
        <f>Inc!B304</f>
        <v>147100</v>
      </c>
      <c r="BX23" s="60">
        <f>Inc!B344</f>
        <v>220900</v>
      </c>
      <c r="BY23" s="60">
        <f>Inc!B384</f>
        <v>850000</v>
      </c>
      <c r="CA23" s="60">
        <f t="shared" si="8"/>
        <v>1560</v>
      </c>
      <c r="CB23" s="60">
        <f t="shared" si="8"/>
        <v>5023.2</v>
      </c>
      <c r="CC23" s="60">
        <f t="shared" si="8"/>
        <v>10296.000000000002</v>
      </c>
      <c r="CD23" s="60">
        <f t="shared" si="8"/>
        <v>17092.599999999999</v>
      </c>
      <c r="CE23" s="60">
        <f t="shared" si="8"/>
        <v>25832.6</v>
      </c>
      <c r="CF23" s="60">
        <f t="shared" si="8"/>
        <v>35892.400000000001</v>
      </c>
      <c r="CG23" s="60">
        <f t="shared" si="8"/>
        <v>58317.599999999999</v>
      </c>
      <c r="CH23" s="60">
        <f t="shared" si="8"/>
        <v>282200.00000000006</v>
      </c>
      <c r="CJ23" s="153">
        <f t="shared" si="23"/>
        <v>27572.999999999996</v>
      </c>
      <c r="CK23" s="153">
        <f t="shared" si="9"/>
        <v>100840.73999999998</v>
      </c>
      <c r="CL23" s="153">
        <f t="shared" si="9"/>
        <v>197425.80000000002</v>
      </c>
      <c r="CM23" s="153">
        <f t="shared" si="9"/>
        <v>327750.60499999992</v>
      </c>
      <c r="CN23" s="153">
        <f t="shared" si="9"/>
        <v>258326</v>
      </c>
      <c r="CO23" s="153">
        <f t="shared" si="9"/>
        <v>183051.24</v>
      </c>
      <c r="CP23" s="153">
        <f t="shared" si="9"/>
        <v>239102.15999999997</v>
      </c>
      <c r="CQ23" s="153">
        <f t="shared" si="9"/>
        <v>282200.00000000006</v>
      </c>
      <c r="CR23" s="153">
        <f t="shared" si="24"/>
        <v>1616269.5449999997</v>
      </c>
      <c r="CT23" s="403">
        <v>255</v>
      </c>
      <c r="CU23" s="276">
        <f>Dem!B64+(DD23/4)</f>
        <v>17.674999999999997</v>
      </c>
      <c r="CV23" s="276">
        <f>Dem!B104+(DD23/4)</f>
        <v>20.074999999999996</v>
      </c>
      <c r="CW23" s="276">
        <f>Dem!B144+(DD23/4)</f>
        <v>19.174999999999997</v>
      </c>
      <c r="CX23" s="276">
        <f>Dem!B184+(DD23/4)</f>
        <v>19.174999999999997</v>
      </c>
      <c r="CY23" s="276">
        <f>Dem!B264</f>
        <v>10</v>
      </c>
      <c r="CZ23" s="276">
        <f>Dem!B304</f>
        <v>5.0999999999999996</v>
      </c>
      <c r="DA23" s="276">
        <f>Dem!B344</f>
        <v>4.0999999999999996</v>
      </c>
      <c r="DB23" s="276">
        <f>Dem!B384</f>
        <v>1</v>
      </c>
      <c r="DC23" s="275">
        <v>97.3</v>
      </c>
      <c r="DD23" s="46">
        <v>-0.50000000000001421</v>
      </c>
      <c r="DE23" s="275"/>
      <c r="DF23" s="276">
        <f>Dem!$D64+(DO23/4)</f>
        <v>49.499999999999993</v>
      </c>
      <c r="DG23" s="276">
        <f>Dem!$D104+(DO23/4)</f>
        <v>50.699999999999996</v>
      </c>
      <c r="DH23" s="276">
        <f>Dem!$D144+(DO23/4)</f>
        <v>50.699999999999996</v>
      </c>
      <c r="DI23" s="276">
        <f>Dem!$D184+(DO23/4)</f>
        <v>50.699999999999996</v>
      </c>
      <c r="DJ23" s="275">
        <f>Dem!$D264</f>
        <v>25.5</v>
      </c>
      <c r="DK23" s="275">
        <f>Dem!$D304</f>
        <v>12.7</v>
      </c>
      <c r="DL23" s="275">
        <f>Dem!$D344</f>
        <v>10.199999999999999</v>
      </c>
      <c r="DM23" s="275">
        <f>Dem!$D384</f>
        <v>2.6</v>
      </c>
      <c r="DN23" s="276">
        <f t="shared" si="25"/>
        <v>255</v>
      </c>
      <c r="DO23" s="44">
        <v>-1.2000000000000171</v>
      </c>
    </row>
    <row r="24" spans="1:119">
      <c r="A24" s="46">
        <f t="shared" si="26"/>
        <v>1994</v>
      </c>
      <c r="B24" s="141">
        <f t="shared" si="10"/>
        <v>0.12895415273479555</v>
      </c>
      <c r="C24" s="46"/>
      <c r="D24" s="141">
        <f t="shared" si="11"/>
        <v>0.57252912790857924</v>
      </c>
      <c r="E24" s="141">
        <f t="shared" si="12"/>
        <v>0.44357497517378369</v>
      </c>
      <c r="F24" s="46"/>
      <c r="G24" s="157">
        <f t="shared" si="27"/>
        <v>1.8633336090472814E-2</v>
      </c>
      <c r="H24" s="157">
        <f t="shared" si="30"/>
        <v>5.1294405310424576E-2</v>
      </c>
      <c r="I24" s="157">
        <f t="shared" si="31"/>
        <v>7.3159869562553312E-2</v>
      </c>
      <c r="J24" s="157">
        <f t="shared" si="32"/>
        <v>8.0653495213253074E-2</v>
      </c>
      <c r="K24" s="157">
        <f t="shared" si="33"/>
        <v>3.7214523641699949E-2</v>
      </c>
      <c r="L24" s="157">
        <f t="shared" si="34"/>
        <v>1.5531831210279729E-2</v>
      </c>
      <c r="M24" s="157">
        <f t="shared" si="35"/>
        <v>8.9358012376197799E-3</v>
      </c>
      <c r="N24" s="157">
        <f t="shared" si="36"/>
        <v>8.4130168798641884E-4</v>
      </c>
      <c r="O24" s="46"/>
      <c r="P24" s="154">
        <f t="shared" si="28"/>
        <v>1.3666639095271884E-2</v>
      </c>
      <c r="Q24" s="154">
        <f t="shared" si="2"/>
        <v>7.3389307800482417E-2</v>
      </c>
      <c r="R24" s="154">
        <f t="shared" si="3"/>
        <v>0.19501199657398455</v>
      </c>
      <c r="S24" s="154">
        <f t="shared" si="3"/>
        <v>0.39845305129348491</v>
      </c>
      <c r="T24" s="154">
        <f t="shared" si="3"/>
        <v>0.55725647587251625</v>
      </c>
      <c r="U24" s="154">
        <f t="shared" si="3"/>
        <v>0.6714702757162947</v>
      </c>
      <c r="V24" s="154">
        <f t="shared" si="3"/>
        <v>0.82173966240271645</v>
      </c>
      <c r="W24" s="162">
        <f t="shared" si="29"/>
        <v>1</v>
      </c>
      <c r="X24" s="154"/>
      <c r="Y24" s="142">
        <f t="shared" si="14"/>
        <v>1.6325719960278057E-2</v>
      </c>
      <c r="Z24" s="142">
        <f t="shared" si="15"/>
        <v>4.282025819265145E-2</v>
      </c>
      <c r="AA24" s="142">
        <f t="shared" si="16"/>
        <v>5.7795431976166836E-2</v>
      </c>
      <c r="AB24" s="142">
        <f t="shared" si="17"/>
        <v>6.0754716981132099E-2</v>
      </c>
      <c r="AC24" s="142">
        <f t="shared" si="18"/>
        <v>2.680734856007946E-2</v>
      </c>
      <c r="AD24" s="142">
        <f t="shared" si="19"/>
        <v>1.0798162859980143E-2</v>
      </c>
      <c r="AE24" s="142">
        <f t="shared" si="20"/>
        <v>5.9499503475670366E-3</v>
      </c>
      <c r="AF24" s="142">
        <f t="shared" si="21"/>
        <v>5.3589870903674396E-4</v>
      </c>
      <c r="AH24" s="158">
        <f t="shared" si="22"/>
        <v>3.6742800397219458E-2</v>
      </c>
      <c r="AI24" s="158">
        <f t="shared" si="5"/>
        <v>0.13505461767626611</v>
      </c>
      <c r="AJ24" s="158">
        <f t="shared" si="6"/>
        <v>0.28699106256206552</v>
      </c>
      <c r="AK24" s="158">
        <f t="shared" si="6"/>
        <v>0.50546176762661366</v>
      </c>
      <c r="AL24" s="158">
        <f t="shared" si="6"/>
        <v>0.65839126117179736</v>
      </c>
      <c r="AM24" s="158">
        <f t="shared" si="6"/>
        <v>0.75968222442899691</v>
      </c>
      <c r="AN24" s="158">
        <f t="shared" si="6"/>
        <v>0.88282025819265131</v>
      </c>
      <c r="AO24" s="158">
        <v>1</v>
      </c>
      <c r="AP24" s="143"/>
      <c r="AQ24" s="143">
        <f t="shared" si="7"/>
        <v>1.366663909527188E-2</v>
      </c>
      <c r="AR24" s="143">
        <f t="shared" si="7"/>
        <v>5.9722668705210515E-2</v>
      </c>
      <c r="AS24" s="143">
        <f t="shared" si="7"/>
        <v>0.12162268877350212</v>
      </c>
      <c r="AT24" s="143">
        <f t="shared" si="7"/>
        <v>0.2034410547195003</v>
      </c>
      <c r="AU24" s="143">
        <f t="shared" si="7"/>
        <v>0.15880342457903132</v>
      </c>
      <c r="AV24" s="143">
        <f t="shared" si="7"/>
        <v>0.11421379984377839</v>
      </c>
      <c r="AW24" s="143">
        <f t="shared" si="7"/>
        <v>0.15026938668642167</v>
      </c>
      <c r="AX24" s="143">
        <f t="shared" si="7"/>
        <v>0.17826033759728371</v>
      </c>
      <c r="AY24" s="46"/>
      <c r="AZ24" s="152">
        <f>Shares!D65</f>
        <v>3.7</v>
      </c>
      <c r="BA24" s="152">
        <f>Shares!E65</f>
        <v>9.9</v>
      </c>
      <c r="BB24" s="152">
        <f>Shares!F65</f>
        <v>15.3</v>
      </c>
      <c r="BC24" s="152">
        <f>Shares!G65</f>
        <v>22</v>
      </c>
      <c r="BD24" s="152">
        <f>Shares!J65</f>
        <v>15.4</v>
      </c>
      <c r="BE24" s="152">
        <f>Shares!K65</f>
        <v>10.199999999999999</v>
      </c>
      <c r="BF24" s="152">
        <f>Shares!L65</f>
        <v>12.4</v>
      </c>
      <c r="BG24" s="152">
        <f>Shares!M65</f>
        <v>11.8</v>
      </c>
      <c r="BI24" s="146">
        <f>TxRt!B68</f>
        <v>8.1999999999999993</v>
      </c>
      <c r="BJ24" s="146">
        <f>TxRt!B111</f>
        <v>13.5</v>
      </c>
      <c r="BK24" s="146">
        <f>TxRt!B151</f>
        <v>17.8</v>
      </c>
      <c r="BL24" s="146">
        <f>TxRt!B191</f>
        <v>20.7</v>
      </c>
      <c r="BM24" s="146">
        <f>TxRt!B271</f>
        <v>23.1</v>
      </c>
      <c r="BN24" s="146">
        <f>TxRt!B311</f>
        <v>24.8</v>
      </c>
      <c r="BO24" s="146">
        <f>TxRt!B351</f>
        <v>26.7</v>
      </c>
      <c r="BP24" s="146">
        <f>TxRt!B391</f>
        <v>34.4</v>
      </c>
      <c r="BQ24" s="46"/>
      <c r="BR24" s="60">
        <f>Inc!B65</f>
        <v>15500</v>
      </c>
      <c r="BS24" s="60">
        <f>Inc!B105</f>
        <v>36700</v>
      </c>
      <c r="BT24" s="60">
        <f>Inc!B145</f>
        <v>58700</v>
      </c>
      <c r="BU24" s="60">
        <f>Inc!B185</f>
        <v>85300</v>
      </c>
      <c r="BV24" s="60">
        <f>Inc!B265</f>
        <v>116200</v>
      </c>
      <c r="BW24" s="60">
        <f>Inc!B305</f>
        <v>149700</v>
      </c>
      <c r="BX24" s="60">
        <f>Inc!B345</f>
        <v>226500</v>
      </c>
      <c r="BY24" s="60">
        <f>Inc!B385</f>
        <v>875900</v>
      </c>
      <c r="CA24" s="60">
        <f t="shared" si="8"/>
        <v>1270.9999999999998</v>
      </c>
      <c r="CB24" s="60">
        <f t="shared" si="8"/>
        <v>4954.5</v>
      </c>
      <c r="CC24" s="60">
        <f t="shared" si="8"/>
        <v>10448.6</v>
      </c>
      <c r="CD24" s="60">
        <f t="shared" si="8"/>
        <v>17657.099999999999</v>
      </c>
      <c r="CE24" s="60">
        <f t="shared" si="8"/>
        <v>26842.2</v>
      </c>
      <c r="CF24" s="60">
        <f t="shared" si="8"/>
        <v>37125.599999999999</v>
      </c>
      <c r="CG24" s="60">
        <f t="shared" si="8"/>
        <v>60475.5</v>
      </c>
      <c r="CH24" s="60">
        <f t="shared" si="8"/>
        <v>301309.59999999998</v>
      </c>
      <c r="CJ24" s="153">
        <f t="shared" si="23"/>
        <v>23100.424999999996</v>
      </c>
      <c r="CK24" s="153">
        <f t="shared" si="9"/>
        <v>100947.9375</v>
      </c>
      <c r="CL24" s="153">
        <f t="shared" si="9"/>
        <v>205576.20500000002</v>
      </c>
      <c r="CM24" s="153">
        <f t="shared" si="9"/>
        <v>343872.02250000002</v>
      </c>
      <c r="CN24" s="153">
        <f t="shared" si="9"/>
        <v>268422</v>
      </c>
      <c r="CO24" s="153">
        <f t="shared" si="9"/>
        <v>193053.12</v>
      </c>
      <c r="CP24" s="153">
        <f t="shared" si="9"/>
        <v>253997.1</v>
      </c>
      <c r="CQ24" s="153">
        <f t="shared" si="9"/>
        <v>301309.59999999998</v>
      </c>
      <c r="CR24" s="153">
        <f t="shared" si="24"/>
        <v>1690278.4100000001</v>
      </c>
      <c r="CT24" s="403">
        <v>257.8</v>
      </c>
      <c r="CU24" s="276">
        <f>Dem!B65+(DD24/4)</f>
        <v>18.175000000000001</v>
      </c>
      <c r="CV24" s="276">
        <f>Dem!B105+(DD24/4)</f>
        <v>20.375</v>
      </c>
      <c r="CW24" s="276">
        <f>Dem!B145+(DD24/4)</f>
        <v>19.675000000000001</v>
      </c>
      <c r="CX24" s="276">
        <f>Dem!B185+(DD24/4)</f>
        <v>19.475000000000001</v>
      </c>
      <c r="CY24" s="276">
        <f>Dem!B265</f>
        <v>10</v>
      </c>
      <c r="CZ24" s="276">
        <f>Dem!B305</f>
        <v>5.2</v>
      </c>
      <c r="DA24" s="276">
        <f>Dem!B345</f>
        <v>4.2</v>
      </c>
      <c r="DB24" s="276">
        <f>Dem!B385</f>
        <v>1</v>
      </c>
      <c r="DC24" s="275">
        <v>99.1</v>
      </c>
      <c r="DD24" s="46">
        <v>-0.5</v>
      </c>
      <c r="DE24" s="275"/>
      <c r="DF24" s="276">
        <f>Dem!$D65+(DO24/4)</f>
        <v>50.15</v>
      </c>
      <c r="DG24" s="276">
        <f>Dem!$D105+(DO24/4)</f>
        <v>51.35</v>
      </c>
      <c r="DH24" s="276">
        <f>Dem!$D145+(DO24/4)</f>
        <v>51.35</v>
      </c>
      <c r="DI24" s="276">
        <f>Dem!$D185+(DO24/4)</f>
        <v>51.35</v>
      </c>
      <c r="DJ24" s="275">
        <f>Dem!$D265</f>
        <v>25.8</v>
      </c>
      <c r="DK24" s="275">
        <f>Dem!$D305</f>
        <v>12.9</v>
      </c>
      <c r="DL24" s="275">
        <f>Dem!$D345</f>
        <v>10.3</v>
      </c>
      <c r="DM24" s="275">
        <f>Dem!$D385</f>
        <v>2.6</v>
      </c>
      <c r="DN24" s="276">
        <f t="shared" si="25"/>
        <v>257.8</v>
      </c>
      <c r="DO24" s="44">
        <v>-1</v>
      </c>
    </row>
    <row r="25" spans="1:119">
      <c r="A25" s="46">
        <f t="shared" si="26"/>
        <v>1995</v>
      </c>
      <c r="B25" s="141">
        <f t="shared" si="10"/>
        <v>0.13699061186732303</v>
      </c>
      <c r="C25" s="46"/>
      <c r="D25" s="141">
        <f t="shared" si="11"/>
        <v>0.58056841166910711</v>
      </c>
      <c r="E25" s="141">
        <f t="shared" si="12"/>
        <v>0.44357779980178408</v>
      </c>
      <c r="F25" s="46"/>
      <c r="G25" s="157">
        <f t="shared" si="27"/>
        <v>1.8672104792783698E-2</v>
      </c>
      <c r="H25" s="157">
        <f t="shared" si="30"/>
        <v>5.1356046065157646E-2</v>
      </c>
      <c r="I25" s="157">
        <f t="shared" si="31"/>
        <v>7.3563166532679497E-2</v>
      </c>
      <c r="J25" s="157">
        <f t="shared" si="32"/>
        <v>8.1991912263739142E-2</v>
      </c>
      <c r="K25" s="157">
        <f t="shared" si="33"/>
        <v>3.8294113621172972E-2</v>
      </c>
      <c r="L25" s="157">
        <f t="shared" si="34"/>
        <v>1.6128001280682813E-2</v>
      </c>
      <c r="M25" s="157">
        <f t="shared" si="35"/>
        <v>9.3845476180229731E-3</v>
      </c>
      <c r="N25" s="157">
        <f t="shared" si="36"/>
        <v>8.9431366031480055E-4</v>
      </c>
      <c r="O25" s="46"/>
      <c r="P25" s="154">
        <f t="shared" si="28"/>
        <v>1.3278952072163045E-2</v>
      </c>
      <c r="Q25" s="154">
        <f t="shared" si="2"/>
        <v>7.3160587276260541E-2</v>
      </c>
      <c r="R25" s="154">
        <f t="shared" ref="R25:V26" si="37">Q25+AS25/SUM($AQ25:$AX25)</f>
        <v>0.19120774739694452</v>
      </c>
      <c r="S25" s="154">
        <f t="shared" si="37"/>
        <v>0.38887312996566425</v>
      </c>
      <c r="T25" s="154">
        <f t="shared" si="37"/>
        <v>0.54524459761087651</v>
      </c>
      <c r="U25" s="154">
        <f t="shared" si="37"/>
        <v>0.65963535116181116</v>
      </c>
      <c r="V25" s="154">
        <f t="shared" si="37"/>
        <v>0.81113726793704022</v>
      </c>
      <c r="W25" s="162">
        <f t="shared" si="29"/>
        <v>1</v>
      </c>
      <c r="X25" s="154"/>
      <c r="Y25" s="142">
        <f t="shared" si="14"/>
        <v>1.603567888999009E-2</v>
      </c>
      <c r="Z25" s="142">
        <f t="shared" si="15"/>
        <v>4.225966303270566E-2</v>
      </c>
      <c r="AA25" s="142">
        <f t="shared" si="16"/>
        <v>5.7482656095143719E-2</v>
      </c>
      <c r="AB25" s="142">
        <f t="shared" si="17"/>
        <v>6.101090188305254E-2</v>
      </c>
      <c r="AC25" s="142">
        <f t="shared" si="18"/>
        <v>2.7220019821605559E-2</v>
      </c>
      <c r="AD25" s="142">
        <f t="shared" si="19"/>
        <v>1.1066650148662038E-2</v>
      </c>
      <c r="AE25" s="142">
        <f t="shared" si="20"/>
        <v>6.1538156590683849E-3</v>
      </c>
      <c r="AF25" s="142">
        <f t="shared" si="21"/>
        <v>5.5951437066402486E-4</v>
      </c>
      <c r="AH25" s="158">
        <f t="shared" si="22"/>
        <v>3.9643211100099107E-2</v>
      </c>
      <c r="AI25" s="158">
        <f t="shared" si="5"/>
        <v>0.1377601585728444</v>
      </c>
      <c r="AJ25" s="158">
        <f>AI25+BB25/SUM($AZ25:$BG25)</f>
        <v>0.28741328047571851</v>
      </c>
      <c r="AK25" s="158">
        <f>AJ25+BC25/SUM($AZ25:$BG25)</f>
        <v>0.50247770069375619</v>
      </c>
      <c r="AL25" s="158">
        <f>AK25+BD25/SUM($AZ25:$BG25)</f>
        <v>0.65312190287413285</v>
      </c>
      <c r="AM25" s="158">
        <f>AL25+BE25/SUM($AZ25:$BG25)</f>
        <v>0.75421209117938559</v>
      </c>
      <c r="AN25" s="158">
        <f>AM25+BF25/SUM($AZ25:$BG25)</f>
        <v>0.87809712586719524</v>
      </c>
      <c r="AO25" s="158">
        <v>1</v>
      </c>
      <c r="AP25" s="143"/>
      <c r="AQ25" s="143">
        <f t="shared" si="7"/>
        <v>1.3278952072163045E-2</v>
      </c>
      <c r="AR25" s="143">
        <f t="shared" si="7"/>
        <v>5.9881635204097491E-2</v>
      </c>
      <c r="AS25" s="143">
        <f t="shared" si="7"/>
        <v>0.11804716012068399</v>
      </c>
      <c r="AT25" s="143">
        <f t="shared" si="7"/>
        <v>0.19766538256871974</v>
      </c>
      <c r="AU25" s="143">
        <f t="shared" si="7"/>
        <v>0.15637146764521223</v>
      </c>
      <c r="AV25" s="143">
        <f t="shared" si="7"/>
        <v>0.11439075355093468</v>
      </c>
      <c r="AW25" s="143">
        <f t="shared" si="7"/>
        <v>0.15150191677522903</v>
      </c>
      <c r="AX25" s="143">
        <f t="shared" si="7"/>
        <v>0.18886273206295973</v>
      </c>
      <c r="AY25" s="46"/>
      <c r="AZ25" s="152">
        <f>Shares!D66</f>
        <v>4</v>
      </c>
      <c r="BA25" s="152">
        <f>Shares!E66</f>
        <v>9.9</v>
      </c>
      <c r="BB25" s="152">
        <f>Shares!F66</f>
        <v>15.1</v>
      </c>
      <c r="BC25" s="152">
        <f>Shares!G66</f>
        <v>21.7</v>
      </c>
      <c r="BD25" s="152">
        <f>Shares!J66</f>
        <v>15.2</v>
      </c>
      <c r="BE25" s="152">
        <f>Shares!K66</f>
        <v>10.199999999999999</v>
      </c>
      <c r="BF25" s="152">
        <f>Shares!L66</f>
        <v>12.5</v>
      </c>
      <c r="BG25" s="152">
        <f>Shares!M66</f>
        <v>12.3</v>
      </c>
      <c r="BI25" s="146">
        <f>TxRt!B69</f>
        <v>7.6</v>
      </c>
      <c r="BJ25" s="146">
        <f>TxRt!B112</f>
        <v>13.8</v>
      </c>
      <c r="BK25" s="146">
        <f>TxRt!B152</f>
        <v>17.8</v>
      </c>
      <c r="BL25" s="146">
        <f>TxRt!B192</f>
        <v>20.7</v>
      </c>
      <c r="BM25" s="146">
        <f>TxRt!B272</f>
        <v>23.3</v>
      </c>
      <c r="BN25" s="146">
        <f>TxRt!B312</f>
        <v>25.2</v>
      </c>
      <c r="BO25" s="146">
        <f>TxRt!B352</f>
        <v>27.2</v>
      </c>
      <c r="BP25" s="146">
        <f>TxRt!B392</f>
        <v>34.9</v>
      </c>
      <c r="BQ25" s="46"/>
      <c r="BR25" s="60">
        <f>Inc!B66</f>
        <v>16700</v>
      </c>
      <c r="BS25" s="60">
        <f>Inc!B106</f>
        <v>38600</v>
      </c>
      <c r="BT25" s="60">
        <f>Inc!B146</f>
        <v>60800</v>
      </c>
      <c r="BU25" s="60">
        <f>Inc!B186</f>
        <v>87100</v>
      </c>
      <c r="BV25" s="60">
        <f>Inc!B266</f>
        <v>119400</v>
      </c>
      <c r="BW25" s="60">
        <f>Inc!B306</f>
        <v>153900</v>
      </c>
      <c r="BX25" s="60">
        <f>Inc!B346</f>
        <v>238300</v>
      </c>
      <c r="BY25" s="60">
        <f>Inc!B386</f>
        <v>972400</v>
      </c>
      <c r="CA25" s="60">
        <f t="shared" si="8"/>
        <v>1269.2</v>
      </c>
      <c r="CB25" s="60">
        <f t="shared" si="8"/>
        <v>5326.8</v>
      </c>
      <c r="CC25" s="60">
        <f t="shared" si="8"/>
        <v>10822.4</v>
      </c>
      <c r="CD25" s="60">
        <f t="shared" si="8"/>
        <v>18029.7</v>
      </c>
      <c r="CE25" s="60">
        <f t="shared" si="8"/>
        <v>27820.2</v>
      </c>
      <c r="CF25" s="60">
        <f t="shared" si="8"/>
        <v>38782.800000000003</v>
      </c>
      <c r="CG25" s="60">
        <f t="shared" si="8"/>
        <v>64817.599999999999</v>
      </c>
      <c r="CH25" s="60">
        <f t="shared" si="8"/>
        <v>339367.6</v>
      </c>
      <c r="CJ25" s="153">
        <f t="shared" si="23"/>
        <v>23860.959999999995</v>
      </c>
      <c r="CK25" s="153">
        <f t="shared" si="9"/>
        <v>107601.36</v>
      </c>
      <c r="CL25" s="153">
        <f t="shared" si="9"/>
        <v>212119.03999999998</v>
      </c>
      <c r="CM25" s="153">
        <f t="shared" si="9"/>
        <v>355185.09</v>
      </c>
      <c r="CN25" s="153">
        <f t="shared" si="9"/>
        <v>280984.02</v>
      </c>
      <c r="CO25" s="153">
        <f t="shared" si="9"/>
        <v>205548.84</v>
      </c>
      <c r="CP25" s="153">
        <f t="shared" si="9"/>
        <v>272233.92</v>
      </c>
      <c r="CQ25" s="153">
        <f t="shared" si="9"/>
        <v>339367.6</v>
      </c>
      <c r="CR25" s="153">
        <f t="shared" si="24"/>
        <v>1796900.83</v>
      </c>
      <c r="CT25" s="403">
        <v>258.60000000000002</v>
      </c>
      <c r="CU25" s="276">
        <f>Dem!B66+(DD25/4)</f>
        <v>18.799999999999997</v>
      </c>
      <c r="CV25" s="276">
        <f>Dem!B106+(DD25/4)</f>
        <v>20.2</v>
      </c>
      <c r="CW25" s="276">
        <f>Dem!B146+(DD25/4)</f>
        <v>19.599999999999998</v>
      </c>
      <c r="CX25" s="276">
        <f>Dem!B186+(DD25/4)</f>
        <v>19.7</v>
      </c>
      <c r="CY25" s="276">
        <f>Dem!B266</f>
        <v>10.1</v>
      </c>
      <c r="CZ25" s="276">
        <f>Dem!B306</f>
        <v>5.3</v>
      </c>
      <c r="DA25" s="276">
        <f>Dem!B346</f>
        <v>4.2</v>
      </c>
      <c r="DB25" s="276">
        <f>Dem!B386</f>
        <v>1</v>
      </c>
      <c r="DC25" s="275">
        <v>99.7</v>
      </c>
      <c r="DD25" s="46">
        <v>-0.40000000000000568</v>
      </c>
      <c r="DE25" s="275"/>
      <c r="DF25" s="276">
        <f>Dem!$D66+(DO25/4)</f>
        <v>50.675000000000004</v>
      </c>
      <c r="DG25" s="276">
        <f>Dem!$D106+(DO25/4)</f>
        <v>51.475000000000009</v>
      </c>
      <c r="DH25" s="276">
        <f>Dem!$D146+(DO25/4)</f>
        <v>51.475000000000009</v>
      </c>
      <c r="DI25" s="276">
        <f>Dem!$D186+(DO25/4)</f>
        <v>51.475000000000009</v>
      </c>
      <c r="DJ25" s="275">
        <f>Dem!$D266</f>
        <v>25.9</v>
      </c>
      <c r="DK25" s="275">
        <f>Dem!$D306</f>
        <v>12.9</v>
      </c>
      <c r="DL25" s="275">
        <f>Dem!$D346</f>
        <v>10.3</v>
      </c>
      <c r="DM25" s="275">
        <f>Dem!$D386</f>
        <v>2.6</v>
      </c>
      <c r="DN25" s="276">
        <f t="shared" si="25"/>
        <v>258.60000000000002</v>
      </c>
      <c r="DO25" s="44">
        <v>-0.89999999999997726</v>
      </c>
    </row>
    <row r="26" spans="1:119">
      <c r="A26" s="46">
        <f t="shared" si="26"/>
        <v>1996</v>
      </c>
      <c r="B26" s="141">
        <f t="shared" si="10"/>
        <v>0.14179746685912842</v>
      </c>
      <c r="C26" s="46"/>
      <c r="D26" s="141">
        <f t="shared" si="11"/>
        <v>0.5989275562335078</v>
      </c>
      <c r="E26" s="141">
        <f t="shared" si="12"/>
        <v>0.45713008937437938</v>
      </c>
      <c r="F26" s="46"/>
      <c r="G26" s="157">
        <f t="shared" si="27"/>
        <v>1.8890573857078662E-2</v>
      </c>
      <c r="H26" s="157">
        <f t="shared" si="30"/>
        <v>5.209339851635162E-2</v>
      </c>
      <c r="I26" s="157">
        <f t="shared" si="31"/>
        <v>7.5049227296025922E-2</v>
      </c>
      <c r="J26" s="157">
        <f t="shared" si="32"/>
        <v>8.4568632526177773E-2</v>
      </c>
      <c r="K26" s="157">
        <f t="shared" si="33"/>
        <v>4.0157506167025923E-2</v>
      </c>
      <c r="L26" s="157">
        <f t="shared" si="34"/>
        <v>1.7290052776763289E-2</v>
      </c>
      <c r="M26" s="157">
        <f t="shared" si="35"/>
        <v>1.0394206728361631E-2</v>
      </c>
      <c r="N26" s="157">
        <f t="shared" si="36"/>
        <v>1.0201802489691026E-3</v>
      </c>
      <c r="O26" s="46"/>
      <c r="P26" s="154">
        <f t="shared" si="28"/>
        <v>1.1094261429213407E-2</v>
      </c>
      <c r="Q26" s="154">
        <f t="shared" si="2"/>
        <v>6.7971753407270533E-2</v>
      </c>
      <c r="R26" s="154">
        <f t="shared" si="37"/>
        <v>0.18153597363247037</v>
      </c>
      <c r="S26" s="154">
        <f t="shared" si="37"/>
        <v>0.37277770110575204</v>
      </c>
      <c r="T26" s="154">
        <f t="shared" si="37"/>
        <v>0.52407217555372976</v>
      </c>
      <c r="U26" s="154">
        <f t="shared" si="37"/>
        <v>0.63432571337573895</v>
      </c>
      <c r="V26" s="154">
        <f t="shared" si="37"/>
        <v>0.78596395020617982</v>
      </c>
      <c r="W26" s="162">
        <f t="shared" si="29"/>
        <v>1</v>
      </c>
      <c r="X26" s="154"/>
      <c r="Y26" s="142">
        <f t="shared" si="14"/>
        <v>1.6226415094339624E-2</v>
      </c>
      <c r="Z26" s="142">
        <f t="shared" si="15"/>
        <v>4.2919563058589877E-2</v>
      </c>
      <c r="AA26" s="142">
        <f t="shared" si="16"/>
        <v>5.8788480635551144E-2</v>
      </c>
      <c r="AB26" s="142">
        <f t="shared" si="17"/>
        <v>6.3038728897716001E-2</v>
      </c>
      <c r="AC26" s="142">
        <f t="shared" si="18"/>
        <v>2.8495531281032771E-2</v>
      </c>
      <c r="AD26" s="142">
        <f t="shared" si="19"/>
        <v>1.176638530287984E-2</v>
      </c>
      <c r="AE26" s="142">
        <f t="shared" si="20"/>
        <v>6.7046673286991036E-3</v>
      </c>
      <c r="AF26" s="142">
        <f t="shared" si="21"/>
        <v>6.2527308838133066E-4</v>
      </c>
      <c r="AH26" s="158">
        <f t="shared" si="22"/>
        <v>3.7735849056603779E-2</v>
      </c>
      <c r="AI26" s="158">
        <f t="shared" ref="AI26:AN41" si="38">AH26+BA26/SUM($AZ26:$BG26)</f>
        <v>0.13306852035749753</v>
      </c>
      <c r="AJ26" s="158">
        <f t="shared" si="38"/>
        <v>0.27904667328699106</v>
      </c>
      <c r="AK26" s="158">
        <f t="shared" si="38"/>
        <v>0.49056603773584906</v>
      </c>
      <c r="AL26" s="158">
        <f t="shared" si="38"/>
        <v>0.63952333664349559</v>
      </c>
      <c r="AM26" s="158">
        <f t="shared" si="38"/>
        <v>0.73982125124131093</v>
      </c>
      <c r="AN26" s="158">
        <f t="shared" si="38"/>
        <v>0.86494538232373397</v>
      </c>
      <c r="AO26" s="158">
        <v>1</v>
      </c>
      <c r="AP26" s="143"/>
      <c r="AQ26" s="143">
        <f t="shared" si="7"/>
        <v>1.1094261429213407E-2</v>
      </c>
      <c r="AR26" s="143">
        <f t="shared" si="7"/>
        <v>5.6877491978057131E-2</v>
      </c>
      <c r="AS26" s="143">
        <f t="shared" si="7"/>
        <v>0.11356422022519984</v>
      </c>
      <c r="AT26" s="143">
        <f t="shared" si="7"/>
        <v>0.19124172747328166</v>
      </c>
      <c r="AU26" s="143">
        <f t="shared" si="7"/>
        <v>0.15129447444797775</v>
      </c>
      <c r="AV26" s="143">
        <f t="shared" si="7"/>
        <v>0.11025353782200915</v>
      </c>
      <c r="AW26" s="143">
        <f t="shared" si="7"/>
        <v>0.15163823683044086</v>
      </c>
      <c r="AX26" s="143">
        <f t="shared" si="7"/>
        <v>0.21403604979382024</v>
      </c>
      <c r="AY26" s="46"/>
      <c r="AZ26" s="152">
        <f>Shares!D67</f>
        <v>3.8</v>
      </c>
      <c r="BA26" s="152">
        <f>Shares!E67</f>
        <v>9.6</v>
      </c>
      <c r="BB26" s="152">
        <f>Shares!F67</f>
        <v>14.7</v>
      </c>
      <c r="BC26" s="152">
        <f>Shares!G67</f>
        <v>21.3</v>
      </c>
      <c r="BD26" s="152">
        <f>Shares!J67</f>
        <v>15</v>
      </c>
      <c r="BE26" s="152">
        <f>Shares!K67</f>
        <v>10.1</v>
      </c>
      <c r="BF26" s="152">
        <f>Shares!L67</f>
        <v>12.6</v>
      </c>
      <c r="BG26" s="152">
        <f>Shares!M67</f>
        <v>13.6</v>
      </c>
      <c r="BI26" s="146">
        <f>TxRt!B70</f>
        <v>6.8</v>
      </c>
      <c r="BJ26" s="146">
        <f>TxRt!B113</f>
        <v>13.7</v>
      </c>
      <c r="BK26" s="146">
        <f>TxRt!B153</f>
        <v>17.8</v>
      </c>
      <c r="BL26" s="146">
        <f>TxRt!B193</f>
        <v>20.7</v>
      </c>
      <c r="BM26" s="146">
        <f>TxRt!B273</f>
        <v>23.2</v>
      </c>
      <c r="BN26" s="146">
        <f>TxRt!B313</f>
        <v>25.1</v>
      </c>
      <c r="BO26" s="146">
        <f>TxRt!B353</f>
        <v>27.4</v>
      </c>
      <c r="BP26" s="146">
        <f>TxRt!B393</f>
        <v>34.799999999999997</v>
      </c>
      <c r="BQ26" s="46"/>
      <c r="BR26" s="60">
        <f>Inc!B67</f>
        <v>16700</v>
      </c>
      <c r="BS26" s="60">
        <f>Inc!B107</f>
        <v>38600</v>
      </c>
      <c r="BT26" s="60">
        <f>Inc!B147</f>
        <v>61700</v>
      </c>
      <c r="BU26" s="60">
        <f>Inc!B187</f>
        <v>88900</v>
      </c>
      <c r="BV26" s="60">
        <f>Inc!B267</f>
        <v>122000</v>
      </c>
      <c r="BW26" s="60">
        <f>Inc!B307</f>
        <v>159700</v>
      </c>
      <c r="BX26" s="60">
        <f>Inc!B347</f>
        <v>248000</v>
      </c>
      <c r="BY26" s="60">
        <f>Inc!B387</f>
        <v>1077400</v>
      </c>
      <c r="CA26" s="60">
        <f t="shared" si="8"/>
        <v>1135.5999999999999</v>
      </c>
      <c r="CB26" s="60">
        <f t="shared" si="8"/>
        <v>5288.2</v>
      </c>
      <c r="CC26" s="60">
        <f t="shared" si="8"/>
        <v>10982.6</v>
      </c>
      <c r="CD26" s="60">
        <f t="shared" si="8"/>
        <v>18402.3</v>
      </c>
      <c r="CE26" s="60">
        <f t="shared" si="8"/>
        <v>28304</v>
      </c>
      <c r="CF26" s="60">
        <f t="shared" si="8"/>
        <v>40084.699999999997</v>
      </c>
      <c r="CG26" s="60">
        <f t="shared" si="8"/>
        <v>67952</v>
      </c>
      <c r="CH26" s="60">
        <f t="shared" si="8"/>
        <v>374935.2</v>
      </c>
      <c r="CJ26" s="153">
        <f t="shared" si="23"/>
        <v>21377.67</v>
      </c>
      <c r="CK26" s="153">
        <f t="shared" si="9"/>
        <v>109597.94500000001</v>
      </c>
      <c r="CL26" s="153">
        <f t="shared" si="9"/>
        <v>218828.30500000002</v>
      </c>
      <c r="CM26" s="153">
        <f t="shared" si="9"/>
        <v>368506.05750000005</v>
      </c>
      <c r="CN26" s="153">
        <f t="shared" si="9"/>
        <v>291531.2</v>
      </c>
      <c r="CO26" s="153">
        <f t="shared" si="9"/>
        <v>212448.90999999997</v>
      </c>
      <c r="CP26" s="153">
        <f t="shared" si="9"/>
        <v>292193.59999999998</v>
      </c>
      <c r="CQ26" s="153">
        <f t="shared" si="9"/>
        <v>412428.72000000003</v>
      </c>
      <c r="CR26" s="153">
        <f t="shared" si="24"/>
        <v>1926912.4075</v>
      </c>
      <c r="CT26" s="403">
        <v>261.89999999999998</v>
      </c>
      <c r="CU26" s="276">
        <f>Dem!B67+(DD26/4)</f>
        <v>18.824999999999999</v>
      </c>
      <c r="CV26" s="276">
        <f>Dem!B107+(DD26/4)</f>
        <v>20.725000000000001</v>
      </c>
      <c r="CW26" s="276">
        <f>Dem!B147+(DD26/4)</f>
        <v>19.925000000000001</v>
      </c>
      <c r="CX26" s="276">
        <f>Dem!B187+(DD26/4)</f>
        <v>20.025000000000002</v>
      </c>
      <c r="CY26" s="276">
        <f>Dem!B267</f>
        <v>10.3</v>
      </c>
      <c r="CZ26" s="276">
        <f>Dem!B307</f>
        <v>5.3</v>
      </c>
      <c r="DA26" s="276">
        <f>Dem!B347</f>
        <v>4.3</v>
      </c>
      <c r="DB26" s="276">
        <f>Dem!B387</f>
        <v>1.1000000000000001</v>
      </c>
      <c r="DC26" s="275">
        <v>101.1</v>
      </c>
      <c r="DD26" s="46">
        <v>-0.29999999999999716</v>
      </c>
      <c r="DE26" s="275"/>
      <c r="DF26" s="276">
        <f>Dem!$D67+(DO26/4)</f>
        <v>51.300000000000011</v>
      </c>
      <c r="DG26" s="276">
        <f>Dem!$D107+(DO26/4)</f>
        <v>52.20000000000001</v>
      </c>
      <c r="DH26" s="276">
        <f>Dem!$D147+(DO26/4)</f>
        <v>52.20000000000001</v>
      </c>
      <c r="DI26" s="276">
        <f>Dem!$D187+(DO26/4)</f>
        <v>52.20000000000001</v>
      </c>
      <c r="DJ26" s="275">
        <f>Dem!$D267</f>
        <v>26.2</v>
      </c>
      <c r="DK26" s="275">
        <f>Dem!$D307</f>
        <v>13.1</v>
      </c>
      <c r="DL26" s="275">
        <f>Dem!$D347</f>
        <v>10.5</v>
      </c>
      <c r="DM26" s="275">
        <f>Dem!$D387</f>
        <v>2.6</v>
      </c>
      <c r="DN26" s="276">
        <f t="shared" si="25"/>
        <v>261.89999999999998</v>
      </c>
      <c r="DO26" s="44">
        <v>-0.79999999999995453</v>
      </c>
    </row>
    <row r="27" spans="1:119">
      <c r="A27" s="46">
        <f t="shared" si="26"/>
        <v>1997</v>
      </c>
      <c r="B27" s="141">
        <f t="shared" si="10"/>
        <v>0.13210309393962927</v>
      </c>
      <c r="C27" s="46"/>
      <c r="D27" s="141">
        <f t="shared" si="11"/>
        <v>0.59829971757418754</v>
      </c>
      <c r="E27" s="141">
        <f t="shared" si="12"/>
        <v>0.46619662363455827</v>
      </c>
      <c r="F27" s="46"/>
      <c r="G27" s="157">
        <f t="shared" si="27"/>
        <v>1.8819183097520811E-2</v>
      </c>
      <c r="H27" s="157">
        <f t="shared" si="30"/>
        <v>5.1965895991682581E-2</v>
      </c>
      <c r="I27" s="157">
        <f t="shared" si="31"/>
        <v>7.4912304314018602E-2</v>
      </c>
      <c r="J27" s="157">
        <f t="shared" si="32"/>
        <v>8.4730324713651967E-2</v>
      </c>
      <c r="K27" s="157">
        <f t="shared" si="33"/>
        <v>4.0259300193711003E-2</v>
      </c>
      <c r="L27" s="157">
        <f t="shared" si="34"/>
        <v>1.7231355771298092E-2</v>
      </c>
      <c r="M27" s="157">
        <f t="shared" si="35"/>
        <v>1.0240058003831192E-2</v>
      </c>
      <c r="N27" s="157">
        <f t="shared" si="36"/>
        <v>9.9143670137952439E-4</v>
      </c>
      <c r="O27" s="46"/>
      <c r="P27" s="154">
        <f t="shared" si="28"/>
        <v>1.1808169024791915E-2</v>
      </c>
      <c r="Q27" s="154">
        <f t="shared" ref="Q27:V42" si="39">P27+AR27/SUM($AQ27:$AX27)</f>
        <v>6.8532871058382391E-2</v>
      </c>
      <c r="R27" s="154">
        <f t="shared" si="39"/>
        <v>0.18234408580143163</v>
      </c>
      <c r="S27" s="154">
        <f t="shared" si="39"/>
        <v>0.37035266706204889</v>
      </c>
      <c r="T27" s="154">
        <f t="shared" si="39"/>
        <v>0.52446132906373122</v>
      </c>
      <c r="U27" s="154">
        <f t="shared" si="39"/>
        <v>0.63628444008434526</v>
      </c>
      <c r="V27" s="154">
        <f t="shared" si="39"/>
        <v>0.79171265972409544</v>
      </c>
      <c r="W27" s="162">
        <f t="shared" si="29"/>
        <v>1</v>
      </c>
      <c r="X27" s="154"/>
      <c r="Y27" s="142">
        <f t="shared" si="14"/>
        <v>1.6127110228401194E-2</v>
      </c>
      <c r="Z27" s="142">
        <f t="shared" si="15"/>
        <v>4.3018867924528317E-2</v>
      </c>
      <c r="AA27" s="142">
        <f t="shared" si="16"/>
        <v>5.9483614697120171E-2</v>
      </c>
      <c r="AB27" s="142">
        <f t="shared" si="17"/>
        <v>6.4627606752730923E-2</v>
      </c>
      <c r="AC27" s="142">
        <f t="shared" si="18"/>
        <v>2.9637537239324743E-2</v>
      </c>
      <c r="AD27" s="142">
        <f t="shared" si="19"/>
        <v>1.2362214498510432E-2</v>
      </c>
      <c r="AE27" s="142">
        <f t="shared" si="20"/>
        <v>7.1614697120158909E-3</v>
      </c>
      <c r="AF27" s="142">
        <f t="shared" si="21"/>
        <v>6.7989076464746833E-4</v>
      </c>
      <c r="AH27" s="158">
        <f t="shared" si="22"/>
        <v>3.872889771598808E-2</v>
      </c>
      <c r="AI27" s="158">
        <f t="shared" si="38"/>
        <v>0.13108242303872888</v>
      </c>
      <c r="AJ27" s="158">
        <f t="shared" si="38"/>
        <v>0.27408142999006946</v>
      </c>
      <c r="AK27" s="158">
        <f t="shared" si="38"/>
        <v>0.47964250248262158</v>
      </c>
      <c r="AL27" s="158">
        <f t="shared" si="38"/>
        <v>0.62760675273088373</v>
      </c>
      <c r="AM27" s="158">
        <f t="shared" si="38"/>
        <v>0.72790466732869907</v>
      </c>
      <c r="AN27" s="158">
        <f t="shared" si="38"/>
        <v>0.85402184707050643</v>
      </c>
      <c r="AO27" s="158">
        <v>1</v>
      </c>
      <c r="AP27" s="143"/>
      <c r="AQ27" s="143">
        <f t="shared" si="7"/>
        <v>1.1808169024791915E-2</v>
      </c>
      <c r="AR27" s="143">
        <f t="shared" si="7"/>
        <v>5.6724702033590479E-2</v>
      </c>
      <c r="AS27" s="143">
        <f t="shared" si="7"/>
        <v>0.11381121474304924</v>
      </c>
      <c r="AT27" s="143">
        <f t="shared" si="7"/>
        <v>0.18800858126061726</v>
      </c>
      <c r="AU27" s="143">
        <f t="shared" si="7"/>
        <v>0.15410866200168236</v>
      </c>
      <c r="AV27" s="143">
        <f t="shared" si="7"/>
        <v>0.11182311102061401</v>
      </c>
      <c r="AW27" s="143">
        <f t="shared" si="7"/>
        <v>0.15542821963975018</v>
      </c>
      <c r="AX27" s="143">
        <f t="shared" si="7"/>
        <v>0.20828734027590454</v>
      </c>
      <c r="AY27" s="46"/>
      <c r="AZ27" s="152">
        <f>Shares!D68</f>
        <v>3.9</v>
      </c>
      <c r="BA27" s="152">
        <f>Shares!E68</f>
        <v>9.3000000000000007</v>
      </c>
      <c r="BB27" s="152">
        <f>Shares!F68</f>
        <v>14.4</v>
      </c>
      <c r="BC27" s="152">
        <f>Shares!G68</f>
        <v>20.7</v>
      </c>
      <c r="BD27" s="152">
        <f>Shares!J68</f>
        <v>14.9</v>
      </c>
      <c r="BE27" s="152">
        <f>Shares!K68</f>
        <v>10.1</v>
      </c>
      <c r="BF27" s="152">
        <f>Shares!L68</f>
        <v>12.7</v>
      </c>
      <c r="BG27" s="152">
        <f>Shares!M68</f>
        <v>14.7</v>
      </c>
      <c r="BI27" s="146">
        <f>TxRt!B71</f>
        <v>7</v>
      </c>
      <c r="BJ27" s="146">
        <f>TxRt!B114</f>
        <v>14</v>
      </c>
      <c r="BK27" s="146">
        <f>TxRt!B154</f>
        <v>18.100000000000001</v>
      </c>
      <c r="BL27" s="146">
        <f>TxRt!B194</f>
        <v>20.7</v>
      </c>
      <c r="BM27" s="146">
        <f>TxRt!B274</f>
        <v>23.5</v>
      </c>
      <c r="BN27" s="146">
        <f>TxRt!B314</f>
        <v>25.2</v>
      </c>
      <c r="BO27" s="146">
        <f>TxRt!B354</f>
        <v>27.6</v>
      </c>
      <c r="BP27" s="146">
        <f>TxRt!B394</f>
        <v>33.799999999999997</v>
      </c>
      <c r="BQ27" s="46"/>
      <c r="BR27" s="60">
        <f>Inc!B68</f>
        <v>17600</v>
      </c>
      <c r="BS27" s="60">
        <f>Inc!B108</f>
        <v>40000</v>
      </c>
      <c r="BT27" s="60">
        <f>Inc!B148</f>
        <v>63000</v>
      </c>
      <c r="BU27" s="60">
        <f>Inc!B188</f>
        <v>91000</v>
      </c>
      <c r="BV27" s="60">
        <f>Inc!B268</f>
        <v>124900</v>
      </c>
      <c r="BW27" s="60">
        <f>Inc!B308</f>
        <v>165900</v>
      </c>
      <c r="BX27" s="60">
        <f>Inc!B348</f>
        <v>264400</v>
      </c>
      <c r="BY27" s="60">
        <f>Inc!B388</f>
        <v>1244100</v>
      </c>
      <c r="CA27" s="60">
        <f t="shared" si="8"/>
        <v>1232</v>
      </c>
      <c r="CB27" s="60">
        <f t="shared" si="8"/>
        <v>5600</v>
      </c>
      <c r="CC27" s="60">
        <f t="shared" si="8"/>
        <v>11403</v>
      </c>
      <c r="CD27" s="60">
        <f t="shared" si="8"/>
        <v>18837</v>
      </c>
      <c r="CE27" s="60">
        <f t="shared" si="8"/>
        <v>29351.5</v>
      </c>
      <c r="CF27" s="60">
        <f t="shared" si="8"/>
        <v>41806.800000000003</v>
      </c>
      <c r="CG27" s="60">
        <f t="shared" si="8"/>
        <v>72974.399999999994</v>
      </c>
      <c r="CH27" s="60">
        <f t="shared" si="8"/>
        <v>420505.8</v>
      </c>
      <c r="CJ27" s="153">
        <f t="shared" si="23"/>
        <v>23839.200000000001</v>
      </c>
      <c r="CK27" s="153">
        <f t="shared" si="9"/>
        <v>114520.00000000001</v>
      </c>
      <c r="CL27" s="153">
        <f t="shared" si="9"/>
        <v>229770.45</v>
      </c>
      <c r="CM27" s="153">
        <f t="shared" si="9"/>
        <v>379565.55000000005</v>
      </c>
      <c r="CN27" s="153">
        <f t="shared" si="9"/>
        <v>311125.89999999997</v>
      </c>
      <c r="CO27" s="153">
        <f t="shared" si="9"/>
        <v>225756.72000000003</v>
      </c>
      <c r="CP27" s="153">
        <f t="shared" si="9"/>
        <v>313789.92</v>
      </c>
      <c r="CQ27" s="153">
        <f t="shared" si="9"/>
        <v>420505.8</v>
      </c>
      <c r="CR27" s="153">
        <f t="shared" si="24"/>
        <v>2018873.54</v>
      </c>
      <c r="CT27" s="403">
        <v>264.2</v>
      </c>
      <c r="CU27" s="276">
        <f>Dem!B68+(DD27/4)</f>
        <v>19.350000000000001</v>
      </c>
      <c r="CV27" s="276">
        <f>Dem!B108+(DD27/4)</f>
        <v>20.450000000000003</v>
      </c>
      <c r="CW27" s="276">
        <f>Dem!B148+(DD27/4)</f>
        <v>20.150000000000002</v>
      </c>
      <c r="CX27" s="276">
        <f>Dem!B188+(DD27/4)</f>
        <v>20.150000000000002</v>
      </c>
      <c r="CY27" s="276">
        <f>Dem!B268</f>
        <v>10.6</v>
      </c>
      <c r="CZ27" s="276">
        <f>Dem!B308</f>
        <v>5.4</v>
      </c>
      <c r="DA27" s="276">
        <f>Dem!B348</f>
        <v>4.3</v>
      </c>
      <c r="DB27" s="276">
        <f>Dem!B388</f>
        <v>1</v>
      </c>
      <c r="DC27" s="275">
        <v>102.6</v>
      </c>
      <c r="DD27" s="46">
        <v>-0.59999999999999432</v>
      </c>
      <c r="DE27" s="275"/>
      <c r="DF27" s="276">
        <f>Dem!$D68+(DO27/4)</f>
        <v>51.375000000000014</v>
      </c>
      <c r="DG27" s="276">
        <f>Dem!$D108+(DO27/4)</f>
        <v>52.475000000000009</v>
      </c>
      <c r="DH27" s="276">
        <f>Dem!$D148+(DO27/4)</f>
        <v>52.475000000000009</v>
      </c>
      <c r="DI27" s="276">
        <f>Dem!$D188+(DO27/4)</f>
        <v>52.475000000000009</v>
      </c>
      <c r="DJ27" s="275">
        <f>Dem!$D268</f>
        <v>26.4</v>
      </c>
      <c r="DK27" s="275">
        <f>Dem!$D308</f>
        <v>13.2</v>
      </c>
      <c r="DL27" s="275">
        <f>Dem!$D348</f>
        <v>10.6</v>
      </c>
      <c r="DM27" s="275">
        <f>Dem!$D388</f>
        <v>2.6</v>
      </c>
      <c r="DN27" s="276">
        <f t="shared" si="25"/>
        <v>264.2</v>
      </c>
      <c r="DO27" s="44">
        <v>-1.2999999999999545</v>
      </c>
    </row>
    <row r="28" spans="1:119">
      <c r="A28" s="46">
        <f t="shared" si="26"/>
        <v>1998</v>
      </c>
      <c r="B28" s="141">
        <f t="shared" si="10"/>
        <v>0.13435294695182942</v>
      </c>
      <c r="C28" s="46"/>
      <c r="D28" s="141">
        <f t="shared" si="11"/>
        <v>0.60538571755758908</v>
      </c>
      <c r="E28" s="141">
        <f t="shared" si="12"/>
        <v>0.47103277060575965</v>
      </c>
      <c r="F28" s="46"/>
      <c r="G28" s="157">
        <f t="shared" si="27"/>
        <v>1.8786982344985673E-2</v>
      </c>
      <c r="H28" s="157">
        <f t="shared" si="30"/>
        <v>5.2138812493785686E-2</v>
      </c>
      <c r="I28" s="157">
        <f t="shared" si="31"/>
        <v>7.5721450588041528E-2</v>
      </c>
      <c r="J28" s="157">
        <f t="shared" si="32"/>
        <v>8.5986015032350649E-2</v>
      </c>
      <c r="K28" s="157">
        <f t="shared" si="33"/>
        <v>4.0947484113020238E-2</v>
      </c>
      <c r="L28" s="157">
        <f t="shared" si="34"/>
        <v>1.7573831616944768E-2</v>
      </c>
      <c r="M28" s="157">
        <f t="shared" si="35"/>
        <v>1.0511296185126673E-2</v>
      </c>
      <c r="N28" s="157">
        <f t="shared" si="36"/>
        <v>1.0269864045392818E-3</v>
      </c>
      <c r="O28" s="46"/>
      <c r="P28" s="154">
        <f t="shared" si="28"/>
        <v>1.2130176550143323E-2</v>
      </c>
      <c r="Q28" s="154">
        <f t="shared" si="39"/>
        <v>6.6481698511999976E-2</v>
      </c>
      <c r="R28" s="154">
        <f t="shared" si="39"/>
        <v>0.17630379560758491</v>
      </c>
      <c r="S28" s="154">
        <f t="shared" si="39"/>
        <v>0.36383605406890873</v>
      </c>
      <c r="T28" s="154">
        <f t="shared" si="39"/>
        <v>0.51721426367068668</v>
      </c>
      <c r="U28" s="154">
        <f t="shared" si="39"/>
        <v>0.62983247165152267</v>
      </c>
      <c r="V28" s="154">
        <f t="shared" si="39"/>
        <v>0.78460271909214385</v>
      </c>
      <c r="W28" s="162">
        <f t="shared" si="29"/>
        <v>1</v>
      </c>
      <c r="X28" s="154"/>
      <c r="Y28" s="142">
        <f t="shared" si="14"/>
        <v>1.602780536246276E-2</v>
      </c>
      <c r="Z28" s="142">
        <f t="shared" si="15"/>
        <v>4.301886792452831E-2</v>
      </c>
      <c r="AA28" s="142">
        <f t="shared" si="16"/>
        <v>5.9880834160873891E-2</v>
      </c>
      <c r="AB28" s="142">
        <f t="shared" si="17"/>
        <v>6.5422045680238336E-2</v>
      </c>
      <c r="AC28" s="142">
        <f t="shared" si="18"/>
        <v>3.0233366434955312E-2</v>
      </c>
      <c r="AD28" s="142">
        <f t="shared" si="19"/>
        <v>1.2734607745779543E-2</v>
      </c>
      <c r="AE28" s="142">
        <f t="shared" si="20"/>
        <v>7.4792452830188651E-3</v>
      </c>
      <c r="AF28" s="142">
        <f t="shared" si="21"/>
        <v>7.196127110228412E-4</v>
      </c>
      <c r="AH28" s="158">
        <f t="shared" si="22"/>
        <v>3.9721946375372394E-2</v>
      </c>
      <c r="AI28" s="158">
        <f t="shared" si="38"/>
        <v>0.13008937437934459</v>
      </c>
      <c r="AJ28" s="158">
        <f t="shared" si="38"/>
        <v>0.27110228401191661</v>
      </c>
      <c r="AK28" s="158">
        <f t="shared" si="38"/>
        <v>0.47467725918570014</v>
      </c>
      <c r="AL28" s="158">
        <f t="shared" si="38"/>
        <v>0.62065541211519371</v>
      </c>
      <c r="AM28" s="158">
        <f t="shared" si="38"/>
        <v>0.71996027805362472</v>
      </c>
      <c r="AN28" s="158">
        <f t="shared" si="38"/>
        <v>0.84607745779543209</v>
      </c>
      <c r="AO28" s="158">
        <v>1</v>
      </c>
      <c r="AP28" s="143"/>
      <c r="AQ28" s="143">
        <f t="shared" si="7"/>
        <v>1.2130176550143323E-2</v>
      </c>
      <c r="AR28" s="143">
        <f t="shared" si="7"/>
        <v>5.435152196185665E-2</v>
      </c>
      <c r="AS28" s="143">
        <f t="shared" si="7"/>
        <v>0.10982209709558494</v>
      </c>
      <c r="AT28" s="143">
        <f t="shared" si="7"/>
        <v>0.18753225846132379</v>
      </c>
      <c r="AU28" s="143">
        <f t="shared" si="7"/>
        <v>0.15337820960177798</v>
      </c>
      <c r="AV28" s="143">
        <f t="shared" si="7"/>
        <v>0.11261820798083597</v>
      </c>
      <c r="AW28" s="143">
        <f t="shared" si="7"/>
        <v>0.15477024744062112</v>
      </c>
      <c r="AX28" s="143">
        <f t="shared" si="7"/>
        <v>0.21539728090785626</v>
      </c>
      <c r="AY28" s="46"/>
      <c r="AZ28" s="152">
        <f>Shares!D69</f>
        <v>4</v>
      </c>
      <c r="BA28" s="152">
        <f>Shares!E69</f>
        <v>9.1</v>
      </c>
      <c r="BB28" s="152">
        <f>Shares!F69</f>
        <v>14.2</v>
      </c>
      <c r="BC28" s="152">
        <f>Shares!G69</f>
        <v>20.5</v>
      </c>
      <c r="BD28" s="152">
        <f>Shares!J69</f>
        <v>14.7</v>
      </c>
      <c r="BE28" s="152">
        <f>Shares!K69</f>
        <v>10</v>
      </c>
      <c r="BF28" s="152">
        <f>Shares!L69</f>
        <v>12.7</v>
      </c>
      <c r="BG28" s="152">
        <f>Shares!M69</f>
        <v>15.5</v>
      </c>
      <c r="BI28" s="146">
        <f>TxRt!B72</f>
        <v>6.9</v>
      </c>
      <c r="BJ28" s="146">
        <f>TxRt!B115</f>
        <v>13.4</v>
      </c>
      <c r="BK28" s="146">
        <f>TxRt!B155</f>
        <v>17.399999999999999</v>
      </c>
      <c r="BL28" s="146">
        <f>TxRt!B195</f>
        <v>20.6</v>
      </c>
      <c r="BM28" s="146">
        <f>TxRt!B275</f>
        <v>23.4</v>
      </c>
      <c r="BN28" s="146">
        <f>TxRt!B315</f>
        <v>25.2</v>
      </c>
      <c r="BO28" s="146">
        <f>TxRt!B355</f>
        <v>27.4</v>
      </c>
      <c r="BP28" s="146">
        <f>TxRt!B395</f>
        <v>32.4</v>
      </c>
      <c r="BQ28" s="46"/>
      <c r="BR28" s="60">
        <f>Inc!B69</f>
        <v>18800</v>
      </c>
      <c r="BS28" s="60">
        <f>Inc!B109</f>
        <v>41900</v>
      </c>
      <c r="BT28" s="60">
        <f>Inc!B149</f>
        <v>65200</v>
      </c>
      <c r="BU28" s="60">
        <f>Inc!B189</f>
        <v>94500</v>
      </c>
      <c r="BV28" s="60">
        <f>Inc!B269</f>
        <v>130200</v>
      </c>
      <c r="BW28" s="60">
        <f>Inc!B309</f>
        <v>172700</v>
      </c>
      <c r="BX28" s="60">
        <f>Inc!B349</f>
        <v>279200</v>
      </c>
      <c r="BY28" s="60">
        <f>Inc!B389</f>
        <v>1413000</v>
      </c>
      <c r="CA28" s="60">
        <f t="shared" si="8"/>
        <v>1297.2</v>
      </c>
      <c r="CB28" s="60">
        <f t="shared" si="8"/>
        <v>5614.6</v>
      </c>
      <c r="CC28" s="60">
        <f t="shared" si="8"/>
        <v>11344.8</v>
      </c>
      <c r="CD28" s="60">
        <f t="shared" si="8"/>
        <v>19467.000000000004</v>
      </c>
      <c r="CE28" s="60">
        <f t="shared" si="8"/>
        <v>30466.799999999999</v>
      </c>
      <c r="CF28" s="60">
        <f t="shared" si="8"/>
        <v>43520.4</v>
      </c>
      <c r="CG28" s="60">
        <f t="shared" si="8"/>
        <v>76500.800000000003</v>
      </c>
      <c r="CH28" s="60">
        <f t="shared" si="8"/>
        <v>457812</v>
      </c>
      <c r="CJ28" s="153">
        <f t="shared" si="23"/>
        <v>25781.850000000002</v>
      </c>
      <c r="CK28" s="153">
        <f t="shared" si="9"/>
        <v>115520.395</v>
      </c>
      <c r="CL28" s="153">
        <f t="shared" si="9"/>
        <v>233419.25999999998</v>
      </c>
      <c r="CM28" s="153">
        <f t="shared" si="9"/>
        <v>398586.82500000013</v>
      </c>
      <c r="CN28" s="153">
        <f t="shared" si="9"/>
        <v>325994.75999999995</v>
      </c>
      <c r="CO28" s="153">
        <f t="shared" si="9"/>
        <v>239362.2</v>
      </c>
      <c r="CP28" s="153">
        <f t="shared" si="9"/>
        <v>328953.44</v>
      </c>
      <c r="CQ28" s="153">
        <f t="shared" si="9"/>
        <v>457812</v>
      </c>
      <c r="CR28" s="153">
        <f t="shared" si="24"/>
        <v>2125430.73</v>
      </c>
      <c r="CT28" s="403">
        <v>266.3</v>
      </c>
      <c r="CU28" s="276">
        <f>Dem!B69+(DD28/4)</f>
        <v>19.875</v>
      </c>
      <c r="CV28" s="276">
        <f>Dem!B109+(DD28/4)</f>
        <v>20.574999999999999</v>
      </c>
      <c r="CW28" s="276">
        <f>Dem!B149+(DD28/4)</f>
        <v>20.574999999999999</v>
      </c>
      <c r="CX28" s="276">
        <f>Dem!B189+(DD28/4)</f>
        <v>20.475000000000001</v>
      </c>
      <c r="CY28" s="276">
        <f>Dem!B269</f>
        <v>10.7</v>
      </c>
      <c r="CZ28" s="276">
        <f>Dem!B309</f>
        <v>5.5</v>
      </c>
      <c r="DA28" s="276">
        <f>Dem!B349</f>
        <v>4.3</v>
      </c>
      <c r="DB28" s="276">
        <f>Dem!B389</f>
        <v>1</v>
      </c>
      <c r="DC28" s="275">
        <v>104</v>
      </c>
      <c r="DD28" s="46">
        <v>-0.5</v>
      </c>
      <c r="DE28" s="275"/>
      <c r="DF28" s="276">
        <f>Dem!$D69+(DO28/4)</f>
        <v>51.975000000000009</v>
      </c>
      <c r="DG28" s="276">
        <f>Dem!$D109+(DO28/4)</f>
        <v>53.075000000000003</v>
      </c>
      <c r="DH28" s="276">
        <f>Dem!$D149+(DO28/4)</f>
        <v>53.075000000000003</v>
      </c>
      <c r="DI28" s="276">
        <f>Dem!$D189+(DO28/4)</f>
        <v>53.075000000000003</v>
      </c>
      <c r="DJ28" s="275">
        <f>Dem!$D269</f>
        <v>26.6</v>
      </c>
      <c r="DK28" s="275">
        <f>Dem!$D309</f>
        <v>13.3</v>
      </c>
      <c r="DL28" s="275">
        <f>Dem!$D349</f>
        <v>10.7</v>
      </c>
      <c r="DM28" s="275">
        <f>Dem!$D389</f>
        <v>2.7</v>
      </c>
      <c r="DN28" s="276">
        <f t="shared" si="25"/>
        <v>266.3</v>
      </c>
      <c r="DO28" s="44">
        <v>-0.89999999999997726</v>
      </c>
    </row>
    <row r="29" spans="1:119">
      <c r="A29" s="46">
        <f t="shared" si="26"/>
        <v>1999</v>
      </c>
      <c r="B29" s="141">
        <f t="shared" si="10"/>
        <v>0.13933598846368761</v>
      </c>
      <c r="C29" s="46"/>
      <c r="D29" s="141">
        <f t="shared" si="11"/>
        <v>0.61921670416945318</v>
      </c>
      <c r="E29" s="141">
        <f t="shared" si="12"/>
        <v>0.47988071570576557</v>
      </c>
      <c r="F29" s="46"/>
      <c r="G29" s="157">
        <f t="shared" si="27"/>
        <v>1.8771272187508077E-2</v>
      </c>
      <c r="H29" s="157">
        <f t="shared" si="30"/>
        <v>5.2262105009417574E-2</v>
      </c>
      <c r="I29" s="157">
        <f t="shared" si="31"/>
        <v>7.6553201980301647E-2</v>
      </c>
      <c r="J29" s="157">
        <f t="shared" si="32"/>
        <v>8.8119537990547975E-2</v>
      </c>
      <c r="K29" s="157">
        <f t="shared" si="33"/>
        <v>4.2655778041537418E-2</v>
      </c>
      <c r="L29" s="157">
        <f t="shared" si="34"/>
        <v>1.8659345972446808E-2</v>
      </c>
      <c r="M29" s="157">
        <f t="shared" si="35"/>
        <v>1.1445008587928455E-2</v>
      </c>
      <c r="N29" s="157">
        <f t="shared" si="36"/>
        <v>1.1421023150387044E-3</v>
      </c>
      <c r="O29" s="46"/>
      <c r="P29" s="154">
        <f t="shared" si="28"/>
        <v>1.2287278124919246E-2</v>
      </c>
      <c r="Q29" s="154">
        <f t="shared" si="39"/>
        <v>6.5091671780905094E-2</v>
      </c>
      <c r="R29" s="154">
        <f t="shared" si="39"/>
        <v>0.16937630841607848</v>
      </c>
      <c r="S29" s="154">
        <f t="shared" si="39"/>
        <v>0.34942831167844196</v>
      </c>
      <c r="T29" s="154">
        <f t="shared" si="39"/>
        <v>0.49745612749080986</v>
      </c>
      <c r="U29" s="154">
        <f t="shared" si="39"/>
        <v>0.60617003361131794</v>
      </c>
      <c r="V29" s="154">
        <f t="shared" si="39"/>
        <v>0.76157953699225944</v>
      </c>
      <c r="W29" s="162">
        <f t="shared" si="29"/>
        <v>1</v>
      </c>
      <c r="X29" s="154"/>
      <c r="Y29" s="142">
        <f t="shared" si="14"/>
        <v>1.602385685884692E-2</v>
      </c>
      <c r="Z29" s="142">
        <f t="shared" si="15"/>
        <v>4.3200795228628242E-2</v>
      </c>
      <c r="AA29" s="142">
        <f t="shared" si="16"/>
        <v>6.0636182902584504E-2</v>
      </c>
      <c r="AB29" s="142">
        <f t="shared" si="17"/>
        <v>6.6838966202783318E-2</v>
      </c>
      <c r="AC29" s="142">
        <f t="shared" si="18"/>
        <v>3.1222664015904591E-2</v>
      </c>
      <c r="AD29" s="142">
        <f t="shared" si="19"/>
        <v>1.332256461232605E-2</v>
      </c>
      <c r="AE29" s="142">
        <f t="shared" si="20"/>
        <v>7.9252485089463271E-3</v>
      </c>
      <c r="AF29" s="142">
        <f t="shared" si="21"/>
        <v>7.7007952286282434E-4</v>
      </c>
      <c r="AH29" s="158">
        <f t="shared" si="22"/>
        <v>3.9761431411530809E-2</v>
      </c>
      <c r="AI29" s="158">
        <f t="shared" si="38"/>
        <v>0.12823061630218685</v>
      </c>
      <c r="AJ29" s="158">
        <f t="shared" si="38"/>
        <v>0.26540755467196819</v>
      </c>
      <c r="AK29" s="158">
        <f t="shared" si="38"/>
        <v>0.46620278330019882</v>
      </c>
      <c r="AL29" s="158">
        <f t="shared" si="38"/>
        <v>0.60934393638170969</v>
      </c>
      <c r="AM29" s="158">
        <f t="shared" si="38"/>
        <v>0.70775347912524844</v>
      </c>
      <c r="AN29" s="158">
        <f t="shared" si="38"/>
        <v>0.83598409542743535</v>
      </c>
      <c r="AO29" s="158">
        <v>1</v>
      </c>
      <c r="AP29" s="143"/>
      <c r="AQ29" s="143">
        <f t="shared" si="7"/>
        <v>1.2287278124919246E-2</v>
      </c>
      <c r="AR29" s="143">
        <f t="shared" si="7"/>
        <v>5.2804393655985854E-2</v>
      </c>
      <c r="AS29" s="143">
        <f t="shared" si="7"/>
        <v>0.10428463663517337</v>
      </c>
      <c r="AT29" s="143">
        <f t="shared" si="7"/>
        <v>0.18005200326236348</v>
      </c>
      <c r="AU29" s="143">
        <f t="shared" si="7"/>
        <v>0.1480278158123679</v>
      </c>
      <c r="AV29" s="143">
        <f t="shared" si="7"/>
        <v>0.10871390612050806</v>
      </c>
      <c r="AW29" s="143">
        <f t="shared" si="7"/>
        <v>0.1554095033809415</v>
      </c>
      <c r="AX29" s="143">
        <f t="shared" si="7"/>
        <v>0.23842046300774061</v>
      </c>
      <c r="AY29" s="46"/>
      <c r="AZ29" s="152">
        <f>Shares!D70</f>
        <v>4</v>
      </c>
      <c r="BA29" s="152">
        <f>Shares!E70</f>
        <v>8.9</v>
      </c>
      <c r="BB29" s="152">
        <f>Shares!F70</f>
        <v>13.8</v>
      </c>
      <c r="BC29" s="152">
        <f>Shares!G70</f>
        <v>20.2</v>
      </c>
      <c r="BD29" s="152">
        <f>Shares!J70</f>
        <v>14.4</v>
      </c>
      <c r="BE29" s="152">
        <f>Shares!K70</f>
        <v>9.9</v>
      </c>
      <c r="BF29" s="152">
        <f>Shares!L70</f>
        <v>12.9</v>
      </c>
      <c r="BG29" s="152">
        <f>Shares!M70</f>
        <v>16.5</v>
      </c>
      <c r="BI29" s="146">
        <f>TxRt!B73</f>
        <v>7.2</v>
      </c>
      <c r="BJ29" s="146">
        <f>TxRt!B116</f>
        <v>13.7</v>
      </c>
      <c r="BK29" s="146">
        <f>TxRt!B156</f>
        <v>17.5</v>
      </c>
      <c r="BL29" s="146">
        <f>TxRt!B196</f>
        <v>20.7</v>
      </c>
      <c r="BM29" s="146">
        <f>TxRt!B276</f>
        <v>23.7</v>
      </c>
      <c r="BN29" s="146">
        <f>TxRt!B316</f>
        <v>25.5</v>
      </c>
      <c r="BO29" s="146">
        <f>TxRt!B356</f>
        <v>28</v>
      </c>
      <c r="BP29" s="146">
        <f>TxRt!B396</f>
        <v>32.6</v>
      </c>
      <c r="BQ29" s="46"/>
      <c r="BR29" s="60">
        <f>Inc!B70</f>
        <v>19500</v>
      </c>
      <c r="BS29" s="60">
        <f>Inc!B110</f>
        <v>43400</v>
      </c>
      <c r="BT29" s="60">
        <f>Inc!B150</f>
        <v>67100</v>
      </c>
      <c r="BU29" s="60">
        <f>Inc!B190</f>
        <v>97000</v>
      </c>
      <c r="BV29" s="60">
        <f>Inc!B270</f>
        <v>135400</v>
      </c>
      <c r="BW29" s="60">
        <f>Inc!B310</f>
        <v>179800</v>
      </c>
      <c r="BX29" s="60">
        <f>Inc!B350</f>
        <v>292600</v>
      </c>
      <c r="BY29" s="60">
        <f>Inc!B390</f>
        <v>1542200</v>
      </c>
      <c r="CA29" s="60">
        <f t="shared" si="8"/>
        <v>1404</v>
      </c>
      <c r="CB29" s="60">
        <f t="shared" si="8"/>
        <v>5945.8</v>
      </c>
      <c r="CC29" s="60">
        <f t="shared" si="8"/>
        <v>11742.5</v>
      </c>
      <c r="CD29" s="60">
        <f t="shared" si="8"/>
        <v>20079</v>
      </c>
      <c r="CE29" s="60">
        <f t="shared" si="8"/>
        <v>32089.8</v>
      </c>
      <c r="CF29" s="60">
        <f t="shared" si="8"/>
        <v>45849</v>
      </c>
      <c r="CG29" s="60">
        <f t="shared" si="8"/>
        <v>81928</v>
      </c>
      <c r="CH29" s="60">
        <f t="shared" si="8"/>
        <v>502757.2</v>
      </c>
      <c r="CJ29" s="153">
        <f t="shared" si="23"/>
        <v>28501.199999999997</v>
      </c>
      <c r="CK29" s="153">
        <f t="shared" si="9"/>
        <v>122483.48</v>
      </c>
      <c r="CL29" s="153">
        <f t="shared" si="9"/>
        <v>241895.49999999997</v>
      </c>
      <c r="CM29" s="153">
        <f t="shared" si="9"/>
        <v>417643.19999999995</v>
      </c>
      <c r="CN29" s="153">
        <f t="shared" si="9"/>
        <v>343360.86</v>
      </c>
      <c r="CO29" s="153">
        <f t="shared" si="9"/>
        <v>252169.5</v>
      </c>
      <c r="CP29" s="153">
        <f t="shared" si="9"/>
        <v>360483.2</v>
      </c>
      <c r="CQ29" s="153">
        <f t="shared" si="9"/>
        <v>553032.92000000004</v>
      </c>
      <c r="CR29" s="153">
        <f t="shared" si="24"/>
        <v>2319569.86</v>
      </c>
      <c r="CT29" s="403">
        <v>269.60000000000002</v>
      </c>
      <c r="CU29" s="276">
        <f>Dem!B70+(DD29/4)</f>
        <v>20.299999999999997</v>
      </c>
      <c r="CV29" s="276">
        <f>Dem!B110+(DD29/4)</f>
        <v>20.599999999999998</v>
      </c>
      <c r="CW29" s="276">
        <f>Dem!B150+(DD29/4)</f>
        <v>20.599999999999998</v>
      </c>
      <c r="CX29" s="276">
        <f>Dem!B190+(DD29/4)</f>
        <v>20.799999999999997</v>
      </c>
      <c r="CY29" s="276">
        <f>Dem!B270</f>
        <v>10.7</v>
      </c>
      <c r="CZ29" s="276">
        <f>Dem!B310</f>
        <v>5.5</v>
      </c>
      <c r="DA29" s="276">
        <f>Dem!B350</f>
        <v>4.4000000000000004</v>
      </c>
      <c r="DB29" s="276">
        <f>Dem!B390</f>
        <v>1.1000000000000001</v>
      </c>
      <c r="DC29" s="275">
        <v>104.8</v>
      </c>
      <c r="DD29" s="46">
        <v>-0.40000000000000568</v>
      </c>
      <c r="DE29" s="275"/>
      <c r="DF29" s="276">
        <f>Dem!$D70+(DO29/4)</f>
        <v>52.649999999999984</v>
      </c>
      <c r="DG29" s="276">
        <f>Dem!$D110+(DO29/4)</f>
        <v>53.649999999999984</v>
      </c>
      <c r="DH29" s="276">
        <f>Dem!$D150+(DO29/4)</f>
        <v>53.649999999999984</v>
      </c>
      <c r="DI29" s="276">
        <f>Dem!$D190+(DO29/4)</f>
        <v>53.649999999999984</v>
      </c>
      <c r="DJ29" s="275">
        <f>Dem!$D270</f>
        <v>27</v>
      </c>
      <c r="DK29" s="275">
        <f>Dem!$D310</f>
        <v>13.5</v>
      </c>
      <c r="DL29" s="275">
        <f>Dem!$D350</f>
        <v>10.8</v>
      </c>
      <c r="DM29" s="275">
        <f>Dem!$D390</f>
        <v>2.7</v>
      </c>
      <c r="DN29" s="276">
        <f t="shared" si="25"/>
        <v>269.60000000000002</v>
      </c>
      <c r="DO29" s="44">
        <v>-1.0000000000000568</v>
      </c>
    </row>
    <row r="30" spans="1:119">
      <c r="A30" s="46">
        <f t="shared" si="26"/>
        <v>2000</v>
      </c>
      <c r="B30" s="141">
        <f t="shared" si="10"/>
        <v>0.13841139156358273</v>
      </c>
      <c r="C30" s="46"/>
      <c r="D30" s="141">
        <f t="shared" si="11"/>
        <v>0.62738753470473596</v>
      </c>
      <c r="E30" s="141">
        <f t="shared" si="12"/>
        <v>0.48897614314115323</v>
      </c>
      <c r="F30" s="46"/>
      <c r="G30" s="157">
        <f t="shared" si="27"/>
        <v>1.8916179979907105E-2</v>
      </c>
      <c r="H30" s="157">
        <f t="shared" si="30"/>
        <v>5.2654190445709341E-2</v>
      </c>
      <c r="I30" s="157">
        <f t="shared" si="31"/>
        <v>7.7302453040661995E-2</v>
      </c>
      <c r="J30" s="157">
        <f t="shared" si="32"/>
        <v>8.9329257813127227E-2</v>
      </c>
      <c r="K30" s="157">
        <f t="shared" si="33"/>
        <v>4.3436327722332031E-2</v>
      </c>
      <c r="L30" s="157">
        <f t="shared" si="34"/>
        <v>1.9109361805120791E-2</v>
      </c>
      <c r="M30" s="157">
        <f t="shared" si="35"/>
        <v>1.1769981516971048E-2</v>
      </c>
      <c r="N30" s="157">
        <f t="shared" si="36"/>
        <v>1.1760150285384352E-3</v>
      </c>
      <c r="O30" s="46"/>
      <c r="P30" s="154">
        <f t="shared" si="28"/>
        <v>1.0838200200928965E-2</v>
      </c>
      <c r="Q30" s="154">
        <f t="shared" si="39"/>
        <v>6.2619895341977719E-2</v>
      </c>
      <c r="R30" s="154">
        <f t="shared" si="39"/>
        <v>0.16435557425140246</v>
      </c>
      <c r="S30" s="154">
        <f t="shared" si="39"/>
        <v>0.34235184761732551</v>
      </c>
      <c r="T30" s="154">
        <f t="shared" si="39"/>
        <v>0.48892159793603407</v>
      </c>
      <c r="U30" s="154">
        <f t="shared" si="39"/>
        <v>0.59670392985913445</v>
      </c>
      <c r="V30" s="154">
        <f t="shared" si="39"/>
        <v>0.75479699429231328</v>
      </c>
      <c r="W30" s="162">
        <f t="shared" si="29"/>
        <v>1</v>
      </c>
      <c r="X30" s="154"/>
      <c r="Y30" s="142">
        <f t="shared" si="14"/>
        <v>1.6222664015904577E-2</v>
      </c>
      <c r="Z30" s="142">
        <f t="shared" si="15"/>
        <v>4.3697813121272383E-2</v>
      </c>
      <c r="AA30" s="142">
        <f t="shared" si="16"/>
        <v>6.1431411530815105E-2</v>
      </c>
      <c r="AB30" s="142">
        <f t="shared" si="17"/>
        <v>6.8131212723658074E-2</v>
      </c>
      <c r="AC30" s="142">
        <f t="shared" si="18"/>
        <v>3.206759443339962E-2</v>
      </c>
      <c r="AD30" s="142">
        <f t="shared" si="19"/>
        <v>1.3794731610337979E-2</v>
      </c>
      <c r="AE30" s="142">
        <f t="shared" si="20"/>
        <v>8.3228628230616365E-3</v>
      </c>
      <c r="AF30" s="142">
        <f t="shared" si="21"/>
        <v>8.197813121272379E-4</v>
      </c>
      <c r="AH30" s="158">
        <f t="shared" si="22"/>
        <v>3.7773359840954271E-2</v>
      </c>
      <c r="AI30" s="158">
        <f t="shared" si="38"/>
        <v>0.12524850894632206</v>
      </c>
      <c r="AJ30" s="158">
        <f t="shared" si="38"/>
        <v>0.26043737574552683</v>
      </c>
      <c r="AK30" s="158">
        <f t="shared" si="38"/>
        <v>0.45825049701789261</v>
      </c>
      <c r="AL30" s="158">
        <f t="shared" si="38"/>
        <v>0.6003976143141152</v>
      </c>
      <c r="AM30" s="158">
        <f t="shared" si="38"/>
        <v>0.69781312127236572</v>
      </c>
      <c r="AN30" s="158">
        <f t="shared" si="38"/>
        <v>0.82604373757455263</v>
      </c>
      <c r="AO30" s="158">
        <v>1</v>
      </c>
      <c r="AP30" s="143"/>
      <c r="AQ30" s="143">
        <f t="shared" si="7"/>
        <v>1.0838200200928965E-2</v>
      </c>
      <c r="AR30" s="143">
        <f t="shared" si="7"/>
        <v>5.1781695141048759E-2</v>
      </c>
      <c r="AS30" s="143">
        <f t="shared" si="7"/>
        <v>0.10173567890942474</v>
      </c>
      <c r="AT30" s="143">
        <f t="shared" si="7"/>
        <v>0.17799627336592305</v>
      </c>
      <c r="AU30" s="143">
        <f t="shared" si="7"/>
        <v>0.14656975031870859</v>
      </c>
      <c r="AV30" s="143">
        <f t="shared" si="7"/>
        <v>0.10778233192310038</v>
      </c>
      <c r="AW30" s="143">
        <f t="shared" si="7"/>
        <v>0.1580930644331788</v>
      </c>
      <c r="AX30" s="143">
        <f t="shared" si="7"/>
        <v>0.2452030057076868</v>
      </c>
      <c r="AY30" s="46"/>
      <c r="AZ30" s="152">
        <f>Shares!D71</f>
        <v>3.8</v>
      </c>
      <c r="BA30" s="152">
        <f>Shares!E71</f>
        <v>8.8000000000000007</v>
      </c>
      <c r="BB30" s="152">
        <f>Shares!F71</f>
        <v>13.6</v>
      </c>
      <c r="BC30" s="152">
        <f>Shares!G71</f>
        <v>19.899999999999999</v>
      </c>
      <c r="BD30" s="152">
        <f>Shares!J71</f>
        <v>14.3</v>
      </c>
      <c r="BE30" s="152">
        <f>Shares!K71</f>
        <v>9.8000000000000007</v>
      </c>
      <c r="BF30" s="152">
        <f>Shares!L71</f>
        <v>12.9</v>
      </c>
      <c r="BG30" s="152">
        <f>Shares!M71</f>
        <v>17.5</v>
      </c>
      <c r="BI30" s="146">
        <f>TxRt!B74</f>
        <v>6.6</v>
      </c>
      <c r="BJ30" s="146">
        <f>TxRt!B117</f>
        <v>13.6</v>
      </c>
      <c r="BK30" s="146">
        <f>TxRt!B157</f>
        <v>17.3</v>
      </c>
      <c r="BL30" s="146">
        <f>TxRt!B197</f>
        <v>20.7</v>
      </c>
      <c r="BM30" s="146">
        <f>TxRt!B277</f>
        <v>23.7</v>
      </c>
      <c r="BN30" s="146">
        <f>TxRt!B317</f>
        <v>25.5</v>
      </c>
      <c r="BO30" s="146">
        <f>TxRt!B357</f>
        <v>28</v>
      </c>
      <c r="BP30" s="146">
        <f>TxRt!B397</f>
        <v>32.299999999999997</v>
      </c>
      <c r="BQ30" s="46"/>
      <c r="BR30" s="60">
        <f>Inc!B71</f>
        <v>19300</v>
      </c>
      <c r="BS30" s="60">
        <f>Inc!B111</f>
        <v>43500</v>
      </c>
      <c r="BT30" s="60">
        <f>Inc!B151</f>
        <v>67500</v>
      </c>
      <c r="BU30" s="60">
        <f>Inc!B191</f>
        <v>98700</v>
      </c>
      <c r="BV30" s="60">
        <f>Inc!B271</f>
        <v>138100</v>
      </c>
      <c r="BW30" s="60">
        <f>Inc!B311</f>
        <v>185400</v>
      </c>
      <c r="BX30" s="60">
        <f>Inc!B351</f>
        <v>301500</v>
      </c>
      <c r="BY30" s="60">
        <f>Inc!B391</f>
        <v>1695200</v>
      </c>
      <c r="CA30" s="60">
        <f t="shared" si="8"/>
        <v>1273.8</v>
      </c>
      <c r="CB30" s="60">
        <f t="shared" si="8"/>
        <v>5916</v>
      </c>
      <c r="CC30" s="60">
        <f t="shared" si="8"/>
        <v>11677.5</v>
      </c>
      <c r="CD30" s="60">
        <f t="shared" si="8"/>
        <v>20430.900000000001</v>
      </c>
      <c r="CE30" s="60">
        <f t="shared" si="8"/>
        <v>32729.7</v>
      </c>
      <c r="CF30" s="60">
        <f t="shared" si="8"/>
        <v>47277</v>
      </c>
      <c r="CG30" s="60">
        <f t="shared" si="8"/>
        <v>84420</v>
      </c>
      <c r="CH30" s="60">
        <f t="shared" si="8"/>
        <v>547549.6</v>
      </c>
      <c r="CJ30" s="153">
        <f t="shared" si="23"/>
        <v>26622.419999999991</v>
      </c>
      <c r="CK30" s="153">
        <f t="shared" si="9"/>
        <v>127193.99999999999</v>
      </c>
      <c r="CL30" s="153">
        <f t="shared" si="9"/>
        <v>249898.49999999994</v>
      </c>
      <c r="CM30" s="153">
        <f t="shared" si="9"/>
        <v>437221.25999999995</v>
      </c>
      <c r="CN30" s="153">
        <f t="shared" si="9"/>
        <v>360026.7</v>
      </c>
      <c r="CO30" s="153">
        <f t="shared" si="9"/>
        <v>264751.2</v>
      </c>
      <c r="CP30" s="153">
        <f t="shared" si="9"/>
        <v>388331.99999999994</v>
      </c>
      <c r="CQ30" s="153">
        <f t="shared" si="9"/>
        <v>602304.56000000006</v>
      </c>
      <c r="CR30" s="153">
        <f t="shared" si="24"/>
        <v>2456350.6399999997</v>
      </c>
      <c r="CT30" s="403">
        <v>276.5</v>
      </c>
      <c r="CU30" s="276">
        <f>Dem!B71+(DD30/4)</f>
        <v>20.899999999999995</v>
      </c>
      <c r="CV30" s="276">
        <f>Dem!B111+(DD30/4)</f>
        <v>21.499999999999996</v>
      </c>
      <c r="CW30" s="276">
        <f>Dem!B151+(DD30/4)</f>
        <v>21.399999999999995</v>
      </c>
      <c r="CX30" s="276">
        <f>Dem!B191+(DD30/4)</f>
        <v>21.399999999999995</v>
      </c>
      <c r="CY30" s="276">
        <f>Dem!B271</f>
        <v>11</v>
      </c>
      <c r="CZ30" s="276">
        <f>Dem!B311</f>
        <v>5.6</v>
      </c>
      <c r="DA30" s="276">
        <f>Dem!B351</f>
        <v>4.5999999999999996</v>
      </c>
      <c r="DB30" s="276">
        <f>Dem!B391</f>
        <v>1.1000000000000001</v>
      </c>
      <c r="DC30" s="275">
        <v>108.3</v>
      </c>
      <c r="DD30" s="46">
        <v>-0.4000000000000199</v>
      </c>
      <c r="DE30" s="275"/>
      <c r="DF30" s="276">
        <f>Dem!$D71+(DO30/4)</f>
        <v>54.20000000000001</v>
      </c>
      <c r="DG30" s="276">
        <f>Dem!$D111+(DO30/4)</f>
        <v>55.100000000000009</v>
      </c>
      <c r="DH30" s="276">
        <f>Dem!$D151+(DO30/4)</f>
        <v>55.100000000000009</v>
      </c>
      <c r="DI30" s="276">
        <f>Dem!$D191+(DO30/4)</f>
        <v>55.100000000000009</v>
      </c>
      <c r="DJ30" s="275">
        <f>Dem!$D271</f>
        <v>27.7</v>
      </c>
      <c r="DK30" s="275">
        <f>Dem!$D311</f>
        <v>13.8</v>
      </c>
      <c r="DL30" s="275">
        <f>Dem!$D351</f>
        <v>11.1</v>
      </c>
      <c r="DM30" s="275">
        <f>Dem!$D391</f>
        <v>2.8</v>
      </c>
      <c r="DN30" s="276">
        <f t="shared" si="25"/>
        <v>276.5</v>
      </c>
      <c r="DO30" s="44">
        <v>-0.79999999999995453</v>
      </c>
    </row>
    <row r="31" spans="1:119">
      <c r="A31" s="46">
        <f t="shared" si="26"/>
        <v>2001</v>
      </c>
      <c r="B31" s="141">
        <f t="shared" si="10"/>
        <v>0.15200138068433688</v>
      </c>
      <c r="C31" s="46"/>
      <c r="D31" s="141">
        <f t="shared" si="11"/>
        <v>0.61857195722509239</v>
      </c>
      <c r="E31" s="141">
        <f t="shared" si="12"/>
        <v>0.46657057654075551</v>
      </c>
      <c r="F31" s="46"/>
      <c r="G31" s="157">
        <f t="shared" si="27"/>
        <v>1.8890046204887889E-2</v>
      </c>
      <c r="H31" s="157">
        <f t="shared" si="30"/>
        <v>5.281296777365288E-2</v>
      </c>
      <c r="I31" s="157">
        <f t="shared" si="31"/>
        <v>7.7453227958971319E-2</v>
      </c>
      <c r="J31" s="157">
        <f t="shared" si="32"/>
        <v>8.8352904544183417E-2</v>
      </c>
      <c r="K31" s="157">
        <f t="shared" si="33"/>
        <v>4.2037820990369568E-2</v>
      </c>
      <c r="L31" s="157">
        <f t="shared" si="34"/>
        <v>1.8000558846390124E-2</v>
      </c>
      <c r="M31" s="157">
        <f t="shared" si="35"/>
        <v>1.0700729497624763E-2</v>
      </c>
      <c r="N31" s="157">
        <f t="shared" si="36"/>
        <v>1.0377227964662695E-3</v>
      </c>
      <c r="O31" s="46"/>
      <c r="P31" s="154">
        <f t="shared" si="28"/>
        <v>1.1099537951121154E-2</v>
      </c>
      <c r="Q31" s="154">
        <f t="shared" si="39"/>
        <v>6.0770784312350216E-2</v>
      </c>
      <c r="R31" s="154">
        <f t="shared" si="39"/>
        <v>0.16469693609793656</v>
      </c>
      <c r="S31" s="154">
        <f t="shared" si="39"/>
        <v>0.35177401846022943</v>
      </c>
      <c r="T31" s="154">
        <f t="shared" si="39"/>
        <v>0.50746956173237945</v>
      </c>
      <c r="U31" s="154">
        <f t="shared" si="39"/>
        <v>0.62250808441201577</v>
      </c>
      <c r="V31" s="154">
        <f t="shared" si="39"/>
        <v>0.78245544070674622</v>
      </c>
      <c r="W31" s="162">
        <f t="shared" si="29"/>
        <v>1</v>
      </c>
      <c r="X31" s="154"/>
      <c r="Y31" s="142">
        <f t="shared" si="14"/>
        <v>1.6123260437375747E-2</v>
      </c>
      <c r="Z31" s="142">
        <f t="shared" si="15"/>
        <v>4.3101391650099415E-2</v>
      </c>
      <c r="AA31" s="142">
        <f t="shared" si="16"/>
        <v>5.9741550695825055E-2</v>
      </c>
      <c r="AB31" s="142">
        <f t="shared" si="17"/>
        <v>6.4652087475149111E-2</v>
      </c>
      <c r="AC31" s="142">
        <f t="shared" si="18"/>
        <v>2.9532803180914516E-2</v>
      </c>
      <c r="AD31" s="142">
        <f t="shared" si="19"/>
        <v>1.2328528827037777E-2</v>
      </c>
      <c r="AE31" s="142">
        <f t="shared" si="20"/>
        <v>7.13001988071571E-3</v>
      </c>
      <c r="AF31" s="142">
        <f t="shared" si="21"/>
        <v>6.7564612326043833E-4</v>
      </c>
      <c r="AH31" s="158">
        <f t="shared" si="22"/>
        <v>3.8767395626242547E-2</v>
      </c>
      <c r="AI31" s="158">
        <f t="shared" si="38"/>
        <v>0.13021868787276342</v>
      </c>
      <c r="AJ31" s="158">
        <f t="shared" si="38"/>
        <v>0.27236580516898612</v>
      </c>
      <c r="AK31" s="158">
        <f t="shared" si="38"/>
        <v>0.4811133200795229</v>
      </c>
      <c r="AL31" s="158">
        <f t="shared" si="38"/>
        <v>0.62823061630218691</v>
      </c>
      <c r="AM31" s="158">
        <f t="shared" si="38"/>
        <v>0.72862823061630222</v>
      </c>
      <c r="AN31" s="158">
        <f t="shared" si="38"/>
        <v>0.85487077534791256</v>
      </c>
      <c r="AO31" s="158">
        <v>1</v>
      </c>
      <c r="AP31" s="143"/>
      <c r="AQ31" s="143">
        <f t="shared" si="7"/>
        <v>1.1099537951121154E-2</v>
      </c>
      <c r="AR31" s="143">
        <f t="shared" si="7"/>
        <v>4.9671246361229063E-2</v>
      </c>
      <c r="AS31" s="143">
        <f t="shared" si="7"/>
        <v>0.10392615178558634</v>
      </c>
      <c r="AT31" s="143">
        <f t="shared" si="7"/>
        <v>0.18707708236229287</v>
      </c>
      <c r="AU31" s="143">
        <f t="shared" si="7"/>
        <v>0.15569554327215002</v>
      </c>
      <c r="AV31" s="143">
        <f t="shared" si="7"/>
        <v>0.11503852267963637</v>
      </c>
      <c r="AW31" s="143">
        <f t="shared" si="7"/>
        <v>0.15994735629473045</v>
      </c>
      <c r="AX31" s="143">
        <f t="shared" si="7"/>
        <v>0.21754455929325386</v>
      </c>
      <c r="AY31" s="46"/>
      <c r="AZ31" s="152">
        <f>Shares!D72</f>
        <v>3.9</v>
      </c>
      <c r="BA31" s="152">
        <f>Shares!E72</f>
        <v>9.1999999999999993</v>
      </c>
      <c r="BB31" s="152">
        <f>Shares!F72</f>
        <v>14.3</v>
      </c>
      <c r="BC31" s="152">
        <f>Shares!G72</f>
        <v>21</v>
      </c>
      <c r="BD31" s="152">
        <f>Shares!J72</f>
        <v>14.8</v>
      </c>
      <c r="BE31" s="152">
        <f>Shares!K72</f>
        <v>10.1</v>
      </c>
      <c r="BF31" s="152">
        <f>Shares!L72</f>
        <v>12.7</v>
      </c>
      <c r="BG31" s="152">
        <f>Shares!M72</f>
        <v>14.6</v>
      </c>
      <c r="BI31" s="146">
        <f>TxRt!B75</f>
        <v>6.1</v>
      </c>
      <c r="BJ31" s="146">
        <f>TxRt!B118</f>
        <v>11.7</v>
      </c>
      <c r="BK31" s="146">
        <f>TxRt!B158</f>
        <v>15.7</v>
      </c>
      <c r="BL31" s="146">
        <f>TxRt!B198</f>
        <v>19.3</v>
      </c>
      <c r="BM31" s="146">
        <f>TxRt!B278</f>
        <v>22.5</v>
      </c>
      <c r="BN31" s="146">
        <f>TxRt!B318</f>
        <v>24.6</v>
      </c>
      <c r="BO31" s="146">
        <f>TxRt!B358</f>
        <v>26.8</v>
      </c>
      <c r="BP31" s="146">
        <f>TxRt!B398</f>
        <v>32</v>
      </c>
      <c r="BQ31" s="46"/>
      <c r="BR31" s="60">
        <f>Inc!B72</f>
        <v>19000</v>
      </c>
      <c r="BS31" s="60">
        <f>Inc!B112</f>
        <v>42900</v>
      </c>
      <c r="BT31" s="60">
        <f>Inc!B152</f>
        <v>67200</v>
      </c>
      <c r="BU31" s="60">
        <f>Inc!B192</f>
        <v>97500</v>
      </c>
      <c r="BV31" s="60">
        <f>Inc!B272</f>
        <v>136700</v>
      </c>
      <c r="BW31" s="60">
        <f>Inc!B312</f>
        <v>179900</v>
      </c>
      <c r="BX31" s="60">
        <f>Inc!B352</f>
        <v>284500</v>
      </c>
      <c r="BY31" s="60">
        <f>Inc!B392</f>
        <v>1355200</v>
      </c>
      <c r="CA31" s="60">
        <f t="shared" si="8"/>
        <v>1159</v>
      </c>
      <c r="CB31" s="60">
        <f t="shared" si="8"/>
        <v>5019.2999999999993</v>
      </c>
      <c r="CC31" s="60">
        <f t="shared" si="8"/>
        <v>10550.4</v>
      </c>
      <c r="CD31" s="60">
        <f t="shared" si="8"/>
        <v>18817.5</v>
      </c>
      <c r="CE31" s="60">
        <f t="shared" si="8"/>
        <v>30757.5</v>
      </c>
      <c r="CF31" s="60">
        <f t="shared" si="8"/>
        <v>44255.4</v>
      </c>
      <c r="CG31" s="60">
        <f t="shared" si="8"/>
        <v>76246</v>
      </c>
      <c r="CH31" s="60">
        <f t="shared" si="8"/>
        <v>433664</v>
      </c>
      <c r="CJ31" s="153">
        <f t="shared" si="23"/>
        <v>24338.999999999996</v>
      </c>
      <c r="CK31" s="153">
        <f t="shared" si="9"/>
        <v>108918.80999999997</v>
      </c>
      <c r="CL31" s="153">
        <f t="shared" si="9"/>
        <v>227888.63999999993</v>
      </c>
      <c r="CM31" s="153">
        <f t="shared" si="9"/>
        <v>410221.49999999988</v>
      </c>
      <c r="CN31" s="153">
        <f t="shared" si="9"/>
        <v>341408.25</v>
      </c>
      <c r="CO31" s="153">
        <f t="shared" si="9"/>
        <v>252255.78000000003</v>
      </c>
      <c r="CP31" s="153">
        <f t="shared" si="9"/>
        <v>350731.6</v>
      </c>
      <c r="CQ31" s="153">
        <f t="shared" si="9"/>
        <v>477030.40000000002</v>
      </c>
      <c r="CR31" s="153">
        <f t="shared" si="24"/>
        <v>2192793.9799999995</v>
      </c>
      <c r="CT31" s="403">
        <v>277.8</v>
      </c>
      <c r="CU31" s="276">
        <f>Dem!B72+(DD31/4)</f>
        <v>20.999999999999996</v>
      </c>
      <c r="CV31" s="276">
        <f>Dem!B112+(DD31/4)</f>
        <v>21.699999999999996</v>
      </c>
      <c r="CW31" s="276">
        <f>Dem!B152+(DD31/4)</f>
        <v>21.599999999999994</v>
      </c>
      <c r="CX31" s="276">
        <f>Dem!B192+(DD31/4)</f>
        <v>21.799999999999994</v>
      </c>
      <c r="CY31" s="276">
        <f>Dem!B272</f>
        <v>11.1</v>
      </c>
      <c r="CZ31" s="276">
        <f>Dem!B312</f>
        <v>5.7</v>
      </c>
      <c r="DA31" s="276">
        <f>Dem!B352</f>
        <v>4.5999999999999996</v>
      </c>
      <c r="DB31" s="276">
        <f>Dem!B392</f>
        <v>1.1000000000000001</v>
      </c>
      <c r="DC31" s="275">
        <v>109.4</v>
      </c>
      <c r="DD31" s="46">
        <v>-0.4000000000000199</v>
      </c>
      <c r="DE31" s="275"/>
      <c r="DF31" s="276">
        <f>Dem!$D72+(DO31/4)</f>
        <v>54.275000000000006</v>
      </c>
      <c r="DG31" s="276">
        <f>Dem!$D112+(DO31/4)</f>
        <v>55.375000000000007</v>
      </c>
      <c r="DH31" s="276">
        <f>Dem!$D152+(DO31/4)</f>
        <v>55.375000000000007</v>
      </c>
      <c r="DI31" s="276">
        <f>Dem!$D192+(DO31/4)</f>
        <v>55.375000000000007</v>
      </c>
      <c r="DJ31" s="275">
        <f>Dem!$D272</f>
        <v>27.8</v>
      </c>
      <c r="DK31" s="275">
        <f>Dem!$D312</f>
        <v>13.9</v>
      </c>
      <c r="DL31" s="275">
        <f>Dem!$D352</f>
        <v>11.1</v>
      </c>
      <c r="DM31" s="275">
        <f>Dem!$D392</f>
        <v>2.8</v>
      </c>
      <c r="DN31" s="276">
        <f t="shared" si="25"/>
        <v>277.8</v>
      </c>
      <c r="DO31" s="44">
        <v>-0.89999999999997726</v>
      </c>
    </row>
    <row r="32" spans="1:119">
      <c r="A32" s="46">
        <f t="shared" si="26"/>
        <v>2002</v>
      </c>
      <c r="B32" s="141">
        <f t="shared" si="10"/>
        <v>0.15695948002097437</v>
      </c>
      <c r="C32" s="46"/>
      <c r="D32" s="141">
        <f t="shared" si="11"/>
        <v>0.61375193285116314</v>
      </c>
      <c r="E32" s="141">
        <f t="shared" si="12"/>
        <v>0.45679245283018877</v>
      </c>
      <c r="F32" s="46"/>
      <c r="G32" s="157">
        <f t="shared" si="27"/>
        <v>1.8918701317486287E-2</v>
      </c>
      <c r="H32" s="157">
        <f t="shared" si="30"/>
        <v>5.2846996167467408E-2</v>
      </c>
      <c r="I32" s="157">
        <f t="shared" si="31"/>
        <v>7.726583787295993E-2</v>
      </c>
      <c r="J32" s="157">
        <f t="shared" si="32"/>
        <v>8.7697749602525368E-2</v>
      </c>
      <c r="K32" s="157">
        <f t="shared" si="33"/>
        <v>4.13925021485054E-2</v>
      </c>
      <c r="L32" s="157">
        <f t="shared" si="34"/>
        <v>1.7540703956826453E-2</v>
      </c>
      <c r="M32" s="157">
        <f t="shared" si="35"/>
        <v>1.024030101224223E-2</v>
      </c>
      <c r="N32" s="157">
        <f t="shared" si="36"/>
        <v>9.7317434756847958E-4</v>
      </c>
      <c r="O32" s="46"/>
      <c r="P32" s="154">
        <f t="shared" si="28"/>
        <v>1.0812986825137148E-2</v>
      </c>
      <c r="Q32" s="154">
        <f t="shared" si="39"/>
        <v>6.0717051500188822E-2</v>
      </c>
      <c r="R32" s="154">
        <f t="shared" si="39"/>
        <v>0.16662456977021195</v>
      </c>
      <c r="S32" s="154">
        <f t="shared" si="39"/>
        <v>0.35639793420453458</v>
      </c>
      <c r="T32" s="154">
        <f t="shared" si="39"/>
        <v>0.51575202282535759</v>
      </c>
      <c r="U32" s="154">
        <f t="shared" si="39"/>
        <v>0.63261981890158436</v>
      </c>
      <c r="V32" s="154">
        <f t="shared" si="39"/>
        <v>0.79536513048630431</v>
      </c>
      <c r="W32" s="162">
        <f t="shared" si="29"/>
        <v>1</v>
      </c>
      <c r="X32" s="154"/>
      <c r="Y32" s="142">
        <f t="shared" si="14"/>
        <v>1.602780536246276E-2</v>
      </c>
      <c r="Z32" s="142">
        <f t="shared" si="15"/>
        <v>4.2720953326713024E-2</v>
      </c>
      <c r="AA32" s="142">
        <f t="shared" si="16"/>
        <v>5.8887785501489577E-2</v>
      </c>
      <c r="AB32" s="142">
        <f t="shared" si="17"/>
        <v>6.3237338629592868E-2</v>
      </c>
      <c r="AC32" s="142">
        <f t="shared" si="18"/>
        <v>2.8545183714001988E-2</v>
      </c>
      <c r="AD32" s="142">
        <f t="shared" si="19"/>
        <v>1.1741559086395232E-2</v>
      </c>
      <c r="AE32" s="142">
        <f t="shared" si="20"/>
        <v>6.6252234359483577E-3</v>
      </c>
      <c r="AF32" s="142">
        <f t="shared" si="21"/>
        <v>6.1037735849056585E-4</v>
      </c>
      <c r="AH32" s="158">
        <f t="shared" si="22"/>
        <v>3.9721946375372401E-2</v>
      </c>
      <c r="AI32" s="158">
        <f t="shared" si="38"/>
        <v>0.13306852035749753</v>
      </c>
      <c r="AJ32" s="158">
        <f t="shared" si="38"/>
        <v>0.27805362462760674</v>
      </c>
      <c r="AK32" s="158">
        <f t="shared" si="38"/>
        <v>0.48957298907646474</v>
      </c>
      <c r="AL32" s="158">
        <f t="shared" si="38"/>
        <v>0.63952333664349559</v>
      </c>
      <c r="AM32" s="158">
        <f t="shared" si="38"/>
        <v>0.74081429990069525</v>
      </c>
      <c r="AN32" s="158">
        <f t="shared" si="38"/>
        <v>0.86792452830188693</v>
      </c>
      <c r="AO32" s="158">
        <v>1</v>
      </c>
      <c r="AP32" s="143"/>
      <c r="AQ32" s="143">
        <f t="shared" si="7"/>
        <v>1.0812986825137148E-2</v>
      </c>
      <c r="AR32" s="143">
        <f t="shared" si="7"/>
        <v>4.9904064675051672E-2</v>
      </c>
      <c r="AS32" s="143">
        <f t="shared" si="7"/>
        <v>0.10590751827002312</v>
      </c>
      <c r="AT32" s="143">
        <f t="shared" si="7"/>
        <v>0.18977336443432263</v>
      </c>
      <c r="AU32" s="143">
        <f t="shared" si="7"/>
        <v>0.15935408862082306</v>
      </c>
      <c r="AV32" s="143">
        <f t="shared" si="7"/>
        <v>0.11686779607622673</v>
      </c>
      <c r="AW32" s="143">
        <f t="shared" si="7"/>
        <v>0.16274531158471997</v>
      </c>
      <c r="AX32" s="143">
        <f t="shared" si="7"/>
        <v>0.20463486951369564</v>
      </c>
      <c r="AY32" s="46"/>
      <c r="AZ32" s="152">
        <f>Shares!D73</f>
        <v>4</v>
      </c>
      <c r="BA32" s="152">
        <f>Shares!E73</f>
        <v>9.4</v>
      </c>
      <c r="BB32" s="152">
        <f>Shares!F73</f>
        <v>14.6</v>
      </c>
      <c r="BC32" s="152">
        <f>Shares!G73</f>
        <v>21.3</v>
      </c>
      <c r="BD32" s="152">
        <f>Shares!J73</f>
        <v>15.1</v>
      </c>
      <c r="BE32" s="152">
        <f>Shares!K73</f>
        <v>10.199999999999999</v>
      </c>
      <c r="BF32" s="152">
        <f>Shares!L73</f>
        <v>12.8</v>
      </c>
      <c r="BG32" s="152">
        <f>Shares!M73</f>
        <v>13.3</v>
      </c>
      <c r="BI32" s="146">
        <f>TxRt!B76</f>
        <v>5.6</v>
      </c>
      <c r="BJ32" s="146">
        <f>TxRt!B119</f>
        <v>11</v>
      </c>
      <c r="BK32" s="146">
        <f>TxRt!B159</f>
        <v>15.1</v>
      </c>
      <c r="BL32" s="146">
        <f>TxRt!B199</f>
        <v>18.5</v>
      </c>
      <c r="BM32" s="146">
        <f>TxRt!B279</f>
        <v>21.8</v>
      </c>
      <c r="BN32" s="146">
        <f>TxRt!B319</f>
        <v>23.8</v>
      </c>
      <c r="BO32" s="146">
        <f>TxRt!B359</f>
        <v>26.1</v>
      </c>
      <c r="BP32" s="146">
        <f>TxRt!B399</f>
        <v>31.9</v>
      </c>
      <c r="BQ32" s="46"/>
      <c r="BR32" s="60">
        <f>Inc!B73</f>
        <v>18800</v>
      </c>
      <c r="BS32" s="60">
        <f>Inc!B113</f>
        <v>41800</v>
      </c>
      <c r="BT32" s="60">
        <f>Inc!B153</f>
        <v>65800</v>
      </c>
      <c r="BU32" s="60">
        <f>Inc!B193</f>
        <v>95800</v>
      </c>
      <c r="BV32" s="60">
        <f>Inc!B273</f>
        <v>134400</v>
      </c>
      <c r="BW32" s="60">
        <f>Inc!B313</f>
        <v>177400</v>
      </c>
      <c r="BX32" s="60">
        <f>Inc!B353</f>
        <v>273200</v>
      </c>
      <c r="BY32" s="60">
        <f>Inc!B393</f>
        <v>1200900</v>
      </c>
      <c r="CA32" s="60">
        <f t="shared" si="8"/>
        <v>1052.8</v>
      </c>
      <c r="CB32" s="60">
        <f t="shared" si="8"/>
        <v>4598</v>
      </c>
      <c r="CC32" s="60">
        <f t="shared" si="8"/>
        <v>9935.7999999999993</v>
      </c>
      <c r="CD32" s="60">
        <f t="shared" si="8"/>
        <v>17723</v>
      </c>
      <c r="CE32" s="60">
        <f t="shared" si="8"/>
        <v>29299.200000000001</v>
      </c>
      <c r="CF32" s="60">
        <f t="shared" si="8"/>
        <v>42221.2</v>
      </c>
      <c r="CG32" s="60">
        <f t="shared" si="8"/>
        <v>71305.2</v>
      </c>
      <c r="CH32" s="60">
        <f t="shared" si="8"/>
        <v>383087.1</v>
      </c>
      <c r="CJ32" s="153">
        <f t="shared" si="23"/>
        <v>22266.720000000001</v>
      </c>
      <c r="CK32" s="153">
        <f t="shared" si="9"/>
        <v>102765.3</v>
      </c>
      <c r="CL32" s="153">
        <f t="shared" si="9"/>
        <v>218090.81000000003</v>
      </c>
      <c r="CM32" s="153">
        <f t="shared" si="9"/>
        <v>390792.15</v>
      </c>
      <c r="CN32" s="153">
        <f t="shared" si="9"/>
        <v>328151.03999999998</v>
      </c>
      <c r="CO32" s="153">
        <f t="shared" si="9"/>
        <v>240660.84</v>
      </c>
      <c r="CP32" s="153">
        <f t="shared" si="9"/>
        <v>335134.44</v>
      </c>
      <c r="CQ32" s="153">
        <f t="shared" si="9"/>
        <v>421395.81</v>
      </c>
      <c r="CR32" s="153">
        <f t="shared" si="24"/>
        <v>2059257.11</v>
      </c>
      <c r="CT32" s="403">
        <v>282.10000000000002</v>
      </c>
      <c r="CU32" s="276">
        <f>Dem!B73+(DD32/4)</f>
        <v>21.150000000000002</v>
      </c>
      <c r="CV32" s="276">
        <f>Dem!B113+(DD32/4)</f>
        <v>22.35</v>
      </c>
      <c r="CW32" s="276">
        <f>Dem!B153+(DD32/4)</f>
        <v>21.950000000000003</v>
      </c>
      <c r="CX32" s="276">
        <f>Dem!B193+(DD32/4)</f>
        <v>22.05</v>
      </c>
      <c r="CY32" s="276">
        <f>Dem!B273</f>
        <v>11.2</v>
      </c>
      <c r="CZ32" s="276">
        <f>Dem!B313</f>
        <v>5.7</v>
      </c>
      <c r="DA32" s="276">
        <f>Dem!B353</f>
        <v>4.7</v>
      </c>
      <c r="DB32" s="276">
        <f>Dem!B393</f>
        <v>1.1000000000000001</v>
      </c>
      <c r="DC32" s="275">
        <v>111.4</v>
      </c>
      <c r="DD32" s="46">
        <v>-0.59999999999999432</v>
      </c>
      <c r="DE32" s="275"/>
      <c r="DF32" s="276">
        <f>Dem!$D73+(DO32/4)</f>
        <v>54.625</v>
      </c>
      <c r="DG32" s="276">
        <f>Dem!$D113+(DO32/4)</f>
        <v>56.024999999999999</v>
      </c>
      <c r="DH32" s="276">
        <f>Dem!$D153+(DO32/4)</f>
        <v>56.024999999999999</v>
      </c>
      <c r="DI32" s="276">
        <f>Dem!$D193+(DO32/4)</f>
        <v>56.024999999999999</v>
      </c>
      <c r="DJ32" s="275">
        <f>Dem!$D273</f>
        <v>28.2</v>
      </c>
      <c r="DK32" s="275">
        <f>Dem!$D313</f>
        <v>14.1</v>
      </c>
      <c r="DL32" s="275">
        <f>Dem!$D353</f>
        <v>11.3</v>
      </c>
      <c r="DM32" s="275">
        <f>Dem!$D393</f>
        <v>2.8</v>
      </c>
      <c r="DN32" s="276">
        <f t="shared" si="25"/>
        <v>282.10000000000002</v>
      </c>
      <c r="DO32" s="44">
        <v>-1.5</v>
      </c>
    </row>
    <row r="33" spans="1:119">
      <c r="A33" s="46">
        <f t="shared" si="26"/>
        <v>2003</v>
      </c>
      <c r="B33" s="141">
        <f t="shared" si="10"/>
        <v>0.15453507775249992</v>
      </c>
      <c r="C33" s="46"/>
      <c r="D33" s="141">
        <f t="shared" si="11"/>
        <v>0.61952515711757927</v>
      </c>
      <c r="E33" s="141">
        <f t="shared" si="12"/>
        <v>0.46499007936507936</v>
      </c>
      <c r="F33" s="46"/>
      <c r="G33" s="157">
        <f t="shared" si="27"/>
        <v>1.8881258675232687E-2</v>
      </c>
      <c r="H33" s="157">
        <f t="shared" si="30"/>
        <v>5.3056581705489061E-2</v>
      </c>
      <c r="I33" s="157">
        <f t="shared" si="31"/>
        <v>7.7963503484467012E-2</v>
      </c>
      <c r="J33" s="157">
        <f t="shared" si="32"/>
        <v>8.863911068771993E-2</v>
      </c>
      <c r="K33" s="157">
        <f t="shared" si="33"/>
        <v>4.1900610189218514E-2</v>
      </c>
      <c r="L33" s="157">
        <f t="shared" si="34"/>
        <v>1.7819140658952581E-2</v>
      </c>
      <c r="M33" s="157">
        <f t="shared" si="35"/>
        <v>1.0494949425803184E-2</v>
      </c>
      <c r="N33" s="157">
        <f t="shared" si="36"/>
        <v>1.0074237319066671E-3</v>
      </c>
      <c r="O33" s="46"/>
      <c r="P33" s="154">
        <f t="shared" si="28"/>
        <v>1.1187413247673179E-2</v>
      </c>
      <c r="Q33" s="154">
        <f t="shared" si="39"/>
        <v>5.8246769697436307E-2</v>
      </c>
      <c r="R33" s="154">
        <f t="shared" si="39"/>
        <v>0.16211819545789363</v>
      </c>
      <c r="S33" s="154">
        <f t="shared" si="39"/>
        <v>0.35149069766490731</v>
      </c>
      <c r="T33" s="154">
        <f t="shared" si="39"/>
        <v>0.51049709855072267</v>
      </c>
      <c r="U33" s="154">
        <f t="shared" si="39"/>
        <v>0.62673727509117416</v>
      </c>
      <c r="V33" s="154">
        <f t="shared" si="39"/>
        <v>0.7885152536186667</v>
      </c>
      <c r="W33" s="162">
        <f t="shared" si="29"/>
        <v>1</v>
      </c>
      <c r="X33" s="154"/>
      <c r="Y33" s="142">
        <f t="shared" si="14"/>
        <v>1.6130952380952381E-2</v>
      </c>
      <c r="Z33" s="142">
        <f t="shared" si="15"/>
        <v>4.3134920634920651E-2</v>
      </c>
      <c r="AA33" s="142">
        <f t="shared" si="16"/>
        <v>5.9722222222222225E-2</v>
      </c>
      <c r="AB33" s="142">
        <f t="shared" si="17"/>
        <v>6.4503968253968258E-2</v>
      </c>
      <c r="AC33" s="142">
        <f t="shared" si="18"/>
        <v>2.9295634920634916E-2</v>
      </c>
      <c r="AD33" s="142">
        <f t="shared" si="19"/>
        <v>1.2123015873015876E-2</v>
      </c>
      <c r="AE33" s="142">
        <f t="shared" si="20"/>
        <v>6.9349206349206358E-3</v>
      </c>
      <c r="AF33" s="142">
        <f t="shared" si="21"/>
        <v>6.4940476190476271E-4</v>
      </c>
      <c r="AH33" s="158">
        <f t="shared" si="22"/>
        <v>3.8690476190476192E-2</v>
      </c>
      <c r="AI33" s="158">
        <f t="shared" si="38"/>
        <v>0.12996031746031744</v>
      </c>
      <c r="AJ33" s="158">
        <f t="shared" si="38"/>
        <v>0.27281746031746035</v>
      </c>
      <c r="AK33" s="158">
        <f t="shared" si="38"/>
        <v>0.48214285714285721</v>
      </c>
      <c r="AL33" s="158">
        <f t="shared" si="38"/>
        <v>0.63194444444444453</v>
      </c>
      <c r="AM33" s="158">
        <f t="shared" si="38"/>
        <v>0.73313492063492069</v>
      </c>
      <c r="AN33" s="158">
        <f t="shared" si="38"/>
        <v>0.86011904761904767</v>
      </c>
      <c r="AO33" s="158">
        <v>1</v>
      </c>
      <c r="AP33" s="143"/>
      <c r="AQ33" s="143">
        <f t="shared" si="7"/>
        <v>1.1187413247673179E-2</v>
      </c>
      <c r="AR33" s="143">
        <f t="shared" si="7"/>
        <v>4.7059356449763126E-2</v>
      </c>
      <c r="AS33" s="143">
        <f t="shared" si="7"/>
        <v>0.10387142576045733</v>
      </c>
      <c r="AT33" s="143">
        <f t="shared" si="7"/>
        <v>0.18937250220701368</v>
      </c>
      <c r="AU33" s="143">
        <f t="shared" si="7"/>
        <v>0.1590064008858153</v>
      </c>
      <c r="AV33" s="143">
        <f t="shared" si="7"/>
        <v>0.11624017654045152</v>
      </c>
      <c r="AW33" s="143">
        <f t="shared" si="7"/>
        <v>0.16177797852749251</v>
      </c>
      <c r="AX33" s="143">
        <f t="shared" si="7"/>
        <v>0.21148474638133333</v>
      </c>
      <c r="AY33" s="46"/>
      <c r="AZ33" s="152">
        <f>Shares!D74</f>
        <v>3.9</v>
      </c>
      <c r="BA33" s="152">
        <f>Shares!E74</f>
        <v>9.1999999999999993</v>
      </c>
      <c r="BB33" s="152">
        <f>Shares!F74</f>
        <v>14.4</v>
      </c>
      <c r="BC33" s="152">
        <f>Shares!G74</f>
        <v>21.1</v>
      </c>
      <c r="BD33" s="152">
        <f>Shares!J74</f>
        <v>15.1</v>
      </c>
      <c r="BE33" s="152">
        <f>Shares!K74</f>
        <v>10.199999999999999</v>
      </c>
      <c r="BF33" s="152">
        <f>Shares!L74</f>
        <v>12.8</v>
      </c>
      <c r="BG33" s="152">
        <f>Shares!M74</f>
        <v>14.1</v>
      </c>
      <c r="BI33" s="146">
        <f>TxRt!B77</f>
        <v>5.7</v>
      </c>
      <c r="BJ33" s="146">
        <f>TxRt!B120</f>
        <v>10.1</v>
      </c>
      <c r="BK33" s="146">
        <f>TxRt!B160</f>
        <v>14.3</v>
      </c>
      <c r="BL33" s="146">
        <f>TxRt!B200</f>
        <v>17.8</v>
      </c>
      <c r="BM33" s="146">
        <f>TxRt!B280</f>
        <v>20.8</v>
      </c>
      <c r="BN33" s="146">
        <f>TxRt!B320</f>
        <v>22.7</v>
      </c>
      <c r="BO33" s="146">
        <f>TxRt!B360</f>
        <v>25.1</v>
      </c>
      <c r="BP33" s="146">
        <f>TxRt!B400</f>
        <v>30.3</v>
      </c>
      <c r="BQ33" s="46"/>
      <c r="BR33" s="60">
        <f>Inc!B74</f>
        <v>18500</v>
      </c>
      <c r="BS33" s="60">
        <f>Inc!B114</f>
        <v>41400</v>
      </c>
      <c r="BT33" s="60">
        <f>Inc!B154</f>
        <v>65700</v>
      </c>
      <c r="BU33" s="60">
        <f>Inc!B194</f>
        <v>97100</v>
      </c>
      <c r="BV33" s="60">
        <f>Inc!B274</f>
        <v>136300</v>
      </c>
      <c r="BW33" s="60">
        <f>Inc!B314</f>
        <v>181000</v>
      </c>
      <c r="BX33" s="60">
        <f>Inc!B354</f>
        <v>282300</v>
      </c>
      <c r="BY33" s="60">
        <f>Inc!B394</f>
        <v>1278400</v>
      </c>
      <c r="CA33" s="60">
        <f t="shared" si="8"/>
        <v>1054.5</v>
      </c>
      <c r="CB33" s="60">
        <f t="shared" si="8"/>
        <v>4181.3999999999996</v>
      </c>
      <c r="CC33" s="60">
        <f t="shared" si="8"/>
        <v>9395.1</v>
      </c>
      <c r="CD33" s="60">
        <f t="shared" si="8"/>
        <v>17283.8</v>
      </c>
      <c r="CE33" s="60">
        <f t="shared" si="8"/>
        <v>28350.400000000001</v>
      </c>
      <c r="CF33" s="60">
        <f t="shared" si="8"/>
        <v>41087</v>
      </c>
      <c r="CG33" s="60">
        <f t="shared" si="8"/>
        <v>70857.3</v>
      </c>
      <c r="CH33" s="60">
        <f t="shared" si="8"/>
        <v>387355.2</v>
      </c>
      <c r="CJ33" s="153">
        <f t="shared" si="23"/>
        <v>22539.937499999996</v>
      </c>
      <c r="CK33" s="153">
        <f t="shared" si="9"/>
        <v>94813.244999999981</v>
      </c>
      <c r="CL33" s="153">
        <f t="shared" si="9"/>
        <v>209275.85249999995</v>
      </c>
      <c r="CM33" s="153">
        <f t="shared" si="9"/>
        <v>381539.88499999989</v>
      </c>
      <c r="CN33" s="153">
        <f t="shared" si="9"/>
        <v>320359.52</v>
      </c>
      <c r="CO33" s="153">
        <f t="shared" si="9"/>
        <v>234195.9</v>
      </c>
      <c r="CP33" s="153">
        <f t="shared" si="9"/>
        <v>325943.58</v>
      </c>
      <c r="CQ33" s="153">
        <f t="shared" si="9"/>
        <v>426090.72000000003</v>
      </c>
      <c r="CR33" s="153">
        <f t="shared" si="24"/>
        <v>2014758.64</v>
      </c>
      <c r="CT33" s="403">
        <v>284</v>
      </c>
      <c r="CU33" s="276">
        <f>Dem!B74+(DD33/4)</f>
        <v>21.374999999999996</v>
      </c>
      <c r="CV33" s="276">
        <f>Dem!B114+(DD33/4)</f>
        <v>22.674999999999997</v>
      </c>
      <c r="CW33" s="276">
        <f>Dem!B154+(DD33/4)</f>
        <v>22.274999999999995</v>
      </c>
      <c r="CX33" s="276">
        <f>Dem!B194+(DD33/4)</f>
        <v>22.074999999999996</v>
      </c>
      <c r="CY33" s="276">
        <f>Dem!B274</f>
        <v>11.3</v>
      </c>
      <c r="CZ33" s="276">
        <f>Dem!B314</f>
        <v>5.7</v>
      </c>
      <c r="DA33" s="276">
        <f>Dem!B354</f>
        <v>4.5999999999999996</v>
      </c>
      <c r="DB33" s="276">
        <f>Dem!B394</f>
        <v>1.1000000000000001</v>
      </c>
      <c r="DC33" s="275">
        <v>112.1</v>
      </c>
      <c r="DD33" s="46">
        <v>-0.50000000000001421</v>
      </c>
      <c r="DE33" s="275"/>
      <c r="DF33" s="276">
        <f>Dem!$D74+(DO33/4)</f>
        <v>55.174999999999997</v>
      </c>
      <c r="DG33" s="276">
        <f>Dem!$D114+(DO33/4)</f>
        <v>56.474999999999994</v>
      </c>
      <c r="DH33" s="276">
        <f>Dem!$D154+(DO33/4)</f>
        <v>56.474999999999994</v>
      </c>
      <c r="DI33" s="276">
        <f>Dem!$D194+(DO33/4)</f>
        <v>56.474999999999994</v>
      </c>
      <c r="DJ33" s="275">
        <f>Dem!$D274</f>
        <v>28.4</v>
      </c>
      <c r="DK33" s="275">
        <f>Dem!$D314</f>
        <v>14.2</v>
      </c>
      <c r="DL33" s="275">
        <f>Dem!$D354</f>
        <v>11.4</v>
      </c>
      <c r="DM33" s="275">
        <f>Dem!$D394</f>
        <v>2.8</v>
      </c>
      <c r="DN33" s="276">
        <f t="shared" si="25"/>
        <v>284</v>
      </c>
      <c r="DO33" s="44">
        <v>-1.3000000000000114</v>
      </c>
    </row>
    <row r="34" spans="1:119">
      <c r="A34" s="46">
        <f t="shared" si="26"/>
        <v>2004</v>
      </c>
      <c r="B34" s="141">
        <f t="shared" si="10"/>
        <v>0.15312422195069103</v>
      </c>
      <c r="C34" s="46"/>
      <c r="D34" s="141">
        <f t="shared" si="11"/>
        <v>0.63105868073917171</v>
      </c>
      <c r="E34" s="141">
        <f t="shared" si="12"/>
        <v>0.47793445878848068</v>
      </c>
      <c r="F34" s="46"/>
      <c r="G34" s="157">
        <f t="shared" si="27"/>
        <v>1.9010512934134315E-2</v>
      </c>
      <c r="H34" s="157">
        <f t="shared" si="30"/>
        <v>5.3403354657877961E-2</v>
      </c>
      <c r="I34" s="157">
        <f t="shared" si="31"/>
        <v>7.8637359923426076E-2</v>
      </c>
      <c r="J34" s="157">
        <f t="shared" si="32"/>
        <v>9.0164044443167835E-2</v>
      </c>
      <c r="K34" s="157">
        <f t="shared" si="33"/>
        <v>4.325726098872569E-2</v>
      </c>
      <c r="L34" s="157">
        <f t="shared" si="34"/>
        <v>1.8694525542601665E-2</v>
      </c>
      <c r="M34" s="157">
        <f t="shared" si="35"/>
        <v>1.1257149761179476E-2</v>
      </c>
      <c r="N34" s="157">
        <f t="shared" si="36"/>
        <v>1.1051321184728357E-3</v>
      </c>
      <c r="O34" s="46"/>
      <c r="P34" s="154">
        <f t="shared" si="28"/>
        <v>9.8948706586568669E-3</v>
      </c>
      <c r="Q34" s="154">
        <f t="shared" si="39"/>
        <v>5.6071582762563722E-2</v>
      </c>
      <c r="R34" s="154">
        <f t="shared" si="39"/>
        <v>0.15755481800317553</v>
      </c>
      <c r="S34" s="154">
        <f t="shared" si="39"/>
        <v>0.34080473756514629</v>
      </c>
      <c r="T34" s="154">
        <f t="shared" si="39"/>
        <v>0.49405004266034008</v>
      </c>
      <c r="U34" s="154">
        <f t="shared" si="39"/>
        <v>0.60816893563559338</v>
      </c>
      <c r="V34" s="154">
        <f t="shared" si="39"/>
        <v>0.76897357630543295</v>
      </c>
      <c r="W34" s="162">
        <f t="shared" si="29"/>
        <v>1</v>
      </c>
      <c r="X34" s="154"/>
      <c r="Y34" s="142">
        <f t="shared" si="14"/>
        <v>1.6226415094339624E-2</v>
      </c>
      <c r="Z34" s="142">
        <f t="shared" si="15"/>
        <v>4.3515392254220464E-2</v>
      </c>
      <c r="AA34" s="142">
        <f t="shared" si="16"/>
        <v>6.0675273088381332E-2</v>
      </c>
      <c r="AB34" s="142">
        <f t="shared" si="17"/>
        <v>6.6415094339622657E-2</v>
      </c>
      <c r="AC34" s="142">
        <f t="shared" si="18"/>
        <v>3.0729890764647473E-2</v>
      </c>
      <c r="AD34" s="142">
        <f t="shared" si="19"/>
        <v>1.2982869910625623E-2</v>
      </c>
      <c r="AE34" s="142">
        <f t="shared" si="20"/>
        <v>7.6778550148957295E-3</v>
      </c>
      <c r="AF34" s="142">
        <f t="shared" si="21"/>
        <v>7.4443892750744925E-4</v>
      </c>
      <c r="AH34" s="158">
        <f t="shared" si="22"/>
        <v>3.7735849056603772E-2</v>
      </c>
      <c r="AI34" s="158">
        <f t="shared" si="38"/>
        <v>0.12711022840119166</v>
      </c>
      <c r="AJ34" s="158">
        <f t="shared" si="38"/>
        <v>0.266137040714995</v>
      </c>
      <c r="AK34" s="158">
        <f t="shared" si="38"/>
        <v>0.46971201588877853</v>
      </c>
      <c r="AL34" s="158">
        <f t="shared" si="38"/>
        <v>0.6156901688182721</v>
      </c>
      <c r="AM34" s="158">
        <f t="shared" si="38"/>
        <v>0.71499503475670312</v>
      </c>
      <c r="AN34" s="158">
        <f t="shared" si="38"/>
        <v>0.84111221449851048</v>
      </c>
      <c r="AO34" s="158">
        <v>1</v>
      </c>
      <c r="AP34" s="143"/>
      <c r="AQ34" s="143">
        <f t="shared" si="7"/>
        <v>9.8948706586568669E-3</v>
      </c>
      <c r="AR34" s="143">
        <f t="shared" si="7"/>
        <v>4.6176712103906857E-2</v>
      </c>
      <c r="AS34" s="143">
        <f t="shared" si="7"/>
        <v>0.1014832352406118</v>
      </c>
      <c r="AT34" s="143">
        <f t="shared" si="7"/>
        <v>0.18324991956197076</v>
      </c>
      <c r="AU34" s="143">
        <f t="shared" si="7"/>
        <v>0.1532453050951938</v>
      </c>
      <c r="AV34" s="143">
        <f t="shared" si="7"/>
        <v>0.11411889297525329</v>
      </c>
      <c r="AW34" s="143">
        <f t="shared" si="7"/>
        <v>0.16080464066983954</v>
      </c>
      <c r="AX34" s="143">
        <f t="shared" si="7"/>
        <v>0.23102642369456711</v>
      </c>
      <c r="AY34" s="46"/>
      <c r="AZ34" s="152">
        <f>Shares!D75</f>
        <v>3.8</v>
      </c>
      <c r="BA34" s="152">
        <f>Shares!E75</f>
        <v>9</v>
      </c>
      <c r="BB34" s="152">
        <f>Shares!F75</f>
        <v>14</v>
      </c>
      <c r="BC34" s="152">
        <f>Shares!G75</f>
        <v>20.5</v>
      </c>
      <c r="BD34" s="152">
        <f>Shares!J75</f>
        <v>14.7</v>
      </c>
      <c r="BE34" s="152">
        <f>Shares!K75</f>
        <v>10</v>
      </c>
      <c r="BF34" s="152">
        <f>Shares!L75</f>
        <v>12.7</v>
      </c>
      <c r="BG34" s="152">
        <f>Shares!M75</f>
        <v>16</v>
      </c>
      <c r="BI34" s="146">
        <f>TxRt!B78</f>
        <v>5.3</v>
      </c>
      <c r="BJ34" s="146">
        <f>TxRt!B121</f>
        <v>10.3</v>
      </c>
      <c r="BK34" s="146">
        <f>TxRt!B161</f>
        <v>14.6</v>
      </c>
      <c r="BL34" s="146">
        <f>TxRt!B201</f>
        <v>18</v>
      </c>
      <c r="BM34" s="146">
        <f>TxRt!B281</f>
        <v>20.9</v>
      </c>
      <c r="BN34" s="146">
        <f>TxRt!B321</f>
        <v>22.9</v>
      </c>
      <c r="BO34" s="146">
        <f>TxRt!B361</f>
        <v>25.4</v>
      </c>
      <c r="BP34" s="146">
        <f>TxRt!B401</f>
        <v>30</v>
      </c>
      <c r="BQ34" s="46"/>
      <c r="BR34" s="60">
        <f>Inc!B75</f>
        <v>18800</v>
      </c>
      <c r="BS34" s="60">
        <f>Inc!B115</f>
        <v>42400</v>
      </c>
      <c r="BT34" s="60">
        <f>Inc!B155</f>
        <v>67800</v>
      </c>
      <c r="BU34" s="60">
        <f>Inc!B195</f>
        <v>100200</v>
      </c>
      <c r="BV34" s="60">
        <f>Inc!B275</f>
        <v>141300</v>
      </c>
      <c r="BW34" s="60">
        <f>Inc!B315</f>
        <v>187100</v>
      </c>
      <c r="BX34" s="60">
        <f>Inc!B355</f>
        <v>299700</v>
      </c>
      <c r="BY34" s="60">
        <f>Inc!B395</f>
        <v>1524500</v>
      </c>
      <c r="CA34" s="60">
        <f t="shared" si="8"/>
        <v>996.4</v>
      </c>
      <c r="CB34" s="60">
        <f t="shared" si="8"/>
        <v>4367.2000000000007</v>
      </c>
      <c r="CC34" s="60">
        <f t="shared" si="8"/>
        <v>9898.7999999999993</v>
      </c>
      <c r="CD34" s="60">
        <f t="shared" si="8"/>
        <v>18036</v>
      </c>
      <c r="CE34" s="60">
        <f t="shared" si="8"/>
        <v>29531.7</v>
      </c>
      <c r="CF34" s="60">
        <f t="shared" si="8"/>
        <v>42845.9</v>
      </c>
      <c r="CG34" s="60">
        <f t="shared" si="8"/>
        <v>76123.8</v>
      </c>
      <c r="CH34" s="60">
        <f t="shared" si="8"/>
        <v>457350</v>
      </c>
      <c r="CJ34" s="153">
        <f t="shared" si="23"/>
        <v>21547.149999999994</v>
      </c>
      <c r="CK34" s="153">
        <f t="shared" si="9"/>
        <v>100554.78</v>
      </c>
      <c r="CL34" s="153">
        <f t="shared" si="9"/>
        <v>220990.70999999993</v>
      </c>
      <c r="CM34" s="153">
        <f t="shared" si="9"/>
        <v>399046.49999999994</v>
      </c>
      <c r="CN34" s="153">
        <f t="shared" si="9"/>
        <v>333708.21000000002</v>
      </c>
      <c r="CO34" s="153">
        <f t="shared" si="9"/>
        <v>248506.22</v>
      </c>
      <c r="CP34" s="153">
        <f t="shared" si="9"/>
        <v>350169.48</v>
      </c>
      <c r="CQ34" s="153">
        <f t="shared" si="9"/>
        <v>503085.00000000006</v>
      </c>
      <c r="CR34" s="153">
        <f t="shared" si="24"/>
        <v>2177608.0499999998</v>
      </c>
      <c r="CT34" s="403">
        <v>288</v>
      </c>
      <c r="CU34" s="276">
        <f>Dem!B75+(DD34/4)</f>
        <v>21.624999999999996</v>
      </c>
      <c r="CV34" s="276">
        <f>Dem!B115+(DD34/4)</f>
        <v>23.024999999999995</v>
      </c>
      <c r="CW34" s="276">
        <f>Dem!B155+(DD34/4)</f>
        <v>22.324999999999996</v>
      </c>
      <c r="CX34" s="276">
        <f>Dem!B195+(DD34/4)</f>
        <v>22.124999999999996</v>
      </c>
      <c r="CY34" s="276">
        <f>Dem!B275</f>
        <v>11.3</v>
      </c>
      <c r="CZ34" s="276">
        <f>Dem!B315</f>
        <v>5.8</v>
      </c>
      <c r="DA34" s="276">
        <f>Dem!B355</f>
        <v>4.5999999999999996</v>
      </c>
      <c r="DB34" s="276">
        <f>Dem!B395</f>
        <v>1.1000000000000001</v>
      </c>
      <c r="DC34" s="275">
        <v>113.3</v>
      </c>
      <c r="DD34" s="46">
        <v>-0.70000000000001705</v>
      </c>
      <c r="DE34" s="275"/>
      <c r="DF34" s="276">
        <f>Dem!$D75+(DO34/4)</f>
        <v>55.97499999999998</v>
      </c>
      <c r="DG34" s="276">
        <f>Dem!$D115+(DO34/4)</f>
        <v>57.274999999999984</v>
      </c>
      <c r="DH34" s="276">
        <f>Dem!$D155+(DO34/4)</f>
        <v>57.274999999999984</v>
      </c>
      <c r="DI34" s="276">
        <f>Dem!$D195+(DO34/4)</f>
        <v>57.274999999999984</v>
      </c>
      <c r="DJ34" s="275">
        <f>Dem!$D275</f>
        <v>28.8</v>
      </c>
      <c r="DK34" s="275">
        <f>Dem!$D315</f>
        <v>14.4</v>
      </c>
      <c r="DL34" s="275">
        <f>Dem!$D355</f>
        <v>11.5</v>
      </c>
      <c r="DM34" s="275">
        <f>Dem!$D395</f>
        <v>2.9</v>
      </c>
      <c r="DN34" s="276">
        <f t="shared" si="25"/>
        <v>288</v>
      </c>
      <c r="DO34" s="44">
        <v>-1.3000000000000682</v>
      </c>
    </row>
    <row r="35" spans="1:119">
      <c r="A35" s="46">
        <f t="shared" si="26"/>
        <v>2005</v>
      </c>
      <c r="B35" s="141">
        <f t="shared" si="10"/>
        <v>0.15245274883590698</v>
      </c>
      <c r="C35" s="46"/>
      <c r="D35" s="141">
        <f t="shared" si="11"/>
        <v>0.64775036788352625</v>
      </c>
      <c r="E35" s="141">
        <f t="shared" si="12"/>
        <v>0.49529761904761926</v>
      </c>
      <c r="F35" s="46"/>
      <c r="G35" s="157">
        <f t="shared" si="27"/>
        <v>1.9021315632740517E-2</v>
      </c>
      <c r="H35" s="157">
        <f t="shared" si="30"/>
        <v>5.3674006954216029E-2</v>
      </c>
      <c r="I35" s="157">
        <f t="shared" si="31"/>
        <v>7.9719492510288648E-2</v>
      </c>
      <c r="J35" s="157">
        <f t="shared" si="32"/>
        <v>9.2629215046364288E-2</v>
      </c>
      <c r="K35" s="157">
        <f t="shared" si="33"/>
        <v>4.5290071089378263E-2</v>
      </c>
      <c r="L35" s="157">
        <f t="shared" si="34"/>
        <v>2.0002977183647144E-2</v>
      </c>
      <c r="M35" s="157">
        <f t="shared" si="35"/>
        <v>1.2310251636637881E-2</v>
      </c>
      <c r="N35" s="157">
        <f t="shared" si="36"/>
        <v>1.2278538884903112E-3</v>
      </c>
      <c r="O35" s="46"/>
      <c r="P35" s="154">
        <f t="shared" si="28"/>
        <v>9.7868436725948478E-3</v>
      </c>
      <c r="Q35" s="154">
        <f t="shared" si="39"/>
        <v>5.3473086785244997E-2</v>
      </c>
      <c r="R35" s="154">
        <f t="shared" si="39"/>
        <v>0.14933198811186851</v>
      </c>
      <c r="S35" s="154">
        <f t="shared" si="39"/>
        <v>0.32437586142448871</v>
      </c>
      <c r="T35" s="154">
        <f t="shared" si="39"/>
        <v>0.46982271678794629</v>
      </c>
      <c r="U35" s="154">
        <f t="shared" si="39"/>
        <v>0.58005819586616814</v>
      </c>
      <c r="V35" s="154">
        <f t="shared" si="39"/>
        <v>0.74442922230193798</v>
      </c>
      <c r="W35" s="162">
        <f t="shared" si="29"/>
        <v>1</v>
      </c>
      <c r="X35" s="154"/>
      <c r="Y35" s="142">
        <f t="shared" si="14"/>
        <v>1.6329365079365082E-2</v>
      </c>
      <c r="Z35" s="142">
        <f t="shared" si="15"/>
        <v>4.412698412698414E-2</v>
      </c>
      <c r="AA35" s="142">
        <f t="shared" si="16"/>
        <v>6.2202380952380953E-2</v>
      </c>
      <c r="AB35" s="142">
        <f t="shared" si="17"/>
        <v>6.9067460317460347E-2</v>
      </c>
      <c r="AC35" s="142">
        <f t="shared" si="18"/>
        <v>3.2569444444444463E-2</v>
      </c>
      <c r="AD35" s="142">
        <f t="shared" si="19"/>
        <v>1.4032738095238107E-2</v>
      </c>
      <c r="AE35" s="142">
        <f t="shared" si="20"/>
        <v>8.4825396825396922E-3</v>
      </c>
      <c r="AF35" s="142">
        <f t="shared" si="21"/>
        <v>8.3789682539682671E-4</v>
      </c>
      <c r="AH35" s="158">
        <f t="shared" si="22"/>
        <v>3.6706349206349201E-2</v>
      </c>
      <c r="AI35" s="158">
        <f t="shared" si="38"/>
        <v>0.12202380952380951</v>
      </c>
      <c r="AJ35" s="158">
        <f t="shared" si="38"/>
        <v>0.25595238095238093</v>
      </c>
      <c r="AK35" s="158">
        <f t="shared" si="38"/>
        <v>0.45337301587301582</v>
      </c>
      <c r="AL35" s="158">
        <f t="shared" si="38"/>
        <v>0.59523809523809512</v>
      </c>
      <c r="AM35" s="158">
        <f t="shared" si="38"/>
        <v>0.69345238095238082</v>
      </c>
      <c r="AN35" s="158">
        <f t="shared" si="38"/>
        <v>0.82242063492063477</v>
      </c>
      <c r="AO35" s="158">
        <v>1</v>
      </c>
      <c r="AP35" s="143"/>
      <c r="AQ35" s="143">
        <f t="shared" si="7"/>
        <v>9.7868436725948478E-3</v>
      </c>
      <c r="AR35" s="143">
        <f t="shared" si="7"/>
        <v>4.3686243112650153E-2</v>
      </c>
      <c r="AS35" s="143">
        <f t="shared" si="7"/>
        <v>9.5858901326623516E-2</v>
      </c>
      <c r="AT35" s="143">
        <f t="shared" si="7"/>
        <v>0.1750438733126202</v>
      </c>
      <c r="AU35" s="143">
        <f t="shared" si="7"/>
        <v>0.14544685536345758</v>
      </c>
      <c r="AV35" s="143">
        <f t="shared" si="7"/>
        <v>0.11023547907822187</v>
      </c>
      <c r="AW35" s="143">
        <f t="shared" si="7"/>
        <v>0.16437102643576987</v>
      </c>
      <c r="AX35" s="143">
        <f t="shared" si="7"/>
        <v>0.25557077769806197</v>
      </c>
      <c r="AY35" s="46"/>
      <c r="AZ35" s="152">
        <f>Shares!D76</f>
        <v>3.7</v>
      </c>
      <c r="BA35" s="152">
        <f>Shares!E76</f>
        <v>8.6</v>
      </c>
      <c r="BB35" s="152">
        <f>Shares!F76</f>
        <v>13.5</v>
      </c>
      <c r="BC35" s="152">
        <f>Shares!G76</f>
        <v>19.899999999999999</v>
      </c>
      <c r="BD35" s="152">
        <f>Shares!J76</f>
        <v>14.3</v>
      </c>
      <c r="BE35" s="152">
        <f>Shares!K76</f>
        <v>9.9</v>
      </c>
      <c r="BF35" s="152">
        <f>Shares!L76</f>
        <v>13</v>
      </c>
      <c r="BG35" s="152">
        <f>Shares!M76</f>
        <v>17.899999999999999</v>
      </c>
      <c r="BI35" s="146">
        <f>TxRt!B79</f>
        <v>5.5</v>
      </c>
      <c r="BJ35" s="146">
        <f>TxRt!B122</f>
        <v>10.5</v>
      </c>
      <c r="BK35" s="146">
        <f>TxRt!B162</f>
        <v>14.8</v>
      </c>
      <c r="BL35" s="146">
        <f>TxRt!B202</f>
        <v>18.3</v>
      </c>
      <c r="BM35" s="146">
        <f>TxRt!B282</f>
        <v>21</v>
      </c>
      <c r="BN35" s="146">
        <f>TxRt!B322</f>
        <v>23</v>
      </c>
      <c r="BO35" s="146">
        <f>TxRt!B362</f>
        <v>25.9</v>
      </c>
      <c r="BP35" s="146">
        <f>TxRt!B402</f>
        <v>30.2</v>
      </c>
      <c r="BQ35" s="46"/>
      <c r="BR35" s="60">
        <f>Inc!B76</f>
        <v>19300</v>
      </c>
      <c r="BS35" s="60">
        <f>Inc!B116</f>
        <v>42800</v>
      </c>
      <c r="BT35" s="60">
        <f>Inc!B156</f>
        <v>69000</v>
      </c>
      <c r="BU35" s="60">
        <f>Inc!B196</f>
        <v>101900</v>
      </c>
      <c r="BV35" s="60">
        <f>Inc!B276</f>
        <v>144200</v>
      </c>
      <c r="BW35" s="60">
        <f>Inc!B316</f>
        <v>194500</v>
      </c>
      <c r="BX35" s="60">
        <f>Inc!B356</f>
        <v>323300</v>
      </c>
      <c r="BY35" s="60">
        <f>Inc!B396</f>
        <v>1842000</v>
      </c>
      <c r="CA35" s="60">
        <f t="shared" si="8"/>
        <v>1061.5</v>
      </c>
      <c r="CB35" s="60">
        <f t="shared" si="8"/>
        <v>4494</v>
      </c>
      <c r="CC35" s="60">
        <f t="shared" si="8"/>
        <v>10212</v>
      </c>
      <c r="CD35" s="60">
        <f t="shared" si="8"/>
        <v>18647.7</v>
      </c>
      <c r="CE35" s="60">
        <f t="shared" si="8"/>
        <v>30282</v>
      </c>
      <c r="CF35" s="60">
        <f t="shared" si="8"/>
        <v>44735</v>
      </c>
      <c r="CG35" s="60">
        <f t="shared" si="8"/>
        <v>83734.7</v>
      </c>
      <c r="CH35" s="60">
        <f t="shared" si="8"/>
        <v>556284</v>
      </c>
      <c r="CJ35" s="153">
        <f t="shared" si="23"/>
        <v>23432.612499999996</v>
      </c>
      <c r="CK35" s="153">
        <f t="shared" si="9"/>
        <v>104597.84999999998</v>
      </c>
      <c r="CL35" s="153">
        <f t="shared" si="9"/>
        <v>229514.69999999998</v>
      </c>
      <c r="CM35" s="153">
        <f t="shared" si="9"/>
        <v>419107.0575</v>
      </c>
      <c r="CN35" s="153">
        <f t="shared" si="9"/>
        <v>348243</v>
      </c>
      <c r="CO35" s="153">
        <f t="shared" si="9"/>
        <v>263936.5</v>
      </c>
      <c r="CP35" s="153">
        <f t="shared" si="9"/>
        <v>393553.09</v>
      </c>
      <c r="CQ35" s="153">
        <f t="shared" si="9"/>
        <v>611912.4</v>
      </c>
      <c r="CR35" s="153">
        <f t="shared" si="24"/>
        <v>2394297.21</v>
      </c>
      <c r="CT35" s="403">
        <v>289.3</v>
      </c>
      <c r="CU35" s="276">
        <f>Dem!B76+(DD35/4)</f>
        <v>22.074999999999996</v>
      </c>
      <c r="CV35" s="276">
        <f>Dem!B116+(DD35/4)</f>
        <v>23.274999999999995</v>
      </c>
      <c r="CW35" s="276">
        <f>Dem!B156+(DD35/4)</f>
        <v>22.474999999999998</v>
      </c>
      <c r="CX35" s="276">
        <f>Dem!B196+(DD35/4)</f>
        <v>22.474999999999998</v>
      </c>
      <c r="CY35" s="276">
        <f>Dem!B276</f>
        <v>11.5</v>
      </c>
      <c r="CZ35" s="276">
        <f>Dem!B316</f>
        <v>5.9</v>
      </c>
      <c r="DA35" s="276">
        <f>Dem!B356</f>
        <v>4.7</v>
      </c>
      <c r="DB35" s="276">
        <f>Dem!B396</f>
        <v>1.1000000000000001</v>
      </c>
      <c r="DC35" s="275">
        <v>114.5</v>
      </c>
      <c r="DD35" s="46">
        <v>-0.50000000000001421</v>
      </c>
      <c r="DE35" s="275"/>
      <c r="DF35" s="276">
        <f>Dem!$D76+(DO35/4)</f>
        <v>56.324999999999996</v>
      </c>
      <c r="DG35" s="276">
        <f>Dem!$D116+(DO35/4)</f>
        <v>57.624999999999993</v>
      </c>
      <c r="DH35" s="276">
        <f>Dem!$D156+(DO35/4)</f>
        <v>57.624999999999993</v>
      </c>
      <c r="DI35" s="276">
        <f>Dem!$D196+(DO35/4)</f>
        <v>57.624999999999993</v>
      </c>
      <c r="DJ35" s="275">
        <f>Dem!$D276</f>
        <v>28.9</v>
      </c>
      <c r="DK35" s="275">
        <f>Dem!$D316</f>
        <v>14.5</v>
      </c>
      <c r="DL35" s="275">
        <f>Dem!$D356</f>
        <v>11.6</v>
      </c>
      <c r="DM35" s="275">
        <f>Dem!$D396</f>
        <v>2.9</v>
      </c>
      <c r="DN35" s="276">
        <f t="shared" si="25"/>
        <v>289.3</v>
      </c>
      <c r="DO35" s="44">
        <v>-1.1000000000000227</v>
      </c>
    </row>
    <row r="36" spans="1:119">
      <c r="A36" s="46">
        <f t="shared" si="26"/>
        <v>2006</v>
      </c>
      <c r="B36" s="141">
        <f t="shared" si="10"/>
        <v>0.14667185770417923</v>
      </c>
      <c r="C36" s="46"/>
      <c r="D36" s="141">
        <f t="shared" si="11"/>
        <v>0.64854064498052133</v>
      </c>
      <c r="E36" s="141">
        <f t="shared" si="12"/>
        <v>0.5018687872763421</v>
      </c>
      <c r="F36" s="46"/>
      <c r="G36" s="157">
        <f t="shared" si="27"/>
        <v>1.8971437402348235E-2</v>
      </c>
      <c r="H36" s="157">
        <f t="shared" si="30"/>
        <v>5.3588244745602809E-2</v>
      </c>
      <c r="I36" s="157">
        <f t="shared" si="31"/>
        <v>7.965731096121792E-2</v>
      </c>
      <c r="J36" s="157">
        <f t="shared" si="32"/>
        <v>9.2774181624767124E-2</v>
      </c>
      <c r="K36" s="157">
        <f t="shared" si="33"/>
        <v>4.5484393130381245E-2</v>
      </c>
      <c r="L36" s="157">
        <f t="shared" si="34"/>
        <v>2.0126365145977029E-2</v>
      </c>
      <c r="M36" s="157">
        <f t="shared" si="35"/>
        <v>1.2425525677170977E-2</v>
      </c>
      <c r="N36" s="157">
        <f t="shared" si="36"/>
        <v>1.2428638027952754E-3</v>
      </c>
      <c r="O36" s="46"/>
      <c r="P36" s="154">
        <f t="shared" si="28"/>
        <v>1.0285625976517668E-2</v>
      </c>
      <c r="Q36" s="154">
        <f t="shared" si="39"/>
        <v>5.3831926567454322E-2</v>
      </c>
      <c r="R36" s="154">
        <f t="shared" si="39"/>
        <v>0.14959496382036663</v>
      </c>
      <c r="S36" s="154">
        <f t="shared" si="39"/>
        <v>0.32266321993196234</v>
      </c>
      <c r="T36" s="154">
        <f t="shared" si="39"/>
        <v>0.46764891746041293</v>
      </c>
      <c r="U36" s="154">
        <f t="shared" si="39"/>
        <v>0.5772964767005061</v>
      </c>
      <c r="V36" s="154">
        <f t="shared" si="39"/>
        <v>0.74142723944094513</v>
      </c>
      <c r="W36" s="162">
        <f t="shared" si="29"/>
        <v>1</v>
      </c>
      <c r="X36" s="154"/>
      <c r="Y36" s="142">
        <f t="shared" si="14"/>
        <v>1.6421471172962228E-2</v>
      </c>
      <c r="Z36" s="142">
        <f t="shared" si="15"/>
        <v>4.4393638170974165E-2</v>
      </c>
      <c r="AA36" s="142">
        <f t="shared" si="16"/>
        <v>6.2723658051689862E-2</v>
      </c>
      <c r="AB36" s="142">
        <f t="shared" si="17"/>
        <v>7.0019880715705779E-2</v>
      </c>
      <c r="AC36" s="142">
        <f t="shared" si="18"/>
        <v>3.3260437375745536E-2</v>
      </c>
      <c r="AD36" s="142">
        <f t="shared" si="19"/>
        <v>1.4440854870775351E-2</v>
      </c>
      <c r="AE36" s="142">
        <f t="shared" si="20"/>
        <v>8.800000000000004E-3</v>
      </c>
      <c r="AF36" s="142">
        <f t="shared" si="21"/>
        <v>8.7445328031809271E-4</v>
      </c>
      <c r="AH36" s="158">
        <f t="shared" si="22"/>
        <v>3.5785288270377739E-2</v>
      </c>
      <c r="AI36" s="158">
        <f t="shared" si="38"/>
        <v>0.12027833001988072</v>
      </c>
      <c r="AJ36" s="158">
        <f t="shared" si="38"/>
        <v>0.25248508946322068</v>
      </c>
      <c r="AK36" s="158">
        <f t="shared" si="38"/>
        <v>0.44731610337972172</v>
      </c>
      <c r="AL36" s="158">
        <f t="shared" si="38"/>
        <v>0.5874751491053678</v>
      </c>
      <c r="AM36" s="158">
        <f t="shared" si="38"/>
        <v>0.68489065606361832</v>
      </c>
      <c r="AN36" s="158">
        <f t="shared" si="38"/>
        <v>0.81510934393638168</v>
      </c>
      <c r="AO36" s="158">
        <v>1</v>
      </c>
      <c r="AP36" s="143"/>
      <c r="AQ36" s="143">
        <f t="shared" si="7"/>
        <v>1.0285625976517668E-2</v>
      </c>
      <c r="AR36" s="143">
        <f t="shared" si="7"/>
        <v>4.354630059093665E-2</v>
      </c>
      <c r="AS36" s="143">
        <f t="shared" si="7"/>
        <v>9.5763037252912325E-2</v>
      </c>
      <c r="AT36" s="143">
        <f t="shared" si="7"/>
        <v>0.17306825611159571</v>
      </c>
      <c r="AU36" s="143">
        <f t="shared" si="7"/>
        <v>0.14498569752845061</v>
      </c>
      <c r="AV36" s="143">
        <f t="shared" si="7"/>
        <v>0.10964755924009316</v>
      </c>
      <c r="AW36" s="143">
        <f t="shared" si="7"/>
        <v>0.16413076274043903</v>
      </c>
      <c r="AX36" s="143">
        <f t="shared" si="7"/>
        <v>0.25857276055905493</v>
      </c>
      <c r="AY36" s="46"/>
      <c r="AZ36" s="152">
        <f>Shares!D77</f>
        <v>3.6</v>
      </c>
      <c r="BA36" s="152">
        <f>Shares!E77</f>
        <v>8.5</v>
      </c>
      <c r="BB36" s="152">
        <f>Shares!F77</f>
        <v>13.3</v>
      </c>
      <c r="BC36" s="152">
        <f>Shares!G77</f>
        <v>19.600000000000001</v>
      </c>
      <c r="BD36" s="152">
        <f>Shares!J77</f>
        <v>14.1</v>
      </c>
      <c r="BE36" s="152">
        <f>Shares!K77</f>
        <v>9.8000000000000007</v>
      </c>
      <c r="BF36" s="152">
        <f>Shares!L77</f>
        <v>13.1</v>
      </c>
      <c r="BG36" s="152">
        <f>Shares!M77</f>
        <v>18.600000000000001</v>
      </c>
      <c r="BI36" s="146">
        <f>TxRt!B80</f>
        <v>5.9</v>
      </c>
      <c r="BJ36" s="146">
        <f>TxRt!B123</f>
        <v>10.6</v>
      </c>
      <c r="BK36" s="146">
        <f>TxRt!B163</f>
        <v>14.9</v>
      </c>
      <c r="BL36" s="146">
        <f>TxRt!B203</f>
        <v>18.3</v>
      </c>
      <c r="BM36" s="146">
        <f>TxRt!B283</f>
        <v>21.2</v>
      </c>
      <c r="BN36" s="146">
        <f>TxRt!B323</f>
        <v>23.1</v>
      </c>
      <c r="BO36" s="146">
        <f>TxRt!B363</f>
        <v>25.9</v>
      </c>
      <c r="BP36" s="146">
        <f>TxRt!B403</f>
        <v>29.8</v>
      </c>
      <c r="BQ36" s="46"/>
      <c r="BR36" s="60">
        <f>Inc!B77</f>
        <v>20300</v>
      </c>
      <c r="BS36" s="60">
        <f>Inc!B117</f>
        <v>43800</v>
      </c>
      <c r="BT36" s="60">
        <f>Inc!B157</f>
        <v>69700</v>
      </c>
      <c r="BU36" s="60">
        <f>Inc!B197</f>
        <v>103900</v>
      </c>
      <c r="BV36" s="60">
        <f>Inc!B277</f>
        <v>147700</v>
      </c>
      <c r="BW36" s="60">
        <f>Inc!B317</f>
        <v>199900</v>
      </c>
      <c r="BX36" s="60">
        <f>Inc!B357</f>
        <v>333600</v>
      </c>
      <c r="BY36" s="60">
        <f>Inc!B397</f>
        <v>1993200</v>
      </c>
      <c r="CA36" s="60">
        <f t="shared" si="8"/>
        <v>1197.7</v>
      </c>
      <c r="CB36" s="60">
        <f t="shared" si="8"/>
        <v>4642.8</v>
      </c>
      <c r="CC36" s="60">
        <f t="shared" si="8"/>
        <v>10385.299999999999</v>
      </c>
      <c r="CD36" s="60">
        <f t="shared" si="8"/>
        <v>19013.7</v>
      </c>
      <c r="CE36" s="60">
        <f t="shared" si="8"/>
        <v>31312.400000000001</v>
      </c>
      <c r="CF36" s="60">
        <f t="shared" si="8"/>
        <v>46176.9</v>
      </c>
      <c r="CG36" s="60">
        <f t="shared" si="8"/>
        <v>86402.4</v>
      </c>
      <c r="CH36" s="60">
        <f t="shared" si="8"/>
        <v>593973.6</v>
      </c>
      <c r="CJ36" s="153">
        <f t="shared" si="23"/>
        <v>25990.09</v>
      </c>
      <c r="CK36" s="153">
        <f t="shared" si="9"/>
        <v>110034.36</v>
      </c>
      <c r="CL36" s="153">
        <f t="shared" si="9"/>
        <v>241977.48999999996</v>
      </c>
      <c r="CM36" s="153">
        <f t="shared" si="9"/>
        <v>437315.10000000003</v>
      </c>
      <c r="CN36" s="153">
        <f t="shared" si="9"/>
        <v>366355.08</v>
      </c>
      <c r="CO36" s="153">
        <f t="shared" si="9"/>
        <v>277061.40000000002</v>
      </c>
      <c r="CP36" s="153">
        <f t="shared" si="9"/>
        <v>414731.51999999996</v>
      </c>
      <c r="CQ36" s="153">
        <f t="shared" si="9"/>
        <v>653370.96000000008</v>
      </c>
      <c r="CR36" s="153">
        <f t="shared" si="24"/>
        <v>2526836</v>
      </c>
      <c r="CT36" s="403">
        <v>292.7</v>
      </c>
      <c r="CU36" s="276">
        <f>Dem!B77+(DD36/4)</f>
        <v>21.7</v>
      </c>
      <c r="CV36" s="276">
        <f>Dem!B117+(DD36/4)</f>
        <v>23.7</v>
      </c>
      <c r="CW36" s="276">
        <f>Dem!B157+(DD36/4)</f>
        <v>23.299999999999997</v>
      </c>
      <c r="CX36" s="276">
        <f>Dem!B197+(DD36/4)</f>
        <v>23</v>
      </c>
      <c r="CY36" s="276">
        <f>Dem!B277</f>
        <v>11.7</v>
      </c>
      <c r="CZ36" s="276">
        <f>Dem!B317</f>
        <v>6</v>
      </c>
      <c r="DA36" s="276">
        <f>Dem!B357</f>
        <v>4.8</v>
      </c>
      <c r="DB36" s="276">
        <f>Dem!B397</f>
        <v>1.1000000000000001</v>
      </c>
      <c r="DC36" s="275">
        <v>116.1</v>
      </c>
      <c r="DD36" s="46">
        <v>-0.40000000000000568</v>
      </c>
      <c r="DE36" s="275"/>
      <c r="DF36" s="276">
        <f>Dem!$D77+(DO36/4)</f>
        <v>56.95</v>
      </c>
      <c r="DG36" s="276">
        <f>Dem!$D117+(DO36/4)</f>
        <v>58.150000000000006</v>
      </c>
      <c r="DH36" s="276">
        <f>Dem!$D157+(DO36/4)</f>
        <v>58.150000000000006</v>
      </c>
      <c r="DI36" s="276">
        <f>Dem!$D197+(DO36/4)</f>
        <v>58.150000000000006</v>
      </c>
      <c r="DJ36" s="275">
        <f>Dem!$D277</f>
        <v>29.3</v>
      </c>
      <c r="DK36" s="275">
        <f>Dem!$D317</f>
        <v>14.6</v>
      </c>
      <c r="DL36" s="275">
        <f>Dem!$D357</f>
        <v>11.7</v>
      </c>
      <c r="DM36" s="275">
        <f>Dem!$D397</f>
        <v>2.9</v>
      </c>
      <c r="DN36" s="276">
        <f t="shared" si="25"/>
        <v>292.7</v>
      </c>
      <c r="DO36" s="44">
        <v>-1.3999999999999773</v>
      </c>
    </row>
    <row r="37" spans="1:119">
      <c r="A37" s="46">
        <f t="shared" si="26"/>
        <v>2007</v>
      </c>
      <c r="B37" s="141">
        <f t="shared" si="10"/>
        <v>0.15206646481643549</v>
      </c>
      <c r="C37" s="46"/>
      <c r="D37" s="164">
        <f t="shared" si="11"/>
        <v>0.65141170291167372</v>
      </c>
      <c r="E37" s="164">
        <f t="shared" si="12"/>
        <v>0.49934523809523823</v>
      </c>
      <c r="F37" s="37"/>
      <c r="G37" s="157">
        <f t="shared" si="27"/>
        <v>1.9011087248461598E-2</v>
      </c>
      <c r="H37" s="157">
        <f t="shared" si="30"/>
        <v>5.3448411740679408E-2</v>
      </c>
      <c r="I37" s="157">
        <f t="shared" si="31"/>
        <v>7.9439890010418596E-2</v>
      </c>
      <c r="J37" s="157">
        <f t="shared" si="32"/>
        <v>9.3100784244251861E-2</v>
      </c>
      <c r="K37" s="157">
        <f t="shared" si="33"/>
        <v>4.5995387961159317E-2</v>
      </c>
      <c r="L37" s="157">
        <f t="shared" si="34"/>
        <v>2.0526945978359825E-2</v>
      </c>
      <c r="M37" s="157">
        <f t="shared" si="35"/>
        <v>1.2875284486691889E-2</v>
      </c>
      <c r="N37" s="157">
        <f t="shared" si="36"/>
        <v>1.3080597858143861E-3</v>
      </c>
      <c r="O37" s="37"/>
      <c r="P37" s="154">
        <f t="shared" si="28"/>
        <v>9.8891275153840403E-3</v>
      </c>
      <c r="Q37" s="154">
        <f t="shared" si="39"/>
        <v>5.5626755077821985E-2</v>
      </c>
      <c r="R37" s="154">
        <f t="shared" si="39"/>
        <v>0.1499743448179921</v>
      </c>
      <c r="S37" s="154">
        <f t="shared" si="39"/>
        <v>0.31901781273948954</v>
      </c>
      <c r="T37" s="154">
        <f t="shared" si="39"/>
        <v>0.4610744280373244</v>
      </c>
      <c r="U37" s="154">
        <f t="shared" si="39"/>
        <v>0.56784773282828271</v>
      </c>
      <c r="V37" s="154">
        <f t="shared" si="39"/>
        <v>0.728388042837123</v>
      </c>
      <c r="W37" s="162">
        <f t="shared" si="29"/>
        <v>1</v>
      </c>
      <c r="X37" s="154"/>
      <c r="Y37" s="142">
        <f t="shared" si="14"/>
        <v>1.6130952380952381E-2</v>
      </c>
      <c r="Z37" s="142">
        <f t="shared" si="15"/>
        <v>4.3730158730158744E-2</v>
      </c>
      <c r="AA37" s="142">
        <f t="shared" si="16"/>
        <v>6.2103174603174605E-2</v>
      </c>
      <c r="AB37" s="142">
        <f t="shared" si="17"/>
        <v>6.9861111111111138E-2</v>
      </c>
      <c r="AC37" s="142">
        <f t="shared" si="18"/>
        <v>3.3412698412698429E-2</v>
      </c>
      <c r="AD37" s="142">
        <f t="shared" si="19"/>
        <v>1.4578373015873025E-2</v>
      </c>
      <c r="AE37" s="142">
        <f t="shared" si="20"/>
        <v>8.958730158730166E-3</v>
      </c>
      <c r="AF37" s="142">
        <f t="shared" si="21"/>
        <v>8.9742063492063593E-4</v>
      </c>
      <c r="AH37" s="158">
        <f t="shared" si="22"/>
        <v>3.8690476190476185E-2</v>
      </c>
      <c r="AI37" s="158">
        <f t="shared" si="38"/>
        <v>0.12400793650793648</v>
      </c>
      <c r="AJ37" s="158">
        <f t="shared" si="38"/>
        <v>0.25496031746031744</v>
      </c>
      <c r="AK37" s="158">
        <f t="shared" si="38"/>
        <v>0.4464285714285714</v>
      </c>
      <c r="AL37" s="158">
        <f t="shared" si="38"/>
        <v>0.58531746031746024</v>
      </c>
      <c r="AM37" s="158">
        <f t="shared" si="38"/>
        <v>0.68154761904761896</v>
      </c>
      <c r="AN37" s="158">
        <f t="shared" si="38"/>
        <v>0.81051587301587291</v>
      </c>
      <c r="AO37" s="158">
        <v>1</v>
      </c>
      <c r="AP37" s="143"/>
      <c r="AQ37" s="143">
        <f t="shared" si="7"/>
        <v>9.8891275153840403E-3</v>
      </c>
      <c r="AR37" s="143">
        <f t="shared" si="7"/>
        <v>4.5737627562437946E-2</v>
      </c>
      <c r="AS37" s="143">
        <f t="shared" si="7"/>
        <v>9.4347589740170101E-2</v>
      </c>
      <c r="AT37" s="143">
        <f t="shared" si="7"/>
        <v>0.16904346792149744</v>
      </c>
      <c r="AU37" s="143">
        <f t="shared" si="7"/>
        <v>0.14205661529783487</v>
      </c>
      <c r="AV37" s="143">
        <f t="shared" si="7"/>
        <v>0.10677330479095831</v>
      </c>
      <c r="AW37" s="143">
        <f t="shared" si="7"/>
        <v>0.16054031000884023</v>
      </c>
      <c r="AX37" s="143">
        <f t="shared" si="7"/>
        <v>0.27161195716287712</v>
      </c>
      <c r="AY37" s="46"/>
      <c r="AZ37" s="152">
        <f>Shares!D78</f>
        <v>3.9</v>
      </c>
      <c r="BA37" s="152">
        <f>Shares!E78</f>
        <v>8.6</v>
      </c>
      <c r="BB37" s="152">
        <f>Shares!F78</f>
        <v>13.2</v>
      </c>
      <c r="BC37" s="152">
        <f>Shares!G78</f>
        <v>19.3</v>
      </c>
      <c r="BD37" s="152">
        <f>Shares!J78</f>
        <v>14</v>
      </c>
      <c r="BE37" s="152">
        <f>Shares!K78</f>
        <v>9.6999999999999993</v>
      </c>
      <c r="BF37" s="152">
        <f>Shares!L78</f>
        <v>13</v>
      </c>
      <c r="BG37" s="152">
        <f>Shares!M78</f>
        <v>19.100000000000001</v>
      </c>
      <c r="BI37" s="146">
        <f>TxRt!B81</f>
        <v>5.3</v>
      </c>
      <c r="BJ37" s="146">
        <f>TxRt!B124</f>
        <v>11</v>
      </c>
      <c r="BK37" s="146">
        <f>TxRt!B164</f>
        <v>14.8</v>
      </c>
      <c r="BL37" s="146">
        <f>TxRt!B204</f>
        <v>18.100000000000001</v>
      </c>
      <c r="BM37" s="146">
        <f>TxRt!B284</f>
        <v>20.9</v>
      </c>
      <c r="BN37" s="146">
        <f>TxRt!B324</f>
        <v>22.7</v>
      </c>
      <c r="BO37" s="146">
        <f>TxRt!B364</f>
        <v>25.4</v>
      </c>
      <c r="BP37" s="146">
        <f>TxRt!B404</f>
        <v>28.2</v>
      </c>
      <c r="BQ37" s="46"/>
      <c r="BR37" s="60">
        <f>Inc!B78</f>
        <v>21600</v>
      </c>
      <c r="BS37" s="60">
        <f>Inc!B118</f>
        <v>45900</v>
      </c>
      <c r="BT37" s="60">
        <f>Inc!B158</f>
        <v>72200</v>
      </c>
      <c r="BU37" s="60">
        <f>Inc!B198</f>
        <v>106700</v>
      </c>
      <c r="BV37" s="60">
        <f>Inc!B278</f>
        <v>150700</v>
      </c>
      <c r="BW37" s="60">
        <f>Inc!B318</f>
        <v>205100</v>
      </c>
      <c r="BX37" s="60">
        <f>Inc!B358</f>
        <v>344500</v>
      </c>
      <c r="BY37" s="60">
        <f>Inc!B398</f>
        <v>2099900</v>
      </c>
      <c r="CA37" s="60">
        <f t="shared" si="8"/>
        <v>1144.8</v>
      </c>
      <c r="CB37" s="60">
        <f t="shared" si="8"/>
        <v>5049</v>
      </c>
      <c r="CC37" s="60">
        <f t="shared" si="8"/>
        <v>10685.6</v>
      </c>
      <c r="CD37" s="60">
        <f t="shared" si="8"/>
        <v>19312.7</v>
      </c>
      <c r="CE37" s="60">
        <f t="shared" si="8"/>
        <v>31496.3</v>
      </c>
      <c r="CF37" s="60">
        <f t="shared" si="8"/>
        <v>46557.7</v>
      </c>
      <c r="CG37" s="60">
        <f t="shared" si="8"/>
        <v>87503</v>
      </c>
      <c r="CH37" s="60">
        <f t="shared" si="8"/>
        <v>592171.80000000005</v>
      </c>
      <c r="CJ37" s="153">
        <f t="shared" si="23"/>
        <v>25872.479999999996</v>
      </c>
      <c r="CK37" s="153">
        <f t="shared" si="9"/>
        <v>119661.3</v>
      </c>
      <c r="CL37" s="153">
        <f t="shared" si="9"/>
        <v>246837.36</v>
      </c>
      <c r="CM37" s="153">
        <f t="shared" si="9"/>
        <v>442260.83</v>
      </c>
      <c r="CN37" s="153">
        <f t="shared" si="9"/>
        <v>371656.34</v>
      </c>
      <c r="CO37" s="153">
        <f t="shared" si="9"/>
        <v>279346.19999999995</v>
      </c>
      <c r="CP37" s="153">
        <f t="shared" si="9"/>
        <v>420014.39999999997</v>
      </c>
      <c r="CQ37" s="153">
        <f t="shared" si="9"/>
        <v>710606.16</v>
      </c>
      <c r="CR37" s="153">
        <f t="shared" si="24"/>
        <v>2616255.0699999998</v>
      </c>
      <c r="CT37" s="403">
        <v>292.89999999999998</v>
      </c>
      <c r="CU37" s="276">
        <f>Dem!B78+(DD37/4)</f>
        <v>22.599999999999998</v>
      </c>
      <c r="CV37" s="276">
        <f>Dem!B118+(DD37/4)</f>
        <v>23.7</v>
      </c>
      <c r="CW37" s="276">
        <f>Dem!B158+(DD37/4)</f>
        <v>23.099999999999998</v>
      </c>
      <c r="CX37" s="276">
        <f>Dem!B198+(DD37/4)</f>
        <v>22.9</v>
      </c>
      <c r="CY37" s="276">
        <f>Dem!B278</f>
        <v>11.8</v>
      </c>
      <c r="CZ37" s="276">
        <f>Dem!B318</f>
        <v>6</v>
      </c>
      <c r="DA37" s="276">
        <f>Dem!B358</f>
        <v>4.8</v>
      </c>
      <c r="DB37" s="276">
        <f>Dem!B398</f>
        <v>1.2</v>
      </c>
      <c r="DC37" s="275">
        <v>116.9</v>
      </c>
      <c r="DD37" s="46">
        <v>-0.40000000000000568</v>
      </c>
      <c r="DE37" s="275"/>
      <c r="DF37" s="276">
        <f>Dem!$D78+(DO37/4)</f>
        <v>56.974999999999994</v>
      </c>
      <c r="DG37" s="276">
        <f>Dem!$D118+(DO37/4)</f>
        <v>58.274999999999999</v>
      </c>
      <c r="DH37" s="276">
        <f>Dem!$D158+(DO37/4)</f>
        <v>58.274999999999999</v>
      </c>
      <c r="DI37" s="276">
        <f>Dem!$D198+(DO37/4)</f>
        <v>58.274999999999999</v>
      </c>
      <c r="DJ37" s="275">
        <f>Dem!$D278</f>
        <v>29.3</v>
      </c>
      <c r="DK37" s="275">
        <f>Dem!$D318</f>
        <v>14.6</v>
      </c>
      <c r="DL37" s="275">
        <f>Dem!$D358</f>
        <v>11.7</v>
      </c>
      <c r="DM37" s="275">
        <f>Dem!$D398</f>
        <v>2.9</v>
      </c>
      <c r="DN37" s="276">
        <f t="shared" si="25"/>
        <v>292.89999999999998</v>
      </c>
      <c r="DO37" s="44">
        <v>-1.3000000000000114</v>
      </c>
    </row>
    <row r="38" spans="1:119">
      <c r="A38" s="46">
        <f t="shared" si="26"/>
        <v>2008</v>
      </c>
      <c r="B38" s="141">
        <f t="shared" si="10"/>
        <v>0.19011580848247911</v>
      </c>
      <c r="C38" s="46"/>
      <c r="D38" s="164">
        <f>SUM(G38:N38)*2</f>
        <v>0.6687916978105426</v>
      </c>
      <c r="E38" s="164">
        <f t="shared" si="12"/>
        <v>0.47867588932806349</v>
      </c>
      <c r="F38" s="37"/>
      <c r="G38" s="157">
        <f t="shared" si="27"/>
        <v>1.9803119169081281E-2</v>
      </c>
      <c r="H38" s="157">
        <f t="shared" si="30"/>
        <v>5.5793803634572647E-2</v>
      </c>
      <c r="I38" s="157">
        <f t="shared" si="31"/>
        <v>8.2813947658691184E-2</v>
      </c>
      <c r="J38" s="157">
        <f t="shared" si="32"/>
        <v>9.5997788539270948E-2</v>
      </c>
      <c r="K38" s="157">
        <f t="shared" si="33"/>
        <v>4.6532659777471487E-2</v>
      </c>
      <c r="L38" s="157">
        <f t="shared" si="34"/>
        <v>2.0198277582184648E-2</v>
      </c>
      <c r="M38" s="157">
        <f t="shared" si="35"/>
        <v>1.2081094679993947E-2</v>
      </c>
      <c r="N38" s="157">
        <f t="shared" si="36"/>
        <v>1.1751578640051498E-3</v>
      </c>
      <c r="O38" s="37"/>
      <c r="P38" s="154">
        <f t="shared" si="28"/>
        <v>1.9688083091872247E-3</v>
      </c>
      <c r="Q38" s="154">
        <f t="shared" si="39"/>
        <v>4.0093155345086395E-2</v>
      </c>
      <c r="R38" s="154">
        <f t="shared" si="39"/>
        <v>0.13176736806800182</v>
      </c>
      <c r="S38" s="154">
        <f t="shared" si="39"/>
        <v>0.3082547465392888</v>
      </c>
      <c r="T38" s="154">
        <f t="shared" si="39"/>
        <v>0.46109205791128166</v>
      </c>
      <c r="U38" s="154">
        <f t="shared" si="39"/>
        <v>0.58097683880133244</v>
      </c>
      <c r="V38" s="154">
        <f t="shared" si="39"/>
        <v>0.75496842719897028</v>
      </c>
      <c r="W38" s="162">
        <f t="shared" si="29"/>
        <v>1</v>
      </c>
      <c r="X38" s="154"/>
      <c r="Y38" s="142">
        <f t="shared" si="14"/>
        <v>1.6047430830039528E-2</v>
      </c>
      <c r="Z38" s="142">
        <f t="shared" si="15"/>
        <v>4.3201581027667996E-2</v>
      </c>
      <c r="AA38" s="142">
        <f t="shared" si="16"/>
        <v>6.057312252964428E-2</v>
      </c>
      <c r="AB38" s="142">
        <f t="shared" si="17"/>
        <v>6.6679841897233236E-2</v>
      </c>
      <c r="AC38" s="142">
        <f t="shared" si="18"/>
        <v>3.1047430830039548E-2</v>
      </c>
      <c r="AD38" s="142">
        <f t="shared" si="19"/>
        <v>1.3196640316205543E-2</v>
      </c>
      <c r="AE38" s="142">
        <f t="shared" si="20"/>
        <v>7.8316205533596906E-3</v>
      </c>
      <c r="AF38" s="142">
        <f t="shared" si="21"/>
        <v>7.6027667984189919E-4</v>
      </c>
      <c r="AH38" s="158">
        <f t="shared" si="22"/>
        <v>3.9525691699604737E-2</v>
      </c>
      <c r="AI38" s="158">
        <f t="shared" si="38"/>
        <v>0.1284584980237154</v>
      </c>
      <c r="AJ38" s="158">
        <f t="shared" si="38"/>
        <v>0.26581027667984186</v>
      </c>
      <c r="AK38" s="158">
        <f t="shared" si="38"/>
        <v>0.467391304347826</v>
      </c>
      <c r="AL38" s="158">
        <f t="shared" si="38"/>
        <v>0.61166007905138331</v>
      </c>
      <c r="AM38" s="158">
        <f t="shared" si="38"/>
        <v>0.71047430830039515</v>
      </c>
      <c r="AN38" s="158">
        <f t="shared" si="38"/>
        <v>0.83794466403162038</v>
      </c>
      <c r="AO38" s="158">
        <v>1</v>
      </c>
      <c r="AP38" s="143"/>
      <c r="AQ38" s="143">
        <f t="shared" si="7"/>
        <v>1.9688083091872243E-3</v>
      </c>
      <c r="AR38" s="143">
        <f t="shared" si="7"/>
        <v>3.8124347035899162E-2</v>
      </c>
      <c r="AS38" s="143">
        <f t="shared" si="7"/>
        <v>9.1674212722915413E-2</v>
      </c>
      <c r="AT38" s="143">
        <f t="shared" si="7"/>
        <v>0.17648737847128695</v>
      </c>
      <c r="AU38" s="143">
        <f t="shared" si="7"/>
        <v>0.15283731137199283</v>
      </c>
      <c r="AV38" s="143">
        <f t="shared" si="7"/>
        <v>0.11988478089005078</v>
      </c>
      <c r="AW38" s="143">
        <f t="shared" si="7"/>
        <v>0.17399158839763779</v>
      </c>
      <c r="AX38" s="143">
        <f t="shared" si="7"/>
        <v>0.24503157280102975</v>
      </c>
      <c r="AY38" s="46"/>
      <c r="AZ38" s="152">
        <f>Shares!D79</f>
        <v>4</v>
      </c>
      <c r="BA38" s="152">
        <f>Shares!E79</f>
        <v>9</v>
      </c>
      <c r="BB38" s="152">
        <f>Shares!F79</f>
        <v>13.9</v>
      </c>
      <c r="BC38" s="152">
        <f>Shares!G79</f>
        <v>20.399999999999999</v>
      </c>
      <c r="BD38" s="152">
        <f>Shares!J79</f>
        <v>14.6</v>
      </c>
      <c r="BE38" s="152">
        <f>Shares!K79</f>
        <v>10</v>
      </c>
      <c r="BF38" s="152">
        <f>Shares!L79</f>
        <v>12.9</v>
      </c>
      <c r="BG38" s="152">
        <f>Shares!M79</f>
        <v>16.399999999999999</v>
      </c>
      <c r="BI38" s="146">
        <f>TxRt!B82</f>
        <v>0.9</v>
      </c>
      <c r="BJ38" s="146">
        <f>TxRt!B125</f>
        <v>7.8</v>
      </c>
      <c r="BK38" s="146">
        <f>TxRt!B165</f>
        <v>12.2</v>
      </c>
      <c r="BL38" s="146">
        <f>TxRt!B205</f>
        <v>16</v>
      </c>
      <c r="BM38" s="146">
        <f>TxRt!B285</f>
        <v>19.3</v>
      </c>
      <c r="BN38" s="146">
        <f>TxRt!B325</f>
        <v>21.8</v>
      </c>
      <c r="BO38" s="146">
        <f>TxRt!B365</f>
        <v>24.6</v>
      </c>
      <c r="BP38" s="146">
        <f>TxRt!B405</f>
        <v>28.1</v>
      </c>
      <c r="BQ38" s="46"/>
      <c r="BR38" s="60">
        <f>Inc!B79</f>
        <v>21200</v>
      </c>
      <c r="BS38" s="60">
        <f>Inc!B119</f>
        <v>44200</v>
      </c>
      <c r="BT38" s="60">
        <f>Inc!B159</f>
        <v>70000</v>
      </c>
      <c r="BU38" s="60">
        <f>Inc!B199</f>
        <v>104100</v>
      </c>
      <c r="BV38" s="60">
        <f>Inc!B279</f>
        <v>147700</v>
      </c>
      <c r="BW38" s="60">
        <f>Inc!B319</f>
        <v>198300</v>
      </c>
      <c r="BX38" s="60">
        <f>Inc!B359</f>
        <v>318800</v>
      </c>
      <c r="BY38" s="60">
        <f>Inc!B399</f>
        <v>1715100</v>
      </c>
      <c r="CA38" s="60">
        <f t="shared" si="8"/>
        <v>190.8</v>
      </c>
      <c r="CB38" s="60">
        <f t="shared" si="8"/>
        <v>3447.6</v>
      </c>
      <c r="CC38" s="60">
        <f t="shared" si="8"/>
        <v>8540</v>
      </c>
      <c r="CD38" s="60">
        <f t="shared" si="8"/>
        <v>16656</v>
      </c>
      <c r="CE38" s="60">
        <f t="shared" si="8"/>
        <v>28506.1</v>
      </c>
      <c r="CF38" s="60">
        <f t="shared" si="8"/>
        <v>43229.4</v>
      </c>
      <c r="CG38" s="60">
        <f t="shared" si="8"/>
        <v>78424.800000000003</v>
      </c>
      <c r="CH38" s="60">
        <f t="shared" si="8"/>
        <v>481943.1</v>
      </c>
      <c r="CJ38" s="153">
        <f t="shared" si="23"/>
        <v>4259.6099999999997</v>
      </c>
      <c r="CK38" s="153">
        <f t="shared" si="9"/>
        <v>82483.829999999987</v>
      </c>
      <c r="CL38" s="153">
        <f t="shared" si="9"/>
        <v>198341.49999999994</v>
      </c>
      <c r="CM38" s="153">
        <f t="shared" si="9"/>
        <v>381838.79999999993</v>
      </c>
      <c r="CN38" s="153">
        <f t="shared" si="9"/>
        <v>330670.75999999995</v>
      </c>
      <c r="CO38" s="153">
        <f t="shared" si="9"/>
        <v>259376.40000000002</v>
      </c>
      <c r="CP38" s="153">
        <f t="shared" si="9"/>
        <v>376439.03999999998</v>
      </c>
      <c r="CQ38" s="153">
        <f t="shared" si="9"/>
        <v>530137.41</v>
      </c>
      <c r="CR38" s="153">
        <f t="shared" si="24"/>
        <v>2163547.35</v>
      </c>
      <c r="CT38" s="403">
        <v>295.10000000000002</v>
      </c>
      <c r="CU38" s="276">
        <f>Dem!B79+(DD38/4)</f>
        <v>22.324999999999996</v>
      </c>
      <c r="CV38" s="276">
        <f>Dem!B119+(DD38/4)</f>
        <v>23.924999999999997</v>
      </c>
      <c r="CW38" s="276">
        <f>Dem!B159+(DD38/4)</f>
        <v>23.224999999999994</v>
      </c>
      <c r="CX38" s="276">
        <f>Dem!B199+(DD38/4)</f>
        <v>22.924999999999997</v>
      </c>
      <c r="CY38" s="276">
        <f>Dem!B279</f>
        <v>11.6</v>
      </c>
      <c r="CZ38" s="276">
        <f>Dem!B319</f>
        <v>6</v>
      </c>
      <c r="DA38" s="276">
        <f>Dem!B359</f>
        <v>4.8</v>
      </c>
      <c r="DB38" s="276">
        <f>Dem!B399</f>
        <v>1.1000000000000001</v>
      </c>
      <c r="DC38" s="275">
        <v>117.3</v>
      </c>
      <c r="DD38" s="46">
        <v>-0.70000000000001705</v>
      </c>
      <c r="DE38" s="275"/>
      <c r="DF38" s="276">
        <f>Dem!$D79+(DO38/4)</f>
        <v>57.125</v>
      </c>
      <c r="DG38" s="276">
        <f>Dem!$D119+(DO38/4)</f>
        <v>58.625</v>
      </c>
      <c r="DH38" s="276">
        <f>Dem!$D159+(DO38/4)</f>
        <v>58.625</v>
      </c>
      <c r="DI38" s="276">
        <f>Dem!$D199+(DO38/4)</f>
        <v>58.625</v>
      </c>
      <c r="DJ38" s="275">
        <f>Dem!$D279</f>
        <v>29.5</v>
      </c>
      <c r="DK38" s="275">
        <f>Dem!$D319</f>
        <v>14.8</v>
      </c>
      <c r="DL38" s="275">
        <f>Dem!$D359</f>
        <v>11.8</v>
      </c>
      <c r="DM38" s="275">
        <f>Dem!$D399</f>
        <v>3</v>
      </c>
      <c r="DN38" s="276">
        <f t="shared" si="25"/>
        <v>295.10000000000002</v>
      </c>
      <c r="DO38" s="44">
        <v>-1.5</v>
      </c>
    </row>
    <row r="39" spans="1:119">
      <c r="A39" s="46">
        <f t="shared" si="26"/>
        <v>2009</v>
      </c>
      <c r="B39" s="141">
        <f t="shared" si="10"/>
        <v>0.19745473247957518</v>
      </c>
      <c r="C39" s="46"/>
      <c r="D39" s="164">
        <f t="shared" si="11"/>
        <v>0.65917887041060974</v>
      </c>
      <c r="E39" s="164">
        <f t="shared" si="12"/>
        <v>0.46172413793103456</v>
      </c>
      <c r="F39" s="37"/>
      <c r="G39" s="157">
        <f t="shared" si="27"/>
        <v>2.0066212958207541E-2</v>
      </c>
      <c r="H39" s="157">
        <f t="shared" si="30"/>
        <v>5.635094442763177E-2</v>
      </c>
      <c r="I39" s="157">
        <f t="shared" si="31"/>
        <v>8.2933999468579073E-2</v>
      </c>
      <c r="J39" s="157">
        <f t="shared" si="32"/>
        <v>9.4639930963844376E-2</v>
      </c>
      <c r="K39" s="157">
        <f t="shared" si="33"/>
        <v>4.476162817432449E-2</v>
      </c>
      <c r="L39" s="157">
        <f t="shared" si="34"/>
        <v>1.8906630996113713E-2</v>
      </c>
      <c r="M39" s="157">
        <f t="shared" si="35"/>
        <v>1.0907827797302904E-2</v>
      </c>
      <c r="N39" s="157">
        <f t="shared" si="36"/>
        <v>1.0222604193009588E-3</v>
      </c>
      <c r="O39" s="37"/>
      <c r="P39" s="154">
        <f t="shared" si="28"/>
        <v>-6.6212958207535972E-4</v>
      </c>
      <c r="Q39" s="154">
        <f t="shared" si="39"/>
        <v>3.7152685305757834E-2</v>
      </c>
      <c r="R39" s="154">
        <f t="shared" si="39"/>
        <v>0.13350732000845142</v>
      </c>
      <c r="S39" s="154">
        <f t="shared" si="39"/>
        <v>0.32009337035310509</v>
      </c>
      <c r="T39" s="154">
        <f t="shared" si="39"/>
        <v>0.48467406616040531</v>
      </c>
      <c r="U39" s="154">
        <f t="shared" si="39"/>
        <v>0.60906069399504636</v>
      </c>
      <c r="V39" s="154">
        <f t="shared" si="39"/>
        <v>0.78554791613980846</v>
      </c>
      <c r="W39" s="162">
        <f t="shared" si="29"/>
        <v>1</v>
      </c>
      <c r="X39" s="154"/>
      <c r="Y39" s="142">
        <f t="shared" si="14"/>
        <v>1.6157635467980297E-2</v>
      </c>
      <c r="Z39" s="142">
        <f t="shared" si="15"/>
        <v>4.3054187192118239E-2</v>
      </c>
      <c r="AA39" s="142">
        <f t="shared" si="16"/>
        <v>5.9507389162561576E-2</v>
      </c>
      <c r="AB39" s="142">
        <f t="shared" si="17"/>
        <v>6.4039408866995093E-2</v>
      </c>
      <c r="AC39" s="142">
        <f t="shared" si="18"/>
        <v>2.8891625615763562E-2</v>
      </c>
      <c r="AD39" s="142">
        <f t="shared" si="19"/>
        <v>1.1865763546798037E-2</v>
      </c>
      <c r="AE39" s="142">
        <f t="shared" si="20"/>
        <v>6.7211822660098574E-3</v>
      </c>
      <c r="AF39" s="142">
        <f t="shared" si="21"/>
        <v>6.2487684729064076E-4</v>
      </c>
      <c r="AH39" s="158">
        <f t="shared" si="22"/>
        <v>3.8423645320197042E-2</v>
      </c>
      <c r="AI39" s="158">
        <f t="shared" si="38"/>
        <v>0.13103448275862067</v>
      </c>
      <c r="AJ39" s="158">
        <f t="shared" si="38"/>
        <v>0.27389162561576352</v>
      </c>
      <c r="AK39" s="158">
        <f t="shared" si="38"/>
        <v>0.48571428571428565</v>
      </c>
      <c r="AL39" s="158">
        <f t="shared" si="38"/>
        <v>0.63645320197044331</v>
      </c>
      <c r="AM39" s="158">
        <f t="shared" si="38"/>
        <v>0.73891625615763545</v>
      </c>
      <c r="AN39" s="158">
        <f t="shared" si="38"/>
        <v>0.86502463054187195</v>
      </c>
      <c r="AO39" s="158">
        <v>1</v>
      </c>
      <c r="AP39" s="143"/>
      <c r="AQ39" s="143">
        <f t="shared" si="7"/>
        <v>-6.6212958207535972E-4</v>
      </c>
      <c r="AR39" s="143">
        <f t="shared" si="7"/>
        <v>3.7814814887833191E-2</v>
      </c>
      <c r="AS39" s="143">
        <f t="shared" si="7"/>
        <v>9.6354634702693578E-2</v>
      </c>
      <c r="AT39" s="143">
        <f t="shared" si="7"/>
        <v>0.18658605034465367</v>
      </c>
      <c r="AU39" s="143">
        <f t="shared" si="7"/>
        <v>0.1645806958073002</v>
      </c>
      <c r="AV39" s="143">
        <f t="shared" si="7"/>
        <v>0.12438662783464106</v>
      </c>
      <c r="AW39" s="143">
        <f t="shared" si="7"/>
        <v>0.17648722214476212</v>
      </c>
      <c r="AX39" s="143">
        <f t="shared" si="7"/>
        <v>0.21445208386019152</v>
      </c>
      <c r="AY39" s="46"/>
      <c r="AZ39" s="152">
        <f>Shares!D80</f>
        <v>3.9</v>
      </c>
      <c r="BA39" s="152">
        <f>Shares!E80</f>
        <v>9.4</v>
      </c>
      <c r="BB39" s="152">
        <f>Shares!F80</f>
        <v>14.5</v>
      </c>
      <c r="BC39" s="152">
        <f>Shares!G80</f>
        <v>21.5</v>
      </c>
      <c r="BD39" s="152">
        <f>Shares!J80</f>
        <v>15.3</v>
      </c>
      <c r="BE39" s="152">
        <f>Shares!K80</f>
        <v>10.4</v>
      </c>
      <c r="BF39" s="152">
        <f>Shares!L80</f>
        <v>12.8</v>
      </c>
      <c r="BG39" s="152">
        <f>Shares!M80</f>
        <v>13.7</v>
      </c>
      <c r="BI39" s="146">
        <f>TxRt!B83</f>
        <v>-0.3</v>
      </c>
      <c r="BJ39" s="146">
        <f>TxRt!B126</f>
        <v>7.2</v>
      </c>
      <c r="BK39" s="146">
        <f>TxRt!B166</f>
        <v>11.8</v>
      </c>
      <c r="BL39" s="146">
        <f>TxRt!B206</f>
        <v>15.5</v>
      </c>
      <c r="BM39" s="146">
        <f>TxRt!B286</f>
        <v>18.899999999999999</v>
      </c>
      <c r="BN39" s="146">
        <f>TxRt!B326</f>
        <v>21.2</v>
      </c>
      <c r="BO39" s="146">
        <f>TxRt!B366</f>
        <v>24.2</v>
      </c>
      <c r="BP39" s="146">
        <f>TxRt!B406</f>
        <v>28.7</v>
      </c>
      <c r="BQ39" s="46"/>
      <c r="BR39" s="60">
        <f>Inc!B80</f>
        <v>20300</v>
      </c>
      <c r="BS39" s="60">
        <f>Inc!B120</f>
        <v>42900</v>
      </c>
      <c r="BT39" s="60">
        <f>Inc!B160</f>
        <v>68400</v>
      </c>
      <c r="BU39" s="60">
        <f>Inc!B200</f>
        <v>101700</v>
      </c>
      <c r="BV39" s="60">
        <f>Inc!B280</f>
        <v>144200</v>
      </c>
      <c r="BW39" s="60">
        <f>Inc!B320</f>
        <v>192700</v>
      </c>
      <c r="BX39" s="60">
        <f>Inc!B360</f>
        <v>299400</v>
      </c>
      <c r="BY39" s="60">
        <f>Inc!B400</f>
        <v>1338600</v>
      </c>
      <c r="CA39" s="60">
        <f t="shared" si="8"/>
        <v>-60.9</v>
      </c>
      <c r="CB39" s="60">
        <f t="shared" si="8"/>
        <v>3088.8</v>
      </c>
      <c r="CC39" s="60">
        <f t="shared" si="8"/>
        <v>8071.2</v>
      </c>
      <c r="CD39" s="60">
        <f t="shared" si="8"/>
        <v>15763.5</v>
      </c>
      <c r="CE39" s="60">
        <f t="shared" si="8"/>
        <v>27253.8</v>
      </c>
      <c r="CF39" s="60">
        <f t="shared" si="8"/>
        <v>40852.400000000001</v>
      </c>
      <c r="CG39" s="60">
        <f t="shared" si="8"/>
        <v>72454.8</v>
      </c>
      <c r="CH39" s="60">
        <f t="shared" si="8"/>
        <v>384178.2</v>
      </c>
      <c r="CJ39" s="153">
        <f t="shared" si="23"/>
        <v>-1304.7825000000003</v>
      </c>
      <c r="CK39" s="153">
        <f t="shared" si="9"/>
        <v>74517.300000000017</v>
      </c>
      <c r="CL39" s="153">
        <f t="shared" si="9"/>
        <v>189874.98</v>
      </c>
      <c r="CM39" s="153">
        <f t="shared" si="9"/>
        <v>367683.63750000007</v>
      </c>
      <c r="CN39" s="153">
        <f t="shared" si="9"/>
        <v>324320.21999999997</v>
      </c>
      <c r="CO39" s="153">
        <f t="shared" si="9"/>
        <v>245114.40000000002</v>
      </c>
      <c r="CP39" s="153">
        <f t="shared" si="9"/>
        <v>347783.04</v>
      </c>
      <c r="CQ39" s="153">
        <f t="shared" si="9"/>
        <v>422596.02</v>
      </c>
      <c r="CR39" s="153">
        <f t="shared" si="24"/>
        <v>1970584.8150000002</v>
      </c>
      <c r="CT39" s="403">
        <v>298</v>
      </c>
      <c r="CU39" s="276">
        <f>Dem!B80+(DD39/4)</f>
        <v>21.425000000000004</v>
      </c>
      <c r="CV39" s="276">
        <f>Dem!B120+(DD39/4)</f>
        <v>24.125000000000004</v>
      </c>
      <c r="CW39" s="276">
        <f>Dem!B160+(DD39/4)</f>
        <v>23.525000000000002</v>
      </c>
      <c r="CX39" s="276">
        <f>Dem!B200+(DD39/4)</f>
        <v>23.325000000000003</v>
      </c>
      <c r="CY39" s="276">
        <f>Dem!B280</f>
        <v>11.9</v>
      </c>
      <c r="CZ39" s="276">
        <f>Dem!B320</f>
        <v>6</v>
      </c>
      <c r="DA39" s="276">
        <f>Dem!B360</f>
        <v>4.8</v>
      </c>
      <c r="DB39" s="276">
        <f>Dem!B400</f>
        <v>1.1000000000000001</v>
      </c>
      <c r="DC39" s="275">
        <v>117.6</v>
      </c>
      <c r="DD39" s="46">
        <v>-0.69999999999998863</v>
      </c>
      <c r="DE39" s="275"/>
      <c r="DF39" s="276">
        <f>Dem!$D80+(DO39/4)</f>
        <v>57.474999999999987</v>
      </c>
      <c r="DG39" s="276">
        <f>Dem!$D120+(DO39/4)</f>
        <v>59.17499999999999</v>
      </c>
      <c r="DH39" s="276">
        <f>Dem!$D160+(DO39/4)</f>
        <v>59.17499999999999</v>
      </c>
      <c r="DI39" s="276">
        <f>Dem!$D200+(DO39/4)</f>
        <v>59.17499999999999</v>
      </c>
      <c r="DJ39" s="275">
        <f>Dem!$D280</f>
        <v>29.8</v>
      </c>
      <c r="DK39" s="275">
        <f>Dem!$D320</f>
        <v>14.9</v>
      </c>
      <c r="DL39" s="275">
        <f>Dem!$D360</f>
        <v>11.9</v>
      </c>
      <c r="DM39" s="275">
        <f>Dem!$D400</f>
        <v>3</v>
      </c>
      <c r="DN39" s="276">
        <f t="shared" si="25"/>
        <v>298</v>
      </c>
      <c r="DO39" s="44">
        <v>-1.7000000000000455</v>
      </c>
    </row>
    <row r="40" spans="1:119">
      <c r="A40" s="46">
        <f t="shared" si="26"/>
        <v>2010</v>
      </c>
      <c r="B40" s="141">
        <f t="shared" si="10"/>
        <v>0.19858848063863027</v>
      </c>
      <c r="C40" s="46"/>
      <c r="D40" s="141">
        <f t="shared" si="11"/>
        <v>0.67317427945519848</v>
      </c>
      <c r="E40" s="141">
        <f t="shared" si="12"/>
        <v>0.47458579881656821</v>
      </c>
      <c r="F40" s="46"/>
      <c r="G40" s="157">
        <f t="shared" si="27"/>
        <v>2.0000000000000004E-2</v>
      </c>
      <c r="H40" s="157">
        <f t="shared" si="30"/>
        <v>5.6311057926420653E-2</v>
      </c>
      <c r="I40" s="157">
        <f t="shared" si="31"/>
        <v>8.3449890115009598E-2</v>
      </c>
      <c r="J40" s="157">
        <f t="shared" si="32"/>
        <v>9.6558943151673196E-2</v>
      </c>
      <c r="K40" s="157">
        <f t="shared" si="33"/>
        <v>4.6640578018678991E-2</v>
      </c>
      <c r="L40" s="157">
        <f t="shared" si="34"/>
        <v>2.0217690491591295E-2</v>
      </c>
      <c r="M40" s="157">
        <f t="shared" si="35"/>
        <v>1.2207572695064069E-2</v>
      </c>
      <c r="N40" s="157">
        <f t="shared" si="36"/>
        <v>1.2014073291614458E-3</v>
      </c>
      <c r="O40" s="46"/>
      <c r="P40" s="154">
        <f t="shared" si="28"/>
        <v>0</v>
      </c>
      <c r="Q40" s="154">
        <f t="shared" si="39"/>
        <v>3.6889420735793634E-2</v>
      </c>
      <c r="R40" s="154">
        <f t="shared" si="39"/>
        <v>0.12861167811411042</v>
      </c>
      <c r="S40" s="154">
        <f t="shared" si="39"/>
        <v>0.30579889036915775</v>
      </c>
      <c r="T40" s="154">
        <f t="shared" si="39"/>
        <v>0.46138954925726261</v>
      </c>
      <c r="U40" s="154">
        <f t="shared" si="39"/>
        <v>0.57990283107908569</v>
      </c>
      <c r="V40" s="154">
        <f t="shared" si="39"/>
        <v>0.74971853416771117</v>
      </c>
      <c r="W40" s="162">
        <f t="shared" si="29"/>
        <v>1</v>
      </c>
      <c r="X40" s="154"/>
      <c r="Y40" s="142">
        <f t="shared" si="14"/>
        <v>1.6252465483234717E-2</v>
      </c>
      <c r="Z40" s="142">
        <f t="shared" si="15"/>
        <v>4.3530571992110467E-2</v>
      </c>
      <c r="AA40" s="142">
        <f t="shared" si="16"/>
        <v>6.0552268244575935E-2</v>
      </c>
      <c r="AB40" s="142">
        <f t="shared" si="17"/>
        <v>6.5936883629191353E-2</v>
      </c>
      <c r="AC40" s="142">
        <f t="shared" si="18"/>
        <v>3.026627218934912E-2</v>
      </c>
      <c r="AD40" s="142">
        <f t="shared" si="19"/>
        <v>1.267011834319527E-2</v>
      </c>
      <c r="AE40" s="142">
        <f t="shared" si="20"/>
        <v>7.3798816568047387E-3</v>
      </c>
      <c r="AF40" s="142">
        <f t="shared" si="21"/>
        <v>7.044378698224874E-4</v>
      </c>
      <c r="AH40" s="158">
        <f t="shared" si="22"/>
        <v>3.7475345167652857E-2</v>
      </c>
      <c r="AI40" s="158">
        <f t="shared" si="38"/>
        <v>0.12721893491124259</v>
      </c>
      <c r="AJ40" s="158">
        <f t="shared" si="38"/>
        <v>0.267258382642998</v>
      </c>
      <c r="AK40" s="158">
        <f t="shared" si="38"/>
        <v>0.47337278106508873</v>
      </c>
      <c r="AL40" s="158">
        <f t="shared" si="38"/>
        <v>0.62130177514792895</v>
      </c>
      <c r="AM40" s="158">
        <f t="shared" si="38"/>
        <v>0.72189349112426027</v>
      </c>
      <c r="AN40" s="158">
        <f t="shared" si="38"/>
        <v>0.84911242603550285</v>
      </c>
      <c r="AO40" s="158">
        <v>1</v>
      </c>
      <c r="AP40" s="143"/>
      <c r="AQ40" s="143">
        <f t="shared" si="7"/>
        <v>0</v>
      </c>
      <c r="AR40" s="143">
        <f t="shared" si="7"/>
        <v>3.6889420735793634E-2</v>
      </c>
      <c r="AS40" s="143">
        <f t="shared" si="7"/>
        <v>9.1722257378316796E-2</v>
      </c>
      <c r="AT40" s="143">
        <f t="shared" si="7"/>
        <v>0.1771872122550473</v>
      </c>
      <c r="AU40" s="143">
        <f t="shared" si="7"/>
        <v>0.15559065888810483</v>
      </c>
      <c r="AV40" s="143">
        <f t="shared" si="7"/>
        <v>0.11851328182182311</v>
      </c>
      <c r="AW40" s="143">
        <f t="shared" si="7"/>
        <v>0.16981570308862548</v>
      </c>
      <c r="AX40" s="143">
        <f t="shared" ref="AX40:AX46" si="40">CQ40/$CR40</f>
        <v>0.25028146583228883</v>
      </c>
      <c r="AY40" s="46"/>
      <c r="AZ40" s="152">
        <f>Shares!D81</f>
        <v>3.8</v>
      </c>
      <c r="BA40" s="152">
        <f>Shares!E81</f>
        <v>9.1</v>
      </c>
      <c r="BB40" s="152">
        <f>Shares!F81</f>
        <v>14.2</v>
      </c>
      <c r="BC40" s="152">
        <f>Shares!G81</f>
        <v>20.9</v>
      </c>
      <c r="BD40" s="152">
        <f>Shares!J81</f>
        <v>15</v>
      </c>
      <c r="BE40" s="152">
        <f>Shares!K81</f>
        <v>10.199999999999999</v>
      </c>
      <c r="BF40" s="152">
        <f>Shares!L81</f>
        <v>12.9</v>
      </c>
      <c r="BG40" s="152">
        <f>Shares!M81</f>
        <v>15.3</v>
      </c>
      <c r="BI40" s="146">
        <f>TxRt!B84</f>
        <v>0</v>
      </c>
      <c r="BJ40" s="146">
        <f>TxRt!B127</f>
        <v>7.6</v>
      </c>
      <c r="BK40" s="146">
        <f>TxRt!B167</f>
        <v>12.1</v>
      </c>
      <c r="BL40" s="146">
        <f>TxRt!B207</f>
        <v>15.9</v>
      </c>
      <c r="BM40" s="146">
        <f>TxRt!B287</f>
        <v>19.399999999999999</v>
      </c>
      <c r="BN40" s="146">
        <f>TxRt!B327</f>
        <v>21.6</v>
      </c>
      <c r="BO40" s="146">
        <f>TxRt!B367</f>
        <v>24.8</v>
      </c>
      <c r="BP40" s="146">
        <f>TxRt!B407</f>
        <v>29.3</v>
      </c>
      <c r="BQ40" s="46"/>
      <c r="BR40" s="60">
        <f>Inc!B81</f>
        <v>19800</v>
      </c>
      <c r="BS40" s="60">
        <f>Inc!B121</f>
        <v>42300</v>
      </c>
      <c r="BT40" s="60">
        <f>Inc!B161</f>
        <v>67700</v>
      </c>
      <c r="BU40" s="60">
        <f>Inc!B201</f>
        <v>101200</v>
      </c>
      <c r="BV40" s="60">
        <f>Inc!B281</f>
        <v>144300</v>
      </c>
      <c r="BW40" s="60">
        <f>Inc!B321</f>
        <v>194200</v>
      </c>
      <c r="BX40" s="60">
        <f>Inc!B361</f>
        <v>308000</v>
      </c>
      <c r="BY40" s="60">
        <f>Inc!B401</f>
        <v>1536900</v>
      </c>
      <c r="CA40" s="60">
        <f t="shared" si="8"/>
        <v>0</v>
      </c>
      <c r="CB40" s="60">
        <f t="shared" si="8"/>
        <v>3214.8</v>
      </c>
      <c r="CC40" s="60">
        <f t="shared" si="8"/>
        <v>8191.7</v>
      </c>
      <c r="CD40" s="60">
        <f t="shared" si="8"/>
        <v>16090.8</v>
      </c>
      <c r="CE40" s="60">
        <f t="shared" si="8"/>
        <v>27994.2</v>
      </c>
      <c r="CF40" s="60">
        <f t="shared" si="8"/>
        <v>41947.199999999997</v>
      </c>
      <c r="CG40" s="60">
        <f t="shared" si="8"/>
        <v>76384</v>
      </c>
      <c r="CH40" s="60">
        <f t="shared" ref="CH40:CH46" si="41">BP40*BY40/100</f>
        <v>450311.7</v>
      </c>
      <c r="CJ40" s="153">
        <f t="shared" si="23"/>
        <v>0</v>
      </c>
      <c r="CK40" s="153">
        <f t="shared" si="9"/>
        <v>79646.67</v>
      </c>
      <c r="CL40" s="153">
        <f t="shared" si="9"/>
        <v>198034.3475</v>
      </c>
      <c r="CM40" s="153">
        <f t="shared" si="9"/>
        <v>382558.76999999996</v>
      </c>
      <c r="CN40" s="153">
        <f t="shared" si="9"/>
        <v>335930.4</v>
      </c>
      <c r="CO40" s="153">
        <f t="shared" si="9"/>
        <v>255877.91999999995</v>
      </c>
      <c r="CP40" s="153">
        <f t="shared" si="9"/>
        <v>366643.20000000001</v>
      </c>
      <c r="CQ40" s="153">
        <f t="shared" si="9"/>
        <v>540374.04</v>
      </c>
      <c r="CR40" s="153">
        <f t="shared" si="24"/>
        <v>2159065.3475000001</v>
      </c>
      <c r="CT40" s="403">
        <v>301.39999999999998</v>
      </c>
      <c r="CU40" s="276">
        <f>Dem!B81+(DD40/4)</f>
        <v>22.175000000000001</v>
      </c>
      <c r="CV40" s="276">
        <f>Dem!B121+(DD40/4)</f>
        <v>24.774999999999999</v>
      </c>
      <c r="CW40" s="276">
        <f>Dem!B161+(DD40/4)</f>
        <v>24.175000000000001</v>
      </c>
      <c r="CX40" s="276">
        <f>Dem!B201+(DD40/4)</f>
        <v>23.774999999999999</v>
      </c>
      <c r="CY40" s="276">
        <f>Dem!B281</f>
        <v>12</v>
      </c>
      <c r="CZ40" s="276">
        <f>Dem!B321</f>
        <v>6.1</v>
      </c>
      <c r="DA40" s="276">
        <f>Dem!B361</f>
        <v>4.8</v>
      </c>
      <c r="DB40" s="276">
        <f>Dem!B401</f>
        <v>1.2</v>
      </c>
      <c r="DC40" s="275">
        <v>120</v>
      </c>
      <c r="DD40" s="46">
        <v>-0.5</v>
      </c>
      <c r="DE40" s="275"/>
      <c r="DF40" s="276">
        <f>Dem!$D81+(DO40/4)</f>
        <v>58.325000000000031</v>
      </c>
      <c r="DG40" s="276">
        <f>Dem!$D121+(DO40/4)</f>
        <v>59.925000000000026</v>
      </c>
      <c r="DH40" s="276">
        <f>Dem!$D161+(DO40/4)</f>
        <v>59.925000000000026</v>
      </c>
      <c r="DI40" s="276">
        <f>Dem!$D201+(DO40/4)</f>
        <v>59.925000000000026</v>
      </c>
      <c r="DJ40" s="275">
        <f>Dem!$D281</f>
        <v>30.1</v>
      </c>
      <c r="DK40" s="275">
        <f>Dem!$D321</f>
        <v>15.1</v>
      </c>
      <c r="DL40" s="275">
        <f>Dem!$D361</f>
        <v>12.1</v>
      </c>
      <c r="DM40" s="275">
        <f>Dem!$D401</f>
        <v>3</v>
      </c>
      <c r="DN40" s="276">
        <f t="shared" si="25"/>
        <v>301.39999999999998</v>
      </c>
      <c r="DO40" s="44">
        <v>-1.4999999999998863</v>
      </c>
    </row>
    <row r="41" spans="1:119">
      <c r="A41" s="46">
        <f t="shared" si="26"/>
        <v>2011</v>
      </c>
      <c r="B41" s="141">
        <f t="shared" si="10"/>
        <v>0.19028474720999122</v>
      </c>
      <c r="C41" s="46"/>
      <c r="D41" s="141">
        <f t="shared" si="11"/>
        <v>0.66436174622282451</v>
      </c>
      <c r="E41" s="141">
        <f t="shared" si="12"/>
        <v>0.47407699901283329</v>
      </c>
      <c r="F41" s="46"/>
      <c r="G41" s="157">
        <f t="shared" si="27"/>
        <v>1.9869572454939449E-2</v>
      </c>
      <c r="H41" s="157">
        <f t="shared" si="30"/>
        <v>5.5893881386057623E-2</v>
      </c>
      <c r="I41" s="157">
        <f t="shared" si="31"/>
        <v>8.2765675109462797E-2</v>
      </c>
      <c r="J41" s="157">
        <f t="shared" si="32"/>
        <v>9.5410122443112214E-2</v>
      </c>
      <c r="K41" s="157">
        <f t="shared" si="33"/>
        <v>4.5805711890169944E-2</v>
      </c>
      <c r="L41" s="157">
        <f t="shared" si="34"/>
        <v>1.9690305040842456E-2</v>
      </c>
      <c r="M41" s="157">
        <f t="shared" si="35"/>
        <v>1.1629225935374103E-2</v>
      </c>
      <c r="N41" s="157">
        <f t="shared" si="36"/>
        <v>1.1163788514536499E-3</v>
      </c>
      <c r="O41" s="46"/>
      <c r="P41" s="154">
        <f t="shared" si="28"/>
        <v>1.3042754506055062E-3</v>
      </c>
      <c r="Q41" s="154">
        <f t="shared" si="39"/>
        <v>3.9756910688818418E-2</v>
      </c>
      <c r="R41" s="154">
        <f t="shared" si="39"/>
        <v>0.13258633821655372</v>
      </c>
      <c r="S41" s="154">
        <f t="shared" si="39"/>
        <v>0.31331243735232428</v>
      </c>
      <c r="T41" s="154">
        <f t="shared" si="39"/>
        <v>0.47057332484427711</v>
      </c>
      <c r="U41" s="154">
        <f t="shared" si="39"/>
        <v>0.59181447352202476</v>
      </c>
      <c r="V41" s="154">
        <f t="shared" si="39"/>
        <v>0.76672422970927023</v>
      </c>
      <c r="W41" s="162">
        <f t="shared" si="29"/>
        <v>1</v>
      </c>
      <c r="X41" s="154"/>
      <c r="Y41" s="142">
        <f t="shared" si="14"/>
        <v>1.6150049358341561E-2</v>
      </c>
      <c r="Z41" s="142">
        <f t="shared" si="15"/>
        <v>4.3316880552813436E-2</v>
      </c>
      <c r="AA41" s="142">
        <f t="shared" si="16"/>
        <v>6.0513326752221125E-2</v>
      </c>
      <c r="AB41" s="142">
        <f t="shared" si="17"/>
        <v>6.6061204343534061E-2</v>
      </c>
      <c r="AC41" s="142">
        <f t="shared" si="18"/>
        <v>3.0310957551826268E-2</v>
      </c>
      <c r="AD41" s="142">
        <f t="shared" si="19"/>
        <v>1.2661648568608097E-2</v>
      </c>
      <c r="AE41" s="142">
        <f t="shared" si="20"/>
        <v>7.3291214215202459E-3</v>
      </c>
      <c r="AF41" s="142">
        <f t="shared" si="21"/>
        <v>6.9531095755182796E-4</v>
      </c>
      <c r="AH41" s="158">
        <f t="shared" si="22"/>
        <v>3.8499506416584402E-2</v>
      </c>
      <c r="AI41" s="158">
        <f t="shared" si="38"/>
        <v>0.12833168805528133</v>
      </c>
      <c r="AJ41" s="158">
        <f t="shared" si="38"/>
        <v>0.26653504442250742</v>
      </c>
      <c r="AK41" s="158">
        <f t="shared" si="38"/>
        <v>0.47285291214215203</v>
      </c>
      <c r="AL41" s="158">
        <f t="shared" si="38"/>
        <v>0.62092793682132275</v>
      </c>
      <c r="AM41" s="158">
        <f t="shared" si="38"/>
        <v>0.72260612043435335</v>
      </c>
      <c r="AN41" s="158">
        <f t="shared" si="38"/>
        <v>0.85093780848963463</v>
      </c>
      <c r="AO41" s="158">
        <v>1</v>
      </c>
      <c r="AP41" s="143"/>
      <c r="AQ41" s="143">
        <f t="shared" ref="AQ41:AW46" si="42">CJ41/$CR41</f>
        <v>1.3042754506055062E-3</v>
      </c>
      <c r="AR41" s="143">
        <f t="shared" si="42"/>
        <v>3.8452635238212914E-2</v>
      </c>
      <c r="AS41" s="143">
        <f t="shared" si="42"/>
        <v>9.2829427527735306E-2</v>
      </c>
      <c r="AT41" s="143">
        <f t="shared" si="42"/>
        <v>0.18072609913577056</v>
      </c>
      <c r="AU41" s="143">
        <f t="shared" si="42"/>
        <v>0.15726088749195283</v>
      </c>
      <c r="AV41" s="143">
        <f t="shared" si="42"/>
        <v>0.1212411486777477</v>
      </c>
      <c r="AW41" s="143">
        <f t="shared" si="42"/>
        <v>0.17490975618724544</v>
      </c>
      <c r="AX41" s="143">
        <f t="shared" si="40"/>
        <v>0.23327577029072985</v>
      </c>
      <c r="AY41" s="46"/>
      <c r="AZ41" s="152">
        <f>Shares!D82</f>
        <v>3.9</v>
      </c>
      <c r="BA41" s="152">
        <f>Shares!E82</f>
        <v>9.1</v>
      </c>
      <c r="BB41" s="152">
        <f>Shares!F82</f>
        <v>14</v>
      </c>
      <c r="BC41" s="152">
        <f>Shares!G82</f>
        <v>20.9</v>
      </c>
      <c r="BD41" s="152">
        <f>Shares!J82</f>
        <v>15</v>
      </c>
      <c r="BE41" s="152">
        <f>Shares!K82</f>
        <v>10.3</v>
      </c>
      <c r="BF41" s="152">
        <f>Shares!L82</f>
        <v>13</v>
      </c>
      <c r="BG41" s="152">
        <f>Shares!M82</f>
        <v>15.1</v>
      </c>
      <c r="BI41" s="146">
        <f>TxRt!B85</f>
        <v>0.6</v>
      </c>
      <c r="BJ41" s="146">
        <f>TxRt!B128</f>
        <v>7.7</v>
      </c>
      <c r="BK41" s="146">
        <f>TxRt!B168</f>
        <v>12</v>
      </c>
      <c r="BL41" s="146">
        <f>TxRt!B208</f>
        <v>15.7</v>
      </c>
      <c r="BM41" s="146">
        <f>TxRt!B288</f>
        <v>18.899999999999999</v>
      </c>
      <c r="BN41" s="146">
        <f>TxRt!B328</f>
        <v>21.2</v>
      </c>
      <c r="BO41" s="146">
        <f>TxRt!B368</f>
        <v>24.3</v>
      </c>
      <c r="BP41" s="146">
        <f>TxRt!B408</f>
        <v>29</v>
      </c>
      <c r="BQ41" s="46"/>
      <c r="BR41" s="60">
        <f>Inc!B82</f>
        <v>20100</v>
      </c>
      <c r="BS41" s="60">
        <f>Inc!B122</f>
        <v>42100</v>
      </c>
      <c r="BT41" s="60">
        <f>Inc!B162</f>
        <v>67100</v>
      </c>
      <c r="BU41" s="60">
        <f>Inc!B202</f>
        <v>101100</v>
      </c>
      <c r="BV41" s="60">
        <f>Inc!B282</f>
        <v>145700</v>
      </c>
      <c r="BW41" s="60">
        <f>Inc!B322</f>
        <v>197000</v>
      </c>
      <c r="BX41" s="60">
        <f>Inc!B362</f>
        <v>315100</v>
      </c>
      <c r="BY41" s="60">
        <f>Inc!B402</f>
        <v>1536600</v>
      </c>
      <c r="CA41" s="60">
        <f t="shared" ref="CA41:CG46" si="43">BI41*BR41/100</f>
        <v>120.6</v>
      </c>
      <c r="CB41" s="60">
        <f t="shared" si="43"/>
        <v>3241.7</v>
      </c>
      <c r="CC41" s="60">
        <f t="shared" si="43"/>
        <v>8052</v>
      </c>
      <c r="CD41" s="60">
        <f t="shared" si="43"/>
        <v>15872.7</v>
      </c>
      <c r="CE41" s="60">
        <f t="shared" si="43"/>
        <v>27537.3</v>
      </c>
      <c r="CF41" s="60">
        <f t="shared" si="43"/>
        <v>41764</v>
      </c>
      <c r="CG41" s="60">
        <f t="shared" si="43"/>
        <v>76569.3</v>
      </c>
      <c r="CH41" s="60">
        <f t="shared" si="41"/>
        <v>445614</v>
      </c>
      <c r="CJ41" s="153">
        <f t="shared" si="23"/>
        <v>2740.6349999999993</v>
      </c>
      <c r="CK41" s="153">
        <f t="shared" si="9"/>
        <v>80799.372499999983</v>
      </c>
      <c r="CL41" s="153">
        <f t="shared" si="9"/>
        <v>195059.69999999995</v>
      </c>
      <c r="CM41" s="153">
        <f t="shared" si="9"/>
        <v>379754.34749999997</v>
      </c>
      <c r="CN41" s="153">
        <f t="shared" si="9"/>
        <v>330447.59999999998</v>
      </c>
      <c r="CO41" s="153">
        <f t="shared" si="9"/>
        <v>254760.4</v>
      </c>
      <c r="CP41" s="153">
        <f t="shared" si="9"/>
        <v>367532.64</v>
      </c>
      <c r="CQ41" s="153">
        <f t="shared" si="9"/>
        <v>490175.4</v>
      </c>
      <c r="CR41" s="153">
        <f t="shared" si="24"/>
        <v>2101270.0949999997</v>
      </c>
      <c r="CT41" s="403">
        <v>302.5</v>
      </c>
      <c r="CU41" s="276">
        <f>Dem!B82+(DD41/4)</f>
        <v>22.724999999999994</v>
      </c>
      <c r="CV41" s="276">
        <f>Dem!B122+(DD41/4)</f>
        <v>24.924999999999997</v>
      </c>
      <c r="CW41" s="276">
        <f>Dem!B162+(DD41/4)</f>
        <v>24.224999999999994</v>
      </c>
      <c r="CX41" s="276">
        <f>Dem!B202+(DD41/4)</f>
        <v>23.924999999999997</v>
      </c>
      <c r="CY41" s="276">
        <f>Dem!B282</f>
        <v>12</v>
      </c>
      <c r="CZ41" s="276">
        <f>Dem!B322</f>
        <v>6.1</v>
      </c>
      <c r="DA41" s="276">
        <f>Dem!B362</f>
        <v>4.8</v>
      </c>
      <c r="DB41" s="276">
        <f>Dem!B402</f>
        <v>1.1000000000000001</v>
      </c>
      <c r="DC41" s="275">
        <v>121.2</v>
      </c>
      <c r="DD41" s="46">
        <v>-0.70000000000001705</v>
      </c>
      <c r="DE41" s="275"/>
      <c r="DF41" s="276">
        <f>Dem!$D82+(DO41/4)</f>
        <v>58.625000000000014</v>
      </c>
      <c r="DG41" s="276">
        <f>Dem!$D122+(DO41/4)</f>
        <v>60.125000000000014</v>
      </c>
      <c r="DH41" s="276">
        <f>Dem!$D162+(DO41/4)</f>
        <v>60.125000000000014</v>
      </c>
      <c r="DI41" s="276">
        <f>Dem!$D202+(DO41/4)</f>
        <v>60.125000000000014</v>
      </c>
      <c r="DJ41" s="275">
        <f>Dem!$D282</f>
        <v>30.3</v>
      </c>
      <c r="DK41" s="275">
        <f>Dem!$D322</f>
        <v>15.1</v>
      </c>
      <c r="DL41" s="275">
        <f>Dem!$D362</f>
        <v>12.1</v>
      </c>
      <c r="DM41" s="275">
        <f>Dem!$D402</f>
        <v>3</v>
      </c>
      <c r="DN41" s="276">
        <f t="shared" si="25"/>
        <v>302.5</v>
      </c>
      <c r="DO41" s="44">
        <v>-1.4999999999999432</v>
      </c>
    </row>
    <row r="42" spans="1:119">
      <c r="A42" s="46">
        <f t="shared" si="26"/>
        <v>2012</v>
      </c>
      <c r="B42" s="141">
        <f t="shared" si="10"/>
        <v>0.18923746166497252</v>
      </c>
      <c r="C42" s="46"/>
      <c r="D42" s="141">
        <f t="shared" si="11"/>
        <v>0.68776658308649274</v>
      </c>
      <c r="E42" s="141">
        <f t="shared" si="12"/>
        <v>0.49852912142152023</v>
      </c>
      <c r="F42" s="46"/>
      <c r="G42" s="157">
        <f t="shared" si="27"/>
        <v>1.983153164400803E-2</v>
      </c>
      <c r="H42" s="157">
        <f t="shared" si="30"/>
        <v>5.6223356324929474E-2</v>
      </c>
      <c r="I42" s="157">
        <f t="shared" si="31"/>
        <v>8.4174643389520756E-2</v>
      </c>
      <c r="J42" s="157">
        <f t="shared" si="32"/>
        <v>9.8819384816837594E-2</v>
      </c>
      <c r="K42" s="157">
        <f t="shared" si="33"/>
        <v>4.8648753058733889E-2</v>
      </c>
      <c r="L42" s="157">
        <f t="shared" si="34"/>
        <v>2.1526634465952939E-2</v>
      </c>
      <c r="M42" s="157">
        <f t="shared" si="35"/>
        <v>1.3321014188794238E-2</v>
      </c>
      <c r="N42" s="157">
        <f t="shared" si="36"/>
        <v>1.3379736544694464E-3</v>
      </c>
      <c r="O42" s="46"/>
      <c r="P42" s="154">
        <f t="shared" si="28"/>
        <v>1.6846835599197139E-3</v>
      </c>
      <c r="Q42" s="154">
        <f t="shared" si="39"/>
        <v>3.6081753190785576E-2</v>
      </c>
      <c r="R42" s="154">
        <f t="shared" si="39"/>
        <v>0.1221718129140069</v>
      </c>
      <c r="S42" s="154">
        <f t="shared" si="39"/>
        <v>0.28963433891761742</v>
      </c>
      <c r="T42" s="154">
        <f t="shared" si="39"/>
        <v>0.43739059990770512</v>
      </c>
      <c r="U42" s="154">
        <f t="shared" si="39"/>
        <v>0.55154402145417747</v>
      </c>
      <c r="V42" s="154">
        <f t="shared" si="39"/>
        <v>0.72240526910611091</v>
      </c>
      <c r="W42" s="162">
        <f t="shared" si="29"/>
        <v>1</v>
      </c>
      <c r="X42" s="154"/>
      <c r="Y42" s="142">
        <f t="shared" si="14"/>
        <v>1.6446199407699903E-2</v>
      </c>
      <c r="Z42" s="142">
        <f t="shared" si="15"/>
        <v>4.4501480750246805E-2</v>
      </c>
      <c r="AA42" s="142">
        <f t="shared" si="16"/>
        <v>6.2783810463968401E-2</v>
      </c>
      <c r="AB42" s="142">
        <f t="shared" si="17"/>
        <v>6.9615004935834154E-2</v>
      </c>
      <c r="AC42" s="142">
        <f t="shared" si="18"/>
        <v>3.2680157946692989E-2</v>
      </c>
      <c r="AD42" s="142">
        <f t="shared" si="19"/>
        <v>1.3994323790720631E-2</v>
      </c>
      <c r="AE42" s="142">
        <f t="shared" si="20"/>
        <v>8.4150049358341621E-3</v>
      </c>
      <c r="AF42" s="142">
        <f t="shared" si="21"/>
        <v>8.2857847976308132E-4</v>
      </c>
      <c r="AH42" s="158">
        <f t="shared" si="22"/>
        <v>3.5538005923000986E-2</v>
      </c>
      <c r="AI42" s="158">
        <f t="shared" ref="AI42:AN46" si="44">AH42+BA42/SUM($AZ42:$BG42)</f>
        <v>0.1194471865745311</v>
      </c>
      <c r="AJ42" s="158">
        <f t="shared" si="44"/>
        <v>0.25271470878578484</v>
      </c>
      <c r="AK42" s="158">
        <f t="shared" si="44"/>
        <v>0.45113524185587373</v>
      </c>
      <c r="AL42" s="158">
        <f t="shared" si="44"/>
        <v>0.59526159921026656</v>
      </c>
      <c r="AM42" s="158">
        <f t="shared" si="44"/>
        <v>0.69496544916090819</v>
      </c>
      <c r="AN42" s="158">
        <f t="shared" si="44"/>
        <v>0.82428430404738395</v>
      </c>
      <c r="AO42" s="158">
        <v>1</v>
      </c>
      <c r="AP42" s="143"/>
      <c r="AQ42" s="143">
        <f t="shared" si="42"/>
        <v>1.6846835599197139E-3</v>
      </c>
      <c r="AR42" s="143">
        <f t="shared" si="42"/>
        <v>3.4397069630865862E-2</v>
      </c>
      <c r="AS42" s="143">
        <f t="shared" si="42"/>
        <v>8.6090059723221327E-2</v>
      </c>
      <c r="AT42" s="143">
        <f t="shared" si="42"/>
        <v>0.16746252600361053</v>
      </c>
      <c r="AU42" s="143">
        <f t="shared" si="42"/>
        <v>0.14775626099008773</v>
      </c>
      <c r="AV42" s="143">
        <f t="shared" si="42"/>
        <v>0.11415342154647239</v>
      </c>
      <c r="AW42" s="143">
        <f t="shared" si="42"/>
        <v>0.17086124765193342</v>
      </c>
      <c r="AX42" s="143">
        <f t="shared" si="40"/>
        <v>0.27759473089388914</v>
      </c>
      <c r="AY42" s="46"/>
      <c r="AZ42" s="152">
        <f>Shares!D83</f>
        <v>3.6</v>
      </c>
      <c r="BA42" s="152">
        <f>Shares!E83</f>
        <v>8.5</v>
      </c>
      <c r="BB42" s="152">
        <f>Shares!F83</f>
        <v>13.5</v>
      </c>
      <c r="BC42" s="152">
        <f>Shares!G83</f>
        <v>20.100000000000001</v>
      </c>
      <c r="BD42" s="152">
        <f>Shares!J83</f>
        <v>14.6</v>
      </c>
      <c r="BE42" s="152">
        <f>Shares!K83</f>
        <v>10.1</v>
      </c>
      <c r="BF42" s="152">
        <f>Shares!L83</f>
        <v>13.1</v>
      </c>
      <c r="BG42" s="152">
        <f>Shares!M83</f>
        <v>17.8</v>
      </c>
      <c r="BI42" s="146">
        <f>TxRt!B86</f>
        <v>0.9</v>
      </c>
      <c r="BJ42" s="146">
        <f>TxRt!B129</f>
        <v>7.7</v>
      </c>
      <c r="BK42" s="146">
        <f>TxRt!B169</f>
        <v>12.2</v>
      </c>
      <c r="BL42" s="146">
        <f>TxRt!B209</f>
        <v>15.9</v>
      </c>
      <c r="BM42" s="146">
        <f>TxRt!B289</f>
        <v>19.2</v>
      </c>
      <c r="BN42" s="146">
        <f>TxRt!B329</f>
        <v>21.6</v>
      </c>
      <c r="BO42" s="146">
        <f>TxRt!B369</f>
        <v>24.8</v>
      </c>
      <c r="BP42" s="146">
        <f>TxRt!B409</f>
        <v>28.6</v>
      </c>
      <c r="BQ42" s="46"/>
      <c r="BR42" s="60">
        <f>Inc!B83</f>
        <v>19200</v>
      </c>
      <c r="BS42" s="60">
        <f>Inc!B123</f>
        <v>41800</v>
      </c>
      <c r="BT42" s="60">
        <f>Inc!B163</f>
        <v>67100</v>
      </c>
      <c r="BU42" s="60">
        <f>Inc!B203</f>
        <v>101800</v>
      </c>
      <c r="BV42" s="60">
        <f>Inc!B283</f>
        <v>146800</v>
      </c>
      <c r="BW42" s="60">
        <f>Inc!B323</f>
        <v>200000</v>
      </c>
      <c r="BX42" s="60">
        <f>Inc!B363</f>
        <v>329900</v>
      </c>
      <c r="BY42" s="60">
        <f>Inc!B403</f>
        <v>1897800</v>
      </c>
      <c r="CA42" s="60">
        <f t="shared" si="43"/>
        <v>172.8</v>
      </c>
      <c r="CB42" s="60">
        <f t="shared" si="43"/>
        <v>3218.6</v>
      </c>
      <c r="CC42" s="60">
        <f t="shared" si="43"/>
        <v>8186.2</v>
      </c>
      <c r="CD42" s="60">
        <f t="shared" si="43"/>
        <v>16186.2</v>
      </c>
      <c r="CE42" s="60">
        <f t="shared" si="43"/>
        <v>28185.599999999999</v>
      </c>
      <c r="CF42" s="60">
        <f t="shared" si="43"/>
        <v>43200</v>
      </c>
      <c r="CG42" s="60">
        <f t="shared" si="43"/>
        <v>81815.199999999997</v>
      </c>
      <c r="CH42" s="60">
        <f t="shared" si="41"/>
        <v>542770.80000000005</v>
      </c>
      <c r="CJ42" s="153">
        <f t="shared" si="23"/>
        <v>3952.8000000000011</v>
      </c>
      <c r="CK42" s="153">
        <f t="shared" si="9"/>
        <v>80706.395000000004</v>
      </c>
      <c r="CL42" s="153">
        <f t="shared" si="9"/>
        <v>201994.48500000004</v>
      </c>
      <c r="CM42" s="153">
        <f t="shared" si="9"/>
        <v>392920.00500000006</v>
      </c>
      <c r="CN42" s="153">
        <f t="shared" si="9"/>
        <v>346682.88</v>
      </c>
      <c r="CO42" s="153">
        <f t="shared" si="9"/>
        <v>267840</v>
      </c>
      <c r="CP42" s="153">
        <f t="shared" si="9"/>
        <v>400894.48000000004</v>
      </c>
      <c r="CQ42" s="153">
        <f t="shared" si="9"/>
        <v>651324.96000000008</v>
      </c>
      <c r="CR42" s="153">
        <f t="shared" si="24"/>
        <v>2346316.0049999999</v>
      </c>
      <c r="CT42" s="403">
        <v>305.8</v>
      </c>
      <c r="CU42" s="276">
        <f>Dem!B83+(DD42/4)</f>
        <v>22.875000000000004</v>
      </c>
      <c r="CV42" s="276">
        <f>Dem!B123+(DD42/4)</f>
        <v>25.075000000000003</v>
      </c>
      <c r="CW42" s="276">
        <f>Dem!B163+(DD42/4)</f>
        <v>24.675000000000004</v>
      </c>
      <c r="CX42" s="276">
        <f>Dem!B203+(DD42/4)</f>
        <v>24.275000000000002</v>
      </c>
      <c r="CY42" s="276">
        <f>Dem!B283</f>
        <v>12.3</v>
      </c>
      <c r="CZ42" s="276">
        <f>Dem!B323</f>
        <v>6.2</v>
      </c>
      <c r="DA42" s="276">
        <f>Dem!B363</f>
        <v>4.9000000000000004</v>
      </c>
      <c r="DB42" s="276">
        <f>Dem!B403</f>
        <v>1.2</v>
      </c>
      <c r="DC42" s="275">
        <v>122.5</v>
      </c>
      <c r="DD42" s="46">
        <v>-0.49999999999998579</v>
      </c>
      <c r="DE42" s="275"/>
      <c r="DF42" s="276">
        <f>Dem!$D83+(DO42/4)</f>
        <v>59.5</v>
      </c>
      <c r="DG42" s="276">
        <f>Dem!$D123+(DO42/4)</f>
        <v>60.900000000000006</v>
      </c>
      <c r="DH42" s="276">
        <f>Dem!$D163+(DO42/4)</f>
        <v>60.900000000000006</v>
      </c>
      <c r="DI42" s="276">
        <f>Dem!$D203+(DO42/4)</f>
        <v>60.900000000000006</v>
      </c>
      <c r="DJ42" s="275">
        <f>Dem!$D283</f>
        <v>30.6</v>
      </c>
      <c r="DK42" s="275">
        <f>Dem!$D323</f>
        <v>15.3</v>
      </c>
      <c r="DL42" s="275">
        <f>Dem!$D363</f>
        <v>12.2</v>
      </c>
      <c r="DM42" s="275">
        <f>Dem!$D403</f>
        <v>3.1</v>
      </c>
      <c r="DN42" s="276">
        <f t="shared" si="25"/>
        <v>305.8</v>
      </c>
      <c r="DO42" s="44">
        <v>-1.1999999999999886</v>
      </c>
    </row>
    <row r="43" spans="1:119">
      <c r="A43" s="46">
        <f t="shared" si="26"/>
        <v>2013</v>
      </c>
      <c r="B43" s="141">
        <f t="shared" si="10"/>
        <v>0.18541967050425839</v>
      </c>
      <c r="C43" s="46"/>
      <c r="D43" s="141">
        <f t="shared" si="11"/>
        <v>0.66708798244897727</v>
      </c>
      <c r="E43" s="141">
        <f t="shared" si="12"/>
        <v>0.48166831194471887</v>
      </c>
      <c r="F43" s="46"/>
      <c r="G43" s="157">
        <f t="shared" si="27"/>
        <v>1.9583725912270446E-2</v>
      </c>
      <c r="H43" s="157">
        <f t="shared" si="30"/>
        <v>5.5305570611263101E-2</v>
      </c>
      <c r="I43" s="157">
        <f t="shared" si="31"/>
        <v>8.2306519725851512E-2</v>
      </c>
      <c r="J43" s="157">
        <f t="shared" si="32"/>
        <v>9.5838655344312143E-2</v>
      </c>
      <c r="K43" s="157">
        <f t="shared" si="33"/>
        <v>4.6618507702548329E-2</v>
      </c>
      <c r="L43" s="157">
        <f t="shared" si="34"/>
        <v>2.0328867783150486E-2</v>
      </c>
      <c r="M43" s="157">
        <f t="shared" si="35"/>
        <v>1.2343012757872463E-2</v>
      </c>
      <c r="N43" s="157">
        <f t="shared" si="36"/>
        <v>1.2191313872201893E-3</v>
      </c>
      <c r="O43" s="46"/>
      <c r="P43" s="154">
        <f t="shared" si="28"/>
        <v>4.1627408772955737E-3</v>
      </c>
      <c r="Q43" s="154">
        <f t="shared" ref="Q43:V46" si="45">P43+AR43/SUM($AQ43:$AX43)</f>
        <v>4.2781553010073511E-2</v>
      </c>
      <c r="R43" s="154">
        <f t="shared" si="45"/>
        <v>0.13415324973141143</v>
      </c>
      <c r="S43" s="154">
        <f t="shared" si="45"/>
        <v>0.30746019682546727</v>
      </c>
      <c r="T43" s="154">
        <f t="shared" si="45"/>
        <v>0.46016964912356628</v>
      </c>
      <c r="U43" s="154">
        <f t="shared" si="45"/>
        <v>0.57667563955041445</v>
      </c>
      <c r="V43" s="154">
        <f t="shared" si="45"/>
        <v>0.74617372255596248</v>
      </c>
      <c r="W43" s="162">
        <f t="shared" si="29"/>
        <v>1</v>
      </c>
      <c r="X43" s="154"/>
      <c r="Y43" s="142">
        <f t="shared" si="14"/>
        <v>1.624876604146101E-2</v>
      </c>
      <c r="Z43" s="142">
        <f t="shared" si="15"/>
        <v>4.3810463968410679E-2</v>
      </c>
      <c r="AA43" s="142">
        <f t="shared" si="16"/>
        <v>6.1401776900296162E-2</v>
      </c>
      <c r="AB43" s="142">
        <f t="shared" si="17"/>
        <v>6.7245804540967444E-2</v>
      </c>
      <c r="AC43" s="142">
        <f t="shared" si="18"/>
        <v>3.0952615992102684E-2</v>
      </c>
      <c r="AD43" s="142">
        <f t="shared" si="19"/>
        <v>1.2957798617966443E-2</v>
      </c>
      <c r="AE43" s="142">
        <f t="shared" si="20"/>
        <v>7.5068114511352537E-3</v>
      </c>
      <c r="AF43" s="142">
        <f t="shared" si="21"/>
        <v>7.101184600197452E-4</v>
      </c>
      <c r="AH43" s="158">
        <f t="shared" si="22"/>
        <v>3.7512339585389923E-2</v>
      </c>
      <c r="AI43" s="158">
        <f t="shared" si="44"/>
        <v>0.12438302073050345</v>
      </c>
      <c r="AJ43" s="158">
        <f t="shared" si="44"/>
        <v>0.26159921026653499</v>
      </c>
      <c r="AK43" s="158">
        <f t="shared" si="44"/>
        <v>0.46594274432379063</v>
      </c>
      <c r="AL43" s="158">
        <f t="shared" si="44"/>
        <v>0.61500493583415583</v>
      </c>
      <c r="AM43" s="158">
        <f t="shared" si="44"/>
        <v>0.71668311944718643</v>
      </c>
      <c r="AN43" s="158">
        <f t="shared" si="44"/>
        <v>0.84797630799605117</v>
      </c>
      <c r="AO43" s="158">
        <v>1</v>
      </c>
      <c r="AP43" s="143"/>
      <c r="AQ43" s="143">
        <f t="shared" si="42"/>
        <v>4.1627408772955737E-3</v>
      </c>
      <c r="AR43" s="143">
        <f t="shared" si="42"/>
        <v>3.8618812132777937E-2</v>
      </c>
      <c r="AS43" s="143">
        <f t="shared" si="42"/>
        <v>9.1371696721337922E-2</v>
      </c>
      <c r="AT43" s="143">
        <f t="shared" si="42"/>
        <v>0.17330694709405584</v>
      </c>
      <c r="AU43" s="143">
        <f t="shared" si="42"/>
        <v>0.15270945229809901</v>
      </c>
      <c r="AV43" s="143">
        <f t="shared" si="42"/>
        <v>0.11650599042684817</v>
      </c>
      <c r="AW43" s="143">
        <f t="shared" si="42"/>
        <v>0.16949808300554803</v>
      </c>
      <c r="AX43" s="143">
        <f t="shared" si="40"/>
        <v>0.25382627744403752</v>
      </c>
      <c r="AY43" s="46"/>
      <c r="AZ43" s="152">
        <f>Shares!D84</f>
        <v>3.8</v>
      </c>
      <c r="BA43" s="152">
        <f>Shares!E84</f>
        <v>8.8000000000000007</v>
      </c>
      <c r="BB43" s="152">
        <f>Shares!F84</f>
        <v>13.9</v>
      </c>
      <c r="BC43" s="152">
        <f>Shares!G84</f>
        <v>20.7</v>
      </c>
      <c r="BD43" s="152">
        <f>Shares!J84</f>
        <v>15.1</v>
      </c>
      <c r="BE43" s="152">
        <f>Shares!K84</f>
        <v>10.3</v>
      </c>
      <c r="BF43" s="152">
        <f>Shares!L84</f>
        <v>13.3</v>
      </c>
      <c r="BG43" s="152">
        <f>Shares!M84</f>
        <v>15.4</v>
      </c>
      <c r="BI43" s="146">
        <f>TxRt!B87</f>
        <v>2.2999999999999998</v>
      </c>
      <c r="BJ43" s="146">
        <f>TxRt!B130</f>
        <v>9.1</v>
      </c>
      <c r="BK43" s="146">
        <f>TxRt!B170</f>
        <v>13.7</v>
      </c>
      <c r="BL43" s="146">
        <f>TxRt!B210</f>
        <v>17.399999999999999</v>
      </c>
      <c r="BM43" s="146">
        <f>TxRt!B290</f>
        <v>20.9</v>
      </c>
      <c r="BN43" s="146">
        <f>TxRt!B330</f>
        <v>23.2</v>
      </c>
      <c r="BO43" s="146">
        <f>TxRt!B370</f>
        <v>26.3</v>
      </c>
      <c r="BP43" s="146">
        <f>TxRt!B410</f>
        <v>33.6</v>
      </c>
      <c r="BQ43" s="46"/>
      <c r="BR43" s="60">
        <f>Inc!B84</f>
        <v>19900</v>
      </c>
      <c r="BS43" s="60">
        <f>Inc!B124</f>
        <v>42600</v>
      </c>
      <c r="BT43" s="60">
        <f>Inc!B164</f>
        <v>68300</v>
      </c>
      <c r="BU43" s="60">
        <f>Inc!B204</f>
        <v>104100</v>
      </c>
      <c r="BV43" s="60">
        <f>Inc!B284</f>
        <v>149500</v>
      </c>
      <c r="BW43" s="60">
        <f>Inc!B324</f>
        <v>205500</v>
      </c>
      <c r="BX43" s="60">
        <f>Inc!B364</f>
        <v>333700</v>
      </c>
      <c r="BY43" s="60">
        <f>Inc!B404</f>
        <v>1597200</v>
      </c>
      <c r="CA43" s="60">
        <f t="shared" si="43"/>
        <v>457.7</v>
      </c>
      <c r="CB43" s="60">
        <f t="shared" si="43"/>
        <v>3876.6</v>
      </c>
      <c r="CC43" s="60">
        <f t="shared" si="43"/>
        <v>9357.1</v>
      </c>
      <c r="CD43" s="60">
        <f t="shared" si="43"/>
        <v>18113.399999999998</v>
      </c>
      <c r="CE43" s="60">
        <f t="shared" si="43"/>
        <v>31245.5</v>
      </c>
      <c r="CF43" s="60">
        <f t="shared" si="43"/>
        <v>47676</v>
      </c>
      <c r="CG43" s="60">
        <f t="shared" si="43"/>
        <v>87763.1</v>
      </c>
      <c r="CH43" s="60">
        <f t="shared" si="41"/>
        <v>536659.19999999995</v>
      </c>
      <c r="CJ43" s="153">
        <f t="shared" si="23"/>
        <v>10561.427500000003</v>
      </c>
      <c r="CK43" s="153">
        <f t="shared" si="9"/>
        <v>97981.065000000017</v>
      </c>
      <c r="CL43" s="153">
        <f t="shared" si="9"/>
        <v>231822.15250000005</v>
      </c>
      <c r="CM43" s="153">
        <f t="shared" si="9"/>
        <v>439702.78500000003</v>
      </c>
      <c r="CN43" s="153">
        <f t="shared" si="9"/>
        <v>387444.2</v>
      </c>
      <c r="CO43" s="153">
        <f t="shared" si="9"/>
        <v>295591.2</v>
      </c>
      <c r="CP43" s="153">
        <f t="shared" si="9"/>
        <v>430039.19000000006</v>
      </c>
      <c r="CQ43" s="153">
        <f t="shared" si="9"/>
        <v>643991.03999999992</v>
      </c>
      <c r="CR43" s="153">
        <f t="shared" si="24"/>
        <v>2537133.06</v>
      </c>
      <c r="CT43" s="403">
        <v>306</v>
      </c>
      <c r="CU43" s="276">
        <f>Dem!B84+(DD43/4)</f>
        <v>23.075000000000006</v>
      </c>
      <c r="CV43" s="276">
        <f>Dem!B124+(DD43/4)</f>
        <v>25.275000000000006</v>
      </c>
      <c r="CW43" s="276">
        <f>Dem!B164+(DD43/4)</f>
        <v>24.775000000000006</v>
      </c>
      <c r="CX43" s="276">
        <f>Dem!B204+(DD43/4)</f>
        <v>24.275000000000006</v>
      </c>
      <c r="CY43" s="276">
        <f>Dem!B284</f>
        <v>12.4</v>
      </c>
      <c r="CZ43" s="276">
        <f>Dem!B324</f>
        <v>6.2</v>
      </c>
      <c r="DA43" s="276">
        <f>Dem!B364</f>
        <v>4.9000000000000004</v>
      </c>
      <c r="DB43" s="276">
        <f>Dem!B404</f>
        <v>1.2</v>
      </c>
      <c r="DC43" s="275">
        <v>123.1</v>
      </c>
      <c r="DD43" s="46">
        <v>-0.49999999999997158</v>
      </c>
      <c r="DE43" s="275"/>
      <c r="DF43" s="276">
        <f>Dem!$D84+(DO43/4)</f>
        <v>59.57500000000001</v>
      </c>
      <c r="DG43" s="276">
        <f>Dem!$D124+(DO43/4)</f>
        <v>60.875000000000014</v>
      </c>
      <c r="DH43" s="276">
        <f>Dem!$D164+(DO43/4)</f>
        <v>60.875000000000014</v>
      </c>
      <c r="DI43" s="276">
        <f>Dem!$D204+(DO43/4)</f>
        <v>60.875000000000014</v>
      </c>
      <c r="DJ43" s="275">
        <f>Dem!$D284</f>
        <v>30.6</v>
      </c>
      <c r="DK43" s="275">
        <f>Dem!$D324</f>
        <v>15.3</v>
      </c>
      <c r="DL43" s="275">
        <f>Dem!$D364</f>
        <v>12.2</v>
      </c>
      <c r="DM43" s="275">
        <f>Dem!$D404</f>
        <v>3.1</v>
      </c>
      <c r="DN43" s="276">
        <f t="shared" si="25"/>
        <v>306</v>
      </c>
      <c r="DO43" s="44">
        <v>-1.2999999999999545</v>
      </c>
    </row>
    <row r="44" spans="1:119">
      <c r="A44" s="46">
        <f t="shared" si="26"/>
        <v>2014</v>
      </c>
      <c r="B44" s="141">
        <f t="shared" si="10"/>
        <v>0.18196725187495155</v>
      </c>
      <c r="C44" s="46"/>
      <c r="D44" s="141">
        <f t="shared" si="11"/>
        <v>0.67740203448364733</v>
      </c>
      <c r="E44" s="141">
        <f t="shared" si="12"/>
        <v>0.49543478260869578</v>
      </c>
      <c r="F44" s="46"/>
      <c r="G44" s="157">
        <f t="shared" si="27"/>
        <v>1.9679914454425105E-2</v>
      </c>
      <c r="H44" s="157">
        <f t="shared" si="30"/>
        <v>5.5697057855292609E-2</v>
      </c>
      <c r="I44" s="157">
        <f t="shared" si="31"/>
        <v>8.3177963400263705E-2</v>
      </c>
      <c r="J44" s="157">
        <f t="shared" si="32"/>
        <v>9.727423703990111E-2</v>
      </c>
      <c r="K44" s="157">
        <f t="shared" si="33"/>
        <v>4.7696125557604281E-2</v>
      </c>
      <c r="L44" s="157">
        <f t="shared" si="34"/>
        <v>2.100434573633321E-2</v>
      </c>
      <c r="M44" s="157">
        <f t="shared" si="35"/>
        <v>1.2886640513228067E-2</v>
      </c>
      <c r="N44" s="157">
        <f t="shared" si="36"/>
        <v>1.2847326847755592E-3</v>
      </c>
      <c r="O44" s="46"/>
      <c r="P44" s="154">
        <f t="shared" si="28"/>
        <v>3.2008554557489636E-3</v>
      </c>
      <c r="Q44" s="154">
        <f t="shared" si="45"/>
        <v>3.9828565991325039E-2</v>
      </c>
      <c r="R44" s="154">
        <f t="shared" si="45"/>
        <v>0.12839180000603798</v>
      </c>
      <c r="S44" s="154">
        <f t="shared" si="45"/>
        <v>0.29886582959495112</v>
      </c>
      <c r="T44" s="154">
        <f t="shared" si="45"/>
        <v>0.44721165925296347</v>
      </c>
      <c r="U44" s="154">
        <f t="shared" si="45"/>
        <v>0.56261451129370832</v>
      </c>
      <c r="V44" s="154">
        <f t="shared" si="45"/>
        <v>0.73305346304488839</v>
      </c>
      <c r="W44" s="162">
        <f t="shared" si="29"/>
        <v>1</v>
      </c>
      <c r="X44" s="154"/>
      <c r="Y44" s="142">
        <f t="shared" si="14"/>
        <v>1.6442687747035573E-2</v>
      </c>
      <c r="Z44" s="142">
        <f t="shared" si="15"/>
        <v>4.4387351778656138E-2</v>
      </c>
      <c r="AA44" s="142">
        <f t="shared" si="16"/>
        <v>6.2648221343873531E-2</v>
      </c>
      <c r="AB44" s="142">
        <f t="shared" si="17"/>
        <v>6.934782608695654E-2</v>
      </c>
      <c r="AC44" s="142">
        <f t="shared" si="18"/>
        <v>3.2332015810276692E-2</v>
      </c>
      <c r="AD44" s="142">
        <f t="shared" si="19"/>
        <v>1.3715415019762851E-2</v>
      </c>
      <c r="AE44" s="142">
        <f t="shared" si="20"/>
        <v>8.0687747035573174E-3</v>
      </c>
      <c r="AF44" s="142">
        <f t="shared" si="21"/>
        <v>7.7509881422925032E-4</v>
      </c>
      <c r="AH44" s="158">
        <f t="shared" si="22"/>
        <v>3.5573122529644272E-2</v>
      </c>
      <c r="AI44" s="158">
        <f t="shared" si="44"/>
        <v>0.12055335968379446</v>
      </c>
      <c r="AJ44" s="158">
        <f t="shared" si="44"/>
        <v>0.25296442687747034</v>
      </c>
      <c r="AK44" s="158">
        <f t="shared" si="44"/>
        <v>0.45355731225296442</v>
      </c>
      <c r="AL44" s="158">
        <f t="shared" si="44"/>
        <v>0.59980237154150196</v>
      </c>
      <c r="AM44" s="158">
        <f t="shared" si="44"/>
        <v>0.70158102766798414</v>
      </c>
      <c r="AN44" s="158">
        <f t="shared" si="44"/>
        <v>0.83498023715415015</v>
      </c>
      <c r="AO44" s="158">
        <v>1</v>
      </c>
      <c r="AP44" s="143"/>
      <c r="AQ44" s="143">
        <f t="shared" si="42"/>
        <v>3.2008554557489632E-3</v>
      </c>
      <c r="AR44" s="143">
        <f t="shared" si="42"/>
        <v>3.662771053557607E-2</v>
      </c>
      <c r="AS44" s="143">
        <f t="shared" si="42"/>
        <v>8.856323401471293E-2</v>
      </c>
      <c r="AT44" s="143">
        <f t="shared" si="42"/>
        <v>0.17047402958891308</v>
      </c>
      <c r="AU44" s="143">
        <f t="shared" si="42"/>
        <v>0.14834582965801232</v>
      </c>
      <c r="AV44" s="143">
        <f t="shared" si="42"/>
        <v>0.11540285204074482</v>
      </c>
      <c r="AW44" s="143">
        <f t="shared" si="42"/>
        <v>0.17043895175118007</v>
      </c>
      <c r="AX44" s="143">
        <f t="shared" si="40"/>
        <v>0.26694653695511161</v>
      </c>
      <c r="AY44" s="46"/>
      <c r="AZ44" s="152">
        <f>Shares!D85</f>
        <v>3.6</v>
      </c>
      <c r="BA44" s="152">
        <f>Shares!E85</f>
        <v>8.6</v>
      </c>
      <c r="BB44" s="152">
        <f>Shares!F85</f>
        <v>13.4</v>
      </c>
      <c r="BC44" s="152">
        <f>Shares!G85</f>
        <v>20.3</v>
      </c>
      <c r="BD44" s="152">
        <f>Shares!J85</f>
        <v>14.8</v>
      </c>
      <c r="BE44" s="152">
        <f>Shares!K85</f>
        <v>10.3</v>
      </c>
      <c r="BF44" s="152">
        <f>Shares!L85</f>
        <v>13.5</v>
      </c>
      <c r="BG44" s="152">
        <f>Shares!M85</f>
        <v>16.7</v>
      </c>
      <c r="BI44" s="146">
        <f>TxRt!B88</f>
        <v>1.9</v>
      </c>
      <c r="BJ44" s="146">
        <f>TxRt!B131</f>
        <v>9</v>
      </c>
      <c r="BK44" s="146">
        <f>TxRt!B171</f>
        <v>14</v>
      </c>
      <c r="BL44" s="146">
        <f>TxRt!B211</f>
        <v>17.8</v>
      </c>
      <c r="BM44" s="146">
        <f>TxRt!B291</f>
        <v>21.2</v>
      </c>
      <c r="BN44" s="146">
        <f>TxRt!B331</f>
        <v>23.4</v>
      </c>
      <c r="BO44" s="146">
        <f>TxRt!B371</f>
        <v>26.7</v>
      </c>
      <c r="BP44" s="146">
        <f>TxRt!B411</f>
        <v>33.6</v>
      </c>
      <c r="BQ44" s="46"/>
      <c r="BR44" s="60">
        <f>Inc!B85</f>
        <v>19400</v>
      </c>
      <c r="BS44" s="60">
        <f>Inc!B125</f>
        <v>42700</v>
      </c>
      <c r="BT44" s="60">
        <f>Inc!B165</f>
        <v>69600</v>
      </c>
      <c r="BU44" s="60">
        <f>Inc!B205</f>
        <v>105800</v>
      </c>
      <c r="BV44" s="60">
        <f>Inc!B285</f>
        <v>153200</v>
      </c>
      <c r="BW44" s="60">
        <f>Inc!B325</f>
        <v>209200</v>
      </c>
      <c r="BX44" s="60">
        <f>Inc!B365</f>
        <v>346600</v>
      </c>
      <c r="BY44" s="60">
        <f>Inc!B405</f>
        <v>1797400</v>
      </c>
      <c r="CA44" s="60">
        <f t="shared" si="43"/>
        <v>368.6</v>
      </c>
      <c r="CB44" s="60">
        <f t="shared" si="43"/>
        <v>3843</v>
      </c>
      <c r="CC44" s="60">
        <f t="shared" si="43"/>
        <v>9744</v>
      </c>
      <c r="CD44" s="60">
        <f t="shared" si="43"/>
        <v>18832.400000000001</v>
      </c>
      <c r="CE44" s="60">
        <f t="shared" si="43"/>
        <v>32478.400000000001</v>
      </c>
      <c r="CF44" s="60">
        <f t="shared" si="43"/>
        <v>48952.800000000003</v>
      </c>
      <c r="CG44" s="60">
        <f t="shared" si="43"/>
        <v>92542.2</v>
      </c>
      <c r="CH44" s="60">
        <f t="shared" si="41"/>
        <v>603926.4</v>
      </c>
      <c r="CJ44" s="153">
        <f t="shared" si="23"/>
        <v>8689.7450000000008</v>
      </c>
      <c r="CK44" s="153">
        <f t="shared" si="9"/>
        <v>99437.625000000015</v>
      </c>
      <c r="CL44" s="153">
        <f t="shared" si="9"/>
        <v>240433.20000000004</v>
      </c>
      <c r="CM44" s="153">
        <f t="shared" si="9"/>
        <v>462806.2300000001</v>
      </c>
      <c r="CN44" s="153">
        <f t="shared" si="9"/>
        <v>402732.16000000003</v>
      </c>
      <c r="CO44" s="153">
        <f t="shared" si="9"/>
        <v>313297.92000000004</v>
      </c>
      <c r="CP44" s="153">
        <f t="shared" si="9"/>
        <v>462711</v>
      </c>
      <c r="CQ44" s="153">
        <f t="shared" si="9"/>
        <v>724711.68</v>
      </c>
      <c r="CR44" s="153">
        <f t="shared" si="24"/>
        <v>2714819.5600000005</v>
      </c>
      <c r="CT44" s="403">
        <v>310.39999999999998</v>
      </c>
      <c r="CU44" s="276">
        <f>Dem!B85+(DD44/4)</f>
        <v>23.575000000000003</v>
      </c>
      <c r="CV44" s="276">
        <f>Dem!B125+(DD44/4)</f>
        <v>25.875000000000004</v>
      </c>
      <c r="CW44" s="276">
        <f>Dem!B165+(DD44/4)</f>
        <v>24.675000000000004</v>
      </c>
      <c r="CX44" s="276">
        <f>Dem!B205+(DD44/4)</f>
        <v>24.575000000000003</v>
      </c>
      <c r="CY44" s="276">
        <f>Dem!B285</f>
        <v>12.4</v>
      </c>
      <c r="CZ44" s="276">
        <f>Dem!B325</f>
        <v>6.4</v>
      </c>
      <c r="DA44" s="276">
        <f>Dem!B365</f>
        <v>5</v>
      </c>
      <c r="DB44" s="276">
        <f>Dem!B405</f>
        <v>1.2</v>
      </c>
      <c r="DC44" s="275">
        <v>124.7</v>
      </c>
      <c r="DD44" s="46">
        <v>-0.49999999999998579</v>
      </c>
      <c r="DE44" s="275"/>
      <c r="DF44" s="276">
        <f>Dem!$D85+(DO44/4)</f>
        <v>60.350000000000009</v>
      </c>
      <c r="DG44" s="276">
        <f>Dem!$D125+(DO44/4)</f>
        <v>61.750000000000007</v>
      </c>
      <c r="DH44" s="276">
        <f>Dem!$D165+(DO44/4)</f>
        <v>61.750000000000007</v>
      </c>
      <c r="DI44" s="276">
        <f>Dem!$D205+(DO44/4)</f>
        <v>61.750000000000007</v>
      </c>
      <c r="DJ44" s="275">
        <f>Dem!$D285</f>
        <v>31</v>
      </c>
      <c r="DK44" s="275">
        <f>Dem!$D325</f>
        <v>15.5</v>
      </c>
      <c r="DL44" s="275">
        <f>Dem!$D365</f>
        <v>12.4</v>
      </c>
      <c r="DM44" s="275">
        <f>Dem!$D405</f>
        <v>3.1</v>
      </c>
      <c r="DN44" s="276">
        <f t="shared" si="25"/>
        <v>310.39999999999998</v>
      </c>
      <c r="DO44" s="44">
        <v>-1.3999999999999773</v>
      </c>
    </row>
    <row r="45" spans="1:119">
      <c r="A45" s="46">
        <f t="shared" si="26"/>
        <v>2015</v>
      </c>
      <c r="B45" s="141">
        <f t="shared" si="10"/>
        <v>0.18456126745995077</v>
      </c>
      <c r="C45" s="46"/>
      <c r="D45" s="141">
        <f t="shared" si="11"/>
        <v>0.67548920428127357</v>
      </c>
      <c r="E45" s="141">
        <f t="shared" si="12"/>
        <v>0.4909279368213228</v>
      </c>
      <c r="F45" s="46"/>
      <c r="G45" s="157">
        <f t="shared" si="27"/>
        <v>1.9737166622478416E-2</v>
      </c>
      <c r="H45" s="157">
        <f t="shared" si="30"/>
        <v>5.5705748298557706E-2</v>
      </c>
      <c r="I45" s="157">
        <f t="shared" si="31"/>
        <v>8.3000271075539186E-2</v>
      </c>
      <c r="J45" s="157">
        <f t="shared" si="32"/>
        <v>9.6925121567239231E-2</v>
      </c>
      <c r="K45" s="157">
        <f t="shared" si="33"/>
        <v>4.741595994665132E-2</v>
      </c>
      <c r="L45" s="157">
        <f t="shared" si="34"/>
        <v>2.0868424281318011E-2</v>
      </c>
      <c r="M45" s="157">
        <f t="shared" si="35"/>
        <v>1.2814936655072251E-2</v>
      </c>
      <c r="N45" s="157">
        <f t="shared" si="36"/>
        <v>1.2769736937806276E-3</v>
      </c>
      <c r="O45" s="161">
        <v>0</v>
      </c>
      <c r="P45" s="154">
        <f t="shared" si="28"/>
        <v>2.6283337752158391E-3</v>
      </c>
      <c r="Q45" s="154">
        <f t="shared" si="45"/>
        <v>4.0314183239207234E-2</v>
      </c>
      <c r="R45" s="154">
        <f t="shared" si="45"/>
        <v>0.12968310600540092</v>
      </c>
      <c r="S45" s="154">
        <f t="shared" si="45"/>
        <v>0.30106567832220699</v>
      </c>
      <c r="T45" s="154">
        <f t="shared" si="45"/>
        <v>0.45061512274476673</v>
      </c>
      <c r="U45" s="154">
        <f t="shared" si="45"/>
        <v>0.56464790600251291</v>
      </c>
      <c r="V45" s="154">
        <f t="shared" si="45"/>
        <v>0.73460526124387471</v>
      </c>
      <c r="W45" s="162">
        <f t="shared" si="29"/>
        <v>1</v>
      </c>
      <c r="X45" s="154"/>
      <c r="Y45" s="142">
        <f t="shared" si="14"/>
        <v>1.6347482724580455E-2</v>
      </c>
      <c r="Z45" s="142">
        <f t="shared" si="15"/>
        <v>4.4106614017769011E-2</v>
      </c>
      <c r="AA45" s="142">
        <f t="shared" si="16"/>
        <v>6.2092793682132275E-2</v>
      </c>
      <c r="AB45" s="142">
        <f t="shared" si="17"/>
        <v>6.8627838104639682E-2</v>
      </c>
      <c r="AC45" s="142">
        <f t="shared" si="18"/>
        <v>3.1989141164856863E-2</v>
      </c>
      <c r="AD45" s="142">
        <f t="shared" si="19"/>
        <v>1.3550098716683112E-2</v>
      </c>
      <c r="AE45" s="142">
        <f t="shared" si="20"/>
        <v>7.980651530108589E-3</v>
      </c>
      <c r="AF45" s="142">
        <f t="shared" si="21"/>
        <v>7.6934846989141212E-4</v>
      </c>
      <c r="AG45" s="161">
        <v>0</v>
      </c>
      <c r="AH45" s="158">
        <f t="shared" si="22"/>
        <v>3.6525172754195465E-2</v>
      </c>
      <c r="AI45" s="158">
        <f t="shared" si="44"/>
        <v>0.12240868706811453</v>
      </c>
      <c r="AJ45" s="158">
        <f t="shared" si="44"/>
        <v>0.25666337611056272</v>
      </c>
      <c r="AK45" s="158">
        <f t="shared" si="44"/>
        <v>0.45705824284304053</v>
      </c>
      <c r="AL45" s="158">
        <f t="shared" si="44"/>
        <v>0.60315893385982244</v>
      </c>
      <c r="AM45" s="158">
        <f t="shared" si="44"/>
        <v>0.70483711747285305</v>
      </c>
      <c r="AN45" s="158">
        <f t="shared" si="44"/>
        <v>0.83613030602171778</v>
      </c>
      <c r="AO45" s="158">
        <v>1</v>
      </c>
      <c r="AP45" s="143"/>
      <c r="AQ45" s="143">
        <f t="shared" si="42"/>
        <v>2.6283337752158391E-3</v>
      </c>
      <c r="AR45" s="143">
        <f t="shared" si="42"/>
        <v>3.7685849463991394E-2</v>
      </c>
      <c r="AS45" s="143">
        <f t="shared" si="42"/>
        <v>8.9368922766193695E-2</v>
      </c>
      <c r="AT45" s="143">
        <f t="shared" si="42"/>
        <v>0.17138257231680609</v>
      </c>
      <c r="AU45" s="143">
        <f t="shared" si="42"/>
        <v>0.14954944442255974</v>
      </c>
      <c r="AV45" s="143">
        <f t="shared" si="42"/>
        <v>0.11403278325774613</v>
      </c>
      <c r="AW45" s="143">
        <f t="shared" si="42"/>
        <v>0.16995735524136182</v>
      </c>
      <c r="AX45" s="143">
        <f t="shared" si="40"/>
        <v>0.26539473875612529</v>
      </c>
      <c r="AY45" s="46"/>
      <c r="AZ45" s="152">
        <f>Shares!D86</f>
        <v>3.7</v>
      </c>
      <c r="BA45" s="152">
        <f>Shares!E86</f>
        <v>8.6999999999999993</v>
      </c>
      <c r="BB45" s="152">
        <f>Shares!F86</f>
        <v>13.6</v>
      </c>
      <c r="BC45" s="152">
        <f>Shares!G86</f>
        <v>20.3</v>
      </c>
      <c r="BD45" s="152">
        <f>Shares!J86</f>
        <v>14.8</v>
      </c>
      <c r="BE45" s="152">
        <f>Shares!K86</f>
        <v>10.3</v>
      </c>
      <c r="BF45" s="152">
        <f>Shares!L86</f>
        <v>13.3</v>
      </c>
      <c r="BG45" s="152">
        <f>Shares!M86</f>
        <v>16.600000000000001</v>
      </c>
      <c r="BI45" s="146">
        <f>TxRt!B89</f>
        <v>1.5</v>
      </c>
      <c r="BJ45" s="146">
        <f>TxRt!B132</f>
        <v>9.1999999999999993</v>
      </c>
      <c r="BK45" s="146">
        <f>TxRt!B172</f>
        <v>14</v>
      </c>
      <c r="BL45" s="146">
        <f>TxRt!B212</f>
        <v>17.899999999999999</v>
      </c>
      <c r="BM45" s="146">
        <f>TxRt!B292</f>
        <v>21.3</v>
      </c>
      <c r="BN45" s="146">
        <f>TxRt!B332</f>
        <v>23.6</v>
      </c>
      <c r="BO45" s="146">
        <f>TxRt!B372</f>
        <v>26.7</v>
      </c>
      <c r="BP45" s="146">
        <f>TxRt!B412</f>
        <v>33.299999999999997</v>
      </c>
      <c r="BQ45" s="46"/>
      <c r="BR45" s="60">
        <f>Inc!B86</f>
        <v>20500</v>
      </c>
      <c r="BS45" s="60">
        <f>Inc!B126</f>
        <v>44600</v>
      </c>
      <c r="BT45" s="60">
        <f>Inc!B166</f>
        <v>72000</v>
      </c>
      <c r="BU45" s="60">
        <f>Inc!B206</f>
        <v>109300</v>
      </c>
      <c r="BV45" s="60">
        <f>Inc!B286</f>
        <v>158700</v>
      </c>
      <c r="BW45" s="60">
        <f>Inc!B326</f>
        <v>216700</v>
      </c>
      <c r="BX45" s="60">
        <f>Inc!B366</f>
        <v>359700</v>
      </c>
      <c r="BY45" s="60">
        <f>Inc!B406</f>
        <v>1876500</v>
      </c>
      <c r="CA45" s="60">
        <f t="shared" si="43"/>
        <v>307.5</v>
      </c>
      <c r="CB45" s="60">
        <f t="shared" si="43"/>
        <v>4103.2</v>
      </c>
      <c r="CC45" s="60">
        <f t="shared" si="43"/>
        <v>10080</v>
      </c>
      <c r="CD45" s="60">
        <f t="shared" si="43"/>
        <v>19564.699999999997</v>
      </c>
      <c r="CE45" s="60">
        <f t="shared" si="43"/>
        <v>33803.1</v>
      </c>
      <c r="CF45" s="60">
        <f t="shared" si="43"/>
        <v>51141.2</v>
      </c>
      <c r="CG45" s="60">
        <f t="shared" si="43"/>
        <v>96039.9</v>
      </c>
      <c r="CH45" s="60">
        <f t="shared" si="41"/>
        <v>624874.49999999988</v>
      </c>
      <c r="CJ45" s="153">
        <f t="shared" si="23"/>
        <v>7426.1250000000009</v>
      </c>
      <c r="CK45" s="153">
        <f t="shared" si="9"/>
        <v>106478.04000000001</v>
      </c>
      <c r="CL45" s="153">
        <f t="shared" si="9"/>
        <v>252504</v>
      </c>
      <c r="CM45" s="153">
        <f t="shared" si="9"/>
        <v>484226.32499999995</v>
      </c>
      <c r="CN45" s="153">
        <f>CE45*CY45</f>
        <v>422538.75</v>
      </c>
      <c r="CO45" s="153">
        <f>CF45*CZ45</f>
        <v>322189.56</v>
      </c>
      <c r="CP45" s="153">
        <f>CG45*DA45</f>
        <v>480199.5</v>
      </c>
      <c r="CQ45" s="153">
        <f>CH45*DB45</f>
        <v>749849.39999999979</v>
      </c>
      <c r="CR45" s="153">
        <f t="shared" si="24"/>
        <v>2825411.6999999997</v>
      </c>
      <c r="CT45" s="403">
        <v>311.5</v>
      </c>
      <c r="CU45" s="276">
        <f>Dem!B86+(DD45/4)</f>
        <v>24.150000000000002</v>
      </c>
      <c r="CV45" s="276">
        <f>Dem!B126+(DD45/4)</f>
        <v>25.950000000000003</v>
      </c>
      <c r="CW45" s="276">
        <f>Dem!B166+(DD45/4)</f>
        <v>25.05</v>
      </c>
      <c r="CX45" s="276">
        <f>Dem!B206+(DD45/4)</f>
        <v>24.75</v>
      </c>
      <c r="CY45" s="276">
        <f>Dem!B286</f>
        <v>12.5</v>
      </c>
      <c r="CZ45" s="276">
        <f>Dem!B326</f>
        <v>6.3</v>
      </c>
      <c r="DA45" s="276">
        <f>Dem!B366</f>
        <v>5</v>
      </c>
      <c r="DB45" s="276">
        <f>Dem!B406</f>
        <v>1.2</v>
      </c>
      <c r="DC45" s="275">
        <v>126.1</v>
      </c>
      <c r="DD45" s="46">
        <v>-0.59999999999999432</v>
      </c>
      <c r="DE45" s="275"/>
      <c r="DF45" s="276">
        <f>Dem!$D86+(DO45/4)</f>
        <v>60.7</v>
      </c>
      <c r="DG45" s="276">
        <f>Dem!$D126+(DO45/4)</f>
        <v>62</v>
      </c>
      <c r="DH45" s="276">
        <f>Dem!$D166+(DO45/4)</f>
        <v>62</v>
      </c>
      <c r="DI45" s="276">
        <f>Dem!$D206+(DO45/4)</f>
        <v>62</v>
      </c>
      <c r="DJ45" s="275">
        <f>Dem!$D286</f>
        <v>31.2</v>
      </c>
      <c r="DK45" s="275">
        <f>Dem!$D326</f>
        <v>15.6</v>
      </c>
      <c r="DL45" s="275">
        <f>Dem!$D366</f>
        <v>12.5</v>
      </c>
      <c r="DM45" s="275">
        <f>Dem!$D406</f>
        <v>3.1</v>
      </c>
      <c r="DN45" s="276">
        <f t="shared" si="25"/>
        <v>311.5</v>
      </c>
      <c r="DO45" s="44">
        <v>-1.1999999999999886</v>
      </c>
    </row>
    <row r="46" spans="1:119">
      <c r="A46" s="46">
        <f t="shared" si="26"/>
        <v>2016</v>
      </c>
      <c r="B46" s="141">
        <f t="shared" si="10"/>
        <v>0.18453690323970368</v>
      </c>
      <c r="C46" s="46"/>
      <c r="D46" s="141">
        <f t="shared" si="11"/>
        <v>0.66850327317046543</v>
      </c>
      <c r="E46" s="141">
        <f t="shared" si="12"/>
        <v>0.48396636993076175</v>
      </c>
      <c r="F46" s="46"/>
      <c r="G46" s="157">
        <f t="shared" si="27"/>
        <v>1.9689401695360754E-2</v>
      </c>
      <c r="H46" s="157">
        <f t="shared" si="30"/>
        <v>5.5419207290967568E-2</v>
      </c>
      <c r="I46" s="157">
        <f t="shared" si="31"/>
        <v>8.2449553335886827E-2</v>
      </c>
      <c r="J46" s="157">
        <f t="shared" si="32"/>
        <v>9.596937297067247E-2</v>
      </c>
      <c r="K46" s="157">
        <f t="shared" si="33"/>
        <v>4.6679238928770732E-2</v>
      </c>
      <c r="L46" s="157">
        <f t="shared" si="34"/>
        <v>2.0399630749056208E-2</v>
      </c>
      <c r="M46" s="157">
        <f t="shared" si="35"/>
        <v>1.2415772106377551E-2</v>
      </c>
      <c r="N46" s="157">
        <f t="shared" si="36"/>
        <v>1.2294595081405969E-3</v>
      </c>
      <c r="O46" s="161">
        <v>0</v>
      </c>
      <c r="P46" s="154">
        <f t="shared" si="28"/>
        <v>3.1059830463924863E-3</v>
      </c>
      <c r="Q46" s="154">
        <f t="shared" si="45"/>
        <v>4.2701944043931947E-2</v>
      </c>
      <c r="R46" s="154">
        <f t="shared" si="45"/>
        <v>0.13280252259719993</v>
      </c>
      <c r="S46" s="154">
        <f t="shared" si="45"/>
        <v>0.30750374769607558</v>
      </c>
      <c r="T46" s="154">
        <f t="shared" si="45"/>
        <v>0.45891147372851004</v>
      </c>
      <c r="U46" s="154">
        <f t="shared" si="45"/>
        <v>0.57510329630924173</v>
      </c>
      <c r="V46" s="154">
        <f t="shared" si="45"/>
        <v>0.74410809837188086</v>
      </c>
      <c r="W46" s="162">
        <f t="shared" si="29"/>
        <v>1</v>
      </c>
      <c r="X46" s="154"/>
      <c r="Y46" s="142">
        <f t="shared" si="14"/>
        <v>1.6241345202769538E-2</v>
      </c>
      <c r="Z46" s="142">
        <f t="shared" si="15"/>
        <v>4.3679525222551939E-2</v>
      </c>
      <c r="AA46" s="142">
        <f t="shared" si="16"/>
        <v>6.1424332344213656E-2</v>
      </c>
      <c r="AB46" s="142">
        <f t="shared" si="17"/>
        <v>6.7695351137487647E-2</v>
      </c>
      <c r="AC46" s="142">
        <f t="shared" si="18"/>
        <v>3.1340257171117714E-2</v>
      </c>
      <c r="AD46" s="142">
        <f t="shared" si="19"/>
        <v>1.3188674579624138E-2</v>
      </c>
      <c r="AE46" s="142">
        <f t="shared" si="20"/>
        <v>7.6822947576656777E-3</v>
      </c>
      <c r="AF46" s="142">
        <f t="shared" si="21"/>
        <v>7.3140454995054502E-4</v>
      </c>
      <c r="AG46" s="161">
        <v>0</v>
      </c>
      <c r="AH46" s="158">
        <f t="shared" si="22"/>
        <v>3.7586547972304651E-2</v>
      </c>
      <c r="AI46" s="158">
        <f t="shared" si="44"/>
        <v>0.12561819980217609</v>
      </c>
      <c r="AJ46" s="158">
        <f t="shared" si="44"/>
        <v>0.26013847675568746</v>
      </c>
      <c r="AK46" s="158">
        <f t="shared" si="44"/>
        <v>0.4629080118694362</v>
      </c>
      <c r="AL46" s="158">
        <f t="shared" si="44"/>
        <v>0.61028684470820971</v>
      </c>
      <c r="AM46" s="158">
        <f t="shared" si="44"/>
        <v>0.71216617210682498</v>
      </c>
      <c r="AN46" s="158">
        <f t="shared" si="44"/>
        <v>0.8437190900098912</v>
      </c>
      <c r="AO46" s="158">
        <v>1</v>
      </c>
      <c r="AP46" s="143"/>
      <c r="AQ46" s="143">
        <f t="shared" si="42"/>
        <v>3.1059830463924863E-3</v>
      </c>
      <c r="AR46" s="143">
        <f t="shared" si="42"/>
        <v>3.959596099753946E-2</v>
      </c>
      <c r="AS46" s="143">
        <f t="shared" si="42"/>
        <v>9.0100578553267988E-2</v>
      </c>
      <c r="AT46" s="143">
        <f t="shared" si="42"/>
        <v>0.17470122509887565</v>
      </c>
      <c r="AU46" s="143">
        <f t="shared" si="42"/>
        <v>0.15140772603243444</v>
      </c>
      <c r="AV46" s="143">
        <f t="shared" si="42"/>
        <v>0.11619182258073166</v>
      </c>
      <c r="AW46" s="143">
        <f t="shared" si="42"/>
        <v>0.16900480206263907</v>
      </c>
      <c r="AX46" s="143">
        <f t="shared" si="40"/>
        <v>0.25589190162811926</v>
      </c>
      <c r="AY46" s="46"/>
      <c r="AZ46" s="152">
        <f>Shares!D87</f>
        <v>3.8</v>
      </c>
      <c r="BA46" s="152">
        <f>Shares!E87</f>
        <v>8.9</v>
      </c>
      <c r="BB46" s="152">
        <f>Shares!F87</f>
        <v>13.6</v>
      </c>
      <c r="BC46" s="152">
        <f>Shares!G87</f>
        <v>20.5</v>
      </c>
      <c r="BD46" s="152">
        <f>Shares!J87</f>
        <v>14.9</v>
      </c>
      <c r="BE46" s="152">
        <f>Shares!K87</f>
        <v>10.3</v>
      </c>
      <c r="BF46" s="152">
        <f>Shares!L87</f>
        <v>13.3</v>
      </c>
      <c r="BG46" s="152">
        <f>Shares!M87</f>
        <v>15.8</v>
      </c>
      <c r="BI46" s="146">
        <f>TxRt!B90</f>
        <v>1.7</v>
      </c>
      <c r="BJ46" s="146">
        <f>TxRt!B133</f>
        <v>9.4</v>
      </c>
      <c r="BK46" s="146">
        <f>TxRt!B173</f>
        <v>13.9</v>
      </c>
      <c r="BL46" s="146">
        <f>TxRt!B213</f>
        <v>17.899999999999999</v>
      </c>
      <c r="BM46" s="146">
        <f>TxRt!B293</f>
        <v>21.2</v>
      </c>
      <c r="BN46" s="146">
        <f>TxRt!B333</f>
        <v>23.6</v>
      </c>
      <c r="BO46" s="146">
        <f>TxRt!B373</f>
        <v>26.8</v>
      </c>
      <c r="BP46" s="146">
        <f>TxRt!B413</f>
        <v>33.299999999999997</v>
      </c>
      <c r="BQ46" s="46"/>
      <c r="BR46" s="60">
        <f>Inc!B87</f>
        <v>20600</v>
      </c>
      <c r="BS46" s="60">
        <f>Inc!B127</f>
        <v>45300</v>
      </c>
      <c r="BT46" s="60">
        <f>Inc!B167</f>
        <v>72500</v>
      </c>
      <c r="BU46" s="60">
        <f>Inc!B207</f>
        <v>109600</v>
      </c>
      <c r="BV46" s="60">
        <f>Inc!B287</f>
        <v>159600</v>
      </c>
      <c r="BW46" s="60">
        <f>Inc!B327</f>
        <v>218300</v>
      </c>
      <c r="BX46" s="60">
        <f>Inc!B367</f>
        <v>359500</v>
      </c>
      <c r="BY46" s="60">
        <f>Inc!B407</f>
        <v>1788800</v>
      </c>
      <c r="CA46" s="60">
        <f t="shared" si="43"/>
        <v>350.2</v>
      </c>
      <c r="CB46" s="60">
        <f t="shared" si="43"/>
        <v>4258.2</v>
      </c>
      <c r="CC46" s="60">
        <f t="shared" si="43"/>
        <v>10077.5</v>
      </c>
      <c r="CD46" s="60">
        <f t="shared" si="43"/>
        <v>19618.399999999998</v>
      </c>
      <c r="CE46" s="60">
        <f t="shared" si="43"/>
        <v>33835.199999999997</v>
      </c>
      <c r="CF46" s="60">
        <f t="shared" si="43"/>
        <v>51518.8</v>
      </c>
      <c r="CG46" s="60">
        <f t="shared" si="43"/>
        <v>96346</v>
      </c>
      <c r="CH46" s="60">
        <f t="shared" si="41"/>
        <v>595670.39999999991</v>
      </c>
      <c r="CJ46" s="153">
        <f>CA46*CU46</f>
        <v>8676.2049999999999</v>
      </c>
      <c r="CK46" s="153">
        <f t="shared" ref="CK46:CQ46" si="46">CB46*CV46</f>
        <v>110606.745</v>
      </c>
      <c r="CL46" s="153">
        <f t="shared" si="46"/>
        <v>251685.5625</v>
      </c>
      <c r="CM46" s="153">
        <f t="shared" si="46"/>
        <v>488007.69999999995</v>
      </c>
      <c r="CN46" s="153">
        <f t="shared" si="46"/>
        <v>422939.99999999994</v>
      </c>
      <c r="CO46" s="153">
        <f t="shared" si="46"/>
        <v>324568.44</v>
      </c>
      <c r="CP46" s="153">
        <f t="shared" si="46"/>
        <v>472095.4</v>
      </c>
      <c r="CQ46" s="153">
        <f t="shared" si="46"/>
        <v>714804.47999999986</v>
      </c>
      <c r="CR46" s="153">
        <f t="shared" si="24"/>
        <v>2793384.5324999997</v>
      </c>
      <c r="CT46" s="403">
        <v>311.89999999999998</v>
      </c>
      <c r="CU46" s="276">
        <f>Dem!B87+(DD46/4)</f>
        <v>24.774999999999999</v>
      </c>
      <c r="CV46" s="276">
        <f>Dem!B127+(DD46/4)</f>
        <v>25.975000000000001</v>
      </c>
      <c r="CW46" s="276">
        <f>Dem!B167+(DD46/4)</f>
        <v>24.975000000000001</v>
      </c>
      <c r="CX46" s="276">
        <f>Dem!B207+(DD46/4)</f>
        <v>24.875</v>
      </c>
      <c r="CY46" s="276">
        <f>Dem!B287</f>
        <v>12.5</v>
      </c>
      <c r="CZ46" s="276">
        <f>Dem!B327</f>
        <v>6.3</v>
      </c>
      <c r="DA46" s="276">
        <f>Dem!B367</f>
        <v>4.9000000000000004</v>
      </c>
      <c r="DB46" s="276">
        <f>Dem!B407</f>
        <v>1.2</v>
      </c>
      <c r="DC46" s="275">
        <v>126.5</v>
      </c>
      <c r="DD46" s="46">
        <v>-0.5</v>
      </c>
      <c r="DE46" s="275"/>
      <c r="DF46" s="276">
        <f>Dem!$D87+(DO46/4)</f>
        <v>60.925000000000026</v>
      </c>
      <c r="DG46" s="276">
        <f>Dem!$D127+(DO46/4)</f>
        <v>62.125000000000021</v>
      </c>
      <c r="DH46" s="276">
        <f>Dem!$D167+(DO46/4)</f>
        <v>62.125000000000021</v>
      </c>
      <c r="DI46" s="276">
        <f>Dem!$D207+(DO46/4)</f>
        <v>62.125000000000021</v>
      </c>
      <c r="DJ46" s="275">
        <f>Dem!$D287</f>
        <v>31.2</v>
      </c>
      <c r="DK46" s="275">
        <f>Dem!$D327</f>
        <v>15.6</v>
      </c>
      <c r="DL46" s="275">
        <f>Dem!$D367</f>
        <v>12.5</v>
      </c>
      <c r="DM46" s="275">
        <f>Dem!$D407</f>
        <v>3.1</v>
      </c>
      <c r="DN46" s="276">
        <f t="shared" si="25"/>
        <v>311.89999999999998</v>
      </c>
      <c r="DO46" s="44">
        <v>-1.0999999999999091</v>
      </c>
    </row>
    <row r="47" spans="1:119">
      <c r="A47" s="201" t="s">
        <v>154</v>
      </c>
      <c r="B47" s="451">
        <f>(B46-B9)/B9</f>
        <v>0.44451656887413182</v>
      </c>
      <c r="C47" s="451"/>
      <c r="AZ47" s="148" t="s">
        <v>651</v>
      </c>
    </row>
    <row r="48" spans="1:119">
      <c r="A48" s="201" t="s">
        <v>791</v>
      </c>
      <c r="B48" s="451">
        <f>(B46-B16)/B16</f>
        <v>1.1676732993478007</v>
      </c>
      <c r="C48" s="451"/>
      <c r="AZ48" s="148" t="s">
        <v>652</v>
      </c>
      <c r="CJ48" s="191"/>
      <c r="CK48" s="191"/>
      <c r="CL48" s="191"/>
      <c r="CM48" s="191"/>
      <c r="CN48" s="191"/>
      <c r="CO48" s="191"/>
      <c r="CP48" s="191"/>
      <c r="CQ48" s="191"/>
      <c r="CR48" s="191"/>
    </row>
    <row r="49" spans="1:118">
      <c r="A49" s="144"/>
      <c r="B49" s="729" t="s">
        <v>193</v>
      </c>
      <c r="C49" s="486"/>
      <c r="D49" s="733" t="s">
        <v>194</v>
      </c>
      <c r="E49" s="733" t="s">
        <v>195</v>
      </c>
      <c r="F49" s="560"/>
      <c r="G49" s="731" t="s">
        <v>201</v>
      </c>
      <c r="H49" s="731"/>
      <c r="I49" s="731"/>
      <c r="J49" s="731"/>
      <c r="K49" s="731"/>
      <c r="L49" s="731"/>
      <c r="M49" s="731"/>
      <c r="N49" s="731"/>
      <c r="O49" s="486"/>
      <c r="P49" s="731" t="s">
        <v>199</v>
      </c>
      <c r="Q49" s="731"/>
      <c r="R49" s="731"/>
      <c r="S49" s="731"/>
      <c r="T49" s="731"/>
      <c r="U49" s="731"/>
      <c r="V49" s="731"/>
      <c r="W49" s="731"/>
      <c r="X49" s="559"/>
      <c r="Y49" s="731" t="s">
        <v>202</v>
      </c>
      <c r="Z49" s="731"/>
      <c r="AA49" s="731"/>
      <c r="AB49" s="731"/>
      <c r="AC49" s="731"/>
      <c r="AD49" s="731"/>
      <c r="AE49" s="731"/>
      <c r="AF49" s="731"/>
      <c r="AG49" s="134"/>
      <c r="AH49" s="736" t="s">
        <v>634</v>
      </c>
      <c r="AI49" s="736"/>
      <c r="AJ49" s="736"/>
      <c r="AK49" s="736"/>
      <c r="AL49" s="736"/>
      <c r="AM49" s="736"/>
      <c r="AN49" s="736"/>
      <c r="AO49" s="736"/>
      <c r="AP49" s="559"/>
      <c r="AQ49" s="731" t="s">
        <v>196</v>
      </c>
      <c r="AR49" s="731"/>
      <c r="AS49" s="731"/>
      <c r="AT49" s="731"/>
      <c r="AU49" s="731"/>
      <c r="AV49" s="731"/>
      <c r="AW49" s="731"/>
      <c r="AX49" s="731"/>
      <c r="AY49" s="134"/>
      <c r="AZ49" s="736" t="s">
        <v>633</v>
      </c>
      <c r="BA49" s="736"/>
      <c r="BB49" s="736"/>
      <c r="BC49" s="736"/>
      <c r="BD49" s="736"/>
      <c r="BE49" s="736"/>
      <c r="BF49" s="736"/>
      <c r="BG49" s="736"/>
      <c r="BH49" s="134"/>
      <c r="BI49" s="731" t="s">
        <v>635</v>
      </c>
      <c r="BJ49" s="731"/>
      <c r="BK49" s="731"/>
      <c r="BL49" s="731"/>
      <c r="BM49" s="731"/>
      <c r="BN49" s="731"/>
      <c r="BO49" s="731"/>
      <c r="BP49" s="731"/>
      <c r="BQ49" s="486"/>
      <c r="BR49" s="731" t="s">
        <v>636</v>
      </c>
      <c r="BS49" s="731"/>
      <c r="BT49" s="731"/>
      <c r="BU49" s="731"/>
      <c r="BV49" s="731"/>
      <c r="BW49" s="731"/>
      <c r="BX49" s="731"/>
      <c r="BY49" s="731"/>
      <c r="BZ49" s="486"/>
      <c r="CA49" s="731" t="s">
        <v>187</v>
      </c>
      <c r="CB49" s="731"/>
      <c r="CC49" s="731"/>
      <c r="CD49" s="731"/>
      <c r="CE49" s="731"/>
      <c r="CF49" s="731"/>
      <c r="CG49" s="731"/>
      <c r="CH49" s="731"/>
      <c r="CI49" s="486"/>
      <c r="CJ49" s="735" t="s">
        <v>198</v>
      </c>
      <c r="CK49" s="735"/>
      <c r="CL49" s="735"/>
      <c r="CM49" s="735"/>
      <c r="CN49" s="735"/>
      <c r="CO49" s="735"/>
      <c r="CP49" s="735"/>
      <c r="CQ49" s="735"/>
      <c r="CR49" s="735"/>
      <c r="CT49" s="733" t="s">
        <v>259</v>
      </c>
      <c r="CU49" s="728" t="s">
        <v>283</v>
      </c>
      <c r="CV49" s="728"/>
      <c r="CW49" s="728"/>
      <c r="CX49" s="728"/>
      <c r="CY49" s="728"/>
      <c r="CZ49" s="728"/>
      <c r="DA49" s="728"/>
      <c r="DB49" s="728"/>
      <c r="DC49" s="728"/>
      <c r="DD49" s="558"/>
      <c r="DF49" s="728" t="s">
        <v>259</v>
      </c>
      <c r="DG49" s="728"/>
      <c r="DH49" s="728"/>
      <c r="DI49" s="728"/>
      <c r="DJ49" s="728"/>
      <c r="DK49" s="728"/>
      <c r="DL49" s="728"/>
      <c r="DM49" s="728"/>
      <c r="DN49" s="728"/>
    </row>
    <row r="50" spans="1:118" ht="15" customHeight="1">
      <c r="A50" s="53"/>
      <c r="B50" s="730"/>
      <c r="C50" s="6"/>
      <c r="D50" s="734"/>
      <c r="E50" s="734"/>
      <c r="F50" s="561"/>
      <c r="G50" s="6" t="s">
        <v>158</v>
      </c>
      <c r="H50" s="6" t="s">
        <v>159</v>
      </c>
      <c r="I50" s="6" t="s">
        <v>160</v>
      </c>
      <c r="J50" s="6" t="s">
        <v>161</v>
      </c>
      <c r="K50" s="51" t="s">
        <v>33</v>
      </c>
      <c r="L50" s="51" t="s">
        <v>51</v>
      </c>
      <c r="M50" s="51" t="s">
        <v>52</v>
      </c>
      <c r="N50" s="51" t="s">
        <v>28</v>
      </c>
      <c r="O50" s="6"/>
      <c r="P50" s="6" t="s">
        <v>158</v>
      </c>
      <c r="Q50" s="6" t="s">
        <v>159</v>
      </c>
      <c r="R50" s="6" t="s">
        <v>160</v>
      </c>
      <c r="S50" s="6" t="s">
        <v>161</v>
      </c>
      <c r="T50" s="51" t="s">
        <v>33</v>
      </c>
      <c r="U50" s="51" t="s">
        <v>51</v>
      </c>
      <c r="V50" s="51" t="s">
        <v>52</v>
      </c>
      <c r="W50" s="51" t="s">
        <v>28</v>
      </c>
      <c r="X50" s="51"/>
      <c r="Y50" s="6" t="s">
        <v>158</v>
      </c>
      <c r="Z50" s="6" t="s">
        <v>159</v>
      </c>
      <c r="AA50" s="6" t="s">
        <v>160</v>
      </c>
      <c r="AB50" s="6" t="s">
        <v>161</v>
      </c>
      <c r="AC50" s="51" t="s">
        <v>33</v>
      </c>
      <c r="AD50" s="51" t="s">
        <v>51</v>
      </c>
      <c r="AE50" s="51" t="s">
        <v>52</v>
      </c>
      <c r="AF50" s="51" t="s">
        <v>28</v>
      </c>
      <c r="AG50" s="5"/>
      <c r="AH50" s="6" t="s">
        <v>158</v>
      </c>
      <c r="AI50" s="6" t="s">
        <v>159</v>
      </c>
      <c r="AJ50" s="6" t="s">
        <v>160</v>
      </c>
      <c r="AK50" s="6" t="s">
        <v>161</v>
      </c>
      <c r="AL50" s="51" t="s">
        <v>33</v>
      </c>
      <c r="AM50" s="51" t="s">
        <v>51</v>
      </c>
      <c r="AN50" s="51" t="s">
        <v>52</v>
      </c>
      <c r="AO50" s="51" t="s">
        <v>28</v>
      </c>
      <c r="AP50" s="51"/>
      <c r="AQ50" s="6" t="s">
        <v>158</v>
      </c>
      <c r="AR50" s="6" t="s">
        <v>159</v>
      </c>
      <c r="AS50" s="6" t="s">
        <v>160</v>
      </c>
      <c r="AT50" s="6" t="s">
        <v>161</v>
      </c>
      <c r="AU50" s="51" t="s">
        <v>33</v>
      </c>
      <c r="AV50" s="51" t="s">
        <v>51</v>
      </c>
      <c r="AW50" s="51" t="s">
        <v>52</v>
      </c>
      <c r="AX50" s="51" t="s">
        <v>28</v>
      </c>
      <c r="AY50" s="5"/>
      <c r="AZ50" s="6" t="s">
        <v>158</v>
      </c>
      <c r="BA50" s="6" t="s">
        <v>159</v>
      </c>
      <c r="BB50" s="6" t="s">
        <v>160</v>
      </c>
      <c r="BC50" s="6" t="s">
        <v>161</v>
      </c>
      <c r="BD50" s="51" t="s">
        <v>33</v>
      </c>
      <c r="BE50" s="51" t="s">
        <v>51</v>
      </c>
      <c r="BF50" s="51" t="s">
        <v>52</v>
      </c>
      <c r="BG50" s="51" t="s">
        <v>28</v>
      </c>
      <c r="BH50" s="5"/>
      <c r="BI50" s="6" t="s">
        <v>158</v>
      </c>
      <c r="BJ50" s="6" t="s">
        <v>159</v>
      </c>
      <c r="BK50" s="6" t="s">
        <v>160</v>
      </c>
      <c r="BL50" s="6" t="s">
        <v>161</v>
      </c>
      <c r="BM50" s="51" t="s">
        <v>33</v>
      </c>
      <c r="BN50" s="51" t="s">
        <v>51</v>
      </c>
      <c r="BO50" s="51" t="s">
        <v>52</v>
      </c>
      <c r="BP50" s="51" t="s">
        <v>28</v>
      </c>
      <c r="BQ50" s="6"/>
      <c r="BR50" s="6" t="s">
        <v>158</v>
      </c>
      <c r="BS50" s="6" t="s">
        <v>159</v>
      </c>
      <c r="BT50" s="6" t="s">
        <v>160</v>
      </c>
      <c r="BU50" s="6" t="s">
        <v>161</v>
      </c>
      <c r="BV50" s="51" t="s">
        <v>33</v>
      </c>
      <c r="BW50" s="51" t="s">
        <v>51</v>
      </c>
      <c r="BX50" s="51" t="s">
        <v>52</v>
      </c>
      <c r="BY50" s="51" t="s">
        <v>28</v>
      </c>
      <c r="BZ50" s="6"/>
      <c r="CA50" s="6" t="s">
        <v>158</v>
      </c>
      <c r="CB50" s="6" t="s">
        <v>159</v>
      </c>
      <c r="CC50" s="6" t="s">
        <v>160</v>
      </c>
      <c r="CD50" s="6" t="s">
        <v>161</v>
      </c>
      <c r="CE50" s="51" t="s">
        <v>33</v>
      </c>
      <c r="CF50" s="51" t="s">
        <v>51</v>
      </c>
      <c r="CG50" s="51" t="s">
        <v>52</v>
      </c>
      <c r="CH50" s="51" t="s">
        <v>28</v>
      </c>
      <c r="CI50" s="6"/>
      <c r="CJ50" s="6" t="s">
        <v>158</v>
      </c>
      <c r="CK50" s="6" t="s">
        <v>159</v>
      </c>
      <c r="CL50" s="6" t="s">
        <v>160</v>
      </c>
      <c r="CM50" s="6" t="s">
        <v>161</v>
      </c>
      <c r="CN50" s="51" t="s">
        <v>33</v>
      </c>
      <c r="CO50" s="51" t="s">
        <v>51</v>
      </c>
      <c r="CP50" s="51" t="s">
        <v>52</v>
      </c>
      <c r="CQ50" s="51" t="s">
        <v>28</v>
      </c>
      <c r="CR50" s="51" t="s">
        <v>143</v>
      </c>
      <c r="CT50" s="734"/>
      <c r="CU50" s="6" t="s">
        <v>158</v>
      </c>
      <c r="CV50" s="6" t="s">
        <v>159</v>
      </c>
      <c r="CW50" s="6" t="s">
        <v>160</v>
      </c>
      <c r="CX50" s="6" t="s">
        <v>161</v>
      </c>
      <c r="CY50" s="51" t="s">
        <v>33</v>
      </c>
      <c r="CZ50" s="51" t="s">
        <v>51</v>
      </c>
      <c r="DA50" s="51" t="s">
        <v>52</v>
      </c>
      <c r="DB50" s="51" t="s">
        <v>28</v>
      </c>
      <c r="DC50" s="51" t="s">
        <v>143</v>
      </c>
      <c r="DD50" s="562" t="s">
        <v>293</v>
      </c>
      <c r="DF50" s="6" t="s">
        <v>158</v>
      </c>
      <c r="DG50" s="6" t="s">
        <v>159</v>
      </c>
      <c r="DH50" s="6" t="s">
        <v>160</v>
      </c>
      <c r="DI50" s="6" t="s">
        <v>161</v>
      </c>
      <c r="DJ50" s="51" t="s">
        <v>33</v>
      </c>
      <c r="DK50" s="51" t="s">
        <v>51</v>
      </c>
      <c r="DL50" s="51" t="s">
        <v>52</v>
      </c>
      <c r="DM50" s="51" t="s">
        <v>28</v>
      </c>
      <c r="DN50" s="51" t="s">
        <v>143</v>
      </c>
    </row>
    <row r="51" spans="1:118" ht="15" customHeight="1">
      <c r="A51" s="563" t="s">
        <v>631</v>
      </c>
      <c r="B51" s="427"/>
      <c r="C51" s="563"/>
      <c r="D51" s="558"/>
      <c r="E51" s="558"/>
      <c r="F51" s="558"/>
      <c r="G51" s="563"/>
      <c r="H51" s="563"/>
      <c r="I51" s="563"/>
      <c r="J51" s="563"/>
      <c r="K51" s="562"/>
      <c r="L51" s="562"/>
      <c r="M51" s="562"/>
      <c r="N51" s="562"/>
      <c r="O51" s="563"/>
      <c r="P51" s="563"/>
      <c r="Q51" s="563"/>
      <c r="R51" s="563"/>
      <c r="S51" s="563"/>
      <c r="T51" s="562"/>
      <c r="U51" s="562"/>
      <c r="V51" s="562"/>
      <c r="W51" s="562"/>
      <c r="X51" s="562"/>
      <c r="Y51" s="563"/>
      <c r="Z51" s="563"/>
      <c r="AA51" s="563"/>
      <c r="AB51" s="563"/>
      <c r="AC51" s="562"/>
      <c r="AD51" s="562"/>
      <c r="AE51" s="562"/>
      <c r="AF51" s="562"/>
      <c r="AG51" s="4"/>
      <c r="AH51" s="563"/>
      <c r="AI51" s="563"/>
      <c r="AJ51" s="563"/>
      <c r="AK51" s="563"/>
      <c r="AL51" s="562"/>
      <c r="AM51" s="562"/>
      <c r="AN51" s="562"/>
      <c r="AO51" s="562"/>
      <c r="AP51" s="562"/>
      <c r="AQ51" s="563"/>
      <c r="AR51" s="563"/>
      <c r="AS51" s="563"/>
      <c r="AT51" s="563"/>
      <c r="AU51" s="562"/>
      <c r="AV51" s="562"/>
      <c r="AW51" s="562"/>
      <c r="AX51" s="562"/>
      <c r="AY51" s="4"/>
      <c r="AZ51" s="563"/>
      <c r="BA51" s="563"/>
      <c r="BB51" s="563"/>
      <c r="BC51" s="563"/>
      <c r="BD51" s="562"/>
      <c r="BE51" s="562"/>
      <c r="BF51" s="562"/>
      <c r="BG51" s="562"/>
      <c r="BH51" s="4"/>
      <c r="BI51" s="563"/>
      <c r="BJ51" s="563"/>
      <c r="BK51" s="563"/>
      <c r="BL51" s="563"/>
      <c r="BM51" s="562"/>
      <c r="BN51" s="562"/>
      <c r="BO51" s="562"/>
      <c r="BP51" s="562"/>
      <c r="BQ51" s="563"/>
      <c r="BR51" s="563"/>
      <c r="BS51" s="563"/>
      <c r="BT51" s="563"/>
      <c r="BU51" s="563"/>
      <c r="BV51" s="562"/>
      <c r="BW51" s="562"/>
      <c r="BX51" s="562"/>
      <c r="BY51" s="562"/>
      <c r="BZ51" s="563"/>
      <c r="CA51" s="563"/>
      <c r="CB51" s="563"/>
      <c r="CC51" s="563"/>
      <c r="CD51" s="563"/>
      <c r="CE51" s="562"/>
      <c r="CF51" s="562"/>
      <c r="CG51" s="562"/>
      <c r="CH51" s="562"/>
      <c r="CI51" s="563"/>
      <c r="CJ51" s="563"/>
      <c r="CK51" s="563"/>
      <c r="CL51" s="563"/>
      <c r="CM51" s="563"/>
      <c r="CN51" s="562"/>
      <c r="CO51" s="562"/>
      <c r="CP51" s="562"/>
      <c r="CQ51" s="562"/>
      <c r="CR51" s="562"/>
      <c r="CT51" s="558"/>
      <c r="CU51" s="563"/>
      <c r="CV51" s="563"/>
      <c r="CW51" s="563"/>
      <c r="CX51" s="563"/>
      <c r="CY51" s="562"/>
      <c r="CZ51" s="562"/>
      <c r="DA51" s="562"/>
      <c r="DB51" s="562"/>
      <c r="DC51" s="562"/>
      <c r="DD51" s="562"/>
      <c r="DF51" s="563"/>
      <c r="DG51" s="563"/>
      <c r="DH51" s="563"/>
      <c r="DI51" s="563"/>
      <c r="DJ51" s="562"/>
      <c r="DK51" s="562"/>
      <c r="DL51" s="562"/>
      <c r="DM51" s="562"/>
      <c r="DN51" s="562"/>
    </row>
    <row r="52" spans="1:118">
      <c r="A52" s="245" t="s">
        <v>48</v>
      </c>
      <c r="B52" s="141">
        <f>D52-E52</f>
        <v>0.21686575108417627</v>
      </c>
      <c r="D52" s="141">
        <f>SUM(G52:N52)*2</f>
        <v>0.76173711955722045</v>
      </c>
      <c r="E52" s="141">
        <f>SUM(Y52:AF52)*2</f>
        <v>0.54487136847304418</v>
      </c>
      <c r="F52" s="46"/>
      <c r="G52" s="157">
        <f t="shared" ref="G52:N52" si="47">(P$5-P52)*P$4</f>
        <v>3.935982890885021E-2</v>
      </c>
      <c r="H52" s="157">
        <f t="shared" si="47"/>
        <v>7.2034286801735001E-2</v>
      </c>
      <c r="I52" s="157">
        <f t="shared" si="47"/>
        <v>9.4321639998792436E-2</v>
      </c>
      <c r="J52" s="157">
        <f t="shared" si="47"/>
        <v>0.10022683408100981</v>
      </c>
      <c r="K52" s="157">
        <f t="shared" si="47"/>
        <v>4.5278834074703671E-2</v>
      </c>
      <c r="L52" s="157">
        <f t="shared" si="47"/>
        <v>1.9369274435314596E-2</v>
      </c>
      <c r="M52" s="157">
        <f t="shared" si="47"/>
        <v>1.0277861478204474E-2</v>
      </c>
      <c r="N52" s="157">
        <f t="shared" si="47"/>
        <v>1.1102230246251566E-18</v>
      </c>
      <c r="O52" s="46"/>
      <c r="P52" s="154">
        <f>AQ52</f>
        <v>3.2008554557489632E-3</v>
      </c>
      <c r="Q52" s="154">
        <f t="shared" ref="Q52:W52" si="48">P52+AR52</f>
        <v>3.9828565991325032E-2</v>
      </c>
      <c r="R52" s="154">
        <f t="shared" si="48"/>
        <v>0.12839180000603795</v>
      </c>
      <c r="S52" s="154">
        <f t="shared" si="48"/>
        <v>0.298865829594951</v>
      </c>
      <c r="T52" s="154">
        <f t="shared" si="48"/>
        <v>0.44721165925296336</v>
      </c>
      <c r="U52" s="154">
        <f t="shared" si="48"/>
        <v>0.56261451129370821</v>
      </c>
      <c r="V52" s="154">
        <f t="shared" si="48"/>
        <v>0.73305346304488828</v>
      </c>
      <c r="W52" s="154">
        <f t="shared" si="48"/>
        <v>0.99999999999999989</v>
      </c>
      <c r="X52" s="154"/>
      <c r="Y52" s="142">
        <f t="shared" ref="Y52:AF52" si="49">(P$5-AH52)*P$4</f>
        <v>3.2861051520825788E-2</v>
      </c>
      <c r="Z52" s="142">
        <f t="shared" si="49"/>
        <v>5.5615024989856134E-2</v>
      </c>
      <c r="AA52" s="142">
        <f t="shared" si="49"/>
        <v>6.8808086530313312E-2</v>
      </c>
      <c r="AB52" s="142">
        <f t="shared" si="49"/>
        <v>6.8223604215591177E-2</v>
      </c>
      <c r="AC52" s="142">
        <f t="shared" si="49"/>
        <v>2.928555373736378E-2</v>
      </c>
      <c r="AD52" s="142">
        <f t="shared" si="49"/>
        <v>1.1918063385831163E-2</v>
      </c>
      <c r="AE52" s="142">
        <f t="shared" si="49"/>
        <v>5.7242998567407491E-3</v>
      </c>
      <c r="AF52" s="142">
        <f t="shared" si="49"/>
        <v>0</v>
      </c>
      <c r="AH52" s="158">
        <f>AZ52/100</f>
        <v>3.5694742395871087E-2</v>
      </c>
      <c r="AI52" s="158">
        <f t="shared" ref="AI52:AN52" si="50">AH52+BA52/100</f>
        <v>0.12192487505071935</v>
      </c>
      <c r="AJ52" s="158">
        <f t="shared" si="50"/>
        <v>0.25595956734843356</v>
      </c>
      <c r="AK52" s="158">
        <f t="shared" si="50"/>
        <v>0.45888197892204419</v>
      </c>
      <c r="AL52" s="158">
        <f t="shared" si="50"/>
        <v>0.60714446262636224</v>
      </c>
      <c r="AM52" s="158">
        <f t="shared" si="50"/>
        <v>0.71163873228337682</v>
      </c>
      <c r="AN52" s="158">
        <f t="shared" si="50"/>
        <v>0.84689250358148138</v>
      </c>
      <c r="AO52" s="158">
        <v>1</v>
      </c>
      <c r="AP52" s="143"/>
      <c r="AQ52" s="143">
        <f t="shared" ref="AQ52:AX52" si="51">CJ52/$CR52</f>
        <v>3.2008554557489632E-3</v>
      </c>
      <c r="AR52" s="143">
        <f t="shared" si="51"/>
        <v>3.662771053557607E-2</v>
      </c>
      <c r="AS52" s="143">
        <f t="shared" si="51"/>
        <v>8.856323401471293E-2</v>
      </c>
      <c r="AT52" s="143">
        <f t="shared" si="51"/>
        <v>0.17047402958891308</v>
      </c>
      <c r="AU52" s="143">
        <f t="shared" si="51"/>
        <v>0.14834582965801232</v>
      </c>
      <c r="AV52" s="143">
        <f t="shared" si="51"/>
        <v>0.11540285204074482</v>
      </c>
      <c r="AW52" s="143">
        <f t="shared" si="51"/>
        <v>0.17043895175118007</v>
      </c>
      <c r="AX52" s="143">
        <f t="shared" si="51"/>
        <v>0.26694653695511161</v>
      </c>
      <c r="AY52" s="46"/>
      <c r="AZ52" s="152">
        <f>BR52*CU52/$BR54*100</f>
        <v>3.5694742395871089</v>
      </c>
      <c r="BA52" s="152">
        <f t="shared" ref="BA52:BG52" si="52">BS52*CV52/$BR54*100</f>
        <v>8.6230132654848255</v>
      </c>
      <c r="BB52" s="152">
        <f t="shared" si="52"/>
        <v>13.403469229771423</v>
      </c>
      <c r="BC52" s="152">
        <f t="shared" si="52"/>
        <v>20.292241157361062</v>
      </c>
      <c r="BD52" s="152">
        <f t="shared" si="52"/>
        <v>14.826248370431806</v>
      </c>
      <c r="BE52" s="152">
        <f t="shared" si="52"/>
        <v>10.449426965701452</v>
      </c>
      <c r="BF52" s="152">
        <f t="shared" si="52"/>
        <v>13.525377129810451</v>
      </c>
      <c r="BG52" s="152">
        <f t="shared" si="52"/>
        <v>16.833592281445796</v>
      </c>
      <c r="BI52" s="573">
        <f>BI44</f>
        <v>1.9</v>
      </c>
      <c r="BJ52" s="573">
        <f t="shared" ref="BJ52:BP52" si="53">BJ44</f>
        <v>9</v>
      </c>
      <c r="BK52" s="573">
        <f t="shared" si="53"/>
        <v>14</v>
      </c>
      <c r="BL52" s="573">
        <f t="shared" si="53"/>
        <v>17.8</v>
      </c>
      <c r="BM52" s="573">
        <f t="shared" si="53"/>
        <v>21.2</v>
      </c>
      <c r="BN52" s="573">
        <f t="shared" si="53"/>
        <v>23.4</v>
      </c>
      <c r="BO52" s="573">
        <f t="shared" si="53"/>
        <v>26.7</v>
      </c>
      <c r="BP52" s="573">
        <f t="shared" si="53"/>
        <v>33.6</v>
      </c>
      <c r="BQ52" s="46"/>
      <c r="BR52" s="60">
        <f>BR$44</f>
        <v>19400</v>
      </c>
      <c r="BS52" s="60">
        <f t="shared" ref="BS52:BY52" si="54">BS$44</f>
        <v>42700</v>
      </c>
      <c r="BT52" s="60">
        <f t="shared" si="54"/>
        <v>69600</v>
      </c>
      <c r="BU52" s="60">
        <f t="shared" si="54"/>
        <v>105800</v>
      </c>
      <c r="BV52" s="60">
        <f t="shared" si="54"/>
        <v>153200</v>
      </c>
      <c r="BW52" s="60">
        <f t="shared" si="54"/>
        <v>209200</v>
      </c>
      <c r="BX52" s="60">
        <f t="shared" si="54"/>
        <v>346600</v>
      </c>
      <c r="BY52" s="60">
        <f t="shared" si="54"/>
        <v>1797400</v>
      </c>
      <c r="CA52" s="60">
        <f t="shared" ref="CA52:CH52" si="55">BI52*BR52/100</f>
        <v>368.6</v>
      </c>
      <c r="CB52" s="60">
        <f t="shared" si="55"/>
        <v>3843</v>
      </c>
      <c r="CC52" s="60">
        <f t="shared" si="55"/>
        <v>9744</v>
      </c>
      <c r="CD52" s="60">
        <f t="shared" si="55"/>
        <v>18832.400000000001</v>
      </c>
      <c r="CE52" s="60">
        <f t="shared" si="55"/>
        <v>32478.400000000001</v>
      </c>
      <c r="CF52" s="60">
        <f t="shared" si="55"/>
        <v>48952.800000000003</v>
      </c>
      <c r="CG52" s="60">
        <f t="shared" si="55"/>
        <v>92542.2</v>
      </c>
      <c r="CH52" s="60">
        <f t="shared" si="55"/>
        <v>603926.4</v>
      </c>
      <c r="CJ52" s="153">
        <f t="shared" ref="CJ52:CQ52" si="56">CA52*CU52</f>
        <v>8689.7450000000008</v>
      </c>
      <c r="CK52" s="153">
        <f t="shared" si="56"/>
        <v>99437.625000000015</v>
      </c>
      <c r="CL52" s="153">
        <f t="shared" si="56"/>
        <v>240433.20000000004</v>
      </c>
      <c r="CM52" s="153">
        <f t="shared" si="56"/>
        <v>462806.2300000001</v>
      </c>
      <c r="CN52" s="153">
        <f t="shared" si="56"/>
        <v>402732.16000000003</v>
      </c>
      <c r="CO52" s="153">
        <f t="shared" si="56"/>
        <v>313297.92000000004</v>
      </c>
      <c r="CP52" s="153">
        <f t="shared" si="56"/>
        <v>462711</v>
      </c>
      <c r="CQ52" s="153">
        <f t="shared" si="56"/>
        <v>724711.68</v>
      </c>
      <c r="CR52" s="153">
        <f>SUM(CJ52:CQ52)</f>
        <v>2714819.5600000005</v>
      </c>
      <c r="CT52" s="403">
        <f>CT$44</f>
        <v>310.39999999999998</v>
      </c>
      <c r="CU52" s="403">
        <f t="shared" ref="CU52:DC52" si="57">CU$44</f>
        <v>23.575000000000003</v>
      </c>
      <c r="CV52" s="403">
        <f t="shared" si="57"/>
        <v>25.875000000000004</v>
      </c>
      <c r="CW52" s="403">
        <f t="shared" si="57"/>
        <v>24.675000000000004</v>
      </c>
      <c r="CX52" s="403">
        <f t="shared" si="57"/>
        <v>24.575000000000003</v>
      </c>
      <c r="CY52" s="403">
        <f t="shared" si="57"/>
        <v>12.4</v>
      </c>
      <c r="CZ52" s="403">
        <f t="shared" si="57"/>
        <v>6.4</v>
      </c>
      <c r="DA52" s="403">
        <f t="shared" si="57"/>
        <v>5</v>
      </c>
      <c r="DB52" s="403">
        <f t="shared" si="57"/>
        <v>1.2</v>
      </c>
      <c r="DC52" s="403">
        <f t="shared" si="57"/>
        <v>124.7</v>
      </c>
      <c r="DD52" s="403"/>
      <c r="DE52" s="403"/>
      <c r="DF52" s="403"/>
      <c r="DG52" s="403"/>
      <c r="DH52" s="403"/>
      <c r="DI52" s="403"/>
      <c r="DJ52" s="403"/>
      <c r="DK52" s="403"/>
      <c r="DL52" s="403"/>
      <c r="DM52" s="275">
        <f>Dem!$D436</f>
        <v>0</v>
      </c>
      <c r="DN52" s="276">
        <f>CT52</f>
        <v>310.39999999999998</v>
      </c>
    </row>
    <row r="53" spans="1:118" ht="15" customHeight="1">
      <c r="A53" s="64"/>
      <c r="B53" s="427"/>
      <c r="C53" s="563"/>
      <c r="D53" s="558"/>
      <c r="E53" s="558"/>
      <c r="F53" s="558"/>
      <c r="G53" s="563"/>
      <c r="H53" s="563"/>
      <c r="I53" s="563"/>
      <c r="J53" s="563"/>
      <c r="K53" s="562"/>
      <c r="L53" s="562"/>
      <c r="M53" s="562"/>
      <c r="N53" s="562"/>
      <c r="O53" s="563"/>
      <c r="P53" s="563"/>
      <c r="Q53" s="563"/>
      <c r="R53" s="563"/>
      <c r="S53" s="563"/>
      <c r="T53" s="562"/>
      <c r="U53" s="562"/>
      <c r="V53" s="562"/>
      <c r="W53" s="562"/>
      <c r="X53" s="562"/>
      <c r="Y53" s="563"/>
      <c r="Z53" s="563"/>
      <c r="AA53" s="563"/>
      <c r="AB53" s="563"/>
      <c r="AC53" s="562"/>
      <c r="AD53" s="562"/>
      <c r="AE53" s="562"/>
      <c r="AF53" s="562"/>
      <c r="AG53" s="4"/>
      <c r="AH53" s="563"/>
      <c r="AI53" s="563"/>
      <c r="AJ53" s="563"/>
      <c r="AK53" s="563"/>
      <c r="AL53" s="562"/>
      <c r="AM53" s="562"/>
      <c r="AN53" s="562"/>
      <c r="AO53" s="562"/>
      <c r="AP53" s="562"/>
      <c r="AQ53" s="563"/>
      <c r="AR53" s="563"/>
      <c r="AS53" s="563"/>
      <c r="AT53" s="563"/>
      <c r="AU53" s="562"/>
      <c r="AV53" s="562"/>
      <c r="AW53" s="562"/>
      <c r="AX53" s="562"/>
      <c r="AY53" s="4"/>
      <c r="AZ53" s="563"/>
      <c r="BA53" s="563"/>
      <c r="BB53" s="563"/>
      <c r="BC53" s="563"/>
      <c r="BD53" s="562"/>
      <c r="BE53" s="562"/>
      <c r="BF53" s="562"/>
      <c r="BG53" s="562"/>
      <c r="BH53" s="4"/>
      <c r="BI53" s="563"/>
      <c r="BJ53" s="563"/>
      <c r="BK53" s="563"/>
      <c r="BL53" s="563"/>
      <c r="BM53" s="562"/>
      <c r="BN53" s="562"/>
      <c r="BO53" s="562"/>
      <c r="BP53" s="562"/>
      <c r="BQ53" s="563"/>
      <c r="BR53" s="563"/>
      <c r="BS53" s="563"/>
      <c r="BT53" s="563"/>
      <c r="BU53" s="563"/>
      <c r="BV53" s="562"/>
      <c r="BW53" s="562"/>
      <c r="BX53" s="562"/>
      <c r="BY53" s="562"/>
      <c r="BZ53" s="563"/>
      <c r="CA53" s="563"/>
      <c r="CB53" s="563"/>
      <c r="CC53" s="563"/>
      <c r="CD53" s="563"/>
      <c r="CE53" s="562"/>
      <c r="CF53" s="562"/>
      <c r="CG53" s="562"/>
      <c r="CH53" s="562"/>
      <c r="CI53" s="563"/>
      <c r="CJ53" s="563"/>
      <c r="CK53" s="563"/>
      <c r="CL53" s="563"/>
      <c r="CM53" s="563"/>
      <c r="CN53" s="562"/>
      <c r="CO53" s="562"/>
      <c r="CP53" s="562"/>
      <c r="CQ53" s="562"/>
      <c r="CR53" s="562"/>
      <c r="CT53" s="558"/>
      <c r="CU53" s="563"/>
      <c r="CV53" s="563"/>
      <c r="CW53" s="563"/>
      <c r="CX53" s="563"/>
      <c r="CY53" s="562"/>
      <c r="CZ53" s="562"/>
      <c r="DA53" s="562"/>
      <c r="DB53" s="562"/>
      <c r="DC53" s="562"/>
      <c r="DD53" s="562"/>
      <c r="DF53" s="563"/>
      <c r="DG53" s="563"/>
      <c r="DH53" s="563"/>
      <c r="DI53" s="563"/>
      <c r="DJ53" s="562"/>
      <c r="DK53" s="562"/>
      <c r="DL53" s="562"/>
      <c r="DM53" s="562"/>
      <c r="DN53" s="562"/>
    </row>
    <row r="54" spans="1:118">
      <c r="A54" s="244" t="s">
        <v>278</v>
      </c>
      <c r="B54" s="109"/>
      <c r="C54" s="109"/>
      <c r="D54" s="109"/>
      <c r="E54" s="109"/>
      <c r="F54" s="109"/>
      <c r="G54" s="109"/>
      <c r="H54" s="109"/>
      <c r="I54" s="109"/>
      <c r="J54" s="109"/>
      <c r="K54" s="109"/>
      <c r="L54" s="109"/>
      <c r="BR54" s="577">
        <f>SUMPRODUCT(BR52:BY52,CU52:DB52)*0.985</f>
        <v>12812951.4125</v>
      </c>
    </row>
    <row r="55" spans="1:118">
      <c r="A55" s="245" t="s">
        <v>48</v>
      </c>
      <c r="B55" s="141">
        <f>D55-E55</f>
        <v>0.21686575108417627</v>
      </c>
      <c r="D55" s="141">
        <f>SUM(G55:N55)*2</f>
        <v>0.76173711955722045</v>
      </c>
      <c r="E55" s="141">
        <f>SUM(Y55:AF55)*2</f>
        <v>0.54487136847304418</v>
      </c>
      <c r="F55" s="46"/>
      <c r="G55" s="157">
        <f t="shared" ref="G55:N55" si="58">(P$5-P55)*P$4</f>
        <v>3.935982890885021E-2</v>
      </c>
      <c r="H55" s="157">
        <f t="shared" si="58"/>
        <v>7.2034286801735001E-2</v>
      </c>
      <c r="I55" s="157">
        <f t="shared" si="58"/>
        <v>9.4321639998792423E-2</v>
      </c>
      <c r="J55" s="157">
        <f t="shared" si="58"/>
        <v>0.1002268340810098</v>
      </c>
      <c r="K55" s="157">
        <f t="shared" si="58"/>
        <v>4.5278834074703657E-2</v>
      </c>
      <c r="L55" s="157">
        <f t="shared" si="58"/>
        <v>1.9369274435314589E-2</v>
      </c>
      <c r="M55" s="157">
        <f t="shared" si="58"/>
        <v>1.0277861478204468E-2</v>
      </c>
      <c r="N55" s="157">
        <f t="shared" si="58"/>
        <v>0</v>
      </c>
      <c r="O55" s="46"/>
      <c r="P55" s="154">
        <f>AQ55</f>
        <v>3.2008554557489632E-3</v>
      </c>
      <c r="Q55" s="154">
        <f t="shared" ref="Q55:W55" si="59">P55+AR55</f>
        <v>3.9828565991325039E-2</v>
      </c>
      <c r="R55" s="154">
        <f t="shared" si="59"/>
        <v>0.12839180000603798</v>
      </c>
      <c r="S55" s="154">
        <f t="shared" si="59"/>
        <v>0.29886582959495112</v>
      </c>
      <c r="T55" s="154">
        <f t="shared" si="59"/>
        <v>0.44721165925296347</v>
      </c>
      <c r="U55" s="154">
        <f t="shared" si="59"/>
        <v>0.56261451129370832</v>
      </c>
      <c r="V55" s="154">
        <f t="shared" si="59"/>
        <v>0.73305346304488839</v>
      </c>
      <c r="W55" s="154">
        <f t="shared" si="59"/>
        <v>1</v>
      </c>
      <c r="X55" s="154"/>
      <c r="Y55" s="142">
        <f t="shared" ref="Y55:AF55" si="60">(P$5-AH55)*P$4</f>
        <v>3.2861051520825788E-2</v>
      </c>
      <c r="Z55" s="142">
        <f t="shared" si="60"/>
        <v>5.5615024989856134E-2</v>
      </c>
      <c r="AA55" s="142">
        <f t="shared" si="60"/>
        <v>6.8808086530313312E-2</v>
      </c>
      <c r="AB55" s="142">
        <f t="shared" si="60"/>
        <v>6.8223604215591177E-2</v>
      </c>
      <c r="AC55" s="142">
        <f t="shared" si="60"/>
        <v>2.928555373736378E-2</v>
      </c>
      <c r="AD55" s="142">
        <f t="shared" si="60"/>
        <v>1.1918063385831163E-2</v>
      </c>
      <c r="AE55" s="142">
        <f t="shared" si="60"/>
        <v>5.7242998567407491E-3</v>
      </c>
      <c r="AF55" s="142">
        <f t="shared" si="60"/>
        <v>0</v>
      </c>
      <c r="AH55" s="158">
        <f>AZ55/100</f>
        <v>3.5694742395871087E-2</v>
      </c>
      <c r="AI55" s="158">
        <f t="shared" ref="AI55:AN55" si="61">AH55+BA55/100</f>
        <v>0.12192487505071935</v>
      </c>
      <c r="AJ55" s="158">
        <f t="shared" si="61"/>
        <v>0.25595956734843356</v>
      </c>
      <c r="AK55" s="158">
        <f t="shared" si="61"/>
        <v>0.45888197892204419</v>
      </c>
      <c r="AL55" s="158">
        <f t="shared" si="61"/>
        <v>0.60714446262636224</v>
      </c>
      <c r="AM55" s="158">
        <f t="shared" si="61"/>
        <v>0.71163873228337682</v>
      </c>
      <c r="AN55" s="158">
        <f t="shared" si="61"/>
        <v>0.84689250358148138</v>
      </c>
      <c r="AO55" s="158">
        <v>1</v>
      </c>
      <c r="AP55" s="143"/>
      <c r="AQ55" s="143">
        <f t="shared" ref="AQ55:AX55" si="62">CJ55/$CR55</f>
        <v>3.2008554557489632E-3</v>
      </c>
      <c r="AR55" s="143">
        <f t="shared" si="62"/>
        <v>3.6627710535576077E-2</v>
      </c>
      <c r="AS55" s="143">
        <f t="shared" si="62"/>
        <v>8.8563234014712944E-2</v>
      </c>
      <c r="AT55" s="143">
        <f t="shared" si="62"/>
        <v>0.17047402958891311</v>
      </c>
      <c r="AU55" s="143">
        <f t="shared" si="62"/>
        <v>0.14834582965801232</v>
      </c>
      <c r="AV55" s="143">
        <f t="shared" si="62"/>
        <v>0.11540285204074484</v>
      </c>
      <c r="AW55" s="143">
        <f t="shared" si="62"/>
        <v>0.17043895175118007</v>
      </c>
      <c r="AX55" s="143">
        <f t="shared" si="62"/>
        <v>0.26694653695511167</v>
      </c>
      <c r="AY55" s="46"/>
      <c r="AZ55" s="152">
        <f>AZ52</f>
        <v>3.5694742395871089</v>
      </c>
      <c r="BA55" s="152">
        <f t="shared" ref="BA55:BG55" si="63">BA52</f>
        <v>8.6230132654848255</v>
      </c>
      <c r="BB55" s="152">
        <f t="shared" si="63"/>
        <v>13.403469229771423</v>
      </c>
      <c r="BC55" s="152">
        <f t="shared" si="63"/>
        <v>20.292241157361062</v>
      </c>
      <c r="BD55" s="152">
        <f t="shared" si="63"/>
        <v>14.826248370431806</v>
      </c>
      <c r="BE55" s="152">
        <f t="shared" si="63"/>
        <v>10.449426965701452</v>
      </c>
      <c r="BF55" s="152">
        <f t="shared" si="63"/>
        <v>13.525377129810451</v>
      </c>
      <c r="BG55" s="152">
        <f t="shared" si="63"/>
        <v>16.833592281445796</v>
      </c>
      <c r="BI55" s="268">
        <f t="shared" ref="BI55:BP55" si="64">BI$44*$BI$56</f>
        <v>2.09</v>
      </c>
      <c r="BJ55" s="268">
        <f t="shared" si="64"/>
        <v>9.9</v>
      </c>
      <c r="BK55" s="268">
        <f t="shared" si="64"/>
        <v>15.400000000000002</v>
      </c>
      <c r="BL55" s="268">
        <f t="shared" si="64"/>
        <v>19.580000000000002</v>
      </c>
      <c r="BM55" s="268">
        <f t="shared" si="64"/>
        <v>23.32</v>
      </c>
      <c r="BN55" s="268">
        <f t="shared" si="64"/>
        <v>25.740000000000002</v>
      </c>
      <c r="BO55" s="268">
        <f t="shared" si="64"/>
        <v>29.37</v>
      </c>
      <c r="BP55" s="268">
        <f t="shared" si="64"/>
        <v>36.960000000000008</v>
      </c>
      <c r="BQ55" s="46"/>
      <c r="BR55" s="60">
        <f>BR$44</f>
        <v>19400</v>
      </c>
      <c r="BS55" s="60">
        <f t="shared" ref="BS55:BY55" si="65">BS$44</f>
        <v>42700</v>
      </c>
      <c r="BT55" s="60">
        <f t="shared" si="65"/>
        <v>69600</v>
      </c>
      <c r="BU55" s="60">
        <f t="shared" si="65"/>
        <v>105800</v>
      </c>
      <c r="BV55" s="60">
        <f t="shared" si="65"/>
        <v>153200</v>
      </c>
      <c r="BW55" s="60">
        <f t="shared" si="65"/>
        <v>209200</v>
      </c>
      <c r="BX55" s="60">
        <f t="shared" si="65"/>
        <v>346600</v>
      </c>
      <c r="BY55" s="60">
        <f t="shared" si="65"/>
        <v>1797400</v>
      </c>
      <c r="CA55" s="60">
        <f t="shared" ref="CA55:CH55" si="66">BI55*BR55/100</f>
        <v>405.46</v>
      </c>
      <c r="CB55" s="60">
        <f t="shared" si="66"/>
        <v>4227.3</v>
      </c>
      <c r="CC55" s="60">
        <f t="shared" si="66"/>
        <v>10718.400000000001</v>
      </c>
      <c r="CD55" s="60">
        <f t="shared" si="66"/>
        <v>20715.640000000003</v>
      </c>
      <c r="CE55" s="60">
        <f t="shared" si="66"/>
        <v>35726.239999999998</v>
      </c>
      <c r="CF55" s="60">
        <f t="shared" si="66"/>
        <v>53848.08</v>
      </c>
      <c r="CG55" s="60">
        <f t="shared" si="66"/>
        <v>101796.42</v>
      </c>
      <c r="CH55" s="60">
        <f t="shared" si="66"/>
        <v>664319.04000000015</v>
      </c>
      <c r="CJ55" s="153">
        <f t="shared" ref="CJ55:CQ55" si="67">CA55*CU55</f>
        <v>9558.7195000000011</v>
      </c>
      <c r="CK55" s="153">
        <f t="shared" si="67"/>
        <v>109381.38750000003</v>
      </c>
      <c r="CL55" s="153">
        <f t="shared" si="67"/>
        <v>264476.52000000008</v>
      </c>
      <c r="CM55" s="153">
        <f t="shared" si="67"/>
        <v>509086.85300000012</v>
      </c>
      <c r="CN55" s="153">
        <f t="shared" si="67"/>
        <v>443005.37599999999</v>
      </c>
      <c r="CO55" s="153">
        <f t="shared" si="67"/>
        <v>344627.71200000006</v>
      </c>
      <c r="CP55" s="153">
        <f t="shared" si="67"/>
        <v>508982.1</v>
      </c>
      <c r="CQ55" s="153">
        <f t="shared" si="67"/>
        <v>797182.84800000011</v>
      </c>
      <c r="CR55" s="153">
        <f>SUM(CJ55:CQ55)</f>
        <v>2986301.5160000003</v>
      </c>
      <c r="CT55" s="403">
        <f>CT$44</f>
        <v>310.39999999999998</v>
      </c>
      <c r="CU55" s="403">
        <f t="shared" ref="CU55:DC55" si="68">CU$44</f>
        <v>23.575000000000003</v>
      </c>
      <c r="CV55" s="403">
        <f t="shared" si="68"/>
        <v>25.875000000000004</v>
      </c>
      <c r="CW55" s="403">
        <f t="shared" si="68"/>
        <v>24.675000000000004</v>
      </c>
      <c r="CX55" s="403">
        <f t="shared" si="68"/>
        <v>24.575000000000003</v>
      </c>
      <c r="CY55" s="403">
        <f t="shared" si="68"/>
        <v>12.4</v>
      </c>
      <c r="CZ55" s="403">
        <f t="shared" si="68"/>
        <v>6.4</v>
      </c>
      <c r="DA55" s="403">
        <f t="shared" si="68"/>
        <v>5</v>
      </c>
      <c r="DB55" s="403">
        <f t="shared" si="68"/>
        <v>1.2</v>
      </c>
      <c r="DC55" s="403">
        <f t="shared" si="68"/>
        <v>124.7</v>
      </c>
      <c r="DD55" s="403"/>
      <c r="DE55" s="403"/>
      <c r="DF55" s="403"/>
      <c r="DG55" s="403"/>
      <c r="DH55" s="403"/>
      <c r="DI55" s="403"/>
      <c r="DJ55" s="403"/>
      <c r="DK55" s="403"/>
      <c r="DL55" s="403"/>
      <c r="DM55" s="275">
        <f>Dem!$D439</f>
        <v>0</v>
      </c>
      <c r="DN55" s="276">
        <f>CT55</f>
        <v>310.39999999999998</v>
      </c>
    </row>
    <row r="56" spans="1:118">
      <c r="BI56" s="109">
        <v>1.1000000000000001</v>
      </c>
    </row>
    <row r="57" spans="1:118">
      <c r="BR57" s="26"/>
    </row>
    <row r="58" spans="1:118">
      <c r="A58" s="270" t="s">
        <v>279</v>
      </c>
      <c r="B58" s="107"/>
      <c r="C58" s="107"/>
      <c r="D58" s="107"/>
      <c r="E58" s="107"/>
      <c r="F58" s="107"/>
      <c r="G58" s="107"/>
      <c r="H58" s="107"/>
      <c r="I58" s="107"/>
      <c r="J58" s="107"/>
      <c r="K58" s="107"/>
      <c r="L58" s="107"/>
    </row>
    <row r="59" spans="1:118">
      <c r="A59" s="245" t="s">
        <v>48</v>
      </c>
      <c r="B59" s="141">
        <f>D59-E59</f>
        <v>0.21686575108417627</v>
      </c>
      <c r="D59" s="141">
        <f>SUM(G59:N59)*2</f>
        <v>0.76173711955722045</v>
      </c>
      <c r="E59" s="141">
        <f>SUM(Y59:AF59)*2</f>
        <v>0.54487136847304418</v>
      </c>
      <c r="F59" s="46"/>
      <c r="G59" s="157">
        <f t="shared" ref="G59:N59" si="69">(P$5-P59)*P$4</f>
        <v>3.935982890885021E-2</v>
      </c>
      <c r="H59" s="157">
        <f t="shared" si="69"/>
        <v>7.2034286801735001E-2</v>
      </c>
      <c r="I59" s="157">
        <f t="shared" si="69"/>
        <v>9.4321639998792423E-2</v>
      </c>
      <c r="J59" s="157">
        <f t="shared" si="69"/>
        <v>0.1002268340810098</v>
      </c>
      <c r="K59" s="157">
        <f t="shared" si="69"/>
        <v>4.5278834074703657E-2</v>
      </c>
      <c r="L59" s="157">
        <f t="shared" si="69"/>
        <v>1.9369274435314589E-2</v>
      </c>
      <c r="M59" s="157">
        <f t="shared" si="69"/>
        <v>1.0277861478204468E-2</v>
      </c>
      <c r="N59" s="157">
        <f t="shared" si="69"/>
        <v>0</v>
      </c>
      <c r="O59" s="46"/>
      <c r="P59" s="154">
        <f>AQ59</f>
        <v>3.200855455748964E-3</v>
      </c>
      <c r="Q59" s="154">
        <f t="shared" ref="Q59:W59" si="70">P59+AR59</f>
        <v>3.9828565991325039E-2</v>
      </c>
      <c r="R59" s="154">
        <f t="shared" si="70"/>
        <v>0.128391800006038</v>
      </c>
      <c r="S59" s="154">
        <f t="shared" si="70"/>
        <v>0.29886582959495112</v>
      </c>
      <c r="T59" s="154">
        <f t="shared" si="70"/>
        <v>0.44721165925296347</v>
      </c>
      <c r="U59" s="154">
        <f t="shared" si="70"/>
        <v>0.56261451129370832</v>
      </c>
      <c r="V59" s="154">
        <f t="shared" si="70"/>
        <v>0.73305346304488839</v>
      </c>
      <c r="W59" s="154">
        <f t="shared" si="70"/>
        <v>1</v>
      </c>
      <c r="X59" s="154"/>
      <c r="Y59" s="142">
        <f t="shared" ref="Y59:AF59" si="71">(P$5-AH59)*P$4</f>
        <v>3.2861051520825788E-2</v>
      </c>
      <c r="Z59" s="142">
        <f t="shared" si="71"/>
        <v>5.5615024989856134E-2</v>
      </c>
      <c r="AA59" s="142">
        <f t="shared" si="71"/>
        <v>6.8808086530313312E-2</v>
      </c>
      <c r="AB59" s="142">
        <f t="shared" si="71"/>
        <v>6.8223604215591177E-2</v>
      </c>
      <c r="AC59" s="142">
        <f t="shared" si="71"/>
        <v>2.928555373736378E-2</v>
      </c>
      <c r="AD59" s="142">
        <f t="shared" si="71"/>
        <v>1.1918063385831163E-2</v>
      </c>
      <c r="AE59" s="142">
        <f t="shared" si="71"/>
        <v>5.7242998567407491E-3</v>
      </c>
      <c r="AF59" s="142">
        <f t="shared" si="71"/>
        <v>0</v>
      </c>
      <c r="AH59" s="158">
        <f>AZ59/100</f>
        <v>3.5694742395871087E-2</v>
      </c>
      <c r="AI59" s="158">
        <f t="shared" ref="AI59:AN59" si="72">AH59+BA59/100</f>
        <v>0.12192487505071935</v>
      </c>
      <c r="AJ59" s="158">
        <f t="shared" si="72"/>
        <v>0.25595956734843356</v>
      </c>
      <c r="AK59" s="158">
        <f t="shared" si="72"/>
        <v>0.45888197892204419</v>
      </c>
      <c r="AL59" s="158">
        <f t="shared" si="72"/>
        <v>0.60714446262636224</v>
      </c>
      <c r="AM59" s="158">
        <f t="shared" si="72"/>
        <v>0.71163873228337682</v>
      </c>
      <c r="AN59" s="158">
        <f t="shared" si="72"/>
        <v>0.84689250358148138</v>
      </c>
      <c r="AO59" s="158">
        <v>1</v>
      </c>
      <c r="AP59" s="143"/>
      <c r="AQ59" s="143">
        <f t="shared" ref="AQ59:AX59" si="73">CJ59/$CR59</f>
        <v>3.200855455748964E-3</v>
      </c>
      <c r="AR59" s="143">
        <f t="shared" si="73"/>
        <v>3.6627710535576077E-2</v>
      </c>
      <c r="AS59" s="143">
        <f t="shared" si="73"/>
        <v>8.8563234014712958E-2</v>
      </c>
      <c r="AT59" s="143">
        <f t="shared" si="73"/>
        <v>0.17047402958891311</v>
      </c>
      <c r="AU59" s="143">
        <f t="shared" si="73"/>
        <v>0.14834582965801232</v>
      </c>
      <c r="AV59" s="143">
        <f t="shared" si="73"/>
        <v>0.11540285204074484</v>
      </c>
      <c r="AW59" s="143">
        <f t="shared" si="73"/>
        <v>0.1704389517511801</v>
      </c>
      <c r="AX59" s="143">
        <f t="shared" si="73"/>
        <v>0.26694653695511167</v>
      </c>
      <c r="AY59" s="46"/>
      <c r="AZ59" s="152">
        <f>AZ55</f>
        <v>3.5694742395871089</v>
      </c>
      <c r="BA59" s="152">
        <f t="shared" ref="BA59:BG59" si="74">BA55</f>
        <v>8.6230132654848255</v>
      </c>
      <c r="BB59" s="152">
        <f t="shared" si="74"/>
        <v>13.403469229771423</v>
      </c>
      <c r="BC59" s="152">
        <f t="shared" si="74"/>
        <v>20.292241157361062</v>
      </c>
      <c r="BD59" s="152">
        <f t="shared" si="74"/>
        <v>14.826248370431806</v>
      </c>
      <c r="BE59" s="152">
        <f t="shared" si="74"/>
        <v>10.449426965701452</v>
      </c>
      <c r="BF59" s="152">
        <f t="shared" si="74"/>
        <v>13.525377129810451</v>
      </c>
      <c r="BG59" s="152">
        <f t="shared" si="74"/>
        <v>16.833592281445796</v>
      </c>
      <c r="BI59" s="269">
        <f t="shared" ref="BI59:BP59" si="75">BI$44*$BI$60</f>
        <v>1.71</v>
      </c>
      <c r="BJ59" s="269">
        <f t="shared" si="75"/>
        <v>8.1</v>
      </c>
      <c r="BK59" s="269">
        <f t="shared" si="75"/>
        <v>12.6</v>
      </c>
      <c r="BL59" s="269">
        <f t="shared" si="75"/>
        <v>16.02</v>
      </c>
      <c r="BM59" s="269">
        <f t="shared" si="75"/>
        <v>19.079999999999998</v>
      </c>
      <c r="BN59" s="269">
        <f t="shared" si="75"/>
        <v>21.06</v>
      </c>
      <c r="BO59" s="269">
        <f t="shared" si="75"/>
        <v>24.03</v>
      </c>
      <c r="BP59" s="269">
        <f t="shared" si="75"/>
        <v>30.240000000000002</v>
      </c>
      <c r="BQ59" s="46"/>
      <c r="BR59" s="60">
        <f>BR$44</f>
        <v>19400</v>
      </c>
      <c r="BS59" s="60">
        <f t="shared" ref="BS59:BY59" si="76">BS$44</f>
        <v>42700</v>
      </c>
      <c r="BT59" s="60">
        <f t="shared" si="76"/>
        <v>69600</v>
      </c>
      <c r="BU59" s="60">
        <f t="shared" si="76"/>
        <v>105800</v>
      </c>
      <c r="BV59" s="60">
        <f t="shared" si="76"/>
        <v>153200</v>
      </c>
      <c r="BW59" s="60">
        <f t="shared" si="76"/>
        <v>209200</v>
      </c>
      <c r="BX59" s="60">
        <f t="shared" si="76"/>
        <v>346600</v>
      </c>
      <c r="BY59" s="60">
        <f t="shared" si="76"/>
        <v>1797400</v>
      </c>
      <c r="CA59" s="60">
        <f t="shared" ref="CA59:CH59" si="77">BI59*BR59/100</f>
        <v>331.74</v>
      </c>
      <c r="CB59" s="60">
        <f t="shared" si="77"/>
        <v>3458.7</v>
      </c>
      <c r="CC59" s="60">
        <f t="shared" si="77"/>
        <v>8769.6</v>
      </c>
      <c r="CD59" s="60">
        <f t="shared" si="77"/>
        <v>16949.16</v>
      </c>
      <c r="CE59" s="60">
        <f t="shared" si="77"/>
        <v>29230.559999999994</v>
      </c>
      <c r="CF59" s="60">
        <f t="shared" si="77"/>
        <v>44057.52</v>
      </c>
      <c r="CG59" s="60">
        <f t="shared" si="77"/>
        <v>83287.98</v>
      </c>
      <c r="CH59" s="60">
        <f t="shared" si="77"/>
        <v>543533.76</v>
      </c>
      <c r="CJ59" s="153">
        <f t="shared" ref="CJ59:CQ59" si="78">CA59*CU59</f>
        <v>7820.7705000000014</v>
      </c>
      <c r="CK59" s="153">
        <f t="shared" si="78"/>
        <v>89493.862500000003</v>
      </c>
      <c r="CL59" s="153">
        <f t="shared" si="78"/>
        <v>216389.88000000003</v>
      </c>
      <c r="CM59" s="153">
        <f t="shared" si="78"/>
        <v>416525.60700000002</v>
      </c>
      <c r="CN59" s="153">
        <f t="shared" si="78"/>
        <v>362458.94399999996</v>
      </c>
      <c r="CO59" s="153">
        <f t="shared" si="78"/>
        <v>281968.12799999997</v>
      </c>
      <c r="CP59" s="153">
        <f t="shared" si="78"/>
        <v>416439.89999999997</v>
      </c>
      <c r="CQ59" s="153">
        <f t="shared" si="78"/>
        <v>652240.51199999999</v>
      </c>
      <c r="CR59" s="153">
        <f>SUM(CJ59:CQ59)</f>
        <v>2443337.6039999998</v>
      </c>
      <c r="CT59" s="403">
        <f>CT$44</f>
        <v>310.39999999999998</v>
      </c>
      <c r="CU59" s="403">
        <f t="shared" ref="CU59:DC59" si="79">CU$44</f>
        <v>23.575000000000003</v>
      </c>
      <c r="CV59" s="403">
        <f t="shared" si="79"/>
        <v>25.875000000000004</v>
      </c>
      <c r="CW59" s="403">
        <f t="shared" si="79"/>
        <v>24.675000000000004</v>
      </c>
      <c r="CX59" s="403">
        <f t="shared" si="79"/>
        <v>24.575000000000003</v>
      </c>
      <c r="CY59" s="403">
        <f t="shared" si="79"/>
        <v>12.4</v>
      </c>
      <c r="CZ59" s="403">
        <f t="shared" si="79"/>
        <v>6.4</v>
      </c>
      <c r="DA59" s="403">
        <f t="shared" si="79"/>
        <v>5</v>
      </c>
      <c r="DB59" s="403">
        <f t="shared" si="79"/>
        <v>1.2</v>
      </c>
      <c r="DC59" s="403">
        <f t="shared" si="79"/>
        <v>124.7</v>
      </c>
      <c r="DD59" s="403"/>
      <c r="DE59" s="403"/>
      <c r="DF59" s="403"/>
      <c r="DG59" s="403"/>
      <c r="DH59" s="403"/>
      <c r="DI59" s="403"/>
      <c r="DJ59" s="403"/>
      <c r="DK59" s="403"/>
      <c r="DL59" s="403"/>
      <c r="DM59" s="275">
        <f>Dem!$D452</f>
        <v>0</v>
      </c>
      <c r="DN59" s="276">
        <f>CT59</f>
        <v>310.39999999999998</v>
      </c>
    </row>
    <row r="60" spans="1:118">
      <c r="BI60" s="107">
        <v>0.9</v>
      </c>
    </row>
    <row r="61" spans="1:118">
      <c r="BG61" s="44"/>
    </row>
    <row r="62" spans="1:118">
      <c r="A62" s="572" t="s">
        <v>646</v>
      </c>
      <c r="B62" s="419"/>
      <c r="C62" s="419"/>
      <c r="D62" s="419"/>
      <c r="E62" s="419"/>
      <c r="F62" s="419"/>
      <c r="G62" s="419"/>
      <c r="H62" s="419"/>
      <c r="I62" s="419"/>
      <c r="J62" s="419"/>
      <c r="K62" s="419"/>
      <c r="L62" s="419"/>
    </row>
    <row r="63" spans="1:118">
      <c r="A63" s="245" t="s">
        <v>48</v>
      </c>
      <c r="B63" s="141">
        <f>D63-E63</f>
        <v>0.21686575108417627</v>
      </c>
      <c r="D63" s="141">
        <f>SUM(G63:N63)*2</f>
        <v>0.76173711955722045</v>
      </c>
      <c r="E63" s="141">
        <f>SUM(Y63:AF63)*2</f>
        <v>0.54487136847304418</v>
      </c>
      <c r="F63" s="46"/>
      <c r="G63" s="157">
        <f t="shared" ref="G63:N63" si="80">(P$5-P63)*P$4</f>
        <v>3.935982890885021E-2</v>
      </c>
      <c r="H63" s="157">
        <f t="shared" si="80"/>
        <v>7.2034286801735001E-2</v>
      </c>
      <c r="I63" s="157">
        <f t="shared" si="80"/>
        <v>9.4321639998792423E-2</v>
      </c>
      <c r="J63" s="157">
        <f t="shared" si="80"/>
        <v>0.1002268340810098</v>
      </c>
      <c r="K63" s="157">
        <f t="shared" si="80"/>
        <v>4.5278834074703671E-2</v>
      </c>
      <c r="L63" s="157">
        <f t="shared" si="80"/>
        <v>1.9369274435314596E-2</v>
      </c>
      <c r="M63" s="157">
        <f t="shared" si="80"/>
        <v>1.0277861478204474E-2</v>
      </c>
      <c r="N63" s="157">
        <f t="shared" si="80"/>
        <v>1.1102230246251566E-18</v>
      </c>
      <c r="O63" s="46"/>
      <c r="P63" s="154">
        <f>AQ63</f>
        <v>3.2008554557489636E-3</v>
      </c>
      <c r="Q63" s="154">
        <f t="shared" ref="Q63:W63" si="81">P63+AR63</f>
        <v>3.9828565991325032E-2</v>
      </c>
      <c r="R63" s="154">
        <f t="shared" si="81"/>
        <v>0.12839180000603798</v>
      </c>
      <c r="S63" s="154">
        <f t="shared" si="81"/>
        <v>0.29886582959495106</v>
      </c>
      <c r="T63" s="154">
        <f t="shared" si="81"/>
        <v>0.44721165925296336</v>
      </c>
      <c r="U63" s="154">
        <f t="shared" si="81"/>
        <v>0.56261451129370821</v>
      </c>
      <c r="V63" s="154">
        <f t="shared" si="81"/>
        <v>0.73305346304488828</v>
      </c>
      <c r="W63" s="154">
        <f t="shared" si="81"/>
        <v>0.99999999999999989</v>
      </c>
      <c r="X63" s="154"/>
      <c r="Y63" s="142">
        <f t="shared" ref="Y63:AF63" si="82">(P$5-AH63)*P$4</f>
        <v>3.2861051520825788E-2</v>
      </c>
      <c r="Z63" s="142">
        <f t="shared" si="82"/>
        <v>5.5615024989856147E-2</v>
      </c>
      <c r="AA63" s="142">
        <f t="shared" si="82"/>
        <v>6.8808086530313312E-2</v>
      </c>
      <c r="AB63" s="142">
        <f t="shared" si="82"/>
        <v>6.8223604215591177E-2</v>
      </c>
      <c r="AC63" s="142">
        <f t="shared" si="82"/>
        <v>2.928555373736378E-2</v>
      </c>
      <c r="AD63" s="142">
        <f t="shared" si="82"/>
        <v>1.1918063385831163E-2</v>
      </c>
      <c r="AE63" s="142">
        <f t="shared" si="82"/>
        <v>5.7242998567407491E-3</v>
      </c>
      <c r="AF63" s="142">
        <f t="shared" si="82"/>
        <v>0</v>
      </c>
      <c r="AH63" s="158">
        <f>AZ63/100</f>
        <v>3.5694742395871087E-2</v>
      </c>
      <c r="AI63" s="158">
        <f t="shared" ref="AI63:AN63" si="83">AH63+BA63/100</f>
        <v>0.12192487505071932</v>
      </c>
      <c r="AJ63" s="158">
        <f t="shared" si="83"/>
        <v>0.25595956734843356</v>
      </c>
      <c r="AK63" s="158">
        <f t="shared" si="83"/>
        <v>0.45888197892204419</v>
      </c>
      <c r="AL63" s="158">
        <f t="shared" si="83"/>
        <v>0.60714446262636224</v>
      </c>
      <c r="AM63" s="158">
        <f t="shared" si="83"/>
        <v>0.71163873228337682</v>
      </c>
      <c r="AN63" s="158">
        <f t="shared" si="83"/>
        <v>0.84689250358148138</v>
      </c>
      <c r="AO63" s="158">
        <v>1</v>
      </c>
      <c r="AP63" s="143"/>
      <c r="AQ63" s="143">
        <f t="shared" ref="AQ63:AX63" si="84">CJ63/$CR63</f>
        <v>3.2008554557489636E-3</v>
      </c>
      <c r="AR63" s="143">
        <f t="shared" si="84"/>
        <v>3.662771053557607E-2</v>
      </c>
      <c r="AS63" s="143">
        <f t="shared" si="84"/>
        <v>8.8563234014712944E-2</v>
      </c>
      <c r="AT63" s="143">
        <f t="shared" si="84"/>
        <v>0.17047402958891308</v>
      </c>
      <c r="AU63" s="143">
        <f t="shared" si="84"/>
        <v>0.14834582965801232</v>
      </c>
      <c r="AV63" s="143">
        <f t="shared" si="84"/>
        <v>0.11540285204074481</v>
      </c>
      <c r="AW63" s="143">
        <f t="shared" si="84"/>
        <v>0.17043895175118007</v>
      </c>
      <c r="AX63" s="143">
        <f t="shared" si="84"/>
        <v>0.26694653695511161</v>
      </c>
      <c r="AY63" s="46"/>
      <c r="AZ63" s="152">
        <f>BR63*CU63/$BR65*100</f>
        <v>3.5694742395871089</v>
      </c>
      <c r="BA63" s="152">
        <f t="shared" ref="BA63:BG63" si="85">BS63*CV63/$BR65*100</f>
        <v>8.6230132654848237</v>
      </c>
      <c r="BB63" s="152">
        <f t="shared" si="85"/>
        <v>13.403469229771423</v>
      </c>
      <c r="BC63" s="152">
        <f t="shared" si="85"/>
        <v>20.292241157361062</v>
      </c>
      <c r="BD63" s="152">
        <f t="shared" si="85"/>
        <v>14.826248370431802</v>
      </c>
      <c r="BE63" s="152">
        <f t="shared" si="85"/>
        <v>10.449426965701452</v>
      </c>
      <c r="BF63" s="152">
        <f t="shared" si="85"/>
        <v>13.525377129810451</v>
      </c>
      <c r="BG63" s="152">
        <f t="shared" si="85"/>
        <v>16.833592281445796</v>
      </c>
      <c r="BI63" s="573">
        <f>BI$44</f>
        <v>1.9</v>
      </c>
      <c r="BJ63" s="573">
        <f t="shared" ref="BJ63:BP63" si="86">BJ$44</f>
        <v>9</v>
      </c>
      <c r="BK63" s="573">
        <f t="shared" si="86"/>
        <v>14</v>
      </c>
      <c r="BL63" s="573">
        <f t="shared" si="86"/>
        <v>17.8</v>
      </c>
      <c r="BM63" s="573">
        <f t="shared" si="86"/>
        <v>21.2</v>
      </c>
      <c r="BN63" s="573">
        <f t="shared" si="86"/>
        <v>23.4</v>
      </c>
      <c r="BO63" s="573">
        <f t="shared" si="86"/>
        <v>26.7</v>
      </c>
      <c r="BP63" s="573">
        <f t="shared" si="86"/>
        <v>33.6</v>
      </c>
      <c r="BQ63" s="46"/>
      <c r="BR63" s="576">
        <f>BR$44*$BR64</f>
        <v>17460</v>
      </c>
      <c r="BS63" s="576">
        <f t="shared" ref="BS63:BY63" si="87">BS$44*$BR64</f>
        <v>38430</v>
      </c>
      <c r="BT63" s="576">
        <f t="shared" si="87"/>
        <v>62640</v>
      </c>
      <c r="BU63" s="576">
        <f t="shared" si="87"/>
        <v>95220</v>
      </c>
      <c r="BV63" s="576">
        <f t="shared" si="87"/>
        <v>137880</v>
      </c>
      <c r="BW63" s="576">
        <f t="shared" si="87"/>
        <v>188280</v>
      </c>
      <c r="BX63" s="576">
        <f t="shared" si="87"/>
        <v>311940</v>
      </c>
      <c r="BY63" s="576">
        <f t="shared" si="87"/>
        <v>1617660</v>
      </c>
      <c r="CA63" s="60">
        <f t="shared" ref="CA63:CH63" si="88">BI63*BR63/100</f>
        <v>331.74</v>
      </c>
      <c r="CB63" s="60">
        <f t="shared" si="88"/>
        <v>3458.7</v>
      </c>
      <c r="CC63" s="60">
        <f t="shared" si="88"/>
        <v>8769.6</v>
      </c>
      <c r="CD63" s="60">
        <f t="shared" si="88"/>
        <v>16949.16</v>
      </c>
      <c r="CE63" s="60">
        <f t="shared" si="88"/>
        <v>29230.560000000001</v>
      </c>
      <c r="CF63" s="60">
        <f t="shared" si="88"/>
        <v>44057.52</v>
      </c>
      <c r="CG63" s="60">
        <f t="shared" si="88"/>
        <v>83287.98</v>
      </c>
      <c r="CH63" s="60">
        <f t="shared" si="88"/>
        <v>543533.76</v>
      </c>
      <c r="CJ63" s="153">
        <f t="shared" ref="CJ63:CQ63" si="89">CA63*CU63</f>
        <v>7820.7705000000014</v>
      </c>
      <c r="CK63" s="153">
        <f t="shared" si="89"/>
        <v>89493.862500000003</v>
      </c>
      <c r="CL63" s="153">
        <f t="shared" si="89"/>
        <v>216389.88000000003</v>
      </c>
      <c r="CM63" s="153">
        <f t="shared" si="89"/>
        <v>416525.60700000002</v>
      </c>
      <c r="CN63" s="153">
        <f t="shared" si="89"/>
        <v>362458.94400000002</v>
      </c>
      <c r="CO63" s="153">
        <f t="shared" si="89"/>
        <v>281968.12799999997</v>
      </c>
      <c r="CP63" s="153">
        <f t="shared" si="89"/>
        <v>416439.89999999997</v>
      </c>
      <c r="CQ63" s="153">
        <f t="shared" si="89"/>
        <v>652240.51199999999</v>
      </c>
      <c r="CR63" s="153">
        <f>SUM(CJ63:CQ63)</f>
        <v>2443337.6040000003</v>
      </c>
      <c r="CT63" s="403">
        <f>CT$44</f>
        <v>310.39999999999998</v>
      </c>
      <c r="CU63" s="403">
        <f t="shared" ref="CU63:DC63" si="90">CU$44</f>
        <v>23.575000000000003</v>
      </c>
      <c r="CV63" s="403">
        <f t="shared" si="90"/>
        <v>25.875000000000004</v>
      </c>
      <c r="CW63" s="403">
        <f t="shared" si="90"/>
        <v>24.675000000000004</v>
      </c>
      <c r="CX63" s="403">
        <f t="shared" si="90"/>
        <v>24.575000000000003</v>
      </c>
      <c r="CY63" s="403">
        <f t="shared" si="90"/>
        <v>12.4</v>
      </c>
      <c r="CZ63" s="403">
        <f t="shared" si="90"/>
        <v>6.4</v>
      </c>
      <c r="DA63" s="403">
        <f t="shared" si="90"/>
        <v>5</v>
      </c>
      <c r="DB63" s="403">
        <f t="shared" si="90"/>
        <v>1.2</v>
      </c>
      <c r="DC63" s="403">
        <f t="shared" si="90"/>
        <v>124.7</v>
      </c>
      <c r="DD63" s="403"/>
      <c r="DE63" s="403"/>
      <c r="DF63" s="403"/>
      <c r="DG63" s="403"/>
      <c r="DH63" s="403"/>
      <c r="DI63" s="403"/>
      <c r="DJ63" s="403"/>
      <c r="DK63" s="403"/>
      <c r="DL63" s="403"/>
      <c r="DM63" s="275">
        <f>Dem!$D447</f>
        <v>0</v>
      </c>
      <c r="DN63" s="276">
        <f>CT63</f>
        <v>310.39999999999998</v>
      </c>
    </row>
    <row r="64" spans="1:118">
      <c r="AZ64" s="44"/>
      <c r="BA64" s="44"/>
      <c r="BB64" s="44"/>
      <c r="BC64" s="44"/>
      <c r="BD64" s="44"/>
      <c r="BE64" s="44"/>
      <c r="BF64" s="44"/>
      <c r="BG64" s="44"/>
      <c r="BI64" s="12"/>
      <c r="BR64" s="109">
        <v>0.9</v>
      </c>
    </row>
    <row r="65" spans="1:118">
      <c r="BG65" s="44"/>
      <c r="BR65" s="577">
        <f>SUMPRODUCT(BR63:BY63,CU63:DB63)*0.985</f>
        <v>11531656.27125</v>
      </c>
      <c r="BS65" s="578"/>
    </row>
    <row r="66" spans="1:118">
      <c r="A66" s="575" t="s">
        <v>647</v>
      </c>
      <c r="B66" s="271"/>
      <c r="C66" s="271"/>
      <c r="D66" s="271"/>
      <c r="E66" s="271"/>
      <c r="F66" s="271"/>
      <c r="G66" s="271"/>
      <c r="H66" s="271"/>
      <c r="I66" s="271"/>
      <c r="J66" s="271"/>
      <c r="K66" s="271"/>
      <c r="L66" s="271"/>
      <c r="BS66" s="113"/>
    </row>
    <row r="67" spans="1:118">
      <c r="A67" s="245" t="s">
        <v>48</v>
      </c>
      <c r="B67" s="141">
        <f>D67-E67</f>
        <v>0.21686575108417627</v>
      </c>
      <c r="D67" s="141">
        <f>SUM(G67:N67)*2</f>
        <v>0.76173711955722045</v>
      </c>
      <c r="E67" s="141">
        <f>SUM(Y67:AF67)*2</f>
        <v>0.54487136847304418</v>
      </c>
      <c r="F67" s="46"/>
      <c r="G67" s="157">
        <f t="shared" ref="G67:N67" si="91">(P$5-P67)*P$4</f>
        <v>3.935982890885021E-2</v>
      </c>
      <c r="H67" s="157">
        <f t="shared" si="91"/>
        <v>7.2034286801735001E-2</v>
      </c>
      <c r="I67" s="157">
        <f t="shared" si="91"/>
        <v>9.4321639998792436E-2</v>
      </c>
      <c r="J67" s="157">
        <f t="shared" si="91"/>
        <v>0.10022683408100981</v>
      </c>
      <c r="K67" s="157">
        <f t="shared" si="91"/>
        <v>4.5278834074703671E-2</v>
      </c>
      <c r="L67" s="157">
        <f t="shared" si="91"/>
        <v>1.9369274435314596E-2</v>
      </c>
      <c r="M67" s="157">
        <f t="shared" si="91"/>
        <v>1.0277861478204474E-2</v>
      </c>
      <c r="N67" s="157">
        <f t="shared" si="91"/>
        <v>1.1102230246251566E-18</v>
      </c>
      <c r="O67" s="46"/>
      <c r="P67" s="154">
        <f>AQ67</f>
        <v>3.2008554557489632E-3</v>
      </c>
      <c r="Q67" s="154">
        <f t="shared" ref="Q67:W67" si="92">P67+AR67</f>
        <v>3.9828565991325032E-2</v>
      </c>
      <c r="R67" s="154">
        <f t="shared" si="92"/>
        <v>0.12839180000603795</v>
      </c>
      <c r="S67" s="154">
        <f t="shared" si="92"/>
        <v>0.298865829594951</v>
      </c>
      <c r="T67" s="154">
        <f t="shared" si="92"/>
        <v>0.44721165925296336</v>
      </c>
      <c r="U67" s="154">
        <f t="shared" si="92"/>
        <v>0.56261451129370821</v>
      </c>
      <c r="V67" s="154">
        <f t="shared" si="92"/>
        <v>0.73305346304488828</v>
      </c>
      <c r="W67" s="154">
        <f t="shared" si="92"/>
        <v>0.99999999999999989</v>
      </c>
      <c r="X67" s="154"/>
      <c r="Y67" s="142">
        <f t="shared" ref="Y67:AF67" si="93">(P$5-AH67)*P$4</f>
        <v>3.2861051520825788E-2</v>
      </c>
      <c r="Z67" s="142">
        <f t="shared" si="93"/>
        <v>5.5615024989856134E-2</v>
      </c>
      <c r="AA67" s="142">
        <f t="shared" si="93"/>
        <v>6.8808086530313312E-2</v>
      </c>
      <c r="AB67" s="142">
        <f t="shared" si="93"/>
        <v>6.8223604215591177E-2</v>
      </c>
      <c r="AC67" s="142">
        <f t="shared" si="93"/>
        <v>2.928555373736378E-2</v>
      </c>
      <c r="AD67" s="142">
        <f t="shared" si="93"/>
        <v>1.1918063385831163E-2</v>
      </c>
      <c r="AE67" s="142">
        <f t="shared" si="93"/>
        <v>5.7242998567407491E-3</v>
      </c>
      <c r="AF67" s="142">
        <f t="shared" si="93"/>
        <v>0</v>
      </c>
      <c r="AH67" s="158">
        <f>AZ67/100</f>
        <v>3.5694742395871087E-2</v>
      </c>
      <c r="AI67" s="158">
        <f t="shared" ref="AI67:AN67" si="94">AH67+BA67/100</f>
        <v>0.12192487505071935</v>
      </c>
      <c r="AJ67" s="158">
        <f t="shared" si="94"/>
        <v>0.25595956734843356</v>
      </c>
      <c r="AK67" s="158">
        <f t="shared" si="94"/>
        <v>0.45888197892204419</v>
      </c>
      <c r="AL67" s="158">
        <f t="shared" si="94"/>
        <v>0.60714446262636224</v>
      </c>
      <c r="AM67" s="158">
        <f t="shared" si="94"/>
        <v>0.71163873228337682</v>
      </c>
      <c r="AN67" s="158">
        <f t="shared" si="94"/>
        <v>0.84689250358148138</v>
      </c>
      <c r="AO67" s="158">
        <v>1</v>
      </c>
      <c r="AP67" s="143"/>
      <c r="AQ67" s="143">
        <f t="shared" ref="AQ67:AX67" si="95">CJ67/$CR67</f>
        <v>3.2008554557489632E-3</v>
      </c>
      <c r="AR67" s="143">
        <f t="shared" si="95"/>
        <v>3.662771053557607E-2</v>
      </c>
      <c r="AS67" s="143">
        <f t="shared" si="95"/>
        <v>8.856323401471293E-2</v>
      </c>
      <c r="AT67" s="143">
        <f t="shared" si="95"/>
        <v>0.17047402958891308</v>
      </c>
      <c r="AU67" s="143">
        <f t="shared" si="95"/>
        <v>0.14834582965801232</v>
      </c>
      <c r="AV67" s="143">
        <f t="shared" si="95"/>
        <v>0.11540285204074482</v>
      </c>
      <c r="AW67" s="143">
        <f t="shared" si="95"/>
        <v>0.17043895175118007</v>
      </c>
      <c r="AX67" s="143">
        <f t="shared" si="95"/>
        <v>0.26694653695511161</v>
      </c>
      <c r="AY67" s="46"/>
      <c r="AZ67" s="152">
        <f>BR67*CU67/$BR69*100</f>
        <v>3.5694742395871089</v>
      </c>
      <c r="BA67" s="152">
        <f t="shared" ref="BA67:BG67" si="96">BS67*CV67/$BR69*100</f>
        <v>8.6230132654848255</v>
      </c>
      <c r="BB67" s="152">
        <f t="shared" si="96"/>
        <v>13.403469229771423</v>
      </c>
      <c r="BC67" s="152">
        <f t="shared" si="96"/>
        <v>20.292241157361062</v>
      </c>
      <c r="BD67" s="152">
        <f t="shared" si="96"/>
        <v>14.826248370431806</v>
      </c>
      <c r="BE67" s="152">
        <f t="shared" si="96"/>
        <v>10.449426965701452</v>
      </c>
      <c r="BF67" s="152">
        <f t="shared" si="96"/>
        <v>13.525377129810451</v>
      </c>
      <c r="BG67" s="152">
        <f t="shared" si="96"/>
        <v>16.833592281445796</v>
      </c>
      <c r="BI67" s="573">
        <f>BI$44</f>
        <v>1.9</v>
      </c>
      <c r="BJ67" s="573">
        <f t="shared" ref="BJ67:BP67" si="97">BJ$44</f>
        <v>9</v>
      </c>
      <c r="BK67" s="573">
        <f t="shared" si="97"/>
        <v>14</v>
      </c>
      <c r="BL67" s="573">
        <f t="shared" si="97"/>
        <v>17.8</v>
      </c>
      <c r="BM67" s="573">
        <f t="shared" si="97"/>
        <v>21.2</v>
      </c>
      <c r="BN67" s="573">
        <f t="shared" si="97"/>
        <v>23.4</v>
      </c>
      <c r="BO67" s="573">
        <f t="shared" si="97"/>
        <v>26.7</v>
      </c>
      <c r="BP67" s="573">
        <f t="shared" si="97"/>
        <v>33.6</v>
      </c>
      <c r="BQ67" s="46"/>
      <c r="BR67" s="60">
        <f>BR$44</f>
        <v>19400</v>
      </c>
      <c r="BS67" s="60">
        <f t="shared" ref="BS67:BY67" si="98">BS$44</f>
        <v>42700</v>
      </c>
      <c r="BT67" s="60">
        <f t="shared" si="98"/>
        <v>69600</v>
      </c>
      <c r="BU67" s="60">
        <f t="shared" si="98"/>
        <v>105800</v>
      </c>
      <c r="BV67" s="60">
        <f t="shared" si="98"/>
        <v>153200</v>
      </c>
      <c r="BW67" s="60">
        <f t="shared" si="98"/>
        <v>209200</v>
      </c>
      <c r="BX67" s="60">
        <f t="shared" si="98"/>
        <v>346600</v>
      </c>
      <c r="BY67" s="60">
        <f t="shared" si="98"/>
        <v>1797400</v>
      </c>
      <c r="CA67" s="60">
        <f t="shared" ref="CA67:CH67" si="99">BI67*BR67/100</f>
        <v>368.6</v>
      </c>
      <c r="CB67" s="60">
        <f t="shared" si="99"/>
        <v>3843</v>
      </c>
      <c r="CC67" s="60">
        <f t="shared" si="99"/>
        <v>9744</v>
      </c>
      <c r="CD67" s="60">
        <f t="shared" si="99"/>
        <v>18832.400000000001</v>
      </c>
      <c r="CE67" s="60">
        <f t="shared" si="99"/>
        <v>32478.400000000001</v>
      </c>
      <c r="CF67" s="60">
        <f t="shared" si="99"/>
        <v>48952.800000000003</v>
      </c>
      <c r="CG67" s="60">
        <f t="shared" si="99"/>
        <v>92542.2</v>
      </c>
      <c r="CH67" s="60">
        <f t="shared" si="99"/>
        <v>603926.4</v>
      </c>
      <c r="CJ67" s="153">
        <f t="shared" ref="CJ67:CQ67" si="100">CA67*CU67</f>
        <v>8689.7450000000008</v>
      </c>
      <c r="CK67" s="153">
        <f t="shared" si="100"/>
        <v>99437.625000000015</v>
      </c>
      <c r="CL67" s="153">
        <f t="shared" si="100"/>
        <v>240433.20000000004</v>
      </c>
      <c r="CM67" s="153">
        <f t="shared" si="100"/>
        <v>462806.2300000001</v>
      </c>
      <c r="CN67" s="153">
        <f t="shared" si="100"/>
        <v>402732.16000000003</v>
      </c>
      <c r="CO67" s="153">
        <f t="shared" si="100"/>
        <v>313297.92000000004</v>
      </c>
      <c r="CP67" s="153">
        <f t="shared" si="100"/>
        <v>462711</v>
      </c>
      <c r="CQ67" s="153">
        <f t="shared" si="100"/>
        <v>724711.68</v>
      </c>
      <c r="CR67" s="153">
        <f>SUM(CJ67:CQ67)</f>
        <v>2714819.5600000005</v>
      </c>
      <c r="CT67" s="403">
        <f>CT$44</f>
        <v>310.39999999999998</v>
      </c>
      <c r="CU67" s="403">
        <f t="shared" ref="CU67:DC67" si="101">CU$44</f>
        <v>23.575000000000003</v>
      </c>
      <c r="CV67" s="403">
        <f t="shared" si="101"/>
        <v>25.875000000000004</v>
      </c>
      <c r="CW67" s="403">
        <f t="shared" si="101"/>
        <v>24.675000000000004</v>
      </c>
      <c r="CX67" s="403">
        <f t="shared" si="101"/>
        <v>24.575000000000003</v>
      </c>
      <c r="CY67" s="403">
        <f t="shared" si="101"/>
        <v>12.4</v>
      </c>
      <c r="CZ67" s="403">
        <f t="shared" si="101"/>
        <v>6.4</v>
      </c>
      <c r="DA67" s="403">
        <f t="shared" si="101"/>
        <v>5</v>
      </c>
      <c r="DB67" s="403">
        <f t="shared" si="101"/>
        <v>1.2</v>
      </c>
      <c r="DC67" s="403">
        <f t="shared" si="101"/>
        <v>124.7</v>
      </c>
      <c r="DD67" s="403"/>
      <c r="DE67" s="403"/>
      <c r="DF67" s="403"/>
      <c r="DG67" s="403"/>
      <c r="DH67" s="403"/>
      <c r="DI67" s="403"/>
      <c r="DJ67" s="403"/>
      <c r="DK67" s="403"/>
      <c r="DL67" s="403"/>
      <c r="DM67" s="275">
        <f>Dem!$D460</f>
        <v>0</v>
      </c>
      <c r="DN67" s="276">
        <f>CT67</f>
        <v>310.39999999999998</v>
      </c>
    </row>
    <row r="68" spans="1:118">
      <c r="BI68" s="12"/>
      <c r="BJ68" s="12"/>
      <c r="BK68" s="12"/>
      <c r="BL68" s="12"/>
      <c r="BM68" s="12"/>
      <c r="BN68" s="12"/>
      <c r="BO68" s="12"/>
      <c r="BP68" s="12"/>
      <c r="BR68" s="109">
        <v>1.1000000000000001</v>
      </c>
      <c r="BS68" s="113"/>
    </row>
    <row r="69" spans="1:118">
      <c r="BR69" s="577">
        <f>SUMPRODUCT(BR67:BY67,CU67:DB67)*0.985</f>
        <v>12812951.4125</v>
      </c>
      <c r="BS69" s="578" t="s">
        <v>630</v>
      </c>
    </row>
  </sheetData>
  <mergeCells count="32">
    <mergeCell ref="Y7:AF7"/>
    <mergeCell ref="B7:B8"/>
    <mergeCell ref="D7:D8"/>
    <mergeCell ref="E7:E8"/>
    <mergeCell ref="G7:N7"/>
    <mergeCell ref="P7:W7"/>
    <mergeCell ref="CJ7:CR7"/>
    <mergeCell ref="CT7:CT8"/>
    <mergeCell ref="CU7:DC7"/>
    <mergeCell ref="DF7:DN7"/>
    <mergeCell ref="B49:B50"/>
    <mergeCell ref="D49:D50"/>
    <mergeCell ref="E49:E50"/>
    <mergeCell ref="G49:N49"/>
    <mergeCell ref="P49:W49"/>
    <mergeCell ref="Y49:AF49"/>
    <mergeCell ref="AH7:AO7"/>
    <mergeCell ref="AQ7:AX7"/>
    <mergeCell ref="AZ7:BG7"/>
    <mergeCell ref="BI7:BP7"/>
    <mergeCell ref="BR7:BY7"/>
    <mergeCell ref="CA7:CH7"/>
    <mergeCell ref="CJ49:CR49"/>
    <mergeCell ref="CT49:CT50"/>
    <mergeCell ref="CU49:DC49"/>
    <mergeCell ref="DF49:DN49"/>
    <mergeCell ref="AH49:AO49"/>
    <mergeCell ref="AQ49:AX49"/>
    <mergeCell ref="AZ49:BG49"/>
    <mergeCell ref="BI49:BP49"/>
    <mergeCell ref="BR49:BY49"/>
    <mergeCell ref="CA49:CH49"/>
  </mergeCells>
  <hyperlinks>
    <hyperlink ref="A2" location="Index!A1" display="index" xr:uid="{96073F3C-ED7A-4D92-8530-02E1F898D23B}"/>
  </hyperlinks>
  <pageMargins left="0.7" right="0.7" top="0.75" bottom="0.75" header="0.3" footer="0.3"/>
  <pageSetup orientation="portrait" horizontalDpi="1200" verticalDpi="120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E4A40-42C4-4AEB-B3A0-EB2B73360716}">
  <sheetPr>
    <tabColor theme="9" tint="0.79998168889431442"/>
  </sheetPr>
  <dimension ref="A1:DO49"/>
  <sheetViews>
    <sheetView zoomScale="85" zoomScaleNormal="85" workbookViewId="0"/>
  </sheetViews>
  <sheetFormatPr defaultRowHeight="15"/>
  <cols>
    <col min="1" max="1" width="8.28515625" style="46" customWidth="1"/>
    <col min="2" max="2" width="10.28515625" style="673" customWidth="1"/>
    <col min="3" max="3" width="6.42578125" style="673" customWidth="1"/>
    <col min="4" max="4" width="19.28515625" style="673" customWidth="1"/>
    <col min="5" max="5" width="12.85546875" style="673" customWidth="1"/>
    <col min="6" max="6" width="4.28515625" style="673" customWidth="1"/>
    <col min="7" max="10" width="5.5703125" style="673" customWidth="1"/>
    <col min="11" max="14" width="7" style="673" customWidth="1"/>
    <col min="15" max="15" width="1.85546875" style="673" customWidth="1"/>
    <col min="16" max="16" width="5.85546875" style="673" customWidth="1"/>
    <col min="17" max="18" width="5.5703125" style="673" customWidth="1"/>
    <col min="19" max="19" width="6" style="673" customWidth="1"/>
    <col min="20" max="23" width="6.5703125" style="673" customWidth="1"/>
    <col min="24" max="24" width="3.42578125" style="673" customWidth="1"/>
    <col min="25" max="28" width="5" style="673" customWidth="1"/>
    <col min="29" max="32" width="5.7109375" style="673" customWidth="1"/>
    <col min="33" max="33" width="2.140625" style="673" customWidth="1"/>
    <col min="34" max="37" width="5.5703125" style="673" customWidth="1"/>
    <col min="38" max="39" width="6.7109375" style="673" customWidth="1"/>
    <col min="40" max="40" width="7.140625" style="673" customWidth="1"/>
    <col min="41" max="41" width="7.28515625" style="673" customWidth="1"/>
    <col min="42" max="42" width="2.28515625" style="673" customWidth="1"/>
    <col min="43" max="50" width="6.140625" style="673" customWidth="1"/>
    <col min="51" max="51" width="3.140625" style="673" customWidth="1"/>
    <col min="52" max="59" width="6.140625" style="673" customWidth="1"/>
    <col min="60" max="60" width="2.5703125" style="673" customWidth="1"/>
    <col min="61" max="68" width="6.5703125" style="673" customWidth="1"/>
    <col min="69" max="69" width="2.140625" style="673" customWidth="1"/>
    <col min="70" max="72" width="5.7109375" style="673" customWidth="1"/>
    <col min="73" max="73" width="6.42578125" style="673" customWidth="1"/>
    <col min="74" max="74" width="7.28515625" style="673" customWidth="1"/>
    <col min="75" max="77" width="7" style="673" customWidth="1"/>
    <col min="78" max="78" width="2" style="673" customWidth="1"/>
    <col min="79" max="82" width="5.5703125" style="673" customWidth="1"/>
    <col min="83" max="86" width="6.28515625" style="673" customWidth="1"/>
    <col min="87" max="87" width="3" style="673" customWidth="1"/>
    <col min="88" max="96" width="7.7109375" style="673" customWidth="1"/>
    <col min="97" max="97" width="3.7109375" style="673" customWidth="1"/>
    <col min="98" max="98" width="17.42578125" style="673" customWidth="1"/>
    <col min="99" max="16384" width="9.140625" style="673"/>
  </cols>
  <sheetData>
    <row r="1" spans="1:119">
      <c r="A1" s="147" t="s">
        <v>803</v>
      </c>
      <c r="L1" s="642" t="s">
        <v>762</v>
      </c>
      <c r="AI1" s="127"/>
    </row>
    <row r="2" spans="1:119">
      <c r="A2" s="103"/>
    </row>
    <row r="3" spans="1:119">
      <c r="A3" s="103"/>
      <c r="P3" s="6" t="s">
        <v>158</v>
      </c>
      <c r="Q3" s="6" t="s">
        <v>159</v>
      </c>
      <c r="R3" s="6" t="s">
        <v>160</v>
      </c>
      <c r="S3" s="6" t="s">
        <v>161</v>
      </c>
      <c r="T3" s="51" t="s">
        <v>33</v>
      </c>
      <c r="U3" s="51" t="s">
        <v>51</v>
      </c>
      <c r="V3" s="51" t="s">
        <v>52</v>
      </c>
      <c r="W3" s="51" t="s">
        <v>28</v>
      </c>
      <c r="CJ3" s="45">
        <v>0.2</v>
      </c>
      <c r="CK3" s="45">
        <v>0.2</v>
      </c>
      <c r="CL3" s="45">
        <v>0.2</v>
      </c>
      <c r="CM3" s="45">
        <v>0.2</v>
      </c>
      <c r="CN3" s="45">
        <v>0.1</v>
      </c>
      <c r="CO3" s="45">
        <v>0.05</v>
      </c>
      <c r="CP3" s="45">
        <v>0.04</v>
      </c>
      <c r="CQ3" s="45">
        <v>0.01</v>
      </c>
      <c r="CR3" s="45">
        <f>SUM(CJ3:CQ3)</f>
        <v>1</v>
      </c>
    </row>
    <row r="4" spans="1:119">
      <c r="A4" s="103"/>
      <c r="M4" s="149" t="s">
        <v>200</v>
      </c>
      <c r="P4" s="45">
        <v>0.2</v>
      </c>
      <c r="Q4" s="45">
        <v>0.2</v>
      </c>
      <c r="R4" s="45">
        <v>0.2</v>
      </c>
      <c r="S4" s="45">
        <v>0.2</v>
      </c>
      <c r="T4" s="45">
        <v>0.1</v>
      </c>
      <c r="U4" s="45">
        <v>0.05</v>
      </c>
      <c r="V4" s="45">
        <v>0.04</v>
      </c>
      <c r="W4" s="45">
        <v>0.01</v>
      </c>
      <c r="X4" s="45"/>
      <c r="Y4" s="45"/>
      <c r="Z4" s="45"/>
      <c r="AA4" s="45"/>
      <c r="AB4" s="45"/>
      <c r="AC4" s="45"/>
      <c r="AD4" s="45"/>
      <c r="AE4" s="45"/>
      <c r="AF4" s="45"/>
      <c r="CJ4" s="45"/>
      <c r="CK4" s="45"/>
      <c r="CL4" s="45"/>
      <c r="CM4" s="45"/>
      <c r="CN4" s="45"/>
      <c r="CO4" s="45"/>
      <c r="CP4" s="45"/>
      <c r="CQ4" s="45"/>
      <c r="CR4" s="45"/>
    </row>
    <row r="5" spans="1:119">
      <c r="A5" s="103"/>
      <c r="F5" s="148"/>
      <c r="G5" s="148"/>
      <c r="H5" s="148"/>
      <c r="I5" s="148"/>
      <c r="J5" s="148"/>
      <c r="K5" s="148"/>
      <c r="L5" s="148"/>
      <c r="M5" s="149" t="s">
        <v>203</v>
      </c>
      <c r="N5" s="148"/>
      <c r="O5" s="673">
        <v>0</v>
      </c>
      <c r="P5" s="45">
        <v>0.2</v>
      </c>
      <c r="Q5" s="45">
        <f>P5+Q4</f>
        <v>0.4</v>
      </c>
      <c r="R5" s="45">
        <f t="shared" ref="R5:W5" si="0">Q5+R4</f>
        <v>0.60000000000000009</v>
      </c>
      <c r="S5" s="45">
        <f t="shared" si="0"/>
        <v>0.8</v>
      </c>
      <c r="T5" s="45">
        <f t="shared" si="0"/>
        <v>0.9</v>
      </c>
      <c r="U5" s="45">
        <f t="shared" si="0"/>
        <v>0.95000000000000007</v>
      </c>
      <c r="V5" s="45">
        <f t="shared" si="0"/>
        <v>0.9900000000000001</v>
      </c>
      <c r="W5" s="45">
        <f t="shared" si="0"/>
        <v>1</v>
      </c>
      <c r="X5" s="45"/>
      <c r="Y5" s="45"/>
      <c r="Z5" s="45"/>
      <c r="AA5" s="45"/>
      <c r="AB5" s="45"/>
      <c r="AC5" s="45"/>
      <c r="AD5" s="45"/>
      <c r="AE5" s="45"/>
      <c r="AF5" s="45"/>
      <c r="AG5" s="45"/>
      <c r="AQ5" s="127"/>
      <c r="AZ5" s="44"/>
      <c r="CJ5" s="45"/>
      <c r="CK5" s="45"/>
      <c r="CL5" s="45"/>
      <c r="CM5" s="45"/>
      <c r="CN5" s="45"/>
      <c r="CO5" s="45"/>
      <c r="CP5" s="45"/>
      <c r="CQ5" s="45"/>
      <c r="CR5" s="45"/>
    </row>
    <row r="6" spans="1:119">
      <c r="CJ6" s="5"/>
      <c r="CK6" s="5"/>
      <c r="CL6" s="5"/>
      <c r="CM6" s="5"/>
      <c r="CN6" s="5"/>
      <c r="CO6" s="5"/>
      <c r="CP6" s="5"/>
      <c r="CQ6" s="5"/>
      <c r="CR6" s="5"/>
      <c r="CU6" s="273"/>
      <c r="CV6" s="191"/>
      <c r="CW6" s="191"/>
      <c r="CX6" s="191"/>
      <c r="CY6" s="191"/>
      <c r="CZ6" s="191"/>
      <c r="DA6" s="191"/>
      <c r="DB6" s="191"/>
      <c r="DC6" s="191"/>
      <c r="DD6" s="191"/>
      <c r="DE6" s="191"/>
      <c r="DF6" s="191"/>
      <c r="DG6" s="191"/>
      <c r="DH6" s="191"/>
      <c r="DI6" s="191"/>
      <c r="DJ6" s="191"/>
      <c r="DK6" s="191"/>
      <c r="DL6" s="191"/>
      <c r="DM6" s="191"/>
      <c r="DN6" s="191"/>
    </row>
    <row r="7" spans="1:119">
      <c r="A7" s="144"/>
      <c r="B7" s="729" t="s">
        <v>193</v>
      </c>
      <c r="C7" s="486"/>
      <c r="D7" s="733" t="s">
        <v>194</v>
      </c>
      <c r="E7" s="733" t="s">
        <v>195</v>
      </c>
      <c r="F7" s="668"/>
      <c r="G7" s="731" t="s">
        <v>201</v>
      </c>
      <c r="H7" s="731"/>
      <c r="I7" s="731"/>
      <c r="J7" s="731"/>
      <c r="K7" s="731"/>
      <c r="L7" s="731"/>
      <c r="M7" s="731"/>
      <c r="N7" s="731"/>
      <c r="O7" s="486"/>
      <c r="P7" s="731" t="s">
        <v>199</v>
      </c>
      <c r="Q7" s="731"/>
      <c r="R7" s="731"/>
      <c r="S7" s="731"/>
      <c r="T7" s="731"/>
      <c r="U7" s="731"/>
      <c r="V7" s="731"/>
      <c r="W7" s="731"/>
      <c r="X7" s="667"/>
      <c r="Y7" s="731" t="s">
        <v>766</v>
      </c>
      <c r="Z7" s="731"/>
      <c r="AA7" s="731"/>
      <c r="AB7" s="731"/>
      <c r="AC7" s="731"/>
      <c r="AD7" s="731"/>
      <c r="AE7" s="731"/>
      <c r="AF7" s="731"/>
      <c r="AG7" s="134"/>
      <c r="AH7" s="732" t="s">
        <v>765</v>
      </c>
      <c r="AI7" s="732"/>
      <c r="AJ7" s="732"/>
      <c r="AK7" s="732"/>
      <c r="AL7" s="732"/>
      <c r="AM7" s="732"/>
      <c r="AN7" s="732"/>
      <c r="AO7" s="732"/>
      <c r="AP7" s="667"/>
      <c r="AQ7" s="731" t="s">
        <v>196</v>
      </c>
      <c r="AR7" s="731"/>
      <c r="AS7" s="731"/>
      <c r="AT7" s="731"/>
      <c r="AU7" s="731"/>
      <c r="AV7" s="731"/>
      <c r="AW7" s="731"/>
      <c r="AX7" s="731"/>
      <c r="AY7" s="134"/>
      <c r="AZ7" s="736" t="s">
        <v>633</v>
      </c>
      <c r="BA7" s="736"/>
      <c r="BB7" s="736"/>
      <c r="BC7" s="736"/>
      <c r="BD7" s="736"/>
      <c r="BE7" s="736"/>
      <c r="BF7" s="736"/>
      <c r="BG7" s="736"/>
      <c r="BH7" s="134"/>
      <c r="BI7" s="765" t="s">
        <v>804</v>
      </c>
      <c r="BJ7" s="765"/>
      <c r="BK7" s="765"/>
      <c r="BL7" s="765"/>
      <c r="BM7" s="765"/>
      <c r="BN7" s="765"/>
      <c r="BO7" s="765"/>
      <c r="BP7" s="765"/>
      <c r="BQ7" s="486"/>
      <c r="BR7" s="731" t="s">
        <v>636</v>
      </c>
      <c r="BS7" s="731"/>
      <c r="BT7" s="731"/>
      <c r="BU7" s="731"/>
      <c r="BV7" s="731"/>
      <c r="BW7" s="731"/>
      <c r="BX7" s="731"/>
      <c r="BY7" s="731"/>
      <c r="BZ7" s="486"/>
      <c r="CA7" s="731" t="s">
        <v>187</v>
      </c>
      <c r="CB7" s="731"/>
      <c r="CC7" s="731"/>
      <c r="CD7" s="731"/>
      <c r="CE7" s="731"/>
      <c r="CF7" s="731"/>
      <c r="CG7" s="731"/>
      <c r="CH7" s="731"/>
      <c r="CI7" s="486"/>
      <c r="CJ7" s="735" t="s">
        <v>198</v>
      </c>
      <c r="CK7" s="735"/>
      <c r="CL7" s="735"/>
      <c r="CM7" s="735"/>
      <c r="CN7" s="735"/>
      <c r="CO7" s="735"/>
      <c r="CP7" s="735"/>
      <c r="CQ7" s="735"/>
      <c r="CR7" s="735"/>
      <c r="CT7" s="733" t="s">
        <v>259</v>
      </c>
      <c r="CU7" s="728" t="s">
        <v>283</v>
      </c>
      <c r="CV7" s="728"/>
      <c r="CW7" s="728"/>
      <c r="CX7" s="728"/>
      <c r="CY7" s="728"/>
      <c r="CZ7" s="728"/>
      <c r="DA7" s="728"/>
      <c r="DB7" s="728"/>
      <c r="DC7" s="728"/>
      <c r="DD7" s="666"/>
      <c r="DF7" s="728" t="s">
        <v>259</v>
      </c>
      <c r="DG7" s="728"/>
      <c r="DH7" s="728"/>
      <c r="DI7" s="728"/>
      <c r="DJ7" s="728"/>
      <c r="DK7" s="728"/>
      <c r="DL7" s="728"/>
      <c r="DM7" s="728"/>
      <c r="DN7" s="728"/>
    </row>
    <row r="8" spans="1:119" ht="15" customHeight="1">
      <c r="A8" s="53"/>
      <c r="B8" s="730"/>
      <c r="C8" s="6"/>
      <c r="D8" s="734"/>
      <c r="E8" s="734"/>
      <c r="F8" s="669"/>
      <c r="G8" s="6" t="s">
        <v>158</v>
      </c>
      <c r="H8" s="6" t="s">
        <v>159</v>
      </c>
      <c r="I8" s="6" t="s">
        <v>160</v>
      </c>
      <c r="J8" s="6" t="s">
        <v>161</v>
      </c>
      <c r="K8" s="51" t="s">
        <v>33</v>
      </c>
      <c r="L8" s="51" t="s">
        <v>51</v>
      </c>
      <c r="M8" s="51" t="s">
        <v>52</v>
      </c>
      <c r="N8" s="51" t="s">
        <v>28</v>
      </c>
      <c r="O8" s="6"/>
      <c r="P8" s="6" t="s">
        <v>158</v>
      </c>
      <c r="Q8" s="6" t="s">
        <v>159</v>
      </c>
      <c r="R8" s="6" t="s">
        <v>160</v>
      </c>
      <c r="S8" s="6" t="s">
        <v>161</v>
      </c>
      <c r="T8" s="51" t="s">
        <v>33</v>
      </c>
      <c r="U8" s="51" t="s">
        <v>51</v>
      </c>
      <c r="V8" s="51" t="s">
        <v>52</v>
      </c>
      <c r="W8" s="51" t="s">
        <v>28</v>
      </c>
      <c r="X8" s="51"/>
      <c r="Y8" s="6" t="s">
        <v>158</v>
      </c>
      <c r="Z8" s="6" t="s">
        <v>159</v>
      </c>
      <c r="AA8" s="6" t="s">
        <v>160</v>
      </c>
      <c r="AB8" s="6" t="s">
        <v>161</v>
      </c>
      <c r="AC8" s="51" t="s">
        <v>33</v>
      </c>
      <c r="AD8" s="51" t="s">
        <v>51</v>
      </c>
      <c r="AE8" s="51" t="s">
        <v>52</v>
      </c>
      <c r="AF8" s="51" t="s">
        <v>28</v>
      </c>
      <c r="AG8" s="5"/>
      <c r="AH8" s="6" t="s">
        <v>158</v>
      </c>
      <c r="AI8" s="6" t="s">
        <v>159</v>
      </c>
      <c r="AJ8" s="6" t="s">
        <v>160</v>
      </c>
      <c r="AK8" s="6" t="s">
        <v>161</v>
      </c>
      <c r="AL8" s="51" t="s">
        <v>33</v>
      </c>
      <c r="AM8" s="51" t="s">
        <v>51</v>
      </c>
      <c r="AN8" s="51" t="s">
        <v>52</v>
      </c>
      <c r="AO8" s="51" t="s">
        <v>28</v>
      </c>
      <c r="AP8" s="51"/>
      <c r="AQ8" s="6" t="s">
        <v>158</v>
      </c>
      <c r="AR8" s="6" t="s">
        <v>159</v>
      </c>
      <c r="AS8" s="6" t="s">
        <v>160</v>
      </c>
      <c r="AT8" s="6" t="s">
        <v>161</v>
      </c>
      <c r="AU8" s="51" t="s">
        <v>33</v>
      </c>
      <c r="AV8" s="51" t="s">
        <v>51</v>
      </c>
      <c r="AW8" s="51" t="s">
        <v>52</v>
      </c>
      <c r="AX8" s="51" t="s">
        <v>28</v>
      </c>
      <c r="AY8" s="5"/>
      <c r="AZ8" s="6" t="s">
        <v>158</v>
      </c>
      <c r="BA8" s="6" t="s">
        <v>159</v>
      </c>
      <c r="BB8" s="6" t="s">
        <v>160</v>
      </c>
      <c r="BC8" s="6" t="s">
        <v>161</v>
      </c>
      <c r="BD8" s="51" t="s">
        <v>33</v>
      </c>
      <c r="BE8" s="51" t="s">
        <v>51</v>
      </c>
      <c r="BF8" s="51" t="s">
        <v>52</v>
      </c>
      <c r="BG8" s="51" t="s">
        <v>28</v>
      </c>
      <c r="BH8" s="5"/>
      <c r="BI8" s="6" t="s">
        <v>158</v>
      </c>
      <c r="BJ8" s="6" t="s">
        <v>159</v>
      </c>
      <c r="BK8" s="6" t="s">
        <v>160</v>
      </c>
      <c r="BL8" s="6" t="s">
        <v>161</v>
      </c>
      <c r="BM8" s="51" t="s">
        <v>33</v>
      </c>
      <c r="BN8" s="51" t="s">
        <v>51</v>
      </c>
      <c r="BO8" s="51" t="s">
        <v>52</v>
      </c>
      <c r="BP8" s="51" t="s">
        <v>28</v>
      </c>
      <c r="BQ8" s="6"/>
      <c r="BR8" s="6" t="s">
        <v>158</v>
      </c>
      <c r="BS8" s="6" t="s">
        <v>159</v>
      </c>
      <c r="BT8" s="6" t="s">
        <v>160</v>
      </c>
      <c r="BU8" s="6" t="s">
        <v>161</v>
      </c>
      <c r="BV8" s="51" t="s">
        <v>33</v>
      </c>
      <c r="BW8" s="51" t="s">
        <v>51</v>
      </c>
      <c r="BX8" s="51" t="s">
        <v>52</v>
      </c>
      <c r="BY8" s="51" t="s">
        <v>28</v>
      </c>
      <c r="BZ8" s="6"/>
      <c r="CA8" s="6" t="s">
        <v>158</v>
      </c>
      <c r="CB8" s="6" t="s">
        <v>159</v>
      </c>
      <c r="CC8" s="6" t="s">
        <v>160</v>
      </c>
      <c r="CD8" s="6" t="s">
        <v>161</v>
      </c>
      <c r="CE8" s="51" t="s">
        <v>33</v>
      </c>
      <c r="CF8" s="51" t="s">
        <v>51</v>
      </c>
      <c r="CG8" s="51" t="s">
        <v>52</v>
      </c>
      <c r="CH8" s="51" t="s">
        <v>28</v>
      </c>
      <c r="CI8" s="6"/>
      <c r="CJ8" s="6" t="s">
        <v>158</v>
      </c>
      <c r="CK8" s="6" t="s">
        <v>159</v>
      </c>
      <c r="CL8" s="6" t="s">
        <v>160</v>
      </c>
      <c r="CM8" s="6" t="s">
        <v>161</v>
      </c>
      <c r="CN8" s="51" t="s">
        <v>33</v>
      </c>
      <c r="CO8" s="51" t="s">
        <v>51</v>
      </c>
      <c r="CP8" s="51" t="s">
        <v>52</v>
      </c>
      <c r="CQ8" s="51" t="s">
        <v>28</v>
      </c>
      <c r="CR8" s="51" t="s">
        <v>143</v>
      </c>
      <c r="CT8" s="734"/>
      <c r="CU8" s="6" t="s">
        <v>158</v>
      </c>
      <c r="CV8" s="6" t="s">
        <v>159</v>
      </c>
      <c r="CW8" s="6" t="s">
        <v>160</v>
      </c>
      <c r="CX8" s="6" t="s">
        <v>161</v>
      </c>
      <c r="CY8" s="51" t="s">
        <v>33</v>
      </c>
      <c r="CZ8" s="51" t="s">
        <v>51</v>
      </c>
      <c r="DA8" s="51" t="s">
        <v>52</v>
      </c>
      <c r="DB8" s="51" t="s">
        <v>28</v>
      </c>
      <c r="DC8" s="51" t="s">
        <v>143</v>
      </c>
      <c r="DD8" s="670" t="s">
        <v>293</v>
      </c>
      <c r="DF8" s="6" t="s">
        <v>158</v>
      </c>
      <c r="DG8" s="6" t="s">
        <v>159</v>
      </c>
      <c r="DH8" s="6" t="s">
        <v>160</v>
      </c>
      <c r="DI8" s="6" t="s">
        <v>161</v>
      </c>
      <c r="DJ8" s="51" t="s">
        <v>33</v>
      </c>
      <c r="DK8" s="51" t="s">
        <v>51</v>
      </c>
      <c r="DL8" s="51" t="s">
        <v>52</v>
      </c>
      <c r="DM8" s="51" t="s">
        <v>28</v>
      </c>
      <c r="DN8" s="51" t="s">
        <v>143</v>
      </c>
    </row>
    <row r="9" spans="1:119">
      <c r="A9" s="46">
        <v>1979</v>
      </c>
      <c r="B9" s="141">
        <f>D9-E9</f>
        <v>0.144776109915911</v>
      </c>
      <c r="C9" s="46"/>
      <c r="D9" s="141">
        <f>SUM(G9:N9)*2</f>
        <v>0.57650352766267099</v>
      </c>
      <c r="E9" s="141">
        <f>SUM(Y9:AF9)*2</f>
        <v>0.43172741774675999</v>
      </c>
      <c r="F9" s="46"/>
      <c r="G9" s="157">
        <f>(P$5-P9)*P$4</f>
        <v>3.5832534387986073E-2</v>
      </c>
      <c r="H9" s="157">
        <f t="shared" ref="H9:N24" si="1">(Q$5-Q9)*Q$4</f>
        <v>6.0940650142602242E-2</v>
      </c>
      <c r="I9" s="157">
        <f t="shared" si="1"/>
        <v>7.3836041047444609E-2</v>
      </c>
      <c r="J9" s="157">
        <f t="shared" si="1"/>
        <v>7.0891291011079341E-2</v>
      </c>
      <c r="K9" s="157">
        <f t="shared" si="1"/>
        <v>2.9553838518509557E-2</v>
      </c>
      <c r="L9" s="157">
        <f t="shared" si="1"/>
        <v>1.1710565615378766E-2</v>
      </c>
      <c r="M9" s="157">
        <f t="shared" si="1"/>
        <v>5.4868431083349113E-3</v>
      </c>
      <c r="N9" s="157">
        <f>(W$5-W9)*W$4</f>
        <v>0</v>
      </c>
      <c r="O9" s="46"/>
      <c r="P9" s="154">
        <f>AQ9/SUM($AQ9:$AX9)</f>
        <v>2.083732806006967E-2</v>
      </c>
      <c r="Q9" s="154">
        <f t="shared" ref="Q9:V10" si="2">P9+AR9/SUM($AQ9:$AX9)</f>
        <v>9.5296749286988808E-2</v>
      </c>
      <c r="R9" s="154">
        <f t="shared" si="2"/>
        <v>0.23081979476277709</v>
      </c>
      <c r="S9" s="154">
        <f t="shared" si="2"/>
        <v>0.44554354494460335</v>
      </c>
      <c r="T9" s="154">
        <f t="shared" si="2"/>
        <v>0.60446161481490446</v>
      </c>
      <c r="U9" s="154">
        <f t="shared" si="2"/>
        <v>0.71578868769242476</v>
      </c>
      <c r="V9" s="154">
        <f t="shared" si="2"/>
        <v>0.85282892229162732</v>
      </c>
      <c r="W9" s="162">
        <v>1</v>
      </c>
      <c r="X9" s="154"/>
      <c r="Y9" s="142">
        <f t="shared" ref="Y9:AF9" si="3">(P$5-AH9)*P$4</f>
        <v>3.0029910269192429E-2</v>
      </c>
      <c r="Z9" s="142">
        <f t="shared" si="3"/>
        <v>4.7696909272183459E-2</v>
      </c>
      <c r="AA9" s="142">
        <f t="shared" si="3"/>
        <v>5.5792622133599236E-2</v>
      </c>
      <c r="AB9" s="142">
        <f t="shared" si="3"/>
        <v>5.1126620139581296E-2</v>
      </c>
      <c r="AC9" s="142">
        <f t="shared" si="3"/>
        <v>2.0309072781655047E-2</v>
      </c>
      <c r="AD9" s="142">
        <f t="shared" si="3"/>
        <v>7.7193419740777761E-3</v>
      </c>
      <c r="AE9" s="142">
        <f t="shared" si="3"/>
        <v>3.1892323030907389E-3</v>
      </c>
      <c r="AF9" s="142">
        <f t="shared" si="3"/>
        <v>0</v>
      </c>
      <c r="AH9" s="158">
        <f>AZ9/SUM($AZ9:$BG9)</f>
        <v>4.9850448654037878E-2</v>
      </c>
      <c r="AI9" s="158">
        <f t="shared" ref="AI9:AN9" si="4">AH9+BA9/SUM($AZ9:$BG9)</f>
        <v>0.16151545363908273</v>
      </c>
      <c r="AJ9" s="158">
        <f t="shared" si="4"/>
        <v>0.32103688933200392</v>
      </c>
      <c r="AK9" s="158">
        <f t="shared" si="4"/>
        <v>0.54436689930209359</v>
      </c>
      <c r="AL9" s="158">
        <f t="shared" si="4"/>
        <v>0.69690927218344956</v>
      </c>
      <c r="AM9" s="158">
        <f t="shared" si="4"/>
        <v>0.79561316051844455</v>
      </c>
      <c r="AN9" s="158">
        <f t="shared" si="4"/>
        <v>0.91026919242273163</v>
      </c>
      <c r="AO9" s="158">
        <v>1</v>
      </c>
      <c r="AP9" s="143"/>
      <c r="AQ9" s="143">
        <f t="shared" ref="AQ9:AX40" si="5">CJ9/$CR9</f>
        <v>2.0837328060069667E-2</v>
      </c>
      <c r="AR9" s="143">
        <f t="shared" si="5"/>
        <v>7.445942122691912E-2</v>
      </c>
      <c r="AS9" s="143">
        <f t="shared" si="5"/>
        <v>0.13552304547578825</v>
      </c>
      <c r="AT9" s="143">
        <f t="shared" si="5"/>
        <v>0.21472375018182621</v>
      </c>
      <c r="AU9" s="143">
        <f t="shared" si="5"/>
        <v>0.15891806987030105</v>
      </c>
      <c r="AV9" s="143">
        <f t="shared" si="5"/>
        <v>0.11132707287752028</v>
      </c>
      <c r="AW9" s="143">
        <f t="shared" si="5"/>
        <v>0.1370402345992025</v>
      </c>
      <c r="AX9" s="143">
        <f t="shared" si="5"/>
        <v>0.1471710777083729</v>
      </c>
      <c r="AZ9" s="152">
        <f>Shares!D50</f>
        <v>5</v>
      </c>
      <c r="BA9" s="152">
        <f>Shares!E50</f>
        <v>11.2</v>
      </c>
      <c r="BB9" s="152">
        <f>Shares!F50</f>
        <v>16</v>
      </c>
      <c r="BC9" s="152">
        <f>Shares!G50</f>
        <v>22.4</v>
      </c>
      <c r="BD9" s="152">
        <f>Shares!J50</f>
        <v>15.3</v>
      </c>
      <c r="BE9" s="152">
        <f>Shares!K50</f>
        <v>9.9</v>
      </c>
      <c r="BF9" s="152">
        <f>Shares!L50</f>
        <v>11.5</v>
      </c>
      <c r="BG9" s="152">
        <f>Shares!M50</f>
        <v>9</v>
      </c>
      <c r="BI9" s="573">
        <f>TxRt!B53</f>
        <v>9.3000000000000007</v>
      </c>
      <c r="BJ9" s="573">
        <f>TxRt!B96</f>
        <v>15</v>
      </c>
      <c r="BK9" s="573">
        <f>TxRt!B136</f>
        <v>19.100000000000001</v>
      </c>
      <c r="BL9" s="573">
        <f>TxRt!B176</f>
        <v>21.7</v>
      </c>
      <c r="BM9" s="573">
        <f>TxRt!B256</f>
        <v>23.6</v>
      </c>
      <c r="BN9" s="573">
        <f>TxRt!B296</f>
        <v>25.2</v>
      </c>
      <c r="BO9" s="573">
        <f>TxRt!B336</f>
        <v>27.1</v>
      </c>
      <c r="BP9" s="573">
        <f>TxRt!B376</f>
        <v>35.1</v>
      </c>
      <c r="BQ9" s="46"/>
      <c r="BR9" s="60">
        <f>Inc!B50</f>
        <v>15500</v>
      </c>
      <c r="BS9" s="60">
        <f>Inc!B90</f>
        <v>37100</v>
      </c>
      <c r="BT9" s="60">
        <f>Inc!B130</f>
        <v>56900</v>
      </c>
      <c r="BU9" s="60">
        <f>Inc!B170</f>
        <v>77300</v>
      </c>
      <c r="BV9" s="60">
        <f>Inc!B250</f>
        <v>100500</v>
      </c>
      <c r="BW9" s="60">
        <f>Inc!B290</f>
        <v>124200</v>
      </c>
      <c r="BX9" s="60">
        <f>Inc!B330</f>
        <v>179800</v>
      </c>
      <c r="BY9" s="60">
        <f>Inc!B370</f>
        <v>563200</v>
      </c>
      <c r="CA9" s="60">
        <f t="shared" ref="CA9:CH40" si="6">BI9*BR9/100</f>
        <v>1441.5</v>
      </c>
      <c r="CB9" s="60">
        <f t="shared" si="6"/>
        <v>5565</v>
      </c>
      <c r="CC9" s="60">
        <f t="shared" si="6"/>
        <v>10867.9</v>
      </c>
      <c r="CD9" s="60">
        <f t="shared" si="6"/>
        <v>16774.099999999999</v>
      </c>
      <c r="CE9" s="60">
        <f t="shared" si="6"/>
        <v>23718</v>
      </c>
      <c r="CF9" s="60">
        <f t="shared" si="6"/>
        <v>31298.400000000001</v>
      </c>
      <c r="CG9" s="60">
        <f t="shared" si="6"/>
        <v>48725.8</v>
      </c>
      <c r="CH9" s="60">
        <f t="shared" si="6"/>
        <v>197683.20000000001</v>
      </c>
      <c r="CJ9" s="153">
        <f>CA9*CU9</f>
        <v>25190.212500000009</v>
      </c>
      <c r="CK9" s="153">
        <f t="shared" ref="CK9:CQ45" si="7">CB9*CV9</f>
        <v>90013.875000000029</v>
      </c>
      <c r="CL9" s="153">
        <f t="shared" si="7"/>
        <v>163833.59250000006</v>
      </c>
      <c r="CM9" s="153">
        <f t="shared" si="7"/>
        <v>259579.19750000007</v>
      </c>
      <c r="CN9" s="153">
        <f t="shared" si="7"/>
        <v>192115.8</v>
      </c>
      <c r="CO9" s="153">
        <f t="shared" si="7"/>
        <v>134583.12</v>
      </c>
      <c r="CP9" s="153">
        <f t="shared" si="7"/>
        <v>165667.72</v>
      </c>
      <c r="CQ9" s="153">
        <f t="shared" si="7"/>
        <v>177914.88</v>
      </c>
      <c r="CR9" s="153">
        <f>SUM(CJ9:CQ9)</f>
        <v>1208898.3975000002</v>
      </c>
      <c r="CT9" s="403">
        <v>221.9</v>
      </c>
      <c r="CU9" s="276">
        <f>Dem!B50+(DD9/4)</f>
        <v>17.475000000000005</v>
      </c>
      <c r="CV9" s="276">
        <f>Dem!B90+(DD9/4)</f>
        <v>16.175000000000004</v>
      </c>
      <c r="CW9" s="276">
        <f>Dem!B130+(DD9/4)</f>
        <v>15.075000000000005</v>
      </c>
      <c r="CX9" s="276">
        <f>Dem!B170+(DD9/4)</f>
        <v>15.475000000000005</v>
      </c>
      <c r="CY9" s="276">
        <f>Dem!B250</f>
        <v>8.1</v>
      </c>
      <c r="CZ9" s="276">
        <f>Dem!B290</f>
        <v>4.3</v>
      </c>
      <c r="DA9" s="276">
        <f>Dem!B330</f>
        <v>3.4</v>
      </c>
      <c r="DB9" s="276">
        <f>Dem!B370</f>
        <v>0.9</v>
      </c>
      <c r="DC9" s="275">
        <v>81.099999999999994</v>
      </c>
      <c r="DD9" s="46">
        <v>-9.9999999999980105E-2</v>
      </c>
      <c r="DE9" s="275"/>
      <c r="DF9" s="276">
        <f>Dem!$D50+(DO9/4)</f>
        <v>43.17499999999999</v>
      </c>
      <c r="DG9" s="276">
        <f>Dem!$D90+(DO9/4)</f>
        <v>44.17499999999999</v>
      </c>
      <c r="DH9" s="276">
        <f>Dem!$D130+(DO9/4)</f>
        <v>44.17499999999999</v>
      </c>
      <c r="DI9" s="276">
        <f>Dem!$D170+(DO9/4)</f>
        <v>44.17499999999999</v>
      </c>
      <c r="DJ9" s="275">
        <f>Dem!$D250</f>
        <v>22.2</v>
      </c>
      <c r="DK9" s="275">
        <f>Dem!$D290</f>
        <v>11.1</v>
      </c>
      <c r="DL9" s="275">
        <f>Dem!$D330</f>
        <v>8.9</v>
      </c>
      <c r="DM9" s="275">
        <f>Dem!$D370</f>
        <v>2.2000000000000002</v>
      </c>
      <c r="DN9" s="276">
        <f>CT9</f>
        <v>221.9</v>
      </c>
      <c r="DO9" s="44">
        <v>-0.90000000000003411</v>
      </c>
    </row>
    <row r="10" spans="1:119">
      <c r="A10" s="46">
        <f>A9+1</f>
        <v>1980</v>
      </c>
      <c r="B10" s="141">
        <f t="shared" ref="B10:B46" si="8">D10-E10</f>
        <v>0.14107281498701862</v>
      </c>
      <c r="C10" s="46"/>
      <c r="D10" s="141">
        <f t="shared" ref="D10:D46" si="9">SUM(G10:N10)*2</f>
        <v>0.57728677311264187</v>
      </c>
      <c r="E10" s="141">
        <f t="shared" ref="E10:E46" si="10">SUM(Y10:AF10)*2</f>
        <v>0.43621395812562325</v>
      </c>
      <c r="F10" s="46"/>
      <c r="G10" s="157">
        <f t="shared" ref="G10:N46" si="11">(P$5-P10)*P$4</f>
        <v>3.6049200693838747E-2</v>
      </c>
      <c r="H10" s="157">
        <f t="shared" si="1"/>
        <v>6.1597630424292109E-2</v>
      </c>
      <c r="I10" s="157">
        <f t="shared" si="1"/>
        <v>7.4485275083931379E-2</v>
      </c>
      <c r="J10" s="157">
        <f t="shared" si="1"/>
        <v>7.0952450237914841E-2</v>
      </c>
      <c r="K10" s="157">
        <f t="shared" si="1"/>
        <v>2.8993424756393507E-2</v>
      </c>
      <c r="L10" s="157">
        <f t="shared" si="1"/>
        <v>1.1409910943242558E-2</v>
      </c>
      <c r="M10" s="157">
        <f t="shared" si="1"/>
        <v>5.1554944167078445E-3</v>
      </c>
      <c r="N10" s="157">
        <f t="shared" si="1"/>
        <v>0</v>
      </c>
      <c r="O10" s="46"/>
      <c r="P10" s="154">
        <f>AQ10/SUM($AQ10:$AX10)</f>
        <v>1.975399653080627E-2</v>
      </c>
      <c r="Q10" s="154">
        <f t="shared" si="2"/>
        <v>9.2011847878539485E-2</v>
      </c>
      <c r="R10" s="154">
        <f t="shared" si="2"/>
        <v>0.22757362458034319</v>
      </c>
      <c r="S10" s="154">
        <f t="shared" si="2"/>
        <v>0.44523774881042583</v>
      </c>
      <c r="T10" s="154">
        <f t="shared" si="2"/>
        <v>0.61006575243606498</v>
      </c>
      <c r="U10" s="154">
        <f t="shared" si="2"/>
        <v>0.72180178113514892</v>
      </c>
      <c r="V10" s="154">
        <f t="shared" si="2"/>
        <v>0.861112639582304</v>
      </c>
      <c r="W10" s="162">
        <f>W9</f>
        <v>1</v>
      </c>
      <c r="X10" s="154"/>
      <c r="Y10" s="142">
        <f>(P$5-AH10)*P$4</f>
        <v>3.0229312063808578E-2</v>
      </c>
      <c r="Z10" s="142">
        <f t="shared" ref="Z10:AF25" si="12">(Q$5-AI10)*Q$4</f>
        <v>4.8295114656031909E-2</v>
      </c>
      <c r="AA10" s="142">
        <f t="shared" si="12"/>
        <v>5.6390827517447673E-2</v>
      </c>
      <c r="AB10" s="142">
        <f t="shared" si="12"/>
        <v>5.1724825523429718E-2</v>
      </c>
      <c r="AC10" s="142">
        <f t="shared" si="12"/>
        <v>2.0508474576271186E-2</v>
      </c>
      <c r="AD10" s="142">
        <f t="shared" si="12"/>
        <v>7.7691924227318082E-3</v>
      </c>
      <c r="AE10" s="142">
        <f t="shared" si="12"/>
        <v>3.1892323030907298E-3</v>
      </c>
      <c r="AF10" s="142">
        <f>(W$5-AO10)*W$4</f>
        <v>0</v>
      </c>
      <c r="AH10" s="158">
        <f t="shared" ref="AH10:AH46" si="13">AZ10/SUM($AZ10:$BG10)</f>
        <v>4.8853439680957136E-2</v>
      </c>
      <c r="AI10" s="158">
        <f t="shared" ref="AI10:AN46" si="14">AH10+BA10/SUM($AZ10:$BG10)</f>
        <v>0.15852442671984049</v>
      </c>
      <c r="AJ10" s="158">
        <f t="shared" si="14"/>
        <v>0.31804586241276173</v>
      </c>
      <c r="AK10" s="158">
        <f t="shared" si="14"/>
        <v>0.54137587238285145</v>
      </c>
      <c r="AL10" s="158">
        <f t="shared" si="14"/>
        <v>0.69491525423728817</v>
      </c>
      <c r="AM10" s="158">
        <f t="shared" si="14"/>
        <v>0.79461615154536391</v>
      </c>
      <c r="AN10" s="158">
        <f t="shared" si="14"/>
        <v>0.91026919242273185</v>
      </c>
      <c r="AO10" s="158">
        <v>1</v>
      </c>
      <c r="AP10" s="143"/>
      <c r="AQ10" s="143">
        <f t="shared" si="5"/>
        <v>1.9753996530806273E-2</v>
      </c>
      <c r="AR10" s="143">
        <f t="shared" si="5"/>
        <v>7.2257851347733229E-2</v>
      </c>
      <c r="AS10" s="143">
        <f t="shared" si="5"/>
        <v>0.13556177670180372</v>
      </c>
      <c r="AT10" s="143">
        <f t="shared" si="5"/>
        <v>0.21766412423008269</v>
      </c>
      <c r="AU10" s="143">
        <f t="shared" si="5"/>
        <v>0.16482800362563918</v>
      </c>
      <c r="AV10" s="143">
        <f t="shared" si="5"/>
        <v>0.11173602869908403</v>
      </c>
      <c r="AW10" s="143">
        <f t="shared" si="5"/>
        <v>0.13931085844715513</v>
      </c>
      <c r="AX10" s="143">
        <f t="shared" si="5"/>
        <v>0.13888736041769581</v>
      </c>
      <c r="AY10" s="46"/>
      <c r="AZ10" s="152">
        <f>Shares!D51</f>
        <v>4.9000000000000004</v>
      </c>
      <c r="BA10" s="152">
        <f>Shares!E51</f>
        <v>11</v>
      </c>
      <c r="BB10" s="152">
        <f>Shares!F51</f>
        <v>16</v>
      </c>
      <c r="BC10" s="152">
        <f>Shares!G51</f>
        <v>22.4</v>
      </c>
      <c r="BD10" s="152">
        <f>Shares!J51</f>
        <v>15.4</v>
      </c>
      <c r="BE10" s="152">
        <f>Shares!K51</f>
        <v>10</v>
      </c>
      <c r="BF10" s="152">
        <f>Shares!L51</f>
        <v>11.6</v>
      </c>
      <c r="BG10" s="152">
        <f>Shares!M51</f>
        <v>9</v>
      </c>
      <c r="BI10" s="246">
        <f>TxRt!B54-TxRt!C54+TxRt!C$53</f>
        <v>8.7000000000000011</v>
      </c>
      <c r="BJ10" s="246">
        <f>TxRt!B97-TxRt!C97+TxRt!C$96</f>
        <v>14.299999999999999</v>
      </c>
      <c r="BK10" s="246">
        <f>TxRt!B137-TxRt!C137+TxRt!C$136</f>
        <v>18.5</v>
      </c>
      <c r="BL10" s="246">
        <f>TxRt!B177-TxRt!C177+TxRt!C$176</f>
        <v>21.200000000000003</v>
      </c>
      <c r="BM10" s="246">
        <f>TxRt!B257-TxRt!C257+TxRt!C$256</f>
        <v>23.200000000000003</v>
      </c>
      <c r="BN10" s="246">
        <f>TxRt!B297-TxRt!C297+TxRt!C$296</f>
        <v>24.5</v>
      </c>
      <c r="BO10" s="246">
        <f>TxRt!B337-TxRt!C337+TxRt!C$336</f>
        <v>26.3</v>
      </c>
      <c r="BP10" s="246">
        <f>TxRt!B377-TxRt!C377+TxRt!C$376</f>
        <v>32.800000000000004</v>
      </c>
      <c r="BQ10" s="46"/>
      <c r="BR10" s="60">
        <f>Inc!B51</f>
        <v>14900</v>
      </c>
      <c r="BS10" s="60">
        <f>Inc!B91</f>
        <v>35600</v>
      </c>
      <c r="BT10" s="60">
        <f>Inc!B131</f>
        <v>55000</v>
      </c>
      <c r="BU10" s="60">
        <f>Inc!B171</f>
        <v>75100</v>
      </c>
      <c r="BV10" s="60">
        <f>Inc!B251</f>
        <v>98300</v>
      </c>
      <c r="BW10" s="60">
        <f>Inc!B291</f>
        <v>121800</v>
      </c>
      <c r="BX10" s="60">
        <f>Inc!B331</f>
        <v>173800</v>
      </c>
      <c r="BY10" s="60">
        <f>Inc!B371</f>
        <v>540300</v>
      </c>
      <c r="CA10" s="60">
        <f t="shared" si="6"/>
        <v>1296.3000000000002</v>
      </c>
      <c r="CB10" s="60">
        <f t="shared" si="6"/>
        <v>5090.7999999999993</v>
      </c>
      <c r="CC10" s="60">
        <f t="shared" si="6"/>
        <v>10175</v>
      </c>
      <c r="CD10" s="60">
        <f t="shared" si="6"/>
        <v>15921.200000000003</v>
      </c>
      <c r="CE10" s="60">
        <f t="shared" si="6"/>
        <v>22805.600000000006</v>
      </c>
      <c r="CF10" s="60">
        <f t="shared" si="6"/>
        <v>29841</v>
      </c>
      <c r="CG10" s="60">
        <f t="shared" si="6"/>
        <v>45709.4</v>
      </c>
      <c r="CH10" s="60">
        <f t="shared" si="6"/>
        <v>177218.40000000002</v>
      </c>
      <c r="CJ10" s="153">
        <f t="shared" ref="CJ10:CJ45" si="15">CA10*CU10</f>
        <v>22685.250000000007</v>
      </c>
      <c r="CK10" s="153">
        <f t="shared" si="7"/>
        <v>82980.039999999994</v>
      </c>
      <c r="CL10" s="153">
        <f t="shared" si="7"/>
        <v>155677.50000000003</v>
      </c>
      <c r="CM10" s="153">
        <f t="shared" si="7"/>
        <v>249962.84000000008</v>
      </c>
      <c r="CN10" s="153">
        <f t="shared" si="7"/>
        <v>189286.48000000007</v>
      </c>
      <c r="CO10" s="153">
        <f t="shared" si="7"/>
        <v>128316.29999999999</v>
      </c>
      <c r="CP10" s="153">
        <f t="shared" si="7"/>
        <v>159982.9</v>
      </c>
      <c r="CQ10" s="153">
        <f t="shared" si="7"/>
        <v>159496.56000000003</v>
      </c>
      <c r="CR10" s="153">
        <f t="shared" ref="CR10:CR46" si="16">SUM(CJ10:CQ10)</f>
        <v>1148387.8700000001</v>
      </c>
      <c r="CT10" s="403">
        <v>224.5</v>
      </c>
      <c r="CU10" s="276">
        <f>Dem!B51+(DD10/4)</f>
        <v>17.500000000000004</v>
      </c>
      <c r="CV10" s="276">
        <f>Dem!B91+(DD10/4)</f>
        <v>16.3</v>
      </c>
      <c r="CW10" s="276">
        <f>Dem!B131+(DD10/4)</f>
        <v>15.300000000000002</v>
      </c>
      <c r="CX10" s="276">
        <f>Dem!B171+(DD10/4)</f>
        <v>15.700000000000003</v>
      </c>
      <c r="CY10" s="276">
        <f>Dem!B251</f>
        <v>8.3000000000000007</v>
      </c>
      <c r="CZ10" s="276">
        <f>Dem!B291</f>
        <v>4.3</v>
      </c>
      <c r="DA10" s="276">
        <f>Dem!B331</f>
        <v>3.5</v>
      </c>
      <c r="DB10" s="276">
        <f>Dem!B371</f>
        <v>0.9</v>
      </c>
      <c r="DC10" s="275">
        <v>82.6</v>
      </c>
      <c r="DD10" s="46">
        <v>-0.39999999999999147</v>
      </c>
      <c r="DE10" s="275"/>
      <c r="DF10" s="276">
        <f>Dem!$D51+(DO10/4)</f>
        <v>43.15</v>
      </c>
      <c r="DG10" s="276">
        <f>Dem!$D91+(DO10/4)</f>
        <v>44.55</v>
      </c>
      <c r="DH10" s="276">
        <f>Dem!$D131+(DO10/4)</f>
        <v>44.55</v>
      </c>
      <c r="DI10" s="276">
        <f>Dem!$D171+(DO10/4)</f>
        <v>44.55</v>
      </c>
      <c r="DJ10" s="275">
        <f>Dem!$D251</f>
        <v>22.5</v>
      </c>
      <c r="DK10" s="275">
        <f>Dem!$D291</f>
        <v>11.2</v>
      </c>
      <c r="DL10" s="275">
        <f>Dem!$D331</f>
        <v>9</v>
      </c>
      <c r="DM10" s="275">
        <f>Dem!$D371</f>
        <v>2.2000000000000002</v>
      </c>
      <c r="DN10" s="276">
        <f t="shared" ref="DN10:DN46" si="17">CT10</f>
        <v>224.5</v>
      </c>
      <c r="DO10" s="44">
        <v>-1.4000000000000057</v>
      </c>
    </row>
    <row r="11" spans="1:119">
      <c r="A11" s="46">
        <f t="shared" ref="A11:A46" si="18">A10+1</f>
        <v>1981</v>
      </c>
      <c r="B11" s="141">
        <f t="shared" si="8"/>
        <v>0.13151574626845186</v>
      </c>
      <c r="C11" s="46"/>
      <c r="D11" s="141">
        <f t="shared" si="9"/>
        <v>0.57208390547243204</v>
      </c>
      <c r="E11" s="141">
        <f t="shared" si="10"/>
        <v>0.44056815920398018</v>
      </c>
      <c r="F11" s="46"/>
      <c r="G11" s="157">
        <f t="shared" si="11"/>
        <v>3.6099710497478829E-2</v>
      </c>
      <c r="H11" s="157">
        <f t="shared" si="1"/>
        <v>6.1637622866064667E-2</v>
      </c>
      <c r="I11" s="157">
        <f t="shared" si="1"/>
        <v>7.4088365726856287E-2</v>
      </c>
      <c r="J11" s="157">
        <f t="shared" si="1"/>
        <v>7.0049412481187331E-2</v>
      </c>
      <c r="K11" s="157">
        <f t="shared" si="1"/>
        <v>2.8350156612178545E-2</v>
      </c>
      <c r="L11" s="157">
        <f t="shared" si="1"/>
        <v>1.103144413456152E-2</v>
      </c>
      <c r="M11" s="157">
        <f t="shared" si="1"/>
        <v>4.78524041788881E-3</v>
      </c>
      <c r="N11" s="157">
        <f t="shared" si="1"/>
        <v>0</v>
      </c>
      <c r="O11" s="46"/>
      <c r="P11" s="154">
        <f t="shared" ref="P11:P46" si="19">AQ11/SUM($AQ11:$AX11)</f>
        <v>1.9501447512605873E-2</v>
      </c>
      <c r="Q11" s="154">
        <f t="shared" ref="Q11:V46" si="20">P11+AR11/SUM($AQ11:$AX11)</f>
        <v>9.1811885669676685E-2</v>
      </c>
      <c r="R11" s="154">
        <f t="shared" si="20"/>
        <v>0.22955817136571863</v>
      </c>
      <c r="S11" s="154">
        <f t="shared" si="20"/>
        <v>0.44975293759406343</v>
      </c>
      <c r="T11" s="154">
        <f t="shared" si="20"/>
        <v>0.61649843387821457</v>
      </c>
      <c r="U11" s="154">
        <f t="shared" si="20"/>
        <v>0.72937111730876969</v>
      </c>
      <c r="V11" s="154">
        <f t="shared" si="20"/>
        <v>0.87036898955277986</v>
      </c>
      <c r="W11" s="162">
        <f t="shared" ref="W11:W46" si="21">W10</f>
        <v>1</v>
      </c>
      <c r="X11" s="154"/>
      <c r="Y11" s="142">
        <f t="shared" ref="Y11:AF46" si="22">(P$5-AH11)*P$4</f>
        <v>3.0646766169154235E-2</v>
      </c>
      <c r="Z11" s="142">
        <f t="shared" si="12"/>
        <v>4.8955223880597025E-2</v>
      </c>
      <c r="AA11" s="142">
        <f t="shared" si="12"/>
        <v>5.6915422885572158E-2</v>
      </c>
      <c r="AB11" s="142">
        <f t="shared" si="12"/>
        <v>5.2139303482587065E-2</v>
      </c>
      <c r="AC11" s="142">
        <f t="shared" si="12"/>
        <v>2.0646766169154229E-2</v>
      </c>
      <c r="AD11" s="142">
        <f t="shared" si="12"/>
        <v>7.7985074626865719E-3</v>
      </c>
      <c r="AE11" s="142">
        <f t="shared" si="12"/>
        <v>3.1820895522388115E-3</v>
      </c>
      <c r="AF11" s="142">
        <f t="shared" si="12"/>
        <v>0</v>
      </c>
      <c r="AH11" s="158">
        <f t="shared" si="13"/>
        <v>4.6766169154228855E-2</v>
      </c>
      <c r="AI11" s="158">
        <f t="shared" si="14"/>
        <v>0.15522388059701492</v>
      </c>
      <c r="AJ11" s="158">
        <f t="shared" si="14"/>
        <v>0.31542288557213932</v>
      </c>
      <c r="AK11" s="158">
        <f t="shared" si="14"/>
        <v>0.53930348258706473</v>
      </c>
      <c r="AL11" s="158">
        <f t="shared" si="14"/>
        <v>0.69353233830845773</v>
      </c>
      <c r="AM11" s="158">
        <f t="shared" si="14"/>
        <v>0.79402985074626864</v>
      </c>
      <c r="AN11" s="158">
        <f t="shared" si="14"/>
        <v>0.91044776119402981</v>
      </c>
      <c r="AO11" s="158">
        <v>1</v>
      </c>
      <c r="AP11" s="143"/>
      <c r="AQ11" s="143">
        <f t="shared" si="5"/>
        <v>1.9501447512605873E-2</v>
      </c>
      <c r="AR11" s="143">
        <f t="shared" si="5"/>
        <v>7.2310438157070819E-2</v>
      </c>
      <c r="AS11" s="143">
        <f t="shared" si="5"/>
        <v>0.13774628569604194</v>
      </c>
      <c r="AT11" s="143">
        <f t="shared" si="5"/>
        <v>0.22019476622834483</v>
      </c>
      <c r="AU11" s="143">
        <f t="shared" si="5"/>
        <v>0.16674549628415117</v>
      </c>
      <c r="AV11" s="143">
        <f t="shared" si="5"/>
        <v>0.11287268343055508</v>
      </c>
      <c r="AW11" s="143">
        <f t="shared" si="5"/>
        <v>0.14099787224401017</v>
      </c>
      <c r="AX11" s="143">
        <f t="shared" si="5"/>
        <v>0.12963101044722011</v>
      </c>
      <c r="AY11" s="46"/>
      <c r="AZ11" s="152">
        <f>Shares!D52</f>
        <v>4.7</v>
      </c>
      <c r="BA11" s="152">
        <f>Shares!E52</f>
        <v>10.9</v>
      </c>
      <c r="BB11" s="152">
        <f>Shares!F52</f>
        <v>16.100000000000001</v>
      </c>
      <c r="BC11" s="152">
        <f>Shares!G52</f>
        <v>22.5</v>
      </c>
      <c r="BD11" s="152">
        <f>Shares!J52</f>
        <v>15.5</v>
      </c>
      <c r="BE11" s="152">
        <f>Shares!K52</f>
        <v>10.1</v>
      </c>
      <c r="BF11" s="152">
        <f>Shares!L52</f>
        <v>11.7</v>
      </c>
      <c r="BG11" s="152">
        <f>Shares!M52</f>
        <v>9</v>
      </c>
      <c r="BI11" s="246">
        <f>TxRt!B55-TxRt!C55+TxRt!C$53</f>
        <v>9</v>
      </c>
      <c r="BJ11" s="246">
        <f>TxRt!B98-TxRt!C98+TxRt!C$96</f>
        <v>14.399999999999999</v>
      </c>
      <c r="BK11" s="246">
        <f>TxRt!B138-TxRt!C138+TxRt!C$136</f>
        <v>18.600000000000001</v>
      </c>
      <c r="BL11" s="246">
        <f>TxRt!B178-TxRt!C178+TxRt!C$176</f>
        <v>21.4</v>
      </c>
      <c r="BM11" s="246">
        <f>TxRt!B258-TxRt!C258+TxRt!C$256</f>
        <v>23.3</v>
      </c>
      <c r="BN11" s="246">
        <f>TxRt!B298-TxRt!C298+TxRt!C$296</f>
        <v>24.5</v>
      </c>
      <c r="BO11" s="246">
        <f>TxRt!B338-TxRt!C338+TxRt!C$336</f>
        <v>25.8</v>
      </c>
      <c r="BP11" s="246">
        <f>TxRt!B378-TxRt!C378+TxRt!C$376</f>
        <v>31.200000000000003</v>
      </c>
      <c r="BQ11" s="46"/>
      <c r="BR11" s="60">
        <f>Inc!B52</f>
        <v>14700</v>
      </c>
      <c r="BS11" s="60">
        <f>Inc!B92</f>
        <v>35300</v>
      </c>
      <c r="BT11" s="60">
        <f>Inc!B132</f>
        <v>54700</v>
      </c>
      <c r="BU11" s="60">
        <f>Inc!B172</f>
        <v>76000</v>
      </c>
      <c r="BV11" s="60">
        <f>Inc!B252</f>
        <v>98100</v>
      </c>
      <c r="BW11" s="60">
        <f>Inc!B292</f>
        <v>122000</v>
      </c>
      <c r="BX11" s="60">
        <f>Inc!B332</f>
        <v>172100</v>
      </c>
      <c r="BY11" s="60">
        <f>Inc!B372</f>
        <v>537900</v>
      </c>
      <c r="CA11" s="60">
        <f t="shared" si="6"/>
        <v>1323</v>
      </c>
      <c r="CB11" s="60">
        <f t="shared" si="6"/>
        <v>5083.2</v>
      </c>
      <c r="CC11" s="60">
        <f t="shared" si="6"/>
        <v>10174.200000000001</v>
      </c>
      <c r="CD11" s="60">
        <f t="shared" si="6"/>
        <v>16264</v>
      </c>
      <c r="CE11" s="60">
        <f t="shared" si="6"/>
        <v>22857.3</v>
      </c>
      <c r="CF11" s="60">
        <f t="shared" si="6"/>
        <v>29890</v>
      </c>
      <c r="CG11" s="60">
        <f t="shared" si="6"/>
        <v>44401.8</v>
      </c>
      <c r="CH11" s="60">
        <f t="shared" si="6"/>
        <v>167824.8</v>
      </c>
      <c r="CJ11" s="153">
        <f t="shared" si="15"/>
        <v>22722.525000000005</v>
      </c>
      <c r="CK11" s="153">
        <f t="shared" si="7"/>
        <v>84254.040000000008</v>
      </c>
      <c r="CL11" s="153">
        <f t="shared" si="7"/>
        <v>160498.00500000006</v>
      </c>
      <c r="CM11" s="153">
        <f t="shared" si="7"/>
        <v>256564.60000000006</v>
      </c>
      <c r="CN11" s="153">
        <f t="shared" si="7"/>
        <v>194287.05</v>
      </c>
      <c r="CO11" s="153">
        <f t="shared" si="7"/>
        <v>131516</v>
      </c>
      <c r="CP11" s="153">
        <f t="shared" si="7"/>
        <v>164286.66000000003</v>
      </c>
      <c r="CQ11" s="153">
        <f t="shared" si="7"/>
        <v>151042.32</v>
      </c>
      <c r="CR11" s="153">
        <f t="shared" si="16"/>
        <v>1165171.2000000002</v>
      </c>
      <c r="CT11" s="403">
        <v>226</v>
      </c>
      <c r="CU11" s="276">
        <f>Dem!B52+(DD11/4)</f>
        <v>17.175000000000004</v>
      </c>
      <c r="CV11" s="276">
        <f>Dem!B92+(DD11/4)</f>
        <v>16.575000000000003</v>
      </c>
      <c r="CW11" s="276">
        <f>Dem!B132+(DD11/4)</f>
        <v>15.775000000000004</v>
      </c>
      <c r="CX11" s="276">
        <f>Dem!B172+(DD11/4)</f>
        <v>15.775000000000004</v>
      </c>
      <c r="CY11" s="276">
        <f>Dem!B252</f>
        <v>8.5</v>
      </c>
      <c r="CZ11" s="276">
        <f>Dem!B292</f>
        <v>4.4000000000000004</v>
      </c>
      <c r="DA11" s="276">
        <f>Dem!B332</f>
        <v>3.7</v>
      </c>
      <c r="DB11" s="276">
        <f>Dem!B372</f>
        <v>0.9</v>
      </c>
      <c r="DC11" s="275">
        <v>83.8</v>
      </c>
      <c r="DD11" s="46">
        <v>-0.49999999999998579</v>
      </c>
      <c r="DE11" s="275"/>
      <c r="DF11" s="276">
        <f>Dem!$D52+(DO11/4)</f>
        <v>43.2</v>
      </c>
      <c r="DG11" s="276">
        <f>Dem!$D92+(DO11/4)</f>
        <v>44.800000000000004</v>
      </c>
      <c r="DH11" s="276">
        <f>Dem!$D132+(DO11/4)</f>
        <v>44.800000000000004</v>
      </c>
      <c r="DI11" s="276">
        <f>Dem!$D172+(DO11/4)</f>
        <v>44.800000000000004</v>
      </c>
      <c r="DJ11" s="275">
        <f>Dem!$D252</f>
        <v>22.6</v>
      </c>
      <c r="DK11" s="275">
        <f>Dem!$D292</f>
        <v>11.3</v>
      </c>
      <c r="DL11" s="275">
        <f>Dem!$D332</f>
        <v>9</v>
      </c>
      <c r="DM11" s="275">
        <f>Dem!$D372</f>
        <v>2.2999999999999998</v>
      </c>
      <c r="DN11" s="276">
        <f t="shared" si="17"/>
        <v>226</v>
      </c>
      <c r="DO11" s="44">
        <v>-1.5999999999999943</v>
      </c>
    </row>
    <row r="12" spans="1:119">
      <c r="A12" s="46">
        <f t="shared" si="18"/>
        <v>1982</v>
      </c>
      <c r="B12" s="141">
        <f t="shared" si="8"/>
        <v>0.12514509383387751</v>
      </c>
      <c r="C12" s="46"/>
      <c r="D12" s="141">
        <f t="shared" si="9"/>
        <v>0.57636001920701185</v>
      </c>
      <c r="E12" s="141">
        <f t="shared" si="10"/>
        <v>0.45121492537313435</v>
      </c>
      <c r="F12" s="46"/>
      <c r="G12" s="157">
        <f t="shared" si="11"/>
        <v>3.6142768388989076E-2</v>
      </c>
      <c r="H12" s="157">
        <f t="shared" si="1"/>
        <v>6.2169527261251294E-2</v>
      </c>
      <c r="I12" s="157">
        <f t="shared" si="1"/>
        <v>7.4912320988540809E-2</v>
      </c>
      <c r="J12" s="157">
        <f t="shared" si="1"/>
        <v>7.0872255414616267E-2</v>
      </c>
      <c r="K12" s="157">
        <f t="shared" si="1"/>
        <v>2.8378213570672474E-2</v>
      </c>
      <c r="L12" s="157">
        <f t="shared" si="1"/>
        <v>1.0925522594294003E-2</v>
      </c>
      <c r="M12" s="157">
        <f t="shared" si="1"/>
        <v>4.7794013851419192E-3</v>
      </c>
      <c r="N12" s="157">
        <f t="shared" si="1"/>
        <v>0</v>
      </c>
      <c r="O12" s="46"/>
      <c r="P12" s="154">
        <f t="shared" si="19"/>
        <v>1.928615805505466E-2</v>
      </c>
      <c r="Q12" s="154">
        <f t="shared" si="20"/>
        <v>8.9152363693743575E-2</v>
      </c>
      <c r="R12" s="154">
        <f t="shared" si="20"/>
        <v>0.22543839505729607</v>
      </c>
      <c r="S12" s="154">
        <f t="shared" si="20"/>
        <v>0.4456387229269187</v>
      </c>
      <c r="T12" s="154">
        <f t="shared" si="20"/>
        <v>0.6162178642932753</v>
      </c>
      <c r="U12" s="154">
        <f t="shared" si="20"/>
        <v>0.73148954811412004</v>
      </c>
      <c r="V12" s="154">
        <f t="shared" si="20"/>
        <v>0.87051496537145212</v>
      </c>
      <c r="W12" s="162">
        <f t="shared" si="21"/>
        <v>1</v>
      </c>
      <c r="X12" s="154"/>
      <c r="Y12" s="142">
        <f t="shared" si="22"/>
        <v>3.124378109452737E-2</v>
      </c>
      <c r="Z12" s="142">
        <f t="shared" si="12"/>
        <v>4.995024875621891E-2</v>
      </c>
      <c r="AA12" s="142">
        <f t="shared" si="12"/>
        <v>5.8308457711442802E-2</v>
      </c>
      <c r="AB12" s="142">
        <f t="shared" si="12"/>
        <v>5.3532338308457716E-2</v>
      </c>
      <c r="AC12" s="142">
        <f t="shared" si="12"/>
        <v>2.1144278606965175E-2</v>
      </c>
      <c r="AD12" s="142">
        <f t="shared" si="12"/>
        <v>8.0472636815920439E-3</v>
      </c>
      <c r="AE12" s="142">
        <f t="shared" si="12"/>
        <v>3.381094527363189E-3</v>
      </c>
      <c r="AF12" s="142">
        <f t="shared" si="12"/>
        <v>0</v>
      </c>
      <c r="AH12" s="158">
        <f t="shared" si="13"/>
        <v>4.3781094527363187E-2</v>
      </c>
      <c r="AI12" s="158">
        <f t="shared" si="14"/>
        <v>0.15024875621890549</v>
      </c>
      <c r="AJ12" s="158">
        <f t="shared" si="14"/>
        <v>0.30845771144278611</v>
      </c>
      <c r="AK12" s="158">
        <f t="shared" si="14"/>
        <v>0.53233830845771146</v>
      </c>
      <c r="AL12" s="158">
        <f t="shared" si="14"/>
        <v>0.6885572139303483</v>
      </c>
      <c r="AM12" s="158">
        <f t="shared" si="14"/>
        <v>0.78905472636815921</v>
      </c>
      <c r="AN12" s="158">
        <f t="shared" si="14"/>
        <v>0.90547263681592038</v>
      </c>
      <c r="AO12" s="158">
        <v>1</v>
      </c>
      <c r="AP12" s="143"/>
      <c r="AQ12" s="143">
        <f t="shared" si="5"/>
        <v>1.928615805505466E-2</v>
      </c>
      <c r="AR12" s="143">
        <f t="shared" si="5"/>
        <v>6.9866205638688908E-2</v>
      </c>
      <c r="AS12" s="143">
        <f t="shared" si="5"/>
        <v>0.1362860313635525</v>
      </c>
      <c r="AT12" s="143">
        <f t="shared" si="5"/>
        <v>0.22020032786962263</v>
      </c>
      <c r="AU12" s="143">
        <f t="shared" si="5"/>
        <v>0.17057914136635663</v>
      </c>
      <c r="AV12" s="143">
        <f t="shared" si="5"/>
        <v>0.11527168382084471</v>
      </c>
      <c r="AW12" s="143">
        <f t="shared" si="5"/>
        <v>0.13902541725733214</v>
      </c>
      <c r="AX12" s="143">
        <f t="shared" si="5"/>
        <v>0.12948503462854788</v>
      </c>
      <c r="AY12" s="46"/>
      <c r="AZ12" s="152">
        <f>Shares!D53</f>
        <v>4.4000000000000004</v>
      </c>
      <c r="BA12" s="152">
        <f>Shares!E53</f>
        <v>10.7</v>
      </c>
      <c r="BB12" s="152">
        <f>Shares!F53</f>
        <v>15.9</v>
      </c>
      <c r="BC12" s="152">
        <f>Shares!G53</f>
        <v>22.5</v>
      </c>
      <c r="BD12" s="152">
        <f>Shares!J53</f>
        <v>15.7</v>
      </c>
      <c r="BE12" s="152">
        <f>Shares!K53</f>
        <v>10.1</v>
      </c>
      <c r="BF12" s="152">
        <f>Shares!L53</f>
        <v>11.7</v>
      </c>
      <c r="BG12" s="152">
        <f>Shares!M53</f>
        <v>9.5</v>
      </c>
      <c r="BI12" s="246">
        <f>TxRt!B56-TxRt!C56+TxRt!C$53</f>
        <v>9.2000000000000011</v>
      </c>
      <c r="BJ12" s="246">
        <f>TxRt!B99-TxRt!C99+TxRt!C$96</f>
        <v>13.799999999999999</v>
      </c>
      <c r="BK12" s="246">
        <f>TxRt!B139-TxRt!C139+TxRt!C$136</f>
        <v>18.100000000000001</v>
      </c>
      <c r="BL12" s="246">
        <f>TxRt!B179-TxRt!C179+TxRt!C$176</f>
        <v>20.700000000000003</v>
      </c>
      <c r="BM12" s="246">
        <f>TxRt!B259-TxRt!C259+TxRt!C$256</f>
        <v>22.700000000000003</v>
      </c>
      <c r="BN12" s="246">
        <f>TxRt!B299-TxRt!C299+TxRt!C$296</f>
        <v>24</v>
      </c>
      <c r="BO12" s="246">
        <f>TxRt!B339-TxRt!C339+TxRt!C$336</f>
        <v>24.7</v>
      </c>
      <c r="BP12" s="246">
        <f>TxRt!B379-TxRt!C379+TxRt!C$376</f>
        <v>28.8</v>
      </c>
      <c r="BQ12" s="46"/>
      <c r="BR12" s="60">
        <f>Inc!B53</f>
        <v>14200</v>
      </c>
      <c r="BS12" s="60">
        <f>Inc!B93</f>
        <v>34500</v>
      </c>
      <c r="BT12" s="60">
        <f>Inc!B133</f>
        <v>53900</v>
      </c>
      <c r="BU12" s="60">
        <f>Inc!B173</f>
        <v>75200</v>
      </c>
      <c r="BV12" s="60">
        <f>Inc!B253</f>
        <v>98000</v>
      </c>
      <c r="BW12" s="60">
        <f>Inc!B293</f>
        <v>121100</v>
      </c>
      <c r="BX12" s="60">
        <f>Inc!B333</f>
        <v>172600</v>
      </c>
      <c r="BY12" s="60">
        <f>Inc!B373</f>
        <v>566800</v>
      </c>
      <c r="CA12" s="60">
        <f t="shared" si="6"/>
        <v>1306.4000000000001</v>
      </c>
      <c r="CB12" s="60">
        <f t="shared" si="6"/>
        <v>4760.9999999999991</v>
      </c>
      <c r="CC12" s="60">
        <f t="shared" si="6"/>
        <v>9755.9000000000015</v>
      </c>
      <c r="CD12" s="60">
        <f t="shared" si="6"/>
        <v>15566.400000000001</v>
      </c>
      <c r="CE12" s="60">
        <f t="shared" si="6"/>
        <v>22246.000000000004</v>
      </c>
      <c r="CF12" s="60">
        <f t="shared" si="6"/>
        <v>29064</v>
      </c>
      <c r="CG12" s="60">
        <f t="shared" si="6"/>
        <v>42632.2</v>
      </c>
      <c r="CH12" s="60">
        <f t="shared" si="6"/>
        <v>163238.39999999999</v>
      </c>
      <c r="CJ12" s="153">
        <f t="shared" si="15"/>
        <v>21882.200000000004</v>
      </c>
      <c r="CK12" s="153">
        <f t="shared" si="7"/>
        <v>79270.650000000009</v>
      </c>
      <c r="CL12" s="153">
        <f t="shared" si="7"/>
        <v>154631.01500000007</v>
      </c>
      <c r="CM12" s="153">
        <f t="shared" si="7"/>
        <v>249840.72000000009</v>
      </c>
      <c r="CN12" s="153">
        <f t="shared" si="7"/>
        <v>193540.2</v>
      </c>
      <c r="CO12" s="153">
        <f t="shared" si="7"/>
        <v>130788</v>
      </c>
      <c r="CP12" s="153">
        <f t="shared" si="7"/>
        <v>157739.13999999998</v>
      </c>
      <c r="CQ12" s="153">
        <f t="shared" si="7"/>
        <v>146914.56</v>
      </c>
      <c r="CR12" s="153">
        <f t="shared" si="16"/>
        <v>1134606.4850000001</v>
      </c>
      <c r="CT12" s="403">
        <v>227.6</v>
      </c>
      <c r="CU12" s="276">
        <f>Dem!B53+(DD12/4)</f>
        <v>16.750000000000004</v>
      </c>
      <c r="CV12" s="276">
        <f>Dem!B93+(DD12/4)</f>
        <v>16.650000000000006</v>
      </c>
      <c r="CW12" s="276">
        <f>Dem!B133+(DD12/4)</f>
        <v>15.850000000000005</v>
      </c>
      <c r="CX12" s="276">
        <f>Dem!B173+(DD12/4)</f>
        <v>16.050000000000004</v>
      </c>
      <c r="CY12" s="276">
        <f>Dem!B253</f>
        <v>8.6999999999999993</v>
      </c>
      <c r="CZ12" s="276">
        <f>Dem!B293</f>
        <v>4.5</v>
      </c>
      <c r="DA12" s="276">
        <f>Dem!B333</f>
        <v>3.7</v>
      </c>
      <c r="DB12" s="276">
        <f>Dem!B373</f>
        <v>0.9</v>
      </c>
      <c r="DC12" s="275">
        <v>84.3</v>
      </c>
      <c r="DD12" s="46">
        <v>-0.5999999999999801</v>
      </c>
      <c r="DE12" s="275"/>
      <c r="DF12" s="276">
        <f>Dem!$D53+(DO12/4)</f>
        <v>43.500000000000007</v>
      </c>
      <c r="DG12" s="276">
        <f>Dem!$D93+(DO12/4)</f>
        <v>45.100000000000009</v>
      </c>
      <c r="DH12" s="276">
        <f>Dem!$D133+(DO12/4)</f>
        <v>45.100000000000009</v>
      </c>
      <c r="DI12" s="276">
        <f>Dem!$D173+(DO12/4)</f>
        <v>45.100000000000009</v>
      </c>
      <c r="DJ12" s="275">
        <f>Dem!$D253</f>
        <v>22.8</v>
      </c>
      <c r="DK12" s="275">
        <f>Dem!$D293</f>
        <v>11.4</v>
      </c>
      <c r="DL12" s="275">
        <f>Dem!$D333</f>
        <v>9.1</v>
      </c>
      <c r="DM12" s="275">
        <f>Dem!$D373</f>
        <v>2.2999999999999998</v>
      </c>
      <c r="DN12" s="276">
        <f t="shared" si="17"/>
        <v>227.6</v>
      </c>
      <c r="DO12" s="44">
        <v>-1.5999999999999659</v>
      </c>
    </row>
    <row r="13" spans="1:119">
      <c r="A13" s="46">
        <f t="shared" si="18"/>
        <v>1983</v>
      </c>
      <c r="B13" s="141">
        <f t="shared" si="8"/>
        <v>0.12132501573262583</v>
      </c>
      <c r="C13" s="46"/>
      <c r="D13" s="141">
        <f t="shared" si="9"/>
        <v>0.58515758772865367</v>
      </c>
      <c r="E13" s="141">
        <f t="shared" si="10"/>
        <v>0.46383257199602784</v>
      </c>
      <c r="F13" s="46"/>
      <c r="G13" s="157">
        <f t="shared" si="11"/>
        <v>3.6072459929177889E-2</v>
      </c>
      <c r="H13" s="157">
        <f t="shared" si="1"/>
        <v>6.2434359911512832E-2</v>
      </c>
      <c r="I13" s="157">
        <f t="shared" si="1"/>
        <v>7.6125428479781321E-2</v>
      </c>
      <c r="J13" s="157">
        <f t="shared" si="1"/>
        <v>7.2189237702066561E-2</v>
      </c>
      <c r="K13" s="157">
        <f t="shared" si="1"/>
        <v>2.9291449144281202E-2</v>
      </c>
      <c r="L13" s="157">
        <f t="shared" si="1"/>
        <v>1.1353479521092525E-2</v>
      </c>
      <c r="M13" s="157">
        <f t="shared" si="1"/>
        <v>5.1123791764145525E-3</v>
      </c>
      <c r="N13" s="157">
        <f t="shared" si="1"/>
        <v>0</v>
      </c>
      <c r="O13" s="46"/>
      <c r="P13" s="154">
        <f t="shared" si="19"/>
        <v>1.9637700354110572E-2</v>
      </c>
      <c r="Q13" s="154">
        <f t="shared" si="20"/>
        <v>8.7828200442435875E-2</v>
      </c>
      <c r="R13" s="154">
        <f t="shared" si="20"/>
        <v>0.21937285760109354</v>
      </c>
      <c r="S13" s="154">
        <f t="shared" si="20"/>
        <v>0.43905381148966727</v>
      </c>
      <c r="T13" s="154">
        <f t="shared" si="20"/>
        <v>0.60708550855718801</v>
      </c>
      <c r="U13" s="154">
        <f t="shared" si="20"/>
        <v>0.72293040957814958</v>
      </c>
      <c r="V13" s="154">
        <f t="shared" si="20"/>
        <v>0.8621905205896363</v>
      </c>
      <c r="W13" s="162">
        <f t="shared" si="21"/>
        <v>1</v>
      </c>
      <c r="X13" s="154"/>
      <c r="Y13" s="142">
        <f t="shared" si="22"/>
        <v>3.1857000993048661E-2</v>
      </c>
      <c r="Z13" s="142">
        <f t="shared" si="12"/>
        <v>5.1002979145978157E-2</v>
      </c>
      <c r="AA13" s="142">
        <f t="shared" si="12"/>
        <v>5.9821251241310838E-2</v>
      </c>
      <c r="AB13" s="142">
        <f t="shared" si="12"/>
        <v>5.513406156901688E-2</v>
      </c>
      <c r="AC13" s="142">
        <f t="shared" si="12"/>
        <v>2.1976166832174772E-2</v>
      </c>
      <c r="AD13" s="142">
        <f t="shared" si="12"/>
        <v>8.4731876861966204E-3</v>
      </c>
      <c r="AE13" s="142">
        <f t="shared" si="12"/>
        <v>3.6516385302879819E-3</v>
      </c>
      <c r="AF13" s="142">
        <f t="shared" si="12"/>
        <v>0</v>
      </c>
      <c r="AH13" s="158">
        <f t="shared" si="13"/>
        <v>4.0714995034756701E-2</v>
      </c>
      <c r="AI13" s="158">
        <f t="shared" si="14"/>
        <v>0.14498510427010924</v>
      </c>
      <c r="AJ13" s="158">
        <f t="shared" si="14"/>
        <v>0.30089374379344591</v>
      </c>
      <c r="AK13" s="158">
        <f t="shared" si="14"/>
        <v>0.52432969215491565</v>
      </c>
      <c r="AL13" s="158">
        <f t="shared" si="14"/>
        <v>0.68023833167825232</v>
      </c>
      <c r="AM13" s="158">
        <f t="shared" si="14"/>
        <v>0.78053624627606766</v>
      </c>
      <c r="AN13" s="158">
        <f t="shared" si="14"/>
        <v>0.89870903674280056</v>
      </c>
      <c r="AO13" s="158">
        <v>1</v>
      </c>
      <c r="AP13" s="143"/>
      <c r="AQ13" s="143">
        <f t="shared" si="5"/>
        <v>1.9637700354110568E-2</v>
      </c>
      <c r="AR13" s="143">
        <f t="shared" si="5"/>
        <v>6.8190500088325293E-2</v>
      </c>
      <c r="AS13" s="143">
        <f t="shared" si="5"/>
        <v>0.13154465715865762</v>
      </c>
      <c r="AT13" s="143">
        <f t="shared" si="5"/>
        <v>0.2196809538885737</v>
      </c>
      <c r="AU13" s="143">
        <f t="shared" si="5"/>
        <v>0.16803169706752066</v>
      </c>
      <c r="AV13" s="143">
        <f t="shared" si="5"/>
        <v>0.11584490102096151</v>
      </c>
      <c r="AW13" s="143">
        <f t="shared" si="5"/>
        <v>0.13926011101148675</v>
      </c>
      <c r="AX13" s="143">
        <f t="shared" si="5"/>
        <v>0.13780947941036387</v>
      </c>
      <c r="AY13" s="46"/>
      <c r="AZ13" s="152">
        <f>Shares!D54</f>
        <v>4.0999999999999996</v>
      </c>
      <c r="BA13" s="152">
        <f>Shares!E54</f>
        <v>10.5</v>
      </c>
      <c r="BB13" s="152">
        <f>Shares!F54</f>
        <v>15.7</v>
      </c>
      <c r="BC13" s="152">
        <f>Shares!G54</f>
        <v>22.5</v>
      </c>
      <c r="BD13" s="152">
        <f>Shares!J54</f>
        <v>15.7</v>
      </c>
      <c r="BE13" s="152">
        <f>Shares!K54</f>
        <v>10.1</v>
      </c>
      <c r="BF13" s="152">
        <f>Shares!L54</f>
        <v>11.9</v>
      </c>
      <c r="BG13" s="152">
        <f>Shares!M54</f>
        <v>10.199999999999999</v>
      </c>
      <c r="BI13" s="246">
        <f>TxRt!B57-TxRt!C57+TxRt!C$53</f>
        <v>10.5</v>
      </c>
      <c r="BJ13" s="246">
        <f>TxRt!B100-TxRt!C100+TxRt!C$96</f>
        <v>14.2</v>
      </c>
      <c r="BK13" s="246">
        <f>TxRt!B140-TxRt!C140+TxRt!C$136</f>
        <v>18.200000000000003</v>
      </c>
      <c r="BL13" s="246">
        <f>TxRt!B180-TxRt!C180+TxRt!C$176</f>
        <v>21.200000000000003</v>
      </c>
      <c r="BM13" s="246">
        <f>TxRt!B260-TxRt!C260+TxRt!C$256</f>
        <v>23.200000000000003</v>
      </c>
      <c r="BN13" s="246">
        <f>TxRt!B300-TxRt!C300+TxRt!C$296</f>
        <v>24.4</v>
      </c>
      <c r="BO13" s="246">
        <f>TxRt!B340-TxRt!C340+TxRt!C$336</f>
        <v>25.5</v>
      </c>
      <c r="BP13" s="246">
        <f>TxRt!B380-TxRt!C380+TxRt!C$376</f>
        <v>29.700000000000003</v>
      </c>
      <c r="BQ13" s="46"/>
      <c r="BR13" s="60">
        <f>Inc!B54</f>
        <v>13600</v>
      </c>
      <c r="BS13" s="60">
        <f>Inc!B94</f>
        <v>33700</v>
      </c>
      <c r="BT13" s="60">
        <f>Inc!B134</f>
        <v>53200</v>
      </c>
      <c r="BU13" s="60">
        <f>Inc!B174</f>
        <v>74900</v>
      </c>
      <c r="BV13" s="60">
        <f>Inc!B254</f>
        <v>99200</v>
      </c>
      <c r="BW13" s="60">
        <f>Inc!B294</f>
        <v>124400</v>
      </c>
      <c r="BX13" s="60">
        <f>Inc!B334</f>
        <v>177900</v>
      </c>
      <c r="BY13" s="60">
        <f>Inc!B374</f>
        <v>621400</v>
      </c>
      <c r="CA13" s="60">
        <f t="shared" si="6"/>
        <v>1428</v>
      </c>
      <c r="CB13" s="60">
        <f t="shared" si="6"/>
        <v>4785.3999999999996</v>
      </c>
      <c r="CC13" s="60">
        <f t="shared" si="6"/>
        <v>9682.4000000000015</v>
      </c>
      <c r="CD13" s="60">
        <f t="shared" si="6"/>
        <v>15878.800000000003</v>
      </c>
      <c r="CE13" s="60">
        <f t="shared" si="6"/>
        <v>23014.400000000005</v>
      </c>
      <c r="CF13" s="60">
        <f t="shared" si="6"/>
        <v>30353.599999999999</v>
      </c>
      <c r="CG13" s="60">
        <f t="shared" si="6"/>
        <v>45364.5</v>
      </c>
      <c r="CH13" s="60">
        <f t="shared" si="6"/>
        <v>184555.8</v>
      </c>
      <c r="CJ13" s="153">
        <f t="shared" si="15"/>
        <v>23669.1</v>
      </c>
      <c r="CK13" s="153">
        <f t="shared" si="7"/>
        <v>82189.244999999995</v>
      </c>
      <c r="CL13" s="153">
        <f t="shared" si="7"/>
        <v>158549.30000000002</v>
      </c>
      <c r="CM13" s="153">
        <f t="shared" si="7"/>
        <v>264778.99000000005</v>
      </c>
      <c r="CN13" s="153">
        <f t="shared" si="7"/>
        <v>202526.72000000006</v>
      </c>
      <c r="CO13" s="153">
        <f t="shared" si="7"/>
        <v>139626.55999999997</v>
      </c>
      <c r="CP13" s="153">
        <f t="shared" si="7"/>
        <v>167848.65</v>
      </c>
      <c r="CQ13" s="153">
        <f t="shared" si="7"/>
        <v>166100.22</v>
      </c>
      <c r="CR13" s="153">
        <f t="shared" si="16"/>
        <v>1205288.7850000001</v>
      </c>
      <c r="CT13" s="403">
        <v>229.4</v>
      </c>
      <c r="CU13" s="276">
        <f>Dem!B54+(DD13/4)</f>
        <v>16.574999999999999</v>
      </c>
      <c r="CV13" s="276">
        <f>Dem!B94+(DD13/4)</f>
        <v>17.175000000000001</v>
      </c>
      <c r="CW13" s="276">
        <f>Dem!B134+(DD13/4)</f>
        <v>16.375</v>
      </c>
      <c r="CX13" s="276">
        <f>Dem!B174+(DD13/4)</f>
        <v>16.675000000000001</v>
      </c>
      <c r="CY13" s="276">
        <f>Dem!B254</f>
        <v>8.8000000000000007</v>
      </c>
      <c r="CZ13" s="276">
        <f>Dem!B294</f>
        <v>4.5999999999999996</v>
      </c>
      <c r="DA13" s="276">
        <f>Dem!B334</f>
        <v>3.7</v>
      </c>
      <c r="DB13" s="276">
        <f>Dem!B374</f>
        <v>0.9</v>
      </c>
      <c r="DC13" s="275">
        <v>85.8</v>
      </c>
      <c r="DD13" s="46">
        <v>-0.5</v>
      </c>
      <c r="DE13" s="275"/>
      <c r="DF13" s="276">
        <f>Dem!$D54+(DO13/4)</f>
        <v>43.800000000000004</v>
      </c>
      <c r="DG13" s="276">
        <f>Dem!$D94+(DO13/4)</f>
        <v>45.5</v>
      </c>
      <c r="DH13" s="276">
        <f>Dem!$D134+(DO13/4)</f>
        <v>45.5</v>
      </c>
      <c r="DI13" s="276">
        <f>Dem!$D174+(DO13/4)</f>
        <v>45.5</v>
      </c>
      <c r="DJ13" s="275">
        <f>Dem!$D254</f>
        <v>22.9</v>
      </c>
      <c r="DK13" s="275">
        <f>Dem!$D294</f>
        <v>11.5</v>
      </c>
      <c r="DL13" s="275">
        <f>Dem!$D334</f>
        <v>9.1999999999999993</v>
      </c>
      <c r="DM13" s="275">
        <f>Dem!$D374</f>
        <v>2.2999999999999998</v>
      </c>
      <c r="DN13" s="276">
        <f t="shared" si="17"/>
        <v>229.4</v>
      </c>
      <c r="DO13" s="44">
        <v>-1.5999999999999943</v>
      </c>
    </row>
    <row r="14" spans="1:119">
      <c r="A14" s="46">
        <f t="shared" si="18"/>
        <v>1984</v>
      </c>
      <c r="B14" s="141">
        <f t="shared" si="8"/>
        <v>0.11730090533922904</v>
      </c>
      <c r="C14" s="46"/>
      <c r="D14" s="141">
        <f t="shared" si="9"/>
        <v>0.58155055777219833</v>
      </c>
      <c r="E14" s="141">
        <f t="shared" si="10"/>
        <v>0.46424965243296928</v>
      </c>
      <c r="F14" s="46"/>
      <c r="G14" s="157">
        <f t="shared" si="11"/>
        <v>3.5672372841631439E-2</v>
      </c>
      <c r="H14" s="157">
        <f t="shared" si="1"/>
        <v>6.1750363153577674E-2</v>
      </c>
      <c r="I14" s="157">
        <f t="shared" si="1"/>
        <v>7.5404875125736667E-2</v>
      </c>
      <c r="J14" s="157">
        <f t="shared" si="1"/>
        <v>7.1954941595301899E-2</v>
      </c>
      <c r="K14" s="157">
        <f t="shared" si="1"/>
        <v>2.927727864016675E-2</v>
      </c>
      <c r="L14" s="157">
        <f t="shared" si="1"/>
        <v>1.1490263539350587E-2</v>
      </c>
      <c r="M14" s="157">
        <f t="shared" si="1"/>
        <v>5.2251839903340973E-3</v>
      </c>
      <c r="N14" s="157">
        <f t="shared" si="1"/>
        <v>0</v>
      </c>
      <c r="O14" s="46"/>
      <c r="P14" s="154">
        <f t="shared" si="19"/>
        <v>2.1638135791842802E-2</v>
      </c>
      <c r="Q14" s="154">
        <f t="shared" si="20"/>
        <v>9.1248184232111645E-2</v>
      </c>
      <c r="R14" s="154">
        <f t="shared" si="20"/>
        <v>0.22297562437131679</v>
      </c>
      <c r="S14" s="154">
        <f t="shared" si="20"/>
        <v>0.44022529202349053</v>
      </c>
      <c r="T14" s="154">
        <f t="shared" si="20"/>
        <v>0.60722721359833254</v>
      </c>
      <c r="U14" s="154">
        <f t="shared" si="20"/>
        <v>0.72019472921298833</v>
      </c>
      <c r="V14" s="154">
        <f t="shared" si="20"/>
        <v>0.85937040024164768</v>
      </c>
      <c r="W14" s="162">
        <f t="shared" si="21"/>
        <v>1</v>
      </c>
      <c r="X14" s="154"/>
      <c r="Y14" s="142">
        <f t="shared" si="22"/>
        <v>3.145978152929494E-2</v>
      </c>
      <c r="Z14" s="142">
        <f t="shared" si="12"/>
        <v>5.0804369414101297E-2</v>
      </c>
      <c r="AA14" s="142">
        <f t="shared" si="12"/>
        <v>5.9821251241310838E-2</v>
      </c>
      <c r="AB14" s="142">
        <f t="shared" si="12"/>
        <v>5.5332671300893747E-2</v>
      </c>
      <c r="AC14" s="142">
        <f t="shared" si="12"/>
        <v>2.2274081429990069E-2</v>
      </c>
      <c r="AD14" s="142">
        <f t="shared" si="12"/>
        <v>8.622144985104269E-3</v>
      </c>
      <c r="AE14" s="142">
        <f t="shared" si="12"/>
        <v>3.810526315789473E-3</v>
      </c>
      <c r="AF14" s="142">
        <f t="shared" si="12"/>
        <v>0</v>
      </c>
      <c r="AH14" s="158">
        <f t="shared" si="13"/>
        <v>4.270109235352533E-2</v>
      </c>
      <c r="AI14" s="158">
        <f t="shared" si="14"/>
        <v>0.14597815292949357</v>
      </c>
      <c r="AJ14" s="158">
        <f t="shared" si="14"/>
        <v>0.30089374379344591</v>
      </c>
      <c r="AK14" s="158">
        <f t="shared" si="14"/>
        <v>0.52333664349553133</v>
      </c>
      <c r="AL14" s="158">
        <f t="shared" si="14"/>
        <v>0.67725918570009935</v>
      </c>
      <c r="AM14" s="158">
        <f t="shared" si="14"/>
        <v>0.77755710029791469</v>
      </c>
      <c r="AN14" s="158">
        <f t="shared" si="14"/>
        <v>0.89473684210526327</v>
      </c>
      <c r="AO14" s="158">
        <v>1</v>
      </c>
      <c r="AP14" s="143"/>
      <c r="AQ14" s="143">
        <f t="shared" si="5"/>
        <v>2.1638135791842802E-2</v>
      </c>
      <c r="AR14" s="143">
        <f t="shared" si="5"/>
        <v>6.9610048440268843E-2</v>
      </c>
      <c r="AS14" s="143">
        <f t="shared" si="5"/>
        <v>0.13172744013920515</v>
      </c>
      <c r="AT14" s="143">
        <f t="shared" si="5"/>
        <v>0.21724966765217374</v>
      </c>
      <c r="AU14" s="143">
        <f t="shared" si="5"/>
        <v>0.167001921574842</v>
      </c>
      <c r="AV14" s="143">
        <f t="shared" si="5"/>
        <v>0.11296751561465575</v>
      </c>
      <c r="AW14" s="143">
        <f t="shared" si="5"/>
        <v>0.13917567102865933</v>
      </c>
      <c r="AX14" s="143">
        <f t="shared" si="5"/>
        <v>0.14062959975835235</v>
      </c>
      <c r="AY14" s="46"/>
      <c r="AZ14" s="152">
        <f>Shares!D55</f>
        <v>4.3</v>
      </c>
      <c r="BA14" s="152">
        <f>Shares!E55</f>
        <v>10.4</v>
      </c>
      <c r="BB14" s="152">
        <f>Shares!F55</f>
        <v>15.6</v>
      </c>
      <c r="BC14" s="152">
        <f>Shares!G55</f>
        <v>22.4</v>
      </c>
      <c r="BD14" s="152">
        <f>Shares!J55</f>
        <v>15.5</v>
      </c>
      <c r="BE14" s="152">
        <f>Shares!K55</f>
        <v>10.1</v>
      </c>
      <c r="BF14" s="152">
        <f>Shares!L55</f>
        <v>11.8</v>
      </c>
      <c r="BG14" s="152">
        <f>Shares!M55</f>
        <v>10.6</v>
      </c>
      <c r="BI14" s="246">
        <f>TxRt!B58-TxRt!C58+TxRt!C$53</f>
        <v>11.1</v>
      </c>
      <c r="BJ14" s="246">
        <f>TxRt!B101-TxRt!C101+TxRt!C$96</f>
        <v>14.9</v>
      </c>
      <c r="BK14" s="246">
        <f>TxRt!B141-TxRt!C141+TxRt!C$136</f>
        <v>18.8</v>
      </c>
      <c r="BL14" s="246">
        <f>TxRt!B181-TxRt!C181+TxRt!C$176</f>
        <v>21.6</v>
      </c>
      <c r="BM14" s="246">
        <f>TxRt!B261-TxRt!C261+TxRt!C$256</f>
        <v>23.700000000000003</v>
      </c>
      <c r="BN14" s="246">
        <f>TxRt!B301-TxRt!C301+TxRt!C$296</f>
        <v>24.799999999999997</v>
      </c>
      <c r="BO14" s="246">
        <f>TxRt!B341-TxRt!C341+TxRt!C$336</f>
        <v>25.8</v>
      </c>
      <c r="BP14" s="246">
        <f>TxRt!B381-TxRt!C381+TxRt!C$376</f>
        <v>30.1</v>
      </c>
      <c r="BQ14" s="46"/>
      <c r="BR14" s="60">
        <f>Inc!B55</f>
        <v>14600</v>
      </c>
      <c r="BS14" s="60">
        <f>Inc!B95</f>
        <v>35800</v>
      </c>
      <c r="BT14" s="60">
        <f>Inc!B135</f>
        <v>56300</v>
      </c>
      <c r="BU14" s="60">
        <f>Inc!B175</f>
        <v>78900</v>
      </c>
      <c r="BV14" s="60">
        <f>Inc!B255</f>
        <v>106000</v>
      </c>
      <c r="BW14" s="60">
        <f>Inc!B295</f>
        <v>134000</v>
      </c>
      <c r="BX14" s="60">
        <f>Inc!B335</f>
        <v>193000</v>
      </c>
      <c r="BY14" s="60">
        <f>Inc!B375</f>
        <v>687200</v>
      </c>
      <c r="CA14" s="60">
        <f t="shared" si="6"/>
        <v>1620.6</v>
      </c>
      <c r="CB14" s="60">
        <f t="shared" si="6"/>
        <v>5334.2</v>
      </c>
      <c r="CC14" s="60">
        <f t="shared" si="6"/>
        <v>10584.4</v>
      </c>
      <c r="CD14" s="60">
        <f t="shared" si="6"/>
        <v>17042.400000000001</v>
      </c>
      <c r="CE14" s="60">
        <f t="shared" si="6"/>
        <v>25122.000000000004</v>
      </c>
      <c r="CF14" s="60">
        <f t="shared" si="6"/>
        <v>33231.999999999993</v>
      </c>
      <c r="CG14" s="60">
        <f t="shared" si="6"/>
        <v>49794</v>
      </c>
      <c r="CH14" s="60">
        <f t="shared" si="6"/>
        <v>206847.2</v>
      </c>
      <c r="CJ14" s="153">
        <f t="shared" si="15"/>
        <v>28644.105000000007</v>
      </c>
      <c r="CK14" s="153">
        <f t="shared" si="7"/>
        <v>92148.305000000008</v>
      </c>
      <c r="CL14" s="153">
        <f t="shared" si="7"/>
        <v>174377.99000000005</v>
      </c>
      <c r="CM14" s="153">
        <f t="shared" si="7"/>
        <v>287590.50000000006</v>
      </c>
      <c r="CN14" s="153">
        <f t="shared" si="7"/>
        <v>221073.60000000006</v>
      </c>
      <c r="CO14" s="153">
        <f t="shared" si="7"/>
        <v>149543.99999999997</v>
      </c>
      <c r="CP14" s="153">
        <f t="shared" si="7"/>
        <v>184237.80000000002</v>
      </c>
      <c r="CQ14" s="153">
        <f t="shared" si="7"/>
        <v>186162.48</v>
      </c>
      <c r="CR14" s="153">
        <f t="shared" si="16"/>
        <v>1323778.7800000003</v>
      </c>
      <c r="CT14" s="403">
        <v>231.3</v>
      </c>
      <c r="CU14" s="276">
        <f>Dem!B55+(DD14/4)</f>
        <v>17.675000000000004</v>
      </c>
      <c r="CV14" s="276">
        <f>Dem!B95+(DD14/4)</f>
        <v>17.275000000000002</v>
      </c>
      <c r="CW14" s="276">
        <f>Dem!B135+(DD14/4)</f>
        <v>16.475000000000005</v>
      </c>
      <c r="CX14" s="276">
        <f>Dem!B175+(DD14/4)</f>
        <v>16.875000000000004</v>
      </c>
      <c r="CY14" s="276">
        <f>Dem!B255</f>
        <v>8.8000000000000007</v>
      </c>
      <c r="CZ14" s="276">
        <f>Dem!B295</f>
        <v>4.5</v>
      </c>
      <c r="DA14" s="276">
        <f>Dem!B335</f>
        <v>3.7</v>
      </c>
      <c r="DB14" s="276">
        <f>Dem!B375</f>
        <v>0.9</v>
      </c>
      <c r="DC14" s="275">
        <v>87.2</v>
      </c>
      <c r="DD14" s="46">
        <v>-0.49999999999998579</v>
      </c>
      <c r="DE14" s="275"/>
      <c r="DF14" s="276">
        <f>Dem!$D55+(DO14/4)</f>
        <v>44.20000000000001</v>
      </c>
      <c r="DG14" s="276">
        <f>Dem!$D95+(DO14/4)</f>
        <v>45.800000000000011</v>
      </c>
      <c r="DH14" s="276">
        <f>Dem!$D135+(DO14/4)</f>
        <v>45.900000000000006</v>
      </c>
      <c r="DI14" s="276">
        <f>Dem!$D175+(DO14/4)</f>
        <v>45.900000000000006</v>
      </c>
      <c r="DJ14" s="275">
        <f>Dem!$D255</f>
        <v>23.1</v>
      </c>
      <c r="DK14" s="275">
        <f>Dem!$D295</f>
        <v>11.6</v>
      </c>
      <c r="DL14" s="275">
        <f>Dem!$D335</f>
        <v>9.3000000000000007</v>
      </c>
      <c r="DM14" s="275">
        <f>Dem!$D375</f>
        <v>2.2999999999999998</v>
      </c>
      <c r="DN14" s="276">
        <f t="shared" si="17"/>
        <v>231.3</v>
      </c>
      <c r="DO14" s="44">
        <v>-1.5999999999999659</v>
      </c>
    </row>
    <row r="15" spans="1:119">
      <c r="A15" s="46">
        <f t="shared" si="18"/>
        <v>1985</v>
      </c>
      <c r="B15" s="141">
        <f t="shared" si="8"/>
        <v>0.11852525864845886</v>
      </c>
      <c r="C15" s="46"/>
      <c r="D15" s="141">
        <f t="shared" si="9"/>
        <v>0.59375905586515876</v>
      </c>
      <c r="E15" s="141">
        <f t="shared" si="10"/>
        <v>0.47523379721669989</v>
      </c>
      <c r="F15" s="46"/>
      <c r="G15" s="157">
        <f t="shared" si="11"/>
        <v>3.598169104302873E-2</v>
      </c>
      <c r="H15" s="157">
        <f t="shared" si="1"/>
        <v>6.2362772823846724E-2</v>
      </c>
      <c r="I15" s="157">
        <f t="shared" si="1"/>
        <v>7.6303088768684774E-2</v>
      </c>
      <c r="J15" s="157">
        <f t="shared" si="1"/>
        <v>7.3794166704253636E-2</v>
      </c>
      <c r="K15" s="157">
        <f t="shared" si="1"/>
        <v>3.0457899703827219E-2</v>
      </c>
      <c r="L15" s="157">
        <f t="shared" si="1"/>
        <v>1.2142151279398118E-2</v>
      </c>
      <c r="M15" s="157">
        <f t="shared" si="1"/>
        <v>5.8377576095401864E-3</v>
      </c>
      <c r="N15" s="157">
        <f t="shared" si="1"/>
        <v>0</v>
      </c>
      <c r="O15" s="46"/>
      <c r="P15" s="154">
        <f t="shared" si="19"/>
        <v>2.009154478485636E-2</v>
      </c>
      <c r="Q15" s="154">
        <f t="shared" si="20"/>
        <v>8.8186135880766403E-2</v>
      </c>
      <c r="R15" s="154">
        <f t="shared" si="20"/>
        <v>0.21848455615657625</v>
      </c>
      <c r="S15" s="154">
        <f t="shared" si="20"/>
        <v>0.43102916647873191</v>
      </c>
      <c r="T15" s="154">
        <f t="shared" si="20"/>
        <v>0.59542100296172784</v>
      </c>
      <c r="U15" s="154">
        <f t="shared" si="20"/>
        <v>0.70715697441203773</v>
      </c>
      <c r="V15" s="154">
        <f t="shared" si="20"/>
        <v>0.84405605976149545</v>
      </c>
      <c r="W15" s="162">
        <f t="shared" si="21"/>
        <v>1</v>
      </c>
      <c r="X15" s="154"/>
      <c r="Y15" s="142">
        <f t="shared" si="22"/>
        <v>3.1848906560636187E-2</v>
      </c>
      <c r="Z15" s="142">
        <f t="shared" si="12"/>
        <v>5.1570576540755475E-2</v>
      </c>
      <c r="AA15" s="142">
        <f t="shared" si="12"/>
        <v>6.095427435387675E-2</v>
      </c>
      <c r="AB15" s="142">
        <f t="shared" si="12"/>
        <v>5.7017892644135197E-2</v>
      </c>
      <c r="AC15" s="142">
        <f t="shared" si="12"/>
        <v>2.3101391650099404E-2</v>
      </c>
      <c r="AD15" s="142">
        <f t="shared" si="12"/>
        <v>9.0308151093439377E-3</v>
      </c>
      <c r="AE15" s="142">
        <f t="shared" si="12"/>
        <v>4.0930417495029835E-3</v>
      </c>
      <c r="AF15" s="142">
        <f t="shared" si="12"/>
        <v>0</v>
      </c>
      <c r="AH15" s="158">
        <f t="shared" si="13"/>
        <v>4.0755467196819085E-2</v>
      </c>
      <c r="AI15" s="158">
        <f t="shared" si="14"/>
        <v>0.14214711729622267</v>
      </c>
      <c r="AJ15" s="158">
        <f t="shared" si="14"/>
        <v>0.29522862823061635</v>
      </c>
      <c r="AK15" s="158">
        <f t="shared" si="14"/>
        <v>0.51491053677932408</v>
      </c>
      <c r="AL15" s="158">
        <f t="shared" si="14"/>
        <v>0.66898608349900601</v>
      </c>
      <c r="AM15" s="158">
        <f t="shared" si="14"/>
        <v>0.76938369781312133</v>
      </c>
      <c r="AN15" s="158">
        <f t="shared" si="14"/>
        <v>0.88767395626242551</v>
      </c>
      <c r="AO15" s="158">
        <v>1</v>
      </c>
      <c r="AP15" s="143"/>
      <c r="AQ15" s="143">
        <f t="shared" si="5"/>
        <v>2.009154478485636E-2</v>
      </c>
      <c r="AR15" s="143">
        <f t="shared" si="5"/>
        <v>6.809459109591004E-2</v>
      </c>
      <c r="AS15" s="143">
        <f t="shared" si="5"/>
        <v>0.13029842027580985</v>
      </c>
      <c r="AT15" s="143">
        <f t="shared" si="5"/>
        <v>0.21254461032215566</v>
      </c>
      <c r="AU15" s="143">
        <f t="shared" si="5"/>
        <v>0.16439183648299596</v>
      </c>
      <c r="AV15" s="143">
        <f t="shared" si="5"/>
        <v>0.11173597145030992</v>
      </c>
      <c r="AW15" s="143">
        <f t="shared" si="5"/>
        <v>0.13689908534945769</v>
      </c>
      <c r="AX15" s="143">
        <f t="shared" si="5"/>
        <v>0.1559439402385045</v>
      </c>
      <c r="AY15" s="46"/>
      <c r="AZ15" s="152">
        <f>Shares!D56</f>
        <v>4.0999999999999996</v>
      </c>
      <c r="BA15" s="152">
        <f>Shares!E56</f>
        <v>10.199999999999999</v>
      </c>
      <c r="BB15" s="152">
        <f>Shares!F56</f>
        <v>15.4</v>
      </c>
      <c r="BC15" s="152">
        <f>Shares!G56</f>
        <v>22.1</v>
      </c>
      <c r="BD15" s="152">
        <f>Shares!J56</f>
        <v>15.5</v>
      </c>
      <c r="BE15" s="152">
        <f>Shares!K56</f>
        <v>10.1</v>
      </c>
      <c r="BF15" s="152">
        <f>Shares!L56</f>
        <v>11.9</v>
      </c>
      <c r="BG15" s="152">
        <f>Shares!M56</f>
        <v>11.3</v>
      </c>
      <c r="BI15" s="246">
        <f>TxRt!B59-TxRt!C59+TxRt!C$53</f>
        <v>11.000000000000002</v>
      </c>
      <c r="BJ15" s="246">
        <f>TxRt!B102-TxRt!C102+TxRt!C$96</f>
        <v>15.1</v>
      </c>
      <c r="BK15" s="246">
        <f>TxRt!B142-TxRt!C142+TxRt!C$136</f>
        <v>19.100000000000001</v>
      </c>
      <c r="BL15" s="246">
        <f>TxRt!B182-TxRt!C182+TxRt!C$176</f>
        <v>21.799999999999997</v>
      </c>
      <c r="BM15" s="246">
        <f>TxRt!B262-TxRt!C262+TxRt!C$256</f>
        <v>23.8</v>
      </c>
      <c r="BN15" s="246">
        <f>TxRt!B302-TxRt!C302+TxRt!C$296</f>
        <v>24.9</v>
      </c>
      <c r="BO15" s="246">
        <f>TxRt!B342-TxRt!C342+TxRt!C$336</f>
        <v>25.800000000000004</v>
      </c>
      <c r="BP15" s="246">
        <f>TxRt!B382-TxRt!C382+TxRt!C$376</f>
        <v>29.6</v>
      </c>
      <c r="BQ15" s="46"/>
      <c r="BR15" s="60">
        <f>Inc!B56</f>
        <v>14500</v>
      </c>
      <c r="BS15" s="60">
        <f>Inc!B96</f>
        <v>35800</v>
      </c>
      <c r="BT15" s="60">
        <f>Inc!B136</f>
        <v>56400</v>
      </c>
      <c r="BU15" s="60">
        <f>Inc!B176</f>
        <v>79200</v>
      </c>
      <c r="BV15" s="60">
        <f>Inc!B256</f>
        <v>104900</v>
      </c>
      <c r="BW15" s="60">
        <f>Inc!B296</f>
        <v>133400</v>
      </c>
      <c r="BX15" s="60">
        <f>Inc!B336</f>
        <v>195100</v>
      </c>
      <c r="BY15" s="60">
        <f>Inc!B376</f>
        <v>736100</v>
      </c>
      <c r="CA15" s="60">
        <f t="shared" si="6"/>
        <v>1595.0000000000002</v>
      </c>
      <c r="CB15" s="60">
        <f t="shared" si="6"/>
        <v>5405.8</v>
      </c>
      <c r="CC15" s="60">
        <f t="shared" si="6"/>
        <v>10772.4</v>
      </c>
      <c r="CD15" s="60">
        <f t="shared" si="6"/>
        <v>17265.599999999999</v>
      </c>
      <c r="CE15" s="60">
        <f t="shared" si="6"/>
        <v>24966.2</v>
      </c>
      <c r="CF15" s="60">
        <f t="shared" si="6"/>
        <v>33216.6</v>
      </c>
      <c r="CG15" s="60">
        <f t="shared" si="6"/>
        <v>50335.80000000001</v>
      </c>
      <c r="CH15" s="60">
        <f t="shared" si="6"/>
        <v>217885.6</v>
      </c>
      <c r="CJ15" s="153">
        <f t="shared" si="15"/>
        <v>28072.000000000007</v>
      </c>
      <c r="CK15" s="153">
        <f t="shared" si="7"/>
        <v>95142.080000000016</v>
      </c>
      <c r="CL15" s="153">
        <f t="shared" si="7"/>
        <v>182053.56000000003</v>
      </c>
      <c r="CM15" s="153">
        <f t="shared" si="7"/>
        <v>296968.32000000001</v>
      </c>
      <c r="CN15" s="153">
        <f t="shared" si="7"/>
        <v>229689.03999999998</v>
      </c>
      <c r="CO15" s="153">
        <f t="shared" si="7"/>
        <v>156118.01999999999</v>
      </c>
      <c r="CP15" s="153">
        <f t="shared" si="7"/>
        <v>191276.04000000004</v>
      </c>
      <c r="CQ15" s="153">
        <f t="shared" si="7"/>
        <v>217885.6</v>
      </c>
      <c r="CR15" s="153">
        <f t="shared" si="16"/>
        <v>1397204.6600000001</v>
      </c>
      <c r="CT15" s="403">
        <v>234.6</v>
      </c>
      <c r="CU15" s="276">
        <f>Dem!B56+(DD15/4)</f>
        <v>17.600000000000001</v>
      </c>
      <c r="CV15" s="276">
        <f>Dem!B96+(DD15/4)</f>
        <v>17.600000000000001</v>
      </c>
      <c r="CW15" s="276">
        <f>Dem!B136+(DD15/4)</f>
        <v>16.900000000000002</v>
      </c>
      <c r="CX15" s="276">
        <f>Dem!B176+(DD15/4)</f>
        <v>17.200000000000003</v>
      </c>
      <c r="CY15" s="276">
        <f>Dem!B256</f>
        <v>9.1999999999999993</v>
      </c>
      <c r="CZ15" s="276">
        <f>Dem!B296</f>
        <v>4.7</v>
      </c>
      <c r="DA15" s="276">
        <f>Dem!B336</f>
        <v>3.8</v>
      </c>
      <c r="DB15" s="276">
        <f>Dem!B376</f>
        <v>1</v>
      </c>
      <c r="DC15" s="275">
        <v>88.8</v>
      </c>
      <c r="DD15" s="46">
        <v>-0.39999999999999147</v>
      </c>
      <c r="DE15" s="275"/>
      <c r="DF15" s="276">
        <f>Dem!$D56+(DO15/4)</f>
        <v>44.750000000000007</v>
      </c>
      <c r="DG15" s="276">
        <f>Dem!$D96+(DO15/4)</f>
        <v>46.45</v>
      </c>
      <c r="DH15" s="276">
        <f>Dem!$D136+(DO15/4)</f>
        <v>46.45</v>
      </c>
      <c r="DI15" s="276">
        <f>Dem!$D176+(DO15/4)</f>
        <v>46.45</v>
      </c>
      <c r="DJ15" s="275">
        <f>Dem!$D256</f>
        <v>23.5</v>
      </c>
      <c r="DK15" s="275">
        <f>Dem!$D296</f>
        <v>11.7</v>
      </c>
      <c r="DL15" s="275">
        <f>Dem!$D336</f>
        <v>9.4</v>
      </c>
      <c r="DM15" s="275">
        <f>Dem!$D376</f>
        <v>2.2999999999999998</v>
      </c>
      <c r="DN15" s="276">
        <f t="shared" si="17"/>
        <v>234.6</v>
      </c>
      <c r="DO15" s="44">
        <v>-1.7999999999999829</v>
      </c>
    </row>
    <row r="16" spans="1:119">
      <c r="A16" s="46">
        <f t="shared" si="18"/>
        <v>1986</v>
      </c>
      <c r="B16" s="141">
        <f t="shared" si="8"/>
        <v>0.11459706854280638</v>
      </c>
      <c r="C16" s="46"/>
      <c r="D16" s="141">
        <f t="shared" si="9"/>
        <v>0.61564910429255826</v>
      </c>
      <c r="E16" s="141">
        <f t="shared" si="10"/>
        <v>0.50105203574975188</v>
      </c>
      <c r="F16" s="46"/>
      <c r="G16" s="157">
        <f t="shared" si="11"/>
        <v>3.6227947718570901E-2</v>
      </c>
      <c r="H16" s="157">
        <f t="shared" si="1"/>
        <v>6.3292668583062026E-2</v>
      </c>
      <c r="I16" s="157">
        <f t="shared" si="1"/>
        <v>7.8243892141545243E-2</v>
      </c>
      <c r="J16" s="157">
        <f t="shared" si="1"/>
        <v>7.7048710970977749E-2</v>
      </c>
      <c r="K16" s="157">
        <f t="shared" si="1"/>
        <v>3.2702422800844289E-2</v>
      </c>
      <c r="L16" s="157">
        <f t="shared" si="1"/>
        <v>1.3411592122549405E-2</v>
      </c>
      <c r="M16" s="157">
        <f t="shared" si="1"/>
        <v>6.8973178087295348E-3</v>
      </c>
      <c r="N16" s="157">
        <f t="shared" si="1"/>
        <v>0</v>
      </c>
      <c r="O16" s="46"/>
      <c r="P16" s="154">
        <f t="shared" si="19"/>
        <v>1.8860261407145543E-2</v>
      </c>
      <c r="Q16" s="154">
        <f t="shared" si="20"/>
        <v>8.3536657084689867E-2</v>
      </c>
      <c r="R16" s="154">
        <f t="shared" si="20"/>
        <v>0.20878053929227391</v>
      </c>
      <c r="S16" s="154">
        <f t="shared" si="20"/>
        <v>0.41475644514511134</v>
      </c>
      <c r="T16" s="154">
        <f t="shared" si="20"/>
        <v>0.57297577199155714</v>
      </c>
      <c r="U16" s="154">
        <f t="shared" si="20"/>
        <v>0.68176815754901199</v>
      </c>
      <c r="V16" s="154">
        <f t="shared" si="20"/>
        <v>0.81756705478176173</v>
      </c>
      <c r="W16" s="162">
        <f t="shared" si="21"/>
        <v>1</v>
      </c>
      <c r="X16" s="154"/>
      <c r="Y16" s="142">
        <f t="shared" si="22"/>
        <v>3.2254220456802388E-2</v>
      </c>
      <c r="Z16" s="142">
        <f t="shared" si="12"/>
        <v>5.2989076464746779E-2</v>
      </c>
      <c r="AA16" s="142">
        <f t="shared" si="12"/>
        <v>6.3396226415094376E-2</v>
      </c>
      <c r="AB16" s="142">
        <f t="shared" si="12"/>
        <v>6.0893743793445899E-2</v>
      </c>
      <c r="AC16" s="142">
        <f t="shared" si="12"/>
        <v>2.5551142005958306E-2</v>
      </c>
      <c r="AD16" s="142">
        <f t="shared" si="12"/>
        <v>1.0359980139026821E-2</v>
      </c>
      <c r="AE16" s="142">
        <f t="shared" si="12"/>
        <v>5.0816285998013955E-3</v>
      </c>
      <c r="AF16" s="142">
        <f t="shared" si="12"/>
        <v>0</v>
      </c>
      <c r="AH16" s="158">
        <f t="shared" si="13"/>
        <v>3.872889771598808E-2</v>
      </c>
      <c r="AI16" s="158">
        <f t="shared" si="14"/>
        <v>0.13505461767626611</v>
      </c>
      <c r="AJ16" s="158">
        <f t="shared" si="14"/>
        <v>0.28301886792452824</v>
      </c>
      <c r="AK16" s="158">
        <f t="shared" si="14"/>
        <v>0.49553128103277055</v>
      </c>
      <c r="AL16" s="158">
        <f t="shared" si="14"/>
        <v>0.64448857994041697</v>
      </c>
      <c r="AM16" s="158">
        <f t="shared" si="14"/>
        <v>0.74280039721946367</v>
      </c>
      <c r="AN16" s="158">
        <f t="shared" si="14"/>
        <v>0.86295928500496522</v>
      </c>
      <c r="AO16" s="158">
        <v>1</v>
      </c>
      <c r="AP16" s="143"/>
      <c r="AQ16" s="143">
        <f t="shared" si="5"/>
        <v>1.8860261407145543E-2</v>
      </c>
      <c r="AR16" s="143">
        <f t="shared" si="5"/>
        <v>6.4676395677544324E-2</v>
      </c>
      <c r="AS16" s="143">
        <f t="shared" si="5"/>
        <v>0.12524388220758406</v>
      </c>
      <c r="AT16" s="143">
        <f t="shared" si="5"/>
        <v>0.20597590585283745</v>
      </c>
      <c r="AU16" s="143">
        <f t="shared" si="5"/>
        <v>0.15821932684644574</v>
      </c>
      <c r="AV16" s="143">
        <f t="shared" si="5"/>
        <v>0.10879238555745487</v>
      </c>
      <c r="AW16" s="143">
        <f t="shared" si="5"/>
        <v>0.13579889723274979</v>
      </c>
      <c r="AX16" s="143">
        <f t="shared" si="5"/>
        <v>0.18243294521823838</v>
      </c>
      <c r="AY16" s="46"/>
      <c r="AZ16" s="152">
        <f>Shares!D57</f>
        <v>3.9</v>
      </c>
      <c r="BA16" s="152">
        <f>Shares!E57</f>
        <v>9.6999999999999993</v>
      </c>
      <c r="BB16" s="152">
        <f>Shares!F57</f>
        <v>14.9</v>
      </c>
      <c r="BC16" s="152">
        <f>Shares!G57</f>
        <v>21.4</v>
      </c>
      <c r="BD16" s="152">
        <f>Shares!J57</f>
        <v>15</v>
      </c>
      <c r="BE16" s="152">
        <f>Shares!K57</f>
        <v>9.9</v>
      </c>
      <c r="BF16" s="152">
        <f>Shares!L57</f>
        <v>12.1</v>
      </c>
      <c r="BG16" s="152">
        <f>Shares!M57</f>
        <v>13.8</v>
      </c>
      <c r="BI16" s="246">
        <f>TxRt!B60-TxRt!C60+TxRt!C$53</f>
        <v>11.1</v>
      </c>
      <c r="BJ16" s="246">
        <f>TxRt!B103-TxRt!C103+TxRt!C$96</f>
        <v>15.1</v>
      </c>
      <c r="BK16" s="246">
        <f>TxRt!B143-TxRt!C143+TxRt!C$136</f>
        <v>19.100000000000001</v>
      </c>
      <c r="BL16" s="246">
        <f>TxRt!B183-TxRt!C183+TxRt!C$176</f>
        <v>21.9</v>
      </c>
      <c r="BM16" s="246">
        <f>TxRt!B263-TxRt!C263+TxRt!C$256</f>
        <v>24</v>
      </c>
      <c r="BN16" s="246">
        <f>TxRt!B303-TxRt!C303+TxRt!C$296</f>
        <v>25.099999999999998</v>
      </c>
      <c r="BO16" s="246">
        <f>TxRt!B343-TxRt!C343+TxRt!C$336</f>
        <v>25.5</v>
      </c>
      <c r="BP16" s="246">
        <f>TxRt!B383-TxRt!C383+TxRt!C$376</f>
        <v>28.7</v>
      </c>
      <c r="BQ16" s="46"/>
      <c r="BR16" s="60">
        <f>Inc!B57</f>
        <v>14400</v>
      </c>
      <c r="BS16" s="60">
        <f>Inc!B97</f>
        <v>36300</v>
      </c>
      <c r="BT16" s="60">
        <f>Inc!B137</f>
        <v>57500</v>
      </c>
      <c r="BU16" s="60">
        <f>Inc!B177</f>
        <v>82000</v>
      </c>
      <c r="BV16" s="60">
        <f>Inc!B257</f>
        <v>109900</v>
      </c>
      <c r="BW16" s="60">
        <f>Inc!B297</f>
        <v>139900</v>
      </c>
      <c r="BX16" s="60">
        <f>Inc!B337</f>
        <v>212600</v>
      </c>
      <c r="BY16" s="60">
        <f>Inc!B377</f>
        <v>964300</v>
      </c>
      <c r="CA16" s="60">
        <f t="shared" si="6"/>
        <v>1598.4</v>
      </c>
      <c r="CB16" s="60">
        <f t="shared" si="6"/>
        <v>5481.3</v>
      </c>
      <c r="CC16" s="60">
        <f t="shared" si="6"/>
        <v>10982.5</v>
      </c>
      <c r="CD16" s="60">
        <f t="shared" si="6"/>
        <v>17957.999999999996</v>
      </c>
      <c r="CE16" s="60">
        <f t="shared" si="6"/>
        <v>26376</v>
      </c>
      <c r="CF16" s="60">
        <f t="shared" si="6"/>
        <v>35114.899999999994</v>
      </c>
      <c r="CG16" s="60">
        <f t="shared" si="6"/>
        <v>54213</v>
      </c>
      <c r="CH16" s="60">
        <f t="shared" si="6"/>
        <v>276754.09999999998</v>
      </c>
      <c r="CJ16" s="153">
        <f t="shared" si="15"/>
        <v>28611.360000000001</v>
      </c>
      <c r="CK16" s="153">
        <f t="shared" si="7"/>
        <v>98115.26999999999</v>
      </c>
      <c r="CL16" s="153">
        <f t="shared" si="7"/>
        <v>189997.24999999997</v>
      </c>
      <c r="CM16" s="153">
        <f t="shared" si="7"/>
        <v>312469.1999999999</v>
      </c>
      <c r="CN16" s="153">
        <f t="shared" si="7"/>
        <v>240021.59999999998</v>
      </c>
      <c r="CO16" s="153">
        <f t="shared" si="7"/>
        <v>165040.02999999997</v>
      </c>
      <c r="CP16" s="153">
        <f t="shared" si="7"/>
        <v>206009.4</v>
      </c>
      <c r="CQ16" s="153">
        <f t="shared" si="7"/>
        <v>276754.09999999998</v>
      </c>
      <c r="CR16" s="153">
        <f t="shared" si="16"/>
        <v>1517018.2099999995</v>
      </c>
      <c r="CT16" s="403">
        <v>237.1</v>
      </c>
      <c r="CU16" s="276">
        <f>Dem!B57+(DD16/4)</f>
        <v>17.899999999999999</v>
      </c>
      <c r="CV16" s="276">
        <f>Dem!B97+(DD16/4)</f>
        <v>17.899999999999999</v>
      </c>
      <c r="CW16" s="276">
        <f>Dem!B137+(DD16/4)</f>
        <v>17.299999999999997</v>
      </c>
      <c r="CX16" s="276">
        <f>Dem!B177+(DD16/4)</f>
        <v>17.399999999999999</v>
      </c>
      <c r="CY16" s="276">
        <f>Dem!B257</f>
        <v>9.1</v>
      </c>
      <c r="CZ16" s="276">
        <f>Dem!B297</f>
        <v>4.7</v>
      </c>
      <c r="DA16" s="276">
        <f>Dem!B337</f>
        <v>3.8</v>
      </c>
      <c r="DB16" s="276">
        <f>Dem!B377</f>
        <v>1</v>
      </c>
      <c r="DC16" s="275">
        <v>89.9</v>
      </c>
      <c r="DD16" s="46">
        <v>-0.40000000000000568</v>
      </c>
      <c r="DE16" s="275"/>
      <c r="DF16" s="276">
        <f>Dem!$D57+(DO16/4)</f>
        <v>45.775000000000006</v>
      </c>
      <c r="DG16" s="276">
        <f>Dem!$D97+(DO16/4)</f>
        <v>47.075000000000003</v>
      </c>
      <c r="DH16" s="276">
        <f>Dem!$D137+(DO16/4)</f>
        <v>47.075000000000003</v>
      </c>
      <c r="DI16" s="276">
        <f>Dem!$D177+(DO16/4)</f>
        <v>47.075000000000003</v>
      </c>
      <c r="DJ16" s="275">
        <f>Dem!$D257</f>
        <v>23.7</v>
      </c>
      <c r="DK16" s="275">
        <f>Dem!$D297</f>
        <v>11.9</v>
      </c>
      <c r="DL16" s="275">
        <f>Dem!$D337</f>
        <v>9.5</v>
      </c>
      <c r="DM16" s="275">
        <f>Dem!$D377</f>
        <v>2.4</v>
      </c>
      <c r="DN16" s="276">
        <f t="shared" si="17"/>
        <v>237.1</v>
      </c>
      <c r="DO16" s="44">
        <v>-1.2999999999999829</v>
      </c>
    </row>
    <row r="17" spans="1:119">
      <c r="A17" s="46">
        <f t="shared" si="18"/>
        <v>1987</v>
      </c>
      <c r="B17" s="141">
        <f t="shared" si="8"/>
        <v>0.1120995718654535</v>
      </c>
      <c r="C17" s="46"/>
      <c r="D17" s="141">
        <f t="shared" si="9"/>
        <v>0.59301909614692039</v>
      </c>
      <c r="E17" s="141">
        <f t="shared" si="10"/>
        <v>0.48091952428146689</v>
      </c>
      <c r="F17" s="46"/>
      <c r="G17" s="157">
        <f t="shared" si="11"/>
        <v>3.6396330827056116E-2</v>
      </c>
      <c r="H17" s="157">
        <f t="shared" si="1"/>
        <v>6.3137814371419521E-2</v>
      </c>
      <c r="I17" s="157">
        <f t="shared" si="1"/>
        <v>7.6823871499792959E-2</v>
      </c>
      <c r="J17" s="157">
        <f t="shared" si="1"/>
        <v>7.3246893729139992E-2</v>
      </c>
      <c r="K17" s="157">
        <f t="shared" si="1"/>
        <v>2.9886134505911689E-2</v>
      </c>
      <c r="L17" s="157">
        <f t="shared" si="1"/>
        <v>1.1724296339027952E-2</v>
      </c>
      <c r="M17" s="157">
        <f t="shared" si="1"/>
        <v>5.2942068011119095E-3</v>
      </c>
      <c r="N17" s="157">
        <f t="shared" si="1"/>
        <v>0</v>
      </c>
      <c r="O17" s="46"/>
      <c r="P17" s="154">
        <f t="shared" si="19"/>
        <v>1.8018345864719423E-2</v>
      </c>
      <c r="Q17" s="154">
        <f t="shared" si="20"/>
        <v>8.4310928142902447E-2</v>
      </c>
      <c r="R17" s="154">
        <f t="shared" si="20"/>
        <v>0.21588064250103534</v>
      </c>
      <c r="S17" s="154">
        <f t="shared" si="20"/>
        <v>0.43376553135430007</v>
      </c>
      <c r="T17" s="154">
        <f t="shared" si="20"/>
        <v>0.60113865494088314</v>
      </c>
      <c r="U17" s="154">
        <f t="shared" si="20"/>
        <v>0.71551407321944105</v>
      </c>
      <c r="V17" s="154">
        <f t="shared" si="20"/>
        <v>0.85764482997220237</v>
      </c>
      <c r="W17" s="162">
        <f t="shared" si="21"/>
        <v>1</v>
      </c>
      <c r="X17" s="154"/>
      <c r="Y17" s="142">
        <f t="shared" si="22"/>
        <v>3.2666005946481669E-2</v>
      </c>
      <c r="Z17" s="142">
        <f t="shared" si="12"/>
        <v>5.2646184340931629E-2</v>
      </c>
      <c r="AA17" s="142">
        <f t="shared" si="12"/>
        <v>6.1724479682854327E-2</v>
      </c>
      <c r="AB17" s="142">
        <f t="shared" si="12"/>
        <v>5.732408325074332E-2</v>
      </c>
      <c r="AC17" s="142">
        <f t="shared" si="12"/>
        <v>2.3102081268582753E-2</v>
      </c>
      <c r="AD17" s="142">
        <f t="shared" si="12"/>
        <v>8.9965312190287416E-3</v>
      </c>
      <c r="AE17" s="142">
        <f t="shared" si="12"/>
        <v>4.0003964321110039E-3</v>
      </c>
      <c r="AF17" s="142">
        <f t="shared" si="12"/>
        <v>0</v>
      </c>
      <c r="AH17" s="158">
        <f t="shared" si="13"/>
        <v>3.6669970267591681E-2</v>
      </c>
      <c r="AI17" s="158">
        <f t="shared" si="14"/>
        <v>0.13676907829534193</v>
      </c>
      <c r="AJ17" s="158">
        <f t="shared" si="14"/>
        <v>0.29137760158572845</v>
      </c>
      <c r="AK17" s="158">
        <f t="shared" si="14"/>
        <v>0.51337958374628345</v>
      </c>
      <c r="AL17" s="158">
        <f t="shared" si="14"/>
        <v>0.6689791873141725</v>
      </c>
      <c r="AM17" s="158">
        <f t="shared" si="14"/>
        <v>0.77006937561942523</v>
      </c>
      <c r="AN17" s="158">
        <f t="shared" si="14"/>
        <v>0.889990089197225</v>
      </c>
      <c r="AO17" s="158">
        <v>1</v>
      </c>
      <c r="AP17" s="143"/>
      <c r="AQ17" s="143">
        <f t="shared" si="5"/>
        <v>1.8018345864719426E-2</v>
      </c>
      <c r="AR17" s="143">
        <f t="shared" si="5"/>
        <v>6.6292582278183035E-2</v>
      </c>
      <c r="AS17" s="143">
        <f t="shared" si="5"/>
        <v>0.13156971435813292</v>
      </c>
      <c r="AT17" s="143">
        <f t="shared" si="5"/>
        <v>0.21788488885326476</v>
      </c>
      <c r="AU17" s="143">
        <f t="shared" si="5"/>
        <v>0.16737312358658307</v>
      </c>
      <c r="AV17" s="143">
        <f t="shared" si="5"/>
        <v>0.11437541827855797</v>
      </c>
      <c r="AW17" s="143">
        <f t="shared" si="5"/>
        <v>0.14213075675276138</v>
      </c>
      <c r="AX17" s="143">
        <f t="shared" si="5"/>
        <v>0.14235517002779755</v>
      </c>
      <c r="AY17" s="46"/>
      <c r="AZ17" s="152">
        <f>Shares!D58</f>
        <v>3.7</v>
      </c>
      <c r="BA17" s="152">
        <f>Shares!E58</f>
        <v>10.1</v>
      </c>
      <c r="BB17" s="152">
        <f>Shares!F58</f>
        <v>15.6</v>
      </c>
      <c r="BC17" s="152">
        <f>Shares!G58</f>
        <v>22.4</v>
      </c>
      <c r="BD17" s="152">
        <f>Shares!J58</f>
        <v>15.7</v>
      </c>
      <c r="BE17" s="152">
        <f>Shares!K58</f>
        <v>10.199999999999999</v>
      </c>
      <c r="BF17" s="152">
        <f>Shares!L58</f>
        <v>12.1</v>
      </c>
      <c r="BG17" s="152">
        <f>Shares!M58</f>
        <v>11.1</v>
      </c>
      <c r="BI17" s="246">
        <f>TxRt!B61-TxRt!C61+TxRt!C$53</f>
        <v>11.2</v>
      </c>
      <c r="BJ17" s="246">
        <f>TxRt!B104-TxRt!C104+TxRt!C$96</f>
        <v>15.200000000000001</v>
      </c>
      <c r="BK17" s="246">
        <f>TxRt!B144-TxRt!C144+TxRt!C$136</f>
        <v>19.399999999999999</v>
      </c>
      <c r="BL17" s="246">
        <f>TxRt!B184-TxRt!C184+TxRt!C$176</f>
        <v>22.4</v>
      </c>
      <c r="BM17" s="246">
        <f>TxRt!B264-TxRt!C264+TxRt!C$256</f>
        <v>24.5</v>
      </c>
      <c r="BN17" s="246">
        <f>TxRt!B304-TxRt!C304+TxRt!C$296</f>
        <v>25.799999999999997</v>
      </c>
      <c r="BO17" s="246">
        <f>TxRt!B344-TxRt!C344+TxRt!C$336</f>
        <v>26.799999999999997</v>
      </c>
      <c r="BP17" s="246">
        <f>TxRt!B384-TxRt!C384+TxRt!C$376</f>
        <v>30.900000000000002</v>
      </c>
      <c r="BQ17" s="46"/>
      <c r="BR17" s="60">
        <f>Inc!B58</f>
        <v>13800</v>
      </c>
      <c r="BS17" s="60">
        <f>Inc!B98</f>
        <v>35400</v>
      </c>
      <c r="BT17" s="60">
        <f>Inc!B138</f>
        <v>57200</v>
      </c>
      <c r="BU17" s="60">
        <f>Inc!B178</f>
        <v>82500</v>
      </c>
      <c r="BV17" s="60">
        <f>Inc!B258</f>
        <v>110900</v>
      </c>
      <c r="BW17" s="60">
        <f>Inc!B298</f>
        <v>142400</v>
      </c>
      <c r="BX17" s="60">
        <f>Inc!B338</f>
        <v>210700</v>
      </c>
      <c r="BY17" s="60">
        <f>Inc!B378</f>
        <v>772800</v>
      </c>
      <c r="CA17" s="60">
        <f t="shared" si="6"/>
        <v>1545.6</v>
      </c>
      <c r="CB17" s="60">
        <f t="shared" si="6"/>
        <v>5380.8</v>
      </c>
      <c r="CC17" s="60">
        <f t="shared" si="6"/>
        <v>11096.8</v>
      </c>
      <c r="CD17" s="60">
        <f t="shared" si="6"/>
        <v>18479.999999999996</v>
      </c>
      <c r="CE17" s="60">
        <f t="shared" si="6"/>
        <v>27170.5</v>
      </c>
      <c r="CF17" s="60">
        <f t="shared" si="6"/>
        <v>36739.199999999997</v>
      </c>
      <c r="CG17" s="60">
        <f t="shared" si="6"/>
        <v>56467.599999999991</v>
      </c>
      <c r="CH17" s="60">
        <f t="shared" si="6"/>
        <v>238795.2</v>
      </c>
      <c r="CJ17" s="153">
        <f t="shared" si="15"/>
        <v>27202.559999999994</v>
      </c>
      <c r="CK17" s="153">
        <f t="shared" si="7"/>
        <v>100082.87999999999</v>
      </c>
      <c r="CL17" s="153">
        <f t="shared" si="7"/>
        <v>198632.71999999997</v>
      </c>
      <c r="CM17" s="153">
        <f t="shared" si="7"/>
        <v>328943.99999999988</v>
      </c>
      <c r="CN17" s="153">
        <f t="shared" si="7"/>
        <v>252685.65000000002</v>
      </c>
      <c r="CO17" s="153">
        <f t="shared" si="7"/>
        <v>172674.24</v>
      </c>
      <c r="CP17" s="153">
        <f t="shared" si="7"/>
        <v>214576.87999999995</v>
      </c>
      <c r="CQ17" s="153">
        <f t="shared" si="7"/>
        <v>214915.68000000002</v>
      </c>
      <c r="CR17" s="153">
        <f t="shared" si="16"/>
        <v>1509714.6099999996</v>
      </c>
      <c r="CT17" s="403">
        <v>239.8</v>
      </c>
      <c r="CU17" s="276">
        <f>Dem!B58+(DD17/4)</f>
        <v>17.599999999999998</v>
      </c>
      <c r="CV17" s="276">
        <f>Dem!B98+(DD17/4)</f>
        <v>18.599999999999998</v>
      </c>
      <c r="CW17" s="276">
        <f>Dem!B138+(DD17/4)</f>
        <v>17.899999999999999</v>
      </c>
      <c r="CX17" s="276">
        <f>Dem!B178+(DD17/4)</f>
        <v>17.799999999999997</v>
      </c>
      <c r="CY17" s="276">
        <f>Dem!B258</f>
        <v>9.3000000000000007</v>
      </c>
      <c r="CZ17" s="276">
        <f>Dem!B298</f>
        <v>4.7</v>
      </c>
      <c r="DA17" s="276">
        <f>Dem!B338</f>
        <v>3.8</v>
      </c>
      <c r="DB17" s="276">
        <f>Dem!B378</f>
        <v>0.9</v>
      </c>
      <c r="DC17" s="275">
        <v>91.4</v>
      </c>
      <c r="DD17" s="46">
        <v>-0.40000000000000568</v>
      </c>
      <c r="DE17" s="275"/>
      <c r="DF17" s="276">
        <f>Dem!$D58+(DO17/4)</f>
        <v>46.424999999999997</v>
      </c>
      <c r="DG17" s="276">
        <f>Dem!$D98+(DO17/4)</f>
        <v>47.724999999999994</v>
      </c>
      <c r="DH17" s="276">
        <f>Dem!$D138+(DO17/4)</f>
        <v>47.724999999999994</v>
      </c>
      <c r="DI17" s="276">
        <f>Dem!$D178+(DO17/4)</f>
        <v>47.724999999999994</v>
      </c>
      <c r="DJ17" s="275">
        <f>Dem!$D258</f>
        <v>24</v>
      </c>
      <c r="DK17" s="275">
        <f>Dem!$D298</f>
        <v>12</v>
      </c>
      <c r="DL17" s="275">
        <f>Dem!$D338</f>
        <v>9.6</v>
      </c>
      <c r="DM17" s="275">
        <f>Dem!$D378</f>
        <v>2.4</v>
      </c>
      <c r="DN17" s="276">
        <f t="shared" si="17"/>
        <v>239.8</v>
      </c>
      <c r="DO17" s="44">
        <v>-1.1000000000000227</v>
      </c>
    </row>
    <row r="18" spans="1:119">
      <c r="A18" s="46">
        <f t="shared" si="18"/>
        <v>1988</v>
      </c>
      <c r="B18" s="141">
        <f t="shared" si="8"/>
        <v>0.11761841838898618</v>
      </c>
      <c r="C18" s="46"/>
      <c r="D18" s="141">
        <f t="shared" si="9"/>
        <v>0.61519143426200218</v>
      </c>
      <c r="E18" s="141">
        <f t="shared" si="10"/>
        <v>0.497573015873016</v>
      </c>
      <c r="F18" s="46"/>
      <c r="G18" s="157">
        <f t="shared" si="11"/>
        <v>3.6484275271390247E-2</v>
      </c>
      <c r="H18" s="157">
        <f t="shared" si="1"/>
        <v>6.3556176167207296E-2</v>
      </c>
      <c r="I18" s="157">
        <f t="shared" si="1"/>
        <v>7.859478211917309E-2</v>
      </c>
      <c r="J18" s="157">
        <f t="shared" si="1"/>
        <v>7.6770167950914694E-2</v>
      </c>
      <c r="K18" s="157">
        <f t="shared" si="1"/>
        <v>3.2342823107004683E-2</v>
      </c>
      <c r="L18" s="157">
        <f t="shared" si="1"/>
        <v>1.318641979906683E-2</v>
      </c>
      <c r="M18" s="157">
        <f t="shared" si="1"/>
        <v>6.661072716244219E-3</v>
      </c>
      <c r="N18" s="157">
        <f t="shared" si="1"/>
        <v>0</v>
      </c>
      <c r="O18" s="46"/>
      <c r="P18" s="154">
        <f t="shared" si="19"/>
        <v>1.7578623643048769E-2</v>
      </c>
      <c r="Q18" s="154">
        <f t="shared" si="20"/>
        <v>8.2219119163963558E-2</v>
      </c>
      <c r="R18" s="154">
        <f t="shared" si="20"/>
        <v>0.20702608940413469</v>
      </c>
      <c r="S18" s="154">
        <f t="shared" si="20"/>
        <v>0.41614916024542659</v>
      </c>
      <c r="T18" s="154">
        <f t="shared" si="20"/>
        <v>0.57657176892995321</v>
      </c>
      <c r="U18" s="154">
        <f t="shared" si="20"/>
        <v>0.68627160401866349</v>
      </c>
      <c r="V18" s="154">
        <f t="shared" si="20"/>
        <v>0.82347318209389464</v>
      </c>
      <c r="W18" s="162">
        <f t="shared" si="21"/>
        <v>1</v>
      </c>
      <c r="X18" s="154"/>
      <c r="Y18" s="142">
        <f t="shared" si="22"/>
        <v>3.2658730158730165E-2</v>
      </c>
      <c r="Z18" s="142">
        <f t="shared" si="12"/>
        <v>5.3214285714285728E-2</v>
      </c>
      <c r="AA18" s="142">
        <f t="shared" si="12"/>
        <v>6.3253968253968271E-2</v>
      </c>
      <c r="AB18" s="142">
        <f t="shared" si="12"/>
        <v>6.0000000000000012E-2</v>
      </c>
      <c r="AC18" s="142">
        <f t="shared" si="12"/>
        <v>2.4821428571428574E-2</v>
      </c>
      <c r="AD18" s="142">
        <f t="shared" si="12"/>
        <v>1.0000000000000004E-2</v>
      </c>
      <c r="AE18" s="142">
        <f t="shared" si="12"/>
        <v>4.8380952380952412E-3</v>
      </c>
      <c r="AF18" s="142">
        <f t="shared" si="12"/>
        <v>0</v>
      </c>
      <c r="AH18" s="158">
        <f t="shared" si="13"/>
        <v>3.6706349206349201E-2</v>
      </c>
      <c r="AI18" s="158">
        <f t="shared" si="14"/>
        <v>0.13392857142857142</v>
      </c>
      <c r="AJ18" s="158">
        <f t="shared" si="14"/>
        <v>0.28373015873015872</v>
      </c>
      <c r="AK18" s="158">
        <f t="shared" si="14"/>
        <v>0.5</v>
      </c>
      <c r="AL18" s="158">
        <f t="shared" si="14"/>
        <v>0.6517857142857143</v>
      </c>
      <c r="AM18" s="158">
        <f t="shared" si="14"/>
        <v>0.75</v>
      </c>
      <c r="AN18" s="158">
        <f t="shared" si="14"/>
        <v>0.86904761904761907</v>
      </c>
      <c r="AO18" s="158">
        <v>1</v>
      </c>
      <c r="AP18" s="143"/>
      <c r="AQ18" s="143">
        <f t="shared" si="5"/>
        <v>1.7578623643048769E-2</v>
      </c>
      <c r="AR18" s="143">
        <f t="shared" si="5"/>
        <v>6.464049552091479E-2</v>
      </c>
      <c r="AS18" s="143">
        <f t="shared" si="5"/>
        <v>0.12480697024017114</v>
      </c>
      <c r="AT18" s="143">
        <f t="shared" si="5"/>
        <v>0.20912307084129186</v>
      </c>
      <c r="AU18" s="143">
        <f t="shared" si="5"/>
        <v>0.16042260868452668</v>
      </c>
      <c r="AV18" s="143">
        <f t="shared" si="5"/>
        <v>0.10969983508871033</v>
      </c>
      <c r="AW18" s="143">
        <f t="shared" si="5"/>
        <v>0.13720157807523112</v>
      </c>
      <c r="AX18" s="143">
        <f t="shared" si="5"/>
        <v>0.17652681790610544</v>
      </c>
      <c r="AY18" s="46"/>
      <c r="AZ18" s="152">
        <f>Shares!D59</f>
        <v>3.7</v>
      </c>
      <c r="BA18" s="152">
        <f>Shares!E59</f>
        <v>9.8000000000000007</v>
      </c>
      <c r="BB18" s="152">
        <f>Shares!F59</f>
        <v>15.1</v>
      </c>
      <c r="BC18" s="152">
        <f>Shares!G59</f>
        <v>21.8</v>
      </c>
      <c r="BD18" s="152">
        <f>Shares!J59</f>
        <v>15.3</v>
      </c>
      <c r="BE18" s="152">
        <f>Shares!K59</f>
        <v>9.9</v>
      </c>
      <c r="BF18" s="152">
        <f>Shares!L59</f>
        <v>12</v>
      </c>
      <c r="BG18" s="152">
        <f>Shares!M59</f>
        <v>13.2</v>
      </c>
      <c r="BI18" s="246">
        <f>TxRt!B62-TxRt!C62+TxRt!C$53</f>
        <v>11.4</v>
      </c>
      <c r="BJ18" s="246">
        <f>TxRt!B105-TxRt!C105+TxRt!C$96</f>
        <v>15.6</v>
      </c>
      <c r="BK18" s="246">
        <f>TxRt!B145-TxRt!C145+TxRt!C$136</f>
        <v>19.7</v>
      </c>
      <c r="BL18" s="246">
        <f>TxRt!B185-TxRt!C185+TxRt!C$176</f>
        <v>22.700000000000003</v>
      </c>
      <c r="BM18" s="246">
        <f>TxRt!B265-TxRt!C265+TxRt!C$256</f>
        <v>24.800000000000004</v>
      </c>
      <c r="BN18" s="246">
        <f>TxRt!B305-TxRt!C305+TxRt!C$296</f>
        <v>26</v>
      </c>
      <c r="BO18" s="246">
        <f>TxRt!B345-TxRt!C345+TxRt!C$336</f>
        <v>26.700000000000003</v>
      </c>
      <c r="BP18" s="246">
        <f>TxRt!B385-TxRt!C385+TxRt!C$376</f>
        <v>30.1</v>
      </c>
      <c r="BQ18" s="46"/>
      <c r="BR18" s="60">
        <f>Inc!B59</f>
        <v>14300</v>
      </c>
      <c r="BS18" s="60">
        <f>Inc!B99</f>
        <v>36000</v>
      </c>
      <c r="BT18" s="60">
        <f>Inc!B139</f>
        <v>58100</v>
      </c>
      <c r="BU18" s="60">
        <f>Inc!B179</f>
        <v>83100</v>
      </c>
      <c r="BV18" s="60">
        <f>Inc!B259</f>
        <v>112400</v>
      </c>
      <c r="BW18" s="60">
        <f>Inc!B299</f>
        <v>145100</v>
      </c>
      <c r="BX18" s="60">
        <f>Inc!B339</f>
        <v>217500</v>
      </c>
      <c r="BY18" s="60">
        <f>Inc!B379</f>
        <v>968100</v>
      </c>
      <c r="CA18" s="60">
        <f t="shared" si="6"/>
        <v>1630.2</v>
      </c>
      <c r="CB18" s="60">
        <f t="shared" si="6"/>
        <v>5616</v>
      </c>
      <c r="CC18" s="60">
        <f t="shared" si="6"/>
        <v>11445.7</v>
      </c>
      <c r="CD18" s="60">
        <f t="shared" si="6"/>
        <v>18863.7</v>
      </c>
      <c r="CE18" s="60">
        <f t="shared" si="6"/>
        <v>27875.200000000004</v>
      </c>
      <c r="CF18" s="60">
        <f t="shared" si="6"/>
        <v>37726</v>
      </c>
      <c r="CG18" s="60">
        <f t="shared" si="6"/>
        <v>58072.500000000007</v>
      </c>
      <c r="CH18" s="60">
        <f t="shared" si="6"/>
        <v>291398.09999999998</v>
      </c>
      <c r="CJ18" s="153">
        <f t="shared" si="15"/>
        <v>29017.56</v>
      </c>
      <c r="CK18" s="153">
        <f t="shared" si="7"/>
        <v>106704.00000000001</v>
      </c>
      <c r="CL18" s="153">
        <f t="shared" si="7"/>
        <v>206022.60000000006</v>
      </c>
      <c r="CM18" s="153">
        <f t="shared" si="7"/>
        <v>345205.71</v>
      </c>
      <c r="CN18" s="153">
        <f t="shared" si="7"/>
        <v>264814.40000000002</v>
      </c>
      <c r="CO18" s="153">
        <f t="shared" si="7"/>
        <v>181084.79999999999</v>
      </c>
      <c r="CP18" s="153">
        <f t="shared" si="7"/>
        <v>226482.75000000003</v>
      </c>
      <c r="CQ18" s="153">
        <f t="shared" si="7"/>
        <v>291398.09999999998</v>
      </c>
      <c r="CR18" s="153">
        <f t="shared" si="16"/>
        <v>1650729.92</v>
      </c>
      <c r="CT18" s="403">
        <v>241.7</v>
      </c>
      <c r="CU18" s="276">
        <f>Dem!B59+(DD18/4)</f>
        <v>17.8</v>
      </c>
      <c r="CV18" s="276">
        <f>Dem!B99+(DD18/4)</f>
        <v>19.000000000000004</v>
      </c>
      <c r="CW18" s="276">
        <f>Dem!B139+(DD18/4)</f>
        <v>18.000000000000004</v>
      </c>
      <c r="CX18" s="276">
        <f>Dem!B179+(DD18/4)</f>
        <v>18.3</v>
      </c>
      <c r="CY18" s="276">
        <f>Dem!B259</f>
        <v>9.5</v>
      </c>
      <c r="CZ18" s="276">
        <f>Dem!B299</f>
        <v>4.8</v>
      </c>
      <c r="DA18" s="276">
        <f>Dem!B339</f>
        <v>3.9</v>
      </c>
      <c r="DB18" s="276">
        <f>Dem!B379</f>
        <v>1</v>
      </c>
      <c r="DC18" s="275">
        <v>93.1</v>
      </c>
      <c r="DD18" s="46">
        <v>-0.39999999999999147</v>
      </c>
      <c r="DE18" s="275"/>
      <c r="DF18" s="276">
        <f>Dem!$D59+(DO18/4)</f>
        <v>46.800000000000004</v>
      </c>
      <c r="DG18" s="276">
        <f>Dem!$D99+(DO18/4)</f>
        <v>48.1</v>
      </c>
      <c r="DH18" s="276">
        <f>Dem!$D139+(DO18/4)</f>
        <v>48</v>
      </c>
      <c r="DI18" s="276">
        <f>Dem!$D179+(DO18/4)</f>
        <v>48</v>
      </c>
      <c r="DJ18" s="275">
        <f>Dem!$D259</f>
        <v>24.2</v>
      </c>
      <c r="DK18" s="275">
        <f>Dem!$D299</f>
        <v>12.1</v>
      </c>
      <c r="DL18" s="275">
        <f>Dem!$D339</f>
        <v>9.6999999999999993</v>
      </c>
      <c r="DM18" s="275">
        <f>Dem!$D379</f>
        <v>2.4</v>
      </c>
      <c r="DN18" s="276">
        <f t="shared" si="17"/>
        <v>241.7</v>
      </c>
      <c r="DO18" s="44">
        <v>-1.1999999999999886</v>
      </c>
    </row>
    <row r="19" spans="1:119">
      <c r="A19" s="46">
        <f t="shared" si="18"/>
        <v>1989</v>
      </c>
      <c r="B19" s="141">
        <f t="shared" si="8"/>
        <v>0.1150716785216393</v>
      </c>
      <c r="C19" s="46"/>
      <c r="D19" s="141">
        <f t="shared" si="9"/>
        <v>0.60599461794567111</v>
      </c>
      <c r="E19" s="141">
        <f t="shared" si="10"/>
        <v>0.49092293942403181</v>
      </c>
      <c r="F19" s="46"/>
      <c r="G19" s="157">
        <f t="shared" si="11"/>
        <v>3.635573641482362E-2</v>
      </c>
      <c r="H19" s="157">
        <f t="shared" si="1"/>
        <v>6.3318204423357255E-2</v>
      </c>
      <c r="I19" s="157">
        <f t="shared" si="1"/>
        <v>7.7743414508748498E-2</v>
      </c>
      <c r="J19" s="157">
        <f t="shared" si="1"/>
        <v>7.5262968239480338E-2</v>
      </c>
      <c r="K19" s="157">
        <f t="shared" si="1"/>
        <v>3.1436475866229878E-2</v>
      </c>
      <c r="L19" s="157">
        <f t="shared" si="1"/>
        <v>1.2692717334941895E-2</v>
      </c>
      <c r="M19" s="157">
        <f t="shared" si="1"/>
        <v>6.1877921852541195E-3</v>
      </c>
      <c r="N19" s="157">
        <f t="shared" si="1"/>
        <v>0</v>
      </c>
      <c r="O19" s="46"/>
      <c r="P19" s="154">
        <f t="shared" si="19"/>
        <v>1.8221317925881924E-2</v>
      </c>
      <c r="Q19" s="154">
        <f t="shared" si="20"/>
        <v>8.3408977883213747E-2</v>
      </c>
      <c r="R19" s="154">
        <f t="shared" si="20"/>
        <v>0.21128292745625768</v>
      </c>
      <c r="S19" s="154">
        <f t="shared" si="20"/>
        <v>0.42368515880259838</v>
      </c>
      <c r="T19" s="154">
        <f t="shared" si="20"/>
        <v>0.58563524133770128</v>
      </c>
      <c r="U19" s="154">
        <f t="shared" si="20"/>
        <v>0.69614565330116218</v>
      </c>
      <c r="V19" s="154">
        <f t="shared" si="20"/>
        <v>0.83530519536864711</v>
      </c>
      <c r="W19" s="162">
        <f t="shared" si="21"/>
        <v>1</v>
      </c>
      <c r="X19" s="154"/>
      <c r="Y19" s="142">
        <f t="shared" si="22"/>
        <v>3.2452830188679248E-2</v>
      </c>
      <c r="Z19" s="142">
        <f t="shared" si="12"/>
        <v>5.2790466732869912E-2</v>
      </c>
      <c r="AA19" s="142">
        <f t="shared" si="12"/>
        <v>6.2601787487586907E-2</v>
      </c>
      <c r="AB19" s="142">
        <f t="shared" si="12"/>
        <v>5.9106256206554124E-2</v>
      </c>
      <c r="AC19" s="142">
        <f t="shared" si="12"/>
        <v>2.4359483614697121E-2</v>
      </c>
      <c r="AD19" s="142">
        <f t="shared" si="12"/>
        <v>9.6648460774577949E-3</v>
      </c>
      <c r="AE19" s="142">
        <f t="shared" si="12"/>
        <v>4.4857994041708031E-3</v>
      </c>
      <c r="AF19" s="142">
        <f t="shared" si="12"/>
        <v>0</v>
      </c>
      <c r="AH19" s="158">
        <f t="shared" si="13"/>
        <v>3.7735849056603779E-2</v>
      </c>
      <c r="AI19" s="158">
        <f t="shared" si="14"/>
        <v>0.13604766633565046</v>
      </c>
      <c r="AJ19" s="158">
        <f t="shared" si="14"/>
        <v>0.28699106256206558</v>
      </c>
      <c r="AK19" s="158">
        <f t="shared" si="14"/>
        <v>0.50446871896722945</v>
      </c>
      <c r="AL19" s="158">
        <f t="shared" si="14"/>
        <v>0.65640516385302883</v>
      </c>
      <c r="AM19" s="158">
        <f t="shared" si="14"/>
        <v>0.75670307845084417</v>
      </c>
      <c r="AN19" s="158">
        <f t="shared" si="14"/>
        <v>0.87785501489573003</v>
      </c>
      <c r="AO19" s="158">
        <v>1</v>
      </c>
      <c r="AP19" s="143"/>
      <c r="AQ19" s="143">
        <f t="shared" si="5"/>
        <v>1.8221317925881924E-2</v>
      </c>
      <c r="AR19" s="143">
        <f t="shared" si="5"/>
        <v>6.518765995733182E-2</v>
      </c>
      <c r="AS19" s="143">
        <f t="shared" si="5"/>
        <v>0.12787394957304393</v>
      </c>
      <c r="AT19" s="143">
        <f t="shared" si="5"/>
        <v>0.21240223134634068</v>
      </c>
      <c r="AU19" s="143">
        <f t="shared" si="5"/>
        <v>0.16195008253510285</v>
      </c>
      <c r="AV19" s="143">
        <f t="shared" si="5"/>
        <v>0.11051041196346086</v>
      </c>
      <c r="AW19" s="143">
        <f t="shared" si="5"/>
        <v>0.13915954206748496</v>
      </c>
      <c r="AX19" s="143">
        <f t="shared" si="5"/>
        <v>0.16469480463135291</v>
      </c>
      <c r="AY19" s="46"/>
      <c r="AZ19" s="152">
        <f>Shares!D60</f>
        <v>3.8</v>
      </c>
      <c r="BA19" s="152">
        <f>Shares!E60</f>
        <v>9.9</v>
      </c>
      <c r="BB19" s="152">
        <f>Shares!F60</f>
        <v>15.2</v>
      </c>
      <c r="BC19" s="152">
        <f>Shares!G60</f>
        <v>21.9</v>
      </c>
      <c r="BD19" s="152">
        <f>Shares!J60</f>
        <v>15.3</v>
      </c>
      <c r="BE19" s="152">
        <f>Shares!K60</f>
        <v>10.1</v>
      </c>
      <c r="BF19" s="152">
        <f>Shares!L60</f>
        <v>12.2</v>
      </c>
      <c r="BG19" s="152">
        <f>Shares!M60</f>
        <v>12.3</v>
      </c>
      <c r="BI19" s="246">
        <f>TxRt!B63-TxRt!C63+TxRt!C$53</f>
        <v>11.3</v>
      </c>
      <c r="BJ19" s="246">
        <f>TxRt!B106-TxRt!C106+TxRt!C$96</f>
        <v>15.4</v>
      </c>
      <c r="BK19" s="246">
        <f>TxRt!B146-TxRt!C146+TxRt!C$136</f>
        <v>19.600000000000001</v>
      </c>
      <c r="BL19" s="246">
        <f>TxRt!B186-TxRt!C186+TxRt!C$176</f>
        <v>22.6</v>
      </c>
      <c r="BM19" s="246">
        <f>TxRt!B266-TxRt!C266+TxRt!C$256</f>
        <v>24.6</v>
      </c>
      <c r="BN19" s="246">
        <f>TxRt!B306-TxRt!C306+TxRt!C$296</f>
        <v>25.7</v>
      </c>
      <c r="BO19" s="246">
        <f>TxRt!B346-TxRt!C346+TxRt!C$336</f>
        <v>26.5</v>
      </c>
      <c r="BP19" s="246">
        <f>TxRt!B386-TxRt!C386+TxRt!C$376</f>
        <v>30.1</v>
      </c>
      <c r="BQ19" s="46"/>
      <c r="BR19" s="60">
        <f>Inc!B60</f>
        <v>15000</v>
      </c>
      <c r="BS19" s="60">
        <f>Inc!B100</f>
        <v>36300</v>
      </c>
      <c r="BT19" s="60">
        <f>Inc!B140</f>
        <v>58700</v>
      </c>
      <c r="BU19" s="60">
        <f>Inc!B180</f>
        <v>84100</v>
      </c>
      <c r="BV19" s="60">
        <f>Inc!B260</f>
        <v>114100</v>
      </c>
      <c r="BW19" s="60">
        <f>Inc!B300</f>
        <v>147500</v>
      </c>
      <c r="BX19" s="60">
        <f>Inc!B340</f>
        <v>221700</v>
      </c>
      <c r="BY19" s="60">
        <f>Inc!B380</f>
        <v>900900</v>
      </c>
      <c r="CA19" s="60">
        <f t="shared" si="6"/>
        <v>1695</v>
      </c>
      <c r="CB19" s="60">
        <f t="shared" si="6"/>
        <v>5590.2</v>
      </c>
      <c r="CC19" s="60">
        <f t="shared" si="6"/>
        <v>11505.2</v>
      </c>
      <c r="CD19" s="60">
        <f t="shared" si="6"/>
        <v>19006.600000000002</v>
      </c>
      <c r="CE19" s="60">
        <f t="shared" si="6"/>
        <v>28068.6</v>
      </c>
      <c r="CF19" s="60">
        <f t="shared" si="6"/>
        <v>37907.5</v>
      </c>
      <c r="CG19" s="60">
        <f t="shared" si="6"/>
        <v>58750.5</v>
      </c>
      <c r="CH19" s="60">
        <f t="shared" si="6"/>
        <v>271170.90000000002</v>
      </c>
      <c r="CJ19" s="153">
        <f t="shared" si="15"/>
        <v>30001.500000000004</v>
      </c>
      <c r="CK19" s="153">
        <f t="shared" si="7"/>
        <v>107331.84000000001</v>
      </c>
      <c r="CL19" s="153">
        <f t="shared" si="7"/>
        <v>210545.16000000003</v>
      </c>
      <c r="CM19" s="153">
        <f t="shared" si="7"/>
        <v>349721.44000000006</v>
      </c>
      <c r="CN19" s="153">
        <f t="shared" si="7"/>
        <v>266651.7</v>
      </c>
      <c r="CO19" s="153">
        <f t="shared" si="7"/>
        <v>181956</v>
      </c>
      <c r="CP19" s="153">
        <f t="shared" si="7"/>
        <v>229126.94999999998</v>
      </c>
      <c r="CQ19" s="153">
        <f t="shared" si="7"/>
        <v>271170.90000000002</v>
      </c>
      <c r="CR19" s="153">
        <f t="shared" si="16"/>
        <v>1646505.4900000002</v>
      </c>
      <c r="CT19" s="403">
        <v>243.9</v>
      </c>
      <c r="CU19" s="276">
        <f>Dem!B60+(DD19/4)</f>
        <v>17.700000000000003</v>
      </c>
      <c r="CV19" s="276">
        <f>Dem!B100+(DD19/4)</f>
        <v>19.200000000000003</v>
      </c>
      <c r="CW19" s="276">
        <f>Dem!B140+(DD19/4)</f>
        <v>18.3</v>
      </c>
      <c r="CX19" s="276">
        <f>Dem!B180+(DD19/4)</f>
        <v>18.400000000000002</v>
      </c>
      <c r="CY19" s="276">
        <f>Dem!B260</f>
        <v>9.5</v>
      </c>
      <c r="CZ19" s="276">
        <f>Dem!B300</f>
        <v>4.8</v>
      </c>
      <c r="DA19" s="276">
        <f>Dem!B340</f>
        <v>3.9</v>
      </c>
      <c r="DB19" s="276">
        <f>Dem!B380</f>
        <v>1</v>
      </c>
      <c r="DC19" s="275">
        <v>93.6</v>
      </c>
      <c r="DD19" s="46">
        <v>-0.39999999999999147</v>
      </c>
      <c r="DE19" s="275"/>
      <c r="DF19" s="276">
        <f>Dem!$D60+(DO19/4)</f>
        <v>47.325000000000003</v>
      </c>
      <c r="DG19" s="276">
        <f>Dem!$D100+(DO19/4)</f>
        <v>48.524999999999999</v>
      </c>
      <c r="DH19" s="276">
        <f>Dem!$D140+(DO19/4)</f>
        <v>48.524999999999999</v>
      </c>
      <c r="DI19" s="276">
        <f>Dem!$D180+(DO19/4)</f>
        <v>48.524999999999999</v>
      </c>
      <c r="DJ19" s="275">
        <f>Dem!$D260</f>
        <v>24.4</v>
      </c>
      <c r="DK19" s="275">
        <f>Dem!$D300</f>
        <v>12.2</v>
      </c>
      <c r="DL19" s="275">
        <f>Dem!$D340</f>
        <v>9.8000000000000007</v>
      </c>
      <c r="DM19" s="275">
        <f>Dem!$D380</f>
        <v>2.4</v>
      </c>
      <c r="DN19" s="276">
        <f t="shared" si="17"/>
        <v>243.9</v>
      </c>
      <c r="DO19" s="44">
        <v>-1.0999999999999943</v>
      </c>
    </row>
    <row r="20" spans="1:119">
      <c r="A20" s="46">
        <f t="shared" si="18"/>
        <v>1990</v>
      </c>
      <c r="B20" s="141">
        <f t="shared" si="8"/>
        <v>0.11185658371662965</v>
      </c>
      <c r="C20" s="46"/>
      <c r="D20" s="141">
        <f t="shared" si="9"/>
        <v>0.5975645202245663</v>
      </c>
      <c r="E20" s="141">
        <f t="shared" si="10"/>
        <v>0.48570793650793664</v>
      </c>
      <c r="F20" s="46"/>
      <c r="G20" s="157">
        <f t="shared" si="11"/>
        <v>3.6067423484803685E-2</v>
      </c>
      <c r="H20" s="157">
        <f t="shared" si="1"/>
        <v>6.2508508194414364E-2</v>
      </c>
      <c r="I20" s="157">
        <f t="shared" si="1"/>
        <v>7.6947374075960584E-2</v>
      </c>
      <c r="J20" s="157">
        <f t="shared" si="1"/>
        <v>7.4208139252233199E-2</v>
      </c>
      <c r="K20" s="157">
        <f t="shared" si="1"/>
        <v>3.0846516142053939E-2</v>
      </c>
      <c r="L20" s="157">
        <f t="shared" si="1"/>
        <v>1.2305457195943987E-2</v>
      </c>
      <c r="M20" s="157">
        <f t="shared" si="1"/>
        <v>5.8988417668734E-3</v>
      </c>
      <c r="N20" s="157">
        <f t="shared" si="1"/>
        <v>0</v>
      </c>
      <c r="O20" s="46"/>
      <c r="P20" s="154">
        <f t="shared" si="19"/>
        <v>1.9662882575981595E-2</v>
      </c>
      <c r="Q20" s="154">
        <f t="shared" si="20"/>
        <v>8.7457459027928203E-2</v>
      </c>
      <c r="R20" s="154">
        <f t="shared" si="20"/>
        <v>0.21526312962019717</v>
      </c>
      <c r="S20" s="154">
        <f t="shared" si="20"/>
        <v>0.42895930373883406</v>
      </c>
      <c r="T20" s="154">
        <f t="shared" si="20"/>
        <v>0.59153483857946065</v>
      </c>
      <c r="U20" s="154">
        <f t="shared" si="20"/>
        <v>0.70389085608112034</v>
      </c>
      <c r="V20" s="154">
        <f t="shared" si="20"/>
        <v>0.84252895582816512</v>
      </c>
      <c r="W20" s="162">
        <f t="shared" si="21"/>
        <v>1</v>
      </c>
      <c r="X20" s="154"/>
      <c r="Y20" s="142">
        <f t="shared" si="22"/>
        <v>3.2261904761904762E-2</v>
      </c>
      <c r="Z20" s="142">
        <f t="shared" si="12"/>
        <v>5.2222222222222225E-2</v>
      </c>
      <c r="AA20" s="142">
        <f t="shared" si="12"/>
        <v>6.2063492063492091E-2</v>
      </c>
      <c r="AB20" s="142">
        <f t="shared" si="12"/>
        <v>5.841269841269843E-2</v>
      </c>
      <c r="AC20" s="142">
        <f t="shared" si="12"/>
        <v>2.4027777777777783E-2</v>
      </c>
      <c r="AD20" s="142">
        <f t="shared" si="12"/>
        <v>9.5039682539682594E-3</v>
      </c>
      <c r="AE20" s="142">
        <f t="shared" si="12"/>
        <v>4.3619047619047674E-3</v>
      </c>
      <c r="AF20" s="142">
        <f t="shared" si="12"/>
        <v>0</v>
      </c>
      <c r="AH20" s="158">
        <f t="shared" si="13"/>
        <v>3.8690476190476192E-2</v>
      </c>
      <c r="AI20" s="158">
        <f t="shared" si="14"/>
        <v>0.1388888888888889</v>
      </c>
      <c r="AJ20" s="158">
        <f t="shared" si="14"/>
        <v>0.28968253968253965</v>
      </c>
      <c r="AK20" s="158">
        <f t="shared" si="14"/>
        <v>0.50793650793650791</v>
      </c>
      <c r="AL20" s="158">
        <f t="shared" si="14"/>
        <v>0.65972222222222221</v>
      </c>
      <c r="AM20" s="158">
        <f t="shared" si="14"/>
        <v>0.75992063492063489</v>
      </c>
      <c r="AN20" s="158">
        <f t="shared" si="14"/>
        <v>0.88095238095238093</v>
      </c>
      <c r="AO20" s="158">
        <v>1</v>
      </c>
      <c r="AP20" s="143"/>
      <c r="AQ20" s="143">
        <f t="shared" si="5"/>
        <v>1.9662882575981592E-2</v>
      </c>
      <c r="AR20" s="143">
        <f t="shared" si="5"/>
        <v>6.7794576451946587E-2</v>
      </c>
      <c r="AS20" s="143">
        <f t="shared" si="5"/>
        <v>0.12780567059226894</v>
      </c>
      <c r="AT20" s="143">
        <f t="shared" si="5"/>
        <v>0.21369617411863684</v>
      </c>
      <c r="AU20" s="143">
        <f t="shared" si="5"/>
        <v>0.16257553484062659</v>
      </c>
      <c r="AV20" s="143">
        <f t="shared" si="5"/>
        <v>0.11235601750165962</v>
      </c>
      <c r="AW20" s="143">
        <f t="shared" si="5"/>
        <v>0.13863809974704472</v>
      </c>
      <c r="AX20" s="143">
        <f t="shared" si="5"/>
        <v>0.15747104417183508</v>
      </c>
      <c r="AY20" s="46"/>
      <c r="AZ20" s="152">
        <f>Shares!D61</f>
        <v>3.9</v>
      </c>
      <c r="BA20" s="152">
        <f>Shares!E61</f>
        <v>10.1</v>
      </c>
      <c r="BB20" s="152">
        <f>Shares!F61</f>
        <v>15.2</v>
      </c>
      <c r="BC20" s="152">
        <f>Shares!G61</f>
        <v>22</v>
      </c>
      <c r="BD20" s="152">
        <f>Shares!J61</f>
        <v>15.3</v>
      </c>
      <c r="BE20" s="152">
        <f>Shares!K61</f>
        <v>10.1</v>
      </c>
      <c r="BF20" s="152">
        <f>Shares!L61</f>
        <v>12.2</v>
      </c>
      <c r="BG20" s="152">
        <f>Shares!M61</f>
        <v>12</v>
      </c>
      <c r="BI20" s="246">
        <f>TxRt!B64-TxRt!C64+TxRt!C$53</f>
        <v>11.7</v>
      </c>
      <c r="BJ20" s="246">
        <f>TxRt!B107-TxRt!C107+TxRt!C$96</f>
        <v>15.7</v>
      </c>
      <c r="BK20" s="246">
        <f>TxRt!B147-TxRt!C147+TxRt!C$136</f>
        <v>19.600000000000001</v>
      </c>
      <c r="BL20" s="246">
        <f>TxRt!B187-TxRt!C187+TxRt!C$176</f>
        <v>22.700000000000003</v>
      </c>
      <c r="BM20" s="246">
        <f>TxRt!B267-TxRt!C267+TxRt!C$256</f>
        <v>24.700000000000003</v>
      </c>
      <c r="BN20" s="246">
        <f>TxRt!B307-TxRt!C307+TxRt!C$296</f>
        <v>25.9</v>
      </c>
      <c r="BO20" s="246">
        <f>TxRt!B347-TxRt!C347+TxRt!C$336</f>
        <v>26.7</v>
      </c>
      <c r="BP20" s="246">
        <f>TxRt!B387-TxRt!C387+TxRt!C$376</f>
        <v>30</v>
      </c>
      <c r="BQ20" s="46"/>
      <c r="BR20" s="60">
        <f>Inc!B61</f>
        <v>15400</v>
      </c>
      <c r="BS20" s="60">
        <f>Inc!B101</f>
        <v>37500</v>
      </c>
      <c r="BT20" s="60">
        <f>Inc!B141</f>
        <v>59100</v>
      </c>
      <c r="BU20" s="60">
        <f>Inc!B181</f>
        <v>83500</v>
      </c>
      <c r="BV20" s="60">
        <f>Inc!B261</f>
        <v>112700</v>
      </c>
      <c r="BW20" s="60">
        <f>Inc!B301</f>
        <v>144100</v>
      </c>
      <c r="BX20" s="60">
        <f>Inc!B341</f>
        <v>215600</v>
      </c>
      <c r="BY20" s="60">
        <f>Inc!B381</f>
        <v>871800</v>
      </c>
      <c r="CA20" s="60">
        <f t="shared" si="6"/>
        <v>1801.8</v>
      </c>
      <c r="CB20" s="60">
        <f t="shared" si="6"/>
        <v>5887.5</v>
      </c>
      <c r="CC20" s="60">
        <f t="shared" si="6"/>
        <v>11583.6</v>
      </c>
      <c r="CD20" s="60">
        <f t="shared" si="6"/>
        <v>18954.500000000004</v>
      </c>
      <c r="CE20" s="60">
        <f t="shared" si="6"/>
        <v>27836.900000000005</v>
      </c>
      <c r="CF20" s="60">
        <f t="shared" si="6"/>
        <v>37321.9</v>
      </c>
      <c r="CG20" s="60">
        <f t="shared" si="6"/>
        <v>57565.2</v>
      </c>
      <c r="CH20" s="60">
        <f t="shared" si="6"/>
        <v>261540</v>
      </c>
      <c r="CJ20" s="153">
        <f t="shared" si="15"/>
        <v>32657.625</v>
      </c>
      <c r="CK20" s="153">
        <f t="shared" si="7"/>
        <v>112598.4375</v>
      </c>
      <c r="CL20" s="153">
        <f t="shared" si="7"/>
        <v>212269.47</v>
      </c>
      <c r="CM20" s="153">
        <f t="shared" si="7"/>
        <v>354923.01250000007</v>
      </c>
      <c r="CN20" s="153">
        <f t="shared" si="7"/>
        <v>270017.93000000005</v>
      </c>
      <c r="CO20" s="153">
        <f t="shared" si="7"/>
        <v>186609.5</v>
      </c>
      <c r="CP20" s="153">
        <f t="shared" si="7"/>
        <v>230260.8</v>
      </c>
      <c r="CQ20" s="153">
        <f t="shared" si="7"/>
        <v>261540</v>
      </c>
      <c r="CR20" s="153">
        <f t="shared" si="16"/>
        <v>1660876.7750000001</v>
      </c>
      <c r="CT20" s="403">
        <v>246.7</v>
      </c>
      <c r="CU20" s="276">
        <f>Dem!B61+(DD20/4)</f>
        <v>18.125</v>
      </c>
      <c r="CV20" s="276">
        <f>Dem!B101+(DD20/4)</f>
        <v>19.125</v>
      </c>
      <c r="CW20" s="276">
        <f>Dem!B141+(DD20/4)</f>
        <v>18.324999999999999</v>
      </c>
      <c r="CX20" s="276">
        <f>Dem!B181+(DD20/4)</f>
        <v>18.725000000000001</v>
      </c>
      <c r="CY20" s="276">
        <f>Dem!B261</f>
        <v>9.6999999999999993</v>
      </c>
      <c r="CZ20" s="276">
        <f>Dem!B301</f>
        <v>5</v>
      </c>
      <c r="DA20" s="276">
        <f>Dem!B341</f>
        <v>4</v>
      </c>
      <c r="DB20" s="276">
        <f>Dem!B381</f>
        <v>1</v>
      </c>
      <c r="DC20" s="275">
        <v>94.6</v>
      </c>
      <c r="DD20" s="46">
        <v>-0.29999999999999716</v>
      </c>
      <c r="DE20" s="275"/>
      <c r="DF20" s="276">
        <f>Dem!$D61+(DO20/4)</f>
        <v>47.775000000000006</v>
      </c>
      <c r="DG20" s="276">
        <f>Dem!$D101+(DO20/4)</f>
        <v>48.975000000000001</v>
      </c>
      <c r="DH20" s="276">
        <f>Dem!$D141+(DO20/4)</f>
        <v>48.975000000000001</v>
      </c>
      <c r="DI20" s="276">
        <f>Dem!$D181+(DO20/4)</f>
        <v>48.975000000000001</v>
      </c>
      <c r="DJ20" s="275">
        <f>Dem!$D261</f>
        <v>24.7</v>
      </c>
      <c r="DK20" s="275">
        <f>Dem!$D301</f>
        <v>12.3</v>
      </c>
      <c r="DL20" s="275">
        <f>Dem!$D341</f>
        <v>9.9</v>
      </c>
      <c r="DM20" s="275">
        <f>Dem!$D381</f>
        <v>2.5</v>
      </c>
      <c r="DN20" s="276">
        <f t="shared" si="17"/>
        <v>246.7</v>
      </c>
      <c r="DO20" s="44">
        <v>-1.2999999999999829</v>
      </c>
    </row>
    <row r="21" spans="1:119">
      <c r="A21" s="46">
        <f t="shared" si="18"/>
        <v>1991</v>
      </c>
      <c r="B21" s="141">
        <f t="shared" si="8"/>
        <v>0.1151842383142101</v>
      </c>
      <c r="C21" s="46"/>
      <c r="D21" s="141">
        <f t="shared" si="9"/>
        <v>0.59283661926659115</v>
      </c>
      <c r="E21" s="141">
        <f t="shared" si="10"/>
        <v>0.47765238095238105</v>
      </c>
      <c r="F21" s="46"/>
      <c r="G21" s="157">
        <f t="shared" si="11"/>
        <v>3.5863522938425894E-2</v>
      </c>
      <c r="H21" s="157">
        <f t="shared" si="1"/>
        <v>6.2365112143892343E-2</v>
      </c>
      <c r="I21" s="157">
        <f t="shared" si="1"/>
        <v>7.6450069389330924E-2</v>
      </c>
      <c r="J21" s="157">
        <f t="shared" si="1"/>
        <v>7.3821258417132093E-2</v>
      </c>
      <c r="K21" s="157">
        <f t="shared" si="1"/>
        <v>3.0451532935853599E-2</v>
      </c>
      <c r="L21" s="157">
        <f t="shared" si="1"/>
        <v>1.2029039567605971E-2</v>
      </c>
      <c r="M21" s="157">
        <f t="shared" si="1"/>
        <v>5.4377742410546851E-3</v>
      </c>
      <c r="N21" s="157">
        <f t="shared" si="1"/>
        <v>0</v>
      </c>
      <c r="O21" s="46"/>
      <c r="P21" s="154">
        <f t="shared" si="19"/>
        <v>2.068238530787057E-2</v>
      </c>
      <c r="Q21" s="154">
        <f t="shared" si="20"/>
        <v>8.8174439280538308E-2</v>
      </c>
      <c r="R21" s="154">
        <f t="shared" si="20"/>
        <v>0.21774965305334548</v>
      </c>
      <c r="S21" s="154">
        <f t="shared" si="20"/>
        <v>0.43089370791433962</v>
      </c>
      <c r="T21" s="154">
        <f t="shared" si="20"/>
        <v>0.59548467064146404</v>
      </c>
      <c r="U21" s="154">
        <f t="shared" si="20"/>
        <v>0.70941920864788066</v>
      </c>
      <c r="V21" s="154">
        <f t="shared" si="20"/>
        <v>0.85405564397363298</v>
      </c>
      <c r="W21" s="162">
        <f t="shared" si="21"/>
        <v>1</v>
      </c>
      <c r="X21" s="154"/>
      <c r="Y21" s="142">
        <f t="shared" si="22"/>
        <v>3.2063492063492065E-2</v>
      </c>
      <c r="Z21" s="142">
        <f t="shared" si="12"/>
        <v>5.2023809523809528E-2</v>
      </c>
      <c r="AA21" s="142">
        <f t="shared" si="12"/>
        <v>6.1071428571428589E-2</v>
      </c>
      <c r="AB21" s="142">
        <f t="shared" si="12"/>
        <v>5.7222222222222223E-2</v>
      </c>
      <c r="AC21" s="142">
        <f t="shared" si="12"/>
        <v>2.3333333333333331E-2</v>
      </c>
      <c r="AD21" s="142">
        <f t="shared" si="12"/>
        <v>9.1071428571428588E-3</v>
      </c>
      <c r="AE21" s="142">
        <f t="shared" si="12"/>
        <v>4.0047619047619068E-3</v>
      </c>
      <c r="AF21" s="142">
        <f t="shared" si="12"/>
        <v>0</v>
      </c>
      <c r="AH21" s="158">
        <f t="shared" si="13"/>
        <v>3.968253968253968E-2</v>
      </c>
      <c r="AI21" s="158">
        <f t="shared" si="14"/>
        <v>0.13988095238095238</v>
      </c>
      <c r="AJ21" s="158">
        <f t="shared" si="14"/>
        <v>0.29464285714285715</v>
      </c>
      <c r="AK21" s="158">
        <f t="shared" si="14"/>
        <v>0.51388888888888895</v>
      </c>
      <c r="AL21" s="158">
        <f t="shared" si="14"/>
        <v>0.66666666666666674</v>
      </c>
      <c r="AM21" s="158">
        <f t="shared" si="14"/>
        <v>0.7678571428571429</v>
      </c>
      <c r="AN21" s="158">
        <f t="shared" si="14"/>
        <v>0.88988095238095244</v>
      </c>
      <c r="AO21" s="158">
        <v>1</v>
      </c>
      <c r="AP21" s="143"/>
      <c r="AQ21" s="143">
        <f t="shared" si="5"/>
        <v>2.068238530787057E-2</v>
      </c>
      <c r="AR21" s="143">
        <f t="shared" si="5"/>
        <v>6.7492053972667734E-2</v>
      </c>
      <c r="AS21" s="143">
        <f t="shared" si="5"/>
        <v>0.12957521377280717</v>
      </c>
      <c r="AT21" s="143">
        <f t="shared" si="5"/>
        <v>0.21314405486099414</v>
      </c>
      <c r="AU21" s="143">
        <f t="shared" si="5"/>
        <v>0.16459096272712448</v>
      </c>
      <c r="AV21" s="143">
        <f t="shared" si="5"/>
        <v>0.11393453800641658</v>
      </c>
      <c r="AW21" s="143">
        <f t="shared" si="5"/>
        <v>0.14463643532575235</v>
      </c>
      <c r="AX21" s="143">
        <f t="shared" si="5"/>
        <v>0.14594435602636702</v>
      </c>
      <c r="AY21" s="46"/>
      <c r="AZ21" s="152">
        <f>Shares!D62</f>
        <v>4</v>
      </c>
      <c r="BA21" s="152">
        <f>Shares!E62</f>
        <v>10.1</v>
      </c>
      <c r="BB21" s="152">
        <f>Shares!F62</f>
        <v>15.6</v>
      </c>
      <c r="BC21" s="152">
        <f>Shares!G62</f>
        <v>22.1</v>
      </c>
      <c r="BD21" s="152">
        <f>Shares!J62</f>
        <v>15.4</v>
      </c>
      <c r="BE21" s="152">
        <f>Shares!K62</f>
        <v>10.199999999999999</v>
      </c>
      <c r="BF21" s="152">
        <f>Shares!L62</f>
        <v>12.3</v>
      </c>
      <c r="BG21" s="152">
        <f>Shares!M62</f>
        <v>11.1</v>
      </c>
      <c r="BI21" s="246">
        <f>TxRt!B65-TxRt!C65+TxRt!C$53</f>
        <v>12.1</v>
      </c>
      <c r="BJ21" s="246">
        <f>TxRt!B108-TxRt!C108+TxRt!C$96</f>
        <v>15.6</v>
      </c>
      <c r="BK21" s="246">
        <f>TxRt!B148-TxRt!C148+TxRt!C$136</f>
        <v>19.399999999999999</v>
      </c>
      <c r="BL21" s="246">
        <f>TxRt!B188-TxRt!C188+TxRt!C$176</f>
        <v>22.5</v>
      </c>
      <c r="BM21" s="246">
        <f>TxRt!B268-TxRt!C268+TxRt!C$256</f>
        <v>24.799999999999997</v>
      </c>
      <c r="BN21" s="246">
        <f>TxRt!B308-TxRt!C308+TxRt!C$296</f>
        <v>26.1</v>
      </c>
      <c r="BO21" s="246">
        <f>TxRt!B348-TxRt!C348+TxRt!C$336</f>
        <v>27.3</v>
      </c>
      <c r="BP21" s="246">
        <f>TxRt!B388-TxRt!C388+TxRt!C$376</f>
        <v>30.5</v>
      </c>
      <c r="BQ21" s="46"/>
      <c r="BR21" s="60">
        <f>Inc!B62</f>
        <v>15500</v>
      </c>
      <c r="BS21" s="60">
        <f>Inc!B102</f>
        <v>36600</v>
      </c>
      <c r="BT21" s="60">
        <f>Inc!B142</f>
        <v>58000</v>
      </c>
      <c r="BU21" s="60">
        <f>Inc!B182</f>
        <v>82700</v>
      </c>
      <c r="BV21" s="60">
        <f>Inc!B262</f>
        <v>111000</v>
      </c>
      <c r="BW21" s="60">
        <f>Inc!B302</f>
        <v>143100</v>
      </c>
      <c r="BX21" s="60">
        <f>Inc!B342</f>
        <v>211800</v>
      </c>
      <c r="BY21" s="60">
        <f>Inc!B382</f>
        <v>784300</v>
      </c>
      <c r="CA21" s="60">
        <f t="shared" si="6"/>
        <v>1875.5</v>
      </c>
      <c r="CB21" s="60">
        <f t="shared" si="6"/>
        <v>5709.6</v>
      </c>
      <c r="CC21" s="60">
        <f t="shared" si="6"/>
        <v>11252</v>
      </c>
      <c r="CD21" s="60">
        <f t="shared" si="6"/>
        <v>18607.5</v>
      </c>
      <c r="CE21" s="60">
        <f t="shared" si="6"/>
        <v>27527.999999999996</v>
      </c>
      <c r="CF21" s="60">
        <f t="shared" si="6"/>
        <v>37349.1</v>
      </c>
      <c r="CG21" s="60">
        <f t="shared" si="6"/>
        <v>57821.4</v>
      </c>
      <c r="CH21" s="60">
        <f t="shared" si="6"/>
        <v>239211.5</v>
      </c>
      <c r="CJ21" s="153">
        <f t="shared" si="15"/>
        <v>33899.662499999991</v>
      </c>
      <c r="CK21" s="153">
        <f t="shared" si="7"/>
        <v>110623.49999999999</v>
      </c>
      <c r="CL21" s="153">
        <f t="shared" si="7"/>
        <v>212381.49999999997</v>
      </c>
      <c r="CM21" s="153">
        <f t="shared" si="7"/>
        <v>349355.81249999988</v>
      </c>
      <c r="CN21" s="153">
        <f t="shared" si="7"/>
        <v>269774.39999999997</v>
      </c>
      <c r="CO21" s="153">
        <f t="shared" si="7"/>
        <v>186745.5</v>
      </c>
      <c r="CP21" s="153">
        <f t="shared" si="7"/>
        <v>237067.74</v>
      </c>
      <c r="CQ21" s="153">
        <f t="shared" si="7"/>
        <v>239211.5</v>
      </c>
      <c r="CR21" s="153">
        <f t="shared" si="16"/>
        <v>1639059.6149999998</v>
      </c>
      <c r="CT21" s="403">
        <v>249</v>
      </c>
      <c r="CU21" s="276">
        <f>Dem!B62+(DD21/4)</f>
        <v>18.074999999999996</v>
      </c>
      <c r="CV21" s="276">
        <f>Dem!B102+(DD21/4)</f>
        <v>19.374999999999996</v>
      </c>
      <c r="CW21" s="276">
        <f>Dem!B142+(DD21/4)</f>
        <v>18.874999999999996</v>
      </c>
      <c r="CX21" s="276">
        <f>Dem!B182+(DD21/4)</f>
        <v>18.774999999999995</v>
      </c>
      <c r="CY21" s="276">
        <f>Dem!B262</f>
        <v>9.8000000000000007</v>
      </c>
      <c r="CZ21" s="276">
        <f>Dem!B302</f>
        <v>5</v>
      </c>
      <c r="DA21" s="276">
        <f>Dem!B342</f>
        <v>4.0999999999999996</v>
      </c>
      <c r="DB21" s="276">
        <f>Dem!B382</f>
        <v>1</v>
      </c>
      <c r="DC21" s="275">
        <v>96</v>
      </c>
      <c r="DD21" s="46">
        <v>-0.50000000000001421</v>
      </c>
      <c r="DE21" s="275"/>
      <c r="DF21" s="276">
        <f>Dem!$D62+(DO21/4)</f>
        <v>48.174999999999997</v>
      </c>
      <c r="DG21" s="276">
        <f>Dem!$D102+(DO21/4)</f>
        <v>49.474999999999994</v>
      </c>
      <c r="DH21" s="276">
        <f>Dem!$D142+(DO21/4)</f>
        <v>49.474999999999994</v>
      </c>
      <c r="DI21" s="276">
        <f>Dem!$D182+(DO21/4)</f>
        <v>49.474999999999994</v>
      </c>
      <c r="DJ21" s="275">
        <f>Dem!$D262</f>
        <v>24.9</v>
      </c>
      <c r="DK21" s="275">
        <f>Dem!$D302</f>
        <v>12.4</v>
      </c>
      <c r="DL21" s="275">
        <f>Dem!$D342</f>
        <v>10</v>
      </c>
      <c r="DM21" s="275">
        <f>Dem!$D382</f>
        <v>2.5</v>
      </c>
      <c r="DN21" s="276">
        <f t="shared" si="17"/>
        <v>249</v>
      </c>
      <c r="DO21" s="44">
        <v>-1.3000000000000114</v>
      </c>
    </row>
    <row r="22" spans="1:119">
      <c r="A22" s="46">
        <f t="shared" si="18"/>
        <v>1992</v>
      </c>
      <c r="B22" s="141">
        <f t="shared" si="8"/>
        <v>0.11414750062917084</v>
      </c>
      <c r="C22" s="46"/>
      <c r="D22" s="141">
        <f t="shared" si="9"/>
        <v>0.60439908793075825</v>
      </c>
      <c r="E22" s="141">
        <f t="shared" si="10"/>
        <v>0.49025158730158741</v>
      </c>
      <c r="F22" s="46"/>
      <c r="G22" s="157">
        <f t="shared" si="11"/>
        <v>3.5948938479275758E-2</v>
      </c>
      <c r="H22" s="157">
        <f t="shared" si="1"/>
        <v>6.2957611999761839E-2</v>
      </c>
      <c r="I22" s="157">
        <f t="shared" si="1"/>
        <v>7.7475278929640901E-2</v>
      </c>
      <c r="J22" s="157">
        <f t="shared" si="1"/>
        <v>7.5613500021965985E-2</v>
      </c>
      <c r="K22" s="157">
        <f t="shared" si="1"/>
        <v>3.1626039169463251E-2</v>
      </c>
      <c r="L22" s="157">
        <f t="shared" si="1"/>
        <v>1.2626153154350866E-2</v>
      </c>
      <c r="M22" s="157">
        <f t="shared" si="1"/>
        <v>5.9520222109204334E-3</v>
      </c>
      <c r="N22" s="157">
        <f t="shared" si="1"/>
        <v>0</v>
      </c>
      <c r="O22" s="46"/>
      <c r="P22" s="154">
        <f t="shared" si="19"/>
        <v>2.0255307603621233E-2</v>
      </c>
      <c r="Q22" s="154">
        <f t="shared" si="20"/>
        <v>8.5211940001190853E-2</v>
      </c>
      <c r="R22" s="154">
        <f t="shared" si="20"/>
        <v>0.21262360535179559</v>
      </c>
      <c r="S22" s="154">
        <f t="shared" si="20"/>
        <v>0.42193249989017012</v>
      </c>
      <c r="T22" s="154">
        <f t="shared" si="20"/>
        <v>0.58373960830536753</v>
      </c>
      <c r="U22" s="154">
        <f t="shared" si="20"/>
        <v>0.69747693691298274</v>
      </c>
      <c r="V22" s="154">
        <f t="shared" si="20"/>
        <v>0.84119944472698926</v>
      </c>
      <c r="W22" s="162">
        <f t="shared" si="21"/>
        <v>1</v>
      </c>
      <c r="X22" s="154"/>
      <c r="Y22" s="142">
        <f t="shared" si="22"/>
        <v>3.246031746031746E-2</v>
      </c>
      <c r="Z22" s="142">
        <f t="shared" si="12"/>
        <v>5.2817460317460319E-2</v>
      </c>
      <c r="AA22" s="142">
        <f t="shared" si="12"/>
        <v>6.2460317460317473E-2</v>
      </c>
      <c r="AB22" s="142">
        <f t="shared" si="12"/>
        <v>5.9007936507936523E-2</v>
      </c>
      <c r="AC22" s="142">
        <f t="shared" si="12"/>
        <v>2.432539682539683E-2</v>
      </c>
      <c r="AD22" s="142">
        <f t="shared" si="12"/>
        <v>9.6527777777777827E-3</v>
      </c>
      <c r="AE22" s="142">
        <f t="shared" si="12"/>
        <v>4.4015873015873066E-3</v>
      </c>
      <c r="AF22" s="142">
        <f t="shared" si="12"/>
        <v>0</v>
      </c>
      <c r="AH22" s="158">
        <f t="shared" si="13"/>
        <v>3.7698412698412696E-2</v>
      </c>
      <c r="AI22" s="158">
        <f t="shared" si="14"/>
        <v>0.13591269841269843</v>
      </c>
      <c r="AJ22" s="158">
        <f t="shared" si="14"/>
        <v>0.28769841269841273</v>
      </c>
      <c r="AK22" s="158">
        <f t="shared" si="14"/>
        <v>0.50496031746031744</v>
      </c>
      <c r="AL22" s="158">
        <f t="shared" si="14"/>
        <v>0.65674603174603174</v>
      </c>
      <c r="AM22" s="158">
        <f t="shared" si="14"/>
        <v>0.75694444444444442</v>
      </c>
      <c r="AN22" s="158">
        <f t="shared" si="14"/>
        <v>0.87996031746031744</v>
      </c>
      <c r="AO22" s="158">
        <v>1</v>
      </c>
      <c r="AP22" s="143"/>
      <c r="AQ22" s="143">
        <f t="shared" si="5"/>
        <v>2.0255307603621233E-2</v>
      </c>
      <c r="AR22" s="143">
        <f t="shared" si="5"/>
        <v>6.4956632397569616E-2</v>
      </c>
      <c r="AS22" s="143">
        <f t="shared" si="5"/>
        <v>0.12741166535060475</v>
      </c>
      <c r="AT22" s="143">
        <f t="shared" si="5"/>
        <v>0.20930889453837451</v>
      </c>
      <c r="AU22" s="143">
        <f t="shared" si="5"/>
        <v>0.16180710841519738</v>
      </c>
      <c r="AV22" s="143">
        <f t="shared" si="5"/>
        <v>0.11373732860761522</v>
      </c>
      <c r="AW22" s="143">
        <f t="shared" si="5"/>
        <v>0.14372250781400647</v>
      </c>
      <c r="AX22" s="143">
        <f t="shared" si="5"/>
        <v>0.15880055527301085</v>
      </c>
      <c r="AY22" s="46"/>
      <c r="AZ22" s="152">
        <f>Shares!D63</f>
        <v>3.8</v>
      </c>
      <c r="BA22" s="152">
        <f>Shares!E63</f>
        <v>9.9</v>
      </c>
      <c r="BB22" s="152">
        <f>Shares!F63</f>
        <v>15.3</v>
      </c>
      <c r="BC22" s="152">
        <f>Shares!G63</f>
        <v>21.9</v>
      </c>
      <c r="BD22" s="152">
        <f>Shares!J63</f>
        <v>15.3</v>
      </c>
      <c r="BE22" s="152">
        <f>Shares!K63</f>
        <v>10.1</v>
      </c>
      <c r="BF22" s="152">
        <f>Shares!L63</f>
        <v>12.4</v>
      </c>
      <c r="BG22" s="152">
        <f>Shares!M63</f>
        <v>12.1</v>
      </c>
      <c r="BI22" s="246">
        <f>TxRt!B66-TxRt!C66+TxRt!C$53</f>
        <v>12.5</v>
      </c>
      <c r="BJ22" s="246">
        <f>TxRt!B109-TxRt!C109+TxRt!C$96</f>
        <v>15.4</v>
      </c>
      <c r="BK22" s="246">
        <f>TxRt!B149-TxRt!C149+TxRt!C$136</f>
        <v>19.600000000000001</v>
      </c>
      <c r="BL22" s="246">
        <f>TxRt!B189-TxRt!C189+TxRt!C$176</f>
        <v>22.6</v>
      </c>
      <c r="BM22" s="246">
        <f>TxRt!B269-TxRt!C269+TxRt!C$256</f>
        <v>24.8</v>
      </c>
      <c r="BN22" s="246">
        <f>TxRt!B309-TxRt!C309+TxRt!C$296</f>
        <v>26.1</v>
      </c>
      <c r="BO22" s="246">
        <f>TxRt!B349-TxRt!C349+TxRt!C$336</f>
        <v>27.300000000000004</v>
      </c>
      <c r="BP22" s="246">
        <f>TxRt!B389-TxRt!C389+TxRt!C$376</f>
        <v>30.6</v>
      </c>
      <c r="BQ22" s="46"/>
      <c r="BR22" s="60">
        <f>Inc!B63</f>
        <v>15600</v>
      </c>
      <c r="BS22" s="60">
        <f>Inc!B103</f>
        <v>36300</v>
      </c>
      <c r="BT22" s="60">
        <f>Inc!B143</f>
        <v>58300</v>
      </c>
      <c r="BU22" s="60">
        <f>Inc!B183</f>
        <v>83500</v>
      </c>
      <c r="BV22" s="60">
        <f>Inc!B263</f>
        <v>112300</v>
      </c>
      <c r="BW22" s="60">
        <f>Inc!B303</f>
        <v>145600</v>
      </c>
      <c r="BX22" s="60">
        <f>Inc!B343</f>
        <v>218800</v>
      </c>
      <c r="BY22" s="60">
        <f>Inc!B383</f>
        <v>884300</v>
      </c>
      <c r="CA22" s="60">
        <f t="shared" si="6"/>
        <v>1950</v>
      </c>
      <c r="CB22" s="60">
        <f t="shared" si="6"/>
        <v>5590.2</v>
      </c>
      <c r="CC22" s="60">
        <f t="shared" si="6"/>
        <v>11426.8</v>
      </c>
      <c r="CD22" s="60">
        <f t="shared" si="6"/>
        <v>18871.000000000004</v>
      </c>
      <c r="CE22" s="60">
        <f t="shared" si="6"/>
        <v>27850.400000000001</v>
      </c>
      <c r="CF22" s="60">
        <f t="shared" si="6"/>
        <v>38001.599999999999</v>
      </c>
      <c r="CG22" s="60">
        <f t="shared" si="6"/>
        <v>59732.400000000009</v>
      </c>
      <c r="CH22" s="60">
        <f t="shared" si="6"/>
        <v>270595.8</v>
      </c>
      <c r="CJ22" s="153">
        <f t="shared" si="15"/>
        <v>34515.000000000007</v>
      </c>
      <c r="CK22" s="153">
        <f t="shared" si="7"/>
        <v>110685.96</v>
      </c>
      <c r="CL22" s="153">
        <f t="shared" si="7"/>
        <v>217109.20000000004</v>
      </c>
      <c r="CM22" s="153">
        <f t="shared" si="7"/>
        <v>356661.90000000008</v>
      </c>
      <c r="CN22" s="153">
        <f t="shared" si="7"/>
        <v>275718.96000000002</v>
      </c>
      <c r="CO22" s="153">
        <f t="shared" si="7"/>
        <v>193808.15999999997</v>
      </c>
      <c r="CP22" s="153">
        <f t="shared" si="7"/>
        <v>244902.84000000003</v>
      </c>
      <c r="CQ22" s="153">
        <f t="shared" si="7"/>
        <v>270595.8</v>
      </c>
      <c r="CR22" s="153">
        <f t="shared" si="16"/>
        <v>1703997.82</v>
      </c>
      <c r="CT22" s="403">
        <v>250.4</v>
      </c>
      <c r="CU22" s="276">
        <f>Dem!B63+(DD22/4)</f>
        <v>17.700000000000003</v>
      </c>
      <c r="CV22" s="276">
        <f>Dem!B103+(DD22/4)</f>
        <v>19.8</v>
      </c>
      <c r="CW22" s="276">
        <f>Dem!B143+(DD22/4)</f>
        <v>19.000000000000004</v>
      </c>
      <c r="CX22" s="276">
        <f>Dem!B183+(DD22/4)</f>
        <v>18.900000000000002</v>
      </c>
      <c r="CY22" s="276">
        <f>Dem!B263</f>
        <v>9.9</v>
      </c>
      <c r="CZ22" s="276">
        <f>Dem!B303</f>
        <v>5.0999999999999996</v>
      </c>
      <c r="DA22" s="276">
        <f>Dem!B343</f>
        <v>4.0999999999999996</v>
      </c>
      <c r="DB22" s="276">
        <f>Dem!B383</f>
        <v>1</v>
      </c>
      <c r="DC22" s="275">
        <v>96.3</v>
      </c>
      <c r="DD22" s="46">
        <v>-0.39999999999999147</v>
      </c>
      <c r="DE22" s="275"/>
      <c r="DF22" s="276">
        <f>Dem!$D63+(DO22/4)</f>
        <v>48.599999999999994</v>
      </c>
      <c r="DG22" s="276">
        <f>Dem!$D103+(DO22/4)</f>
        <v>49.8</v>
      </c>
      <c r="DH22" s="276">
        <f>Dem!$D143+(DO22/4)</f>
        <v>49.8</v>
      </c>
      <c r="DI22" s="276">
        <f>Dem!$D183+(DO22/4)</f>
        <v>49.8</v>
      </c>
      <c r="DJ22" s="275">
        <f>Dem!$D263</f>
        <v>25</v>
      </c>
      <c r="DK22" s="275">
        <f>Dem!$D303</f>
        <v>12.5</v>
      </c>
      <c r="DL22" s="275">
        <f>Dem!$D343</f>
        <v>10</v>
      </c>
      <c r="DM22" s="275">
        <f>Dem!$D383</f>
        <v>2.5</v>
      </c>
      <c r="DN22" s="276">
        <f t="shared" si="17"/>
        <v>250.4</v>
      </c>
      <c r="DO22" s="44">
        <v>-1.2000000000000171</v>
      </c>
    </row>
    <row r="23" spans="1:119">
      <c r="A23" s="46">
        <f t="shared" si="18"/>
        <v>1993</v>
      </c>
      <c r="B23" s="141">
        <f t="shared" si="8"/>
        <v>0.11769518241868265</v>
      </c>
      <c r="C23" s="46"/>
      <c r="D23" s="141">
        <f t="shared" si="9"/>
        <v>0.60504994432344472</v>
      </c>
      <c r="E23" s="141">
        <f t="shared" si="10"/>
        <v>0.48735476190476207</v>
      </c>
      <c r="F23" s="46"/>
      <c r="G23" s="157">
        <f t="shared" si="11"/>
        <v>3.5892258434047371E-2</v>
      </c>
      <c r="H23" s="157">
        <f t="shared" si="1"/>
        <v>6.2996306732376023E-2</v>
      </c>
      <c r="I23" s="157">
        <f t="shared" si="1"/>
        <v>7.7800802770914085E-2</v>
      </c>
      <c r="J23" s="157">
        <f t="shared" si="1"/>
        <v>7.5800824974210201E-2</v>
      </c>
      <c r="K23" s="157">
        <f t="shared" si="1"/>
        <v>3.1598895736974331E-2</v>
      </c>
      <c r="L23" s="157">
        <f t="shared" si="1"/>
        <v>1.2582289354644022E-2</v>
      </c>
      <c r="M23" s="157">
        <f t="shared" si="1"/>
        <v>5.8535941585563253E-3</v>
      </c>
      <c r="N23" s="157">
        <f t="shared" si="1"/>
        <v>0</v>
      </c>
      <c r="O23" s="46"/>
      <c r="P23" s="154">
        <f t="shared" si="19"/>
        <v>2.0538707829763171E-2</v>
      </c>
      <c r="Q23" s="154">
        <f t="shared" si="20"/>
        <v>8.5018466338119936E-2</v>
      </c>
      <c r="R23" s="154">
        <f t="shared" si="20"/>
        <v>0.21099598614542966</v>
      </c>
      <c r="S23" s="154">
        <f t="shared" si="20"/>
        <v>0.42099587512894909</v>
      </c>
      <c r="T23" s="154">
        <f t="shared" si="20"/>
        <v>0.58401104263025672</v>
      </c>
      <c r="U23" s="154">
        <f t="shared" si="20"/>
        <v>0.69835421290711963</v>
      </c>
      <c r="V23" s="154">
        <f t="shared" si="20"/>
        <v>0.84366014603609196</v>
      </c>
      <c r="W23" s="162">
        <f t="shared" si="21"/>
        <v>1</v>
      </c>
      <c r="X23" s="154"/>
      <c r="Y23" s="142">
        <f t="shared" si="22"/>
        <v>3.2460317460317467E-2</v>
      </c>
      <c r="Z23" s="142">
        <f t="shared" si="12"/>
        <v>5.2619047619047635E-2</v>
      </c>
      <c r="AA23" s="142">
        <f t="shared" si="12"/>
        <v>6.2261904761904789E-2</v>
      </c>
      <c r="AB23" s="142">
        <f t="shared" si="12"/>
        <v>5.8611111111111128E-2</v>
      </c>
      <c r="AC23" s="142">
        <f t="shared" si="12"/>
        <v>2.4027777777777783E-2</v>
      </c>
      <c r="AD23" s="142">
        <f t="shared" si="12"/>
        <v>9.454365079365085E-3</v>
      </c>
      <c r="AE23" s="142">
        <f t="shared" si="12"/>
        <v>4.242857142857148E-3</v>
      </c>
      <c r="AF23" s="142">
        <f t="shared" si="12"/>
        <v>0</v>
      </c>
      <c r="AH23" s="158">
        <f t="shared" si="13"/>
        <v>3.7698412698412689E-2</v>
      </c>
      <c r="AI23" s="158">
        <f t="shared" si="14"/>
        <v>0.13690476190476189</v>
      </c>
      <c r="AJ23" s="158">
        <f t="shared" si="14"/>
        <v>0.28869047619047616</v>
      </c>
      <c r="AK23" s="158">
        <f t="shared" si="14"/>
        <v>0.50694444444444442</v>
      </c>
      <c r="AL23" s="158">
        <f t="shared" si="14"/>
        <v>0.65972222222222221</v>
      </c>
      <c r="AM23" s="158">
        <f t="shared" si="14"/>
        <v>0.76091269841269837</v>
      </c>
      <c r="AN23" s="158">
        <f t="shared" si="14"/>
        <v>0.8839285714285714</v>
      </c>
      <c r="AO23" s="158">
        <v>1</v>
      </c>
      <c r="AP23" s="143"/>
      <c r="AQ23" s="143">
        <f t="shared" si="5"/>
        <v>2.0538707829763175E-2</v>
      </c>
      <c r="AR23" s="143">
        <f t="shared" si="5"/>
        <v>6.4479758508356785E-2</v>
      </c>
      <c r="AS23" s="143">
        <f t="shared" si="5"/>
        <v>0.12597751980730976</v>
      </c>
      <c r="AT23" s="143">
        <f t="shared" si="5"/>
        <v>0.20999988898351948</v>
      </c>
      <c r="AU23" s="143">
        <f t="shared" si="5"/>
        <v>0.16301516750130768</v>
      </c>
      <c r="AV23" s="143">
        <f t="shared" si="5"/>
        <v>0.11434317027686293</v>
      </c>
      <c r="AW23" s="143">
        <f t="shared" si="5"/>
        <v>0.1453059331289723</v>
      </c>
      <c r="AX23" s="143">
        <f t="shared" si="5"/>
        <v>0.15633985396390795</v>
      </c>
      <c r="AY23" s="46"/>
      <c r="AZ23" s="152">
        <f>Shares!D64</f>
        <v>3.8</v>
      </c>
      <c r="BA23" s="152">
        <f>Shares!E64</f>
        <v>10</v>
      </c>
      <c r="BB23" s="152">
        <f>Shares!F64</f>
        <v>15.3</v>
      </c>
      <c r="BC23" s="152">
        <f>Shares!G64</f>
        <v>22</v>
      </c>
      <c r="BD23" s="152">
        <f>Shares!J64</f>
        <v>15.4</v>
      </c>
      <c r="BE23" s="152">
        <f>Shares!K64</f>
        <v>10.199999999999999</v>
      </c>
      <c r="BF23" s="152">
        <f>Shares!L64</f>
        <v>12.4</v>
      </c>
      <c r="BG23" s="152">
        <f>Shares!M64</f>
        <v>11.7</v>
      </c>
      <c r="BI23" s="246">
        <f>TxRt!B67-TxRt!C67+TxRt!C$53</f>
        <v>13</v>
      </c>
      <c r="BJ23" s="246">
        <f>TxRt!B110-TxRt!C110+TxRt!C$96</f>
        <v>15.4</v>
      </c>
      <c r="BK23" s="246">
        <f>TxRt!B150-TxRt!C150+TxRt!C$136</f>
        <v>19.600000000000001</v>
      </c>
      <c r="BL23" s="246">
        <f>TxRt!B190-TxRt!C190+TxRt!C$176</f>
        <v>22.700000000000003</v>
      </c>
      <c r="BM23" s="246">
        <f>TxRt!B270-TxRt!C270+TxRt!C$256</f>
        <v>25</v>
      </c>
      <c r="BN23" s="246">
        <f>TxRt!B310-TxRt!C310+TxRt!C$296</f>
        <v>26.599999999999998</v>
      </c>
      <c r="BO23" s="246">
        <f>TxRt!B350-TxRt!C350+TxRt!C$336</f>
        <v>28</v>
      </c>
      <c r="BP23" s="246">
        <f>TxRt!B390-TxRt!C390+TxRt!C$376</f>
        <v>32.100000000000009</v>
      </c>
      <c r="BQ23" s="46"/>
      <c r="BR23" s="60">
        <f>Inc!B64</f>
        <v>15600</v>
      </c>
      <c r="BS23" s="60">
        <f>Inc!B104</f>
        <v>36400</v>
      </c>
      <c r="BT23" s="60">
        <f>Inc!B144</f>
        <v>58500</v>
      </c>
      <c r="BU23" s="60">
        <f>Inc!B184</f>
        <v>84200</v>
      </c>
      <c r="BV23" s="60">
        <f>Inc!B264</f>
        <v>113800</v>
      </c>
      <c r="BW23" s="60">
        <f>Inc!B304</f>
        <v>147100</v>
      </c>
      <c r="BX23" s="60">
        <f>Inc!B344</f>
        <v>220900</v>
      </c>
      <c r="BY23" s="60">
        <f>Inc!B384</f>
        <v>850000</v>
      </c>
      <c r="CA23" s="60">
        <f t="shared" si="6"/>
        <v>2028</v>
      </c>
      <c r="CB23" s="60">
        <f t="shared" si="6"/>
        <v>5605.6</v>
      </c>
      <c r="CC23" s="60">
        <f t="shared" si="6"/>
        <v>11466</v>
      </c>
      <c r="CD23" s="60">
        <f t="shared" si="6"/>
        <v>19113.400000000001</v>
      </c>
      <c r="CE23" s="60">
        <f t="shared" si="6"/>
        <v>28450</v>
      </c>
      <c r="CF23" s="60">
        <f t="shared" si="6"/>
        <v>39128.6</v>
      </c>
      <c r="CG23" s="60">
        <f t="shared" si="6"/>
        <v>61852</v>
      </c>
      <c r="CH23" s="60">
        <f t="shared" si="6"/>
        <v>272850.00000000006</v>
      </c>
      <c r="CJ23" s="153">
        <f t="shared" si="15"/>
        <v>35844.899999999994</v>
      </c>
      <c r="CK23" s="153">
        <f t="shared" si="7"/>
        <v>112532.41999999998</v>
      </c>
      <c r="CL23" s="153">
        <f t="shared" si="7"/>
        <v>219860.54999999996</v>
      </c>
      <c r="CM23" s="153">
        <f t="shared" si="7"/>
        <v>366499.44499999995</v>
      </c>
      <c r="CN23" s="153">
        <f t="shared" si="7"/>
        <v>284500</v>
      </c>
      <c r="CO23" s="153">
        <f t="shared" si="7"/>
        <v>199555.86</v>
      </c>
      <c r="CP23" s="153">
        <f t="shared" si="7"/>
        <v>253593.19999999998</v>
      </c>
      <c r="CQ23" s="153">
        <f t="shared" si="7"/>
        <v>272850.00000000006</v>
      </c>
      <c r="CR23" s="153">
        <f t="shared" si="16"/>
        <v>1745236.3749999998</v>
      </c>
      <c r="CT23" s="403">
        <v>255</v>
      </c>
      <c r="CU23" s="276">
        <f>Dem!B64+(DD23/4)</f>
        <v>17.674999999999997</v>
      </c>
      <c r="CV23" s="276">
        <f>Dem!B104+(DD23/4)</f>
        <v>20.074999999999996</v>
      </c>
      <c r="CW23" s="276">
        <f>Dem!B144+(DD23/4)</f>
        <v>19.174999999999997</v>
      </c>
      <c r="CX23" s="276">
        <f>Dem!B184+(DD23/4)</f>
        <v>19.174999999999997</v>
      </c>
      <c r="CY23" s="276">
        <f>Dem!B264</f>
        <v>10</v>
      </c>
      <c r="CZ23" s="276">
        <f>Dem!B304</f>
        <v>5.0999999999999996</v>
      </c>
      <c r="DA23" s="276">
        <f>Dem!B344</f>
        <v>4.0999999999999996</v>
      </c>
      <c r="DB23" s="276">
        <f>Dem!B384</f>
        <v>1</v>
      </c>
      <c r="DC23" s="275">
        <v>97.3</v>
      </c>
      <c r="DD23" s="46">
        <v>-0.50000000000001421</v>
      </c>
      <c r="DE23" s="275"/>
      <c r="DF23" s="276">
        <f>Dem!$D64+(DO23/4)</f>
        <v>49.499999999999993</v>
      </c>
      <c r="DG23" s="276">
        <f>Dem!$D104+(DO23/4)</f>
        <v>50.699999999999996</v>
      </c>
      <c r="DH23" s="276">
        <f>Dem!$D144+(DO23/4)</f>
        <v>50.699999999999996</v>
      </c>
      <c r="DI23" s="276">
        <f>Dem!$D184+(DO23/4)</f>
        <v>50.699999999999996</v>
      </c>
      <c r="DJ23" s="275">
        <f>Dem!$D264</f>
        <v>25.5</v>
      </c>
      <c r="DK23" s="275">
        <f>Dem!$D304</f>
        <v>12.7</v>
      </c>
      <c r="DL23" s="275">
        <f>Dem!$D344</f>
        <v>10.199999999999999</v>
      </c>
      <c r="DM23" s="275">
        <f>Dem!$D384</f>
        <v>2.6</v>
      </c>
      <c r="DN23" s="276">
        <f t="shared" si="17"/>
        <v>255</v>
      </c>
      <c r="DO23" s="44">
        <v>-1.2000000000000171</v>
      </c>
    </row>
    <row r="24" spans="1:119">
      <c r="A24" s="46">
        <f t="shared" si="18"/>
        <v>1994</v>
      </c>
      <c r="B24" s="141">
        <f t="shared" si="8"/>
        <v>0.11828933532214353</v>
      </c>
      <c r="C24" s="46"/>
      <c r="D24" s="141">
        <f t="shared" si="9"/>
        <v>0.60851714068460649</v>
      </c>
      <c r="E24" s="141">
        <f t="shared" si="10"/>
        <v>0.49022780536246297</v>
      </c>
      <c r="F24" s="46"/>
      <c r="G24" s="157">
        <f t="shared" si="11"/>
        <v>3.595339954662212E-2</v>
      </c>
      <c r="H24" s="157">
        <f t="shared" si="1"/>
        <v>6.3162496928279202E-2</v>
      </c>
      <c r="I24" s="157">
        <f t="shared" si="1"/>
        <v>7.8088074101991367E-2</v>
      </c>
      <c r="J24" s="157">
        <f t="shared" si="1"/>
        <v>7.6192586819727237E-2</v>
      </c>
      <c r="K24" s="157">
        <f t="shared" si="1"/>
        <v>3.2042059525297532E-2</v>
      </c>
      <c r="L24" s="157">
        <f t="shared" si="1"/>
        <v>1.2823464263744762E-2</v>
      </c>
      <c r="M24" s="157">
        <f t="shared" si="1"/>
        <v>5.9964891566410472E-3</v>
      </c>
      <c r="N24" s="157">
        <f t="shared" si="1"/>
        <v>0</v>
      </c>
      <c r="O24" s="46"/>
      <c r="P24" s="154">
        <f t="shared" si="19"/>
        <v>2.0233002266889417E-2</v>
      </c>
      <c r="Q24" s="154">
        <f t="shared" si="20"/>
        <v>8.4187515358603998E-2</v>
      </c>
      <c r="R24" s="154">
        <f t="shared" si="20"/>
        <v>0.20955962949004331</v>
      </c>
      <c r="S24" s="154">
        <f t="shared" si="20"/>
        <v>0.41903706590136391</v>
      </c>
      <c r="T24" s="154">
        <f t="shared" si="20"/>
        <v>0.57957940474702474</v>
      </c>
      <c r="U24" s="154">
        <f t="shared" si="20"/>
        <v>0.69353071472510486</v>
      </c>
      <c r="V24" s="154">
        <f t="shared" si="20"/>
        <v>0.84008777108397392</v>
      </c>
      <c r="W24" s="162">
        <f t="shared" si="21"/>
        <v>1</v>
      </c>
      <c r="X24" s="154"/>
      <c r="Y24" s="142">
        <f t="shared" si="22"/>
        <v>3.2651439920556115E-2</v>
      </c>
      <c r="Z24" s="142">
        <f t="shared" si="12"/>
        <v>5.2989076464746779E-2</v>
      </c>
      <c r="AA24" s="142">
        <f t="shared" si="12"/>
        <v>6.2601787487586921E-2</v>
      </c>
      <c r="AB24" s="142">
        <f t="shared" si="12"/>
        <v>5.8907646474677278E-2</v>
      </c>
      <c r="AC24" s="142">
        <f t="shared" si="12"/>
        <v>2.4160873882820268E-2</v>
      </c>
      <c r="AD24" s="142">
        <f t="shared" si="12"/>
        <v>9.5158887785501585E-3</v>
      </c>
      <c r="AE24" s="142">
        <f t="shared" si="12"/>
        <v>4.2871896722939517E-3</v>
      </c>
      <c r="AF24" s="142">
        <f t="shared" si="12"/>
        <v>0</v>
      </c>
      <c r="AH24" s="158">
        <f t="shared" si="13"/>
        <v>3.6742800397219458E-2</v>
      </c>
      <c r="AI24" s="158">
        <f t="shared" si="14"/>
        <v>0.13505461767626611</v>
      </c>
      <c r="AJ24" s="158">
        <f t="shared" si="14"/>
        <v>0.28699106256206552</v>
      </c>
      <c r="AK24" s="158">
        <f t="shared" si="14"/>
        <v>0.50546176762661366</v>
      </c>
      <c r="AL24" s="158">
        <f t="shared" si="14"/>
        <v>0.65839126117179736</v>
      </c>
      <c r="AM24" s="158">
        <f t="shared" si="14"/>
        <v>0.75968222442899691</v>
      </c>
      <c r="AN24" s="158">
        <f t="shared" si="14"/>
        <v>0.88282025819265131</v>
      </c>
      <c r="AO24" s="158">
        <v>1</v>
      </c>
      <c r="AP24" s="143"/>
      <c r="AQ24" s="143">
        <f t="shared" si="5"/>
        <v>2.0233002266889417E-2</v>
      </c>
      <c r="AR24" s="143">
        <f t="shared" si="5"/>
        <v>6.3954513091714585E-2</v>
      </c>
      <c r="AS24" s="143">
        <f t="shared" si="5"/>
        <v>0.12537211413143931</v>
      </c>
      <c r="AT24" s="143">
        <f t="shared" si="5"/>
        <v>0.20947743641132061</v>
      </c>
      <c r="AU24" s="143">
        <f t="shared" si="5"/>
        <v>0.16054233884566083</v>
      </c>
      <c r="AV24" s="143">
        <f t="shared" si="5"/>
        <v>0.11395130997808008</v>
      </c>
      <c r="AW24" s="143">
        <f t="shared" si="5"/>
        <v>0.14655705635886904</v>
      </c>
      <c r="AX24" s="143">
        <f t="shared" si="5"/>
        <v>0.15991222891602616</v>
      </c>
      <c r="AY24" s="46"/>
      <c r="AZ24" s="152">
        <f>Shares!D65</f>
        <v>3.7</v>
      </c>
      <c r="BA24" s="152">
        <f>Shares!E65</f>
        <v>9.9</v>
      </c>
      <c r="BB24" s="152">
        <f>Shares!F65</f>
        <v>15.3</v>
      </c>
      <c r="BC24" s="152">
        <f>Shares!G65</f>
        <v>22</v>
      </c>
      <c r="BD24" s="152">
        <f>Shares!J65</f>
        <v>15.4</v>
      </c>
      <c r="BE24" s="152">
        <f>Shares!K65</f>
        <v>10.199999999999999</v>
      </c>
      <c r="BF24" s="152">
        <f>Shares!L65</f>
        <v>12.4</v>
      </c>
      <c r="BG24" s="152">
        <f>Shares!M65</f>
        <v>11.8</v>
      </c>
      <c r="BI24" s="246">
        <f>TxRt!B68-TxRt!C68+TxRt!C$53</f>
        <v>13.1</v>
      </c>
      <c r="BJ24" s="246">
        <f>TxRt!B111-TxRt!C111+TxRt!C$96</f>
        <v>15.6</v>
      </c>
      <c r="BK24" s="246">
        <f>TxRt!B151-TxRt!C151+TxRt!C$136</f>
        <v>19.8</v>
      </c>
      <c r="BL24" s="246">
        <f>TxRt!B191-TxRt!C191+TxRt!C$176</f>
        <v>23</v>
      </c>
      <c r="BM24" s="246">
        <f>TxRt!B271-TxRt!C271+TxRt!C$256</f>
        <v>25.200000000000003</v>
      </c>
      <c r="BN24" s="246">
        <f>TxRt!B311-TxRt!C311+TxRt!C$296</f>
        <v>26.700000000000003</v>
      </c>
      <c r="BO24" s="246">
        <f>TxRt!B351-TxRt!C351+TxRt!C$336</f>
        <v>28.1</v>
      </c>
      <c r="BP24" s="246">
        <f>TxRt!B391-TxRt!C391+TxRt!C$376</f>
        <v>33.299999999999997</v>
      </c>
      <c r="BQ24" s="46"/>
      <c r="BR24" s="60">
        <f>Inc!B65</f>
        <v>15500</v>
      </c>
      <c r="BS24" s="60">
        <f>Inc!B105</f>
        <v>36700</v>
      </c>
      <c r="BT24" s="60">
        <f>Inc!B145</f>
        <v>58700</v>
      </c>
      <c r="BU24" s="60">
        <f>Inc!B185</f>
        <v>85300</v>
      </c>
      <c r="BV24" s="60">
        <f>Inc!B265</f>
        <v>116200</v>
      </c>
      <c r="BW24" s="60">
        <f>Inc!B305</f>
        <v>149700</v>
      </c>
      <c r="BX24" s="60">
        <f>Inc!B345</f>
        <v>226500</v>
      </c>
      <c r="BY24" s="60">
        <f>Inc!B385</f>
        <v>875900</v>
      </c>
      <c r="CA24" s="60">
        <f t="shared" si="6"/>
        <v>2030.5</v>
      </c>
      <c r="CB24" s="60">
        <f t="shared" si="6"/>
        <v>5725.2</v>
      </c>
      <c r="CC24" s="60">
        <f t="shared" si="6"/>
        <v>11622.6</v>
      </c>
      <c r="CD24" s="60">
        <f t="shared" si="6"/>
        <v>19619</v>
      </c>
      <c r="CE24" s="60">
        <f t="shared" si="6"/>
        <v>29282.400000000005</v>
      </c>
      <c r="CF24" s="60">
        <f t="shared" si="6"/>
        <v>39969.9</v>
      </c>
      <c r="CG24" s="60">
        <f t="shared" si="6"/>
        <v>63646.5</v>
      </c>
      <c r="CH24" s="60">
        <f t="shared" si="6"/>
        <v>291674.69999999995</v>
      </c>
      <c r="CJ24" s="153">
        <f t="shared" si="15"/>
        <v>36904.337500000001</v>
      </c>
      <c r="CK24" s="153">
        <f t="shared" si="7"/>
        <v>116650.95</v>
      </c>
      <c r="CL24" s="153">
        <f t="shared" si="7"/>
        <v>228674.65500000003</v>
      </c>
      <c r="CM24" s="153">
        <f t="shared" si="7"/>
        <v>382080.02500000002</v>
      </c>
      <c r="CN24" s="153">
        <f t="shared" si="7"/>
        <v>292824.00000000006</v>
      </c>
      <c r="CO24" s="153">
        <f t="shared" si="7"/>
        <v>207843.48</v>
      </c>
      <c r="CP24" s="153">
        <f t="shared" si="7"/>
        <v>267315.3</v>
      </c>
      <c r="CQ24" s="153">
        <f t="shared" si="7"/>
        <v>291674.69999999995</v>
      </c>
      <c r="CR24" s="153">
        <f t="shared" si="16"/>
        <v>1823967.4475</v>
      </c>
      <c r="CT24" s="403">
        <v>257.8</v>
      </c>
      <c r="CU24" s="276">
        <f>Dem!B65+(DD24/4)</f>
        <v>18.175000000000001</v>
      </c>
      <c r="CV24" s="276">
        <f>Dem!B105+(DD24/4)</f>
        <v>20.375</v>
      </c>
      <c r="CW24" s="276">
        <f>Dem!B145+(DD24/4)</f>
        <v>19.675000000000001</v>
      </c>
      <c r="CX24" s="276">
        <f>Dem!B185+(DD24/4)</f>
        <v>19.475000000000001</v>
      </c>
      <c r="CY24" s="276">
        <f>Dem!B265</f>
        <v>10</v>
      </c>
      <c r="CZ24" s="276">
        <f>Dem!B305</f>
        <v>5.2</v>
      </c>
      <c r="DA24" s="276">
        <f>Dem!B345</f>
        <v>4.2</v>
      </c>
      <c r="DB24" s="276">
        <f>Dem!B385</f>
        <v>1</v>
      </c>
      <c r="DC24" s="275">
        <v>99.1</v>
      </c>
      <c r="DD24" s="46">
        <v>-0.5</v>
      </c>
      <c r="DE24" s="275"/>
      <c r="DF24" s="276">
        <f>Dem!$D65+(DO24/4)</f>
        <v>50.15</v>
      </c>
      <c r="DG24" s="276">
        <f>Dem!$D105+(DO24/4)</f>
        <v>51.35</v>
      </c>
      <c r="DH24" s="276">
        <f>Dem!$D145+(DO24/4)</f>
        <v>51.35</v>
      </c>
      <c r="DI24" s="276">
        <f>Dem!$D185+(DO24/4)</f>
        <v>51.35</v>
      </c>
      <c r="DJ24" s="275">
        <f>Dem!$D265</f>
        <v>25.8</v>
      </c>
      <c r="DK24" s="275">
        <f>Dem!$D305</f>
        <v>12.9</v>
      </c>
      <c r="DL24" s="275">
        <f>Dem!$D345</f>
        <v>10.3</v>
      </c>
      <c r="DM24" s="275">
        <f>Dem!$D385</f>
        <v>2.6</v>
      </c>
      <c r="DN24" s="276">
        <f t="shared" si="17"/>
        <v>257.8</v>
      </c>
      <c r="DO24" s="44">
        <v>-1</v>
      </c>
    </row>
    <row r="25" spans="1:119">
      <c r="A25" s="46">
        <f t="shared" si="18"/>
        <v>1995</v>
      </c>
      <c r="B25" s="141">
        <f t="shared" si="8"/>
        <v>0.12202245636834491</v>
      </c>
      <c r="C25" s="46"/>
      <c r="D25" s="141">
        <f t="shared" si="9"/>
        <v>0.61301135626923697</v>
      </c>
      <c r="E25" s="141">
        <f t="shared" si="10"/>
        <v>0.49098889990089206</v>
      </c>
      <c r="F25" s="46"/>
      <c r="G25" s="157">
        <f t="shared" si="11"/>
        <v>3.5718754227343705E-2</v>
      </c>
      <c r="H25" s="157">
        <f t="shared" si="11"/>
        <v>6.2894848845582149E-2</v>
      </c>
      <c r="I25" s="157">
        <f t="shared" si="11"/>
        <v>7.8333659970763331E-2</v>
      </c>
      <c r="J25" s="157">
        <f t="shared" si="11"/>
        <v>7.7253061569464931E-2</v>
      </c>
      <c r="K25" s="157">
        <f t="shared" si="11"/>
        <v>3.2809651880245198E-2</v>
      </c>
      <c r="L25" s="157">
        <f t="shared" si="11"/>
        <v>1.3194888867536959E-2</v>
      </c>
      <c r="M25" s="157">
        <f t="shared" si="11"/>
        <v>6.3008127736822453E-3</v>
      </c>
      <c r="N25" s="157">
        <f t="shared" si="11"/>
        <v>0</v>
      </c>
      <c r="O25" s="46"/>
      <c r="P25" s="154">
        <f t="shared" si="19"/>
        <v>2.1406228863281498E-2</v>
      </c>
      <c r="Q25" s="154">
        <f t="shared" si="20"/>
        <v>8.5525755772089346E-2</v>
      </c>
      <c r="R25" s="154">
        <f t="shared" si="20"/>
        <v>0.20833170014618346</v>
      </c>
      <c r="S25" s="154">
        <f t="shared" si="20"/>
        <v>0.41373469215267544</v>
      </c>
      <c r="T25" s="154">
        <f t="shared" si="20"/>
        <v>0.57190348119754808</v>
      </c>
      <c r="U25" s="154">
        <f t="shared" si="20"/>
        <v>0.68610222264926091</v>
      </c>
      <c r="V25" s="154">
        <f t="shared" si="20"/>
        <v>0.83247968065794398</v>
      </c>
      <c r="W25" s="162">
        <f t="shared" si="21"/>
        <v>1</v>
      </c>
      <c r="X25" s="154"/>
      <c r="Y25" s="142">
        <f t="shared" si="22"/>
        <v>3.2071357779980179E-2</v>
      </c>
      <c r="Z25" s="142">
        <f t="shared" si="12"/>
        <v>5.2447968285431128E-2</v>
      </c>
      <c r="AA25" s="142">
        <f t="shared" si="12"/>
        <v>6.2517343904856318E-2</v>
      </c>
      <c r="AB25" s="142">
        <f t="shared" si="12"/>
        <v>5.9504459861248776E-2</v>
      </c>
      <c r="AC25" s="142">
        <f t="shared" si="12"/>
        <v>2.4687809712586717E-2</v>
      </c>
      <c r="AD25" s="142">
        <f t="shared" si="12"/>
        <v>9.7893954410307252E-3</v>
      </c>
      <c r="AE25" s="142">
        <f t="shared" si="12"/>
        <v>4.4761149653121945E-3</v>
      </c>
      <c r="AF25" s="142">
        <f t="shared" si="12"/>
        <v>0</v>
      </c>
      <c r="AH25" s="158">
        <f t="shared" si="13"/>
        <v>3.9643211100099107E-2</v>
      </c>
      <c r="AI25" s="158">
        <f t="shared" si="14"/>
        <v>0.1377601585728444</v>
      </c>
      <c r="AJ25" s="158">
        <f t="shared" si="14"/>
        <v>0.28741328047571851</v>
      </c>
      <c r="AK25" s="158">
        <f t="shared" si="14"/>
        <v>0.50247770069375619</v>
      </c>
      <c r="AL25" s="158">
        <f t="shared" si="14"/>
        <v>0.65312190287413285</v>
      </c>
      <c r="AM25" s="158">
        <f t="shared" si="14"/>
        <v>0.75421209117938559</v>
      </c>
      <c r="AN25" s="158">
        <f t="shared" si="14"/>
        <v>0.87809712586719524</v>
      </c>
      <c r="AO25" s="158">
        <v>1</v>
      </c>
      <c r="AP25" s="143"/>
      <c r="AQ25" s="143">
        <f t="shared" si="5"/>
        <v>2.1406228863281501E-2</v>
      </c>
      <c r="AR25" s="143">
        <f t="shared" si="5"/>
        <v>6.4119526908807858E-2</v>
      </c>
      <c r="AS25" s="143">
        <f t="shared" si="5"/>
        <v>0.12280594437409414</v>
      </c>
      <c r="AT25" s="143">
        <f t="shared" si="5"/>
        <v>0.20540299200649206</v>
      </c>
      <c r="AU25" s="143">
        <f t="shared" si="5"/>
        <v>0.15816878904487261</v>
      </c>
      <c r="AV25" s="143">
        <f t="shared" si="5"/>
        <v>0.11419874145171283</v>
      </c>
      <c r="AW25" s="143">
        <f t="shared" si="5"/>
        <v>0.14637745800868304</v>
      </c>
      <c r="AX25" s="143">
        <f t="shared" si="5"/>
        <v>0.16752031934205608</v>
      </c>
      <c r="AY25" s="46"/>
      <c r="AZ25" s="152">
        <f>Shares!D66</f>
        <v>4</v>
      </c>
      <c r="BA25" s="152">
        <f>Shares!E66</f>
        <v>9.9</v>
      </c>
      <c r="BB25" s="152">
        <f>Shares!F66</f>
        <v>15.1</v>
      </c>
      <c r="BC25" s="152">
        <f>Shares!G66</f>
        <v>21.7</v>
      </c>
      <c r="BD25" s="152">
        <f>Shares!J66</f>
        <v>15.2</v>
      </c>
      <c r="BE25" s="152">
        <f>Shares!K66</f>
        <v>10.199999999999999</v>
      </c>
      <c r="BF25" s="152">
        <f>Shares!L66</f>
        <v>12.5</v>
      </c>
      <c r="BG25" s="152">
        <f>Shares!M66</f>
        <v>12.3</v>
      </c>
      <c r="BI25" s="246">
        <f>TxRt!B69-TxRt!C69+TxRt!C$53</f>
        <v>13.100000000000001</v>
      </c>
      <c r="BJ25" s="246">
        <f>TxRt!B112-TxRt!C112+TxRt!C$96</f>
        <v>15.8</v>
      </c>
      <c r="BK25" s="246">
        <f>TxRt!B152-TxRt!C152+TxRt!C$136</f>
        <v>19.8</v>
      </c>
      <c r="BL25" s="246">
        <f>TxRt!B192-TxRt!C192+TxRt!C$176</f>
        <v>23</v>
      </c>
      <c r="BM25" s="246">
        <f>TxRt!B272-TxRt!C272+TxRt!C$256</f>
        <v>25.200000000000003</v>
      </c>
      <c r="BN25" s="246">
        <f>TxRt!B312-TxRt!C312+TxRt!C$296</f>
        <v>26.9</v>
      </c>
      <c r="BO25" s="246">
        <f>TxRt!B352-TxRt!C352+TxRt!C$336</f>
        <v>28.1</v>
      </c>
      <c r="BP25" s="246">
        <f>TxRt!B392-TxRt!C392+TxRt!C$376</f>
        <v>33.1</v>
      </c>
      <c r="BQ25" s="46"/>
      <c r="BR25" s="60">
        <f>Inc!B66</f>
        <v>16700</v>
      </c>
      <c r="BS25" s="60">
        <f>Inc!B106</f>
        <v>38600</v>
      </c>
      <c r="BT25" s="60">
        <f>Inc!B146</f>
        <v>60800</v>
      </c>
      <c r="BU25" s="60">
        <f>Inc!B186</f>
        <v>87100</v>
      </c>
      <c r="BV25" s="60">
        <f>Inc!B266</f>
        <v>119400</v>
      </c>
      <c r="BW25" s="60">
        <f>Inc!B306</f>
        <v>153900</v>
      </c>
      <c r="BX25" s="60">
        <f>Inc!B346</f>
        <v>238300</v>
      </c>
      <c r="BY25" s="60">
        <f>Inc!B386</f>
        <v>972400</v>
      </c>
      <c r="CA25" s="60">
        <f t="shared" si="6"/>
        <v>2187.7000000000003</v>
      </c>
      <c r="CB25" s="60">
        <f t="shared" si="6"/>
        <v>6098.8</v>
      </c>
      <c r="CC25" s="60">
        <f t="shared" si="6"/>
        <v>12038.4</v>
      </c>
      <c r="CD25" s="60">
        <f t="shared" si="6"/>
        <v>20033</v>
      </c>
      <c r="CE25" s="60">
        <f t="shared" si="6"/>
        <v>30088.800000000003</v>
      </c>
      <c r="CF25" s="60">
        <f t="shared" si="6"/>
        <v>41399.1</v>
      </c>
      <c r="CG25" s="60">
        <f t="shared" si="6"/>
        <v>66962.3</v>
      </c>
      <c r="CH25" s="60">
        <f t="shared" si="6"/>
        <v>321864.40000000002</v>
      </c>
      <c r="CJ25" s="153">
        <f t="shared" si="15"/>
        <v>41128.76</v>
      </c>
      <c r="CK25" s="153">
        <f t="shared" si="7"/>
        <v>123195.76</v>
      </c>
      <c r="CL25" s="153">
        <f t="shared" si="7"/>
        <v>235952.63999999996</v>
      </c>
      <c r="CM25" s="153">
        <f t="shared" si="7"/>
        <v>394650.1</v>
      </c>
      <c r="CN25" s="153">
        <f t="shared" si="7"/>
        <v>303896.88</v>
      </c>
      <c r="CO25" s="153">
        <f t="shared" si="7"/>
        <v>219415.22999999998</v>
      </c>
      <c r="CP25" s="153">
        <f t="shared" si="7"/>
        <v>281241.66000000003</v>
      </c>
      <c r="CQ25" s="153">
        <f t="shared" si="7"/>
        <v>321864.40000000002</v>
      </c>
      <c r="CR25" s="153">
        <f t="shared" si="16"/>
        <v>1921345.4299999997</v>
      </c>
      <c r="CT25" s="403">
        <v>258.60000000000002</v>
      </c>
      <c r="CU25" s="276">
        <f>Dem!B66+(DD25/4)</f>
        <v>18.799999999999997</v>
      </c>
      <c r="CV25" s="276">
        <f>Dem!B106+(DD25/4)</f>
        <v>20.2</v>
      </c>
      <c r="CW25" s="276">
        <f>Dem!B146+(DD25/4)</f>
        <v>19.599999999999998</v>
      </c>
      <c r="CX25" s="276">
        <f>Dem!B186+(DD25/4)</f>
        <v>19.7</v>
      </c>
      <c r="CY25" s="276">
        <f>Dem!B266</f>
        <v>10.1</v>
      </c>
      <c r="CZ25" s="276">
        <f>Dem!B306</f>
        <v>5.3</v>
      </c>
      <c r="DA25" s="276">
        <f>Dem!B346</f>
        <v>4.2</v>
      </c>
      <c r="DB25" s="276">
        <f>Dem!B386</f>
        <v>1</v>
      </c>
      <c r="DC25" s="275">
        <v>99.7</v>
      </c>
      <c r="DD25" s="46">
        <v>-0.40000000000000568</v>
      </c>
      <c r="DE25" s="275"/>
      <c r="DF25" s="276">
        <f>Dem!$D66+(DO25/4)</f>
        <v>50.675000000000004</v>
      </c>
      <c r="DG25" s="276">
        <f>Dem!$D106+(DO25/4)</f>
        <v>51.475000000000009</v>
      </c>
      <c r="DH25" s="276">
        <f>Dem!$D146+(DO25/4)</f>
        <v>51.475000000000009</v>
      </c>
      <c r="DI25" s="276">
        <f>Dem!$D186+(DO25/4)</f>
        <v>51.475000000000009</v>
      </c>
      <c r="DJ25" s="275">
        <f>Dem!$D266</f>
        <v>25.9</v>
      </c>
      <c r="DK25" s="275">
        <f>Dem!$D306</f>
        <v>12.9</v>
      </c>
      <c r="DL25" s="275">
        <f>Dem!$D346</f>
        <v>10.3</v>
      </c>
      <c r="DM25" s="275">
        <f>Dem!$D386</f>
        <v>2.6</v>
      </c>
      <c r="DN25" s="276">
        <f t="shared" si="17"/>
        <v>258.60000000000002</v>
      </c>
      <c r="DO25" s="44">
        <v>-0.89999999999997726</v>
      </c>
    </row>
    <row r="26" spans="1:119">
      <c r="A26" s="46">
        <f t="shared" si="18"/>
        <v>1996</v>
      </c>
      <c r="B26" s="141">
        <f t="shared" si="8"/>
        <v>0.12321052394605003</v>
      </c>
      <c r="C26" s="46"/>
      <c r="D26" s="141">
        <f t="shared" si="9"/>
        <v>0.63016126873254463</v>
      </c>
      <c r="E26" s="141">
        <f t="shared" si="10"/>
        <v>0.5069507447864946</v>
      </c>
      <c r="F26" s="46"/>
      <c r="G26" s="157">
        <f t="shared" si="11"/>
        <v>3.599660318246517E-2</v>
      </c>
      <c r="H26" s="157">
        <f t="shared" si="11"/>
        <v>6.3615117433498611E-2</v>
      </c>
      <c r="I26" s="157">
        <f t="shared" si="11"/>
        <v>7.9770930627097003E-2</v>
      </c>
      <c r="J26" s="157">
        <f t="shared" si="11"/>
        <v>7.9836858377115932E-2</v>
      </c>
      <c r="K26" s="157">
        <f t="shared" si="11"/>
        <v>3.4470345537661984E-2</v>
      </c>
      <c r="L26" s="157">
        <f t="shared" si="11"/>
        <v>1.4221559990173238E-2</v>
      </c>
      <c r="M26" s="157">
        <f t="shared" si="11"/>
        <v>7.1692192182604324E-3</v>
      </c>
      <c r="N26" s="157">
        <f t="shared" si="11"/>
        <v>0</v>
      </c>
      <c r="O26" s="46"/>
      <c r="P26" s="154">
        <f t="shared" si="19"/>
        <v>2.0016984087674168E-2</v>
      </c>
      <c r="Q26" s="154">
        <f t="shared" si="20"/>
        <v>8.1924412832506968E-2</v>
      </c>
      <c r="R26" s="154">
        <f t="shared" si="20"/>
        <v>0.20114534686451513</v>
      </c>
      <c r="S26" s="154">
        <f t="shared" si="20"/>
        <v>0.40081570811442041</v>
      </c>
      <c r="T26" s="154">
        <f t="shared" si="20"/>
        <v>0.55529654462338018</v>
      </c>
      <c r="U26" s="154">
        <f t="shared" si="20"/>
        <v>0.6655688001965353</v>
      </c>
      <c r="V26" s="154">
        <f t="shared" si="20"/>
        <v>0.8107695195434893</v>
      </c>
      <c r="W26" s="162">
        <f t="shared" si="21"/>
        <v>1</v>
      </c>
      <c r="X26" s="154"/>
      <c r="Y26" s="142">
        <f t="shared" si="22"/>
        <v>3.2452830188679248E-2</v>
      </c>
      <c r="Z26" s="142">
        <f t="shared" si="22"/>
        <v>5.3386295928500506E-2</v>
      </c>
      <c r="AA26" s="142">
        <f t="shared" si="22"/>
        <v>6.4190665342601802E-2</v>
      </c>
      <c r="AB26" s="142">
        <f t="shared" si="22"/>
        <v>6.18867924528302E-2</v>
      </c>
      <c r="AC26" s="142">
        <f t="shared" si="22"/>
        <v>2.6047666335650446E-2</v>
      </c>
      <c r="AD26" s="142">
        <f t="shared" si="22"/>
        <v>1.0508937437934457E-2</v>
      </c>
      <c r="AE26" s="142">
        <f t="shared" si="22"/>
        <v>5.0021847070506453E-3</v>
      </c>
      <c r="AF26" s="142">
        <f t="shared" si="22"/>
        <v>0</v>
      </c>
      <c r="AH26" s="158">
        <f t="shared" si="13"/>
        <v>3.7735849056603779E-2</v>
      </c>
      <c r="AI26" s="158">
        <f t="shared" si="14"/>
        <v>0.13306852035749753</v>
      </c>
      <c r="AJ26" s="158">
        <f t="shared" si="14"/>
        <v>0.27904667328699106</v>
      </c>
      <c r="AK26" s="158">
        <f t="shared" si="14"/>
        <v>0.49056603773584906</v>
      </c>
      <c r="AL26" s="158">
        <f t="shared" si="14"/>
        <v>0.63952333664349559</v>
      </c>
      <c r="AM26" s="158">
        <f t="shared" si="14"/>
        <v>0.73982125124131093</v>
      </c>
      <c r="AN26" s="158">
        <f t="shared" si="14"/>
        <v>0.86494538232373397</v>
      </c>
      <c r="AO26" s="158">
        <v>1</v>
      </c>
      <c r="AP26" s="143"/>
      <c r="AQ26" s="143">
        <f t="shared" si="5"/>
        <v>2.0016984087674168E-2</v>
      </c>
      <c r="AR26" s="143">
        <f t="shared" si="5"/>
        <v>6.19074287448328E-2</v>
      </c>
      <c r="AS26" s="143">
        <f t="shared" si="5"/>
        <v>0.11922093403200817</v>
      </c>
      <c r="AT26" s="143">
        <f t="shared" si="5"/>
        <v>0.19967036124990528</v>
      </c>
      <c r="AU26" s="143">
        <f t="shared" si="5"/>
        <v>0.15448083650895972</v>
      </c>
      <c r="AV26" s="143">
        <f t="shared" si="5"/>
        <v>0.11027225557315515</v>
      </c>
      <c r="AW26" s="143">
        <f t="shared" si="5"/>
        <v>0.145200719346954</v>
      </c>
      <c r="AX26" s="143">
        <f t="shared" si="5"/>
        <v>0.18923048045651067</v>
      </c>
      <c r="AY26" s="46"/>
      <c r="AZ26" s="152">
        <f>Shares!D67</f>
        <v>3.8</v>
      </c>
      <c r="BA26" s="152">
        <f>Shares!E67</f>
        <v>9.6</v>
      </c>
      <c r="BB26" s="152">
        <f>Shares!F67</f>
        <v>14.7</v>
      </c>
      <c r="BC26" s="152">
        <f>Shares!G67</f>
        <v>21.3</v>
      </c>
      <c r="BD26" s="152">
        <f>Shares!J67</f>
        <v>15</v>
      </c>
      <c r="BE26" s="152">
        <f>Shares!K67</f>
        <v>10.1</v>
      </c>
      <c r="BF26" s="152">
        <f>Shares!L67</f>
        <v>12.6</v>
      </c>
      <c r="BG26" s="152">
        <f>Shares!M67</f>
        <v>13.6</v>
      </c>
      <c r="BI26" s="246">
        <f>TxRt!B70-TxRt!C70+TxRt!C$53</f>
        <v>13</v>
      </c>
      <c r="BJ26" s="246">
        <f>TxRt!B113-TxRt!C113+TxRt!C$96</f>
        <v>15.799999999999999</v>
      </c>
      <c r="BK26" s="246">
        <f>TxRt!B153-TxRt!C153+TxRt!C$136</f>
        <v>19.8</v>
      </c>
      <c r="BL26" s="246">
        <f>TxRt!B193-TxRt!C193+TxRt!C$176</f>
        <v>22.9</v>
      </c>
      <c r="BM26" s="246">
        <f>TxRt!B273-TxRt!C273+TxRt!C$256</f>
        <v>25.1</v>
      </c>
      <c r="BN26" s="246">
        <f>TxRt!B313-TxRt!C313+TxRt!C$296</f>
        <v>26.6</v>
      </c>
      <c r="BO26" s="246">
        <f>TxRt!B353-TxRt!C353+TxRt!C$336</f>
        <v>27.8</v>
      </c>
      <c r="BP26" s="246">
        <f>TxRt!B393-TxRt!C393+TxRt!C$376</f>
        <v>32.599999999999994</v>
      </c>
      <c r="BQ26" s="46"/>
      <c r="BR26" s="60">
        <f>Inc!B67</f>
        <v>16700</v>
      </c>
      <c r="BS26" s="60">
        <f>Inc!B107</f>
        <v>38600</v>
      </c>
      <c r="BT26" s="60">
        <f>Inc!B147</f>
        <v>61700</v>
      </c>
      <c r="BU26" s="60">
        <f>Inc!B187</f>
        <v>88900</v>
      </c>
      <c r="BV26" s="60">
        <f>Inc!B267</f>
        <v>122000</v>
      </c>
      <c r="BW26" s="60">
        <f>Inc!B307</f>
        <v>159700</v>
      </c>
      <c r="BX26" s="60">
        <f>Inc!B347</f>
        <v>248000</v>
      </c>
      <c r="BY26" s="60">
        <f>Inc!B387</f>
        <v>1077400</v>
      </c>
      <c r="CA26" s="60">
        <f t="shared" si="6"/>
        <v>2171</v>
      </c>
      <c r="CB26" s="60">
        <f t="shared" si="6"/>
        <v>6098.8</v>
      </c>
      <c r="CC26" s="60">
        <f t="shared" si="6"/>
        <v>12216.6</v>
      </c>
      <c r="CD26" s="60">
        <f t="shared" si="6"/>
        <v>20358.099999999999</v>
      </c>
      <c r="CE26" s="60">
        <f t="shared" si="6"/>
        <v>30622</v>
      </c>
      <c r="CF26" s="60">
        <f t="shared" si="6"/>
        <v>42480.2</v>
      </c>
      <c r="CG26" s="60">
        <f t="shared" si="6"/>
        <v>68944</v>
      </c>
      <c r="CH26" s="60">
        <f t="shared" si="6"/>
        <v>351232.39999999991</v>
      </c>
      <c r="CJ26" s="153">
        <f t="shared" si="15"/>
        <v>40869.074999999997</v>
      </c>
      <c r="CK26" s="153">
        <f t="shared" si="7"/>
        <v>126397.63000000002</v>
      </c>
      <c r="CL26" s="153">
        <f t="shared" si="7"/>
        <v>243415.755</v>
      </c>
      <c r="CM26" s="153">
        <f t="shared" si="7"/>
        <v>407670.95250000001</v>
      </c>
      <c r="CN26" s="153">
        <f t="shared" si="7"/>
        <v>315406.60000000003</v>
      </c>
      <c r="CO26" s="153">
        <f t="shared" si="7"/>
        <v>225145.05999999997</v>
      </c>
      <c r="CP26" s="153">
        <f t="shared" si="7"/>
        <v>296459.2</v>
      </c>
      <c r="CQ26" s="153">
        <f t="shared" si="7"/>
        <v>386355.63999999996</v>
      </c>
      <c r="CR26" s="153">
        <f t="shared" si="16"/>
        <v>2041719.9125000001</v>
      </c>
      <c r="CT26" s="403">
        <v>261.89999999999998</v>
      </c>
      <c r="CU26" s="276">
        <f>Dem!B67+(DD26/4)</f>
        <v>18.824999999999999</v>
      </c>
      <c r="CV26" s="276">
        <f>Dem!B107+(DD26/4)</f>
        <v>20.725000000000001</v>
      </c>
      <c r="CW26" s="276">
        <f>Dem!B147+(DD26/4)</f>
        <v>19.925000000000001</v>
      </c>
      <c r="CX26" s="276">
        <f>Dem!B187+(DD26/4)</f>
        <v>20.025000000000002</v>
      </c>
      <c r="CY26" s="276">
        <f>Dem!B267</f>
        <v>10.3</v>
      </c>
      <c r="CZ26" s="276">
        <f>Dem!B307</f>
        <v>5.3</v>
      </c>
      <c r="DA26" s="276">
        <f>Dem!B347</f>
        <v>4.3</v>
      </c>
      <c r="DB26" s="276">
        <f>Dem!B387</f>
        <v>1.1000000000000001</v>
      </c>
      <c r="DC26" s="275">
        <v>101.1</v>
      </c>
      <c r="DD26" s="46">
        <v>-0.29999999999999716</v>
      </c>
      <c r="DE26" s="275"/>
      <c r="DF26" s="276">
        <f>Dem!$D67+(DO26/4)</f>
        <v>51.300000000000011</v>
      </c>
      <c r="DG26" s="276">
        <f>Dem!$D107+(DO26/4)</f>
        <v>52.20000000000001</v>
      </c>
      <c r="DH26" s="276">
        <f>Dem!$D147+(DO26/4)</f>
        <v>52.20000000000001</v>
      </c>
      <c r="DI26" s="276">
        <f>Dem!$D187+(DO26/4)</f>
        <v>52.20000000000001</v>
      </c>
      <c r="DJ26" s="275">
        <f>Dem!$D267</f>
        <v>26.2</v>
      </c>
      <c r="DK26" s="275">
        <f>Dem!$D307</f>
        <v>13.1</v>
      </c>
      <c r="DL26" s="275">
        <f>Dem!$D347</f>
        <v>10.5</v>
      </c>
      <c r="DM26" s="275">
        <f>Dem!$D387</f>
        <v>2.6</v>
      </c>
      <c r="DN26" s="276">
        <f t="shared" si="17"/>
        <v>261.89999999999998</v>
      </c>
      <c r="DO26" s="44">
        <v>-0.79999999999995453</v>
      </c>
    </row>
    <row r="27" spans="1:119">
      <c r="A27" s="46">
        <f t="shared" si="18"/>
        <v>1997</v>
      </c>
      <c r="B27" s="141">
        <f t="shared" si="8"/>
        <v>0.1136740262379613</v>
      </c>
      <c r="C27" s="46"/>
      <c r="D27" s="141">
        <f t="shared" si="9"/>
        <v>0.63182635990231095</v>
      </c>
      <c r="E27" s="141">
        <f t="shared" si="10"/>
        <v>0.51815233366434965</v>
      </c>
      <c r="F27" s="46"/>
      <c r="G27" s="157">
        <f t="shared" si="11"/>
        <v>3.5833005969215563E-2</v>
      </c>
      <c r="H27" s="157">
        <f t="shared" si="11"/>
        <v>6.3668449480475217E-2</v>
      </c>
      <c r="I27" s="157">
        <f t="shared" si="11"/>
        <v>7.989158594567547E-2</v>
      </c>
      <c r="J27" s="157">
        <f t="shared" si="11"/>
        <v>8.0542270749055456E-2</v>
      </c>
      <c r="K27" s="157">
        <f t="shared" si="11"/>
        <v>3.4632533689561963E-2</v>
      </c>
      <c r="L27" s="157">
        <f t="shared" si="11"/>
        <v>1.4251205317621552E-2</v>
      </c>
      <c r="M27" s="157">
        <f t="shared" si="11"/>
        <v>7.0941287995503147E-3</v>
      </c>
      <c r="N27" s="157">
        <f t="shared" si="11"/>
        <v>0</v>
      </c>
      <c r="O27" s="46"/>
      <c r="P27" s="154">
        <f t="shared" si="19"/>
        <v>2.0834970153922199E-2</v>
      </c>
      <c r="Q27" s="154">
        <f t="shared" si="20"/>
        <v>8.1657752597623992E-2</v>
      </c>
      <c r="R27" s="154">
        <f t="shared" si="20"/>
        <v>0.20054207027162274</v>
      </c>
      <c r="S27" s="154">
        <f t="shared" si="20"/>
        <v>0.39728864625472277</v>
      </c>
      <c r="T27" s="154">
        <f t="shared" si="20"/>
        <v>0.5536746631043804</v>
      </c>
      <c r="U27" s="154">
        <f t="shared" si="20"/>
        <v>0.66497589364756904</v>
      </c>
      <c r="V27" s="154">
        <f t="shared" si="20"/>
        <v>0.81264678001124224</v>
      </c>
      <c r="W27" s="162">
        <f t="shared" si="21"/>
        <v>1</v>
      </c>
      <c r="X27" s="154"/>
      <c r="Y27" s="142">
        <f t="shared" si="22"/>
        <v>3.2254220456802388E-2</v>
      </c>
      <c r="Z27" s="142">
        <f t="shared" si="22"/>
        <v>5.3783515392254233E-2</v>
      </c>
      <c r="AA27" s="142">
        <f t="shared" si="22"/>
        <v>6.5183714001986123E-2</v>
      </c>
      <c r="AB27" s="142">
        <f t="shared" si="22"/>
        <v>6.4071499503475696E-2</v>
      </c>
      <c r="AC27" s="142">
        <f t="shared" si="22"/>
        <v>2.723932472691163E-2</v>
      </c>
      <c r="AD27" s="142">
        <f t="shared" si="22"/>
        <v>1.110476663356505E-2</v>
      </c>
      <c r="AE27" s="142">
        <f t="shared" si="22"/>
        <v>5.4391261171797467E-3</v>
      </c>
      <c r="AF27" s="142">
        <f t="shared" si="22"/>
        <v>0</v>
      </c>
      <c r="AH27" s="158">
        <f t="shared" si="13"/>
        <v>3.872889771598808E-2</v>
      </c>
      <c r="AI27" s="158">
        <f t="shared" si="14"/>
        <v>0.13108242303872888</v>
      </c>
      <c r="AJ27" s="158">
        <f t="shared" si="14"/>
        <v>0.27408142999006946</v>
      </c>
      <c r="AK27" s="158">
        <f t="shared" si="14"/>
        <v>0.47964250248262158</v>
      </c>
      <c r="AL27" s="158">
        <f t="shared" si="14"/>
        <v>0.62760675273088373</v>
      </c>
      <c r="AM27" s="158">
        <f t="shared" si="14"/>
        <v>0.72790466732869907</v>
      </c>
      <c r="AN27" s="158">
        <f t="shared" si="14"/>
        <v>0.85402184707050643</v>
      </c>
      <c r="AO27" s="158">
        <v>1</v>
      </c>
      <c r="AP27" s="143"/>
      <c r="AQ27" s="143">
        <f t="shared" si="5"/>
        <v>2.0834970153922196E-2</v>
      </c>
      <c r="AR27" s="143">
        <f t="shared" si="5"/>
        <v>6.0822782443701782E-2</v>
      </c>
      <c r="AS27" s="143">
        <f t="shared" si="5"/>
        <v>0.11888431767399874</v>
      </c>
      <c r="AT27" s="143">
        <f t="shared" si="5"/>
        <v>0.1967465759831</v>
      </c>
      <c r="AU27" s="143">
        <f t="shared" si="5"/>
        <v>0.15638601684965761</v>
      </c>
      <c r="AV27" s="143">
        <f t="shared" si="5"/>
        <v>0.11130123054318866</v>
      </c>
      <c r="AW27" s="143">
        <f t="shared" si="5"/>
        <v>0.14767088636367323</v>
      </c>
      <c r="AX27" s="143">
        <f t="shared" si="5"/>
        <v>0.18735321998875773</v>
      </c>
      <c r="AY27" s="46"/>
      <c r="AZ27" s="152">
        <f>Shares!D68</f>
        <v>3.9</v>
      </c>
      <c r="BA27" s="152">
        <f>Shares!E68</f>
        <v>9.3000000000000007</v>
      </c>
      <c r="BB27" s="152">
        <f>Shares!F68</f>
        <v>14.4</v>
      </c>
      <c r="BC27" s="152">
        <f>Shares!G68</f>
        <v>20.7</v>
      </c>
      <c r="BD27" s="152">
        <f>Shares!J68</f>
        <v>14.9</v>
      </c>
      <c r="BE27" s="152">
        <f>Shares!K68</f>
        <v>10.1</v>
      </c>
      <c r="BF27" s="152">
        <f>Shares!L68</f>
        <v>12.7</v>
      </c>
      <c r="BG27" s="152">
        <f>Shares!M68</f>
        <v>14.7</v>
      </c>
      <c r="BI27" s="246">
        <f>TxRt!B71-TxRt!C71+TxRt!C$53</f>
        <v>13</v>
      </c>
      <c r="BJ27" s="246">
        <f>TxRt!B114-TxRt!C114+TxRt!C$96</f>
        <v>15.799999999999999</v>
      </c>
      <c r="BK27" s="246">
        <f>TxRt!B154-TxRt!C154+TxRt!C$136</f>
        <v>19.900000000000002</v>
      </c>
      <c r="BL27" s="246">
        <f>TxRt!B194-TxRt!C194+TxRt!C$176</f>
        <v>22.799999999999997</v>
      </c>
      <c r="BM27" s="246">
        <f>TxRt!B274-TxRt!C274+TxRt!C$256</f>
        <v>25.1</v>
      </c>
      <c r="BN27" s="246">
        <f>TxRt!B314-TxRt!C314+TxRt!C$296</f>
        <v>26.4</v>
      </c>
      <c r="BO27" s="246">
        <f>TxRt!B354-TxRt!C354+TxRt!C$336</f>
        <v>27.6</v>
      </c>
      <c r="BP27" s="246">
        <f>TxRt!B394-TxRt!C394+TxRt!C$376</f>
        <v>32</v>
      </c>
      <c r="BQ27" s="46"/>
      <c r="BR27" s="60">
        <f>Inc!B68</f>
        <v>17600</v>
      </c>
      <c r="BS27" s="60">
        <f>Inc!B108</f>
        <v>40000</v>
      </c>
      <c r="BT27" s="60">
        <f>Inc!B148</f>
        <v>63000</v>
      </c>
      <c r="BU27" s="60">
        <f>Inc!B188</f>
        <v>91000</v>
      </c>
      <c r="BV27" s="60">
        <f>Inc!B268</f>
        <v>124900</v>
      </c>
      <c r="BW27" s="60">
        <f>Inc!B308</f>
        <v>165900</v>
      </c>
      <c r="BX27" s="60">
        <f>Inc!B348</f>
        <v>264400</v>
      </c>
      <c r="BY27" s="60">
        <f>Inc!B388</f>
        <v>1244100</v>
      </c>
      <c r="CA27" s="60">
        <f t="shared" si="6"/>
        <v>2288</v>
      </c>
      <c r="CB27" s="60">
        <f t="shared" si="6"/>
        <v>6320</v>
      </c>
      <c r="CC27" s="60">
        <f t="shared" si="6"/>
        <v>12537.000000000002</v>
      </c>
      <c r="CD27" s="60">
        <f t="shared" si="6"/>
        <v>20747.999999999996</v>
      </c>
      <c r="CE27" s="60">
        <f t="shared" si="6"/>
        <v>31349.9</v>
      </c>
      <c r="CF27" s="60">
        <f t="shared" si="6"/>
        <v>43797.599999999999</v>
      </c>
      <c r="CG27" s="60">
        <f t="shared" si="6"/>
        <v>72974.399999999994</v>
      </c>
      <c r="CH27" s="60">
        <f t="shared" si="6"/>
        <v>398112</v>
      </c>
      <c r="CJ27" s="153">
        <f t="shared" si="15"/>
        <v>44272.800000000003</v>
      </c>
      <c r="CK27" s="153">
        <f t="shared" si="7"/>
        <v>129244.00000000001</v>
      </c>
      <c r="CL27" s="153">
        <f t="shared" si="7"/>
        <v>252620.55000000008</v>
      </c>
      <c r="CM27" s="153">
        <f t="shared" si="7"/>
        <v>418072.19999999995</v>
      </c>
      <c r="CN27" s="153">
        <f t="shared" si="7"/>
        <v>332308.94</v>
      </c>
      <c r="CO27" s="153">
        <f t="shared" si="7"/>
        <v>236507.04</v>
      </c>
      <c r="CP27" s="153">
        <f t="shared" si="7"/>
        <v>313789.92</v>
      </c>
      <c r="CQ27" s="153">
        <f t="shared" si="7"/>
        <v>398112</v>
      </c>
      <c r="CR27" s="153">
        <f t="shared" si="16"/>
        <v>2124927.4500000002</v>
      </c>
      <c r="CT27" s="403">
        <v>264.2</v>
      </c>
      <c r="CU27" s="276">
        <f>Dem!B68+(DD27/4)</f>
        <v>19.350000000000001</v>
      </c>
      <c r="CV27" s="276">
        <f>Dem!B108+(DD27/4)</f>
        <v>20.450000000000003</v>
      </c>
      <c r="CW27" s="276">
        <f>Dem!B148+(DD27/4)</f>
        <v>20.150000000000002</v>
      </c>
      <c r="CX27" s="276">
        <f>Dem!B188+(DD27/4)</f>
        <v>20.150000000000002</v>
      </c>
      <c r="CY27" s="276">
        <f>Dem!B268</f>
        <v>10.6</v>
      </c>
      <c r="CZ27" s="276">
        <f>Dem!B308</f>
        <v>5.4</v>
      </c>
      <c r="DA27" s="276">
        <f>Dem!B348</f>
        <v>4.3</v>
      </c>
      <c r="DB27" s="276">
        <f>Dem!B388</f>
        <v>1</v>
      </c>
      <c r="DC27" s="275">
        <v>102.6</v>
      </c>
      <c r="DD27" s="46">
        <v>-0.59999999999999432</v>
      </c>
      <c r="DE27" s="275"/>
      <c r="DF27" s="276">
        <f>Dem!$D68+(DO27/4)</f>
        <v>51.375000000000014</v>
      </c>
      <c r="DG27" s="276">
        <f>Dem!$D108+(DO27/4)</f>
        <v>52.475000000000009</v>
      </c>
      <c r="DH27" s="276">
        <f>Dem!$D148+(DO27/4)</f>
        <v>52.475000000000009</v>
      </c>
      <c r="DI27" s="276">
        <f>Dem!$D188+(DO27/4)</f>
        <v>52.475000000000009</v>
      </c>
      <c r="DJ27" s="275">
        <f>Dem!$D268</f>
        <v>26.4</v>
      </c>
      <c r="DK27" s="275">
        <f>Dem!$D308</f>
        <v>13.2</v>
      </c>
      <c r="DL27" s="275">
        <f>Dem!$D348</f>
        <v>10.6</v>
      </c>
      <c r="DM27" s="275">
        <f>Dem!$D388</f>
        <v>2.6</v>
      </c>
      <c r="DN27" s="276">
        <f t="shared" si="17"/>
        <v>264.2</v>
      </c>
      <c r="DO27" s="44">
        <v>-1.2999999999999545</v>
      </c>
    </row>
    <row r="28" spans="1:119">
      <c r="A28" s="46">
        <f t="shared" si="18"/>
        <v>1998</v>
      </c>
      <c r="B28" s="141">
        <f t="shared" si="8"/>
        <v>0.11034318136064147</v>
      </c>
      <c r="C28" s="46"/>
      <c r="D28" s="141">
        <f t="shared" si="9"/>
        <v>0.6344935289276723</v>
      </c>
      <c r="E28" s="141">
        <f t="shared" si="10"/>
        <v>0.52415034756703083</v>
      </c>
      <c r="F28" s="46"/>
      <c r="G28" s="157">
        <f t="shared" si="11"/>
        <v>3.5744650950319097E-2</v>
      </c>
      <c r="H28" s="157">
        <f t="shared" si="11"/>
        <v>6.3625528126973765E-2</v>
      </c>
      <c r="I28" s="157">
        <f t="shared" si="11"/>
        <v>8.0112211128669064E-2</v>
      </c>
      <c r="J28" s="157">
        <f t="shared" si="11"/>
        <v>8.0861204504089346E-2</v>
      </c>
      <c r="K28" s="157">
        <f t="shared" si="11"/>
        <v>3.4998526500244001E-2</v>
      </c>
      <c r="L28" s="157">
        <f t="shared" si="11"/>
        <v>1.4484894857486191E-2</v>
      </c>
      <c r="M28" s="157">
        <f t="shared" si="11"/>
        <v>7.4197483960546642E-3</v>
      </c>
      <c r="N28" s="157">
        <f t="shared" si="11"/>
        <v>0</v>
      </c>
      <c r="O28" s="46"/>
      <c r="P28" s="154">
        <f t="shared" si="19"/>
        <v>2.127674524840454E-2</v>
      </c>
      <c r="Q28" s="154">
        <f t="shared" si="20"/>
        <v>8.1872359365131209E-2</v>
      </c>
      <c r="R28" s="154">
        <f t="shared" si="20"/>
        <v>0.19943894435665474</v>
      </c>
      <c r="S28" s="154">
        <f t="shared" si="20"/>
        <v>0.39569397747955332</v>
      </c>
      <c r="T28" s="154">
        <f t="shared" si="20"/>
        <v>0.55001473499756004</v>
      </c>
      <c r="U28" s="154">
        <f t="shared" si="20"/>
        <v>0.66030210285027624</v>
      </c>
      <c r="V28" s="154">
        <f t="shared" si="20"/>
        <v>0.8045062900986335</v>
      </c>
      <c r="W28" s="162">
        <f t="shared" si="21"/>
        <v>1</v>
      </c>
      <c r="X28" s="154"/>
      <c r="Y28" s="142">
        <f t="shared" si="22"/>
        <v>3.2055610724925521E-2</v>
      </c>
      <c r="Z28" s="142">
        <f t="shared" si="22"/>
        <v>5.3982125124131086E-2</v>
      </c>
      <c r="AA28" s="142">
        <f t="shared" si="22"/>
        <v>6.5779543197616697E-2</v>
      </c>
      <c r="AB28" s="142">
        <f t="shared" si="22"/>
        <v>6.5064548162859989E-2</v>
      </c>
      <c r="AC28" s="142">
        <f t="shared" si="22"/>
        <v>2.7934458788480634E-2</v>
      </c>
      <c r="AD28" s="142">
        <f t="shared" si="22"/>
        <v>1.1501986097318768E-2</v>
      </c>
      <c r="AE28" s="142">
        <f t="shared" si="22"/>
        <v>5.7569016881827209E-3</v>
      </c>
      <c r="AF28" s="142">
        <f t="shared" si="22"/>
        <v>0</v>
      </c>
      <c r="AH28" s="158">
        <f t="shared" si="13"/>
        <v>3.9721946375372394E-2</v>
      </c>
      <c r="AI28" s="158">
        <f t="shared" si="14"/>
        <v>0.13008937437934459</v>
      </c>
      <c r="AJ28" s="158">
        <f t="shared" si="14"/>
        <v>0.27110228401191661</v>
      </c>
      <c r="AK28" s="158">
        <f t="shared" si="14"/>
        <v>0.47467725918570014</v>
      </c>
      <c r="AL28" s="158">
        <f t="shared" si="14"/>
        <v>0.62065541211519371</v>
      </c>
      <c r="AM28" s="158">
        <f t="shared" si="14"/>
        <v>0.71996027805362472</v>
      </c>
      <c r="AN28" s="158">
        <f t="shared" si="14"/>
        <v>0.84607745779543209</v>
      </c>
      <c r="AO28" s="158">
        <v>1</v>
      </c>
      <c r="AP28" s="143"/>
      <c r="AQ28" s="143">
        <f t="shared" si="5"/>
        <v>2.1276745248404536E-2</v>
      </c>
      <c r="AR28" s="143">
        <f t="shared" si="5"/>
        <v>6.0595614116726662E-2</v>
      </c>
      <c r="AS28" s="143">
        <f t="shared" si="5"/>
        <v>0.1175665849915235</v>
      </c>
      <c r="AT28" s="143">
        <f t="shared" si="5"/>
        <v>0.19625503312289852</v>
      </c>
      <c r="AU28" s="143">
        <f t="shared" si="5"/>
        <v>0.15432075751800672</v>
      </c>
      <c r="AV28" s="143">
        <f t="shared" si="5"/>
        <v>0.11028736785271621</v>
      </c>
      <c r="AW28" s="143">
        <f t="shared" si="5"/>
        <v>0.14420418724835718</v>
      </c>
      <c r="AX28" s="143">
        <f t="shared" si="5"/>
        <v>0.19549370990136647</v>
      </c>
      <c r="AY28" s="46"/>
      <c r="AZ28" s="152">
        <f>Shares!D69</f>
        <v>4</v>
      </c>
      <c r="BA28" s="152">
        <f>Shares!E69</f>
        <v>9.1</v>
      </c>
      <c r="BB28" s="152">
        <f>Shares!F69</f>
        <v>14.2</v>
      </c>
      <c r="BC28" s="152">
        <f>Shares!G69</f>
        <v>20.5</v>
      </c>
      <c r="BD28" s="152">
        <f>Shares!J69</f>
        <v>14.7</v>
      </c>
      <c r="BE28" s="152">
        <f>Shares!K69</f>
        <v>10</v>
      </c>
      <c r="BF28" s="152">
        <f>Shares!L69</f>
        <v>12.7</v>
      </c>
      <c r="BG28" s="152">
        <f>Shares!M69</f>
        <v>15.5</v>
      </c>
      <c r="BI28" s="246">
        <f>TxRt!B72-TxRt!C72+TxRt!C$53</f>
        <v>12.8</v>
      </c>
      <c r="BJ28" s="246">
        <f>TxRt!B115-TxRt!C115+TxRt!C$96</f>
        <v>15.8</v>
      </c>
      <c r="BK28" s="246">
        <f>TxRt!B155-TxRt!C155+TxRt!C$136</f>
        <v>19.7</v>
      </c>
      <c r="BL28" s="246">
        <f>TxRt!B195-TxRt!C195+TxRt!C$176</f>
        <v>22.8</v>
      </c>
      <c r="BM28" s="246">
        <f>TxRt!B275-TxRt!C275+TxRt!C$256</f>
        <v>24.9</v>
      </c>
      <c r="BN28" s="246">
        <f>TxRt!B315-TxRt!C315+TxRt!C$296</f>
        <v>26.1</v>
      </c>
      <c r="BO28" s="246">
        <f>TxRt!B355-TxRt!C355+TxRt!C$336</f>
        <v>27</v>
      </c>
      <c r="BP28" s="246">
        <f>TxRt!B395-TxRt!C395+TxRt!C$376</f>
        <v>31.1</v>
      </c>
      <c r="BQ28" s="46"/>
      <c r="BR28" s="60">
        <f>Inc!B69</f>
        <v>18800</v>
      </c>
      <c r="BS28" s="60">
        <f>Inc!B109</f>
        <v>41900</v>
      </c>
      <c r="BT28" s="60">
        <f>Inc!B149</f>
        <v>65200</v>
      </c>
      <c r="BU28" s="60">
        <f>Inc!B189</f>
        <v>94500</v>
      </c>
      <c r="BV28" s="60">
        <f>Inc!B269</f>
        <v>130200</v>
      </c>
      <c r="BW28" s="60">
        <f>Inc!B309</f>
        <v>172700</v>
      </c>
      <c r="BX28" s="60">
        <f>Inc!B349</f>
        <v>279200</v>
      </c>
      <c r="BY28" s="60">
        <f>Inc!B389</f>
        <v>1413000</v>
      </c>
      <c r="CA28" s="60">
        <f t="shared" si="6"/>
        <v>2406.4</v>
      </c>
      <c r="CB28" s="60">
        <f t="shared" si="6"/>
        <v>6620.2</v>
      </c>
      <c r="CC28" s="60">
        <f t="shared" si="6"/>
        <v>12844.4</v>
      </c>
      <c r="CD28" s="60">
        <f t="shared" si="6"/>
        <v>21546</v>
      </c>
      <c r="CE28" s="60">
        <f t="shared" si="6"/>
        <v>32419.8</v>
      </c>
      <c r="CF28" s="60">
        <f t="shared" si="6"/>
        <v>45074.7</v>
      </c>
      <c r="CG28" s="60">
        <f t="shared" si="6"/>
        <v>75384</v>
      </c>
      <c r="CH28" s="60">
        <f t="shared" si="6"/>
        <v>439443</v>
      </c>
      <c r="CJ28" s="153">
        <f t="shared" si="15"/>
        <v>47827.200000000004</v>
      </c>
      <c r="CK28" s="153">
        <f t="shared" si="7"/>
        <v>136210.61499999999</v>
      </c>
      <c r="CL28" s="153">
        <f t="shared" si="7"/>
        <v>264273.52999999997</v>
      </c>
      <c r="CM28" s="153">
        <f t="shared" si="7"/>
        <v>441154.35000000003</v>
      </c>
      <c r="CN28" s="153">
        <f t="shared" si="7"/>
        <v>346891.86</v>
      </c>
      <c r="CO28" s="153">
        <f t="shared" si="7"/>
        <v>247910.84999999998</v>
      </c>
      <c r="CP28" s="153">
        <f t="shared" si="7"/>
        <v>324151.2</v>
      </c>
      <c r="CQ28" s="153">
        <f t="shared" si="7"/>
        <v>439443</v>
      </c>
      <c r="CR28" s="153">
        <f t="shared" si="16"/>
        <v>2247862.6050000004</v>
      </c>
      <c r="CT28" s="403">
        <v>266.3</v>
      </c>
      <c r="CU28" s="276">
        <f>Dem!B69+(DD28/4)</f>
        <v>19.875</v>
      </c>
      <c r="CV28" s="276">
        <f>Dem!B109+(DD28/4)</f>
        <v>20.574999999999999</v>
      </c>
      <c r="CW28" s="276">
        <f>Dem!B149+(DD28/4)</f>
        <v>20.574999999999999</v>
      </c>
      <c r="CX28" s="276">
        <f>Dem!B189+(DD28/4)</f>
        <v>20.475000000000001</v>
      </c>
      <c r="CY28" s="276">
        <f>Dem!B269</f>
        <v>10.7</v>
      </c>
      <c r="CZ28" s="276">
        <f>Dem!B309</f>
        <v>5.5</v>
      </c>
      <c r="DA28" s="276">
        <f>Dem!B349</f>
        <v>4.3</v>
      </c>
      <c r="DB28" s="276">
        <f>Dem!B389</f>
        <v>1</v>
      </c>
      <c r="DC28" s="275">
        <v>104</v>
      </c>
      <c r="DD28" s="46">
        <v>-0.5</v>
      </c>
      <c r="DE28" s="275"/>
      <c r="DF28" s="276">
        <f>Dem!$D69+(DO28/4)</f>
        <v>51.975000000000009</v>
      </c>
      <c r="DG28" s="276">
        <f>Dem!$D109+(DO28/4)</f>
        <v>53.075000000000003</v>
      </c>
      <c r="DH28" s="276">
        <f>Dem!$D149+(DO28/4)</f>
        <v>53.075000000000003</v>
      </c>
      <c r="DI28" s="276">
        <f>Dem!$D189+(DO28/4)</f>
        <v>53.075000000000003</v>
      </c>
      <c r="DJ28" s="275">
        <f>Dem!$D269</f>
        <v>26.6</v>
      </c>
      <c r="DK28" s="275">
        <f>Dem!$D309</f>
        <v>13.3</v>
      </c>
      <c r="DL28" s="275">
        <f>Dem!$D349</f>
        <v>10.7</v>
      </c>
      <c r="DM28" s="275">
        <f>Dem!$D389</f>
        <v>2.7</v>
      </c>
      <c r="DN28" s="276">
        <f t="shared" si="17"/>
        <v>266.3</v>
      </c>
      <c r="DO28" s="44">
        <v>-0.89999999999997726</v>
      </c>
    </row>
    <row r="29" spans="1:119">
      <c r="A29" s="46">
        <f t="shared" si="18"/>
        <v>1999</v>
      </c>
      <c r="B29" s="141">
        <f t="shared" si="8"/>
        <v>0.1144928752969856</v>
      </c>
      <c r="C29" s="46"/>
      <c r="D29" s="141">
        <f t="shared" si="9"/>
        <v>0.64932905819957021</v>
      </c>
      <c r="E29" s="141">
        <f t="shared" si="10"/>
        <v>0.53483618290258461</v>
      </c>
      <c r="F29" s="46"/>
      <c r="G29" s="157">
        <f t="shared" si="11"/>
        <v>3.5841617265333116E-2</v>
      </c>
      <c r="H29" s="157">
        <f t="shared" si="11"/>
        <v>6.3935424362064938E-2</v>
      </c>
      <c r="I29" s="157">
        <f t="shared" si="11"/>
        <v>8.1297061355189715E-2</v>
      </c>
      <c r="J29" s="157">
        <f t="shared" si="11"/>
        <v>8.3246593156172666E-2</v>
      </c>
      <c r="K29" s="157">
        <f t="shared" si="11"/>
        <v>3.6643616306860208E-2</v>
      </c>
      <c r="L29" s="157">
        <f t="shared" si="11"/>
        <v>1.5484491350221547E-2</v>
      </c>
      <c r="M29" s="157">
        <f t="shared" si="11"/>
        <v>8.2157253039429178E-3</v>
      </c>
      <c r="N29" s="157">
        <f t="shared" si="11"/>
        <v>0</v>
      </c>
      <c r="O29" s="46"/>
      <c r="P29" s="154">
        <f t="shared" si="19"/>
        <v>2.0791913673334453E-2</v>
      </c>
      <c r="Q29" s="154">
        <f t="shared" si="20"/>
        <v>8.032287818967529E-2</v>
      </c>
      <c r="R29" s="154">
        <f t="shared" si="20"/>
        <v>0.1935146932240516</v>
      </c>
      <c r="S29" s="154">
        <f t="shared" si="20"/>
        <v>0.38376703421913672</v>
      </c>
      <c r="T29" s="154">
        <f t="shared" si="20"/>
        <v>0.53356383693139797</v>
      </c>
      <c r="U29" s="154">
        <f t="shared" si="20"/>
        <v>0.64031017299556914</v>
      </c>
      <c r="V29" s="154">
        <f t="shared" si="20"/>
        <v>0.78460686740142715</v>
      </c>
      <c r="W29" s="162">
        <f t="shared" si="21"/>
        <v>1</v>
      </c>
      <c r="X29" s="154"/>
      <c r="Y29" s="142">
        <f t="shared" si="22"/>
        <v>3.204771371769384E-2</v>
      </c>
      <c r="Z29" s="142">
        <f t="shared" si="22"/>
        <v>5.4353876739562636E-2</v>
      </c>
      <c r="AA29" s="142">
        <f t="shared" si="22"/>
        <v>6.6918489065606379E-2</v>
      </c>
      <c r="AB29" s="142">
        <f t="shared" si="22"/>
        <v>6.6759443339960242E-2</v>
      </c>
      <c r="AC29" s="142">
        <f t="shared" si="22"/>
        <v>2.9065606361829033E-2</v>
      </c>
      <c r="AD29" s="142">
        <f t="shared" si="22"/>
        <v>1.2112326043737583E-2</v>
      </c>
      <c r="AE29" s="142">
        <f t="shared" si="22"/>
        <v>6.1606361829025904E-3</v>
      </c>
      <c r="AF29" s="142">
        <f t="shared" si="22"/>
        <v>0</v>
      </c>
      <c r="AH29" s="158">
        <f t="shared" si="13"/>
        <v>3.9761431411530809E-2</v>
      </c>
      <c r="AI29" s="158">
        <f t="shared" si="14"/>
        <v>0.12823061630218685</v>
      </c>
      <c r="AJ29" s="158">
        <f t="shared" si="14"/>
        <v>0.26540755467196819</v>
      </c>
      <c r="AK29" s="158">
        <f t="shared" si="14"/>
        <v>0.46620278330019882</v>
      </c>
      <c r="AL29" s="158">
        <f t="shared" si="14"/>
        <v>0.60934393638170969</v>
      </c>
      <c r="AM29" s="158">
        <f t="shared" si="14"/>
        <v>0.70775347912524844</v>
      </c>
      <c r="AN29" s="158">
        <f t="shared" si="14"/>
        <v>0.83598409542743535</v>
      </c>
      <c r="AO29" s="158">
        <v>1</v>
      </c>
      <c r="AP29" s="143"/>
      <c r="AQ29" s="143">
        <f t="shared" si="5"/>
        <v>2.0791913673334449E-2</v>
      </c>
      <c r="AR29" s="143">
        <f>CK29/$CR29</f>
        <v>5.953096451634083E-2</v>
      </c>
      <c r="AS29" s="143">
        <f t="shared" si="5"/>
        <v>0.11319181503437629</v>
      </c>
      <c r="AT29" s="143">
        <f t="shared" si="5"/>
        <v>0.19025234099508506</v>
      </c>
      <c r="AU29" s="143">
        <f t="shared" si="5"/>
        <v>0.14979680271226117</v>
      </c>
      <c r="AV29" s="143">
        <f t="shared" si="5"/>
        <v>0.10674633606417117</v>
      </c>
      <c r="AW29" s="143">
        <f t="shared" si="5"/>
        <v>0.14429669440585796</v>
      </c>
      <c r="AX29" s="143">
        <f t="shared" si="5"/>
        <v>0.21539313259857309</v>
      </c>
      <c r="AY29" s="46"/>
      <c r="AZ29" s="152">
        <f>Shares!D70</f>
        <v>4</v>
      </c>
      <c r="BA29" s="152">
        <f>Shares!E70</f>
        <v>8.9</v>
      </c>
      <c r="BB29" s="152">
        <f>Shares!F70</f>
        <v>13.8</v>
      </c>
      <c r="BC29" s="152">
        <f>Shares!G70</f>
        <v>20.2</v>
      </c>
      <c r="BD29" s="152">
        <f>Shares!J70</f>
        <v>14.4</v>
      </c>
      <c r="BE29" s="152">
        <f>Shares!K70</f>
        <v>9.9</v>
      </c>
      <c r="BF29" s="152">
        <f>Shares!L70</f>
        <v>12.9</v>
      </c>
      <c r="BG29" s="152">
        <f>Shares!M70</f>
        <v>16.5</v>
      </c>
      <c r="BI29" s="246">
        <f>TxRt!B73-TxRt!C73+TxRt!C$53</f>
        <v>12.700000000000001</v>
      </c>
      <c r="BJ29" s="246">
        <f>TxRt!B116-TxRt!C116+TxRt!C$96</f>
        <v>16.100000000000001</v>
      </c>
      <c r="BK29" s="246">
        <f>TxRt!B156-TxRt!C156+TxRt!C$136</f>
        <v>19.8</v>
      </c>
      <c r="BL29" s="246">
        <f>TxRt!B196-TxRt!C196+TxRt!C$176</f>
        <v>22.799999999999997</v>
      </c>
      <c r="BM29" s="246">
        <f>TxRt!B276-TxRt!C276+TxRt!C$256</f>
        <v>25</v>
      </c>
      <c r="BN29" s="246">
        <f>TxRt!B316-TxRt!C316+TxRt!C$296</f>
        <v>26.1</v>
      </c>
      <c r="BO29" s="246">
        <f>TxRt!B356-TxRt!C356+TxRt!C$336</f>
        <v>27.1</v>
      </c>
      <c r="BP29" s="246">
        <f>TxRt!B396-TxRt!C396+TxRt!C$376</f>
        <v>30.700000000000003</v>
      </c>
      <c r="BQ29" s="46"/>
      <c r="BR29" s="60">
        <f>Inc!B70</f>
        <v>19500</v>
      </c>
      <c r="BS29" s="60">
        <f>Inc!B110</f>
        <v>43400</v>
      </c>
      <c r="BT29" s="60">
        <f>Inc!B150</f>
        <v>67100</v>
      </c>
      <c r="BU29" s="60">
        <f>Inc!B190</f>
        <v>97000</v>
      </c>
      <c r="BV29" s="60">
        <f>Inc!B270</f>
        <v>135400</v>
      </c>
      <c r="BW29" s="60">
        <f>Inc!B310</f>
        <v>179800</v>
      </c>
      <c r="BX29" s="60">
        <f>Inc!B350</f>
        <v>292600</v>
      </c>
      <c r="BY29" s="60">
        <f>Inc!B390</f>
        <v>1542200</v>
      </c>
      <c r="CA29" s="60">
        <f t="shared" si="6"/>
        <v>2476.5000000000005</v>
      </c>
      <c r="CB29" s="60">
        <f t="shared" si="6"/>
        <v>6987.4000000000015</v>
      </c>
      <c r="CC29" s="60">
        <f t="shared" si="6"/>
        <v>13285.8</v>
      </c>
      <c r="CD29" s="60">
        <f t="shared" si="6"/>
        <v>22115.999999999996</v>
      </c>
      <c r="CE29" s="60">
        <f t="shared" si="6"/>
        <v>33850</v>
      </c>
      <c r="CF29" s="60">
        <f t="shared" si="6"/>
        <v>46927.8</v>
      </c>
      <c r="CG29" s="60">
        <f t="shared" si="6"/>
        <v>79294.600000000006</v>
      </c>
      <c r="CH29" s="60">
        <f t="shared" si="6"/>
        <v>473455.40000000008</v>
      </c>
      <c r="CJ29" s="153">
        <f t="shared" si="15"/>
        <v>50272.950000000004</v>
      </c>
      <c r="CK29" s="153">
        <f t="shared" si="7"/>
        <v>143940.44</v>
      </c>
      <c r="CL29" s="153">
        <f t="shared" si="7"/>
        <v>273687.48</v>
      </c>
      <c r="CM29" s="153">
        <f t="shared" si="7"/>
        <v>460012.79999999987</v>
      </c>
      <c r="CN29" s="153">
        <f t="shared" si="7"/>
        <v>362195</v>
      </c>
      <c r="CO29" s="153">
        <f t="shared" si="7"/>
        <v>258102.90000000002</v>
      </c>
      <c r="CP29" s="153">
        <f t="shared" si="7"/>
        <v>348896.24000000005</v>
      </c>
      <c r="CQ29" s="153">
        <f t="shared" si="7"/>
        <v>520800.94000000012</v>
      </c>
      <c r="CR29" s="153">
        <f t="shared" si="16"/>
        <v>2417908.75</v>
      </c>
      <c r="CT29" s="403">
        <v>269.60000000000002</v>
      </c>
      <c r="CU29" s="276">
        <f>Dem!B70+(DD29/4)</f>
        <v>20.299999999999997</v>
      </c>
      <c r="CV29" s="276">
        <f>Dem!B110+(DD29/4)</f>
        <v>20.599999999999998</v>
      </c>
      <c r="CW29" s="276">
        <f>Dem!B150+(DD29/4)</f>
        <v>20.599999999999998</v>
      </c>
      <c r="CX29" s="276">
        <f>Dem!B190+(DD29/4)</f>
        <v>20.799999999999997</v>
      </c>
      <c r="CY29" s="276">
        <f>Dem!B270</f>
        <v>10.7</v>
      </c>
      <c r="CZ29" s="276">
        <f>Dem!B310</f>
        <v>5.5</v>
      </c>
      <c r="DA29" s="276">
        <f>Dem!B350</f>
        <v>4.4000000000000004</v>
      </c>
      <c r="DB29" s="276">
        <f>Dem!B390</f>
        <v>1.1000000000000001</v>
      </c>
      <c r="DC29" s="275">
        <v>104.8</v>
      </c>
      <c r="DD29" s="46">
        <v>-0.40000000000000568</v>
      </c>
      <c r="DE29" s="275"/>
      <c r="DF29" s="276">
        <f>Dem!$D70+(DO29/4)</f>
        <v>52.649999999999984</v>
      </c>
      <c r="DG29" s="276">
        <f>Dem!$D110+(DO29/4)</f>
        <v>53.649999999999984</v>
      </c>
      <c r="DH29" s="276">
        <f>Dem!$D150+(DO29/4)</f>
        <v>53.649999999999984</v>
      </c>
      <c r="DI29" s="276">
        <f>Dem!$D190+(DO29/4)</f>
        <v>53.649999999999984</v>
      </c>
      <c r="DJ29" s="275">
        <f>Dem!$D270</f>
        <v>27</v>
      </c>
      <c r="DK29" s="275">
        <f>Dem!$D310</f>
        <v>13.5</v>
      </c>
      <c r="DL29" s="275">
        <f>Dem!$D350</f>
        <v>10.8</v>
      </c>
      <c r="DM29" s="275">
        <f>Dem!$D390</f>
        <v>2.7</v>
      </c>
      <c r="DN29" s="276">
        <f t="shared" si="17"/>
        <v>269.60000000000002</v>
      </c>
      <c r="DO29" s="44">
        <v>-1.0000000000000568</v>
      </c>
    </row>
    <row r="30" spans="1:119">
      <c r="A30" s="46">
        <f t="shared" si="18"/>
        <v>2000</v>
      </c>
      <c r="B30" s="141">
        <f t="shared" si="8"/>
        <v>0.11106098100831652</v>
      </c>
      <c r="C30" s="46"/>
      <c r="D30" s="141">
        <f t="shared" si="9"/>
        <v>0.65663275039201452</v>
      </c>
      <c r="E30" s="141">
        <f t="shared" si="10"/>
        <v>0.545571769383698</v>
      </c>
      <c r="F30" s="46"/>
      <c r="G30" s="157">
        <f t="shared" si="11"/>
        <v>3.6028700958301428E-2</v>
      </c>
      <c r="H30" s="157">
        <f t="shared" si="11"/>
        <v>6.4316356834127078E-2</v>
      </c>
      <c r="I30" s="157">
        <f t="shared" si="11"/>
        <v>8.2016986483654145E-2</v>
      </c>
      <c r="J30" s="157">
        <f t="shared" si="11"/>
        <v>8.4253179774257975E-2</v>
      </c>
      <c r="K30" s="157">
        <f t="shared" si="11"/>
        <v>3.7350065183374685E-2</v>
      </c>
      <c r="L30" s="157">
        <f t="shared" si="11"/>
        <v>1.5880147831210556E-2</v>
      </c>
      <c r="M30" s="157">
        <f t="shared" si="11"/>
        <v>8.4709381310813341E-3</v>
      </c>
      <c r="N30" s="157">
        <f t="shared" si="11"/>
        <v>0</v>
      </c>
      <c r="O30" s="46"/>
      <c r="P30" s="154">
        <f t="shared" si="19"/>
        <v>1.9856495208492874E-2</v>
      </c>
      <c r="Q30" s="154">
        <f t="shared" si="20"/>
        <v>7.8418215829364632E-2</v>
      </c>
      <c r="R30" s="154">
        <f t="shared" si="20"/>
        <v>0.18991506758172935</v>
      </c>
      <c r="S30" s="154">
        <f t="shared" si="20"/>
        <v>0.3787341011287102</v>
      </c>
      <c r="T30" s="154">
        <f t="shared" si="20"/>
        <v>0.52649934816625321</v>
      </c>
      <c r="U30" s="154">
        <f t="shared" si="20"/>
        <v>0.63239704337578895</v>
      </c>
      <c r="V30" s="154">
        <f t="shared" si="20"/>
        <v>0.77822654672296676</v>
      </c>
      <c r="W30" s="162">
        <f t="shared" si="21"/>
        <v>1</v>
      </c>
      <c r="X30" s="154"/>
      <c r="Y30" s="142">
        <f t="shared" si="22"/>
        <v>3.2445328031809155E-2</v>
      </c>
      <c r="Z30" s="142">
        <f t="shared" si="22"/>
        <v>5.4950298210735597E-2</v>
      </c>
      <c r="AA30" s="142">
        <f t="shared" si="22"/>
        <v>6.7912524850894648E-2</v>
      </c>
      <c r="AB30" s="142">
        <f t="shared" si="22"/>
        <v>6.8349900596421487E-2</v>
      </c>
      <c r="AC30" s="142">
        <f t="shared" si="22"/>
        <v>2.9960238568588482E-2</v>
      </c>
      <c r="AD30" s="142">
        <f t="shared" si="22"/>
        <v>1.2609343936381717E-2</v>
      </c>
      <c r="AE30" s="142">
        <f t="shared" si="22"/>
        <v>6.5582504970178989E-3</v>
      </c>
      <c r="AF30" s="142">
        <f t="shared" si="22"/>
        <v>0</v>
      </c>
      <c r="AH30" s="158">
        <f t="shared" si="13"/>
        <v>3.7773359840954271E-2</v>
      </c>
      <c r="AI30" s="158">
        <f t="shared" si="14"/>
        <v>0.12524850894632206</v>
      </c>
      <c r="AJ30" s="158">
        <f t="shared" si="14"/>
        <v>0.26043737574552683</v>
      </c>
      <c r="AK30" s="158">
        <f t="shared" si="14"/>
        <v>0.45825049701789261</v>
      </c>
      <c r="AL30" s="158">
        <f t="shared" si="14"/>
        <v>0.6003976143141152</v>
      </c>
      <c r="AM30" s="158">
        <f>AL30+BE30/SUM($AZ30:$BG30)</f>
        <v>0.69781312127236572</v>
      </c>
      <c r="AN30" s="158">
        <f t="shared" si="14"/>
        <v>0.82604373757455263</v>
      </c>
      <c r="AO30" s="158">
        <v>1</v>
      </c>
      <c r="AP30" s="143"/>
      <c r="AQ30" s="143">
        <f t="shared" si="5"/>
        <v>1.9856495208492871E-2</v>
      </c>
      <c r="AR30" s="143">
        <f>CK30/$CR30</f>
        <v>5.8561720620871748E-2</v>
      </c>
      <c r="AS30" s="143">
        <f t="shared" si="5"/>
        <v>0.11149685175236471</v>
      </c>
      <c r="AT30" s="143">
        <f t="shared" si="5"/>
        <v>0.18881903354698079</v>
      </c>
      <c r="AU30" s="143">
        <f t="shared" si="5"/>
        <v>0.14776524703754301</v>
      </c>
      <c r="AV30" s="143">
        <f t="shared" si="5"/>
        <v>0.10589769520953568</v>
      </c>
      <c r="AW30" s="143">
        <f t="shared" si="5"/>
        <v>0.14582950334717784</v>
      </c>
      <c r="AX30" s="143">
        <f t="shared" si="5"/>
        <v>0.22177345327703327</v>
      </c>
      <c r="AY30" s="46"/>
      <c r="AZ30" s="152">
        <f>Shares!D71</f>
        <v>3.8</v>
      </c>
      <c r="BA30" s="152">
        <f>Shares!E71</f>
        <v>8.8000000000000007</v>
      </c>
      <c r="BB30" s="152">
        <f>Shares!F71</f>
        <v>13.6</v>
      </c>
      <c r="BC30" s="152">
        <f>Shares!G71</f>
        <v>19.899999999999999</v>
      </c>
      <c r="BD30" s="152">
        <f>Shares!J71</f>
        <v>14.3</v>
      </c>
      <c r="BE30" s="152">
        <f>Shares!K71</f>
        <v>9.8000000000000007</v>
      </c>
      <c r="BF30" s="152">
        <f>Shares!L71</f>
        <v>12.9</v>
      </c>
      <c r="BG30" s="152">
        <f>Shares!M71</f>
        <v>17.5</v>
      </c>
      <c r="BI30" s="246">
        <f>TxRt!B74-TxRt!C74+TxRt!C$53</f>
        <v>12.5</v>
      </c>
      <c r="BJ30" s="246">
        <f>TxRt!B117-TxRt!C117+TxRt!C$96</f>
        <v>15.899999999999999</v>
      </c>
      <c r="BK30" s="246">
        <f>TxRt!B157-TxRt!C157+TxRt!C$136</f>
        <v>19.600000000000001</v>
      </c>
      <c r="BL30" s="246">
        <f>TxRt!B197-TxRt!C197+TxRt!C$176</f>
        <v>22.7</v>
      </c>
      <c r="BM30" s="246">
        <f>TxRt!B277-TxRt!C277+TxRt!C$256</f>
        <v>24.7</v>
      </c>
      <c r="BN30" s="246">
        <f>TxRt!B317-TxRt!C317+TxRt!C$296</f>
        <v>25.9</v>
      </c>
      <c r="BO30" s="246">
        <f>TxRt!B357-TxRt!C357+TxRt!C$336</f>
        <v>26.7</v>
      </c>
      <c r="BP30" s="246">
        <f>TxRt!B397-TxRt!C397+TxRt!C$376</f>
        <v>30.2</v>
      </c>
      <c r="BQ30" s="46"/>
      <c r="BR30" s="60">
        <f>Inc!B71</f>
        <v>19300</v>
      </c>
      <c r="BS30" s="60">
        <f>Inc!B111</f>
        <v>43500</v>
      </c>
      <c r="BT30" s="60">
        <f>Inc!B151</f>
        <v>67500</v>
      </c>
      <c r="BU30" s="60">
        <f>Inc!B191</f>
        <v>98700</v>
      </c>
      <c r="BV30" s="60">
        <f>Inc!B271</f>
        <v>138100</v>
      </c>
      <c r="BW30" s="60">
        <f>Inc!B311</f>
        <v>185400</v>
      </c>
      <c r="BX30" s="60">
        <f>Inc!B351</f>
        <v>301500</v>
      </c>
      <c r="BY30" s="60">
        <f>Inc!B391</f>
        <v>1695200</v>
      </c>
      <c r="CA30" s="60">
        <f t="shared" si="6"/>
        <v>2412.5</v>
      </c>
      <c r="CB30" s="60">
        <f t="shared" si="6"/>
        <v>6916.4999999999991</v>
      </c>
      <c r="CC30" s="60">
        <f t="shared" si="6"/>
        <v>13230</v>
      </c>
      <c r="CD30" s="60">
        <f t="shared" si="6"/>
        <v>22404.9</v>
      </c>
      <c r="CE30" s="60">
        <f t="shared" si="6"/>
        <v>34110.699999999997</v>
      </c>
      <c r="CF30" s="60">
        <f t="shared" si="6"/>
        <v>48018.6</v>
      </c>
      <c r="CG30" s="60">
        <f t="shared" si="6"/>
        <v>80500.5</v>
      </c>
      <c r="CH30" s="60">
        <f t="shared" si="6"/>
        <v>511950.4</v>
      </c>
      <c r="CJ30" s="153">
        <f t="shared" si="15"/>
        <v>50421.249999999985</v>
      </c>
      <c r="CK30" s="153">
        <f t="shared" si="7"/>
        <v>148704.74999999994</v>
      </c>
      <c r="CL30" s="153">
        <f t="shared" si="7"/>
        <v>283121.99999999994</v>
      </c>
      <c r="CM30" s="153">
        <f t="shared" si="7"/>
        <v>479464.85999999993</v>
      </c>
      <c r="CN30" s="153">
        <f t="shared" si="7"/>
        <v>375217.69999999995</v>
      </c>
      <c r="CO30" s="153">
        <f t="shared" si="7"/>
        <v>268904.15999999997</v>
      </c>
      <c r="CP30" s="153">
        <f t="shared" si="7"/>
        <v>370302.3</v>
      </c>
      <c r="CQ30" s="153">
        <f t="shared" si="7"/>
        <v>563145.44000000006</v>
      </c>
      <c r="CR30" s="153">
        <f t="shared" si="16"/>
        <v>2539282.46</v>
      </c>
      <c r="CT30" s="403">
        <v>276.5</v>
      </c>
      <c r="CU30" s="276">
        <f>Dem!B71+(DD30/4)</f>
        <v>20.899999999999995</v>
      </c>
      <c r="CV30" s="276">
        <f>Dem!B111+(DD30/4)</f>
        <v>21.499999999999996</v>
      </c>
      <c r="CW30" s="276">
        <f>Dem!B151+(DD30/4)</f>
        <v>21.399999999999995</v>
      </c>
      <c r="CX30" s="276">
        <f>Dem!B191+(DD30/4)</f>
        <v>21.399999999999995</v>
      </c>
      <c r="CY30" s="276">
        <f>Dem!B271</f>
        <v>11</v>
      </c>
      <c r="CZ30" s="276">
        <f>Dem!B311</f>
        <v>5.6</v>
      </c>
      <c r="DA30" s="276">
        <f>Dem!B351</f>
        <v>4.5999999999999996</v>
      </c>
      <c r="DB30" s="276">
        <f>Dem!B391</f>
        <v>1.1000000000000001</v>
      </c>
      <c r="DC30" s="275">
        <v>108.3</v>
      </c>
      <c r="DD30" s="46">
        <v>-0.4000000000000199</v>
      </c>
      <c r="DE30" s="275"/>
      <c r="DF30" s="276">
        <f>Dem!$D71+(DO30/4)</f>
        <v>54.20000000000001</v>
      </c>
      <c r="DG30" s="276">
        <f>Dem!$D111+(DO30/4)</f>
        <v>55.100000000000009</v>
      </c>
      <c r="DH30" s="276">
        <f>Dem!$D151+(DO30/4)</f>
        <v>55.100000000000009</v>
      </c>
      <c r="DI30" s="276">
        <f>Dem!$D191+(DO30/4)</f>
        <v>55.100000000000009</v>
      </c>
      <c r="DJ30" s="275">
        <f>Dem!$D271</f>
        <v>27.7</v>
      </c>
      <c r="DK30" s="275">
        <f>Dem!$D311</f>
        <v>13.8</v>
      </c>
      <c r="DL30" s="275">
        <f>Dem!$D351</f>
        <v>11.1</v>
      </c>
      <c r="DM30" s="275">
        <f>Dem!$D391</f>
        <v>2.8</v>
      </c>
      <c r="DN30" s="276">
        <f t="shared" si="17"/>
        <v>276.5</v>
      </c>
      <c r="DO30" s="44">
        <v>-0.79999999999995453</v>
      </c>
    </row>
    <row r="31" spans="1:119">
      <c r="A31" s="46">
        <f t="shared" si="18"/>
        <v>2001</v>
      </c>
      <c r="B31" s="141">
        <f t="shared" si="8"/>
        <v>0.11492195167556041</v>
      </c>
      <c r="C31" s="46"/>
      <c r="D31" s="141">
        <f t="shared" si="9"/>
        <v>0.63323725982665402</v>
      </c>
      <c r="E31" s="141">
        <f t="shared" si="10"/>
        <v>0.51831530815109361</v>
      </c>
      <c r="F31" s="46"/>
      <c r="G31" s="157">
        <f t="shared" si="11"/>
        <v>3.5830919851970525E-2</v>
      </c>
      <c r="H31" s="157">
        <f t="shared" si="11"/>
        <v>6.382890609424198E-2</v>
      </c>
      <c r="I31" s="157">
        <f t="shared" si="11"/>
        <v>8.0467334537419707E-2</v>
      </c>
      <c r="J31" s="157">
        <f t="shared" si="11"/>
        <v>8.0527005739942648E-2</v>
      </c>
      <c r="K31" s="157">
        <f t="shared" si="11"/>
        <v>3.4600564270116894E-2</v>
      </c>
      <c r="L31" s="157">
        <f t="shared" si="11"/>
        <v>1.4226995274267268E-2</v>
      </c>
      <c r="M31" s="157">
        <f t="shared" si="11"/>
        <v>7.1369041453680686E-3</v>
      </c>
      <c r="N31" s="157">
        <f t="shared" si="11"/>
        <v>0</v>
      </c>
      <c r="O31" s="46"/>
      <c r="P31" s="154">
        <f t="shared" si="19"/>
        <v>2.0845400740147391E-2</v>
      </c>
      <c r="Q31" s="154">
        <f t="shared" si="20"/>
        <v>8.0855469528790122E-2</v>
      </c>
      <c r="R31" s="154">
        <f t="shared" si="20"/>
        <v>0.19766332731290159</v>
      </c>
      <c r="S31" s="154">
        <f t="shared" si="20"/>
        <v>0.39736497130028681</v>
      </c>
      <c r="T31" s="154">
        <f t="shared" si="20"/>
        <v>0.55399435729883106</v>
      </c>
      <c r="U31" s="154">
        <f t="shared" si="20"/>
        <v>0.66546009451465471</v>
      </c>
      <c r="V31" s="154">
        <f t="shared" si="20"/>
        <v>0.8115773963657984</v>
      </c>
      <c r="W31" s="162">
        <f t="shared" si="21"/>
        <v>1</v>
      </c>
      <c r="X31" s="154"/>
      <c r="Y31" s="142">
        <f t="shared" si="22"/>
        <v>3.2246520874751494E-2</v>
      </c>
      <c r="Z31" s="142">
        <f t="shared" si="22"/>
        <v>5.3956262425447321E-2</v>
      </c>
      <c r="AA31" s="142">
        <f t="shared" si="22"/>
        <v>6.5526838966202802E-2</v>
      </c>
      <c r="AB31" s="142">
        <f t="shared" si="22"/>
        <v>6.3777335984095435E-2</v>
      </c>
      <c r="AC31" s="142">
        <f t="shared" si="22"/>
        <v>2.7176938369781314E-2</v>
      </c>
      <c r="AD31" s="142">
        <f t="shared" si="22"/>
        <v>1.1068588469184893E-2</v>
      </c>
      <c r="AE31" s="142">
        <f t="shared" si="22"/>
        <v>5.4051689860835014E-3</v>
      </c>
      <c r="AF31" s="142">
        <f t="shared" si="22"/>
        <v>0</v>
      </c>
      <c r="AH31" s="158">
        <f t="shared" si="13"/>
        <v>3.8767395626242547E-2</v>
      </c>
      <c r="AI31" s="158">
        <f t="shared" si="14"/>
        <v>0.13021868787276342</v>
      </c>
      <c r="AJ31" s="158">
        <f t="shared" si="14"/>
        <v>0.27236580516898612</v>
      </c>
      <c r="AK31" s="158">
        <f t="shared" si="14"/>
        <v>0.4811133200795229</v>
      </c>
      <c r="AL31" s="158">
        <f t="shared" si="14"/>
        <v>0.62823061630218691</v>
      </c>
      <c r="AM31" s="158">
        <f t="shared" si="14"/>
        <v>0.72862823061630222</v>
      </c>
      <c r="AN31" s="158">
        <f t="shared" si="14"/>
        <v>0.85487077534791256</v>
      </c>
      <c r="AO31" s="158">
        <v>1</v>
      </c>
      <c r="AP31" s="143"/>
      <c r="AQ31" s="143">
        <f t="shared" si="5"/>
        <v>2.0845400740147391E-2</v>
      </c>
      <c r="AR31" s="143">
        <f t="shared" si="5"/>
        <v>6.0010068788642734E-2</v>
      </c>
      <c r="AS31" s="143">
        <f t="shared" si="5"/>
        <v>0.11680785778411149</v>
      </c>
      <c r="AT31" s="143">
        <f t="shared" si="5"/>
        <v>0.19970164398738521</v>
      </c>
      <c r="AU31" s="143">
        <f t="shared" si="5"/>
        <v>0.15662938599854426</v>
      </c>
      <c r="AV31" s="143">
        <f t="shared" si="5"/>
        <v>0.11146573721582365</v>
      </c>
      <c r="AW31" s="143">
        <f t="shared" si="5"/>
        <v>0.14611730185114374</v>
      </c>
      <c r="AX31" s="143">
        <f t="shared" si="5"/>
        <v>0.1884226036342016</v>
      </c>
      <c r="AY31" s="46"/>
      <c r="AZ31" s="152">
        <f>Shares!D72</f>
        <v>3.9</v>
      </c>
      <c r="BA31" s="152">
        <f>Shares!E72</f>
        <v>9.1999999999999993</v>
      </c>
      <c r="BB31" s="152">
        <f>Shares!F72</f>
        <v>14.3</v>
      </c>
      <c r="BC31" s="152">
        <f>Shares!G72</f>
        <v>21</v>
      </c>
      <c r="BD31" s="152">
        <f>Shares!J72</f>
        <v>14.8</v>
      </c>
      <c r="BE31" s="152">
        <f>Shares!K72</f>
        <v>10.1</v>
      </c>
      <c r="BF31" s="152">
        <f>Shares!L72</f>
        <v>12.7</v>
      </c>
      <c r="BG31" s="152">
        <f>Shares!M72</f>
        <v>14.6</v>
      </c>
      <c r="BI31" s="246">
        <f>TxRt!B75-TxRt!C75+TxRt!C$53</f>
        <v>12.4</v>
      </c>
      <c r="BJ31" s="246">
        <f>TxRt!B118-TxRt!C118+TxRt!C$96</f>
        <v>15.299999999999999</v>
      </c>
      <c r="BK31" s="246">
        <f>TxRt!B158-TxRt!C158+TxRt!C$136</f>
        <v>19.100000000000001</v>
      </c>
      <c r="BL31" s="246">
        <f>TxRt!B198-TxRt!C198+TxRt!C$176</f>
        <v>22.3</v>
      </c>
      <c r="BM31" s="246">
        <f>TxRt!B278-TxRt!C278+TxRt!C$256</f>
        <v>24.5</v>
      </c>
      <c r="BN31" s="246">
        <f>TxRt!B318-TxRt!C318+TxRt!C$296</f>
        <v>25.8</v>
      </c>
      <c r="BO31" s="246">
        <f>TxRt!B358-TxRt!C358+TxRt!C$336</f>
        <v>26.5</v>
      </c>
      <c r="BP31" s="246">
        <f>TxRt!B398-TxRt!C398+TxRt!C$376</f>
        <v>30</v>
      </c>
      <c r="BQ31" s="46"/>
      <c r="BR31" s="60">
        <f>Inc!B72</f>
        <v>19000</v>
      </c>
      <c r="BS31" s="60">
        <f>Inc!B112</f>
        <v>42900</v>
      </c>
      <c r="BT31" s="60">
        <f>Inc!B152</f>
        <v>67200</v>
      </c>
      <c r="BU31" s="60">
        <f>Inc!B192</f>
        <v>97500</v>
      </c>
      <c r="BV31" s="60">
        <f>Inc!B272</f>
        <v>136700</v>
      </c>
      <c r="BW31" s="60">
        <f>Inc!B312</f>
        <v>179900</v>
      </c>
      <c r="BX31" s="60">
        <f>Inc!B352</f>
        <v>284500</v>
      </c>
      <c r="BY31" s="60">
        <f>Inc!B392</f>
        <v>1355200</v>
      </c>
      <c r="CA31" s="60">
        <f t="shared" si="6"/>
        <v>2356</v>
      </c>
      <c r="CB31" s="60">
        <f t="shared" si="6"/>
        <v>6563.7</v>
      </c>
      <c r="CC31" s="60">
        <f t="shared" si="6"/>
        <v>12835.2</v>
      </c>
      <c r="CD31" s="60">
        <f t="shared" si="6"/>
        <v>21742.5</v>
      </c>
      <c r="CE31" s="60">
        <f t="shared" si="6"/>
        <v>33491.5</v>
      </c>
      <c r="CF31" s="60">
        <f t="shared" si="6"/>
        <v>46414.2</v>
      </c>
      <c r="CG31" s="60">
        <f t="shared" si="6"/>
        <v>75392.5</v>
      </c>
      <c r="CH31" s="60">
        <f t="shared" si="6"/>
        <v>406560</v>
      </c>
      <c r="CJ31" s="153">
        <f t="shared" si="15"/>
        <v>49475.999999999993</v>
      </c>
      <c r="CK31" s="153">
        <f t="shared" si="7"/>
        <v>142432.28999999998</v>
      </c>
      <c r="CL31" s="153">
        <f t="shared" si="7"/>
        <v>277240.31999999995</v>
      </c>
      <c r="CM31" s="153">
        <f t="shared" si="7"/>
        <v>473986.49999999988</v>
      </c>
      <c r="CN31" s="153">
        <f t="shared" si="7"/>
        <v>371755.64999999997</v>
      </c>
      <c r="CO31" s="153">
        <f t="shared" si="7"/>
        <v>264560.94</v>
      </c>
      <c r="CP31" s="153">
        <f t="shared" si="7"/>
        <v>346805.5</v>
      </c>
      <c r="CQ31" s="153">
        <f t="shared" si="7"/>
        <v>447216.00000000006</v>
      </c>
      <c r="CR31" s="153">
        <f t="shared" si="16"/>
        <v>2373473.1999999997</v>
      </c>
      <c r="CT31" s="403">
        <v>277.8</v>
      </c>
      <c r="CU31" s="276">
        <f>Dem!B72+(DD31/4)</f>
        <v>20.999999999999996</v>
      </c>
      <c r="CV31" s="276">
        <f>Dem!B112+(DD31/4)</f>
        <v>21.699999999999996</v>
      </c>
      <c r="CW31" s="276">
        <f>Dem!B152+(DD31/4)</f>
        <v>21.599999999999994</v>
      </c>
      <c r="CX31" s="276">
        <f>Dem!B192+(DD31/4)</f>
        <v>21.799999999999994</v>
      </c>
      <c r="CY31" s="276">
        <f>Dem!B272</f>
        <v>11.1</v>
      </c>
      <c r="CZ31" s="276">
        <f>Dem!B312</f>
        <v>5.7</v>
      </c>
      <c r="DA31" s="276">
        <f>Dem!B352</f>
        <v>4.5999999999999996</v>
      </c>
      <c r="DB31" s="276">
        <f>Dem!B392</f>
        <v>1.1000000000000001</v>
      </c>
      <c r="DC31" s="275">
        <v>109.4</v>
      </c>
      <c r="DD31" s="46">
        <v>-0.4000000000000199</v>
      </c>
      <c r="DE31" s="275"/>
      <c r="DF31" s="276">
        <f>Dem!$D72+(DO31/4)</f>
        <v>54.275000000000006</v>
      </c>
      <c r="DG31" s="276">
        <f>Dem!$D112+(DO31/4)</f>
        <v>55.375000000000007</v>
      </c>
      <c r="DH31" s="276">
        <f>Dem!$D152+(DO31/4)</f>
        <v>55.375000000000007</v>
      </c>
      <c r="DI31" s="276">
        <f>Dem!$D192+(DO31/4)</f>
        <v>55.375000000000007</v>
      </c>
      <c r="DJ31" s="275">
        <f>Dem!$D272</f>
        <v>27.8</v>
      </c>
      <c r="DK31" s="275">
        <f>Dem!$D312</f>
        <v>13.9</v>
      </c>
      <c r="DL31" s="275">
        <f>Dem!$D352</f>
        <v>11.1</v>
      </c>
      <c r="DM31" s="275">
        <f>Dem!$D392</f>
        <v>2.8</v>
      </c>
      <c r="DN31" s="276">
        <f t="shared" si="17"/>
        <v>277.8</v>
      </c>
      <c r="DO31" s="44">
        <v>-0.89999999999997726</v>
      </c>
    </row>
    <row r="32" spans="1:119">
      <c r="A32" s="46">
        <f t="shared" si="18"/>
        <v>2002</v>
      </c>
      <c r="B32" s="141">
        <f t="shared" si="8"/>
        <v>0.11697857321883631</v>
      </c>
      <c r="C32" s="46"/>
      <c r="D32" s="141">
        <f t="shared" si="9"/>
        <v>0.6235916814611403</v>
      </c>
      <c r="E32" s="141">
        <f t="shared" si="10"/>
        <v>0.50661310824230399</v>
      </c>
      <c r="F32" s="46"/>
      <c r="G32" s="157">
        <f t="shared" si="11"/>
        <v>3.569844520815707E-2</v>
      </c>
      <c r="H32" s="157">
        <f t="shared" si="11"/>
        <v>6.3391045382608424E-2</v>
      </c>
      <c r="I32" s="157">
        <f t="shared" si="11"/>
        <v>7.9575651132265265E-2</v>
      </c>
      <c r="J32" s="157">
        <f t="shared" si="11"/>
        <v>7.9215408280922758E-2</v>
      </c>
      <c r="K32" s="157">
        <f t="shared" si="11"/>
        <v>3.3651516958919957E-2</v>
      </c>
      <c r="L32" s="157">
        <f t="shared" si="11"/>
        <v>1.3679717861115366E-2</v>
      </c>
      <c r="M32" s="157">
        <f t="shared" si="11"/>
        <v>6.5840559065813015E-3</v>
      </c>
      <c r="N32" s="157">
        <f t="shared" si="11"/>
        <v>0</v>
      </c>
      <c r="O32" s="46"/>
      <c r="P32" s="154">
        <f t="shared" si="19"/>
        <v>2.1507773959214674E-2</v>
      </c>
      <c r="Q32" s="154">
        <f t="shared" si="20"/>
        <v>8.3044773086957929E-2</v>
      </c>
      <c r="R32" s="154">
        <f t="shared" si="20"/>
        <v>0.2021217443386738</v>
      </c>
      <c r="S32" s="154">
        <f t="shared" si="20"/>
        <v>0.40392295859538629</v>
      </c>
      <c r="T32" s="154">
        <f t="shared" si="20"/>
        <v>0.56348483041080044</v>
      </c>
      <c r="U32" s="154">
        <f t="shared" si="20"/>
        <v>0.67640564277769277</v>
      </c>
      <c r="V32" s="154">
        <f t="shared" si="20"/>
        <v>0.82539860233546758</v>
      </c>
      <c r="W32" s="162">
        <f t="shared" si="21"/>
        <v>1</v>
      </c>
      <c r="X32" s="154"/>
      <c r="Y32" s="142">
        <f t="shared" si="22"/>
        <v>3.2055610724925521E-2</v>
      </c>
      <c r="Z32" s="142">
        <f t="shared" si="22"/>
        <v>5.3386295928500506E-2</v>
      </c>
      <c r="AA32" s="142">
        <f t="shared" si="22"/>
        <v>6.4389275074478669E-2</v>
      </c>
      <c r="AB32" s="142">
        <f t="shared" si="22"/>
        <v>6.2085402184707067E-2</v>
      </c>
      <c r="AC32" s="142">
        <f t="shared" si="22"/>
        <v>2.6047666335650446E-2</v>
      </c>
      <c r="AD32" s="142">
        <f t="shared" si="22"/>
        <v>1.0459285004965242E-2</v>
      </c>
      <c r="AE32" s="142">
        <f t="shared" si="22"/>
        <v>4.8830188679245268E-3</v>
      </c>
      <c r="AF32" s="142">
        <f t="shared" si="22"/>
        <v>0</v>
      </c>
      <c r="AH32" s="158">
        <f t="shared" si="13"/>
        <v>3.9721946375372401E-2</v>
      </c>
      <c r="AI32" s="158">
        <f t="shared" si="14"/>
        <v>0.13306852035749753</v>
      </c>
      <c r="AJ32" s="158">
        <f t="shared" si="14"/>
        <v>0.27805362462760674</v>
      </c>
      <c r="AK32" s="158">
        <f t="shared" si="14"/>
        <v>0.48957298907646474</v>
      </c>
      <c r="AL32" s="158">
        <f t="shared" si="14"/>
        <v>0.63952333664349559</v>
      </c>
      <c r="AM32" s="158">
        <f t="shared" si="14"/>
        <v>0.74081429990069525</v>
      </c>
      <c r="AN32" s="158">
        <f t="shared" si="14"/>
        <v>0.86792452830188693</v>
      </c>
      <c r="AO32" s="158">
        <v>1</v>
      </c>
      <c r="AP32" s="143"/>
      <c r="AQ32" s="143">
        <f t="shared" si="5"/>
        <v>2.150777395921467E-2</v>
      </c>
      <c r="AR32" s="143">
        <f t="shared" si="5"/>
        <v>6.1536999127743242E-2</v>
      </c>
      <c r="AS32" s="143">
        <f t="shared" si="5"/>
        <v>0.11907697125171587</v>
      </c>
      <c r="AT32" s="143">
        <f t="shared" si="5"/>
        <v>0.20180121425671249</v>
      </c>
      <c r="AU32" s="143">
        <f t="shared" si="5"/>
        <v>0.15956187181541415</v>
      </c>
      <c r="AV32" s="143">
        <f t="shared" si="5"/>
        <v>0.11292081236689237</v>
      </c>
      <c r="AW32" s="143">
        <f t="shared" si="5"/>
        <v>0.14899295955777483</v>
      </c>
      <c r="AX32" s="143">
        <f t="shared" si="5"/>
        <v>0.17460139766453228</v>
      </c>
      <c r="AY32" s="46"/>
      <c r="AZ32" s="152">
        <f>Shares!D73</f>
        <v>4</v>
      </c>
      <c r="BA32" s="152">
        <f>Shares!E73</f>
        <v>9.4</v>
      </c>
      <c r="BB32" s="152">
        <f>Shares!F73</f>
        <v>14.6</v>
      </c>
      <c r="BC32" s="152">
        <f>Shares!G73</f>
        <v>21.3</v>
      </c>
      <c r="BD32" s="152">
        <f>Shares!J73</f>
        <v>15.1</v>
      </c>
      <c r="BE32" s="152">
        <f>Shares!K73</f>
        <v>10.199999999999999</v>
      </c>
      <c r="BF32" s="152">
        <f>Shares!L73</f>
        <v>12.8</v>
      </c>
      <c r="BG32" s="152">
        <f>Shares!M73</f>
        <v>13.3</v>
      </c>
      <c r="BI32" s="246">
        <f>TxRt!B76-TxRt!C76+TxRt!C$53</f>
        <v>12.4</v>
      </c>
      <c r="BJ32" s="246">
        <f>TxRt!B119-TxRt!C119+TxRt!C$96</f>
        <v>15.1</v>
      </c>
      <c r="BK32" s="246">
        <f>TxRt!B159-TxRt!C159+TxRt!C$136</f>
        <v>18.899999999999999</v>
      </c>
      <c r="BL32" s="246">
        <f>TxRt!B199-TxRt!C199+TxRt!C$176</f>
        <v>21.9</v>
      </c>
      <c r="BM32" s="246">
        <f>TxRt!B279-TxRt!C279+TxRt!C$256</f>
        <v>24.3</v>
      </c>
      <c r="BN32" s="246">
        <f>TxRt!B319-TxRt!C319+TxRt!C$296</f>
        <v>25.6</v>
      </c>
      <c r="BO32" s="246">
        <f>TxRt!B359-TxRt!C359+TxRt!C$336</f>
        <v>26.6</v>
      </c>
      <c r="BP32" s="246">
        <f>TxRt!B399-TxRt!C399+TxRt!C$376</f>
        <v>30.3</v>
      </c>
      <c r="BQ32" s="46"/>
      <c r="BR32" s="60">
        <f>Inc!B73</f>
        <v>18800</v>
      </c>
      <c r="BS32" s="60">
        <f>Inc!B113</f>
        <v>41800</v>
      </c>
      <c r="BT32" s="60">
        <f>Inc!B153</f>
        <v>65800</v>
      </c>
      <c r="BU32" s="60">
        <f>Inc!B193</f>
        <v>95800</v>
      </c>
      <c r="BV32" s="60">
        <f>Inc!B273</f>
        <v>134400</v>
      </c>
      <c r="BW32" s="60">
        <f>Inc!B313</f>
        <v>177400</v>
      </c>
      <c r="BX32" s="60">
        <f>Inc!B353</f>
        <v>273200</v>
      </c>
      <c r="BY32" s="60">
        <f>Inc!B393</f>
        <v>1200900</v>
      </c>
      <c r="CA32" s="60">
        <f t="shared" si="6"/>
        <v>2331.1999999999998</v>
      </c>
      <c r="CB32" s="60">
        <f t="shared" si="6"/>
        <v>6311.8</v>
      </c>
      <c r="CC32" s="60">
        <f t="shared" si="6"/>
        <v>12436.2</v>
      </c>
      <c r="CD32" s="60">
        <f t="shared" si="6"/>
        <v>20980.2</v>
      </c>
      <c r="CE32" s="60">
        <f t="shared" si="6"/>
        <v>32659.200000000001</v>
      </c>
      <c r="CF32" s="60">
        <f t="shared" si="6"/>
        <v>45414.400000000001</v>
      </c>
      <c r="CG32" s="60">
        <f t="shared" si="6"/>
        <v>72671.199999999997</v>
      </c>
      <c r="CH32" s="60">
        <f t="shared" si="6"/>
        <v>363872.7</v>
      </c>
      <c r="CJ32" s="153">
        <f t="shared" si="15"/>
        <v>49304.880000000005</v>
      </c>
      <c r="CK32" s="153">
        <f t="shared" si="7"/>
        <v>141068.73000000001</v>
      </c>
      <c r="CL32" s="153">
        <f t="shared" si="7"/>
        <v>272974.59000000003</v>
      </c>
      <c r="CM32" s="153">
        <f t="shared" si="7"/>
        <v>462613.41000000003</v>
      </c>
      <c r="CN32" s="153">
        <f t="shared" si="7"/>
        <v>365783.03999999998</v>
      </c>
      <c r="CO32" s="153">
        <f t="shared" si="7"/>
        <v>258862.08000000002</v>
      </c>
      <c r="CP32" s="153">
        <f t="shared" si="7"/>
        <v>341554.64</v>
      </c>
      <c r="CQ32" s="153">
        <f t="shared" si="7"/>
        <v>400259.97000000003</v>
      </c>
      <c r="CR32" s="153">
        <f t="shared" si="16"/>
        <v>2292421.3400000003</v>
      </c>
      <c r="CT32" s="403">
        <v>282.10000000000002</v>
      </c>
      <c r="CU32" s="276">
        <f>Dem!B73+(DD32/4)</f>
        <v>21.150000000000002</v>
      </c>
      <c r="CV32" s="276">
        <f>Dem!B113+(DD32/4)</f>
        <v>22.35</v>
      </c>
      <c r="CW32" s="276">
        <f>Dem!B153+(DD32/4)</f>
        <v>21.950000000000003</v>
      </c>
      <c r="CX32" s="276">
        <f>Dem!B193+(DD32/4)</f>
        <v>22.05</v>
      </c>
      <c r="CY32" s="276">
        <f>Dem!B273</f>
        <v>11.2</v>
      </c>
      <c r="CZ32" s="276">
        <f>Dem!B313</f>
        <v>5.7</v>
      </c>
      <c r="DA32" s="276">
        <f>Dem!B353</f>
        <v>4.7</v>
      </c>
      <c r="DB32" s="276">
        <f>Dem!B393</f>
        <v>1.1000000000000001</v>
      </c>
      <c r="DC32" s="275">
        <v>111.4</v>
      </c>
      <c r="DD32" s="46">
        <v>-0.59999999999999432</v>
      </c>
      <c r="DE32" s="275"/>
      <c r="DF32" s="276">
        <f>Dem!$D73+(DO32/4)</f>
        <v>54.625</v>
      </c>
      <c r="DG32" s="276">
        <f>Dem!$D113+(DO32/4)</f>
        <v>56.024999999999999</v>
      </c>
      <c r="DH32" s="276">
        <f>Dem!$D153+(DO32/4)</f>
        <v>56.024999999999999</v>
      </c>
      <c r="DI32" s="276">
        <f>Dem!$D193+(DO32/4)</f>
        <v>56.024999999999999</v>
      </c>
      <c r="DJ32" s="275">
        <f>Dem!$D273</f>
        <v>28.2</v>
      </c>
      <c r="DK32" s="275">
        <f>Dem!$D313</f>
        <v>14.1</v>
      </c>
      <c r="DL32" s="275">
        <f>Dem!$D353</f>
        <v>11.3</v>
      </c>
      <c r="DM32" s="275">
        <f>Dem!$D393</f>
        <v>2.8</v>
      </c>
      <c r="DN32" s="276">
        <f t="shared" si="17"/>
        <v>282.10000000000002</v>
      </c>
      <c r="DO32" s="44">
        <v>-1.5</v>
      </c>
    </row>
    <row r="33" spans="1:119">
      <c r="A33" s="46">
        <f t="shared" si="18"/>
        <v>2003</v>
      </c>
      <c r="B33" s="141">
        <f t="shared" si="8"/>
        <v>0.1202862910127227</v>
      </c>
      <c r="C33" s="46"/>
      <c r="D33" s="141">
        <f t="shared" si="9"/>
        <v>0.63652994180637346</v>
      </c>
      <c r="E33" s="141">
        <f t="shared" si="10"/>
        <v>0.51624365079365075</v>
      </c>
      <c r="F33" s="46"/>
      <c r="G33" s="157">
        <f t="shared" si="11"/>
        <v>3.5861098933410683E-2</v>
      </c>
      <c r="H33" s="157">
        <f t="shared" si="11"/>
        <v>6.3991890273229199E-2</v>
      </c>
      <c r="I33" s="157">
        <f t="shared" si="11"/>
        <v>8.0831702983548193E-2</v>
      </c>
      <c r="J33" s="157">
        <f t="shared" si="11"/>
        <v>8.1346006433222637E-2</v>
      </c>
      <c r="K33" s="157">
        <f t="shared" si="11"/>
        <v>3.4810322188104391E-2</v>
      </c>
      <c r="L33" s="157">
        <f t="shared" si="11"/>
        <v>1.4311574265925615E-2</v>
      </c>
      <c r="M33" s="157">
        <f t="shared" si="11"/>
        <v>7.1123758257460295E-3</v>
      </c>
      <c r="N33" s="157">
        <f t="shared" si="11"/>
        <v>0</v>
      </c>
      <c r="O33" s="46"/>
      <c r="P33" s="154">
        <f t="shared" si="19"/>
        <v>2.0694505332946613E-2</v>
      </c>
      <c r="Q33" s="154">
        <f t="shared" si="20"/>
        <v>8.0040548633854028E-2</v>
      </c>
      <c r="R33" s="154">
        <f t="shared" si="20"/>
        <v>0.19584148508225913</v>
      </c>
      <c r="S33" s="154">
        <f t="shared" si="20"/>
        <v>0.3932699678338869</v>
      </c>
      <c r="T33" s="154">
        <f t="shared" si="20"/>
        <v>0.5518967781189561</v>
      </c>
      <c r="U33" s="154">
        <f t="shared" si="20"/>
        <v>0.66376851468148779</v>
      </c>
      <c r="V33" s="154">
        <f t="shared" si="20"/>
        <v>0.81219060435634938</v>
      </c>
      <c r="W33" s="162">
        <f t="shared" si="21"/>
        <v>1</v>
      </c>
      <c r="X33" s="154"/>
      <c r="Y33" s="142">
        <f t="shared" si="22"/>
        <v>3.2261904761904762E-2</v>
      </c>
      <c r="Z33" s="142">
        <f t="shared" si="22"/>
        <v>5.4007936507936519E-2</v>
      </c>
      <c r="AA33" s="142">
        <f t="shared" si="22"/>
        <v>6.5436507936507946E-2</v>
      </c>
      <c r="AB33" s="142">
        <f t="shared" si="22"/>
        <v>6.357142857142857E-2</v>
      </c>
      <c r="AC33" s="142">
        <f t="shared" si="22"/>
        <v>2.6805555555555551E-2</v>
      </c>
      <c r="AD33" s="142">
        <f t="shared" si="22"/>
        <v>1.0843253968253969E-2</v>
      </c>
      <c r="AE33" s="142">
        <f t="shared" si="22"/>
        <v>5.1952380952380974E-3</v>
      </c>
      <c r="AF33" s="142">
        <f t="shared" si="22"/>
        <v>0</v>
      </c>
      <c r="AH33" s="158">
        <f t="shared" si="13"/>
        <v>3.8690476190476192E-2</v>
      </c>
      <c r="AI33" s="158">
        <f t="shared" si="14"/>
        <v>0.12996031746031744</v>
      </c>
      <c r="AJ33" s="158">
        <f t="shared" si="14"/>
        <v>0.27281746031746035</v>
      </c>
      <c r="AK33" s="158">
        <f t="shared" si="14"/>
        <v>0.48214285714285721</v>
      </c>
      <c r="AL33" s="158">
        <f t="shared" si="14"/>
        <v>0.63194444444444453</v>
      </c>
      <c r="AM33" s="158">
        <f t="shared" si="14"/>
        <v>0.73313492063492069</v>
      </c>
      <c r="AN33" s="158">
        <f t="shared" si="14"/>
        <v>0.86011904761904767</v>
      </c>
      <c r="AO33" s="158">
        <v>1</v>
      </c>
      <c r="AP33" s="143"/>
      <c r="AQ33" s="143">
        <f t="shared" si="5"/>
        <v>2.0694505332946613E-2</v>
      </c>
      <c r="AR33" s="143">
        <f t="shared" si="5"/>
        <v>5.9346043300907411E-2</v>
      </c>
      <c r="AS33" s="143">
        <f t="shared" si="5"/>
        <v>0.1158009364484051</v>
      </c>
      <c r="AT33" s="143">
        <f t="shared" si="5"/>
        <v>0.1974284827516278</v>
      </c>
      <c r="AU33" s="143">
        <f t="shared" si="5"/>
        <v>0.15862681028506925</v>
      </c>
      <c r="AV33" s="143">
        <f t="shared" si="5"/>
        <v>0.11187173656253167</v>
      </c>
      <c r="AW33" s="143">
        <f t="shared" si="5"/>
        <v>0.14842208967486159</v>
      </c>
      <c r="AX33" s="143">
        <f t="shared" si="5"/>
        <v>0.18780939564365057</v>
      </c>
      <c r="AY33" s="46"/>
      <c r="AZ33" s="152">
        <f>Shares!D74</f>
        <v>3.9</v>
      </c>
      <c r="BA33" s="152">
        <f>Shares!E74</f>
        <v>9.1999999999999993</v>
      </c>
      <c r="BB33" s="152">
        <f>Shares!F74</f>
        <v>14.4</v>
      </c>
      <c r="BC33" s="152">
        <f>Shares!G74</f>
        <v>21.1</v>
      </c>
      <c r="BD33" s="152">
        <f>Shares!J74</f>
        <v>15.1</v>
      </c>
      <c r="BE33" s="152">
        <f>Shares!K74</f>
        <v>10.199999999999999</v>
      </c>
      <c r="BF33" s="152">
        <f>Shares!L74</f>
        <v>12.8</v>
      </c>
      <c r="BG33" s="152">
        <f>Shares!M74</f>
        <v>14.1</v>
      </c>
      <c r="BI33" s="246">
        <f>TxRt!B77-TxRt!C77+TxRt!C$53</f>
        <v>12.5</v>
      </c>
      <c r="BJ33" s="246">
        <f>TxRt!B120-TxRt!C120+TxRt!C$96</f>
        <v>15.1</v>
      </c>
      <c r="BK33" s="246">
        <f>TxRt!B160-TxRt!C160+TxRt!C$136</f>
        <v>18.899999999999999</v>
      </c>
      <c r="BL33" s="246">
        <f>TxRt!B200-TxRt!C200+TxRt!C$176</f>
        <v>22</v>
      </c>
      <c r="BM33" s="246">
        <f>TxRt!B280-TxRt!C280+TxRt!C$256</f>
        <v>24.6</v>
      </c>
      <c r="BN33" s="246">
        <f>TxRt!B320-TxRt!C320+TxRt!C$296</f>
        <v>25.9</v>
      </c>
      <c r="BO33" s="246">
        <f>TxRt!B360-TxRt!C360+TxRt!C$336</f>
        <v>27.300000000000004</v>
      </c>
      <c r="BP33" s="246">
        <f>TxRt!B400-TxRt!C400+TxRt!C$376</f>
        <v>31.900000000000002</v>
      </c>
      <c r="BQ33" s="46"/>
      <c r="BR33" s="60">
        <f>Inc!B74</f>
        <v>18500</v>
      </c>
      <c r="BS33" s="60">
        <f>Inc!B114</f>
        <v>41400</v>
      </c>
      <c r="BT33" s="60">
        <f>Inc!B154</f>
        <v>65700</v>
      </c>
      <c r="BU33" s="60">
        <f>Inc!B194</f>
        <v>97100</v>
      </c>
      <c r="BV33" s="60">
        <f>Inc!B274</f>
        <v>136300</v>
      </c>
      <c r="BW33" s="60">
        <f>Inc!B314</f>
        <v>181000</v>
      </c>
      <c r="BX33" s="60">
        <f>Inc!B354</f>
        <v>282300</v>
      </c>
      <c r="BY33" s="60">
        <f>Inc!B394</f>
        <v>1278400</v>
      </c>
      <c r="CA33" s="60">
        <f t="shared" si="6"/>
        <v>2312.5</v>
      </c>
      <c r="CB33" s="60">
        <f t="shared" si="6"/>
        <v>6251.4</v>
      </c>
      <c r="CC33" s="60">
        <f t="shared" si="6"/>
        <v>12417.3</v>
      </c>
      <c r="CD33" s="60">
        <f t="shared" si="6"/>
        <v>21362</v>
      </c>
      <c r="CE33" s="60">
        <f t="shared" si="6"/>
        <v>33529.800000000003</v>
      </c>
      <c r="CF33" s="60">
        <f t="shared" si="6"/>
        <v>46879</v>
      </c>
      <c r="CG33" s="60">
        <f t="shared" si="6"/>
        <v>77067.900000000009</v>
      </c>
      <c r="CH33" s="60">
        <f t="shared" si="6"/>
        <v>407809.6</v>
      </c>
      <c r="CJ33" s="153">
        <f t="shared" si="15"/>
        <v>49429.687499999993</v>
      </c>
      <c r="CK33" s="153">
        <f t="shared" si="7"/>
        <v>141750.49499999997</v>
      </c>
      <c r="CL33" s="153">
        <f t="shared" si="7"/>
        <v>276595.35749999993</v>
      </c>
      <c r="CM33" s="153">
        <f t="shared" si="7"/>
        <v>471566.14999999991</v>
      </c>
      <c r="CN33" s="153">
        <f t="shared" si="7"/>
        <v>378886.74000000005</v>
      </c>
      <c r="CO33" s="153">
        <f t="shared" si="7"/>
        <v>267210.3</v>
      </c>
      <c r="CP33" s="153">
        <f t="shared" si="7"/>
        <v>354512.34</v>
      </c>
      <c r="CQ33" s="153">
        <f t="shared" si="7"/>
        <v>448590.56</v>
      </c>
      <c r="CR33" s="153">
        <f t="shared" si="16"/>
        <v>2388541.63</v>
      </c>
      <c r="CT33" s="403">
        <v>284</v>
      </c>
      <c r="CU33" s="276">
        <f>Dem!B74+(DD33/4)</f>
        <v>21.374999999999996</v>
      </c>
      <c r="CV33" s="276">
        <f>Dem!B114+(DD33/4)</f>
        <v>22.674999999999997</v>
      </c>
      <c r="CW33" s="276">
        <f>Dem!B154+(DD33/4)</f>
        <v>22.274999999999995</v>
      </c>
      <c r="CX33" s="276">
        <f>Dem!B194+(DD33/4)</f>
        <v>22.074999999999996</v>
      </c>
      <c r="CY33" s="276">
        <f>Dem!B274</f>
        <v>11.3</v>
      </c>
      <c r="CZ33" s="276">
        <f>Dem!B314</f>
        <v>5.7</v>
      </c>
      <c r="DA33" s="276">
        <f>Dem!B354</f>
        <v>4.5999999999999996</v>
      </c>
      <c r="DB33" s="276">
        <f>Dem!B394</f>
        <v>1.1000000000000001</v>
      </c>
      <c r="DC33" s="275">
        <v>112.1</v>
      </c>
      <c r="DD33" s="46">
        <v>-0.50000000000001421</v>
      </c>
      <c r="DE33" s="275"/>
      <c r="DF33" s="276">
        <f>Dem!$D74+(DO33/4)</f>
        <v>55.174999999999997</v>
      </c>
      <c r="DG33" s="276">
        <f>Dem!$D114+(DO33/4)</f>
        <v>56.474999999999994</v>
      </c>
      <c r="DH33" s="276">
        <f>Dem!$D154+(DO33/4)</f>
        <v>56.474999999999994</v>
      </c>
      <c r="DI33" s="276">
        <f>Dem!$D194+(DO33/4)</f>
        <v>56.474999999999994</v>
      </c>
      <c r="DJ33" s="275">
        <f>Dem!$D274</f>
        <v>28.4</v>
      </c>
      <c r="DK33" s="275">
        <f>Dem!$D314</f>
        <v>14.2</v>
      </c>
      <c r="DL33" s="275">
        <f>Dem!$D354</f>
        <v>11.4</v>
      </c>
      <c r="DM33" s="275">
        <f>Dem!$D394</f>
        <v>2.8</v>
      </c>
      <c r="DN33" s="276">
        <f t="shared" si="17"/>
        <v>284</v>
      </c>
      <c r="DO33" s="44">
        <v>-1.3000000000000114</v>
      </c>
    </row>
    <row r="34" spans="1:119">
      <c r="A34" s="46">
        <f t="shared" si="18"/>
        <v>2004</v>
      </c>
      <c r="B34" s="141">
        <f t="shared" si="8"/>
        <v>0.12233889739875392</v>
      </c>
      <c r="C34" s="46"/>
      <c r="D34" s="141">
        <f t="shared" si="9"/>
        <v>0.65433432937492086</v>
      </c>
      <c r="E34" s="141">
        <f t="shared" si="10"/>
        <v>0.53199543197616694</v>
      </c>
      <c r="F34" s="46"/>
      <c r="G34" s="157">
        <f t="shared" si="11"/>
        <v>3.6110784343726256E-2</v>
      </c>
      <c r="H34" s="157">
        <f t="shared" si="11"/>
        <v>6.4645485179218559E-2</v>
      </c>
      <c r="I34" s="157">
        <f t="shared" si="11"/>
        <v>8.2277971536701314E-2</v>
      </c>
      <c r="J34" s="157">
        <f t="shared" si="11"/>
        <v>8.4000175508248578E-2</v>
      </c>
      <c r="K34" s="157">
        <f t="shared" si="11"/>
        <v>3.6725529283540774E-2</v>
      </c>
      <c r="L34" s="157">
        <f t="shared" si="11"/>
        <v>1.5355635692474596E-2</v>
      </c>
      <c r="M34" s="157">
        <f t="shared" si="11"/>
        <v>8.0515831435503636E-3</v>
      </c>
      <c r="N34" s="157">
        <f t="shared" si="11"/>
        <v>0</v>
      </c>
      <c r="O34" s="46"/>
      <c r="P34" s="154">
        <f t="shared" si="19"/>
        <v>1.9446078281368726E-2</v>
      </c>
      <c r="Q34" s="154">
        <f t="shared" si="20"/>
        <v>7.677257410390724E-2</v>
      </c>
      <c r="R34" s="154">
        <f t="shared" si="20"/>
        <v>0.18861014231649351</v>
      </c>
      <c r="S34" s="154">
        <f t="shared" si="20"/>
        <v>0.37999912245875717</v>
      </c>
      <c r="T34" s="154">
        <f t="shared" si="20"/>
        <v>0.53274470716459232</v>
      </c>
      <c r="U34" s="154">
        <f t="shared" si="20"/>
        <v>0.64288728615050816</v>
      </c>
      <c r="V34" s="154">
        <f t="shared" si="20"/>
        <v>0.78871042141124104</v>
      </c>
      <c r="W34" s="162">
        <f t="shared" si="21"/>
        <v>1</v>
      </c>
      <c r="X34" s="154"/>
      <c r="Y34" s="142">
        <f t="shared" si="22"/>
        <v>3.2452830188679248E-2</v>
      </c>
      <c r="Z34" s="142">
        <f t="shared" si="22"/>
        <v>5.4577954319761673E-2</v>
      </c>
      <c r="AA34" s="142">
        <f t="shared" si="22"/>
        <v>6.6772591857001018E-2</v>
      </c>
      <c r="AB34" s="142">
        <f t="shared" si="22"/>
        <v>6.6057596822244311E-2</v>
      </c>
      <c r="AC34" s="142">
        <f t="shared" si="22"/>
        <v>2.8430983118172794E-2</v>
      </c>
      <c r="AD34" s="142">
        <f t="shared" si="22"/>
        <v>1.1750248262164848E-2</v>
      </c>
      <c r="AE34" s="142">
        <f t="shared" si="22"/>
        <v>5.9555114200595853E-3</v>
      </c>
      <c r="AF34" s="142">
        <f t="shared" si="22"/>
        <v>0</v>
      </c>
      <c r="AH34" s="158">
        <f t="shared" si="13"/>
        <v>3.7735849056603772E-2</v>
      </c>
      <c r="AI34" s="158">
        <f t="shared" si="14"/>
        <v>0.12711022840119166</v>
      </c>
      <c r="AJ34" s="158">
        <f t="shared" si="14"/>
        <v>0.266137040714995</v>
      </c>
      <c r="AK34" s="158">
        <f t="shared" si="14"/>
        <v>0.46971201588877853</v>
      </c>
      <c r="AL34" s="158">
        <f t="shared" si="14"/>
        <v>0.6156901688182721</v>
      </c>
      <c r="AM34" s="158">
        <f t="shared" si="14"/>
        <v>0.71499503475670312</v>
      </c>
      <c r="AN34" s="158">
        <f t="shared" si="14"/>
        <v>0.84111221449851048</v>
      </c>
      <c r="AO34" s="158">
        <v>1</v>
      </c>
      <c r="AP34" s="143"/>
      <c r="AQ34" s="143">
        <f t="shared" si="5"/>
        <v>1.9446078281368726E-2</v>
      </c>
      <c r="AR34" s="143">
        <f t="shared" si="5"/>
        <v>5.7326495822538515E-2</v>
      </c>
      <c r="AS34" s="143">
        <f t="shared" si="5"/>
        <v>0.11183756821258627</v>
      </c>
      <c r="AT34" s="143">
        <f t="shared" si="5"/>
        <v>0.19138898014226366</v>
      </c>
      <c r="AU34" s="143">
        <f t="shared" si="5"/>
        <v>0.15274558470583513</v>
      </c>
      <c r="AV34" s="143">
        <f t="shared" si="5"/>
        <v>0.11014257898591581</v>
      </c>
      <c r="AW34" s="143">
        <f t="shared" si="5"/>
        <v>0.14582313526073293</v>
      </c>
      <c r="AX34" s="143">
        <f t="shared" si="5"/>
        <v>0.21128957858875907</v>
      </c>
      <c r="AY34" s="46"/>
      <c r="AZ34" s="152">
        <f>Shares!D75</f>
        <v>3.8</v>
      </c>
      <c r="BA34" s="152">
        <f>Shares!E75</f>
        <v>9</v>
      </c>
      <c r="BB34" s="152">
        <f>Shares!F75</f>
        <v>14</v>
      </c>
      <c r="BC34" s="152">
        <f>Shares!G75</f>
        <v>20.5</v>
      </c>
      <c r="BD34" s="152">
        <f>Shares!J75</f>
        <v>14.7</v>
      </c>
      <c r="BE34" s="152">
        <f>Shares!K75</f>
        <v>10</v>
      </c>
      <c r="BF34" s="152">
        <f>Shares!L75</f>
        <v>12.7</v>
      </c>
      <c r="BG34" s="152">
        <f>Shares!M75</f>
        <v>16</v>
      </c>
      <c r="BI34" s="246">
        <f>TxRt!B78-TxRt!C78+TxRt!C$53</f>
        <v>12.3</v>
      </c>
      <c r="BJ34" s="246">
        <f>TxRt!B121-TxRt!C121+TxRt!C$96</f>
        <v>15.1</v>
      </c>
      <c r="BK34" s="246">
        <f>TxRt!B161-TxRt!C161+TxRt!C$136</f>
        <v>19</v>
      </c>
      <c r="BL34" s="246">
        <f>TxRt!B201-TxRt!C201+TxRt!C$176</f>
        <v>22.2</v>
      </c>
      <c r="BM34" s="246">
        <f>TxRt!B281-TxRt!C281+TxRt!C$256</f>
        <v>24.6</v>
      </c>
      <c r="BN34" s="246">
        <f>TxRt!B321-TxRt!C321+TxRt!C$296</f>
        <v>26.099999999999998</v>
      </c>
      <c r="BO34" s="246">
        <f>TxRt!B361-TxRt!C361+TxRt!C$336</f>
        <v>27.2</v>
      </c>
      <c r="BP34" s="246">
        <f>TxRt!B401-TxRt!C401+TxRt!C$376</f>
        <v>32.400000000000006</v>
      </c>
      <c r="BQ34" s="46"/>
      <c r="BR34" s="60">
        <f>Inc!B75</f>
        <v>18800</v>
      </c>
      <c r="BS34" s="60">
        <f>Inc!B115</f>
        <v>42400</v>
      </c>
      <c r="BT34" s="60">
        <f>Inc!B155</f>
        <v>67800</v>
      </c>
      <c r="BU34" s="60">
        <f>Inc!B195</f>
        <v>100200</v>
      </c>
      <c r="BV34" s="60">
        <f>Inc!B275</f>
        <v>141300</v>
      </c>
      <c r="BW34" s="60">
        <f>Inc!B315</f>
        <v>187100</v>
      </c>
      <c r="BX34" s="60">
        <f>Inc!B355</f>
        <v>299700</v>
      </c>
      <c r="BY34" s="60">
        <f>Inc!B395</f>
        <v>1524500</v>
      </c>
      <c r="CA34" s="60">
        <f t="shared" si="6"/>
        <v>2312.4</v>
      </c>
      <c r="CB34" s="60">
        <f t="shared" si="6"/>
        <v>6402.4</v>
      </c>
      <c r="CC34" s="60">
        <f t="shared" si="6"/>
        <v>12882</v>
      </c>
      <c r="CD34" s="60">
        <f t="shared" si="6"/>
        <v>22244.400000000001</v>
      </c>
      <c r="CE34" s="60">
        <f t="shared" si="6"/>
        <v>34759.800000000003</v>
      </c>
      <c r="CF34" s="60">
        <f t="shared" si="6"/>
        <v>48833.1</v>
      </c>
      <c r="CG34" s="60">
        <f t="shared" si="6"/>
        <v>81518.399999999994</v>
      </c>
      <c r="CH34" s="60">
        <f t="shared" si="6"/>
        <v>493938.00000000006</v>
      </c>
      <c r="CJ34" s="153">
        <f t="shared" si="15"/>
        <v>50005.649999999994</v>
      </c>
      <c r="CK34" s="153">
        <f t="shared" si="7"/>
        <v>147415.25999999995</v>
      </c>
      <c r="CL34" s="153">
        <f t="shared" si="7"/>
        <v>287590.64999999997</v>
      </c>
      <c r="CM34" s="153">
        <f t="shared" si="7"/>
        <v>492157.35</v>
      </c>
      <c r="CN34" s="153">
        <f t="shared" si="7"/>
        <v>392785.74000000005</v>
      </c>
      <c r="CO34" s="153">
        <f t="shared" si="7"/>
        <v>283231.98</v>
      </c>
      <c r="CP34" s="153">
        <f t="shared" si="7"/>
        <v>374984.63999999996</v>
      </c>
      <c r="CQ34" s="153">
        <f t="shared" si="7"/>
        <v>543331.80000000016</v>
      </c>
      <c r="CR34" s="153">
        <f t="shared" si="16"/>
        <v>2571503.0699999998</v>
      </c>
      <c r="CT34" s="403">
        <v>288</v>
      </c>
      <c r="CU34" s="276">
        <f>Dem!B75+(DD34/4)</f>
        <v>21.624999999999996</v>
      </c>
      <c r="CV34" s="276">
        <f>Dem!B115+(DD34/4)</f>
        <v>23.024999999999995</v>
      </c>
      <c r="CW34" s="276">
        <f>Dem!B155+(DD34/4)</f>
        <v>22.324999999999996</v>
      </c>
      <c r="CX34" s="276">
        <f>Dem!B195+(DD34/4)</f>
        <v>22.124999999999996</v>
      </c>
      <c r="CY34" s="276">
        <f>Dem!B275</f>
        <v>11.3</v>
      </c>
      <c r="CZ34" s="276">
        <f>Dem!B315</f>
        <v>5.8</v>
      </c>
      <c r="DA34" s="276">
        <f>Dem!B355</f>
        <v>4.5999999999999996</v>
      </c>
      <c r="DB34" s="276">
        <f>Dem!B395</f>
        <v>1.1000000000000001</v>
      </c>
      <c r="DC34" s="275">
        <v>113.3</v>
      </c>
      <c r="DD34" s="46">
        <v>-0.70000000000001705</v>
      </c>
      <c r="DE34" s="275"/>
      <c r="DF34" s="276">
        <f>Dem!$D75+(DO34/4)</f>
        <v>55.97499999999998</v>
      </c>
      <c r="DG34" s="276">
        <f>Dem!$D115+(DO34/4)</f>
        <v>57.274999999999984</v>
      </c>
      <c r="DH34" s="276">
        <f>Dem!$D155+(DO34/4)</f>
        <v>57.274999999999984</v>
      </c>
      <c r="DI34" s="276">
        <f>Dem!$D195+(DO34/4)</f>
        <v>57.274999999999984</v>
      </c>
      <c r="DJ34" s="275">
        <f>Dem!$D275</f>
        <v>28.8</v>
      </c>
      <c r="DK34" s="275">
        <f>Dem!$D315</f>
        <v>14.4</v>
      </c>
      <c r="DL34" s="275">
        <f>Dem!$D355</f>
        <v>11.5</v>
      </c>
      <c r="DM34" s="275">
        <f>Dem!$D395</f>
        <v>2.9</v>
      </c>
      <c r="DN34" s="276">
        <f t="shared" si="17"/>
        <v>288</v>
      </c>
      <c r="DO34" s="44">
        <v>-1.3000000000000682</v>
      </c>
    </row>
    <row r="35" spans="1:119">
      <c r="A35" s="46">
        <f t="shared" si="18"/>
        <v>2005</v>
      </c>
      <c r="B35" s="141">
        <f t="shared" si="8"/>
        <v>0.12384869946371857</v>
      </c>
      <c r="C35" s="46"/>
      <c r="D35" s="141">
        <f t="shared" si="9"/>
        <v>0.67663996930498849</v>
      </c>
      <c r="E35" s="141">
        <f t="shared" si="10"/>
        <v>0.55279126984126992</v>
      </c>
      <c r="F35" s="46"/>
      <c r="G35" s="157">
        <f t="shared" si="11"/>
        <v>3.6122644373845547E-2</v>
      </c>
      <c r="H35" s="157">
        <f t="shared" si="11"/>
        <v>6.5286057065904138E-2</v>
      </c>
      <c r="I35" s="157">
        <f t="shared" si="11"/>
        <v>8.4116212725250786E-2</v>
      </c>
      <c r="J35" s="157">
        <f t="shared" si="11"/>
        <v>8.7641695893878685E-2</v>
      </c>
      <c r="K35" s="157">
        <f t="shared" si="11"/>
        <v>3.9259629969039755E-2</v>
      </c>
      <c r="L35" s="157">
        <f t="shared" si="11"/>
        <v>1.6785641324746442E-2</v>
      </c>
      <c r="M35" s="157">
        <f t="shared" si="11"/>
        <v>9.1081032998289266E-3</v>
      </c>
      <c r="N35" s="157">
        <f t="shared" si="11"/>
        <v>0</v>
      </c>
      <c r="O35" s="46"/>
      <c r="P35" s="154">
        <f t="shared" si="19"/>
        <v>1.9386778130772282E-2</v>
      </c>
      <c r="Q35" s="154">
        <f t="shared" si="20"/>
        <v>7.3569714670479319E-2</v>
      </c>
      <c r="R35" s="154">
        <f t="shared" si="20"/>
        <v>0.17941893637374617</v>
      </c>
      <c r="S35" s="154">
        <f t="shared" si="20"/>
        <v>0.36179152053060665</v>
      </c>
      <c r="T35" s="154">
        <f t="shared" si="20"/>
        <v>0.50740370030960247</v>
      </c>
      <c r="U35" s="154">
        <f t="shared" si="20"/>
        <v>0.61428717350507123</v>
      </c>
      <c r="V35" s="154">
        <f t="shared" si="20"/>
        <v>0.76229741750427693</v>
      </c>
      <c r="W35" s="162">
        <f t="shared" si="21"/>
        <v>1</v>
      </c>
      <c r="X35" s="154"/>
      <c r="Y35" s="142">
        <f t="shared" si="22"/>
        <v>3.2658730158730165E-2</v>
      </c>
      <c r="Z35" s="142">
        <f t="shared" si="22"/>
        <v>5.55952380952381E-2</v>
      </c>
      <c r="AA35" s="142">
        <f t="shared" si="22"/>
        <v>6.8809523809523834E-2</v>
      </c>
      <c r="AB35" s="142">
        <f t="shared" si="22"/>
        <v>6.9325396825396846E-2</v>
      </c>
      <c r="AC35" s="142">
        <f t="shared" si="22"/>
        <v>3.047619047619049E-2</v>
      </c>
      <c r="AD35" s="142">
        <f t="shared" si="22"/>
        <v>1.2827380952380963E-2</v>
      </c>
      <c r="AE35" s="142">
        <f t="shared" si="22"/>
        <v>6.7031746031746137E-3</v>
      </c>
      <c r="AF35" s="142">
        <f t="shared" si="22"/>
        <v>0</v>
      </c>
      <c r="AH35" s="158">
        <f t="shared" si="13"/>
        <v>3.6706349206349201E-2</v>
      </c>
      <c r="AI35" s="158">
        <f t="shared" si="14"/>
        <v>0.12202380952380951</v>
      </c>
      <c r="AJ35" s="158">
        <f t="shared" si="14"/>
        <v>0.25595238095238093</v>
      </c>
      <c r="AK35" s="158">
        <f t="shared" si="14"/>
        <v>0.45337301587301582</v>
      </c>
      <c r="AL35" s="158">
        <f t="shared" si="14"/>
        <v>0.59523809523809512</v>
      </c>
      <c r="AM35" s="158">
        <f t="shared" si="14"/>
        <v>0.69345238095238082</v>
      </c>
      <c r="AN35" s="158">
        <f t="shared" si="14"/>
        <v>0.82242063492063477</v>
      </c>
      <c r="AO35" s="158">
        <v>1</v>
      </c>
      <c r="AP35" s="143"/>
      <c r="AQ35" s="143">
        <f t="shared" si="5"/>
        <v>1.9386778130772282E-2</v>
      </c>
      <c r="AR35" s="143">
        <f t="shared" si="5"/>
        <v>5.4182936539707044E-2</v>
      </c>
      <c r="AS35" s="143">
        <f t="shared" si="5"/>
        <v>0.10584922170326684</v>
      </c>
      <c r="AT35" s="143">
        <f t="shared" si="5"/>
        <v>0.18237258415686047</v>
      </c>
      <c r="AU35" s="143">
        <f t="shared" si="5"/>
        <v>0.14561217977899582</v>
      </c>
      <c r="AV35" s="143">
        <f t="shared" si="5"/>
        <v>0.10688347319546872</v>
      </c>
      <c r="AW35" s="143">
        <f t="shared" si="5"/>
        <v>0.14801024399920568</v>
      </c>
      <c r="AX35" s="143">
        <f t="shared" si="5"/>
        <v>0.23770258249572312</v>
      </c>
      <c r="AY35" s="46"/>
      <c r="AZ35" s="152">
        <f>Shares!D76</f>
        <v>3.7</v>
      </c>
      <c r="BA35" s="152">
        <f>Shares!E76</f>
        <v>8.6</v>
      </c>
      <c r="BB35" s="152">
        <f>Shares!F76</f>
        <v>13.5</v>
      </c>
      <c r="BC35" s="152">
        <f>Shares!G76</f>
        <v>19.899999999999999</v>
      </c>
      <c r="BD35" s="152">
        <f>Shares!J76</f>
        <v>14.3</v>
      </c>
      <c r="BE35" s="152">
        <f>Shares!K76</f>
        <v>9.9</v>
      </c>
      <c r="BF35" s="152">
        <f>Shares!L76</f>
        <v>13</v>
      </c>
      <c r="BG35" s="152">
        <f>Shares!M76</f>
        <v>17.899999999999999</v>
      </c>
      <c r="BI35" s="246">
        <f>TxRt!B79-TxRt!C79+TxRt!C$53</f>
        <v>12.8</v>
      </c>
      <c r="BJ35" s="246">
        <f>TxRt!B122-TxRt!C122+TxRt!C$96</f>
        <v>15.299999999999999</v>
      </c>
      <c r="BK35" s="246">
        <f>TxRt!B162-TxRt!C162+TxRt!C$136</f>
        <v>19.200000000000003</v>
      </c>
      <c r="BL35" s="246">
        <f>TxRt!B202-TxRt!C202+TxRt!C$176</f>
        <v>22.4</v>
      </c>
      <c r="BM35" s="246">
        <f>TxRt!B282-TxRt!C282+TxRt!C$256</f>
        <v>24.700000000000003</v>
      </c>
      <c r="BN35" s="246">
        <f>TxRt!B322-TxRt!C322+TxRt!C$296</f>
        <v>26.2</v>
      </c>
      <c r="BO35" s="246">
        <f>TxRt!B362-TxRt!C362+TxRt!C$336</f>
        <v>27.4</v>
      </c>
      <c r="BP35" s="246">
        <f>TxRt!B402-TxRt!C402+TxRt!C$376</f>
        <v>33</v>
      </c>
      <c r="BQ35" s="46"/>
      <c r="BR35" s="60">
        <f>Inc!B76</f>
        <v>19300</v>
      </c>
      <c r="BS35" s="60">
        <f>Inc!B116</f>
        <v>42800</v>
      </c>
      <c r="BT35" s="60">
        <f>Inc!B156</f>
        <v>69000</v>
      </c>
      <c r="BU35" s="60">
        <f>Inc!B196</f>
        <v>101900</v>
      </c>
      <c r="BV35" s="60">
        <f>Inc!B276</f>
        <v>144200</v>
      </c>
      <c r="BW35" s="60">
        <f>Inc!B316</f>
        <v>194500</v>
      </c>
      <c r="BX35" s="60">
        <f>Inc!B356</f>
        <v>323300</v>
      </c>
      <c r="BY35" s="60">
        <f>Inc!B396</f>
        <v>1842000</v>
      </c>
      <c r="CA35" s="60">
        <f t="shared" si="6"/>
        <v>2470.4</v>
      </c>
      <c r="CB35" s="60">
        <f t="shared" si="6"/>
        <v>6548.4</v>
      </c>
      <c r="CC35" s="60">
        <f t="shared" si="6"/>
        <v>13248.000000000002</v>
      </c>
      <c r="CD35" s="60">
        <f t="shared" si="6"/>
        <v>22825.599999999999</v>
      </c>
      <c r="CE35" s="60">
        <f t="shared" si="6"/>
        <v>35617.4</v>
      </c>
      <c r="CF35" s="60">
        <f t="shared" si="6"/>
        <v>50959</v>
      </c>
      <c r="CG35" s="60">
        <f t="shared" si="6"/>
        <v>88584.2</v>
      </c>
      <c r="CH35" s="60">
        <f t="shared" si="6"/>
        <v>607860</v>
      </c>
      <c r="CJ35" s="153">
        <f t="shared" si="15"/>
        <v>54534.079999999994</v>
      </c>
      <c r="CK35" s="153">
        <f t="shared" si="7"/>
        <v>152414.00999999995</v>
      </c>
      <c r="CL35" s="153">
        <f t="shared" si="7"/>
        <v>297748.8</v>
      </c>
      <c r="CM35" s="153">
        <f t="shared" si="7"/>
        <v>513005.35999999993</v>
      </c>
      <c r="CN35" s="153">
        <f t="shared" si="7"/>
        <v>409600.10000000003</v>
      </c>
      <c r="CO35" s="153">
        <f t="shared" si="7"/>
        <v>300658.10000000003</v>
      </c>
      <c r="CP35" s="153">
        <f t="shared" si="7"/>
        <v>416345.74</v>
      </c>
      <c r="CQ35" s="153">
        <f t="shared" si="7"/>
        <v>668646</v>
      </c>
      <c r="CR35" s="153">
        <f t="shared" si="16"/>
        <v>2812952.19</v>
      </c>
      <c r="CT35" s="403">
        <v>289.3</v>
      </c>
      <c r="CU35" s="276">
        <f>Dem!B76+(DD35/4)</f>
        <v>22.074999999999996</v>
      </c>
      <c r="CV35" s="276">
        <f>Dem!B116+(DD35/4)</f>
        <v>23.274999999999995</v>
      </c>
      <c r="CW35" s="276">
        <f>Dem!B156+(DD35/4)</f>
        <v>22.474999999999998</v>
      </c>
      <c r="CX35" s="276">
        <f>Dem!B196+(DD35/4)</f>
        <v>22.474999999999998</v>
      </c>
      <c r="CY35" s="276">
        <f>Dem!B276</f>
        <v>11.5</v>
      </c>
      <c r="CZ35" s="276">
        <f>Dem!B316</f>
        <v>5.9</v>
      </c>
      <c r="DA35" s="276">
        <f>Dem!B356</f>
        <v>4.7</v>
      </c>
      <c r="DB35" s="276">
        <f>Dem!B396</f>
        <v>1.1000000000000001</v>
      </c>
      <c r="DC35" s="275">
        <v>114.5</v>
      </c>
      <c r="DD35" s="46">
        <v>-0.50000000000001421</v>
      </c>
      <c r="DE35" s="275"/>
      <c r="DF35" s="276">
        <f>Dem!$D76+(DO35/4)</f>
        <v>56.324999999999996</v>
      </c>
      <c r="DG35" s="276">
        <f>Dem!$D116+(DO35/4)</f>
        <v>57.624999999999993</v>
      </c>
      <c r="DH35" s="276">
        <f>Dem!$D156+(DO35/4)</f>
        <v>57.624999999999993</v>
      </c>
      <c r="DI35" s="276">
        <f>Dem!$D196+(DO35/4)</f>
        <v>57.624999999999993</v>
      </c>
      <c r="DJ35" s="275">
        <f>Dem!$D276</f>
        <v>28.9</v>
      </c>
      <c r="DK35" s="275">
        <f>Dem!$D316</f>
        <v>14.5</v>
      </c>
      <c r="DL35" s="275">
        <f>Dem!$D356</f>
        <v>11.6</v>
      </c>
      <c r="DM35" s="275">
        <f>Dem!$D396</f>
        <v>2.9</v>
      </c>
      <c r="DN35" s="276">
        <f t="shared" si="17"/>
        <v>289.3</v>
      </c>
      <c r="DO35" s="44">
        <v>-1.1000000000000227</v>
      </c>
    </row>
    <row r="36" spans="1:119">
      <c r="A36" s="46">
        <f t="shared" si="18"/>
        <v>2006</v>
      </c>
      <c r="B36" s="141">
        <f t="shared" si="8"/>
        <v>0.11925003580106441</v>
      </c>
      <c r="C36" s="46"/>
      <c r="D36" s="141">
        <f t="shared" si="9"/>
        <v>0.67991126840543825</v>
      </c>
      <c r="E36" s="141">
        <f t="shared" si="10"/>
        <v>0.56066123260437384</v>
      </c>
      <c r="F36" s="46"/>
      <c r="G36" s="157">
        <f t="shared" si="11"/>
        <v>3.6082503846136163E-2</v>
      </c>
      <c r="H36" s="157">
        <f t="shared" si="11"/>
        <v>6.5382282463716065E-2</v>
      </c>
      <c r="I36" s="157">
        <f t="shared" si="11"/>
        <v>8.4265639164155109E-2</v>
      </c>
      <c r="J36" s="157">
        <f t="shared" si="11"/>
        <v>8.820193949251065E-2</v>
      </c>
      <c r="K36" s="157">
        <f t="shared" si="11"/>
        <v>3.966430344524971E-2</v>
      </c>
      <c r="L36" s="157">
        <f t="shared" si="11"/>
        <v>1.7039367118023115E-2</v>
      </c>
      <c r="M36" s="157">
        <f t="shared" si="11"/>
        <v>9.3195986729282827E-3</v>
      </c>
      <c r="N36" s="157">
        <f t="shared" si="11"/>
        <v>0</v>
      </c>
      <c r="O36" s="46"/>
      <c r="P36" s="154">
        <f t="shared" si="19"/>
        <v>1.9587480769319196E-2</v>
      </c>
      <c r="Q36" s="154">
        <f t="shared" si="20"/>
        <v>7.3088587681419709E-2</v>
      </c>
      <c r="R36" s="154">
        <f t="shared" si="20"/>
        <v>0.17867180417922457</v>
      </c>
      <c r="S36" s="154">
        <f t="shared" si="20"/>
        <v>0.35899030253744685</v>
      </c>
      <c r="T36" s="154">
        <f t="shared" si="20"/>
        <v>0.50335696554750298</v>
      </c>
      <c r="U36" s="154">
        <f t="shared" si="20"/>
        <v>0.6092126576395378</v>
      </c>
      <c r="V36" s="154">
        <f t="shared" si="20"/>
        <v>0.75701003317679305</v>
      </c>
      <c r="W36" s="162">
        <f t="shared" si="21"/>
        <v>1</v>
      </c>
      <c r="X36" s="154"/>
      <c r="Y36" s="142">
        <f t="shared" si="22"/>
        <v>3.2842942345924456E-2</v>
      </c>
      <c r="Z36" s="142">
        <f t="shared" si="22"/>
        <v>5.5944333996023859E-2</v>
      </c>
      <c r="AA36" s="142">
        <f t="shared" si="22"/>
        <v>6.9502982107355879E-2</v>
      </c>
      <c r="AB36" s="142">
        <f t="shared" si="22"/>
        <v>7.0536779324055665E-2</v>
      </c>
      <c r="AC36" s="142">
        <f t="shared" si="22"/>
        <v>3.1252485089463225E-2</v>
      </c>
      <c r="AD36" s="142">
        <f t="shared" si="22"/>
        <v>1.3255467196819089E-2</v>
      </c>
      <c r="AE36" s="142">
        <f t="shared" si="22"/>
        <v>6.9956262425447373E-3</v>
      </c>
      <c r="AF36" s="142">
        <f t="shared" si="22"/>
        <v>0</v>
      </c>
      <c r="AH36" s="158">
        <f t="shared" si="13"/>
        <v>3.5785288270377739E-2</v>
      </c>
      <c r="AI36" s="158">
        <f t="shared" si="14"/>
        <v>0.12027833001988072</v>
      </c>
      <c r="AJ36" s="158">
        <f t="shared" si="14"/>
        <v>0.25248508946322068</v>
      </c>
      <c r="AK36" s="158">
        <f t="shared" si="14"/>
        <v>0.44731610337972172</v>
      </c>
      <c r="AL36" s="158">
        <f t="shared" si="14"/>
        <v>0.5874751491053678</v>
      </c>
      <c r="AM36" s="158">
        <f t="shared" si="14"/>
        <v>0.68489065606361832</v>
      </c>
      <c r="AN36" s="158">
        <f t="shared" si="14"/>
        <v>0.81510934393638168</v>
      </c>
      <c r="AO36" s="158">
        <v>1</v>
      </c>
      <c r="AP36" s="143"/>
      <c r="AQ36" s="143">
        <f t="shared" si="5"/>
        <v>1.9587480769319196E-2</v>
      </c>
      <c r="AR36" s="143">
        <f t="shared" si="5"/>
        <v>5.350110691210052E-2</v>
      </c>
      <c r="AS36" s="143">
        <f t="shared" si="5"/>
        <v>0.10558321649780486</v>
      </c>
      <c r="AT36" s="143">
        <f t="shared" si="5"/>
        <v>0.18031849835822228</v>
      </c>
      <c r="AU36" s="143">
        <f t="shared" si="5"/>
        <v>0.1443666630100561</v>
      </c>
      <c r="AV36" s="143">
        <f t="shared" si="5"/>
        <v>0.10585569209203484</v>
      </c>
      <c r="AW36" s="143">
        <f t="shared" si="5"/>
        <v>0.14779737553725519</v>
      </c>
      <c r="AX36" s="143">
        <f t="shared" si="5"/>
        <v>0.24298996682320706</v>
      </c>
      <c r="AY36" s="46"/>
      <c r="AZ36" s="152">
        <f>Shares!D77</f>
        <v>3.6</v>
      </c>
      <c r="BA36" s="152">
        <f>Shares!E77</f>
        <v>8.5</v>
      </c>
      <c r="BB36" s="152">
        <f>Shares!F77</f>
        <v>13.3</v>
      </c>
      <c r="BC36" s="152">
        <f>Shares!G77</f>
        <v>19.600000000000001</v>
      </c>
      <c r="BD36" s="152">
        <f>Shares!J77</f>
        <v>14.1</v>
      </c>
      <c r="BE36" s="152">
        <f>Shares!K77</f>
        <v>9.8000000000000007</v>
      </c>
      <c r="BF36" s="152">
        <f>Shares!L77</f>
        <v>13.1</v>
      </c>
      <c r="BG36" s="152">
        <f>Shares!M77</f>
        <v>18.600000000000001</v>
      </c>
      <c r="BI36" s="246">
        <f>TxRt!B80-TxRt!C80+TxRt!C$53</f>
        <v>13.200000000000001</v>
      </c>
      <c r="BJ36" s="246">
        <f>TxRt!B123-TxRt!C123+TxRt!C$96</f>
        <v>15.299999999999999</v>
      </c>
      <c r="BK36" s="246">
        <f>TxRt!B163-TxRt!C163+TxRt!C$136</f>
        <v>19.3</v>
      </c>
      <c r="BL36" s="246">
        <f>TxRt!B203-TxRt!C203+TxRt!C$176</f>
        <v>22.4</v>
      </c>
      <c r="BM36" s="246">
        <f>TxRt!B283-TxRt!C283+TxRt!C$256</f>
        <v>24.8</v>
      </c>
      <c r="BN36" s="246">
        <f>TxRt!B323-TxRt!C323+TxRt!C$296</f>
        <v>26.200000000000003</v>
      </c>
      <c r="BO36" s="246">
        <f>TxRt!B363-TxRt!C363+TxRt!C$336</f>
        <v>27.4</v>
      </c>
      <c r="BP36" s="246">
        <f>TxRt!B403-TxRt!C403+TxRt!C$376</f>
        <v>32.900000000000006</v>
      </c>
      <c r="BQ36" s="46"/>
      <c r="BR36" s="60">
        <f>Inc!B77</f>
        <v>20300</v>
      </c>
      <c r="BS36" s="60">
        <f>Inc!B117</f>
        <v>43800</v>
      </c>
      <c r="BT36" s="60">
        <f>Inc!B157</f>
        <v>69700</v>
      </c>
      <c r="BU36" s="60">
        <f>Inc!B197</f>
        <v>103900</v>
      </c>
      <c r="BV36" s="60">
        <f>Inc!B277</f>
        <v>147700</v>
      </c>
      <c r="BW36" s="60">
        <f>Inc!B317</f>
        <v>199900</v>
      </c>
      <c r="BX36" s="60">
        <f>Inc!B357</f>
        <v>333600</v>
      </c>
      <c r="BY36" s="60">
        <f>Inc!B397</f>
        <v>1993200</v>
      </c>
      <c r="CA36" s="60">
        <f t="shared" si="6"/>
        <v>2679.6</v>
      </c>
      <c r="CB36" s="60">
        <f t="shared" si="6"/>
        <v>6701.4</v>
      </c>
      <c r="CC36" s="60">
        <f t="shared" si="6"/>
        <v>13452.1</v>
      </c>
      <c r="CD36" s="60">
        <f t="shared" si="6"/>
        <v>23273.599999999999</v>
      </c>
      <c r="CE36" s="60">
        <f t="shared" si="6"/>
        <v>36629.599999999999</v>
      </c>
      <c r="CF36" s="60">
        <f t="shared" si="6"/>
        <v>52373.80000000001</v>
      </c>
      <c r="CG36" s="60">
        <f t="shared" si="6"/>
        <v>91406.399999999994</v>
      </c>
      <c r="CH36" s="60">
        <f t="shared" si="6"/>
        <v>655762.80000000016</v>
      </c>
      <c r="CJ36" s="153">
        <f t="shared" si="15"/>
        <v>58147.32</v>
      </c>
      <c r="CK36" s="153">
        <f t="shared" si="7"/>
        <v>158823.18</v>
      </c>
      <c r="CL36" s="153">
        <f t="shared" si="7"/>
        <v>313433.93</v>
      </c>
      <c r="CM36" s="153">
        <f t="shared" si="7"/>
        <v>535292.79999999993</v>
      </c>
      <c r="CN36" s="153">
        <f t="shared" si="7"/>
        <v>428566.31999999995</v>
      </c>
      <c r="CO36" s="153">
        <f t="shared" si="7"/>
        <v>314242.80000000005</v>
      </c>
      <c r="CP36" s="153">
        <f t="shared" si="7"/>
        <v>438750.71999999997</v>
      </c>
      <c r="CQ36" s="153">
        <f t="shared" si="7"/>
        <v>721339.08000000019</v>
      </c>
      <c r="CR36" s="153">
        <f t="shared" si="16"/>
        <v>2968596.15</v>
      </c>
      <c r="CT36" s="403">
        <v>292.7</v>
      </c>
      <c r="CU36" s="276">
        <f>Dem!B77+(DD36/4)</f>
        <v>21.7</v>
      </c>
      <c r="CV36" s="276">
        <f>Dem!B117+(DD36/4)</f>
        <v>23.7</v>
      </c>
      <c r="CW36" s="276">
        <f>Dem!B157+(DD36/4)</f>
        <v>23.299999999999997</v>
      </c>
      <c r="CX36" s="276">
        <f>Dem!B197+(DD36/4)</f>
        <v>23</v>
      </c>
      <c r="CY36" s="276">
        <f>Dem!B277</f>
        <v>11.7</v>
      </c>
      <c r="CZ36" s="276">
        <f>Dem!B317</f>
        <v>6</v>
      </c>
      <c r="DA36" s="276">
        <f>Dem!B357</f>
        <v>4.8</v>
      </c>
      <c r="DB36" s="276">
        <f>Dem!B397</f>
        <v>1.1000000000000001</v>
      </c>
      <c r="DC36" s="275">
        <v>116.1</v>
      </c>
      <c r="DD36" s="46">
        <v>-0.40000000000000568</v>
      </c>
      <c r="DE36" s="275"/>
      <c r="DF36" s="276">
        <f>Dem!$D77+(DO36/4)</f>
        <v>56.95</v>
      </c>
      <c r="DG36" s="276">
        <f>Dem!$D117+(DO36/4)</f>
        <v>58.150000000000006</v>
      </c>
      <c r="DH36" s="276">
        <f>Dem!$D157+(DO36/4)</f>
        <v>58.150000000000006</v>
      </c>
      <c r="DI36" s="276">
        <f>Dem!$D197+(DO36/4)</f>
        <v>58.150000000000006</v>
      </c>
      <c r="DJ36" s="275">
        <f>Dem!$D277</f>
        <v>29.3</v>
      </c>
      <c r="DK36" s="275">
        <f>Dem!$D317</f>
        <v>14.6</v>
      </c>
      <c r="DL36" s="275">
        <f>Dem!$D357</f>
        <v>11.7</v>
      </c>
      <c r="DM36" s="275">
        <f>Dem!$D397</f>
        <v>2.9</v>
      </c>
      <c r="DN36" s="276">
        <f t="shared" si="17"/>
        <v>292.7</v>
      </c>
      <c r="DO36" s="44">
        <v>-1.3999999999999773</v>
      </c>
    </row>
    <row r="37" spans="1:119">
      <c r="A37" s="46">
        <f t="shared" si="18"/>
        <v>2007</v>
      </c>
      <c r="B37" s="141">
        <f t="shared" si="8"/>
        <v>0.12714191433643074</v>
      </c>
      <c r="C37" s="46"/>
      <c r="D37" s="164">
        <f t="shared" si="9"/>
        <v>0.68564746989198633</v>
      </c>
      <c r="E37" s="164">
        <f t="shared" si="10"/>
        <v>0.55850555555555559</v>
      </c>
      <c r="F37" s="37"/>
      <c r="G37" s="165">
        <f t="shared" si="11"/>
        <v>3.5975188924678964E-2</v>
      </c>
      <c r="H37" s="165">
        <f t="shared" si="11"/>
        <v>6.5084252413065355E-2</v>
      </c>
      <c r="I37" s="165">
        <f t="shared" si="11"/>
        <v>8.4457837689485199E-2</v>
      </c>
      <c r="J37" s="165">
        <f t="shared" si="11"/>
        <v>8.9282737220380437E-2</v>
      </c>
      <c r="K37" s="165">
        <f t="shared" si="11"/>
        <v>4.0503488271219794E-2</v>
      </c>
      <c r="L37" s="165">
        <f t="shared" si="11"/>
        <v>1.7598156699494685E-2</v>
      </c>
      <c r="M37" s="165">
        <f t="shared" si="11"/>
        <v>9.9220737276687603E-3</v>
      </c>
      <c r="N37" s="165">
        <f t="shared" si="11"/>
        <v>0</v>
      </c>
      <c r="O37" s="37"/>
      <c r="P37" s="154">
        <f t="shared" si="19"/>
        <v>2.0124055376605186E-2</v>
      </c>
      <c r="Q37" s="154">
        <f t="shared" si="20"/>
        <v>7.4578737934673262E-2</v>
      </c>
      <c r="R37" s="154">
        <f t="shared" si="20"/>
        <v>0.17771081155257412</v>
      </c>
      <c r="S37" s="154">
        <f t="shared" si="20"/>
        <v>0.35358631389809786</v>
      </c>
      <c r="T37" s="154">
        <f t="shared" si="20"/>
        <v>0.49496511728780213</v>
      </c>
      <c r="U37" s="154">
        <f t="shared" si="20"/>
        <v>0.59803686601010642</v>
      </c>
      <c r="V37" s="154">
        <f t="shared" si="20"/>
        <v>0.74194815680828108</v>
      </c>
      <c r="W37" s="162">
        <f t="shared" si="21"/>
        <v>1</v>
      </c>
      <c r="X37" s="154"/>
      <c r="Y37" s="142">
        <f t="shared" si="22"/>
        <v>3.2261904761904762E-2</v>
      </c>
      <c r="Z37" s="142">
        <f t="shared" si="22"/>
        <v>5.5198412698412705E-2</v>
      </c>
      <c r="AA37" s="142">
        <f t="shared" si="22"/>
        <v>6.9007936507936532E-2</v>
      </c>
      <c r="AB37" s="142">
        <f t="shared" si="22"/>
        <v>7.071428571428573E-2</v>
      </c>
      <c r="AC37" s="142">
        <f t="shared" si="22"/>
        <v>3.1468253968253979E-2</v>
      </c>
      <c r="AD37" s="142">
        <f t="shared" si="22"/>
        <v>1.3422619047619056E-2</v>
      </c>
      <c r="AE37" s="142">
        <f t="shared" si="22"/>
        <v>7.1793650793650875E-3</v>
      </c>
      <c r="AF37" s="142">
        <f t="shared" si="22"/>
        <v>0</v>
      </c>
      <c r="AH37" s="158">
        <f t="shared" si="13"/>
        <v>3.8690476190476185E-2</v>
      </c>
      <c r="AI37" s="158">
        <f t="shared" si="14"/>
        <v>0.12400793650793648</v>
      </c>
      <c r="AJ37" s="158">
        <f t="shared" si="14"/>
        <v>0.25496031746031744</v>
      </c>
      <c r="AK37" s="158">
        <f t="shared" si="14"/>
        <v>0.4464285714285714</v>
      </c>
      <c r="AL37" s="158">
        <f t="shared" si="14"/>
        <v>0.58531746031746024</v>
      </c>
      <c r="AM37" s="158">
        <f t="shared" si="14"/>
        <v>0.68154761904761896</v>
      </c>
      <c r="AN37" s="158">
        <f t="shared" si="14"/>
        <v>0.81051587301587291</v>
      </c>
      <c r="AO37" s="158">
        <v>1</v>
      </c>
      <c r="AP37" s="143"/>
      <c r="AQ37" s="143">
        <f t="shared" si="5"/>
        <v>2.0124055376605186E-2</v>
      </c>
      <c r="AR37" s="143">
        <f t="shared" si="5"/>
        <v>5.4454682558068068E-2</v>
      </c>
      <c r="AS37" s="143">
        <f t="shared" si="5"/>
        <v>0.10313207361790087</v>
      </c>
      <c r="AT37" s="143">
        <f t="shared" si="5"/>
        <v>0.17587550234552374</v>
      </c>
      <c r="AU37" s="143">
        <f t="shared" si="5"/>
        <v>0.14137880338970424</v>
      </c>
      <c r="AV37" s="143">
        <f t="shared" si="5"/>
        <v>0.10307174872230428</v>
      </c>
      <c r="AW37" s="143">
        <f t="shared" si="5"/>
        <v>0.14391129079817463</v>
      </c>
      <c r="AX37" s="143">
        <f t="shared" si="5"/>
        <v>0.25805184319171898</v>
      </c>
      <c r="AY37" s="46"/>
      <c r="AZ37" s="152">
        <f>Shares!D78</f>
        <v>3.9</v>
      </c>
      <c r="BA37" s="152">
        <f>Shares!E78</f>
        <v>8.6</v>
      </c>
      <c r="BB37" s="152">
        <f>Shares!F78</f>
        <v>13.2</v>
      </c>
      <c r="BC37" s="152">
        <f>Shares!G78</f>
        <v>19.3</v>
      </c>
      <c r="BD37" s="152">
        <f>Shares!J78</f>
        <v>14</v>
      </c>
      <c r="BE37" s="152">
        <f>Shares!K78</f>
        <v>9.6999999999999993</v>
      </c>
      <c r="BF37" s="152">
        <f>Shares!L78</f>
        <v>13</v>
      </c>
      <c r="BG37" s="152">
        <f>Shares!M78</f>
        <v>19.100000000000001</v>
      </c>
      <c r="BI37" s="246">
        <f>TxRt!B81-TxRt!C81+TxRt!C$53</f>
        <v>12.600000000000001</v>
      </c>
      <c r="BJ37" s="246">
        <f>TxRt!B124-TxRt!C124+TxRt!C$96</f>
        <v>15.299999999999999</v>
      </c>
      <c r="BK37" s="246">
        <f>TxRt!B164-TxRt!C164+TxRt!C$136</f>
        <v>18.899999999999999</v>
      </c>
      <c r="BL37" s="246">
        <f>TxRt!B204-TxRt!C204+TxRt!C$176</f>
        <v>22</v>
      </c>
      <c r="BM37" s="246">
        <f>TxRt!B284-TxRt!C284+TxRt!C$256</f>
        <v>24.299999999999997</v>
      </c>
      <c r="BN37" s="246">
        <f>TxRt!B324-TxRt!C324+TxRt!C$296</f>
        <v>25.6</v>
      </c>
      <c r="BO37" s="246">
        <f>TxRt!B364-TxRt!C364+TxRt!C$336</f>
        <v>26.6</v>
      </c>
      <c r="BP37" s="246">
        <f>TxRt!B404-TxRt!C404+TxRt!C$376</f>
        <v>31.3</v>
      </c>
      <c r="BQ37" s="46"/>
      <c r="BR37" s="60">
        <f>Inc!B78</f>
        <v>21600</v>
      </c>
      <c r="BS37" s="60">
        <f>Inc!B118</f>
        <v>45900</v>
      </c>
      <c r="BT37" s="60">
        <f>Inc!B158</f>
        <v>72200</v>
      </c>
      <c r="BU37" s="60">
        <f>Inc!B198</f>
        <v>106700</v>
      </c>
      <c r="BV37" s="60">
        <f>Inc!B278</f>
        <v>150700</v>
      </c>
      <c r="BW37" s="60">
        <f>Inc!B318</f>
        <v>205100</v>
      </c>
      <c r="BX37" s="60">
        <f>Inc!B358</f>
        <v>344500</v>
      </c>
      <c r="BY37" s="60">
        <f>Inc!B398</f>
        <v>2099900</v>
      </c>
      <c r="CA37" s="60">
        <f t="shared" si="6"/>
        <v>2721.6000000000004</v>
      </c>
      <c r="CB37" s="60">
        <f t="shared" si="6"/>
        <v>7022.7</v>
      </c>
      <c r="CC37" s="60">
        <f t="shared" si="6"/>
        <v>13645.8</v>
      </c>
      <c r="CD37" s="60">
        <f t="shared" si="6"/>
        <v>23474</v>
      </c>
      <c r="CE37" s="60">
        <f t="shared" si="6"/>
        <v>36620.1</v>
      </c>
      <c r="CF37" s="60">
        <f t="shared" si="6"/>
        <v>52505.599999999999</v>
      </c>
      <c r="CG37" s="60">
        <f t="shared" si="6"/>
        <v>91637</v>
      </c>
      <c r="CH37" s="60">
        <f t="shared" si="6"/>
        <v>657268.69999999995</v>
      </c>
      <c r="CJ37" s="153">
        <f t="shared" si="15"/>
        <v>61508.160000000003</v>
      </c>
      <c r="CK37" s="153">
        <f t="shared" si="7"/>
        <v>166437.99</v>
      </c>
      <c r="CL37" s="153">
        <f t="shared" si="7"/>
        <v>315217.98</v>
      </c>
      <c r="CM37" s="153">
        <f t="shared" si="7"/>
        <v>537554.6</v>
      </c>
      <c r="CN37" s="153">
        <f t="shared" si="7"/>
        <v>432117.18</v>
      </c>
      <c r="CO37" s="153">
        <f t="shared" si="7"/>
        <v>315033.59999999998</v>
      </c>
      <c r="CP37" s="153">
        <f t="shared" si="7"/>
        <v>439857.6</v>
      </c>
      <c r="CQ37" s="153">
        <f t="shared" si="7"/>
        <v>788722.44</v>
      </c>
      <c r="CR37" s="153">
        <f t="shared" si="16"/>
        <v>3056449.55</v>
      </c>
      <c r="CT37" s="403">
        <v>292.89999999999998</v>
      </c>
      <c r="CU37" s="276">
        <f>Dem!B78+(DD37/4)</f>
        <v>22.599999999999998</v>
      </c>
      <c r="CV37" s="276">
        <f>Dem!B118+(DD37/4)</f>
        <v>23.7</v>
      </c>
      <c r="CW37" s="276">
        <f>Dem!B158+(DD37/4)</f>
        <v>23.099999999999998</v>
      </c>
      <c r="CX37" s="276">
        <f>Dem!B198+(DD37/4)</f>
        <v>22.9</v>
      </c>
      <c r="CY37" s="276">
        <f>Dem!B278</f>
        <v>11.8</v>
      </c>
      <c r="CZ37" s="276">
        <f>Dem!B318</f>
        <v>6</v>
      </c>
      <c r="DA37" s="276">
        <f>Dem!B358</f>
        <v>4.8</v>
      </c>
      <c r="DB37" s="276">
        <f>Dem!B398</f>
        <v>1.2</v>
      </c>
      <c r="DC37" s="275">
        <v>116.9</v>
      </c>
      <c r="DD37" s="46">
        <v>-0.40000000000000568</v>
      </c>
      <c r="DE37" s="275"/>
      <c r="DF37" s="276">
        <f>Dem!$D78+(DO37/4)</f>
        <v>56.974999999999994</v>
      </c>
      <c r="DG37" s="276">
        <f>Dem!$D118+(DO37/4)</f>
        <v>58.274999999999999</v>
      </c>
      <c r="DH37" s="276">
        <f>Dem!$D158+(DO37/4)</f>
        <v>58.274999999999999</v>
      </c>
      <c r="DI37" s="276">
        <f>Dem!$D198+(DO37/4)</f>
        <v>58.274999999999999</v>
      </c>
      <c r="DJ37" s="275">
        <f>Dem!$D278</f>
        <v>29.3</v>
      </c>
      <c r="DK37" s="275">
        <f>Dem!$D318</f>
        <v>14.6</v>
      </c>
      <c r="DL37" s="275">
        <f>Dem!$D358</f>
        <v>11.7</v>
      </c>
      <c r="DM37" s="275">
        <f>Dem!$D398</f>
        <v>2.9</v>
      </c>
      <c r="DN37" s="276">
        <f t="shared" si="17"/>
        <v>292.89999999999998</v>
      </c>
      <c r="DO37" s="44">
        <v>-1.3000000000000114</v>
      </c>
    </row>
    <row r="38" spans="1:119">
      <c r="A38" s="46">
        <f t="shared" si="18"/>
        <v>2008</v>
      </c>
      <c r="B38" s="141">
        <f t="shared" si="8"/>
        <v>0.12082860055289713</v>
      </c>
      <c r="C38" s="46"/>
      <c r="D38" s="164">
        <f>SUM(G38:N38)*2</f>
        <v>0.6541392724896562</v>
      </c>
      <c r="E38" s="164">
        <f t="shared" si="10"/>
        <v>0.53331067193675907</v>
      </c>
      <c r="F38" s="37"/>
      <c r="G38" s="165">
        <f>(P$5-P38)*P$4</f>
        <v>3.5670374907952294E-2</v>
      </c>
      <c r="H38" s="165">
        <f t="shared" si="11"/>
        <v>6.4187650979297323E-2</v>
      </c>
      <c r="I38" s="165">
        <f t="shared" si="11"/>
        <v>8.2181555010735236E-2</v>
      </c>
      <c r="J38" s="165">
        <f t="shared" si="11"/>
        <v>8.4375833643139775E-2</v>
      </c>
      <c r="K38" s="165">
        <f t="shared" si="11"/>
        <v>3.708799541635021E-2</v>
      </c>
      <c r="L38" s="165">
        <f t="shared" si="11"/>
        <v>1.5491280620007692E-2</v>
      </c>
      <c r="M38" s="165">
        <f t="shared" si="11"/>
        <v>8.0749456673455417E-3</v>
      </c>
      <c r="N38" s="165">
        <f t="shared" si="11"/>
        <v>0</v>
      </c>
      <c r="O38" s="37"/>
      <c r="P38" s="154">
        <f t="shared" si="19"/>
        <v>2.1648125460238518E-2</v>
      </c>
      <c r="Q38" s="154">
        <f t="shared" si="20"/>
        <v>7.9061745103513451E-2</v>
      </c>
      <c r="R38" s="154">
        <f t="shared" si="20"/>
        <v>0.18909222494632394</v>
      </c>
      <c r="S38" s="154">
        <f t="shared" si="20"/>
        <v>0.37812083178430123</v>
      </c>
      <c r="T38" s="154">
        <f t="shared" si="20"/>
        <v>0.52912004583649797</v>
      </c>
      <c r="U38" s="154">
        <f t="shared" si="20"/>
        <v>0.64017438759984624</v>
      </c>
      <c r="V38" s="154">
        <f t="shared" si="20"/>
        <v>0.78812635831636157</v>
      </c>
      <c r="W38" s="162">
        <f t="shared" si="21"/>
        <v>1</v>
      </c>
      <c r="X38" s="154"/>
      <c r="Y38" s="142">
        <f t="shared" si="22"/>
        <v>3.2094861660079056E-2</v>
      </c>
      <c r="Z38" s="142">
        <f t="shared" si="22"/>
        <v>5.4308300395256928E-2</v>
      </c>
      <c r="AA38" s="142">
        <f t="shared" si="22"/>
        <v>6.6837944664031645E-2</v>
      </c>
      <c r="AB38" s="142">
        <f t="shared" si="22"/>
        <v>6.6521739130434812E-2</v>
      </c>
      <c r="AC38" s="142">
        <f t="shared" si="22"/>
        <v>2.8833992094861673E-2</v>
      </c>
      <c r="AD38" s="142">
        <f t="shared" si="22"/>
        <v>1.1976284584980247E-2</v>
      </c>
      <c r="AE38" s="142">
        <f t="shared" si="22"/>
        <v>6.0822134387351892E-3</v>
      </c>
      <c r="AF38" s="142">
        <f t="shared" si="22"/>
        <v>0</v>
      </c>
      <c r="AH38" s="158">
        <f t="shared" si="13"/>
        <v>3.9525691699604737E-2</v>
      </c>
      <c r="AI38" s="158">
        <f t="shared" si="14"/>
        <v>0.1284584980237154</v>
      </c>
      <c r="AJ38" s="158">
        <f t="shared" si="14"/>
        <v>0.26581027667984186</v>
      </c>
      <c r="AK38" s="158">
        <f t="shared" si="14"/>
        <v>0.467391304347826</v>
      </c>
      <c r="AL38" s="158">
        <f t="shared" si="14"/>
        <v>0.61166007905138331</v>
      </c>
      <c r="AM38" s="158">
        <f t="shared" si="14"/>
        <v>0.71047430830039515</v>
      </c>
      <c r="AN38" s="158">
        <f t="shared" si="14"/>
        <v>0.83794466403162038</v>
      </c>
      <c r="AO38" s="158">
        <v>1</v>
      </c>
      <c r="AP38" s="143"/>
      <c r="AQ38" s="143">
        <f t="shared" si="5"/>
        <v>2.1648125460238515E-2</v>
      </c>
      <c r="AR38" s="143">
        <f t="shared" si="5"/>
        <v>5.7413619643274919E-2</v>
      </c>
      <c r="AS38" s="143">
        <f t="shared" si="5"/>
        <v>0.11003047984281045</v>
      </c>
      <c r="AT38" s="143">
        <f t="shared" si="5"/>
        <v>0.18902860683797723</v>
      </c>
      <c r="AU38" s="143">
        <f t="shared" si="5"/>
        <v>0.15099921405219677</v>
      </c>
      <c r="AV38" s="143">
        <f t="shared" si="5"/>
        <v>0.1110543417633483</v>
      </c>
      <c r="AW38" s="143">
        <f t="shared" si="5"/>
        <v>0.14795197071651525</v>
      </c>
      <c r="AX38" s="143">
        <f t="shared" si="5"/>
        <v>0.21187364168363848</v>
      </c>
      <c r="AY38" s="46"/>
      <c r="AZ38" s="152">
        <f>Shares!D79</f>
        <v>4</v>
      </c>
      <c r="BA38" s="152">
        <f>Shares!E79</f>
        <v>9</v>
      </c>
      <c r="BB38" s="152">
        <f>Shares!F79</f>
        <v>13.9</v>
      </c>
      <c r="BC38" s="152">
        <f>Shares!G79</f>
        <v>20.399999999999999</v>
      </c>
      <c r="BD38" s="152">
        <f>Shares!J79</f>
        <v>14.6</v>
      </c>
      <c r="BE38" s="152">
        <f>Shares!K79</f>
        <v>10</v>
      </c>
      <c r="BF38" s="152">
        <f>Shares!L79</f>
        <v>12.9</v>
      </c>
      <c r="BG38" s="152">
        <f>Shares!M79</f>
        <v>16.399999999999999</v>
      </c>
      <c r="BI38" s="246">
        <f>TxRt!B82-TxRt!C82+TxRt!C$53</f>
        <v>12.3</v>
      </c>
      <c r="BJ38" s="246">
        <f>TxRt!B125-TxRt!C125+TxRt!C$96</f>
        <v>14.6</v>
      </c>
      <c r="BK38" s="246">
        <f>TxRt!B165-TxRt!C165+TxRt!C$136</f>
        <v>18.2</v>
      </c>
      <c r="BL38" s="246">
        <f>TxRt!B205-TxRt!C205+TxRt!C$176</f>
        <v>21.299999999999997</v>
      </c>
      <c r="BM38" s="246">
        <f>TxRt!B285-TxRt!C285+TxRt!C$256</f>
        <v>23.700000000000003</v>
      </c>
      <c r="BN38" s="246">
        <f>TxRt!B325-TxRt!C325+TxRt!C$296</f>
        <v>25.1</v>
      </c>
      <c r="BO38" s="246">
        <f>TxRt!B365-TxRt!C365+TxRt!C$336</f>
        <v>26</v>
      </c>
      <c r="BP38" s="246">
        <f>TxRt!B405-TxRt!C405+TxRt!C$376</f>
        <v>30.200000000000003</v>
      </c>
      <c r="BQ38" s="46"/>
      <c r="BR38" s="60">
        <f>Inc!B79</f>
        <v>21200</v>
      </c>
      <c r="BS38" s="60">
        <f>Inc!B119</f>
        <v>44200</v>
      </c>
      <c r="BT38" s="60">
        <f>Inc!B159</f>
        <v>70000</v>
      </c>
      <c r="BU38" s="60">
        <f>Inc!B199</f>
        <v>104100</v>
      </c>
      <c r="BV38" s="60">
        <f>Inc!B279</f>
        <v>147700</v>
      </c>
      <c r="BW38" s="60">
        <f>Inc!B319</f>
        <v>198300</v>
      </c>
      <c r="BX38" s="60">
        <f>Inc!B359</f>
        <v>318800</v>
      </c>
      <c r="BY38" s="60">
        <f>Inc!B399</f>
        <v>1715100</v>
      </c>
      <c r="CA38" s="60">
        <f t="shared" si="6"/>
        <v>2607.6000000000004</v>
      </c>
      <c r="CB38" s="60">
        <f t="shared" si="6"/>
        <v>6453.2</v>
      </c>
      <c r="CC38" s="60">
        <f t="shared" si="6"/>
        <v>12740</v>
      </c>
      <c r="CD38" s="60">
        <f t="shared" si="6"/>
        <v>22173.299999999996</v>
      </c>
      <c r="CE38" s="60">
        <f t="shared" si="6"/>
        <v>35004.9</v>
      </c>
      <c r="CF38" s="60">
        <f t="shared" si="6"/>
        <v>49773.3</v>
      </c>
      <c r="CG38" s="60">
        <f t="shared" si="6"/>
        <v>82888</v>
      </c>
      <c r="CH38" s="60">
        <f t="shared" si="6"/>
        <v>517960.20000000007</v>
      </c>
      <c r="CJ38" s="153">
        <f t="shared" si="15"/>
        <v>58214.67</v>
      </c>
      <c r="CK38" s="153">
        <f t="shared" si="7"/>
        <v>154392.80999999997</v>
      </c>
      <c r="CL38" s="153">
        <f t="shared" si="7"/>
        <v>295886.49999999994</v>
      </c>
      <c r="CM38" s="153">
        <f t="shared" si="7"/>
        <v>508322.90249999985</v>
      </c>
      <c r="CN38" s="153">
        <f t="shared" si="7"/>
        <v>406056.84</v>
      </c>
      <c r="CO38" s="153">
        <f t="shared" si="7"/>
        <v>298639.80000000005</v>
      </c>
      <c r="CP38" s="153">
        <f t="shared" si="7"/>
        <v>397862.39999999997</v>
      </c>
      <c r="CQ38" s="153">
        <f t="shared" si="7"/>
        <v>569756.22000000009</v>
      </c>
      <c r="CR38" s="153">
        <f t="shared" si="16"/>
        <v>2689132.1425000001</v>
      </c>
      <c r="CT38" s="403">
        <v>295.10000000000002</v>
      </c>
      <c r="CU38" s="276">
        <f>Dem!B79+(DD38/4)</f>
        <v>22.324999999999996</v>
      </c>
      <c r="CV38" s="276">
        <f>Dem!B119+(DD38/4)</f>
        <v>23.924999999999997</v>
      </c>
      <c r="CW38" s="276">
        <f>Dem!B159+(DD38/4)</f>
        <v>23.224999999999994</v>
      </c>
      <c r="CX38" s="276">
        <f>Dem!B199+(DD38/4)</f>
        <v>22.924999999999997</v>
      </c>
      <c r="CY38" s="276">
        <f>Dem!B279</f>
        <v>11.6</v>
      </c>
      <c r="CZ38" s="276">
        <f>Dem!B319</f>
        <v>6</v>
      </c>
      <c r="DA38" s="276">
        <f>Dem!B359</f>
        <v>4.8</v>
      </c>
      <c r="DB38" s="276">
        <f>Dem!B399</f>
        <v>1.1000000000000001</v>
      </c>
      <c r="DC38" s="275">
        <v>117.3</v>
      </c>
      <c r="DD38" s="46">
        <v>-0.70000000000001705</v>
      </c>
      <c r="DE38" s="275"/>
      <c r="DF38" s="276">
        <f>Dem!$D79+(DO38/4)</f>
        <v>57.125</v>
      </c>
      <c r="DG38" s="276">
        <f>Dem!$D119+(DO38/4)</f>
        <v>58.625</v>
      </c>
      <c r="DH38" s="276">
        <f>Dem!$D159+(DO38/4)</f>
        <v>58.625</v>
      </c>
      <c r="DI38" s="276">
        <f>Dem!$D199+(DO38/4)</f>
        <v>58.625</v>
      </c>
      <c r="DJ38" s="275">
        <f>Dem!$D279</f>
        <v>29.5</v>
      </c>
      <c r="DK38" s="275">
        <f>Dem!$D319</f>
        <v>14.8</v>
      </c>
      <c r="DL38" s="275">
        <f>Dem!$D359</f>
        <v>11.8</v>
      </c>
      <c r="DM38" s="275">
        <f>Dem!$D399</f>
        <v>3</v>
      </c>
      <c r="DN38" s="276">
        <f t="shared" si="17"/>
        <v>295.10000000000002</v>
      </c>
      <c r="DO38" s="44">
        <v>-1.5</v>
      </c>
    </row>
    <row r="39" spans="1:119">
      <c r="A39" s="46">
        <f t="shared" si="18"/>
        <v>2009</v>
      </c>
      <c r="B39" s="141">
        <f t="shared" si="8"/>
        <v>0.12262693745623654</v>
      </c>
      <c r="C39" s="46"/>
      <c r="D39" s="164">
        <f t="shared" si="9"/>
        <v>0.63481708523948799</v>
      </c>
      <c r="E39" s="164">
        <f t="shared" si="10"/>
        <v>0.51219014778325145</v>
      </c>
      <c r="F39" s="37"/>
      <c r="G39" s="165">
        <f t="shared" si="11"/>
        <v>3.5714447382718548E-2</v>
      </c>
      <c r="H39" s="165">
        <f t="shared" si="11"/>
        <v>6.4024068721000554E-2</v>
      </c>
      <c r="I39" s="165">
        <f t="shared" si="11"/>
        <v>8.1078935274735794E-2</v>
      </c>
      <c r="J39" s="165">
        <f t="shared" si="11"/>
        <v>8.1362181619216392E-2</v>
      </c>
      <c r="K39" s="165">
        <f t="shared" si="11"/>
        <v>3.4528769690135401E-2</v>
      </c>
      <c r="L39" s="165">
        <f t="shared" si="11"/>
        <v>1.3975461029827564E-2</v>
      </c>
      <c r="M39" s="165">
        <f t="shared" si="11"/>
        <v>6.7246789021097484E-3</v>
      </c>
      <c r="N39" s="165">
        <f t="shared" si="11"/>
        <v>0</v>
      </c>
      <c r="O39" s="37"/>
      <c r="P39" s="154">
        <f t="shared" si="19"/>
        <v>2.1427763086407287E-2</v>
      </c>
      <c r="Q39" s="154">
        <f t="shared" si="20"/>
        <v>7.9879656394997264E-2</v>
      </c>
      <c r="R39" s="154">
        <f t="shared" si="20"/>
        <v>0.19460532362632116</v>
      </c>
      <c r="S39" s="154">
        <f t="shared" si="20"/>
        <v>0.3931890919039181</v>
      </c>
      <c r="T39" s="154">
        <f t="shared" si="20"/>
        <v>0.55471230309864605</v>
      </c>
      <c r="U39" s="154">
        <f t="shared" si="20"/>
        <v>0.67049077940344881</v>
      </c>
      <c r="V39" s="154">
        <f t="shared" si="20"/>
        <v>0.82188302744725639</v>
      </c>
      <c r="W39" s="162">
        <f t="shared" si="21"/>
        <v>1</v>
      </c>
      <c r="X39" s="154"/>
      <c r="Y39" s="142">
        <f t="shared" si="22"/>
        <v>3.2315270935960594E-2</v>
      </c>
      <c r="Z39" s="142">
        <f t="shared" si="22"/>
        <v>5.379310344827587E-2</v>
      </c>
      <c r="AA39" s="142">
        <f t="shared" si="22"/>
        <v>6.522167487684731E-2</v>
      </c>
      <c r="AB39" s="142">
        <f t="shared" si="22"/>
        <v>6.2857142857142875E-2</v>
      </c>
      <c r="AC39" s="142">
        <f t="shared" si="22"/>
        <v>2.6354679802955673E-2</v>
      </c>
      <c r="AD39" s="142">
        <f t="shared" si="22"/>
        <v>1.0554187192118231E-2</v>
      </c>
      <c r="AE39" s="142">
        <f t="shared" si="22"/>
        <v>4.9990147783251261E-3</v>
      </c>
      <c r="AF39" s="142">
        <f t="shared" si="22"/>
        <v>0</v>
      </c>
      <c r="AH39" s="158">
        <f t="shared" si="13"/>
        <v>3.8423645320197042E-2</v>
      </c>
      <c r="AI39" s="158">
        <f t="shared" si="14"/>
        <v>0.13103448275862067</v>
      </c>
      <c r="AJ39" s="158">
        <f t="shared" si="14"/>
        <v>0.27389162561576352</v>
      </c>
      <c r="AK39" s="158">
        <f t="shared" si="14"/>
        <v>0.48571428571428565</v>
      </c>
      <c r="AL39" s="158">
        <f t="shared" si="14"/>
        <v>0.63645320197044331</v>
      </c>
      <c r="AM39" s="158">
        <f t="shared" si="14"/>
        <v>0.73891625615763545</v>
      </c>
      <c r="AN39" s="158">
        <f t="shared" si="14"/>
        <v>0.86502463054187195</v>
      </c>
      <c r="AO39" s="158">
        <v>1</v>
      </c>
      <c r="AP39" s="143"/>
      <c r="AQ39" s="143">
        <f t="shared" si="5"/>
        <v>2.1427763086407283E-2</v>
      </c>
      <c r="AR39" s="143">
        <f t="shared" si="5"/>
        <v>5.8451893308589971E-2</v>
      </c>
      <c r="AS39" s="143">
        <f t="shared" si="5"/>
        <v>0.11472566723132389</v>
      </c>
      <c r="AT39" s="143">
        <f t="shared" si="5"/>
        <v>0.19858376827759691</v>
      </c>
      <c r="AU39" s="143">
        <f t="shared" si="5"/>
        <v>0.16152321119472798</v>
      </c>
      <c r="AV39" s="143">
        <f t="shared" si="5"/>
        <v>0.11577847630480276</v>
      </c>
      <c r="AW39" s="143">
        <f t="shared" si="5"/>
        <v>0.1513922480438076</v>
      </c>
      <c r="AX39" s="143">
        <f t="shared" si="5"/>
        <v>0.1781169725527435</v>
      </c>
      <c r="AY39" s="46"/>
      <c r="AZ39" s="152">
        <f>Shares!D80</f>
        <v>3.9</v>
      </c>
      <c r="BA39" s="152">
        <f>Shares!E80</f>
        <v>9.4</v>
      </c>
      <c r="BB39" s="152">
        <f>Shares!F80</f>
        <v>14.5</v>
      </c>
      <c r="BC39" s="152">
        <f>Shares!G80</f>
        <v>21.5</v>
      </c>
      <c r="BD39" s="152">
        <f>Shares!J80</f>
        <v>15.3</v>
      </c>
      <c r="BE39" s="152">
        <f>Shares!K80</f>
        <v>10.4</v>
      </c>
      <c r="BF39" s="152">
        <f>Shares!L80</f>
        <v>12.8</v>
      </c>
      <c r="BG39" s="152">
        <f>Shares!M80</f>
        <v>13.7</v>
      </c>
      <c r="BI39" s="246">
        <f>TxRt!B83-TxRt!C83+TxRt!C$53</f>
        <v>12.3</v>
      </c>
      <c r="BJ39" s="246">
        <f>TxRt!B126-TxRt!C126+TxRt!C$96</f>
        <v>14.1</v>
      </c>
      <c r="BK39" s="246">
        <f>TxRt!B166-TxRt!C166+TxRt!C$136</f>
        <v>17.8</v>
      </c>
      <c r="BL39" s="246">
        <f>TxRt!B206-TxRt!C206+TxRt!C$176</f>
        <v>20.9</v>
      </c>
      <c r="BM39" s="246">
        <f>TxRt!B286-TxRt!C286+TxRt!C$256</f>
        <v>23.5</v>
      </c>
      <c r="BN39" s="246">
        <f>TxRt!B326-TxRt!C326+TxRt!C$296</f>
        <v>25</v>
      </c>
      <c r="BO39" s="246">
        <f>TxRt!B366-TxRt!C366+TxRt!C$336</f>
        <v>26.3</v>
      </c>
      <c r="BP39" s="246">
        <f>TxRt!B406-TxRt!C406+TxRt!C$376</f>
        <v>30.2</v>
      </c>
      <c r="BQ39" s="46"/>
      <c r="BR39" s="60">
        <f>Inc!B80</f>
        <v>20300</v>
      </c>
      <c r="BS39" s="60">
        <f>Inc!B120</f>
        <v>42900</v>
      </c>
      <c r="BT39" s="60">
        <f>Inc!B160</f>
        <v>68400</v>
      </c>
      <c r="BU39" s="60">
        <f>Inc!B200</f>
        <v>101700</v>
      </c>
      <c r="BV39" s="60">
        <f>Inc!B280</f>
        <v>144200</v>
      </c>
      <c r="BW39" s="60">
        <f>Inc!B320</f>
        <v>192700</v>
      </c>
      <c r="BX39" s="60">
        <f>Inc!B360</f>
        <v>299400</v>
      </c>
      <c r="BY39" s="60">
        <f>Inc!B400</f>
        <v>1338600</v>
      </c>
      <c r="CA39" s="60">
        <f t="shared" si="6"/>
        <v>2496.9</v>
      </c>
      <c r="CB39" s="60">
        <f t="shared" si="6"/>
        <v>6048.9</v>
      </c>
      <c r="CC39" s="60">
        <f t="shared" si="6"/>
        <v>12175.2</v>
      </c>
      <c r="CD39" s="60">
        <f t="shared" si="6"/>
        <v>21255.3</v>
      </c>
      <c r="CE39" s="60">
        <f t="shared" si="6"/>
        <v>33887</v>
      </c>
      <c r="CF39" s="60">
        <f t="shared" si="6"/>
        <v>48175</v>
      </c>
      <c r="CG39" s="60">
        <f t="shared" si="6"/>
        <v>78742.2</v>
      </c>
      <c r="CH39" s="60">
        <f t="shared" si="6"/>
        <v>404257.2</v>
      </c>
      <c r="CJ39" s="153">
        <f t="shared" si="15"/>
        <v>53496.082500000011</v>
      </c>
      <c r="CK39" s="153">
        <f t="shared" si="7"/>
        <v>145929.71250000002</v>
      </c>
      <c r="CL39" s="153">
        <f t="shared" si="7"/>
        <v>286421.58</v>
      </c>
      <c r="CM39" s="153">
        <f t="shared" si="7"/>
        <v>495779.87250000006</v>
      </c>
      <c r="CN39" s="153">
        <f t="shared" si="7"/>
        <v>403255.3</v>
      </c>
      <c r="CO39" s="153">
        <f t="shared" si="7"/>
        <v>289050</v>
      </c>
      <c r="CP39" s="153">
        <f t="shared" si="7"/>
        <v>377962.56</v>
      </c>
      <c r="CQ39" s="153">
        <f t="shared" si="7"/>
        <v>444682.92000000004</v>
      </c>
      <c r="CR39" s="153">
        <f t="shared" si="16"/>
        <v>2496578.0275000003</v>
      </c>
      <c r="CT39" s="403">
        <v>298</v>
      </c>
      <c r="CU39" s="276">
        <f>Dem!B80+(DD39/4)</f>
        <v>21.425000000000004</v>
      </c>
      <c r="CV39" s="276">
        <f>Dem!B120+(DD39/4)</f>
        <v>24.125000000000004</v>
      </c>
      <c r="CW39" s="276">
        <f>Dem!B160+(DD39/4)</f>
        <v>23.525000000000002</v>
      </c>
      <c r="CX39" s="276">
        <f>Dem!B200+(DD39/4)</f>
        <v>23.325000000000003</v>
      </c>
      <c r="CY39" s="276">
        <f>Dem!B280</f>
        <v>11.9</v>
      </c>
      <c r="CZ39" s="276">
        <f>Dem!B320</f>
        <v>6</v>
      </c>
      <c r="DA39" s="276">
        <f>Dem!B360</f>
        <v>4.8</v>
      </c>
      <c r="DB39" s="276">
        <f>Dem!B400</f>
        <v>1.1000000000000001</v>
      </c>
      <c r="DC39" s="275">
        <v>117.6</v>
      </c>
      <c r="DD39" s="46">
        <v>-0.69999999999998863</v>
      </c>
      <c r="DE39" s="275"/>
      <c r="DF39" s="276">
        <f>Dem!$D80+(DO39/4)</f>
        <v>57.474999999999987</v>
      </c>
      <c r="DG39" s="276">
        <f>Dem!$D120+(DO39/4)</f>
        <v>59.17499999999999</v>
      </c>
      <c r="DH39" s="276">
        <f>Dem!$D160+(DO39/4)</f>
        <v>59.17499999999999</v>
      </c>
      <c r="DI39" s="276">
        <f>Dem!$D200+(DO39/4)</f>
        <v>59.17499999999999</v>
      </c>
      <c r="DJ39" s="275">
        <f>Dem!$D280</f>
        <v>29.8</v>
      </c>
      <c r="DK39" s="275">
        <f>Dem!$D320</f>
        <v>14.9</v>
      </c>
      <c r="DL39" s="275">
        <f>Dem!$D360</f>
        <v>11.9</v>
      </c>
      <c r="DM39" s="275">
        <f>Dem!$D400</f>
        <v>3</v>
      </c>
      <c r="DN39" s="276">
        <f t="shared" si="17"/>
        <v>298</v>
      </c>
      <c r="DO39" s="44">
        <v>-1.7000000000000455</v>
      </c>
    </row>
    <row r="40" spans="1:119">
      <c r="A40" s="46">
        <f t="shared" si="18"/>
        <v>2010</v>
      </c>
      <c r="B40" s="141">
        <f t="shared" si="8"/>
        <v>0.1322688762260753</v>
      </c>
      <c r="C40" s="46"/>
      <c r="D40" s="141">
        <f t="shared" si="9"/>
        <v>0.65996000048643055</v>
      </c>
      <c r="E40" s="141">
        <f t="shared" si="10"/>
        <v>0.52769112426035525</v>
      </c>
      <c r="F40" s="46"/>
      <c r="G40" s="157">
        <f t="shared" si="11"/>
        <v>3.5809696172333871E-2</v>
      </c>
      <c r="H40" s="157">
        <f t="shared" si="11"/>
        <v>6.4636001670344764E-2</v>
      </c>
      <c r="I40" s="157">
        <f t="shared" si="11"/>
        <v>8.2914898471739218E-2</v>
      </c>
      <c r="J40" s="157">
        <f t="shared" si="11"/>
        <v>8.5242171503623995E-2</v>
      </c>
      <c r="K40" s="157">
        <f t="shared" si="11"/>
        <v>3.7386301452675845E-2</v>
      </c>
      <c r="L40" s="157">
        <f t="shared" si="11"/>
        <v>1.5672811028617058E-2</v>
      </c>
      <c r="M40" s="157">
        <f t="shared" si="11"/>
        <v>8.3181199438804847E-3</v>
      </c>
      <c r="N40" s="157">
        <f t="shared" si="11"/>
        <v>0</v>
      </c>
      <c r="O40" s="46"/>
      <c r="P40" s="154">
        <f t="shared" si="19"/>
        <v>2.0951519138330661E-2</v>
      </c>
      <c r="Q40" s="154">
        <f t="shared" si="20"/>
        <v>7.6819991648276187E-2</v>
      </c>
      <c r="R40" s="154">
        <f t="shared" si="20"/>
        <v>0.18542550764130405</v>
      </c>
      <c r="S40" s="154">
        <f t="shared" si="20"/>
        <v>0.37378914248188011</v>
      </c>
      <c r="T40" s="154">
        <f t="shared" si="20"/>
        <v>0.52613698547324161</v>
      </c>
      <c r="U40" s="154">
        <f t="shared" si="20"/>
        <v>0.63654377942765894</v>
      </c>
      <c r="V40" s="154">
        <f t="shared" si="20"/>
        <v>0.782047001402988</v>
      </c>
      <c r="W40" s="162">
        <f t="shared" si="21"/>
        <v>1</v>
      </c>
      <c r="X40" s="154"/>
      <c r="Y40" s="142">
        <f t="shared" si="22"/>
        <v>3.2504930966469434E-2</v>
      </c>
      <c r="Z40" s="142">
        <f t="shared" si="22"/>
        <v>5.4556213017751487E-2</v>
      </c>
      <c r="AA40" s="142">
        <f t="shared" si="22"/>
        <v>6.6548323471400425E-2</v>
      </c>
      <c r="AB40" s="142">
        <f t="shared" si="22"/>
        <v>6.5325443786982268E-2</v>
      </c>
      <c r="AC40" s="142">
        <f t="shared" si="22"/>
        <v>2.786982248520711E-2</v>
      </c>
      <c r="AD40" s="142">
        <f t="shared" si="22"/>
        <v>1.1405325443786991E-2</v>
      </c>
      <c r="AE40" s="142">
        <f t="shared" si="22"/>
        <v>5.6355029585798896E-3</v>
      </c>
      <c r="AF40" s="142">
        <f t="shared" si="22"/>
        <v>0</v>
      </c>
      <c r="AH40" s="158">
        <f t="shared" si="13"/>
        <v>3.7475345167652857E-2</v>
      </c>
      <c r="AI40" s="158">
        <f t="shared" si="14"/>
        <v>0.12721893491124259</v>
      </c>
      <c r="AJ40" s="158">
        <f t="shared" si="14"/>
        <v>0.267258382642998</v>
      </c>
      <c r="AK40" s="158">
        <f t="shared" si="14"/>
        <v>0.47337278106508873</v>
      </c>
      <c r="AL40" s="158">
        <f t="shared" si="14"/>
        <v>0.62130177514792895</v>
      </c>
      <c r="AM40" s="158">
        <f t="shared" si="14"/>
        <v>0.72189349112426027</v>
      </c>
      <c r="AN40" s="158">
        <f t="shared" si="14"/>
        <v>0.84911242603550285</v>
      </c>
      <c r="AO40" s="158">
        <v>1</v>
      </c>
      <c r="AP40" s="143"/>
      <c r="AQ40" s="143">
        <f t="shared" si="5"/>
        <v>2.0951519138330658E-2</v>
      </c>
      <c r="AR40" s="143">
        <f t="shared" si="5"/>
        <v>5.5868472509945519E-2</v>
      </c>
      <c r="AS40" s="143">
        <f t="shared" si="5"/>
        <v>0.10860551599302784</v>
      </c>
      <c r="AT40" s="143">
        <f t="shared" si="5"/>
        <v>0.18836363484057597</v>
      </c>
      <c r="AU40" s="143">
        <f t="shared" si="5"/>
        <v>0.15234784299136153</v>
      </c>
      <c r="AV40" s="143">
        <f t="shared" si="5"/>
        <v>0.11040679395441726</v>
      </c>
      <c r="AW40" s="143">
        <f t="shared" si="5"/>
        <v>0.14550322197532903</v>
      </c>
      <c r="AX40" s="143">
        <f t="shared" ref="AX40:AX46" si="23">CQ40/$CR40</f>
        <v>0.21795299859701203</v>
      </c>
      <c r="AY40" s="46"/>
      <c r="AZ40" s="152">
        <f>Shares!D81</f>
        <v>3.8</v>
      </c>
      <c r="BA40" s="152">
        <f>Shares!E81</f>
        <v>9.1</v>
      </c>
      <c r="BB40" s="152">
        <f>Shares!F81</f>
        <v>14.2</v>
      </c>
      <c r="BC40" s="152">
        <f>Shares!G81</f>
        <v>20.9</v>
      </c>
      <c r="BD40" s="152">
        <f>Shares!J81</f>
        <v>15</v>
      </c>
      <c r="BE40" s="152">
        <f>Shares!K81</f>
        <v>10.199999999999999</v>
      </c>
      <c r="BF40" s="152">
        <f>Shares!L81</f>
        <v>12.9</v>
      </c>
      <c r="BG40" s="152">
        <f>Shares!M81</f>
        <v>15.3</v>
      </c>
      <c r="BI40" s="246">
        <f>TxRt!B84-TxRt!C84+TxRt!C$53</f>
        <v>12.8</v>
      </c>
      <c r="BJ40" s="246">
        <f>TxRt!B127-TxRt!C127+TxRt!C$96</f>
        <v>14.299999999999999</v>
      </c>
      <c r="BK40" s="246">
        <f>TxRt!B167-TxRt!C167+TxRt!C$136</f>
        <v>17.8</v>
      </c>
      <c r="BL40" s="246">
        <f>TxRt!B207-TxRt!C207+TxRt!C$176</f>
        <v>21</v>
      </c>
      <c r="BM40" s="246">
        <f>TxRt!B287-TxRt!C287+TxRt!C$256</f>
        <v>23.6</v>
      </c>
      <c r="BN40" s="246">
        <f>TxRt!B327-TxRt!C327+TxRt!C$296</f>
        <v>25</v>
      </c>
      <c r="BO40" s="246">
        <f>TxRt!B367-TxRt!C367+TxRt!C$336</f>
        <v>26.400000000000002</v>
      </c>
      <c r="BP40" s="246">
        <f>TxRt!B407-TxRt!C407+TxRt!C$376</f>
        <v>31.700000000000003</v>
      </c>
      <c r="BQ40" s="46"/>
      <c r="BR40" s="60">
        <f>Inc!B81</f>
        <v>19800</v>
      </c>
      <c r="BS40" s="60">
        <f>Inc!B121</f>
        <v>42300</v>
      </c>
      <c r="BT40" s="60">
        <f>Inc!B161</f>
        <v>67700</v>
      </c>
      <c r="BU40" s="60">
        <f>Inc!B201</f>
        <v>101200</v>
      </c>
      <c r="BV40" s="60">
        <f>Inc!B281</f>
        <v>144300</v>
      </c>
      <c r="BW40" s="60">
        <f>Inc!B321</f>
        <v>194200</v>
      </c>
      <c r="BX40" s="60">
        <f>Inc!B361</f>
        <v>308000</v>
      </c>
      <c r="BY40" s="60">
        <f>Inc!B401</f>
        <v>1536900</v>
      </c>
      <c r="CA40" s="60">
        <f t="shared" si="6"/>
        <v>2534.4</v>
      </c>
      <c r="CB40" s="60">
        <f t="shared" si="6"/>
        <v>6048.9</v>
      </c>
      <c r="CC40" s="60">
        <f t="shared" si="6"/>
        <v>12050.6</v>
      </c>
      <c r="CD40" s="60">
        <f t="shared" si="6"/>
        <v>21252</v>
      </c>
      <c r="CE40" s="60">
        <f t="shared" si="6"/>
        <v>34054.800000000003</v>
      </c>
      <c r="CF40" s="60">
        <f t="shared" si="6"/>
        <v>48550</v>
      </c>
      <c r="CG40" s="60">
        <f t="shared" si="6"/>
        <v>81312.000000000015</v>
      </c>
      <c r="CH40" s="60">
        <f t="shared" ref="CH40:CH46" si="24">BP40*BY40/100</f>
        <v>487197.30000000005</v>
      </c>
      <c r="CJ40" s="153">
        <f t="shared" si="15"/>
        <v>56200.320000000007</v>
      </c>
      <c r="CK40" s="153">
        <f t="shared" si="7"/>
        <v>149861.49749999997</v>
      </c>
      <c r="CL40" s="153">
        <f t="shared" si="7"/>
        <v>291323.255</v>
      </c>
      <c r="CM40" s="153">
        <f t="shared" si="7"/>
        <v>505266.3</v>
      </c>
      <c r="CN40" s="153">
        <f t="shared" si="7"/>
        <v>408657.60000000003</v>
      </c>
      <c r="CO40" s="153">
        <f t="shared" si="7"/>
        <v>296155</v>
      </c>
      <c r="CP40" s="153">
        <f t="shared" si="7"/>
        <v>390297.60000000003</v>
      </c>
      <c r="CQ40" s="153">
        <f t="shared" si="7"/>
        <v>584636.76</v>
      </c>
      <c r="CR40" s="153">
        <f t="shared" si="16"/>
        <v>2682398.3325000005</v>
      </c>
      <c r="CT40" s="403">
        <v>301.39999999999998</v>
      </c>
      <c r="CU40" s="276">
        <f>Dem!B81+(DD40/4)</f>
        <v>22.175000000000001</v>
      </c>
      <c r="CV40" s="276">
        <f>Dem!B121+(DD40/4)</f>
        <v>24.774999999999999</v>
      </c>
      <c r="CW40" s="276">
        <f>Dem!B161+(DD40/4)</f>
        <v>24.175000000000001</v>
      </c>
      <c r="CX40" s="276">
        <f>Dem!B201+(DD40/4)</f>
        <v>23.774999999999999</v>
      </c>
      <c r="CY40" s="276">
        <f>Dem!B281</f>
        <v>12</v>
      </c>
      <c r="CZ40" s="276">
        <f>Dem!B321</f>
        <v>6.1</v>
      </c>
      <c r="DA40" s="276">
        <f>Dem!B361</f>
        <v>4.8</v>
      </c>
      <c r="DB40" s="276">
        <f>Dem!B401</f>
        <v>1.2</v>
      </c>
      <c r="DC40" s="275">
        <v>120</v>
      </c>
      <c r="DD40" s="46">
        <v>-0.5</v>
      </c>
      <c r="DE40" s="275"/>
      <c r="DF40" s="276">
        <f>Dem!$D81+(DO40/4)</f>
        <v>58.325000000000031</v>
      </c>
      <c r="DG40" s="276">
        <f>Dem!$D121+(DO40/4)</f>
        <v>59.925000000000026</v>
      </c>
      <c r="DH40" s="276">
        <f>Dem!$D161+(DO40/4)</f>
        <v>59.925000000000026</v>
      </c>
      <c r="DI40" s="276">
        <f>Dem!$D201+(DO40/4)</f>
        <v>59.925000000000026</v>
      </c>
      <c r="DJ40" s="275">
        <f>Dem!$D281</f>
        <v>30.1</v>
      </c>
      <c r="DK40" s="275">
        <f>Dem!$D321</f>
        <v>15.1</v>
      </c>
      <c r="DL40" s="275">
        <f>Dem!$D361</f>
        <v>12.1</v>
      </c>
      <c r="DM40" s="275">
        <f>Dem!$D401</f>
        <v>3</v>
      </c>
      <c r="DN40" s="276">
        <f t="shared" si="17"/>
        <v>301.39999999999998</v>
      </c>
      <c r="DO40" s="44">
        <v>-1.4999999999998863</v>
      </c>
    </row>
    <row r="41" spans="1:119">
      <c r="A41" s="46">
        <f t="shared" si="18"/>
        <v>2011</v>
      </c>
      <c r="B41" s="141">
        <f t="shared" si="8"/>
        <v>0.13403092123595362</v>
      </c>
      <c r="C41" s="46"/>
      <c r="D41" s="141">
        <f t="shared" si="9"/>
        <v>0.661222036734473</v>
      </c>
      <c r="E41" s="141">
        <f t="shared" si="10"/>
        <v>0.52719111549851938</v>
      </c>
      <c r="F41" s="46"/>
      <c r="G41" s="157">
        <f t="shared" si="11"/>
        <v>3.5854074007275076E-2</v>
      </c>
      <c r="H41" s="157">
        <f t="shared" si="11"/>
        <v>6.483886709315316E-2</v>
      </c>
      <c r="I41" s="157">
        <f t="shared" si="11"/>
        <v>8.3413585786061284E-2</v>
      </c>
      <c r="J41" s="157">
        <f t="shared" si="11"/>
        <v>8.5613564182846325E-2</v>
      </c>
      <c r="K41" s="157">
        <f t="shared" si="11"/>
        <v>3.7420296979633873E-2</v>
      </c>
      <c r="L41" s="157">
        <f t="shared" si="11"/>
        <v>1.5519378045345318E-2</v>
      </c>
      <c r="M41" s="157">
        <f t="shared" si="11"/>
        <v>7.9512522729214882E-3</v>
      </c>
      <c r="N41" s="157">
        <f t="shared" si="11"/>
        <v>0</v>
      </c>
      <c r="O41" s="46"/>
      <c r="P41" s="154">
        <f t="shared" si="19"/>
        <v>2.072962996362462E-2</v>
      </c>
      <c r="Q41" s="154">
        <f t="shared" si="20"/>
        <v>7.5805664534234235E-2</v>
      </c>
      <c r="R41" s="154">
        <f t="shared" si="20"/>
        <v>0.18293207106969367</v>
      </c>
      <c r="S41" s="154">
        <f t="shared" si="20"/>
        <v>0.37193217908576848</v>
      </c>
      <c r="T41" s="154">
        <f t="shared" si="20"/>
        <v>0.52579703020366131</v>
      </c>
      <c r="U41" s="154">
        <f t="shared" si="20"/>
        <v>0.63961243909309373</v>
      </c>
      <c r="V41" s="154">
        <f t="shared" si="20"/>
        <v>0.79121869317696292</v>
      </c>
      <c r="W41" s="162">
        <f t="shared" si="21"/>
        <v>1</v>
      </c>
      <c r="X41" s="154"/>
      <c r="Y41" s="142">
        <f t="shared" si="22"/>
        <v>3.2300098716683122E-2</v>
      </c>
      <c r="Z41" s="142">
        <f t="shared" si="22"/>
        <v>5.4333662388943743E-2</v>
      </c>
      <c r="AA41" s="142">
        <f t="shared" si="22"/>
        <v>6.6692991115498534E-2</v>
      </c>
      <c r="AB41" s="142">
        <f t="shared" si="22"/>
        <v>6.5429417571569601E-2</v>
      </c>
      <c r="AC41" s="142">
        <f t="shared" si="22"/>
        <v>2.7907206317867729E-2</v>
      </c>
      <c r="AD41" s="142">
        <f t="shared" si="22"/>
        <v>1.1369693978282337E-2</v>
      </c>
      <c r="AE41" s="142">
        <f t="shared" si="22"/>
        <v>5.5624876604146193E-3</v>
      </c>
      <c r="AF41" s="142">
        <f t="shared" si="22"/>
        <v>0</v>
      </c>
      <c r="AH41" s="158">
        <f t="shared" si="13"/>
        <v>3.8499506416584402E-2</v>
      </c>
      <c r="AI41" s="158">
        <f t="shared" si="14"/>
        <v>0.12833168805528133</v>
      </c>
      <c r="AJ41" s="158">
        <f t="shared" si="14"/>
        <v>0.26653504442250742</v>
      </c>
      <c r="AK41" s="158">
        <f t="shared" si="14"/>
        <v>0.47285291214215203</v>
      </c>
      <c r="AL41" s="158">
        <f t="shared" si="14"/>
        <v>0.62092793682132275</v>
      </c>
      <c r="AM41" s="158">
        <f t="shared" si="14"/>
        <v>0.72260612043435335</v>
      </c>
      <c r="AN41" s="158">
        <f t="shared" si="14"/>
        <v>0.85093780848963463</v>
      </c>
      <c r="AO41" s="158">
        <v>1</v>
      </c>
      <c r="AP41" s="143"/>
      <c r="AQ41" s="143">
        <f t="shared" ref="AQ41:AW46" si="25">CJ41/$CR41</f>
        <v>2.072962996362462E-2</v>
      </c>
      <c r="AR41" s="143">
        <f t="shared" si="25"/>
        <v>5.5076034570609611E-2</v>
      </c>
      <c r="AS41" s="143">
        <f t="shared" si="25"/>
        <v>0.10712640653545942</v>
      </c>
      <c r="AT41" s="143">
        <f t="shared" si="25"/>
        <v>0.18900010801607481</v>
      </c>
      <c r="AU41" s="143">
        <f t="shared" si="25"/>
        <v>0.15386485111789286</v>
      </c>
      <c r="AV41" s="143">
        <f t="shared" si="25"/>
        <v>0.11381540888943241</v>
      </c>
      <c r="AW41" s="143">
        <f t="shared" si="25"/>
        <v>0.15160625408386919</v>
      </c>
      <c r="AX41" s="143">
        <f t="shared" si="23"/>
        <v>0.20878130682303711</v>
      </c>
      <c r="AY41" s="46"/>
      <c r="AZ41" s="152">
        <f>Shares!D82</f>
        <v>3.9</v>
      </c>
      <c r="BA41" s="152">
        <f>Shares!E82</f>
        <v>9.1</v>
      </c>
      <c r="BB41" s="152">
        <f>Shares!F82</f>
        <v>14</v>
      </c>
      <c r="BC41" s="152">
        <f>Shares!G82</f>
        <v>20.9</v>
      </c>
      <c r="BD41" s="152">
        <f>Shares!J82</f>
        <v>15</v>
      </c>
      <c r="BE41" s="152">
        <f>Shares!K82</f>
        <v>10.3</v>
      </c>
      <c r="BF41" s="152">
        <f>Shares!L82</f>
        <v>13</v>
      </c>
      <c r="BG41" s="152">
        <f>Shares!M82</f>
        <v>15.1</v>
      </c>
      <c r="BI41" s="246">
        <f>TxRt!B85-TxRt!C85+TxRt!C$53</f>
        <v>11.5</v>
      </c>
      <c r="BJ41" s="246">
        <f>TxRt!B128-TxRt!C128+TxRt!C$96</f>
        <v>13.299999999999999</v>
      </c>
      <c r="BK41" s="246">
        <f>TxRt!B168-TxRt!C168+TxRt!C$136</f>
        <v>16.700000000000003</v>
      </c>
      <c r="BL41" s="246">
        <f>TxRt!B208-TxRt!C208+TxRt!C$176</f>
        <v>19.799999999999997</v>
      </c>
      <c r="BM41" s="246">
        <f>TxRt!B288-TxRt!C288+TxRt!C$256</f>
        <v>22.299999999999997</v>
      </c>
      <c r="BN41" s="246">
        <f>TxRt!B328-TxRt!C328+TxRt!C$296</f>
        <v>24</v>
      </c>
      <c r="BO41" s="246">
        <f>TxRt!B368-TxRt!C368+TxRt!C$336</f>
        <v>25.400000000000002</v>
      </c>
      <c r="BP41" s="246">
        <f>TxRt!B408-TxRt!C408+TxRt!C$376</f>
        <v>31.3</v>
      </c>
      <c r="BQ41" s="46"/>
      <c r="BR41" s="60">
        <f>Inc!B82</f>
        <v>20100</v>
      </c>
      <c r="BS41" s="60">
        <f>Inc!B122</f>
        <v>42100</v>
      </c>
      <c r="BT41" s="60">
        <f>Inc!B162</f>
        <v>67100</v>
      </c>
      <c r="BU41" s="60">
        <f>Inc!B202</f>
        <v>101100</v>
      </c>
      <c r="BV41" s="60">
        <f>Inc!B282</f>
        <v>145700</v>
      </c>
      <c r="BW41" s="60">
        <f>Inc!B322</f>
        <v>197000</v>
      </c>
      <c r="BX41" s="60">
        <f>Inc!B362</f>
        <v>315100</v>
      </c>
      <c r="BY41" s="60">
        <f>Inc!B402</f>
        <v>1536600</v>
      </c>
      <c r="CA41" s="60">
        <f t="shared" ref="CA41:CG46" si="26">BI41*BR41/100</f>
        <v>2311.5</v>
      </c>
      <c r="CB41" s="60">
        <f t="shared" si="26"/>
        <v>5599.3</v>
      </c>
      <c r="CC41" s="60">
        <f t="shared" si="26"/>
        <v>11205.700000000003</v>
      </c>
      <c r="CD41" s="60">
        <f t="shared" si="26"/>
        <v>20017.8</v>
      </c>
      <c r="CE41" s="60">
        <f t="shared" si="26"/>
        <v>32491.099999999995</v>
      </c>
      <c r="CF41" s="60">
        <f t="shared" si="26"/>
        <v>47280</v>
      </c>
      <c r="CG41" s="60">
        <f t="shared" si="26"/>
        <v>80035.400000000009</v>
      </c>
      <c r="CH41" s="60">
        <f t="shared" si="24"/>
        <v>480955.8</v>
      </c>
      <c r="CJ41" s="153">
        <f t="shared" si="15"/>
        <v>52528.837499999987</v>
      </c>
      <c r="CK41" s="153">
        <f t="shared" si="7"/>
        <v>139562.55249999999</v>
      </c>
      <c r="CL41" s="153">
        <f t="shared" si="7"/>
        <v>271458.08250000002</v>
      </c>
      <c r="CM41" s="153">
        <f t="shared" si="7"/>
        <v>478925.86499999993</v>
      </c>
      <c r="CN41" s="153">
        <f t="shared" si="7"/>
        <v>389893.19999999995</v>
      </c>
      <c r="CO41" s="153">
        <f t="shared" si="7"/>
        <v>288408</v>
      </c>
      <c r="CP41" s="153">
        <f t="shared" si="7"/>
        <v>384169.92000000004</v>
      </c>
      <c r="CQ41" s="153">
        <f t="shared" si="7"/>
        <v>529051.38</v>
      </c>
      <c r="CR41" s="153">
        <f t="shared" si="16"/>
        <v>2533997.8374999999</v>
      </c>
      <c r="CT41" s="403">
        <v>302.5</v>
      </c>
      <c r="CU41" s="276">
        <f>Dem!B82+(DD41/4)</f>
        <v>22.724999999999994</v>
      </c>
      <c r="CV41" s="276">
        <f>Dem!B122+(DD41/4)</f>
        <v>24.924999999999997</v>
      </c>
      <c r="CW41" s="276">
        <f>Dem!B162+(DD41/4)</f>
        <v>24.224999999999994</v>
      </c>
      <c r="CX41" s="276">
        <f>Dem!B202+(DD41/4)</f>
        <v>23.924999999999997</v>
      </c>
      <c r="CY41" s="276">
        <f>Dem!B282</f>
        <v>12</v>
      </c>
      <c r="CZ41" s="276">
        <f>Dem!B322</f>
        <v>6.1</v>
      </c>
      <c r="DA41" s="276">
        <f>Dem!B362</f>
        <v>4.8</v>
      </c>
      <c r="DB41" s="276">
        <f>Dem!B402</f>
        <v>1.1000000000000001</v>
      </c>
      <c r="DC41" s="275">
        <v>121.2</v>
      </c>
      <c r="DD41" s="46">
        <v>-0.70000000000001705</v>
      </c>
      <c r="DE41" s="275"/>
      <c r="DF41" s="276">
        <f>Dem!$D82+(DO41/4)</f>
        <v>58.625000000000014</v>
      </c>
      <c r="DG41" s="276">
        <f>Dem!$D122+(DO41/4)</f>
        <v>60.125000000000014</v>
      </c>
      <c r="DH41" s="276">
        <f>Dem!$D162+(DO41/4)</f>
        <v>60.125000000000014</v>
      </c>
      <c r="DI41" s="276">
        <f>Dem!$D202+(DO41/4)</f>
        <v>60.125000000000014</v>
      </c>
      <c r="DJ41" s="275">
        <f>Dem!$D282</f>
        <v>30.3</v>
      </c>
      <c r="DK41" s="275">
        <f>Dem!$D322</f>
        <v>15.1</v>
      </c>
      <c r="DL41" s="275">
        <f>Dem!$D362</f>
        <v>12.1</v>
      </c>
      <c r="DM41" s="275">
        <f>Dem!$D402</f>
        <v>3</v>
      </c>
      <c r="DN41" s="276">
        <f t="shared" si="17"/>
        <v>302.5</v>
      </c>
      <c r="DO41" s="44">
        <v>-1.4999999999999432</v>
      </c>
    </row>
    <row r="42" spans="1:119">
      <c r="A42" s="46">
        <f t="shared" si="18"/>
        <v>2012</v>
      </c>
      <c r="B42" s="141">
        <f t="shared" si="8"/>
        <v>0.14138153784704599</v>
      </c>
      <c r="C42" s="46"/>
      <c r="D42" s="141">
        <f t="shared" si="9"/>
        <v>0.69755587150943488</v>
      </c>
      <c r="E42" s="141">
        <f t="shared" si="10"/>
        <v>0.55617433366238889</v>
      </c>
      <c r="F42" s="46"/>
      <c r="G42" s="157">
        <f t="shared" si="11"/>
        <v>3.634603794916632E-2</v>
      </c>
      <c r="H42" s="157">
        <f t="shared" si="11"/>
        <v>6.6348050751007748E-2</v>
      </c>
      <c r="I42" s="157">
        <f t="shared" si="11"/>
        <v>8.6398520442005688E-2</v>
      </c>
      <c r="J42" s="157">
        <f t="shared" si="11"/>
        <v>9.1128654830317957E-2</v>
      </c>
      <c r="K42" s="157">
        <f t="shared" si="11"/>
        <v>4.1060156740493042E-2</v>
      </c>
      <c r="L42" s="157">
        <f t="shared" si="11"/>
        <v>1.7671834839340324E-2</v>
      </c>
      <c r="M42" s="157">
        <f t="shared" si="11"/>
        <v>9.8246802023864051E-3</v>
      </c>
      <c r="N42" s="157">
        <f t="shared" si="11"/>
        <v>0</v>
      </c>
      <c r="O42" s="46"/>
      <c r="P42" s="154">
        <f t="shared" si="19"/>
        <v>1.8269810254168403E-2</v>
      </c>
      <c r="Q42" s="154">
        <f t="shared" si="20"/>
        <v>6.825974624496127E-2</v>
      </c>
      <c r="R42" s="154">
        <f t="shared" si="20"/>
        <v>0.16800739778997162</v>
      </c>
      <c r="S42" s="154">
        <f t="shared" si="20"/>
        <v>0.34435672584841026</v>
      </c>
      <c r="T42" s="154">
        <f t="shared" si="20"/>
        <v>0.48939843259506965</v>
      </c>
      <c r="U42" s="154">
        <f t="shared" si="20"/>
        <v>0.59656330321319362</v>
      </c>
      <c r="V42" s="154">
        <f t="shared" si="20"/>
        <v>0.74438299494033999</v>
      </c>
      <c r="W42" s="162">
        <f t="shared" si="21"/>
        <v>1</v>
      </c>
      <c r="X42" s="154"/>
      <c r="Y42" s="142">
        <f t="shared" si="22"/>
        <v>3.2892398815399806E-2</v>
      </c>
      <c r="Z42" s="142">
        <f t="shared" si="22"/>
        <v>5.6110562685093783E-2</v>
      </c>
      <c r="AA42" s="142">
        <f t="shared" si="22"/>
        <v>6.9457058242843053E-2</v>
      </c>
      <c r="AB42" s="142">
        <f t="shared" si="22"/>
        <v>6.9772951628825269E-2</v>
      </c>
      <c r="AC42" s="142">
        <f t="shared" si="22"/>
        <v>3.0473840078973347E-2</v>
      </c>
      <c r="AD42" s="142">
        <f t="shared" si="22"/>
        <v>1.2751727541954595E-2</v>
      </c>
      <c r="AE42" s="142">
        <f t="shared" si="22"/>
        <v>6.6286278381046462E-3</v>
      </c>
      <c r="AF42" s="142">
        <f t="shared" si="22"/>
        <v>0</v>
      </c>
      <c r="AH42" s="158">
        <f t="shared" si="13"/>
        <v>3.5538005923000986E-2</v>
      </c>
      <c r="AI42" s="158">
        <f t="shared" si="14"/>
        <v>0.1194471865745311</v>
      </c>
      <c r="AJ42" s="158">
        <f t="shared" si="14"/>
        <v>0.25271470878578484</v>
      </c>
      <c r="AK42" s="158">
        <f t="shared" si="14"/>
        <v>0.45113524185587373</v>
      </c>
      <c r="AL42" s="158">
        <f t="shared" si="14"/>
        <v>0.59526159921026656</v>
      </c>
      <c r="AM42" s="158">
        <f t="shared" si="14"/>
        <v>0.69496544916090819</v>
      </c>
      <c r="AN42" s="158">
        <f t="shared" si="14"/>
        <v>0.82428430404738395</v>
      </c>
      <c r="AO42" s="158">
        <v>1</v>
      </c>
      <c r="AP42" s="143"/>
      <c r="AQ42" s="143">
        <f t="shared" si="25"/>
        <v>1.8269810254168403E-2</v>
      </c>
      <c r="AR42" s="143">
        <f t="shared" si="25"/>
        <v>4.9989935990792864E-2</v>
      </c>
      <c r="AS42" s="143">
        <f t="shared" si="25"/>
        <v>9.9747651545010349E-2</v>
      </c>
      <c r="AT42" s="143">
        <f t="shared" si="25"/>
        <v>0.17634932805843864</v>
      </c>
      <c r="AU42" s="143">
        <f t="shared" si="25"/>
        <v>0.14504170674665937</v>
      </c>
      <c r="AV42" s="143">
        <f t="shared" si="25"/>
        <v>0.10716487061812395</v>
      </c>
      <c r="AW42" s="143">
        <f t="shared" si="25"/>
        <v>0.14781969172714632</v>
      </c>
      <c r="AX42" s="143">
        <f t="shared" si="23"/>
        <v>0.25561700505966006</v>
      </c>
      <c r="AY42" s="46"/>
      <c r="AZ42" s="152">
        <f>Shares!D83</f>
        <v>3.6</v>
      </c>
      <c r="BA42" s="152">
        <f>Shares!E83</f>
        <v>8.5</v>
      </c>
      <c r="BB42" s="152">
        <f>Shares!F83</f>
        <v>13.5</v>
      </c>
      <c r="BC42" s="152">
        <f>Shares!G83</f>
        <v>20.100000000000001</v>
      </c>
      <c r="BD42" s="152">
        <f>Shares!J83</f>
        <v>14.6</v>
      </c>
      <c r="BE42" s="152">
        <f>Shares!K83</f>
        <v>10.1</v>
      </c>
      <c r="BF42" s="152">
        <f>Shares!L83</f>
        <v>13.1</v>
      </c>
      <c r="BG42" s="152">
        <f>Shares!M83</f>
        <v>17.8</v>
      </c>
      <c r="BI42" s="246">
        <f>TxRt!B86-TxRt!C86+TxRt!C$53</f>
        <v>11.600000000000001</v>
      </c>
      <c r="BJ42" s="246">
        <f>TxRt!B129-TxRt!C129+TxRt!C$96</f>
        <v>13.299999999999999</v>
      </c>
      <c r="BK42" s="246">
        <f>TxRt!B169-TxRt!C169+TxRt!C$136</f>
        <v>16.799999999999997</v>
      </c>
      <c r="BL42" s="246">
        <f>TxRt!B209-TxRt!C209+TxRt!C$176</f>
        <v>19.899999999999999</v>
      </c>
      <c r="BM42" s="246">
        <f>TxRt!B289-TxRt!C289+TxRt!C$256</f>
        <v>22.4</v>
      </c>
      <c r="BN42" s="246">
        <f>TxRt!B329-TxRt!C329+TxRt!C$296</f>
        <v>24.1</v>
      </c>
      <c r="BO42" s="246">
        <f>TxRt!B369-TxRt!C369+TxRt!C$336</f>
        <v>25.5</v>
      </c>
      <c r="BP42" s="246">
        <f>TxRt!B409-TxRt!C409+TxRt!C$376</f>
        <v>31.300000000000004</v>
      </c>
      <c r="BQ42" s="46"/>
      <c r="BR42" s="60">
        <f>Inc!B83</f>
        <v>19200</v>
      </c>
      <c r="BS42" s="60">
        <f>Inc!B123</f>
        <v>41800</v>
      </c>
      <c r="BT42" s="60">
        <f>Inc!B163</f>
        <v>67100</v>
      </c>
      <c r="BU42" s="60">
        <f>Inc!B203</f>
        <v>101800</v>
      </c>
      <c r="BV42" s="60">
        <f>Inc!B283</f>
        <v>146800</v>
      </c>
      <c r="BW42" s="60">
        <f>Inc!B323</f>
        <v>200000</v>
      </c>
      <c r="BX42" s="60">
        <f>Inc!B363</f>
        <v>329900</v>
      </c>
      <c r="BY42" s="60">
        <f>Inc!B403</f>
        <v>1897800</v>
      </c>
      <c r="CA42" s="60">
        <f t="shared" si="26"/>
        <v>2227.2000000000003</v>
      </c>
      <c r="CB42" s="60">
        <f t="shared" si="26"/>
        <v>5559.4</v>
      </c>
      <c r="CC42" s="60">
        <f t="shared" si="26"/>
        <v>11272.799999999997</v>
      </c>
      <c r="CD42" s="60">
        <f t="shared" si="26"/>
        <v>20258.199999999997</v>
      </c>
      <c r="CE42" s="60">
        <f t="shared" si="26"/>
        <v>32883.199999999997</v>
      </c>
      <c r="CF42" s="60">
        <f t="shared" si="26"/>
        <v>48200</v>
      </c>
      <c r="CG42" s="60">
        <f t="shared" si="26"/>
        <v>84124.5</v>
      </c>
      <c r="CH42" s="60">
        <f t="shared" si="24"/>
        <v>594011.4</v>
      </c>
      <c r="CJ42" s="153">
        <f t="shared" si="15"/>
        <v>50947.200000000012</v>
      </c>
      <c r="CK42" s="153">
        <f t="shared" si="7"/>
        <v>139401.95500000002</v>
      </c>
      <c r="CL42" s="153">
        <f t="shared" si="7"/>
        <v>278156.33999999997</v>
      </c>
      <c r="CM42" s="153">
        <f t="shared" si="7"/>
        <v>491767.80499999999</v>
      </c>
      <c r="CN42" s="153">
        <f t="shared" si="7"/>
        <v>404463.35999999999</v>
      </c>
      <c r="CO42" s="153">
        <f t="shared" si="7"/>
        <v>298840</v>
      </c>
      <c r="CP42" s="153">
        <f t="shared" si="7"/>
        <v>412210.05000000005</v>
      </c>
      <c r="CQ42" s="153">
        <f t="shared" si="7"/>
        <v>712813.68</v>
      </c>
      <c r="CR42" s="153">
        <f t="shared" si="16"/>
        <v>2788600.39</v>
      </c>
      <c r="CT42" s="403">
        <v>305.8</v>
      </c>
      <c r="CU42" s="276">
        <f>Dem!B83+(DD42/4)</f>
        <v>22.875000000000004</v>
      </c>
      <c r="CV42" s="276">
        <f>Dem!B123+(DD42/4)</f>
        <v>25.075000000000003</v>
      </c>
      <c r="CW42" s="276">
        <f>Dem!B163+(DD42/4)</f>
        <v>24.675000000000004</v>
      </c>
      <c r="CX42" s="276">
        <f>Dem!B203+(DD42/4)</f>
        <v>24.275000000000002</v>
      </c>
      <c r="CY42" s="276">
        <f>Dem!B283</f>
        <v>12.3</v>
      </c>
      <c r="CZ42" s="276">
        <f>Dem!B323</f>
        <v>6.2</v>
      </c>
      <c r="DA42" s="276">
        <f>Dem!B363</f>
        <v>4.9000000000000004</v>
      </c>
      <c r="DB42" s="276">
        <f>Dem!B403</f>
        <v>1.2</v>
      </c>
      <c r="DC42" s="275">
        <v>122.5</v>
      </c>
      <c r="DD42" s="46">
        <v>-0.49999999999998579</v>
      </c>
      <c r="DE42" s="275"/>
      <c r="DF42" s="276">
        <f>Dem!$D83+(DO42/4)</f>
        <v>59.5</v>
      </c>
      <c r="DG42" s="276">
        <f>Dem!$D123+(DO42/4)</f>
        <v>60.900000000000006</v>
      </c>
      <c r="DH42" s="276">
        <f>Dem!$D163+(DO42/4)</f>
        <v>60.900000000000006</v>
      </c>
      <c r="DI42" s="276">
        <f>Dem!$D203+(DO42/4)</f>
        <v>60.900000000000006</v>
      </c>
      <c r="DJ42" s="275">
        <f>Dem!$D283</f>
        <v>30.6</v>
      </c>
      <c r="DK42" s="275">
        <f>Dem!$D323</f>
        <v>15.3</v>
      </c>
      <c r="DL42" s="275">
        <f>Dem!$D363</f>
        <v>12.2</v>
      </c>
      <c r="DM42" s="275">
        <f>Dem!$D403</f>
        <v>3.1</v>
      </c>
      <c r="DN42" s="276">
        <f t="shared" si="17"/>
        <v>305.8</v>
      </c>
      <c r="DO42" s="44">
        <v>-1.1999999999999886</v>
      </c>
    </row>
    <row r="43" spans="1:119">
      <c r="A43" s="46">
        <f t="shared" si="18"/>
        <v>2013</v>
      </c>
      <c r="B43" s="141">
        <f t="shared" si="8"/>
        <v>0.13084133731487413</v>
      </c>
      <c r="C43" s="46"/>
      <c r="D43" s="141">
        <f t="shared" si="9"/>
        <v>0.66675900760115281</v>
      </c>
      <c r="E43" s="141">
        <f t="shared" si="10"/>
        <v>0.53591767028627868</v>
      </c>
      <c r="F43" s="46"/>
      <c r="G43" s="157">
        <f t="shared" si="11"/>
        <v>3.5845362828042612E-2</v>
      </c>
      <c r="H43" s="157">
        <f t="shared" si="11"/>
        <v>6.5062457646413496E-2</v>
      </c>
      <c r="I43" s="157">
        <f t="shared" si="11"/>
        <v>8.3792198776257834E-2</v>
      </c>
      <c r="J43" s="157">
        <f t="shared" si="11"/>
        <v>8.6616718133849468E-2</v>
      </c>
      <c r="K43" s="157">
        <f t="shared" si="11"/>
        <v>3.8008134547666939E-2</v>
      </c>
      <c r="L43" s="157">
        <f t="shared" si="11"/>
        <v>1.5850225264570927E-2</v>
      </c>
      <c r="M43" s="157">
        <f t="shared" si="11"/>
        <v>8.2044066037751592E-3</v>
      </c>
      <c r="N43" s="157">
        <f t="shared" si="11"/>
        <v>0</v>
      </c>
      <c r="O43" s="46"/>
      <c r="P43" s="154">
        <f t="shared" si="19"/>
        <v>2.077318585978696E-2</v>
      </c>
      <c r="Q43" s="154">
        <f t="shared" si="20"/>
        <v>7.4687711767932555E-2</v>
      </c>
      <c r="R43" s="154">
        <f t="shared" si="20"/>
        <v>0.18103900611871093</v>
      </c>
      <c r="S43" s="154">
        <f t="shared" si="20"/>
        <v>0.36691640933075276</v>
      </c>
      <c r="T43" s="154">
        <f t="shared" si="20"/>
        <v>0.51991865452333064</v>
      </c>
      <c r="U43" s="154">
        <f t="shared" si="20"/>
        <v>0.63299549470858152</v>
      </c>
      <c r="V43" s="154">
        <f t="shared" si="20"/>
        <v>0.78488983490562114</v>
      </c>
      <c r="W43" s="162">
        <f t="shared" si="21"/>
        <v>1</v>
      </c>
      <c r="X43" s="154"/>
      <c r="Y43" s="142">
        <f t="shared" si="22"/>
        <v>3.2497532082922019E-2</v>
      </c>
      <c r="Z43" s="142">
        <f t="shared" si="22"/>
        <v>5.5123395853899318E-2</v>
      </c>
      <c r="AA43" s="142">
        <f t="shared" si="22"/>
        <v>6.768015794669302E-2</v>
      </c>
      <c r="AB43" s="142">
        <f t="shared" si="22"/>
        <v>6.6811451135241881E-2</v>
      </c>
      <c r="AC43" s="142">
        <f t="shared" si="22"/>
        <v>2.8499506416584421E-2</v>
      </c>
      <c r="AD43" s="142">
        <f t="shared" si="22"/>
        <v>1.1665844027640683E-2</v>
      </c>
      <c r="AE43" s="142">
        <f t="shared" si="22"/>
        <v>5.6809476801579573E-3</v>
      </c>
      <c r="AF43" s="142">
        <f t="shared" si="22"/>
        <v>0</v>
      </c>
      <c r="AH43" s="158">
        <f t="shared" si="13"/>
        <v>3.7512339585389923E-2</v>
      </c>
      <c r="AI43" s="158">
        <f t="shared" si="14"/>
        <v>0.12438302073050345</v>
      </c>
      <c r="AJ43" s="158">
        <f t="shared" si="14"/>
        <v>0.26159921026653499</v>
      </c>
      <c r="AK43" s="158">
        <f t="shared" si="14"/>
        <v>0.46594274432379063</v>
      </c>
      <c r="AL43" s="158">
        <f t="shared" si="14"/>
        <v>0.61500493583415583</v>
      </c>
      <c r="AM43" s="158">
        <f t="shared" si="14"/>
        <v>0.71668311944718643</v>
      </c>
      <c r="AN43" s="158">
        <f t="shared" si="14"/>
        <v>0.84797630799605117</v>
      </c>
      <c r="AO43" s="158">
        <v>1</v>
      </c>
      <c r="AP43" s="143"/>
      <c r="AQ43" s="143">
        <f t="shared" si="25"/>
        <v>2.077318585978696E-2</v>
      </c>
      <c r="AR43" s="143">
        <f t="shared" si="25"/>
        <v>5.3914525908145591E-2</v>
      </c>
      <c r="AS43" s="143">
        <f t="shared" si="25"/>
        <v>0.10635129435077839</v>
      </c>
      <c r="AT43" s="143">
        <f t="shared" si="25"/>
        <v>0.1858774032120418</v>
      </c>
      <c r="AU43" s="143">
        <f t="shared" si="25"/>
        <v>0.15300224519257788</v>
      </c>
      <c r="AV43" s="143">
        <f t="shared" si="25"/>
        <v>0.11307684018525087</v>
      </c>
      <c r="AW43" s="143">
        <f t="shared" si="25"/>
        <v>0.15189434019703965</v>
      </c>
      <c r="AX43" s="143">
        <f t="shared" si="23"/>
        <v>0.2151101650943788</v>
      </c>
      <c r="AY43" s="46"/>
      <c r="AZ43" s="152">
        <f>Shares!D84</f>
        <v>3.8</v>
      </c>
      <c r="BA43" s="152">
        <f>Shares!E84</f>
        <v>8.8000000000000007</v>
      </c>
      <c r="BB43" s="152">
        <f>Shares!F84</f>
        <v>13.9</v>
      </c>
      <c r="BC43" s="152">
        <f>Shares!G84</f>
        <v>20.7</v>
      </c>
      <c r="BD43" s="152">
        <f>Shares!J84</f>
        <v>15.1</v>
      </c>
      <c r="BE43" s="152">
        <f>Shares!K84</f>
        <v>10.3</v>
      </c>
      <c r="BF43" s="152">
        <f>Shares!L84</f>
        <v>13.3</v>
      </c>
      <c r="BG43" s="152">
        <f>Shares!M84</f>
        <v>15.4</v>
      </c>
      <c r="BI43" s="246">
        <f>TxRt!B87-TxRt!C87+TxRt!C$53</f>
        <v>13.100000000000001</v>
      </c>
      <c r="BJ43" s="246">
        <f>TxRt!B130-TxRt!C130+TxRt!C$96</f>
        <v>14.5</v>
      </c>
      <c r="BK43" s="246">
        <f>TxRt!B170-TxRt!C170+TxRt!C$136</f>
        <v>18.2</v>
      </c>
      <c r="BL43" s="246">
        <f>TxRt!B210-TxRt!C210+TxRt!C$176</f>
        <v>21.299999999999997</v>
      </c>
      <c r="BM43" s="246">
        <f>TxRt!B290-TxRt!C290+TxRt!C$256</f>
        <v>23.9</v>
      </c>
      <c r="BN43" s="246">
        <f>TxRt!B330-TxRt!C330+TxRt!C$296</f>
        <v>25.7</v>
      </c>
      <c r="BO43" s="246">
        <f>TxRt!B370-TxRt!C370+TxRt!C$336</f>
        <v>26.900000000000002</v>
      </c>
      <c r="BP43" s="246">
        <f>TxRt!B410-TxRt!C410+TxRt!C$376</f>
        <v>32.5</v>
      </c>
      <c r="BQ43" s="46"/>
      <c r="BR43" s="60">
        <f>Inc!B84</f>
        <v>19900</v>
      </c>
      <c r="BS43" s="60">
        <f>Inc!B124</f>
        <v>42600</v>
      </c>
      <c r="BT43" s="60">
        <f>Inc!B164</f>
        <v>68300</v>
      </c>
      <c r="BU43" s="60">
        <f>Inc!B204</f>
        <v>104100</v>
      </c>
      <c r="BV43" s="60">
        <f>Inc!B284</f>
        <v>149500</v>
      </c>
      <c r="BW43" s="60">
        <f>Inc!B324</f>
        <v>205500</v>
      </c>
      <c r="BX43" s="60">
        <f>Inc!B364</f>
        <v>333700</v>
      </c>
      <c r="BY43" s="60">
        <f>Inc!B404</f>
        <v>1597200</v>
      </c>
      <c r="CA43" s="60">
        <f t="shared" si="26"/>
        <v>2606.9</v>
      </c>
      <c r="CB43" s="60">
        <f t="shared" si="26"/>
        <v>6177</v>
      </c>
      <c r="CC43" s="60">
        <f t="shared" si="26"/>
        <v>12430.6</v>
      </c>
      <c r="CD43" s="60">
        <f t="shared" si="26"/>
        <v>22173.299999999996</v>
      </c>
      <c r="CE43" s="60">
        <f t="shared" si="26"/>
        <v>35730.5</v>
      </c>
      <c r="CF43" s="60">
        <f t="shared" si="26"/>
        <v>52813.5</v>
      </c>
      <c r="CG43" s="60">
        <f t="shared" si="26"/>
        <v>89765.3</v>
      </c>
      <c r="CH43" s="60">
        <f t="shared" si="24"/>
        <v>519090</v>
      </c>
      <c r="CJ43" s="153">
        <f t="shared" si="15"/>
        <v>60154.217500000021</v>
      </c>
      <c r="CK43" s="153">
        <f t="shared" si="7"/>
        <v>156123.67500000005</v>
      </c>
      <c r="CL43" s="153">
        <f t="shared" si="7"/>
        <v>307968.11500000011</v>
      </c>
      <c r="CM43" s="153">
        <f t="shared" si="7"/>
        <v>538256.85750000004</v>
      </c>
      <c r="CN43" s="153">
        <f t="shared" si="7"/>
        <v>443058.2</v>
      </c>
      <c r="CO43" s="153">
        <f t="shared" si="7"/>
        <v>327443.7</v>
      </c>
      <c r="CP43" s="153">
        <f t="shared" si="7"/>
        <v>439849.97000000003</v>
      </c>
      <c r="CQ43" s="153">
        <f t="shared" si="7"/>
        <v>622908</v>
      </c>
      <c r="CR43" s="153">
        <f t="shared" si="16"/>
        <v>2895762.7350000003</v>
      </c>
      <c r="CT43" s="403">
        <v>306</v>
      </c>
      <c r="CU43" s="276">
        <f>Dem!B84+(DD43/4)</f>
        <v>23.075000000000006</v>
      </c>
      <c r="CV43" s="276">
        <f>Dem!B124+(DD43/4)</f>
        <v>25.275000000000006</v>
      </c>
      <c r="CW43" s="276">
        <f>Dem!B164+(DD43/4)</f>
        <v>24.775000000000006</v>
      </c>
      <c r="CX43" s="276">
        <f>Dem!B204+(DD43/4)</f>
        <v>24.275000000000006</v>
      </c>
      <c r="CY43" s="276">
        <f>Dem!B284</f>
        <v>12.4</v>
      </c>
      <c r="CZ43" s="276">
        <f>Dem!B324</f>
        <v>6.2</v>
      </c>
      <c r="DA43" s="276">
        <f>Dem!B364</f>
        <v>4.9000000000000004</v>
      </c>
      <c r="DB43" s="276">
        <f>Dem!B404</f>
        <v>1.2</v>
      </c>
      <c r="DC43" s="275">
        <v>123.1</v>
      </c>
      <c r="DD43" s="46">
        <v>-0.49999999999997158</v>
      </c>
      <c r="DE43" s="275"/>
      <c r="DF43" s="276">
        <f>Dem!$D84+(DO43/4)</f>
        <v>59.57500000000001</v>
      </c>
      <c r="DG43" s="276">
        <f>Dem!$D124+(DO43/4)</f>
        <v>60.875000000000014</v>
      </c>
      <c r="DH43" s="276">
        <f>Dem!$D164+(DO43/4)</f>
        <v>60.875000000000014</v>
      </c>
      <c r="DI43" s="276">
        <f>Dem!$D204+(DO43/4)</f>
        <v>60.875000000000014</v>
      </c>
      <c r="DJ43" s="275">
        <f>Dem!$D284</f>
        <v>30.6</v>
      </c>
      <c r="DK43" s="275">
        <f>Dem!$D324</f>
        <v>15.3</v>
      </c>
      <c r="DL43" s="275">
        <f>Dem!$D364</f>
        <v>12.2</v>
      </c>
      <c r="DM43" s="275">
        <f>Dem!$D404</f>
        <v>3.1</v>
      </c>
      <c r="DN43" s="276">
        <f t="shared" si="17"/>
        <v>306</v>
      </c>
      <c r="DO43" s="44">
        <v>-1.2999999999999545</v>
      </c>
    </row>
    <row r="44" spans="1:119">
      <c r="A44" s="46">
        <f t="shared" si="18"/>
        <v>2014</v>
      </c>
      <c r="B44" s="141">
        <f t="shared" si="8"/>
        <v>0.12456527058319045</v>
      </c>
      <c r="C44" s="46"/>
      <c r="D44" s="141">
        <f t="shared" si="9"/>
        <v>0.67678898599821025</v>
      </c>
      <c r="E44" s="141">
        <f t="shared" si="10"/>
        <v>0.5522237154150198</v>
      </c>
      <c r="F44" s="46"/>
      <c r="G44" s="157">
        <f t="shared" si="11"/>
        <v>3.6057405979772132E-2</v>
      </c>
      <c r="H44" s="157">
        <f t="shared" si="11"/>
        <v>6.5450706489420668E-2</v>
      </c>
      <c r="I44" s="157">
        <f t="shared" si="11"/>
        <v>8.4589758442078597E-2</v>
      </c>
      <c r="J44" s="157">
        <f t="shared" si="11"/>
        <v>8.8083077481638711E-2</v>
      </c>
      <c r="K44" s="157">
        <f t="shared" si="11"/>
        <v>3.9092192740021105E-2</v>
      </c>
      <c r="L44" s="157">
        <f t="shared" si="11"/>
        <v>1.6450114168740405E-2</v>
      </c>
      <c r="M44" s="157">
        <f t="shared" si="11"/>
        <v>8.6712376974335155E-3</v>
      </c>
      <c r="N44" s="157">
        <f t="shared" si="11"/>
        <v>0</v>
      </c>
      <c r="O44" s="46"/>
      <c r="P44" s="154">
        <f t="shared" si="19"/>
        <v>1.971297010113935E-2</v>
      </c>
      <c r="Q44" s="154">
        <f t="shared" si="20"/>
        <v>7.274646755289671E-2</v>
      </c>
      <c r="R44" s="154">
        <f t="shared" si="20"/>
        <v>0.17705120778960715</v>
      </c>
      <c r="S44" s="154">
        <f t="shared" si="20"/>
        <v>0.35958461259180652</v>
      </c>
      <c r="T44" s="154">
        <f t="shared" si="20"/>
        <v>0.50907807259978899</v>
      </c>
      <c r="U44" s="154">
        <f t="shared" si="20"/>
        <v>0.62099771662519199</v>
      </c>
      <c r="V44" s="154">
        <f t="shared" si="20"/>
        <v>0.7732190575641622</v>
      </c>
      <c r="W44" s="162">
        <f t="shared" si="21"/>
        <v>1</v>
      </c>
      <c r="X44" s="154"/>
      <c r="Y44" s="142">
        <f t="shared" si="22"/>
        <v>3.2885375494071147E-2</v>
      </c>
      <c r="Z44" s="142">
        <f t="shared" si="22"/>
        <v>5.5889328063241123E-2</v>
      </c>
      <c r="AA44" s="142">
        <f t="shared" si="22"/>
        <v>6.9407114624505953E-2</v>
      </c>
      <c r="AB44" s="142">
        <f t="shared" si="22"/>
        <v>6.9288537549407128E-2</v>
      </c>
      <c r="AC44" s="142">
        <f t="shared" si="22"/>
        <v>3.0019762845849809E-2</v>
      </c>
      <c r="AD44" s="142">
        <f t="shared" si="22"/>
        <v>1.2420948616600798E-2</v>
      </c>
      <c r="AE44" s="142">
        <f t="shared" si="22"/>
        <v>6.2007905138339982E-3</v>
      </c>
      <c r="AF44" s="142">
        <f t="shared" si="22"/>
        <v>0</v>
      </c>
      <c r="AH44" s="158">
        <f t="shared" si="13"/>
        <v>3.5573122529644272E-2</v>
      </c>
      <c r="AI44" s="158">
        <f t="shared" si="14"/>
        <v>0.12055335968379446</v>
      </c>
      <c r="AJ44" s="158">
        <f t="shared" si="14"/>
        <v>0.25296442687747034</v>
      </c>
      <c r="AK44" s="158">
        <f t="shared" si="14"/>
        <v>0.45355731225296442</v>
      </c>
      <c r="AL44" s="158">
        <f t="shared" si="14"/>
        <v>0.59980237154150196</v>
      </c>
      <c r="AM44" s="158">
        <f t="shared" si="14"/>
        <v>0.70158102766798414</v>
      </c>
      <c r="AN44" s="158">
        <f t="shared" si="14"/>
        <v>0.83498023715415015</v>
      </c>
      <c r="AO44" s="158">
        <v>1</v>
      </c>
      <c r="AP44" s="143"/>
      <c r="AQ44" s="143">
        <f t="shared" si="25"/>
        <v>1.971297010113935E-2</v>
      </c>
      <c r="AR44" s="143">
        <f t="shared" si="25"/>
        <v>5.303349745175736E-2</v>
      </c>
      <c r="AS44" s="143">
        <f t="shared" si="25"/>
        <v>0.10430474023671044</v>
      </c>
      <c r="AT44" s="143">
        <f t="shared" si="25"/>
        <v>0.18253340480219937</v>
      </c>
      <c r="AU44" s="143">
        <f t="shared" si="25"/>
        <v>0.14949346000798244</v>
      </c>
      <c r="AV44" s="143">
        <f t="shared" si="25"/>
        <v>0.11191964402540303</v>
      </c>
      <c r="AW44" s="143">
        <f t="shared" si="25"/>
        <v>0.15222134093897016</v>
      </c>
      <c r="AX44" s="143">
        <f t="shared" si="23"/>
        <v>0.22678094243583788</v>
      </c>
      <c r="AY44" s="46"/>
      <c r="AZ44" s="152">
        <f>Shares!D85</f>
        <v>3.6</v>
      </c>
      <c r="BA44" s="152">
        <f>Shares!E85</f>
        <v>8.6</v>
      </c>
      <c r="BB44" s="152">
        <f>Shares!F85</f>
        <v>13.4</v>
      </c>
      <c r="BC44" s="152">
        <f>Shares!G85</f>
        <v>20.3</v>
      </c>
      <c r="BD44" s="152">
        <f>Shares!J85</f>
        <v>14.8</v>
      </c>
      <c r="BE44" s="152">
        <f>Shares!K85</f>
        <v>10.3</v>
      </c>
      <c r="BF44" s="152">
        <f>Shares!L85</f>
        <v>13.5</v>
      </c>
      <c r="BG44" s="152">
        <f>Shares!M85</f>
        <v>16.7</v>
      </c>
      <c r="BI44" s="246">
        <f>TxRt!B88-TxRt!C88+TxRt!C$53</f>
        <v>13.200000000000001</v>
      </c>
      <c r="BJ44" s="246">
        <f>TxRt!B131-TxRt!C131+TxRt!C$96</f>
        <v>14.7</v>
      </c>
      <c r="BK44" s="246">
        <f>TxRt!B171-TxRt!C171+TxRt!C$136</f>
        <v>18.600000000000001</v>
      </c>
      <c r="BL44" s="246">
        <f>TxRt!B211-TxRt!C211+TxRt!C$176</f>
        <v>21.5</v>
      </c>
      <c r="BM44" s="246">
        <f>TxRt!B291-TxRt!C291+TxRt!C$256</f>
        <v>24.1</v>
      </c>
      <c r="BN44" s="246">
        <f>TxRt!B331-TxRt!C331+TxRt!C$296</f>
        <v>25.599999999999998</v>
      </c>
      <c r="BO44" s="246">
        <f>TxRt!B371-TxRt!C371+TxRt!C$336</f>
        <v>26.9</v>
      </c>
      <c r="BP44" s="246">
        <f>TxRt!B411-TxRt!C411+TxRt!C$376</f>
        <v>32.200000000000003</v>
      </c>
      <c r="BQ44" s="46"/>
      <c r="BR44" s="60">
        <f>Inc!B85</f>
        <v>19400</v>
      </c>
      <c r="BS44" s="60">
        <f>Inc!B125</f>
        <v>42700</v>
      </c>
      <c r="BT44" s="60">
        <f>Inc!B165</f>
        <v>69600</v>
      </c>
      <c r="BU44" s="60">
        <f>Inc!B205</f>
        <v>105800</v>
      </c>
      <c r="BV44" s="60">
        <f>Inc!B285</f>
        <v>153200</v>
      </c>
      <c r="BW44" s="60">
        <f>Inc!B325</f>
        <v>209200</v>
      </c>
      <c r="BX44" s="60">
        <f>Inc!B365</f>
        <v>346600</v>
      </c>
      <c r="BY44" s="60">
        <f>Inc!B405</f>
        <v>1797400</v>
      </c>
      <c r="CA44" s="60">
        <f t="shared" si="26"/>
        <v>2560.8000000000002</v>
      </c>
      <c r="CB44" s="60">
        <f t="shared" si="26"/>
        <v>6276.9</v>
      </c>
      <c r="CC44" s="60">
        <f t="shared" si="26"/>
        <v>12945.6</v>
      </c>
      <c r="CD44" s="60">
        <f t="shared" si="26"/>
        <v>22747</v>
      </c>
      <c r="CE44" s="60">
        <f t="shared" si="26"/>
        <v>36921.199999999997</v>
      </c>
      <c r="CF44" s="60">
        <f t="shared" si="26"/>
        <v>53555.199999999997</v>
      </c>
      <c r="CG44" s="60">
        <f t="shared" si="26"/>
        <v>93235.4</v>
      </c>
      <c r="CH44" s="60">
        <f t="shared" si="24"/>
        <v>578762.80000000005</v>
      </c>
      <c r="CJ44" s="153">
        <f t="shared" si="15"/>
        <v>60370.860000000015</v>
      </c>
      <c r="CK44" s="153">
        <f t="shared" si="7"/>
        <v>162414.78750000001</v>
      </c>
      <c r="CL44" s="153">
        <f t="shared" si="7"/>
        <v>319432.68000000005</v>
      </c>
      <c r="CM44" s="153">
        <f t="shared" si="7"/>
        <v>559007.52500000002</v>
      </c>
      <c r="CN44" s="153">
        <f t="shared" si="7"/>
        <v>457822.88</v>
      </c>
      <c r="CO44" s="153">
        <f t="shared" si="7"/>
        <v>342753.28000000003</v>
      </c>
      <c r="CP44" s="153">
        <f t="shared" si="7"/>
        <v>466177</v>
      </c>
      <c r="CQ44" s="153">
        <f t="shared" si="7"/>
        <v>694515.36</v>
      </c>
      <c r="CR44" s="153">
        <f t="shared" si="16"/>
        <v>3062494.3725000001</v>
      </c>
      <c r="CT44" s="403">
        <v>310.39999999999998</v>
      </c>
      <c r="CU44" s="276">
        <f>Dem!B85+(DD44/4)</f>
        <v>23.575000000000003</v>
      </c>
      <c r="CV44" s="276">
        <f>Dem!B125+(DD44/4)</f>
        <v>25.875000000000004</v>
      </c>
      <c r="CW44" s="276">
        <f>Dem!B165+(DD44/4)</f>
        <v>24.675000000000004</v>
      </c>
      <c r="CX44" s="276">
        <f>Dem!B205+(DD44/4)</f>
        <v>24.575000000000003</v>
      </c>
      <c r="CY44" s="276">
        <f>Dem!B285</f>
        <v>12.4</v>
      </c>
      <c r="CZ44" s="276">
        <f>Dem!B325</f>
        <v>6.4</v>
      </c>
      <c r="DA44" s="276">
        <f>Dem!B365</f>
        <v>5</v>
      </c>
      <c r="DB44" s="276">
        <f>Dem!B405</f>
        <v>1.2</v>
      </c>
      <c r="DC44" s="275">
        <v>124.7</v>
      </c>
      <c r="DD44" s="46">
        <v>-0.49999999999998579</v>
      </c>
      <c r="DE44" s="275"/>
      <c r="DF44" s="276">
        <f>Dem!$D85+(DO44/4)</f>
        <v>60.350000000000009</v>
      </c>
      <c r="DG44" s="276">
        <f>Dem!$D125+(DO44/4)</f>
        <v>61.750000000000007</v>
      </c>
      <c r="DH44" s="276">
        <f>Dem!$D165+(DO44/4)</f>
        <v>61.750000000000007</v>
      </c>
      <c r="DI44" s="276">
        <f>Dem!$D205+(DO44/4)</f>
        <v>61.750000000000007</v>
      </c>
      <c r="DJ44" s="275">
        <f>Dem!$D285</f>
        <v>31</v>
      </c>
      <c r="DK44" s="275">
        <f>Dem!$D325</f>
        <v>15.5</v>
      </c>
      <c r="DL44" s="275">
        <f>Dem!$D365</f>
        <v>12.4</v>
      </c>
      <c r="DM44" s="275">
        <f>Dem!$D405</f>
        <v>3.1</v>
      </c>
      <c r="DN44" s="276">
        <f t="shared" si="17"/>
        <v>310.39999999999998</v>
      </c>
      <c r="DO44" s="44">
        <v>-1.3999999999999773</v>
      </c>
    </row>
    <row r="45" spans="1:119">
      <c r="A45" s="46">
        <f t="shared" si="18"/>
        <v>2015</v>
      </c>
      <c r="B45" s="141">
        <f t="shared" si="8"/>
        <v>0.12718183699047425</v>
      </c>
      <c r="C45" s="46"/>
      <c r="D45" s="141">
        <f t="shared" si="9"/>
        <v>0.67431372247912191</v>
      </c>
      <c r="E45" s="141">
        <f t="shared" si="10"/>
        <v>0.54713188548864766</v>
      </c>
      <c r="F45" s="46"/>
      <c r="G45" s="157">
        <f t="shared" si="11"/>
        <v>3.596123013524704E-2</v>
      </c>
      <c r="H45" s="157">
        <f t="shared" si="11"/>
        <v>6.5275271779678901E-2</v>
      </c>
      <c r="I45" s="157">
        <f t="shared" si="11"/>
        <v>8.4288460833493201E-2</v>
      </c>
      <c r="J45" s="157">
        <f t="shared" si="11"/>
        <v>8.7678645414547063E-2</v>
      </c>
      <c r="K45" s="157">
        <f t="shared" si="11"/>
        <v>3.8847886338970697E-2</v>
      </c>
      <c r="L45" s="157">
        <f t="shared" si="11"/>
        <v>1.6420074650620481E-2</v>
      </c>
      <c r="M45" s="157">
        <f t="shared" si="11"/>
        <v>8.6852920870035943E-3</v>
      </c>
      <c r="N45" s="157">
        <f t="shared" si="11"/>
        <v>0</v>
      </c>
      <c r="O45" s="161">
        <v>0</v>
      </c>
      <c r="P45" s="154">
        <f t="shared" si="19"/>
        <v>2.0193849323764813E-2</v>
      </c>
      <c r="Q45" s="154">
        <f t="shared" si="20"/>
        <v>7.3623641101605533E-2</v>
      </c>
      <c r="R45" s="154">
        <f t="shared" si="20"/>
        <v>0.17855769583253414</v>
      </c>
      <c r="S45" s="154">
        <f t="shared" si="20"/>
        <v>0.36160677292726473</v>
      </c>
      <c r="T45" s="154">
        <f t="shared" si="20"/>
        <v>0.51152113661029308</v>
      </c>
      <c r="U45" s="154">
        <f t="shared" si="20"/>
        <v>0.62159850698759045</v>
      </c>
      <c r="V45" s="154">
        <f t="shared" si="20"/>
        <v>0.77286769782491027</v>
      </c>
      <c r="W45" s="162">
        <f t="shared" si="21"/>
        <v>1</v>
      </c>
      <c r="X45" s="154"/>
      <c r="Y45" s="142">
        <f t="shared" si="22"/>
        <v>3.2694965449160909E-2</v>
      </c>
      <c r="Z45" s="142">
        <f t="shared" si="22"/>
        <v>5.5518262586377098E-2</v>
      </c>
      <c r="AA45" s="142">
        <f t="shared" si="22"/>
        <v>6.8667324777887478E-2</v>
      </c>
      <c r="AB45" s="142">
        <f t="shared" si="22"/>
        <v>6.85883514313919E-2</v>
      </c>
      <c r="AC45" s="142">
        <f t="shared" si="22"/>
        <v>2.9684106614017759E-2</v>
      </c>
      <c r="AD45" s="142">
        <f t="shared" si="22"/>
        <v>1.2258144126357352E-2</v>
      </c>
      <c r="AE45" s="142">
        <f t="shared" si="22"/>
        <v>6.1547877591312927E-3</v>
      </c>
      <c r="AF45" s="142">
        <f t="shared" si="22"/>
        <v>0</v>
      </c>
      <c r="AG45" s="161">
        <v>0</v>
      </c>
      <c r="AH45" s="158">
        <f t="shared" si="13"/>
        <v>3.6525172754195465E-2</v>
      </c>
      <c r="AI45" s="158">
        <f t="shared" si="14"/>
        <v>0.12240868706811453</v>
      </c>
      <c r="AJ45" s="158">
        <f t="shared" si="14"/>
        <v>0.25666337611056272</v>
      </c>
      <c r="AK45" s="158">
        <f t="shared" si="14"/>
        <v>0.45705824284304053</v>
      </c>
      <c r="AL45" s="158">
        <f t="shared" si="14"/>
        <v>0.60315893385982244</v>
      </c>
      <c r="AM45" s="158">
        <f t="shared" si="14"/>
        <v>0.70483711747285305</v>
      </c>
      <c r="AN45" s="158">
        <f t="shared" si="14"/>
        <v>0.83613030602171778</v>
      </c>
      <c r="AO45" s="158">
        <v>1</v>
      </c>
      <c r="AP45" s="143"/>
      <c r="AQ45" s="143">
        <f t="shared" si="25"/>
        <v>2.0193849323764813E-2</v>
      </c>
      <c r="AR45" s="143">
        <f t="shared" si="25"/>
        <v>5.342979177784072E-2</v>
      </c>
      <c r="AS45" s="143">
        <f t="shared" si="25"/>
        <v>0.10493405473092861</v>
      </c>
      <c r="AT45" s="143">
        <f t="shared" si="25"/>
        <v>0.18304907709473059</v>
      </c>
      <c r="AU45" s="143">
        <f t="shared" si="25"/>
        <v>0.14991436368302838</v>
      </c>
      <c r="AV45" s="143">
        <f t="shared" si="25"/>
        <v>0.11007737037729738</v>
      </c>
      <c r="AW45" s="143">
        <f t="shared" si="25"/>
        <v>0.15126919083731985</v>
      </c>
      <c r="AX45" s="143">
        <f t="shared" si="23"/>
        <v>0.22713230217508973</v>
      </c>
      <c r="AY45" s="46"/>
      <c r="AZ45" s="152">
        <f>Shares!D86</f>
        <v>3.7</v>
      </c>
      <c r="BA45" s="152">
        <f>Shares!E86</f>
        <v>8.6999999999999993</v>
      </c>
      <c r="BB45" s="152">
        <f>Shares!F86</f>
        <v>13.6</v>
      </c>
      <c r="BC45" s="152">
        <f>Shares!G86</f>
        <v>20.3</v>
      </c>
      <c r="BD45" s="152">
        <f>Shares!J86</f>
        <v>14.8</v>
      </c>
      <c r="BE45" s="152">
        <f>Shares!K86</f>
        <v>10.3</v>
      </c>
      <c r="BF45" s="152">
        <f>Shares!L86</f>
        <v>13.3</v>
      </c>
      <c r="BG45" s="152">
        <f>Shares!M86</f>
        <v>16.600000000000001</v>
      </c>
      <c r="BI45" s="246">
        <f>TxRt!B89-TxRt!C89+TxRt!C$53</f>
        <v>12.9</v>
      </c>
      <c r="BJ45" s="246">
        <f>TxRt!B132-TxRt!C132+TxRt!C$96</f>
        <v>14.6</v>
      </c>
      <c r="BK45" s="246">
        <f>TxRt!B172-TxRt!C172+TxRt!C$136</f>
        <v>18.399999999999999</v>
      </c>
      <c r="BL45" s="246">
        <f>TxRt!B212-TxRt!C212+TxRt!C$176</f>
        <v>21.4</v>
      </c>
      <c r="BM45" s="246">
        <f>TxRt!B292-TxRt!C292+TxRt!C$256</f>
        <v>23.900000000000002</v>
      </c>
      <c r="BN45" s="246">
        <f>TxRt!B332-TxRt!C332+TxRt!C$296</f>
        <v>25.5</v>
      </c>
      <c r="BO45" s="246">
        <f>TxRt!B372-TxRt!C372+TxRt!C$336</f>
        <v>26.6</v>
      </c>
      <c r="BP45" s="246">
        <f>TxRt!B412-TxRt!C412+TxRt!C$376</f>
        <v>31.9</v>
      </c>
      <c r="BQ45" s="46"/>
      <c r="BR45" s="60">
        <f>Inc!B86</f>
        <v>20500</v>
      </c>
      <c r="BS45" s="60">
        <f>Inc!B126</f>
        <v>44600</v>
      </c>
      <c r="BT45" s="60">
        <f>Inc!B166</f>
        <v>72000</v>
      </c>
      <c r="BU45" s="60">
        <f>Inc!B206</f>
        <v>109300</v>
      </c>
      <c r="BV45" s="60">
        <f>Inc!B286</f>
        <v>158700</v>
      </c>
      <c r="BW45" s="60">
        <f>Inc!B326</f>
        <v>216700</v>
      </c>
      <c r="BX45" s="60">
        <f>Inc!B366</f>
        <v>359700</v>
      </c>
      <c r="BY45" s="60">
        <f>Inc!B406</f>
        <v>1876500</v>
      </c>
      <c r="CA45" s="60">
        <f t="shared" si="26"/>
        <v>2644.5</v>
      </c>
      <c r="CB45" s="60">
        <f t="shared" si="26"/>
        <v>6511.6</v>
      </c>
      <c r="CC45" s="60">
        <f t="shared" si="26"/>
        <v>13248</v>
      </c>
      <c r="CD45" s="60">
        <f t="shared" si="26"/>
        <v>23390.2</v>
      </c>
      <c r="CE45" s="60">
        <f t="shared" si="26"/>
        <v>37929.300000000003</v>
      </c>
      <c r="CF45" s="60">
        <f t="shared" si="26"/>
        <v>55258.5</v>
      </c>
      <c r="CG45" s="60">
        <f t="shared" si="26"/>
        <v>95680.2</v>
      </c>
      <c r="CH45" s="60">
        <f t="shared" si="24"/>
        <v>598603.5</v>
      </c>
      <c r="CJ45" s="153">
        <f t="shared" si="15"/>
        <v>63864.675000000003</v>
      </c>
      <c r="CK45" s="153">
        <f t="shared" si="7"/>
        <v>168976.02000000002</v>
      </c>
      <c r="CL45" s="153">
        <f t="shared" si="7"/>
        <v>331862.40000000002</v>
      </c>
      <c r="CM45" s="153">
        <f t="shared" si="7"/>
        <v>578907.45000000007</v>
      </c>
      <c r="CN45" s="153">
        <f>CE45*CY45</f>
        <v>474116.25000000006</v>
      </c>
      <c r="CO45" s="153">
        <f>CF45*CZ45</f>
        <v>348128.55</v>
      </c>
      <c r="CP45" s="153">
        <f>CG45*DA45</f>
        <v>478401</v>
      </c>
      <c r="CQ45" s="153">
        <f>CH45*DB45</f>
        <v>718324.2</v>
      </c>
      <c r="CR45" s="153">
        <f t="shared" si="16"/>
        <v>3162580.5449999999</v>
      </c>
      <c r="CT45" s="403">
        <v>311.5</v>
      </c>
      <c r="CU45" s="276">
        <f>Dem!B86+(DD45/4)</f>
        <v>24.150000000000002</v>
      </c>
      <c r="CV45" s="276">
        <f>Dem!B126+(DD45/4)</f>
        <v>25.950000000000003</v>
      </c>
      <c r="CW45" s="276">
        <f>Dem!B166+(DD45/4)</f>
        <v>25.05</v>
      </c>
      <c r="CX45" s="276">
        <f>Dem!B206+(DD45/4)</f>
        <v>24.75</v>
      </c>
      <c r="CY45" s="276">
        <f>Dem!B286</f>
        <v>12.5</v>
      </c>
      <c r="CZ45" s="276">
        <f>Dem!B326</f>
        <v>6.3</v>
      </c>
      <c r="DA45" s="276">
        <f>Dem!B366</f>
        <v>5</v>
      </c>
      <c r="DB45" s="276">
        <f>Dem!B406</f>
        <v>1.2</v>
      </c>
      <c r="DC45" s="275">
        <v>126.1</v>
      </c>
      <c r="DD45" s="46">
        <v>-0.59999999999999432</v>
      </c>
      <c r="DE45" s="275"/>
      <c r="DF45" s="276">
        <f>Dem!$D86+(DO45/4)</f>
        <v>60.7</v>
      </c>
      <c r="DG45" s="276">
        <f>Dem!$D126+(DO45/4)</f>
        <v>62</v>
      </c>
      <c r="DH45" s="276">
        <f>Dem!$D166+(DO45/4)</f>
        <v>62</v>
      </c>
      <c r="DI45" s="276">
        <f>Dem!$D206+(DO45/4)</f>
        <v>62</v>
      </c>
      <c r="DJ45" s="275">
        <f>Dem!$D286</f>
        <v>31.2</v>
      </c>
      <c r="DK45" s="275">
        <f>Dem!$D326</f>
        <v>15.6</v>
      </c>
      <c r="DL45" s="275">
        <f>Dem!$D366</f>
        <v>12.5</v>
      </c>
      <c r="DM45" s="275">
        <f>Dem!$D406</f>
        <v>3.1</v>
      </c>
      <c r="DN45" s="276">
        <f t="shared" si="17"/>
        <v>311.5</v>
      </c>
      <c r="DO45" s="44">
        <v>-1.1999999999999886</v>
      </c>
    </row>
    <row r="46" spans="1:119">
      <c r="A46" s="46">
        <f t="shared" si="18"/>
        <v>2016</v>
      </c>
      <c r="B46" s="141">
        <f t="shared" si="8"/>
        <v>0.12955607454410056</v>
      </c>
      <c r="C46" s="46"/>
      <c r="D46" s="141">
        <f t="shared" si="9"/>
        <v>0.66848406663114313</v>
      </c>
      <c r="E46" s="141">
        <f t="shared" si="10"/>
        <v>0.53892799208704256</v>
      </c>
      <c r="F46" s="46"/>
      <c r="G46" s="157">
        <f t="shared" si="11"/>
        <v>3.5959004981139651E-2</v>
      </c>
      <c r="H46" s="157">
        <f t="shared" si="11"/>
        <v>6.4914230835719927E-2</v>
      </c>
      <c r="I46" s="157">
        <f t="shared" si="11"/>
        <v>8.3871570844835597E-2</v>
      </c>
      <c r="J46" s="157">
        <f t="shared" si="11"/>
        <v>8.6791633346866195E-2</v>
      </c>
      <c r="K46" s="157">
        <f t="shared" si="11"/>
        <v>3.8236640232464973E-2</v>
      </c>
      <c r="L46" s="157">
        <f t="shared" si="11"/>
        <v>1.6041922191857728E-2</v>
      </c>
      <c r="M46" s="157">
        <f t="shared" si="11"/>
        <v>8.4270308826874772E-3</v>
      </c>
      <c r="N46" s="157">
        <f t="shared" si="11"/>
        <v>0</v>
      </c>
      <c r="O46" s="161">
        <v>0</v>
      </c>
      <c r="P46" s="154">
        <f t="shared" si="19"/>
        <v>2.0204975094301771E-2</v>
      </c>
      <c r="Q46" s="154">
        <f t="shared" si="20"/>
        <v>7.5428845821400414E-2</v>
      </c>
      <c r="R46" s="154">
        <f t="shared" si="20"/>
        <v>0.1806421457758221</v>
      </c>
      <c r="S46" s="154">
        <f t="shared" si="20"/>
        <v>0.36604183326566908</v>
      </c>
      <c r="T46" s="154">
        <f t="shared" si="20"/>
        <v>0.51763359767535033</v>
      </c>
      <c r="U46" s="154">
        <f t="shared" si="20"/>
        <v>0.62916155616284553</v>
      </c>
      <c r="V46" s="154">
        <f t="shared" si="20"/>
        <v>0.7793242279328132</v>
      </c>
      <c r="W46" s="162">
        <f t="shared" si="21"/>
        <v>1</v>
      </c>
      <c r="X46" s="154"/>
      <c r="Y46" s="142">
        <f t="shared" si="22"/>
        <v>3.2482690405539076E-2</v>
      </c>
      <c r="Z46" s="142">
        <f t="shared" si="22"/>
        <v>5.4876360039564788E-2</v>
      </c>
      <c r="AA46" s="142">
        <f t="shared" si="22"/>
        <v>6.797230464886253E-2</v>
      </c>
      <c r="AB46" s="142">
        <f t="shared" si="22"/>
        <v>6.7418397626112778E-2</v>
      </c>
      <c r="AC46" s="142">
        <f t="shared" si="22"/>
        <v>2.8971315529179031E-2</v>
      </c>
      <c r="AD46" s="142">
        <f t="shared" si="22"/>
        <v>1.1891691394658755E-2</v>
      </c>
      <c r="AE46" s="142">
        <f t="shared" si="22"/>
        <v>5.8512363996043558E-3</v>
      </c>
      <c r="AF46" s="142">
        <f t="shared" si="22"/>
        <v>0</v>
      </c>
      <c r="AG46" s="161">
        <v>0</v>
      </c>
      <c r="AH46" s="158">
        <f t="shared" si="13"/>
        <v>3.7586547972304651E-2</v>
      </c>
      <c r="AI46" s="158">
        <f t="shared" si="14"/>
        <v>0.12561819980217609</v>
      </c>
      <c r="AJ46" s="158">
        <f t="shared" si="14"/>
        <v>0.26013847675568746</v>
      </c>
      <c r="AK46" s="158">
        <f t="shared" si="14"/>
        <v>0.4629080118694362</v>
      </c>
      <c r="AL46" s="158">
        <f t="shared" si="14"/>
        <v>0.61028684470820971</v>
      </c>
      <c r="AM46" s="158">
        <f t="shared" si="14"/>
        <v>0.71216617210682498</v>
      </c>
      <c r="AN46" s="158">
        <f t="shared" si="14"/>
        <v>0.8437190900098912</v>
      </c>
      <c r="AO46" s="158">
        <v>1</v>
      </c>
      <c r="AP46" s="143"/>
      <c r="AQ46" s="143">
        <f t="shared" si="25"/>
        <v>2.0204975094301771E-2</v>
      </c>
      <c r="AR46" s="143">
        <f t="shared" si="25"/>
        <v>5.522387072709864E-2</v>
      </c>
      <c r="AS46" s="143">
        <f t="shared" si="25"/>
        <v>0.10521329995442169</v>
      </c>
      <c r="AT46" s="143">
        <f t="shared" si="25"/>
        <v>0.185399687489847</v>
      </c>
      <c r="AU46" s="143">
        <f t="shared" si="25"/>
        <v>0.15159176440968125</v>
      </c>
      <c r="AV46" s="143">
        <f t="shared" si="25"/>
        <v>0.11152795848749517</v>
      </c>
      <c r="AW46" s="143">
        <f t="shared" si="25"/>
        <v>0.1501626717699677</v>
      </c>
      <c r="AX46" s="143">
        <f t="shared" si="23"/>
        <v>0.22067577206718689</v>
      </c>
      <c r="AY46" s="46"/>
      <c r="AZ46" s="152">
        <f>Shares!D87</f>
        <v>3.8</v>
      </c>
      <c r="BA46" s="152">
        <f>Shares!E87</f>
        <v>8.9</v>
      </c>
      <c r="BB46" s="152">
        <f>Shares!F87</f>
        <v>13.6</v>
      </c>
      <c r="BC46" s="152">
        <f>Shares!G87</f>
        <v>20.5</v>
      </c>
      <c r="BD46" s="152">
        <f>Shares!J87</f>
        <v>14.9</v>
      </c>
      <c r="BE46" s="152">
        <f>Shares!K87</f>
        <v>10.3</v>
      </c>
      <c r="BF46" s="152">
        <f>Shares!L87</f>
        <v>13.3</v>
      </c>
      <c r="BG46" s="152">
        <f>Shares!M87</f>
        <v>15.8</v>
      </c>
      <c r="BI46" s="246">
        <f>TxRt!B90-TxRt!C90+TxRt!C$53</f>
        <v>12.4</v>
      </c>
      <c r="BJ46" s="246">
        <f>TxRt!B133-TxRt!C133+TxRt!C$96</f>
        <v>14.7</v>
      </c>
      <c r="BK46" s="246">
        <f>TxRt!B173-TxRt!C173+TxRt!C$136</f>
        <v>18.200000000000003</v>
      </c>
      <c r="BL46" s="246">
        <f>TxRt!B213-TxRt!C213+TxRt!C$176</f>
        <v>21.299999999999997</v>
      </c>
      <c r="BM46" s="246">
        <f>TxRt!B293-TxRt!C293+TxRt!C$256</f>
        <v>23.8</v>
      </c>
      <c r="BN46" s="246">
        <f>TxRt!B333-TxRt!C333+TxRt!C$296</f>
        <v>25.4</v>
      </c>
      <c r="BO46" s="246">
        <f>TxRt!B373-TxRt!C373+TxRt!C$336</f>
        <v>26.700000000000003</v>
      </c>
      <c r="BP46" s="246">
        <f>TxRt!B413-TxRt!C413+TxRt!C$376</f>
        <v>32.200000000000003</v>
      </c>
      <c r="BQ46" s="46"/>
      <c r="BR46" s="60">
        <f>Inc!B87</f>
        <v>20600</v>
      </c>
      <c r="BS46" s="60">
        <f>Inc!B127</f>
        <v>45300</v>
      </c>
      <c r="BT46" s="60">
        <f>Inc!B167</f>
        <v>72500</v>
      </c>
      <c r="BU46" s="60">
        <f>Inc!B207</f>
        <v>109600</v>
      </c>
      <c r="BV46" s="60">
        <f>Inc!B287</f>
        <v>159600</v>
      </c>
      <c r="BW46" s="60">
        <f>Inc!B327</f>
        <v>218300</v>
      </c>
      <c r="BX46" s="60">
        <f>Inc!B367</f>
        <v>359500</v>
      </c>
      <c r="BY46" s="60">
        <f>Inc!B407</f>
        <v>1788800</v>
      </c>
      <c r="CA46" s="60">
        <f t="shared" si="26"/>
        <v>2554.4</v>
      </c>
      <c r="CB46" s="60">
        <f t="shared" si="26"/>
        <v>6659.1</v>
      </c>
      <c r="CC46" s="60">
        <f t="shared" si="26"/>
        <v>13195.000000000002</v>
      </c>
      <c r="CD46" s="60">
        <f t="shared" si="26"/>
        <v>23344.799999999996</v>
      </c>
      <c r="CE46" s="60">
        <f t="shared" si="26"/>
        <v>37984.800000000003</v>
      </c>
      <c r="CF46" s="60">
        <f t="shared" si="26"/>
        <v>55448.2</v>
      </c>
      <c r="CG46" s="60">
        <f t="shared" si="26"/>
        <v>95986.500000000015</v>
      </c>
      <c r="CH46" s="60">
        <f t="shared" si="24"/>
        <v>575993.60000000009</v>
      </c>
      <c r="CJ46" s="153">
        <f>CA46*CU46</f>
        <v>63285.26</v>
      </c>
      <c r="CK46" s="153">
        <f t="shared" ref="CK46:CQ46" si="27">CB46*CV46</f>
        <v>172970.12250000003</v>
      </c>
      <c r="CL46" s="153">
        <f t="shared" si="27"/>
        <v>329545.12500000006</v>
      </c>
      <c r="CM46" s="153">
        <f t="shared" si="27"/>
        <v>580701.89999999991</v>
      </c>
      <c r="CN46" s="153">
        <f t="shared" si="27"/>
        <v>474810.00000000006</v>
      </c>
      <c r="CO46" s="153">
        <f t="shared" si="27"/>
        <v>349323.66</v>
      </c>
      <c r="CP46" s="153">
        <f t="shared" si="27"/>
        <v>470333.85000000009</v>
      </c>
      <c r="CQ46" s="153">
        <f t="shared" si="27"/>
        <v>691192.32000000007</v>
      </c>
      <c r="CR46" s="153">
        <f t="shared" si="16"/>
        <v>3132162.2374999998</v>
      </c>
      <c r="CT46" s="403">
        <v>311.89999999999998</v>
      </c>
      <c r="CU46" s="276">
        <f>Dem!B87+(DD46/4)</f>
        <v>24.774999999999999</v>
      </c>
      <c r="CV46" s="276">
        <f>Dem!B127+(DD46/4)</f>
        <v>25.975000000000001</v>
      </c>
      <c r="CW46" s="276">
        <f>Dem!B167+(DD46/4)</f>
        <v>24.975000000000001</v>
      </c>
      <c r="CX46" s="276">
        <f>Dem!B207+(DD46/4)</f>
        <v>24.875</v>
      </c>
      <c r="CY46" s="276">
        <f>Dem!B287</f>
        <v>12.5</v>
      </c>
      <c r="CZ46" s="276">
        <f>Dem!B327</f>
        <v>6.3</v>
      </c>
      <c r="DA46" s="276">
        <f>Dem!B367</f>
        <v>4.9000000000000004</v>
      </c>
      <c r="DB46" s="276">
        <f>Dem!B407</f>
        <v>1.2</v>
      </c>
      <c r="DC46" s="275">
        <v>126.5</v>
      </c>
      <c r="DD46" s="46">
        <v>-0.5</v>
      </c>
      <c r="DE46" s="275"/>
      <c r="DF46" s="276">
        <f>Dem!$D87+(DO46/4)</f>
        <v>60.925000000000026</v>
      </c>
      <c r="DG46" s="276">
        <f>Dem!$D127+(DO46/4)</f>
        <v>62.125000000000021</v>
      </c>
      <c r="DH46" s="276">
        <f>Dem!$D167+(DO46/4)</f>
        <v>62.125000000000021</v>
      </c>
      <c r="DI46" s="276">
        <f>Dem!$D207+(DO46/4)</f>
        <v>62.125000000000021</v>
      </c>
      <c r="DJ46" s="275">
        <f>Dem!$D287</f>
        <v>31.2</v>
      </c>
      <c r="DK46" s="275">
        <f>Dem!$D327</f>
        <v>15.6</v>
      </c>
      <c r="DL46" s="275">
        <f>Dem!$D367</f>
        <v>12.5</v>
      </c>
      <c r="DM46" s="275">
        <f>Dem!$D407</f>
        <v>3.1</v>
      </c>
      <c r="DN46" s="276">
        <f t="shared" si="17"/>
        <v>311.89999999999998</v>
      </c>
      <c r="DO46" s="44">
        <v>-1.0999999999999091</v>
      </c>
    </row>
    <row r="47" spans="1:119">
      <c r="A47" s="201" t="s">
        <v>154</v>
      </c>
      <c r="B47" s="451">
        <f>(B46-B9)/B9</f>
        <v>-0.10512808626126612</v>
      </c>
      <c r="C47" s="451"/>
      <c r="AZ47" s="148" t="s">
        <v>651</v>
      </c>
    </row>
    <row r="48" spans="1:119">
      <c r="A48" s="201" t="s">
        <v>791</v>
      </c>
      <c r="B48" s="451">
        <f>(B46-B16)/B16</f>
        <v>0.13053567767055424</v>
      </c>
      <c r="C48" s="451"/>
      <c r="AZ48" s="148" t="s">
        <v>652</v>
      </c>
      <c r="CJ48" s="191"/>
      <c r="CK48" s="191"/>
      <c r="CL48" s="191"/>
      <c r="CM48" s="191"/>
      <c r="CN48" s="191"/>
      <c r="CO48" s="191"/>
      <c r="CP48" s="191"/>
      <c r="CQ48" s="191"/>
      <c r="CR48" s="191"/>
    </row>
    <row r="49" spans="70:71">
      <c r="BR49" s="577" t="e">
        <f>SUMPRODUCT(#REF!,#REF!)*0.985</f>
        <v>#REF!</v>
      </c>
      <c r="BS49" s="578" t="s">
        <v>630</v>
      </c>
    </row>
  </sheetData>
  <mergeCells count="16">
    <mergeCell ref="Y7:AF7"/>
    <mergeCell ref="B7:B8"/>
    <mergeCell ref="D7:D8"/>
    <mergeCell ref="E7:E8"/>
    <mergeCell ref="G7:N7"/>
    <mergeCell ref="P7:W7"/>
    <mergeCell ref="CJ7:CR7"/>
    <mergeCell ref="CT7:CT8"/>
    <mergeCell ref="CU7:DC7"/>
    <mergeCell ref="DF7:DN7"/>
    <mergeCell ref="AH7:AO7"/>
    <mergeCell ref="AQ7:AX7"/>
    <mergeCell ref="AZ7:BG7"/>
    <mergeCell ref="BI7:BP7"/>
    <mergeCell ref="BR7:BY7"/>
    <mergeCell ref="CA7:CH7"/>
  </mergeCells>
  <hyperlinks>
    <hyperlink ref="L1" location="Index!A1" display="index" xr:uid="{59C939F5-7ED4-41C2-B81C-21AFE054628F}"/>
  </hyperlinks>
  <pageMargins left="0.7" right="0.7" top="0.75" bottom="0.75" header="0.3" footer="0.3"/>
  <pageSetup orientation="portrait" horizontalDpi="1200" verticalDpi="120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AA7059-D987-4215-9E52-D803DAF62379}">
  <sheetPr>
    <tabColor theme="9" tint="0.79998168889431442"/>
  </sheetPr>
  <dimension ref="A1:DO49"/>
  <sheetViews>
    <sheetView zoomScale="85" zoomScaleNormal="85" workbookViewId="0"/>
  </sheetViews>
  <sheetFormatPr defaultRowHeight="15"/>
  <cols>
    <col min="1" max="1" width="8.28515625" style="46" customWidth="1"/>
    <col min="2" max="2" width="10.28515625" style="673" customWidth="1"/>
    <col min="3" max="3" width="6.42578125" style="673" customWidth="1"/>
    <col min="4" max="4" width="19.28515625" style="673" customWidth="1"/>
    <col min="5" max="5" width="12.85546875" style="673" customWidth="1"/>
    <col min="6" max="6" width="4.28515625" style="673" customWidth="1"/>
    <col min="7" max="10" width="5.5703125" style="673" customWidth="1"/>
    <col min="11" max="14" width="7" style="673" customWidth="1"/>
    <col min="15" max="15" width="1.85546875" style="673" customWidth="1"/>
    <col min="16" max="16" width="5.85546875" style="673" customWidth="1"/>
    <col min="17" max="18" width="5.5703125" style="673" customWidth="1"/>
    <col min="19" max="19" width="6" style="673" customWidth="1"/>
    <col min="20" max="23" width="6.5703125" style="673" customWidth="1"/>
    <col min="24" max="24" width="3.42578125" style="673" customWidth="1"/>
    <col min="25" max="28" width="5" style="673" customWidth="1"/>
    <col min="29" max="32" width="5.7109375" style="673" customWidth="1"/>
    <col min="33" max="33" width="2.140625" style="673" customWidth="1"/>
    <col min="34" max="37" width="5.5703125" style="673" customWidth="1"/>
    <col min="38" max="39" width="6.7109375" style="673" customWidth="1"/>
    <col min="40" max="40" width="7.140625" style="673" customWidth="1"/>
    <col min="41" max="41" width="7.28515625" style="673" customWidth="1"/>
    <col min="42" max="42" width="2.28515625" style="673" customWidth="1"/>
    <col min="43" max="50" width="6.140625" style="673" customWidth="1"/>
    <col min="51" max="51" width="3.140625" style="673" customWidth="1"/>
    <col min="52" max="59" width="6.140625" style="673" customWidth="1"/>
    <col min="60" max="60" width="2.5703125" style="673" customWidth="1"/>
    <col min="61" max="68" width="6.5703125" style="673" customWidth="1"/>
    <col min="69" max="69" width="2.140625" style="673" customWidth="1"/>
    <col min="70" max="72" width="5.7109375" style="673" customWidth="1"/>
    <col min="73" max="73" width="6.42578125" style="673" customWidth="1"/>
    <col min="74" max="74" width="7.28515625" style="673" customWidth="1"/>
    <col min="75" max="77" width="7" style="673" customWidth="1"/>
    <col min="78" max="78" width="2" style="673" customWidth="1"/>
    <col min="79" max="82" width="5.5703125" style="673" customWidth="1"/>
    <col min="83" max="86" width="6.28515625" style="673" customWidth="1"/>
    <col min="87" max="87" width="3" style="673" customWidth="1"/>
    <col min="88" max="96" width="7.7109375" style="673" customWidth="1"/>
    <col min="97" max="97" width="3.7109375" style="673" customWidth="1"/>
    <col min="98" max="98" width="17.42578125" style="673" customWidth="1"/>
    <col min="99" max="16384" width="9.140625" style="673"/>
  </cols>
  <sheetData>
    <row r="1" spans="1:119">
      <c r="A1" s="147" t="s">
        <v>805</v>
      </c>
      <c r="L1" s="642" t="s">
        <v>762</v>
      </c>
      <c r="AI1" s="127"/>
    </row>
    <row r="2" spans="1:119">
      <c r="A2" s="103"/>
    </row>
    <row r="3" spans="1:119">
      <c r="A3" s="103"/>
      <c r="P3" s="6" t="s">
        <v>158</v>
      </c>
      <c r="Q3" s="6" t="s">
        <v>159</v>
      </c>
      <c r="R3" s="6" t="s">
        <v>160</v>
      </c>
      <c r="S3" s="6" t="s">
        <v>161</v>
      </c>
      <c r="T3" s="51" t="s">
        <v>33</v>
      </c>
      <c r="U3" s="51" t="s">
        <v>51</v>
      </c>
      <c r="V3" s="51" t="s">
        <v>52</v>
      </c>
      <c r="W3" s="51" t="s">
        <v>28</v>
      </c>
      <c r="CJ3" s="45">
        <v>0.2</v>
      </c>
      <c r="CK3" s="45">
        <v>0.2</v>
      </c>
      <c r="CL3" s="45">
        <v>0.2</v>
      </c>
      <c r="CM3" s="45">
        <v>0.2</v>
      </c>
      <c r="CN3" s="45">
        <v>0.1</v>
      </c>
      <c r="CO3" s="45">
        <v>0.05</v>
      </c>
      <c r="CP3" s="45">
        <v>0.04</v>
      </c>
      <c r="CQ3" s="45">
        <v>0.01</v>
      </c>
      <c r="CR3" s="45">
        <f>SUM(CJ3:CQ3)</f>
        <v>1</v>
      </c>
    </row>
    <row r="4" spans="1:119">
      <c r="A4" s="103"/>
      <c r="M4" s="149" t="s">
        <v>200</v>
      </c>
      <c r="P4" s="45">
        <v>0.2</v>
      </c>
      <c r="Q4" s="45">
        <v>0.2</v>
      </c>
      <c r="R4" s="45">
        <v>0.2</v>
      </c>
      <c r="S4" s="45">
        <v>0.2</v>
      </c>
      <c r="T4" s="45">
        <v>0.1</v>
      </c>
      <c r="U4" s="45">
        <v>0.05</v>
      </c>
      <c r="V4" s="45">
        <v>0.04</v>
      </c>
      <c r="W4" s="45">
        <v>0.01</v>
      </c>
      <c r="X4" s="45"/>
      <c r="Y4" s="45"/>
      <c r="Z4" s="45"/>
      <c r="AA4" s="45"/>
      <c r="AB4" s="45"/>
      <c r="AC4" s="45"/>
      <c r="AD4" s="45"/>
      <c r="AE4" s="45"/>
      <c r="AF4" s="45"/>
      <c r="CJ4" s="45"/>
      <c r="CK4" s="45"/>
      <c r="CL4" s="45"/>
      <c r="CM4" s="45"/>
      <c r="CN4" s="45"/>
      <c r="CO4" s="45"/>
      <c r="CP4" s="45"/>
      <c r="CQ4" s="45"/>
      <c r="CR4" s="45"/>
    </row>
    <row r="5" spans="1:119">
      <c r="A5" s="103"/>
      <c r="F5" s="148"/>
      <c r="G5" s="148"/>
      <c r="H5" s="148"/>
      <c r="I5" s="148"/>
      <c r="J5" s="148"/>
      <c r="K5" s="148"/>
      <c r="L5" s="148"/>
      <c r="M5" s="149" t="s">
        <v>203</v>
      </c>
      <c r="N5" s="148"/>
      <c r="O5" s="673">
        <v>0</v>
      </c>
      <c r="P5" s="45">
        <v>0.2</v>
      </c>
      <c r="Q5" s="45">
        <f>P5+Q4</f>
        <v>0.4</v>
      </c>
      <c r="R5" s="45">
        <f t="shared" ref="R5:W5" si="0">Q5+R4</f>
        <v>0.60000000000000009</v>
      </c>
      <c r="S5" s="45">
        <f t="shared" si="0"/>
        <v>0.8</v>
      </c>
      <c r="T5" s="45">
        <f t="shared" si="0"/>
        <v>0.9</v>
      </c>
      <c r="U5" s="45">
        <f t="shared" si="0"/>
        <v>0.95000000000000007</v>
      </c>
      <c r="V5" s="45">
        <f t="shared" si="0"/>
        <v>0.9900000000000001</v>
      </c>
      <c r="W5" s="45">
        <f t="shared" si="0"/>
        <v>1</v>
      </c>
      <c r="X5" s="45"/>
      <c r="Y5" s="45"/>
      <c r="Z5" s="45"/>
      <c r="AA5" s="45"/>
      <c r="AB5" s="45"/>
      <c r="AC5" s="45"/>
      <c r="AD5" s="45"/>
      <c r="AE5" s="45"/>
      <c r="AF5" s="45"/>
      <c r="AG5" s="45"/>
      <c r="AQ5" s="127"/>
      <c r="AZ5" s="44"/>
      <c r="CJ5" s="45"/>
      <c r="CK5" s="45"/>
      <c r="CL5" s="45"/>
      <c r="CM5" s="45"/>
      <c r="CN5" s="45"/>
      <c r="CO5" s="45"/>
      <c r="CP5" s="45"/>
      <c r="CQ5" s="45"/>
      <c r="CR5" s="45"/>
    </row>
    <row r="6" spans="1:119">
      <c r="CJ6" s="5"/>
      <c r="CK6" s="5"/>
      <c r="CL6" s="5"/>
      <c r="CM6" s="5"/>
      <c r="CN6" s="5"/>
      <c r="CO6" s="5"/>
      <c r="CP6" s="5"/>
      <c r="CQ6" s="5"/>
      <c r="CR6" s="5"/>
      <c r="CU6" s="273"/>
      <c r="CV6" s="191"/>
      <c r="CW6" s="191"/>
      <c r="CX6" s="191"/>
      <c r="CY6" s="191"/>
      <c r="CZ6" s="191"/>
      <c r="DA6" s="191"/>
      <c r="DB6" s="191"/>
      <c r="DC6" s="191"/>
      <c r="DD6" s="191"/>
      <c r="DE6" s="191"/>
      <c r="DF6" s="191"/>
      <c r="DG6" s="191"/>
      <c r="DH6" s="191"/>
      <c r="DI6" s="191"/>
      <c r="DJ6" s="191"/>
      <c r="DK6" s="191"/>
      <c r="DL6" s="191"/>
      <c r="DM6" s="191"/>
      <c r="DN6" s="191"/>
    </row>
    <row r="7" spans="1:119">
      <c r="A7" s="144"/>
      <c r="B7" s="729" t="s">
        <v>193</v>
      </c>
      <c r="C7" s="486"/>
      <c r="D7" s="733" t="s">
        <v>194</v>
      </c>
      <c r="E7" s="733" t="s">
        <v>195</v>
      </c>
      <c r="F7" s="668"/>
      <c r="G7" s="731" t="s">
        <v>201</v>
      </c>
      <c r="H7" s="731"/>
      <c r="I7" s="731"/>
      <c r="J7" s="731"/>
      <c r="K7" s="731"/>
      <c r="L7" s="731"/>
      <c r="M7" s="731"/>
      <c r="N7" s="731"/>
      <c r="O7" s="486"/>
      <c r="P7" s="731" t="s">
        <v>199</v>
      </c>
      <c r="Q7" s="731"/>
      <c r="R7" s="731"/>
      <c r="S7" s="731"/>
      <c r="T7" s="731"/>
      <c r="U7" s="731"/>
      <c r="V7" s="731"/>
      <c r="W7" s="731"/>
      <c r="X7" s="667"/>
      <c r="Y7" s="731" t="s">
        <v>766</v>
      </c>
      <c r="Z7" s="731"/>
      <c r="AA7" s="731"/>
      <c r="AB7" s="731"/>
      <c r="AC7" s="731"/>
      <c r="AD7" s="731"/>
      <c r="AE7" s="731"/>
      <c r="AF7" s="731"/>
      <c r="AG7" s="134"/>
      <c r="AH7" s="732" t="s">
        <v>765</v>
      </c>
      <c r="AI7" s="732"/>
      <c r="AJ7" s="732"/>
      <c r="AK7" s="732"/>
      <c r="AL7" s="732"/>
      <c r="AM7" s="732"/>
      <c r="AN7" s="732"/>
      <c r="AO7" s="732"/>
      <c r="AP7" s="667"/>
      <c r="AQ7" s="731" t="s">
        <v>196</v>
      </c>
      <c r="AR7" s="731"/>
      <c r="AS7" s="731"/>
      <c r="AT7" s="731"/>
      <c r="AU7" s="731"/>
      <c r="AV7" s="731"/>
      <c r="AW7" s="731"/>
      <c r="AX7" s="731"/>
      <c r="AY7" s="134"/>
      <c r="AZ7" s="736" t="s">
        <v>633</v>
      </c>
      <c r="BA7" s="736"/>
      <c r="BB7" s="736"/>
      <c r="BC7" s="736"/>
      <c r="BD7" s="736"/>
      <c r="BE7" s="736"/>
      <c r="BF7" s="736"/>
      <c r="BG7" s="736"/>
      <c r="BH7" s="134"/>
      <c r="BI7" s="765" t="s">
        <v>804</v>
      </c>
      <c r="BJ7" s="765"/>
      <c r="BK7" s="765"/>
      <c r="BL7" s="765"/>
      <c r="BM7" s="765"/>
      <c r="BN7" s="765"/>
      <c r="BO7" s="765"/>
      <c r="BP7" s="765"/>
      <c r="BQ7" s="486"/>
      <c r="BR7" s="731" t="s">
        <v>636</v>
      </c>
      <c r="BS7" s="731"/>
      <c r="BT7" s="731"/>
      <c r="BU7" s="731"/>
      <c r="BV7" s="731"/>
      <c r="BW7" s="731"/>
      <c r="BX7" s="731"/>
      <c r="BY7" s="731"/>
      <c r="BZ7" s="486"/>
      <c r="CA7" s="731" t="s">
        <v>187</v>
      </c>
      <c r="CB7" s="731"/>
      <c r="CC7" s="731"/>
      <c r="CD7" s="731"/>
      <c r="CE7" s="731"/>
      <c r="CF7" s="731"/>
      <c r="CG7" s="731"/>
      <c r="CH7" s="731"/>
      <c r="CI7" s="486"/>
      <c r="CJ7" s="735" t="s">
        <v>198</v>
      </c>
      <c r="CK7" s="735"/>
      <c r="CL7" s="735"/>
      <c r="CM7" s="735"/>
      <c r="CN7" s="735"/>
      <c r="CO7" s="735"/>
      <c r="CP7" s="735"/>
      <c r="CQ7" s="735"/>
      <c r="CR7" s="735"/>
      <c r="CT7" s="733" t="s">
        <v>259</v>
      </c>
      <c r="CU7" s="728" t="s">
        <v>283</v>
      </c>
      <c r="CV7" s="728"/>
      <c r="CW7" s="728"/>
      <c r="CX7" s="728"/>
      <c r="CY7" s="728"/>
      <c r="CZ7" s="728"/>
      <c r="DA7" s="728"/>
      <c r="DB7" s="728"/>
      <c r="DC7" s="728"/>
      <c r="DD7" s="666"/>
      <c r="DF7" s="728" t="s">
        <v>259</v>
      </c>
      <c r="DG7" s="728"/>
      <c r="DH7" s="728"/>
      <c r="DI7" s="728"/>
      <c r="DJ7" s="728"/>
      <c r="DK7" s="728"/>
      <c r="DL7" s="728"/>
      <c r="DM7" s="728"/>
      <c r="DN7" s="728"/>
    </row>
    <row r="8" spans="1:119" ht="15" customHeight="1">
      <c r="A8" s="53"/>
      <c r="B8" s="730"/>
      <c r="C8" s="6"/>
      <c r="D8" s="734"/>
      <c r="E8" s="734"/>
      <c r="F8" s="669"/>
      <c r="G8" s="6" t="s">
        <v>158</v>
      </c>
      <c r="H8" s="6" t="s">
        <v>159</v>
      </c>
      <c r="I8" s="6" t="s">
        <v>160</v>
      </c>
      <c r="J8" s="6" t="s">
        <v>161</v>
      </c>
      <c r="K8" s="51" t="s">
        <v>33</v>
      </c>
      <c r="L8" s="51" t="s">
        <v>51</v>
      </c>
      <c r="M8" s="51" t="s">
        <v>52</v>
      </c>
      <c r="N8" s="51" t="s">
        <v>28</v>
      </c>
      <c r="O8" s="6"/>
      <c r="P8" s="6" t="s">
        <v>158</v>
      </c>
      <c r="Q8" s="6" t="s">
        <v>159</v>
      </c>
      <c r="R8" s="6" t="s">
        <v>160</v>
      </c>
      <c r="S8" s="6" t="s">
        <v>161</v>
      </c>
      <c r="T8" s="51" t="s">
        <v>33</v>
      </c>
      <c r="U8" s="51" t="s">
        <v>51</v>
      </c>
      <c r="V8" s="51" t="s">
        <v>52</v>
      </c>
      <c r="W8" s="51" t="s">
        <v>28</v>
      </c>
      <c r="X8" s="51"/>
      <c r="Y8" s="6" t="s">
        <v>158</v>
      </c>
      <c r="Z8" s="6" t="s">
        <v>159</v>
      </c>
      <c r="AA8" s="6" t="s">
        <v>160</v>
      </c>
      <c r="AB8" s="6" t="s">
        <v>161</v>
      </c>
      <c r="AC8" s="51" t="s">
        <v>33</v>
      </c>
      <c r="AD8" s="51" t="s">
        <v>51</v>
      </c>
      <c r="AE8" s="51" t="s">
        <v>52</v>
      </c>
      <c r="AF8" s="51" t="s">
        <v>28</v>
      </c>
      <c r="AG8" s="5"/>
      <c r="AH8" s="6" t="s">
        <v>158</v>
      </c>
      <c r="AI8" s="6" t="s">
        <v>159</v>
      </c>
      <c r="AJ8" s="6" t="s">
        <v>160</v>
      </c>
      <c r="AK8" s="6" t="s">
        <v>161</v>
      </c>
      <c r="AL8" s="51" t="s">
        <v>33</v>
      </c>
      <c r="AM8" s="51" t="s">
        <v>51</v>
      </c>
      <c r="AN8" s="51" t="s">
        <v>52</v>
      </c>
      <c r="AO8" s="51" t="s">
        <v>28</v>
      </c>
      <c r="AP8" s="51"/>
      <c r="AQ8" s="6" t="s">
        <v>158</v>
      </c>
      <c r="AR8" s="6" t="s">
        <v>159</v>
      </c>
      <c r="AS8" s="6" t="s">
        <v>160</v>
      </c>
      <c r="AT8" s="6" t="s">
        <v>161</v>
      </c>
      <c r="AU8" s="51" t="s">
        <v>33</v>
      </c>
      <c r="AV8" s="51" t="s">
        <v>51</v>
      </c>
      <c r="AW8" s="51" t="s">
        <v>52</v>
      </c>
      <c r="AX8" s="51" t="s">
        <v>28</v>
      </c>
      <c r="AY8" s="5"/>
      <c r="AZ8" s="6" t="s">
        <v>158</v>
      </c>
      <c r="BA8" s="6" t="s">
        <v>159</v>
      </c>
      <c r="BB8" s="6" t="s">
        <v>160</v>
      </c>
      <c r="BC8" s="6" t="s">
        <v>161</v>
      </c>
      <c r="BD8" s="51" t="s">
        <v>33</v>
      </c>
      <c r="BE8" s="51" t="s">
        <v>51</v>
      </c>
      <c r="BF8" s="51" t="s">
        <v>52</v>
      </c>
      <c r="BG8" s="51" t="s">
        <v>28</v>
      </c>
      <c r="BH8" s="5"/>
      <c r="BI8" s="6" t="s">
        <v>158</v>
      </c>
      <c r="BJ8" s="6" t="s">
        <v>159</v>
      </c>
      <c r="BK8" s="6" t="s">
        <v>160</v>
      </c>
      <c r="BL8" s="6" t="s">
        <v>161</v>
      </c>
      <c r="BM8" s="51" t="s">
        <v>33</v>
      </c>
      <c r="BN8" s="51" t="s">
        <v>51</v>
      </c>
      <c r="BO8" s="51" t="s">
        <v>52</v>
      </c>
      <c r="BP8" s="51" t="s">
        <v>28</v>
      </c>
      <c r="BQ8" s="6"/>
      <c r="BR8" s="6" t="s">
        <v>158</v>
      </c>
      <c r="BS8" s="6" t="s">
        <v>159</v>
      </c>
      <c r="BT8" s="6" t="s">
        <v>160</v>
      </c>
      <c r="BU8" s="6" t="s">
        <v>161</v>
      </c>
      <c r="BV8" s="51" t="s">
        <v>33</v>
      </c>
      <c r="BW8" s="51" t="s">
        <v>51</v>
      </c>
      <c r="BX8" s="51" t="s">
        <v>52</v>
      </c>
      <c r="BY8" s="51" t="s">
        <v>28</v>
      </c>
      <c r="BZ8" s="6"/>
      <c r="CA8" s="6" t="s">
        <v>158</v>
      </c>
      <c r="CB8" s="6" t="s">
        <v>159</v>
      </c>
      <c r="CC8" s="6" t="s">
        <v>160</v>
      </c>
      <c r="CD8" s="6" t="s">
        <v>161</v>
      </c>
      <c r="CE8" s="51" t="s">
        <v>33</v>
      </c>
      <c r="CF8" s="51" t="s">
        <v>51</v>
      </c>
      <c r="CG8" s="51" t="s">
        <v>52</v>
      </c>
      <c r="CH8" s="51" t="s">
        <v>28</v>
      </c>
      <c r="CI8" s="6"/>
      <c r="CJ8" s="6" t="s">
        <v>158</v>
      </c>
      <c r="CK8" s="6" t="s">
        <v>159</v>
      </c>
      <c r="CL8" s="6" t="s">
        <v>160</v>
      </c>
      <c r="CM8" s="6" t="s">
        <v>161</v>
      </c>
      <c r="CN8" s="51" t="s">
        <v>33</v>
      </c>
      <c r="CO8" s="51" t="s">
        <v>51</v>
      </c>
      <c r="CP8" s="51" t="s">
        <v>52</v>
      </c>
      <c r="CQ8" s="51" t="s">
        <v>28</v>
      </c>
      <c r="CR8" s="51" t="s">
        <v>143</v>
      </c>
      <c r="CT8" s="734"/>
      <c r="CU8" s="6" t="s">
        <v>158</v>
      </c>
      <c r="CV8" s="6" t="s">
        <v>159</v>
      </c>
      <c r="CW8" s="6" t="s">
        <v>160</v>
      </c>
      <c r="CX8" s="6" t="s">
        <v>161</v>
      </c>
      <c r="CY8" s="51" t="s">
        <v>33</v>
      </c>
      <c r="CZ8" s="51" t="s">
        <v>51</v>
      </c>
      <c r="DA8" s="51" t="s">
        <v>52</v>
      </c>
      <c r="DB8" s="51" t="s">
        <v>28</v>
      </c>
      <c r="DC8" s="51" t="s">
        <v>143</v>
      </c>
      <c r="DD8" s="670" t="s">
        <v>293</v>
      </c>
      <c r="DF8" s="6" t="s">
        <v>158</v>
      </c>
      <c r="DG8" s="6" t="s">
        <v>159</v>
      </c>
      <c r="DH8" s="6" t="s">
        <v>160</v>
      </c>
      <c r="DI8" s="6" t="s">
        <v>161</v>
      </c>
      <c r="DJ8" s="51" t="s">
        <v>33</v>
      </c>
      <c r="DK8" s="51" t="s">
        <v>51</v>
      </c>
      <c r="DL8" s="51" t="s">
        <v>52</v>
      </c>
      <c r="DM8" s="51" t="s">
        <v>28</v>
      </c>
      <c r="DN8" s="51" t="s">
        <v>143</v>
      </c>
    </row>
    <row r="9" spans="1:119">
      <c r="A9" s="46">
        <v>1979</v>
      </c>
      <c r="B9" s="141">
        <f>D9-E9</f>
        <v>0.144776109915911</v>
      </c>
      <c r="C9" s="46"/>
      <c r="D9" s="141">
        <f>SUM(G9:N9)*2</f>
        <v>0.57650352766267099</v>
      </c>
      <c r="E9" s="141">
        <f>SUM(Y9:AF9)*2</f>
        <v>0.43172741774675999</v>
      </c>
      <c r="F9" s="46"/>
      <c r="G9" s="157">
        <f>(P$5-P9)*P$4</f>
        <v>3.5832534387986073E-2</v>
      </c>
      <c r="H9" s="157">
        <f t="shared" ref="H9:N24" si="1">(Q$5-Q9)*Q$4</f>
        <v>6.0940650142602242E-2</v>
      </c>
      <c r="I9" s="157">
        <f t="shared" si="1"/>
        <v>7.3836041047444609E-2</v>
      </c>
      <c r="J9" s="157">
        <f t="shared" si="1"/>
        <v>7.0891291011079341E-2</v>
      </c>
      <c r="K9" s="157">
        <f t="shared" si="1"/>
        <v>2.9553838518509557E-2</v>
      </c>
      <c r="L9" s="157">
        <f t="shared" si="1"/>
        <v>1.1710565615378766E-2</v>
      </c>
      <c r="M9" s="157">
        <f t="shared" si="1"/>
        <v>5.4868431083349113E-3</v>
      </c>
      <c r="N9" s="157">
        <f>(W$5-W9)*W$4</f>
        <v>0</v>
      </c>
      <c r="O9" s="46"/>
      <c r="P9" s="154">
        <f>AQ9/SUM($AQ9:$AX9)</f>
        <v>2.083732806006967E-2</v>
      </c>
      <c r="Q9" s="154">
        <f t="shared" ref="Q9:V10" si="2">P9+AR9/SUM($AQ9:$AX9)</f>
        <v>9.5296749286988808E-2</v>
      </c>
      <c r="R9" s="154">
        <f t="shared" si="2"/>
        <v>0.23081979476277709</v>
      </c>
      <c r="S9" s="154">
        <f t="shared" si="2"/>
        <v>0.44554354494460335</v>
      </c>
      <c r="T9" s="154">
        <f t="shared" si="2"/>
        <v>0.60446161481490446</v>
      </c>
      <c r="U9" s="154">
        <f t="shared" si="2"/>
        <v>0.71578868769242476</v>
      </c>
      <c r="V9" s="154">
        <f t="shared" si="2"/>
        <v>0.85282892229162732</v>
      </c>
      <c r="W9" s="162">
        <v>1</v>
      </c>
      <c r="X9" s="154"/>
      <c r="Y9" s="142">
        <f t="shared" ref="Y9:AF9" si="3">(P$5-AH9)*P$4</f>
        <v>3.0029910269192429E-2</v>
      </c>
      <c r="Z9" s="142">
        <f t="shared" si="3"/>
        <v>4.7696909272183459E-2</v>
      </c>
      <c r="AA9" s="142">
        <f t="shared" si="3"/>
        <v>5.5792622133599236E-2</v>
      </c>
      <c r="AB9" s="142">
        <f t="shared" si="3"/>
        <v>5.1126620139581296E-2</v>
      </c>
      <c r="AC9" s="142">
        <f t="shared" si="3"/>
        <v>2.0309072781655047E-2</v>
      </c>
      <c r="AD9" s="142">
        <f t="shared" si="3"/>
        <v>7.7193419740777761E-3</v>
      </c>
      <c r="AE9" s="142">
        <f t="shared" si="3"/>
        <v>3.1892323030907389E-3</v>
      </c>
      <c r="AF9" s="142">
        <f t="shared" si="3"/>
        <v>0</v>
      </c>
      <c r="AH9" s="158">
        <f>AZ9/SUM($AZ9:$BG9)</f>
        <v>4.9850448654037878E-2</v>
      </c>
      <c r="AI9" s="158">
        <f t="shared" ref="AI9:AN9" si="4">AH9+BA9/SUM($AZ9:$BG9)</f>
        <v>0.16151545363908273</v>
      </c>
      <c r="AJ9" s="158">
        <f t="shared" si="4"/>
        <v>0.32103688933200392</v>
      </c>
      <c r="AK9" s="158">
        <f t="shared" si="4"/>
        <v>0.54436689930209359</v>
      </c>
      <c r="AL9" s="158">
        <f t="shared" si="4"/>
        <v>0.69690927218344956</v>
      </c>
      <c r="AM9" s="158">
        <f t="shared" si="4"/>
        <v>0.79561316051844455</v>
      </c>
      <c r="AN9" s="158">
        <f t="shared" si="4"/>
        <v>0.91026919242273163</v>
      </c>
      <c r="AO9" s="158">
        <v>1</v>
      </c>
      <c r="AP9" s="143"/>
      <c r="AQ9" s="143">
        <f t="shared" ref="AQ9:AX40" si="5">CJ9/$CR9</f>
        <v>2.0837328060069667E-2</v>
      </c>
      <c r="AR9" s="143">
        <f t="shared" si="5"/>
        <v>7.445942122691912E-2</v>
      </c>
      <c r="AS9" s="143">
        <f t="shared" si="5"/>
        <v>0.13552304547578825</v>
      </c>
      <c r="AT9" s="143">
        <f t="shared" si="5"/>
        <v>0.21472375018182621</v>
      </c>
      <c r="AU9" s="143">
        <f t="shared" si="5"/>
        <v>0.15891806987030105</v>
      </c>
      <c r="AV9" s="143">
        <f t="shared" si="5"/>
        <v>0.11132707287752028</v>
      </c>
      <c r="AW9" s="143">
        <f t="shared" si="5"/>
        <v>0.1370402345992025</v>
      </c>
      <c r="AX9" s="143">
        <f t="shared" si="5"/>
        <v>0.1471710777083729</v>
      </c>
      <c r="AZ9" s="152">
        <f>Shares!D50</f>
        <v>5</v>
      </c>
      <c r="BA9" s="152">
        <f>Shares!E50</f>
        <v>11.2</v>
      </c>
      <c r="BB9" s="152">
        <f>Shares!F50</f>
        <v>16</v>
      </c>
      <c r="BC9" s="152">
        <f>Shares!G50</f>
        <v>22.4</v>
      </c>
      <c r="BD9" s="152">
        <f>Shares!J50</f>
        <v>15.3</v>
      </c>
      <c r="BE9" s="152">
        <f>Shares!K50</f>
        <v>9.9</v>
      </c>
      <c r="BF9" s="152">
        <f>Shares!L50</f>
        <v>11.5</v>
      </c>
      <c r="BG9" s="152">
        <f>Shares!M50</f>
        <v>9</v>
      </c>
      <c r="BI9" s="573">
        <f>TxRt!B53</f>
        <v>9.3000000000000007</v>
      </c>
      <c r="BJ9" s="573">
        <f>TxRt!B96</f>
        <v>15</v>
      </c>
      <c r="BK9" s="573">
        <f>TxRt!B136</f>
        <v>19.100000000000001</v>
      </c>
      <c r="BL9" s="573">
        <f>TxRt!B176</f>
        <v>21.7</v>
      </c>
      <c r="BM9" s="573">
        <f>TxRt!B256</f>
        <v>23.6</v>
      </c>
      <c r="BN9" s="573">
        <f>TxRt!B296</f>
        <v>25.2</v>
      </c>
      <c r="BO9" s="573">
        <f>TxRt!B336</f>
        <v>27.1</v>
      </c>
      <c r="BP9" s="573">
        <f>TxRt!B376</f>
        <v>35.1</v>
      </c>
      <c r="BQ9" s="46"/>
      <c r="BR9" s="60">
        <f>Inc!B50</f>
        <v>15500</v>
      </c>
      <c r="BS9" s="60">
        <f>Inc!B90</f>
        <v>37100</v>
      </c>
      <c r="BT9" s="60">
        <f>Inc!B130</f>
        <v>56900</v>
      </c>
      <c r="BU9" s="60">
        <f>Inc!B170</f>
        <v>77300</v>
      </c>
      <c r="BV9" s="60">
        <f>Inc!B250</f>
        <v>100500</v>
      </c>
      <c r="BW9" s="60">
        <f>Inc!B290</f>
        <v>124200</v>
      </c>
      <c r="BX9" s="60">
        <f>Inc!B330</f>
        <v>179800</v>
      </c>
      <c r="BY9" s="60">
        <f>Inc!B370</f>
        <v>563200</v>
      </c>
      <c r="CA9" s="60">
        <f t="shared" ref="CA9:CH40" si="6">BI9*BR9/100</f>
        <v>1441.5</v>
      </c>
      <c r="CB9" s="60">
        <f t="shared" si="6"/>
        <v>5565</v>
      </c>
      <c r="CC9" s="60">
        <f t="shared" si="6"/>
        <v>10867.9</v>
      </c>
      <c r="CD9" s="60">
        <f t="shared" si="6"/>
        <v>16774.099999999999</v>
      </c>
      <c r="CE9" s="60">
        <f t="shared" si="6"/>
        <v>23718</v>
      </c>
      <c r="CF9" s="60">
        <f t="shared" si="6"/>
        <v>31298.400000000001</v>
      </c>
      <c r="CG9" s="60">
        <f t="shared" si="6"/>
        <v>48725.8</v>
      </c>
      <c r="CH9" s="60">
        <f t="shared" si="6"/>
        <v>197683.20000000001</v>
      </c>
      <c r="CJ9" s="153">
        <f>CA9*CU9</f>
        <v>25190.212500000009</v>
      </c>
      <c r="CK9" s="153">
        <f t="shared" ref="CK9:CQ45" si="7">CB9*CV9</f>
        <v>90013.875000000029</v>
      </c>
      <c r="CL9" s="153">
        <f t="shared" si="7"/>
        <v>163833.59250000006</v>
      </c>
      <c r="CM9" s="153">
        <f t="shared" si="7"/>
        <v>259579.19750000007</v>
      </c>
      <c r="CN9" s="153">
        <f t="shared" si="7"/>
        <v>192115.8</v>
      </c>
      <c r="CO9" s="153">
        <f t="shared" si="7"/>
        <v>134583.12</v>
      </c>
      <c r="CP9" s="153">
        <f t="shared" si="7"/>
        <v>165667.72</v>
      </c>
      <c r="CQ9" s="153">
        <f t="shared" si="7"/>
        <v>177914.88</v>
      </c>
      <c r="CR9" s="153">
        <f>SUM(CJ9:CQ9)</f>
        <v>1208898.3975000002</v>
      </c>
      <c r="CT9" s="403">
        <v>221.9</v>
      </c>
      <c r="CU9" s="276">
        <f>Dem!B50+(DD9/4)</f>
        <v>17.475000000000005</v>
      </c>
      <c r="CV9" s="276">
        <f>Dem!B90+(DD9/4)</f>
        <v>16.175000000000004</v>
      </c>
      <c r="CW9" s="276">
        <f>Dem!B130+(DD9/4)</f>
        <v>15.075000000000005</v>
      </c>
      <c r="CX9" s="276">
        <f>Dem!B170+(DD9/4)</f>
        <v>15.475000000000005</v>
      </c>
      <c r="CY9" s="276">
        <f>Dem!B250</f>
        <v>8.1</v>
      </c>
      <c r="CZ9" s="276">
        <f>Dem!B290</f>
        <v>4.3</v>
      </c>
      <c r="DA9" s="276">
        <f>Dem!B330</f>
        <v>3.4</v>
      </c>
      <c r="DB9" s="276">
        <f>Dem!B370</f>
        <v>0.9</v>
      </c>
      <c r="DC9" s="275">
        <v>81.099999999999994</v>
      </c>
      <c r="DD9" s="46">
        <v>-9.9999999999980105E-2</v>
      </c>
      <c r="DE9" s="275"/>
      <c r="DF9" s="276">
        <f>Dem!$D50+(DO9/4)</f>
        <v>43.17499999999999</v>
      </c>
      <c r="DG9" s="276">
        <f>Dem!$D90+(DO9/4)</f>
        <v>44.17499999999999</v>
      </c>
      <c r="DH9" s="276">
        <f>Dem!$D130+(DO9/4)</f>
        <v>44.17499999999999</v>
      </c>
      <c r="DI9" s="276">
        <f>Dem!$D170+(DO9/4)</f>
        <v>44.17499999999999</v>
      </c>
      <c r="DJ9" s="275">
        <f>Dem!$D250</f>
        <v>22.2</v>
      </c>
      <c r="DK9" s="275">
        <f>Dem!$D290</f>
        <v>11.1</v>
      </c>
      <c r="DL9" s="275">
        <f>Dem!$D330</f>
        <v>8.9</v>
      </c>
      <c r="DM9" s="275">
        <f>Dem!$D370</f>
        <v>2.2000000000000002</v>
      </c>
      <c r="DN9" s="276">
        <f>CT9</f>
        <v>221.9</v>
      </c>
      <c r="DO9" s="44">
        <v>-0.90000000000003411</v>
      </c>
    </row>
    <row r="10" spans="1:119">
      <c r="A10" s="46">
        <f>A9+1</f>
        <v>1980</v>
      </c>
      <c r="B10" s="141">
        <f t="shared" ref="B10:B46" si="8">D10-E10</f>
        <v>0.14185259890460866</v>
      </c>
      <c r="C10" s="46"/>
      <c r="D10" s="141">
        <f t="shared" ref="D10:D46" si="9">SUM(G10:N10)*2</f>
        <v>0.57806655703023191</v>
      </c>
      <c r="E10" s="141">
        <f t="shared" ref="E10:E46" si="10">SUM(Y10:AF10)*2</f>
        <v>0.43621395812562325</v>
      </c>
      <c r="F10" s="46"/>
      <c r="G10" s="157">
        <f t="shared" ref="G10:N46" si="11">(P$5-P10)*P$4</f>
        <v>3.5945713270498607E-2</v>
      </c>
      <c r="H10" s="157">
        <f t="shared" si="1"/>
        <v>6.1319737127880025E-2</v>
      </c>
      <c r="I10" s="157">
        <f t="shared" si="1"/>
        <v>7.4325147535365219E-2</v>
      </c>
      <c r="J10" s="157">
        <f t="shared" si="1"/>
        <v>7.1291219434192851E-2</v>
      </c>
      <c r="K10" s="157">
        <f t="shared" si="1"/>
        <v>2.9354225795517466E-2</v>
      </c>
      <c r="L10" s="157">
        <f t="shared" si="1"/>
        <v>1.1562451359606908E-2</v>
      </c>
      <c r="M10" s="157">
        <f t="shared" si="1"/>
        <v>5.2347839920548504E-3</v>
      </c>
      <c r="N10" s="157">
        <f t="shared" si="1"/>
        <v>0</v>
      </c>
      <c r="O10" s="46"/>
      <c r="P10" s="154">
        <f>AQ10/SUM($AQ10:$AX10)</f>
        <v>2.0271433647506974E-2</v>
      </c>
      <c r="Q10" s="154">
        <f t="shared" si="2"/>
        <v>9.3401314360599882E-2</v>
      </c>
      <c r="R10" s="154">
        <f t="shared" si="2"/>
        <v>0.22837426232317404</v>
      </c>
      <c r="S10" s="154">
        <f t="shared" si="2"/>
        <v>0.44354390282903577</v>
      </c>
      <c r="T10" s="154">
        <f t="shared" si="2"/>
        <v>0.60645774204482539</v>
      </c>
      <c r="U10" s="154">
        <f t="shared" si="2"/>
        <v>0.71875097280786193</v>
      </c>
      <c r="V10" s="154">
        <f t="shared" si="2"/>
        <v>0.85913040019862885</v>
      </c>
      <c r="W10" s="162">
        <f>W9</f>
        <v>1</v>
      </c>
      <c r="X10" s="154"/>
      <c r="Y10" s="142">
        <f>(P$5-AH10)*P$4</f>
        <v>3.0229312063808578E-2</v>
      </c>
      <c r="Z10" s="142">
        <f t="shared" ref="Z10:AF25" si="12">(Q$5-AI10)*Q$4</f>
        <v>4.8295114656031909E-2</v>
      </c>
      <c r="AA10" s="142">
        <f t="shared" si="12"/>
        <v>5.6390827517447673E-2</v>
      </c>
      <c r="AB10" s="142">
        <f t="shared" si="12"/>
        <v>5.1724825523429718E-2</v>
      </c>
      <c r="AC10" s="142">
        <f t="shared" si="12"/>
        <v>2.0508474576271186E-2</v>
      </c>
      <c r="AD10" s="142">
        <f t="shared" si="12"/>
        <v>7.7691924227318082E-3</v>
      </c>
      <c r="AE10" s="142">
        <f t="shared" si="12"/>
        <v>3.1892323030907298E-3</v>
      </c>
      <c r="AF10" s="142">
        <f>(W$5-AO10)*W$4</f>
        <v>0</v>
      </c>
      <c r="AH10" s="158">
        <f t="shared" ref="AH10:AH46" si="13">AZ10/SUM($AZ10:$BG10)</f>
        <v>4.8853439680957136E-2</v>
      </c>
      <c r="AI10" s="158">
        <f t="shared" ref="AI10:AN46" si="14">AH10+BA10/SUM($AZ10:$BG10)</f>
        <v>0.15852442671984049</v>
      </c>
      <c r="AJ10" s="158">
        <f t="shared" si="14"/>
        <v>0.31804586241276173</v>
      </c>
      <c r="AK10" s="158">
        <f t="shared" si="14"/>
        <v>0.54137587238285145</v>
      </c>
      <c r="AL10" s="158">
        <f t="shared" si="14"/>
        <v>0.69491525423728817</v>
      </c>
      <c r="AM10" s="158">
        <f t="shared" si="14"/>
        <v>0.79461615154536391</v>
      </c>
      <c r="AN10" s="158">
        <f t="shared" si="14"/>
        <v>0.91026919242273185</v>
      </c>
      <c r="AO10" s="158">
        <v>1</v>
      </c>
      <c r="AP10" s="143"/>
      <c r="AQ10" s="143">
        <f t="shared" si="5"/>
        <v>2.027143364750697E-2</v>
      </c>
      <c r="AR10" s="143">
        <f t="shared" si="5"/>
        <v>7.3129880713092899E-2</v>
      </c>
      <c r="AS10" s="143">
        <f t="shared" si="5"/>
        <v>0.13497294796257414</v>
      </c>
      <c r="AT10" s="143">
        <f t="shared" si="5"/>
        <v>0.21516964050586174</v>
      </c>
      <c r="AU10" s="143">
        <f t="shared" si="5"/>
        <v>0.16291383921578961</v>
      </c>
      <c r="AV10" s="143">
        <f t="shared" si="5"/>
        <v>0.11229323076303649</v>
      </c>
      <c r="AW10" s="143">
        <f t="shared" si="5"/>
        <v>0.14037942739076686</v>
      </c>
      <c r="AX10" s="143">
        <f t="shared" si="5"/>
        <v>0.14086959980137123</v>
      </c>
      <c r="AY10" s="46"/>
      <c r="AZ10" s="152">
        <f>Shares!D51</f>
        <v>4.9000000000000004</v>
      </c>
      <c r="BA10" s="152">
        <f>Shares!E51</f>
        <v>11</v>
      </c>
      <c r="BB10" s="152">
        <f>Shares!F51</f>
        <v>16</v>
      </c>
      <c r="BC10" s="152">
        <f>Shares!G51</f>
        <v>22.4</v>
      </c>
      <c r="BD10" s="152">
        <f>Shares!J51</f>
        <v>15.4</v>
      </c>
      <c r="BE10" s="152">
        <f>Shares!K51</f>
        <v>10</v>
      </c>
      <c r="BF10" s="152">
        <f>Shares!L51</f>
        <v>11.6</v>
      </c>
      <c r="BG10" s="152">
        <f>Shares!M51</f>
        <v>9</v>
      </c>
      <c r="BI10" s="246">
        <f>TxRt!B$53-TxRt!C$53+TxRt!C54</f>
        <v>9.5</v>
      </c>
      <c r="BJ10" s="246">
        <f>TxRt!B$96-TxRt!C$96+TxRt!C97</f>
        <v>15.4</v>
      </c>
      <c r="BK10" s="246">
        <f>TxRt!B$136-TxRt!C$136+TxRt!C137</f>
        <v>19.600000000000001</v>
      </c>
      <c r="BL10" s="246">
        <f>TxRt!B$176-TxRt!C$176+TxRt!C177</f>
        <v>22.299999999999997</v>
      </c>
      <c r="BM10" s="246">
        <f>TxRt!B$256-TxRt!C$256+TxRt!C257</f>
        <v>24.4</v>
      </c>
      <c r="BN10" s="246">
        <f>TxRt!B$296-TxRt!C$296+TxRt!C297</f>
        <v>26.2</v>
      </c>
      <c r="BO10" s="246">
        <f>TxRt!B$336-TxRt!C$336+TxRt!C337</f>
        <v>28.2</v>
      </c>
      <c r="BP10" s="246">
        <f>TxRt!B$376-TxRt!C$376+TxRt!C377</f>
        <v>35.4</v>
      </c>
      <c r="BQ10" s="46"/>
      <c r="BR10" s="60">
        <f>Inc!B51</f>
        <v>14900</v>
      </c>
      <c r="BS10" s="60">
        <f>Inc!B91</f>
        <v>35600</v>
      </c>
      <c r="BT10" s="60">
        <f>Inc!B131</f>
        <v>55000</v>
      </c>
      <c r="BU10" s="60">
        <f>Inc!B171</f>
        <v>75100</v>
      </c>
      <c r="BV10" s="60">
        <f>Inc!B251</f>
        <v>98300</v>
      </c>
      <c r="BW10" s="60">
        <f>Inc!B291</f>
        <v>121800</v>
      </c>
      <c r="BX10" s="60">
        <f>Inc!B331</f>
        <v>173800</v>
      </c>
      <c r="BY10" s="60">
        <f>Inc!B371</f>
        <v>540300</v>
      </c>
      <c r="CA10" s="60">
        <f t="shared" si="6"/>
        <v>1415.5</v>
      </c>
      <c r="CB10" s="60">
        <f t="shared" si="6"/>
        <v>5482.4</v>
      </c>
      <c r="CC10" s="60">
        <f t="shared" si="6"/>
        <v>10780</v>
      </c>
      <c r="CD10" s="60">
        <f t="shared" si="6"/>
        <v>16747.3</v>
      </c>
      <c r="CE10" s="60">
        <f t="shared" si="6"/>
        <v>23985.200000000001</v>
      </c>
      <c r="CF10" s="60">
        <f t="shared" si="6"/>
        <v>31911.599999999999</v>
      </c>
      <c r="CG10" s="60">
        <f t="shared" si="6"/>
        <v>49011.6</v>
      </c>
      <c r="CH10" s="60">
        <f t="shared" si="6"/>
        <v>191266.2</v>
      </c>
      <c r="CJ10" s="153">
        <f t="shared" ref="CJ10:CJ45" si="15">CA10*CU10</f>
        <v>24771.250000000004</v>
      </c>
      <c r="CK10" s="153">
        <f t="shared" si="7"/>
        <v>89363.12</v>
      </c>
      <c r="CL10" s="153">
        <f t="shared" si="7"/>
        <v>164934.00000000003</v>
      </c>
      <c r="CM10" s="153">
        <f t="shared" si="7"/>
        <v>262932.61000000004</v>
      </c>
      <c r="CN10" s="153">
        <f t="shared" si="7"/>
        <v>199077.16000000003</v>
      </c>
      <c r="CO10" s="153">
        <f t="shared" si="7"/>
        <v>137219.87999999998</v>
      </c>
      <c r="CP10" s="153">
        <f t="shared" si="7"/>
        <v>171540.6</v>
      </c>
      <c r="CQ10" s="153">
        <f t="shared" si="7"/>
        <v>172139.58000000002</v>
      </c>
      <c r="CR10" s="153">
        <f t="shared" ref="CR10:CR46" si="16">SUM(CJ10:CQ10)</f>
        <v>1221978.2000000002</v>
      </c>
      <c r="CT10" s="403">
        <v>224.5</v>
      </c>
      <c r="CU10" s="276">
        <f>Dem!B51+(DD10/4)</f>
        <v>17.500000000000004</v>
      </c>
      <c r="CV10" s="276">
        <f>Dem!B91+(DD10/4)</f>
        <v>16.3</v>
      </c>
      <c r="CW10" s="276">
        <f>Dem!B131+(DD10/4)</f>
        <v>15.300000000000002</v>
      </c>
      <c r="CX10" s="276">
        <f>Dem!B171+(DD10/4)</f>
        <v>15.700000000000003</v>
      </c>
      <c r="CY10" s="276">
        <f>Dem!B251</f>
        <v>8.3000000000000007</v>
      </c>
      <c r="CZ10" s="276">
        <f>Dem!B291</f>
        <v>4.3</v>
      </c>
      <c r="DA10" s="276">
        <f>Dem!B331</f>
        <v>3.5</v>
      </c>
      <c r="DB10" s="276">
        <f>Dem!B371</f>
        <v>0.9</v>
      </c>
      <c r="DC10" s="275">
        <v>82.6</v>
      </c>
      <c r="DD10" s="46">
        <v>-0.39999999999999147</v>
      </c>
      <c r="DE10" s="275"/>
      <c r="DF10" s="276">
        <f>Dem!$D51+(DO10/4)</f>
        <v>43.15</v>
      </c>
      <c r="DG10" s="276">
        <f>Dem!$D91+(DO10/4)</f>
        <v>44.55</v>
      </c>
      <c r="DH10" s="276">
        <f>Dem!$D131+(DO10/4)</f>
        <v>44.55</v>
      </c>
      <c r="DI10" s="276">
        <f>Dem!$D171+(DO10/4)</f>
        <v>44.55</v>
      </c>
      <c r="DJ10" s="275">
        <f>Dem!$D251</f>
        <v>22.5</v>
      </c>
      <c r="DK10" s="275">
        <f>Dem!$D291</f>
        <v>11.2</v>
      </c>
      <c r="DL10" s="275">
        <f>Dem!$D331</f>
        <v>9</v>
      </c>
      <c r="DM10" s="275">
        <f>Dem!$D371</f>
        <v>2.2000000000000002</v>
      </c>
      <c r="DN10" s="276">
        <f t="shared" ref="DN10:DN46" si="17">CT10</f>
        <v>224.5</v>
      </c>
      <c r="DO10" s="44">
        <v>-1.4000000000000057</v>
      </c>
    </row>
    <row r="11" spans="1:119">
      <c r="A11" s="46">
        <f t="shared" ref="A11:A46" si="18">A10+1</f>
        <v>1981</v>
      </c>
      <c r="B11" s="141">
        <f t="shared" si="8"/>
        <v>0.13437269224420589</v>
      </c>
      <c r="C11" s="46"/>
      <c r="D11" s="141">
        <f t="shared" si="9"/>
        <v>0.57494085144818607</v>
      </c>
      <c r="E11" s="141">
        <f t="shared" si="10"/>
        <v>0.44056815920398018</v>
      </c>
      <c r="F11" s="46"/>
      <c r="G11" s="157">
        <f t="shared" si="11"/>
        <v>3.6023635374920038E-2</v>
      </c>
      <c r="H11" s="157">
        <f t="shared" si="1"/>
        <v>6.1316697567884527E-2</v>
      </c>
      <c r="I11" s="157">
        <f t="shared" si="1"/>
        <v>7.3998836177155372E-2</v>
      </c>
      <c r="J11" s="157">
        <f t="shared" si="1"/>
        <v>7.0893769045595897E-2</v>
      </c>
      <c r="K11" s="157">
        <f t="shared" si="1"/>
        <v>2.8997617723553859E-2</v>
      </c>
      <c r="L11" s="157">
        <f t="shared" si="1"/>
        <v>1.1341168774293904E-2</v>
      </c>
      <c r="M11" s="157">
        <f t="shared" si="1"/>
        <v>4.8987010606893963E-3</v>
      </c>
      <c r="N11" s="157">
        <f t="shared" si="1"/>
        <v>0</v>
      </c>
      <c r="O11" s="46"/>
      <c r="P11" s="154">
        <f t="shared" ref="P11:P46" si="19">AQ11/SUM($AQ11:$AX11)</f>
        <v>1.9881823125399829E-2</v>
      </c>
      <c r="Q11" s="154">
        <f t="shared" ref="Q11:V46" si="20">P11+AR11/SUM($AQ11:$AX11)</f>
        <v>9.3416512160577392E-2</v>
      </c>
      <c r="R11" s="154">
        <f t="shared" si="20"/>
        <v>0.23000581911422324</v>
      </c>
      <c r="S11" s="154">
        <f t="shared" si="20"/>
        <v>0.44553115477202054</v>
      </c>
      <c r="T11" s="154">
        <f t="shared" si="20"/>
        <v>0.61002382276446143</v>
      </c>
      <c r="U11" s="154">
        <f t="shared" si="20"/>
        <v>0.72317662451412201</v>
      </c>
      <c r="V11" s="154">
        <f t="shared" si="20"/>
        <v>0.86753247348276519</v>
      </c>
      <c r="W11" s="162">
        <f t="shared" ref="W11:W46" si="21">W10</f>
        <v>1</v>
      </c>
      <c r="X11" s="154"/>
      <c r="Y11" s="142">
        <f t="shared" ref="Y11:AF46" si="22">(P$5-AH11)*P$4</f>
        <v>3.0646766169154235E-2</v>
      </c>
      <c r="Z11" s="142">
        <f t="shared" si="12"/>
        <v>4.8955223880597025E-2</v>
      </c>
      <c r="AA11" s="142">
        <f t="shared" si="12"/>
        <v>5.6915422885572158E-2</v>
      </c>
      <c r="AB11" s="142">
        <f t="shared" si="12"/>
        <v>5.2139303482587065E-2</v>
      </c>
      <c r="AC11" s="142">
        <f t="shared" si="12"/>
        <v>2.0646766169154229E-2</v>
      </c>
      <c r="AD11" s="142">
        <f t="shared" si="12"/>
        <v>7.7985074626865719E-3</v>
      </c>
      <c r="AE11" s="142">
        <f t="shared" si="12"/>
        <v>3.1820895522388115E-3</v>
      </c>
      <c r="AF11" s="142">
        <f t="shared" si="12"/>
        <v>0</v>
      </c>
      <c r="AH11" s="158">
        <f t="shared" si="13"/>
        <v>4.6766169154228855E-2</v>
      </c>
      <c r="AI11" s="158">
        <f t="shared" si="14"/>
        <v>0.15522388059701492</v>
      </c>
      <c r="AJ11" s="158">
        <f t="shared" si="14"/>
        <v>0.31542288557213932</v>
      </c>
      <c r="AK11" s="158">
        <f t="shared" si="14"/>
        <v>0.53930348258706473</v>
      </c>
      <c r="AL11" s="158">
        <f t="shared" si="14"/>
        <v>0.69353233830845773</v>
      </c>
      <c r="AM11" s="158">
        <f t="shared" si="14"/>
        <v>0.79402985074626864</v>
      </c>
      <c r="AN11" s="158">
        <f t="shared" si="14"/>
        <v>0.91044776119402981</v>
      </c>
      <c r="AO11" s="158">
        <v>1</v>
      </c>
      <c r="AP11" s="143"/>
      <c r="AQ11" s="143">
        <f t="shared" si="5"/>
        <v>1.9881823125399826E-2</v>
      </c>
      <c r="AR11" s="143">
        <f t="shared" si="5"/>
        <v>7.3534689035177556E-2</v>
      </c>
      <c r="AS11" s="143">
        <f t="shared" si="5"/>
        <v>0.13658930695364582</v>
      </c>
      <c r="AT11" s="143">
        <f t="shared" si="5"/>
        <v>0.21552533565779727</v>
      </c>
      <c r="AU11" s="143">
        <f t="shared" si="5"/>
        <v>0.16449266799244086</v>
      </c>
      <c r="AV11" s="143">
        <f t="shared" si="5"/>
        <v>0.11315280174966053</v>
      </c>
      <c r="AW11" s="143">
        <f t="shared" si="5"/>
        <v>0.1443558489686432</v>
      </c>
      <c r="AX11" s="143">
        <f t="shared" si="5"/>
        <v>0.13246752651723481</v>
      </c>
      <c r="AY11" s="46"/>
      <c r="AZ11" s="152">
        <f>Shares!D52</f>
        <v>4.7</v>
      </c>
      <c r="BA11" s="152">
        <f>Shares!E52</f>
        <v>10.9</v>
      </c>
      <c r="BB11" s="152">
        <f>Shares!F52</f>
        <v>16.100000000000001</v>
      </c>
      <c r="BC11" s="152">
        <f>Shares!G52</f>
        <v>22.5</v>
      </c>
      <c r="BD11" s="152">
        <f>Shares!J52</f>
        <v>15.5</v>
      </c>
      <c r="BE11" s="152">
        <f>Shares!K52</f>
        <v>10.1</v>
      </c>
      <c r="BF11" s="152">
        <f>Shares!L52</f>
        <v>11.7</v>
      </c>
      <c r="BG11" s="152">
        <f>Shares!M52</f>
        <v>9</v>
      </c>
      <c r="BI11" s="246">
        <f>TxRt!B$53-TxRt!C$53+TxRt!C55</f>
        <v>9.9</v>
      </c>
      <c r="BJ11" s="246">
        <f>TxRt!B$96-TxRt!C$96+TxRt!C98</f>
        <v>15.8</v>
      </c>
      <c r="BK11" s="246">
        <f>TxRt!B$136-TxRt!C$136+TxRt!C138</f>
        <v>19.899999999999999</v>
      </c>
      <c r="BL11" s="246">
        <f>TxRt!B$176-TxRt!C$176+TxRt!C178</f>
        <v>22.6</v>
      </c>
      <c r="BM11" s="246">
        <f>TxRt!B$256-TxRt!C$256+TxRt!C258</f>
        <v>24.8</v>
      </c>
      <c r="BN11" s="246">
        <f>TxRt!B$296-TxRt!C$296+TxRt!C298</f>
        <v>26.5</v>
      </c>
      <c r="BO11" s="246">
        <f>TxRt!B$336-TxRt!C$336+TxRt!C338</f>
        <v>28.5</v>
      </c>
      <c r="BP11" s="246">
        <f>TxRt!B$376-TxRt!C$376+TxRt!C378</f>
        <v>34.4</v>
      </c>
      <c r="BQ11" s="46"/>
      <c r="BR11" s="60">
        <f>Inc!B52</f>
        <v>14700</v>
      </c>
      <c r="BS11" s="60">
        <f>Inc!B92</f>
        <v>35300</v>
      </c>
      <c r="BT11" s="60">
        <f>Inc!B132</f>
        <v>54700</v>
      </c>
      <c r="BU11" s="60">
        <f>Inc!B172</f>
        <v>76000</v>
      </c>
      <c r="BV11" s="60">
        <f>Inc!B252</f>
        <v>98100</v>
      </c>
      <c r="BW11" s="60">
        <f>Inc!B292</f>
        <v>122000</v>
      </c>
      <c r="BX11" s="60">
        <f>Inc!B332</f>
        <v>172100</v>
      </c>
      <c r="BY11" s="60">
        <f>Inc!B372</f>
        <v>537900</v>
      </c>
      <c r="CA11" s="60">
        <f t="shared" si="6"/>
        <v>1455.3</v>
      </c>
      <c r="CB11" s="60">
        <f t="shared" si="6"/>
        <v>5577.4</v>
      </c>
      <c r="CC11" s="60">
        <f t="shared" si="6"/>
        <v>10885.3</v>
      </c>
      <c r="CD11" s="60">
        <f t="shared" si="6"/>
        <v>17176</v>
      </c>
      <c r="CE11" s="60">
        <f t="shared" si="6"/>
        <v>24328.799999999999</v>
      </c>
      <c r="CF11" s="60">
        <f t="shared" si="6"/>
        <v>32330</v>
      </c>
      <c r="CG11" s="60">
        <f t="shared" si="6"/>
        <v>49048.5</v>
      </c>
      <c r="CH11" s="60">
        <f t="shared" si="6"/>
        <v>185037.6</v>
      </c>
      <c r="CJ11" s="153">
        <f t="shared" si="15"/>
        <v>24994.777500000004</v>
      </c>
      <c r="CK11" s="153">
        <f t="shared" si="7"/>
        <v>92445.405000000013</v>
      </c>
      <c r="CL11" s="153">
        <f t="shared" si="7"/>
        <v>171715.60750000004</v>
      </c>
      <c r="CM11" s="153">
        <f t="shared" si="7"/>
        <v>270951.40000000008</v>
      </c>
      <c r="CN11" s="153">
        <f t="shared" si="7"/>
        <v>206794.8</v>
      </c>
      <c r="CO11" s="153">
        <f t="shared" si="7"/>
        <v>142252</v>
      </c>
      <c r="CP11" s="153">
        <f t="shared" si="7"/>
        <v>181479.45</v>
      </c>
      <c r="CQ11" s="153">
        <f t="shared" si="7"/>
        <v>166533.84</v>
      </c>
      <c r="CR11" s="153">
        <f t="shared" si="16"/>
        <v>1257167.2800000003</v>
      </c>
      <c r="CT11" s="403">
        <v>226</v>
      </c>
      <c r="CU11" s="276">
        <f>Dem!B52+(DD11/4)</f>
        <v>17.175000000000004</v>
      </c>
      <c r="CV11" s="276">
        <f>Dem!B92+(DD11/4)</f>
        <v>16.575000000000003</v>
      </c>
      <c r="CW11" s="276">
        <f>Dem!B132+(DD11/4)</f>
        <v>15.775000000000004</v>
      </c>
      <c r="CX11" s="276">
        <f>Dem!B172+(DD11/4)</f>
        <v>15.775000000000004</v>
      </c>
      <c r="CY11" s="276">
        <f>Dem!B252</f>
        <v>8.5</v>
      </c>
      <c r="CZ11" s="276">
        <f>Dem!B292</f>
        <v>4.4000000000000004</v>
      </c>
      <c r="DA11" s="276">
        <f>Dem!B332</f>
        <v>3.7</v>
      </c>
      <c r="DB11" s="276">
        <f>Dem!B372</f>
        <v>0.9</v>
      </c>
      <c r="DC11" s="275">
        <v>83.8</v>
      </c>
      <c r="DD11" s="46">
        <v>-0.49999999999998579</v>
      </c>
      <c r="DE11" s="275"/>
      <c r="DF11" s="276">
        <f>Dem!$D52+(DO11/4)</f>
        <v>43.2</v>
      </c>
      <c r="DG11" s="276">
        <f>Dem!$D92+(DO11/4)</f>
        <v>44.800000000000004</v>
      </c>
      <c r="DH11" s="276">
        <f>Dem!$D132+(DO11/4)</f>
        <v>44.800000000000004</v>
      </c>
      <c r="DI11" s="276">
        <f>Dem!$D172+(DO11/4)</f>
        <v>44.800000000000004</v>
      </c>
      <c r="DJ11" s="275">
        <f>Dem!$D252</f>
        <v>22.6</v>
      </c>
      <c r="DK11" s="275">
        <f>Dem!$D292</f>
        <v>11.3</v>
      </c>
      <c r="DL11" s="275">
        <f>Dem!$D332</f>
        <v>9</v>
      </c>
      <c r="DM11" s="275">
        <f>Dem!$D372</f>
        <v>2.2999999999999998</v>
      </c>
      <c r="DN11" s="276">
        <f t="shared" si="17"/>
        <v>226</v>
      </c>
      <c r="DO11" s="44">
        <v>-1.5999999999999943</v>
      </c>
    </row>
    <row r="12" spans="1:119">
      <c r="A12" s="46">
        <f t="shared" si="18"/>
        <v>1982</v>
      </c>
      <c r="B12" s="141">
        <f t="shared" si="8"/>
        <v>0.12946722462765092</v>
      </c>
      <c r="C12" s="46"/>
      <c r="D12" s="141">
        <f t="shared" si="9"/>
        <v>0.58068215000078527</v>
      </c>
      <c r="E12" s="141">
        <f t="shared" si="10"/>
        <v>0.45121492537313435</v>
      </c>
      <c r="F12" s="46"/>
      <c r="G12" s="157">
        <f t="shared" si="11"/>
        <v>3.611250123898066E-2</v>
      </c>
      <c r="H12" s="157">
        <f t="shared" si="1"/>
        <v>6.1697694168002748E-2</v>
      </c>
      <c r="I12" s="157">
        <f t="shared" si="1"/>
        <v>7.4758579911378673E-2</v>
      </c>
      <c r="J12" s="157">
        <f t="shared" si="1"/>
        <v>7.1717957628275181E-2</v>
      </c>
      <c r="K12" s="157">
        <f t="shared" si="1"/>
        <v>2.9319755611826551E-2</v>
      </c>
      <c r="L12" s="157">
        <f t="shared" si="1"/>
        <v>1.1559363306233323E-2</v>
      </c>
      <c r="M12" s="157">
        <f t="shared" si="1"/>
        <v>5.175223135695517E-3</v>
      </c>
      <c r="N12" s="157">
        <f t="shared" si="1"/>
        <v>0</v>
      </c>
      <c r="O12" s="46"/>
      <c r="P12" s="154">
        <f t="shared" si="19"/>
        <v>1.9437493805096722E-2</v>
      </c>
      <c r="Q12" s="154">
        <f t="shared" si="20"/>
        <v>9.151152915998631E-2</v>
      </c>
      <c r="R12" s="154">
        <f t="shared" si="20"/>
        <v>0.2262071004431068</v>
      </c>
      <c r="S12" s="154">
        <f t="shared" si="20"/>
        <v>0.44141021185862417</v>
      </c>
      <c r="T12" s="154">
        <f t="shared" si="20"/>
        <v>0.60680244388173454</v>
      </c>
      <c r="U12" s="154">
        <f t="shared" si="20"/>
        <v>0.71881273387533362</v>
      </c>
      <c r="V12" s="154">
        <f t="shared" si="20"/>
        <v>0.86061942160761218</v>
      </c>
      <c r="W12" s="162">
        <f t="shared" si="21"/>
        <v>1</v>
      </c>
      <c r="X12" s="154"/>
      <c r="Y12" s="142">
        <f t="shared" si="22"/>
        <v>3.124378109452737E-2</v>
      </c>
      <c r="Z12" s="142">
        <f t="shared" si="12"/>
        <v>4.995024875621891E-2</v>
      </c>
      <c r="AA12" s="142">
        <f t="shared" si="12"/>
        <v>5.8308457711442802E-2</v>
      </c>
      <c r="AB12" s="142">
        <f t="shared" si="12"/>
        <v>5.3532338308457716E-2</v>
      </c>
      <c r="AC12" s="142">
        <f t="shared" si="12"/>
        <v>2.1144278606965175E-2</v>
      </c>
      <c r="AD12" s="142">
        <f t="shared" si="12"/>
        <v>8.0472636815920439E-3</v>
      </c>
      <c r="AE12" s="142">
        <f t="shared" si="12"/>
        <v>3.381094527363189E-3</v>
      </c>
      <c r="AF12" s="142">
        <f t="shared" si="12"/>
        <v>0</v>
      </c>
      <c r="AH12" s="158">
        <f t="shared" si="13"/>
        <v>4.3781094527363187E-2</v>
      </c>
      <c r="AI12" s="158">
        <f t="shared" si="14"/>
        <v>0.15024875621890549</v>
      </c>
      <c r="AJ12" s="158">
        <f t="shared" si="14"/>
        <v>0.30845771144278611</v>
      </c>
      <c r="AK12" s="158">
        <f t="shared" si="14"/>
        <v>0.53233830845771146</v>
      </c>
      <c r="AL12" s="158">
        <f t="shared" si="14"/>
        <v>0.6885572139303483</v>
      </c>
      <c r="AM12" s="158">
        <f t="shared" si="14"/>
        <v>0.78905472636815921</v>
      </c>
      <c r="AN12" s="158">
        <f t="shared" si="14"/>
        <v>0.90547263681592038</v>
      </c>
      <c r="AO12" s="158">
        <v>1</v>
      </c>
      <c r="AP12" s="143"/>
      <c r="AQ12" s="143">
        <f t="shared" si="5"/>
        <v>1.9437493805096722E-2</v>
      </c>
      <c r="AR12" s="143">
        <f t="shared" si="5"/>
        <v>7.2074035354889585E-2</v>
      </c>
      <c r="AS12" s="143">
        <f t="shared" si="5"/>
        <v>0.13469557128312049</v>
      </c>
      <c r="AT12" s="143">
        <f t="shared" si="5"/>
        <v>0.2152031114155174</v>
      </c>
      <c r="AU12" s="143">
        <f t="shared" si="5"/>
        <v>0.16539223202311035</v>
      </c>
      <c r="AV12" s="143">
        <f t="shared" si="5"/>
        <v>0.11201028999359909</v>
      </c>
      <c r="AW12" s="143">
        <f t="shared" si="5"/>
        <v>0.14180668773227856</v>
      </c>
      <c r="AX12" s="143">
        <f t="shared" si="5"/>
        <v>0.13938057839238782</v>
      </c>
      <c r="AY12" s="46"/>
      <c r="AZ12" s="152">
        <f>Shares!D53</f>
        <v>4.4000000000000004</v>
      </c>
      <c r="BA12" s="152">
        <f>Shares!E53</f>
        <v>10.7</v>
      </c>
      <c r="BB12" s="152">
        <f>Shares!F53</f>
        <v>15.9</v>
      </c>
      <c r="BC12" s="152">
        <f>Shares!G53</f>
        <v>22.5</v>
      </c>
      <c r="BD12" s="152">
        <f>Shares!J53</f>
        <v>15.7</v>
      </c>
      <c r="BE12" s="152">
        <f>Shares!K53</f>
        <v>10.1</v>
      </c>
      <c r="BF12" s="152">
        <f>Shares!L53</f>
        <v>11.7</v>
      </c>
      <c r="BG12" s="152">
        <f>Shares!M53</f>
        <v>9.5</v>
      </c>
      <c r="BI12" s="246">
        <f>TxRt!B$53-TxRt!C$53+TxRt!C56</f>
        <v>9.9</v>
      </c>
      <c r="BJ12" s="246">
        <f>TxRt!B$96-TxRt!C$96+TxRt!C99</f>
        <v>15.2</v>
      </c>
      <c r="BK12" s="246">
        <f>TxRt!B$136-TxRt!C$136+TxRt!C139</f>
        <v>19.100000000000001</v>
      </c>
      <c r="BL12" s="246">
        <f>TxRt!B$176-TxRt!C$176+TxRt!C179</f>
        <v>21.6</v>
      </c>
      <c r="BM12" s="246">
        <f>TxRt!B$256-TxRt!C$256+TxRt!C259</f>
        <v>23.5</v>
      </c>
      <c r="BN12" s="246">
        <f>TxRt!B$296-TxRt!C$296+TxRt!C299</f>
        <v>24.9</v>
      </c>
      <c r="BO12" s="246">
        <f>TxRt!B$336-TxRt!C$336+TxRt!C339</f>
        <v>26.900000000000002</v>
      </c>
      <c r="BP12" s="246">
        <f>TxRt!B$376-TxRt!C$376+TxRt!C379</f>
        <v>33.1</v>
      </c>
      <c r="BQ12" s="46"/>
      <c r="BR12" s="60">
        <f>Inc!B53</f>
        <v>14200</v>
      </c>
      <c r="BS12" s="60">
        <f>Inc!B93</f>
        <v>34500</v>
      </c>
      <c r="BT12" s="60">
        <f>Inc!B133</f>
        <v>53900</v>
      </c>
      <c r="BU12" s="60">
        <f>Inc!B173</f>
        <v>75200</v>
      </c>
      <c r="BV12" s="60">
        <f>Inc!B253</f>
        <v>98000</v>
      </c>
      <c r="BW12" s="60">
        <f>Inc!B293</f>
        <v>121100</v>
      </c>
      <c r="BX12" s="60">
        <f>Inc!B333</f>
        <v>172600</v>
      </c>
      <c r="BY12" s="60">
        <f>Inc!B373</f>
        <v>566800</v>
      </c>
      <c r="CA12" s="60">
        <f t="shared" si="6"/>
        <v>1405.8</v>
      </c>
      <c r="CB12" s="60">
        <f t="shared" si="6"/>
        <v>5244</v>
      </c>
      <c r="CC12" s="60">
        <f t="shared" si="6"/>
        <v>10294.900000000001</v>
      </c>
      <c r="CD12" s="60">
        <f t="shared" si="6"/>
        <v>16243.2</v>
      </c>
      <c r="CE12" s="60">
        <f t="shared" si="6"/>
        <v>23030</v>
      </c>
      <c r="CF12" s="60">
        <f t="shared" si="6"/>
        <v>30153.9</v>
      </c>
      <c r="CG12" s="60">
        <f t="shared" si="6"/>
        <v>46429.4</v>
      </c>
      <c r="CH12" s="60">
        <f t="shared" si="6"/>
        <v>187610.8</v>
      </c>
      <c r="CJ12" s="153">
        <f t="shared" si="15"/>
        <v>23547.150000000005</v>
      </c>
      <c r="CK12" s="153">
        <f t="shared" si="7"/>
        <v>87312.600000000035</v>
      </c>
      <c r="CL12" s="153">
        <f t="shared" si="7"/>
        <v>163174.16500000007</v>
      </c>
      <c r="CM12" s="153">
        <f t="shared" si="7"/>
        <v>260703.36000000007</v>
      </c>
      <c r="CN12" s="153">
        <f t="shared" si="7"/>
        <v>200360.99999999997</v>
      </c>
      <c r="CO12" s="153">
        <f t="shared" si="7"/>
        <v>135692.55000000002</v>
      </c>
      <c r="CP12" s="153">
        <f t="shared" si="7"/>
        <v>171788.78000000003</v>
      </c>
      <c r="CQ12" s="153">
        <f t="shared" si="7"/>
        <v>168849.72</v>
      </c>
      <c r="CR12" s="153">
        <f t="shared" si="16"/>
        <v>1211429.3250000002</v>
      </c>
      <c r="CT12" s="403">
        <v>227.6</v>
      </c>
      <c r="CU12" s="276">
        <f>Dem!B53+(DD12/4)</f>
        <v>16.750000000000004</v>
      </c>
      <c r="CV12" s="276">
        <f>Dem!B93+(DD12/4)</f>
        <v>16.650000000000006</v>
      </c>
      <c r="CW12" s="276">
        <f>Dem!B133+(DD12/4)</f>
        <v>15.850000000000005</v>
      </c>
      <c r="CX12" s="276">
        <f>Dem!B173+(DD12/4)</f>
        <v>16.050000000000004</v>
      </c>
      <c r="CY12" s="276">
        <f>Dem!B253</f>
        <v>8.6999999999999993</v>
      </c>
      <c r="CZ12" s="276">
        <f>Dem!B293</f>
        <v>4.5</v>
      </c>
      <c r="DA12" s="276">
        <f>Dem!B333</f>
        <v>3.7</v>
      </c>
      <c r="DB12" s="276">
        <f>Dem!B373</f>
        <v>0.9</v>
      </c>
      <c r="DC12" s="275">
        <v>84.3</v>
      </c>
      <c r="DD12" s="46">
        <v>-0.5999999999999801</v>
      </c>
      <c r="DE12" s="275"/>
      <c r="DF12" s="276">
        <f>Dem!$D53+(DO12/4)</f>
        <v>43.500000000000007</v>
      </c>
      <c r="DG12" s="276">
        <f>Dem!$D93+(DO12/4)</f>
        <v>45.100000000000009</v>
      </c>
      <c r="DH12" s="276">
        <f>Dem!$D133+(DO12/4)</f>
        <v>45.100000000000009</v>
      </c>
      <c r="DI12" s="276">
        <f>Dem!$D173+(DO12/4)</f>
        <v>45.100000000000009</v>
      </c>
      <c r="DJ12" s="275">
        <f>Dem!$D253</f>
        <v>22.8</v>
      </c>
      <c r="DK12" s="275">
        <f>Dem!$D293</f>
        <v>11.4</v>
      </c>
      <c r="DL12" s="275">
        <f>Dem!$D333</f>
        <v>9.1</v>
      </c>
      <c r="DM12" s="275">
        <f>Dem!$D373</f>
        <v>2.2999999999999998</v>
      </c>
      <c r="DN12" s="276">
        <f t="shared" si="17"/>
        <v>227.6</v>
      </c>
      <c r="DO12" s="44">
        <v>-1.5999999999999659</v>
      </c>
    </row>
    <row r="13" spans="1:119">
      <c r="A13" s="46">
        <f t="shared" si="18"/>
        <v>1983</v>
      </c>
      <c r="B13" s="141">
        <f t="shared" si="8"/>
        <v>0.12357437425449597</v>
      </c>
      <c r="C13" s="46"/>
      <c r="D13" s="141">
        <f t="shared" si="9"/>
        <v>0.58740694625052381</v>
      </c>
      <c r="E13" s="141">
        <f t="shared" si="10"/>
        <v>0.46383257199602784</v>
      </c>
      <c r="F13" s="46"/>
      <c r="G13" s="157">
        <f t="shared" si="11"/>
        <v>3.6286810710823451E-2</v>
      </c>
      <c r="H13" s="157">
        <f t="shared" si="1"/>
        <v>6.2033760633924573E-2</v>
      </c>
      <c r="I13" s="157">
        <f t="shared" si="1"/>
        <v>7.536331864572697E-2</v>
      </c>
      <c r="J13" s="157">
        <f t="shared" si="1"/>
        <v>7.2554392905440412E-2</v>
      </c>
      <c r="K13" s="157">
        <f t="shared" si="1"/>
        <v>3.0009284395831982E-2</v>
      </c>
      <c r="L13" s="157">
        <f t="shared" si="1"/>
        <v>1.1863253609199693E-2</v>
      </c>
      <c r="M13" s="157">
        <f t="shared" si="1"/>
        <v>5.5926522243147534E-3</v>
      </c>
      <c r="N13" s="157">
        <f t="shared" si="1"/>
        <v>0</v>
      </c>
      <c r="O13" s="46"/>
      <c r="P13" s="154">
        <f t="shared" si="19"/>
        <v>1.8565946445882737E-2</v>
      </c>
      <c r="Q13" s="154">
        <f t="shared" si="20"/>
        <v>8.9831196830377158E-2</v>
      </c>
      <c r="R13" s="154">
        <f t="shared" si="20"/>
        <v>0.22318340677136531</v>
      </c>
      <c r="S13" s="154">
        <f t="shared" si="20"/>
        <v>0.43722803547279798</v>
      </c>
      <c r="T13" s="154">
        <f t="shared" si="20"/>
        <v>0.59990715604168021</v>
      </c>
      <c r="U13" s="154">
        <f t="shared" si="20"/>
        <v>0.71273492781600623</v>
      </c>
      <c r="V13" s="154">
        <f t="shared" si="20"/>
        <v>0.85018369439213126</v>
      </c>
      <c r="W13" s="162">
        <f t="shared" si="21"/>
        <v>1</v>
      </c>
      <c r="X13" s="154"/>
      <c r="Y13" s="142">
        <f t="shared" si="22"/>
        <v>3.1857000993048661E-2</v>
      </c>
      <c r="Z13" s="142">
        <f t="shared" si="12"/>
        <v>5.1002979145978157E-2</v>
      </c>
      <c r="AA13" s="142">
        <f t="shared" si="12"/>
        <v>5.9821251241310838E-2</v>
      </c>
      <c r="AB13" s="142">
        <f t="shared" si="12"/>
        <v>5.513406156901688E-2</v>
      </c>
      <c r="AC13" s="142">
        <f t="shared" si="12"/>
        <v>2.1976166832174772E-2</v>
      </c>
      <c r="AD13" s="142">
        <f t="shared" si="12"/>
        <v>8.4731876861966204E-3</v>
      </c>
      <c r="AE13" s="142">
        <f t="shared" si="12"/>
        <v>3.6516385302879819E-3</v>
      </c>
      <c r="AF13" s="142">
        <f t="shared" si="12"/>
        <v>0</v>
      </c>
      <c r="AH13" s="158">
        <f t="shared" si="13"/>
        <v>4.0714995034756701E-2</v>
      </c>
      <c r="AI13" s="158">
        <f t="shared" si="14"/>
        <v>0.14498510427010924</v>
      </c>
      <c r="AJ13" s="158">
        <f t="shared" si="14"/>
        <v>0.30089374379344591</v>
      </c>
      <c r="AK13" s="158">
        <f t="shared" si="14"/>
        <v>0.52432969215491565</v>
      </c>
      <c r="AL13" s="158">
        <f t="shared" si="14"/>
        <v>0.68023833167825232</v>
      </c>
      <c r="AM13" s="158">
        <f t="shared" si="14"/>
        <v>0.78053624627606766</v>
      </c>
      <c r="AN13" s="158">
        <f t="shared" si="14"/>
        <v>0.89870903674280056</v>
      </c>
      <c r="AO13" s="158">
        <v>1</v>
      </c>
      <c r="AP13" s="143"/>
      <c r="AQ13" s="143">
        <f t="shared" si="5"/>
        <v>1.8565946445882733E-2</v>
      </c>
      <c r="AR13" s="143">
        <f t="shared" si="5"/>
        <v>7.1265250384494411E-2</v>
      </c>
      <c r="AS13" s="143">
        <f t="shared" si="5"/>
        <v>0.13335220994098812</v>
      </c>
      <c r="AT13" s="143">
        <f t="shared" si="5"/>
        <v>0.21404462870143265</v>
      </c>
      <c r="AU13" s="143">
        <f t="shared" si="5"/>
        <v>0.1626791205688822</v>
      </c>
      <c r="AV13" s="143">
        <f t="shared" si="5"/>
        <v>0.112827771774326</v>
      </c>
      <c r="AW13" s="143">
        <f t="shared" si="5"/>
        <v>0.13744876657612506</v>
      </c>
      <c r="AX13" s="143">
        <f t="shared" si="5"/>
        <v>0.14981630560786866</v>
      </c>
      <c r="AY13" s="46"/>
      <c r="AZ13" s="152">
        <f>Shares!D54</f>
        <v>4.0999999999999996</v>
      </c>
      <c r="BA13" s="152">
        <f>Shares!E54</f>
        <v>10.5</v>
      </c>
      <c r="BB13" s="152">
        <f>Shares!F54</f>
        <v>15.7</v>
      </c>
      <c r="BC13" s="152">
        <f>Shares!G54</f>
        <v>22.5</v>
      </c>
      <c r="BD13" s="152">
        <f>Shares!J54</f>
        <v>15.7</v>
      </c>
      <c r="BE13" s="152">
        <f>Shares!K54</f>
        <v>10.1</v>
      </c>
      <c r="BF13" s="152">
        <f>Shares!L54</f>
        <v>11.9</v>
      </c>
      <c r="BG13" s="152">
        <f>Shares!M54</f>
        <v>10.199999999999999</v>
      </c>
      <c r="BI13" s="246">
        <f>TxRt!B$53-TxRt!C$53+TxRt!C57</f>
        <v>9.9</v>
      </c>
      <c r="BJ13" s="246">
        <f>TxRt!B$96-TxRt!C$96+TxRt!C100</f>
        <v>14.8</v>
      </c>
      <c r="BK13" s="246">
        <f>TxRt!B$136-TxRt!C$136+TxRt!C140</f>
        <v>18.400000000000002</v>
      </c>
      <c r="BL13" s="246">
        <f>TxRt!B$176-TxRt!C$176+TxRt!C180</f>
        <v>20.6</v>
      </c>
      <c r="BM13" s="246">
        <f>TxRt!B$256-TxRt!C$256+TxRt!C260</f>
        <v>22.4</v>
      </c>
      <c r="BN13" s="246">
        <f>TxRt!B$296-TxRt!C$296+TxRt!C300</f>
        <v>23.7</v>
      </c>
      <c r="BO13" s="246">
        <f>TxRt!B$336-TxRt!C$336+TxRt!C340</f>
        <v>25.1</v>
      </c>
      <c r="BP13" s="246">
        <f>TxRt!B$376-TxRt!C$376+TxRt!C380</f>
        <v>32.200000000000003</v>
      </c>
      <c r="BQ13" s="46"/>
      <c r="BR13" s="60">
        <f>Inc!B54</f>
        <v>13600</v>
      </c>
      <c r="BS13" s="60">
        <f>Inc!B94</f>
        <v>33700</v>
      </c>
      <c r="BT13" s="60">
        <f>Inc!B134</f>
        <v>53200</v>
      </c>
      <c r="BU13" s="60">
        <f>Inc!B174</f>
        <v>74900</v>
      </c>
      <c r="BV13" s="60">
        <f>Inc!B254</f>
        <v>99200</v>
      </c>
      <c r="BW13" s="60">
        <f>Inc!B294</f>
        <v>124400</v>
      </c>
      <c r="BX13" s="60">
        <f>Inc!B334</f>
        <v>177900</v>
      </c>
      <c r="BY13" s="60">
        <f>Inc!B374</f>
        <v>621400</v>
      </c>
      <c r="CA13" s="60">
        <f t="shared" si="6"/>
        <v>1346.4</v>
      </c>
      <c r="CB13" s="60">
        <f t="shared" si="6"/>
        <v>4987.6000000000004</v>
      </c>
      <c r="CC13" s="60">
        <f t="shared" si="6"/>
        <v>9788.8000000000011</v>
      </c>
      <c r="CD13" s="60">
        <f t="shared" si="6"/>
        <v>15429.4</v>
      </c>
      <c r="CE13" s="60">
        <f t="shared" si="6"/>
        <v>22220.799999999999</v>
      </c>
      <c r="CF13" s="60">
        <f t="shared" si="6"/>
        <v>29482.799999999999</v>
      </c>
      <c r="CG13" s="60">
        <f t="shared" si="6"/>
        <v>44652.9</v>
      </c>
      <c r="CH13" s="60">
        <f t="shared" si="6"/>
        <v>200090.8</v>
      </c>
      <c r="CJ13" s="153">
        <f t="shared" si="15"/>
        <v>22316.58</v>
      </c>
      <c r="CK13" s="153">
        <f t="shared" si="7"/>
        <v>85662.030000000013</v>
      </c>
      <c r="CL13" s="153">
        <f t="shared" si="7"/>
        <v>160291.6</v>
      </c>
      <c r="CM13" s="153">
        <f t="shared" si="7"/>
        <v>257285.245</v>
      </c>
      <c r="CN13" s="153">
        <f t="shared" si="7"/>
        <v>195543.04000000001</v>
      </c>
      <c r="CO13" s="153">
        <f t="shared" si="7"/>
        <v>135620.87999999998</v>
      </c>
      <c r="CP13" s="153">
        <f t="shared" si="7"/>
        <v>165215.73000000001</v>
      </c>
      <c r="CQ13" s="153">
        <f t="shared" si="7"/>
        <v>180081.72</v>
      </c>
      <c r="CR13" s="153">
        <f t="shared" si="16"/>
        <v>1202016.8250000002</v>
      </c>
      <c r="CT13" s="403">
        <v>229.4</v>
      </c>
      <c r="CU13" s="276">
        <f>Dem!B54+(DD13/4)</f>
        <v>16.574999999999999</v>
      </c>
      <c r="CV13" s="276">
        <f>Dem!B94+(DD13/4)</f>
        <v>17.175000000000001</v>
      </c>
      <c r="CW13" s="276">
        <f>Dem!B134+(DD13/4)</f>
        <v>16.375</v>
      </c>
      <c r="CX13" s="276">
        <f>Dem!B174+(DD13/4)</f>
        <v>16.675000000000001</v>
      </c>
      <c r="CY13" s="276">
        <f>Dem!B254</f>
        <v>8.8000000000000007</v>
      </c>
      <c r="CZ13" s="276">
        <f>Dem!B294</f>
        <v>4.5999999999999996</v>
      </c>
      <c r="DA13" s="276">
        <f>Dem!B334</f>
        <v>3.7</v>
      </c>
      <c r="DB13" s="276">
        <f>Dem!B374</f>
        <v>0.9</v>
      </c>
      <c r="DC13" s="275">
        <v>85.8</v>
      </c>
      <c r="DD13" s="46">
        <v>-0.5</v>
      </c>
      <c r="DE13" s="275"/>
      <c r="DF13" s="276">
        <f>Dem!$D54+(DO13/4)</f>
        <v>43.800000000000004</v>
      </c>
      <c r="DG13" s="276">
        <f>Dem!$D94+(DO13/4)</f>
        <v>45.5</v>
      </c>
      <c r="DH13" s="276">
        <f>Dem!$D134+(DO13/4)</f>
        <v>45.5</v>
      </c>
      <c r="DI13" s="276">
        <f>Dem!$D174+(DO13/4)</f>
        <v>45.5</v>
      </c>
      <c r="DJ13" s="275">
        <f>Dem!$D254</f>
        <v>22.9</v>
      </c>
      <c r="DK13" s="275">
        <f>Dem!$D294</f>
        <v>11.5</v>
      </c>
      <c r="DL13" s="275">
        <f>Dem!$D334</f>
        <v>9.1999999999999993</v>
      </c>
      <c r="DM13" s="275">
        <f>Dem!$D374</f>
        <v>2.2999999999999998</v>
      </c>
      <c r="DN13" s="276">
        <f t="shared" si="17"/>
        <v>229.4</v>
      </c>
      <c r="DO13" s="44">
        <v>-1.5999999999999943</v>
      </c>
    </row>
    <row r="14" spans="1:119">
      <c r="A14" s="46">
        <f t="shared" si="18"/>
        <v>1984</v>
      </c>
      <c r="B14" s="141">
        <f t="shared" si="8"/>
        <v>0.12139876100177521</v>
      </c>
      <c r="C14" s="46"/>
      <c r="D14" s="141">
        <f t="shared" si="9"/>
        <v>0.5856484134347445</v>
      </c>
      <c r="E14" s="141">
        <f t="shared" si="10"/>
        <v>0.46424965243296928</v>
      </c>
      <c r="F14" s="46"/>
      <c r="G14" s="157">
        <f t="shared" si="11"/>
        <v>3.5853498067262894E-2</v>
      </c>
      <c r="H14" s="157">
        <f t="shared" si="1"/>
        <v>6.1381626124229011E-2</v>
      </c>
      <c r="I14" s="157">
        <f t="shared" si="1"/>
        <v>7.4901669032328769E-2</v>
      </c>
      <c r="J14" s="157">
        <f t="shared" si="1"/>
        <v>7.2529243868881182E-2</v>
      </c>
      <c r="K14" s="157">
        <f t="shared" si="1"/>
        <v>3.0257487521185601E-2</v>
      </c>
      <c r="L14" s="157">
        <f t="shared" si="1"/>
        <v>1.2125667294871063E-2</v>
      </c>
      <c r="M14" s="157">
        <f t="shared" si="1"/>
        <v>5.775014808613723E-3</v>
      </c>
      <c r="N14" s="157">
        <f t="shared" si="1"/>
        <v>0</v>
      </c>
      <c r="O14" s="46"/>
      <c r="P14" s="154">
        <f t="shared" si="19"/>
        <v>2.0732509663685537E-2</v>
      </c>
      <c r="Q14" s="154">
        <f t="shared" si="20"/>
        <v>9.3091869378855011E-2</v>
      </c>
      <c r="R14" s="154">
        <f t="shared" si="20"/>
        <v>0.22549165483835626</v>
      </c>
      <c r="S14" s="154">
        <f t="shared" si="20"/>
        <v>0.43735378065559416</v>
      </c>
      <c r="T14" s="154">
        <f t="shared" si="20"/>
        <v>0.59742512478814402</v>
      </c>
      <c r="U14" s="154">
        <f t="shared" si="20"/>
        <v>0.70748665410257883</v>
      </c>
      <c r="V14" s="154">
        <f t="shared" si="20"/>
        <v>0.84562462978465702</v>
      </c>
      <c r="W14" s="162">
        <f t="shared" si="21"/>
        <v>1</v>
      </c>
      <c r="X14" s="154"/>
      <c r="Y14" s="142">
        <f t="shared" si="22"/>
        <v>3.145978152929494E-2</v>
      </c>
      <c r="Z14" s="142">
        <f t="shared" si="12"/>
        <v>5.0804369414101297E-2</v>
      </c>
      <c r="AA14" s="142">
        <f t="shared" si="12"/>
        <v>5.9821251241310838E-2</v>
      </c>
      <c r="AB14" s="142">
        <f t="shared" si="12"/>
        <v>5.5332671300893747E-2</v>
      </c>
      <c r="AC14" s="142">
        <f t="shared" si="12"/>
        <v>2.2274081429990069E-2</v>
      </c>
      <c r="AD14" s="142">
        <f t="shared" si="12"/>
        <v>8.622144985104269E-3</v>
      </c>
      <c r="AE14" s="142">
        <f t="shared" si="12"/>
        <v>3.810526315789473E-3</v>
      </c>
      <c r="AF14" s="142">
        <f t="shared" si="12"/>
        <v>0</v>
      </c>
      <c r="AH14" s="158">
        <f t="shared" si="13"/>
        <v>4.270109235352533E-2</v>
      </c>
      <c r="AI14" s="158">
        <f t="shared" si="14"/>
        <v>0.14597815292949357</v>
      </c>
      <c r="AJ14" s="158">
        <f t="shared" si="14"/>
        <v>0.30089374379344591</v>
      </c>
      <c r="AK14" s="158">
        <f t="shared" si="14"/>
        <v>0.52333664349553133</v>
      </c>
      <c r="AL14" s="158">
        <f t="shared" si="14"/>
        <v>0.67725918570009935</v>
      </c>
      <c r="AM14" s="158">
        <f t="shared" si="14"/>
        <v>0.77755710029791469</v>
      </c>
      <c r="AN14" s="158">
        <f t="shared" si="14"/>
        <v>0.89473684210526327</v>
      </c>
      <c r="AO14" s="158">
        <v>1</v>
      </c>
      <c r="AP14" s="143"/>
      <c r="AQ14" s="143">
        <f t="shared" si="5"/>
        <v>2.0732509663685537E-2</v>
      </c>
      <c r="AR14" s="143">
        <f t="shared" si="5"/>
        <v>7.2359359715169477E-2</v>
      </c>
      <c r="AS14" s="143">
        <f t="shared" si="5"/>
        <v>0.13239978545950126</v>
      </c>
      <c r="AT14" s="143">
        <f t="shared" si="5"/>
        <v>0.21186212581723793</v>
      </c>
      <c r="AU14" s="143">
        <f t="shared" si="5"/>
        <v>0.16007134413254986</v>
      </c>
      <c r="AV14" s="143">
        <f t="shared" si="5"/>
        <v>0.11006152931443478</v>
      </c>
      <c r="AW14" s="143">
        <f t="shared" si="5"/>
        <v>0.13813797568207817</v>
      </c>
      <c r="AX14" s="143">
        <f t="shared" si="5"/>
        <v>0.15437537021534292</v>
      </c>
      <c r="AY14" s="46"/>
      <c r="AZ14" s="152">
        <f>Shares!D55</f>
        <v>4.3</v>
      </c>
      <c r="BA14" s="152">
        <f>Shares!E55</f>
        <v>10.4</v>
      </c>
      <c r="BB14" s="152">
        <f>Shares!F55</f>
        <v>15.6</v>
      </c>
      <c r="BC14" s="152">
        <f>Shares!G55</f>
        <v>22.4</v>
      </c>
      <c r="BD14" s="152">
        <f>Shares!J55</f>
        <v>15.5</v>
      </c>
      <c r="BE14" s="152">
        <f>Shares!K55</f>
        <v>10.1</v>
      </c>
      <c r="BF14" s="152">
        <f>Shares!L55</f>
        <v>11.8</v>
      </c>
      <c r="BG14" s="152">
        <f>Shares!M55</f>
        <v>10.6</v>
      </c>
      <c r="BI14" s="246">
        <f>TxRt!B$53-TxRt!C$53+TxRt!C58</f>
        <v>10.3</v>
      </c>
      <c r="BJ14" s="246">
        <f>TxRt!B$96-TxRt!C$96+TxRt!C101</f>
        <v>15</v>
      </c>
      <c r="BK14" s="246">
        <f>TxRt!B$136-TxRt!C$136+TxRt!C141</f>
        <v>18.3</v>
      </c>
      <c r="BL14" s="246">
        <f>TxRt!B$176-TxRt!C$176+TxRt!C181</f>
        <v>20.399999999999999</v>
      </c>
      <c r="BM14" s="246">
        <f>TxRt!B$256-TxRt!C$256+TxRt!C261</f>
        <v>22</v>
      </c>
      <c r="BN14" s="246">
        <f>TxRt!B$296-TxRt!C$296+TxRt!C301</f>
        <v>23.4</v>
      </c>
      <c r="BO14" s="246">
        <f>TxRt!B$336-TxRt!C$336+TxRt!C341</f>
        <v>24.8</v>
      </c>
      <c r="BP14" s="246">
        <f>TxRt!B$376-TxRt!C$376+TxRt!C381</f>
        <v>32</v>
      </c>
      <c r="BQ14" s="46"/>
      <c r="BR14" s="60">
        <f>Inc!B55</f>
        <v>14600</v>
      </c>
      <c r="BS14" s="60">
        <f>Inc!B95</f>
        <v>35800</v>
      </c>
      <c r="BT14" s="60">
        <f>Inc!B135</f>
        <v>56300</v>
      </c>
      <c r="BU14" s="60">
        <f>Inc!B175</f>
        <v>78900</v>
      </c>
      <c r="BV14" s="60">
        <f>Inc!B255</f>
        <v>106000</v>
      </c>
      <c r="BW14" s="60">
        <f>Inc!B295</f>
        <v>134000</v>
      </c>
      <c r="BX14" s="60">
        <f>Inc!B335</f>
        <v>193000</v>
      </c>
      <c r="BY14" s="60">
        <f>Inc!B375</f>
        <v>687200</v>
      </c>
      <c r="CA14" s="60">
        <f t="shared" si="6"/>
        <v>1503.8</v>
      </c>
      <c r="CB14" s="60">
        <f t="shared" si="6"/>
        <v>5370</v>
      </c>
      <c r="CC14" s="60">
        <f t="shared" si="6"/>
        <v>10302.9</v>
      </c>
      <c r="CD14" s="60">
        <f t="shared" si="6"/>
        <v>16095.6</v>
      </c>
      <c r="CE14" s="60">
        <f t="shared" si="6"/>
        <v>23320</v>
      </c>
      <c r="CF14" s="60">
        <f t="shared" si="6"/>
        <v>31356</v>
      </c>
      <c r="CG14" s="60">
        <f t="shared" si="6"/>
        <v>47864</v>
      </c>
      <c r="CH14" s="60">
        <f t="shared" si="6"/>
        <v>219904</v>
      </c>
      <c r="CJ14" s="153">
        <f t="shared" si="15"/>
        <v>26579.665000000005</v>
      </c>
      <c r="CK14" s="153">
        <f t="shared" si="7"/>
        <v>92766.750000000015</v>
      </c>
      <c r="CL14" s="153">
        <f t="shared" si="7"/>
        <v>169740.27750000005</v>
      </c>
      <c r="CM14" s="153">
        <f t="shared" si="7"/>
        <v>271613.25000000006</v>
      </c>
      <c r="CN14" s="153">
        <f t="shared" si="7"/>
        <v>205216.00000000003</v>
      </c>
      <c r="CO14" s="153">
        <f t="shared" si="7"/>
        <v>141102</v>
      </c>
      <c r="CP14" s="153">
        <f t="shared" si="7"/>
        <v>177096.80000000002</v>
      </c>
      <c r="CQ14" s="153">
        <f t="shared" si="7"/>
        <v>197913.60000000001</v>
      </c>
      <c r="CR14" s="153">
        <f t="shared" si="16"/>
        <v>1282028.3425000003</v>
      </c>
      <c r="CT14" s="403">
        <v>231.3</v>
      </c>
      <c r="CU14" s="276">
        <f>Dem!B55+(DD14/4)</f>
        <v>17.675000000000004</v>
      </c>
      <c r="CV14" s="276">
        <f>Dem!B95+(DD14/4)</f>
        <v>17.275000000000002</v>
      </c>
      <c r="CW14" s="276">
        <f>Dem!B135+(DD14/4)</f>
        <v>16.475000000000005</v>
      </c>
      <c r="CX14" s="276">
        <f>Dem!B175+(DD14/4)</f>
        <v>16.875000000000004</v>
      </c>
      <c r="CY14" s="276">
        <f>Dem!B255</f>
        <v>8.8000000000000007</v>
      </c>
      <c r="CZ14" s="276">
        <f>Dem!B295</f>
        <v>4.5</v>
      </c>
      <c r="DA14" s="276">
        <f>Dem!B335</f>
        <v>3.7</v>
      </c>
      <c r="DB14" s="276">
        <f>Dem!B375</f>
        <v>0.9</v>
      </c>
      <c r="DC14" s="275">
        <v>87.2</v>
      </c>
      <c r="DD14" s="46">
        <v>-0.49999999999998579</v>
      </c>
      <c r="DE14" s="275"/>
      <c r="DF14" s="276">
        <f>Dem!$D55+(DO14/4)</f>
        <v>44.20000000000001</v>
      </c>
      <c r="DG14" s="276">
        <f>Dem!$D95+(DO14/4)</f>
        <v>45.800000000000011</v>
      </c>
      <c r="DH14" s="276">
        <f>Dem!$D135+(DO14/4)</f>
        <v>45.900000000000006</v>
      </c>
      <c r="DI14" s="276">
        <f>Dem!$D175+(DO14/4)</f>
        <v>45.900000000000006</v>
      </c>
      <c r="DJ14" s="275">
        <f>Dem!$D255</f>
        <v>23.1</v>
      </c>
      <c r="DK14" s="275">
        <f>Dem!$D295</f>
        <v>11.6</v>
      </c>
      <c r="DL14" s="275">
        <f>Dem!$D335</f>
        <v>9.3000000000000007</v>
      </c>
      <c r="DM14" s="275">
        <f>Dem!$D375</f>
        <v>2.2999999999999998</v>
      </c>
      <c r="DN14" s="276">
        <f t="shared" si="17"/>
        <v>231.3</v>
      </c>
      <c r="DO14" s="44">
        <v>-1.5999999999999659</v>
      </c>
    </row>
    <row r="15" spans="1:119">
      <c r="A15" s="46">
        <f t="shared" si="18"/>
        <v>1985</v>
      </c>
      <c r="B15" s="141">
        <f t="shared" si="8"/>
        <v>0.12752886764330373</v>
      </c>
      <c r="C15" s="46"/>
      <c r="D15" s="141">
        <f t="shared" si="9"/>
        <v>0.60276266486000363</v>
      </c>
      <c r="E15" s="141">
        <f t="shared" si="10"/>
        <v>0.47523379721669989</v>
      </c>
      <c r="F15" s="46"/>
      <c r="G15" s="157">
        <f t="shared" si="11"/>
        <v>3.6180018594828632E-2</v>
      </c>
      <c r="H15" s="157">
        <f t="shared" si="1"/>
        <v>6.2172985378187974E-2</v>
      </c>
      <c r="I15" s="157">
        <f t="shared" si="1"/>
        <v>7.6463321334461001E-2</v>
      </c>
      <c r="J15" s="157">
        <f t="shared" si="1"/>
        <v>7.5277948582604504E-2</v>
      </c>
      <c r="K15" s="157">
        <f t="shared" si="1"/>
        <v>3.1834327350733119E-2</v>
      </c>
      <c r="L15" s="157">
        <f t="shared" si="1"/>
        <v>1.2958067274248714E-2</v>
      </c>
      <c r="M15" s="157">
        <f t="shared" si="1"/>
        <v>6.4946639149379287E-3</v>
      </c>
      <c r="N15" s="157">
        <f t="shared" si="1"/>
        <v>0</v>
      </c>
      <c r="O15" s="46"/>
      <c r="P15" s="154">
        <f t="shared" si="19"/>
        <v>1.909990702585684E-2</v>
      </c>
      <c r="Q15" s="154">
        <f t="shared" si="20"/>
        <v>8.9135073109060145E-2</v>
      </c>
      <c r="R15" s="154">
        <f t="shared" si="20"/>
        <v>0.2176833933276951</v>
      </c>
      <c r="S15" s="154">
        <f t="shared" si="20"/>
        <v>0.42361025708697753</v>
      </c>
      <c r="T15" s="154">
        <f t="shared" si="20"/>
        <v>0.58165672649266886</v>
      </c>
      <c r="U15" s="154">
        <f t="shared" si="20"/>
        <v>0.6908386545150258</v>
      </c>
      <c r="V15" s="154">
        <f t="shared" si="20"/>
        <v>0.8276334021265519</v>
      </c>
      <c r="W15" s="162">
        <f t="shared" si="21"/>
        <v>1</v>
      </c>
      <c r="X15" s="154"/>
      <c r="Y15" s="142">
        <f t="shared" si="22"/>
        <v>3.1848906560636187E-2</v>
      </c>
      <c r="Z15" s="142">
        <f t="shared" si="12"/>
        <v>5.1570576540755475E-2</v>
      </c>
      <c r="AA15" s="142">
        <f t="shared" si="12"/>
        <v>6.095427435387675E-2</v>
      </c>
      <c r="AB15" s="142">
        <f t="shared" si="12"/>
        <v>5.7017892644135197E-2</v>
      </c>
      <c r="AC15" s="142">
        <f t="shared" si="12"/>
        <v>2.3101391650099404E-2</v>
      </c>
      <c r="AD15" s="142">
        <f t="shared" si="12"/>
        <v>9.0308151093439377E-3</v>
      </c>
      <c r="AE15" s="142">
        <f t="shared" si="12"/>
        <v>4.0930417495029835E-3</v>
      </c>
      <c r="AF15" s="142">
        <f t="shared" si="12"/>
        <v>0</v>
      </c>
      <c r="AH15" s="158">
        <f t="shared" si="13"/>
        <v>4.0755467196819085E-2</v>
      </c>
      <c r="AI15" s="158">
        <f t="shared" si="14"/>
        <v>0.14214711729622267</v>
      </c>
      <c r="AJ15" s="158">
        <f t="shared" si="14"/>
        <v>0.29522862823061635</v>
      </c>
      <c r="AK15" s="158">
        <f t="shared" si="14"/>
        <v>0.51491053677932408</v>
      </c>
      <c r="AL15" s="158">
        <f t="shared" si="14"/>
        <v>0.66898608349900601</v>
      </c>
      <c r="AM15" s="158">
        <f t="shared" si="14"/>
        <v>0.76938369781312133</v>
      </c>
      <c r="AN15" s="158">
        <f t="shared" si="14"/>
        <v>0.88767395626242551</v>
      </c>
      <c r="AO15" s="158">
        <v>1</v>
      </c>
      <c r="AP15" s="143"/>
      <c r="AQ15" s="143">
        <f t="shared" si="5"/>
        <v>1.9099907025856844E-2</v>
      </c>
      <c r="AR15" s="143">
        <f t="shared" si="5"/>
        <v>7.0035166083203315E-2</v>
      </c>
      <c r="AS15" s="143">
        <f t="shared" si="5"/>
        <v>0.12854832021863496</v>
      </c>
      <c r="AT15" s="143">
        <f t="shared" si="5"/>
        <v>0.20592686375928251</v>
      </c>
      <c r="AU15" s="143">
        <f t="shared" si="5"/>
        <v>0.15804646940569139</v>
      </c>
      <c r="AV15" s="143">
        <f t="shared" si="5"/>
        <v>0.10918192802235696</v>
      </c>
      <c r="AW15" s="143">
        <f t="shared" si="5"/>
        <v>0.13679474761152607</v>
      </c>
      <c r="AX15" s="143">
        <f t="shared" si="5"/>
        <v>0.17236659787344805</v>
      </c>
      <c r="AY15" s="46"/>
      <c r="AZ15" s="152">
        <f>Shares!D56</f>
        <v>4.0999999999999996</v>
      </c>
      <c r="BA15" s="152">
        <f>Shares!E56</f>
        <v>10.199999999999999</v>
      </c>
      <c r="BB15" s="152">
        <f>Shares!F56</f>
        <v>15.4</v>
      </c>
      <c r="BC15" s="152">
        <f>Shares!G56</f>
        <v>22.1</v>
      </c>
      <c r="BD15" s="152">
        <f>Shares!J56</f>
        <v>15.5</v>
      </c>
      <c r="BE15" s="152">
        <f>Shares!K56</f>
        <v>10.1</v>
      </c>
      <c r="BF15" s="152">
        <f>Shares!L56</f>
        <v>11.9</v>
      </c>
      <c r="BG15" s="152">
        <f>Shares!M56</f>
        <v>11.3</v>
      </c>
      <c r="BI15" s="246">
        <f>TxRt!B$53-TxRt!C$53+TxRt!C59</f>
        <v>10.1</v>
      </c>
      <c r="BJ15" s="246">
        <f>TxRt!B$96-TxRt!C$96+TxRt!C102</f>
        <v>15</v>
      </c>
      <c r="BK15" s="246">
        <f>TxRt!B$136-TxRt!C$136+TxRt!C142</f>
        <v>18.200000000000003</v>
      </c>
      <c r="BL15" s="246">
        <f>TxRt!B$176-TxRt!C$176+TxRt!C182</f>
        <v>20.399999999999999</v>
      </c>
      <c r="BM15" s="246">
        <f>TxRt!B$256-TxRt!C$256+TxRt!C262</f>
        <v>22.1</v>
      </c>
      <c r="BN15" s="246">
        <f>TxRt!B$296-TxRt!C$296+TxRt!C302</f>
        <v>23.5</v>
      </c>
      <c r="BO15" s="246">
        <f>TxRt!B$336-TxRt!C$336+TxRt!C342</f>
        <v>24.9</v>
      </c>
      <c r="BP15" s="246">
        <f>TxRt!B$376-TxRt!C$376+TxRt!C382</f>
        <v>31.6</v>
      </c>
      <c r="BQ15" s="46"/>
      <c r="BR15" s="60">
        <f>Inc!B56</f>
        <v>14500</v>
      </c>
      <c r="BS15" s="60">
        <f>Inc!B96</f>
        <v>35800</v>
      </c>
      <c r="BT15" s="60">
        <f>Inc!B136</f>
        <v>56400</v>
      </c>
      <c r="BU15" s="60">
        <f>Inc!B176</f>
        <v>79200</v>
      </c>
      <c r="BV15" s="60">
        <f>Inc!B256</f>
        <v>104900</v>
      </c>
      <c r="BW15" s="60">
        <f>Inc!B296</f>
        <v>133400</v>
      </c>
      <c r="BX15" s="60">
        <f>Inc!B336</f>
        <v>195100</v>
      </c>
      <c r="BY15" s="60">
        <f>Inc!B376</f>
        <v>736100</v>
      </c>
      <c r="CA15" s="60">
        <f t="shared" si="6"/>
        <v>1464.5</v>
      </c>
      <c r="CB15" s="60">
        <f t="shared" si="6"/>
        <v>5370</v>
      </c>
      <c r="CC15" s="60">
        <f t="shared" si="6"/>
        <v>10264.800000000001</v>
      </c>
      <c r="CD15" s="60">
        <f t="shared" si="6"/>
        <v>16156.8</v>
      </c>
      <c r="CE15" s="60">
        <f t="shared" si="6"/>
        <v>23182.9</v>
      </c>
      <c r="CF15" s="60">
        <f t="shared" si="6"/>
        <v>31349</v>
      </c>
      <c r="CG15" s="60">
        <f t="shared" si="6"/>
        <v>48579.9</v>
      </c>
      <c r="CH15" s="60">
        <f t="shared" si="6"/>
        <v>232607.6</v>
      </c>
      <c r="CJ15" s="153">
        <f t="shared" si="15"/>
        <v>25775.200000000001</v>
      </c>
      <c r="CK15" s="153">
        <f t="shared" si="7"/>
        <v>94512.000000000015</v>
      </c>
      <c r="CL15" s="153">
        <f t="shared" si="7"/>
        <v>173475.12000000005</v>
      </c>
      <c r="CM15" s="153">
        <f t="shared" si="7"/>
        <v>277896.96000000002</v>
      </c>
      <c r="CN15" s="153">
        <f t="shared" si="7"/>
        <v>213282.68</v>
      </c>
      <c r="CO15" s="153">
        <f t="shared" si="7"/>
        <v>147340.30000000002</v>
      </c>
      <c r="CP15" s="153">
        <f t="shared" si="7"/>
        <v>184603.62</v>
      </c>
      <c r="CQ15" s="153">
        <f t="shared" si="7"/>
        <v>232607.6</v>
      </c>
      <c r="CR15" s="153">
        <f t="shared" si="16"/>
        <v>1349493.48</v>
      </c>
      <c r="CT15" s="403">
        <v>234.6</v>
      </c>
      <c r="CU15" s="276">
        <f>Dem!B56+(DD15/4)</f>
        <v>17.600000000000001</v>
      </c>
      <c r="CV15" s="276">
        <f>Dem!B96+(DD15/4)</f>
        <v>17.600000000000001</v>
      </c>
      <c r="CW15" s="276">
        <f>Dem!B136+(DD15/4)</f>
        <v>16.900000000000002</v>
      </c>
      <c r="CX15" s="276">
        <f>Dem!B176+(DD15/4)</f>
        <v>17.200000000000003</v>
      </c>
      <c r="CY15" s="276">
        <f>Dem!B256</f>
        <v>9.1999999999999993</v>
      </c>
      <c r="CZ15" s="276">
        <f>Dem!B296</f>
        <v>4.7</v>
      </c>
      <c r="DA15" s="276">
        <f>Dem!B336</f>
        <v>3.8</v>
      </c>
      <c r="DB15" s="276">
        <f>Dem!B376</f>
        <v>1</v>
      </c>
      <c r="DC15" s="275">
        <v>88.8</v>
      </c>
      <c r="DD15" s="46">
        <v>-0.39999999999999147</v>
      </c>
      <c r="DE15" s="275"/>
      <c r="DF15" s="276">
        <f>Dem!$D56+(DO15/4)</f>
        <v>44.750000000000007</v>
      </c>
      <c r="DG15" s="276">
        <f>Dem!$D96+(DO15/4)</f>
        <v>46.45</v>
      </c>
      <c r="DH15" s="276">
        <f>Dem!$D136+(DO15/4)</f>
        <v>46.45</v>
      </c>
      <c r="DI15" s="276">
        <f>Dem!$D176+(DO15/4)</f>
        <v>46.45</v>
      </c>
      <c r="DJ15" s="275">
        <f>Dem!$D256</f>
        <v>23.5</v>
      </c>
      <c r="DK15" s="275">
        <f>Dem!$D296</f>
        <v>11.7</v>
      </c>
      <c r="DL15" s="275">
        <f>Dem!$D336</f>
        <v>9.4</v>
      </c>
      <c r="DM15" s="275">
        <f>Dem!$D376</f>
        <v>2.2999999999999998</v>
      </c>
      <c r="DN15" s="276">
        <f t="shared" si="17"/>
        <v>234.6</v>
      </c>
      <c r="DO15" s="44">
        <v>-1.7999999999999829</v>
      </c>
    </row>
    <row r="16" spans="1:119">
      <c r="A16" s="46">
        <f t="shared" si="18"/>
        <v>1986</v>
      </c>
      <c r="B16" s="141">
        <f t="shared" si="8"/>
        <v>0.12880218848413449</v>
      </c>
      <c r="C16" s="46"/>
      <c r="D16" s="141">
        <f t="shared" si="9"/>
        <v>0.62985422423388637</v>
      </c>
      <c r="E16" s="141">
        <f t="shared" si="10"/>
        <v>0.50105203574975188</v>
      </c>
      <c r="F16" s="46"/>
      <c r="G16" s="157">
        <f t="shared" si="11"/>
        <v>3.6534402377346648E-2</v>
      </c>
      <c r="H16" s="157">
        <f t="shared" si="1"/>
        <v>6.3385989174733579E-2</v>
      </c>
      <c r="I16" s="157">
        <f t="shared" si="1"/>
        <v>7.8798580764339099E-2</v>
      </c>
      <c r="J16" s="157">
        <f t="shared" si="1"/>
        <v>7.9269138437894612E-2</v>
      </c>
      <c r="K16" s="157">
        <f t="shared" si="1"/>
        <v>3.4626363219177995E-2</v>
      </c>
      <c r="L16" s="157">
        <f t="shared" si="1"/>
        <v>1.4566908893156889E-2</v>
      </c>
      <c r="M16" s="157">
        <f t="shared" si="1"/>
        <v>7.7457292502943796E-3</v>
      </c>
      <c r="N16" s="157">
        <f t="shared" si="1"/>
        <v>0</v>
      </c>
      <c r="O16" s="46"/>
      <c r="P16" s="154">
        <f t="shared" si="19"/>
        <v>1.7327988113266777E-2</v>
      </c>
      <c r="Q16" s="154">
        <f t="shared" si="20"/>
        <v>8.3070054126332157E-2</v>
      </c>
      <c r="R16" s="154">
        <f t="shared" si="20"/>
        <v>0.20600709617830465</v>
      </c>
      <c r="S16" s="154">
        <f t="shared" si="20"/>
        <v>0.40365430781052702</v>
      </c>
      <c r="T16" s="154">
        <f t="shared" si="20"/>
        <v>0.55373636780822011</v>
      </c>
      <c r="U16" s="154">
        <f t="shared" si="20"/>
        <v>0.65866182213686231</v>
      </c>
      <c r="V16" s="154">
        <f t="shared" si="20"/>
        <v>0.79635676874264061</v>
      </c>
      <c r="W16" s="162">
        <f t="shared" si="21"/>
        <v>1</v>
      </c>
      <c r="X16" s="154"/>
      <c r="Y16" s="142">
        <f t="shared" si="22"/>
        <v>3.2254220456802388E-2</v>
      </c>
      <c r="Z16" s="142">
        <f t="shared" si="12"/>
        <v>5.2989076464746779E-2</v>
      </c>
      <c r="AA16" s="142">
        <f t="shared" si="12"/>
        <v>6.3396226415094376E-2</v>
      </c>
      <c r="AB16" s="142">
        <f t="shared" si="12"/>
        <v>6.0893743793445899E-2</v>
      </c>
      <c r="AC16" s="142">
        <f t="shared" si="12"/>
        <v>2.5551142005958306E-2</v>
      </c>
      <c r="AD16" s="142">
        <f t="shared" si="12"/>
        <v>1.0359980139026821E-2</v>
      </c>
      <c r="AE16" s="142">
        <f t="shared" si="12"/>
        <v>5.0816285998013955E-3</v>
      </c>
      <c r="AF16" s="142">
        <f t="shared" si="12"/>
        <v>0</v>
      </c>
      <c r="AH16" s="158">
        <f t="shared" si="13"/>
        <v>3.872889771598808E-2</v>
      </c>
      <c r="AI16" s="158">
        <f t="shared" si="14"/>
        <v>0.13505461767626611</v>
      </c>
      <c r="AJ16" s="158">
        <f t="shared" si="14"/>
        <v>0.28301886792452824</v>
      </c>
      <c r="AK16" s="158">
        <f t="shared" si="14"/>
        <v>0.49553128103277055</v>
      </c>
      <c r="AL16" s="158">
        <f t="shared" si="14"/>
        <v>0.64448857994041697</v>
      </c>
      <c r="AM16" s="158">
        <f t="shared" si="14"/>
        <v>0.74280039721946367</v>
      </c>
      <c r="AN16" s="158">
        <f t="shared" si="14"/>
        <v>0.86295928500496522</v>
      </c>
      <c r="AO16" s="158">
        <v>1</v>
      </c>
      <c r="AP16" s="143"/>
      <c r="AQ16" s="143">
        <f t="shared" si="5"/>
        <v>1.7327988113266773E-2</v>
      </c>
      <c r="AR16" s="143">
        <f t="shared" si="5"/>
        <v>6.574206601306537E-2</v>
      </c>
      <c r="AS16" s="143">
        <f t="shared" si="5"/>
        <v>0.12293704205197249</v>
      </c>
      <c r="AT16" s="143">
        <f t="shared" si="5"/>
        <v>0.19764721163222232</v>
      </c>
      <c r="AU16" s="143">
        <f t="shared" si="5"/>
        <v>0.15008205999769303</v>
      </c>
      <c r="AV16" s="143">
        <f t="shared" si="5"/>
        <v>0.10492545432864223</v>
      </c>
      <c r="AW16" s="143">
        <f t="shared" si="5"/>
        <v>0.1376949466057783</v>
      </c>
      <c r="AX16" s="143">
        <f t="shared" si="5"/>
        <v>0.20364323125735942</v>
      </c>
      <c r="AY16" s="46"/>
      <c r="AZ16" s="152">
        <f>Shares!D57</f>
        <v>3.9</v>
      </c>
      <c r="BA16" s="152">
        <f>Shares!E57</f>
        <v>9.6999999999999993</v>
      </c>
      <c r="BB16" s="152">
        <f>Shares!F57</f>
        <v>14.9</v>
      </c>
      <c r="BC16" s="152">
        <f>Shares!G57</f>
        <v>21.4</v>
      </c>
      <c r="BD16" s="152">
        <f>Shares!J57</f>
        <v>15</v>
      </c>
      <c r="BE16" s="152">
        <f>Shares!K57</f>
        <v>9.9</v>
      </c>
      <c r="BF16" s="152">
        <f>Shares!L57</f>
        <v>12.1</v>
      </c>
      <c r="BG16" s="152">
        <f>Shares!M57</f>
        <v>13.8</v>
      </c>
      <c r="BI16" s="246">
        <f>TxRt!B$53-TxRt!C$53+TxRt!C60</f>
        <v>9.9</v>
      </c>
      <c r="BJ16" s="246">
        <f>TxRt!B$96-TxRt!C$96+TxRt!C103</f>
        <v>14.9</v>
      </c>
      <c r="BK16" s="246">
        <f>TxRt!B$136-TxRt!C$136+TxRt!C143</f>
        <v>18.200000000000003</v>
      </c>
      <c r="BL16" s="246">
        <f>TxRt!B$176-TxRt!C$176+TxRt!C183</f>
        <v>20.399999999999999</v>
      </c>
      <c r="BM16" s="246">
        <f>TxRt!B$256-TxRt!C$256+TxRt!C263</f>
        <v>22.1</v>
      </c>
      <c r="BN16" s="246">
        <f>TxRt!B$296-TxRt!C$296+TxRt!C303</f>
        <v>23.5</v>
      </c>
      <c r="BO16" s="246">
        <f>TxRt!B$336-TxRt!C$336+TxRt!C343</f>
        <v>25.1</v>
      </c>
      <c r="BP16" s="246">
        <f>TxRt!B$376-TxRt!C$376+TxRt!C383</f>
        <v>31.1</v>
      </c>
      <c r="BQ16" s="46"/>
      <c r="BR16" s="60">
        <f>Inc!B57</f>
        <v>14400</v>
      </c>
      <c r="BS16" s="60">
        <f>Inc!B97</f>
        <v>36300</v>
      </c>
      <c r="BT16" s="60">
        <f>Inc!B137</f>
        <v>57500</v>
      </c>
      <c r="BU16" s="60">
        <f>Inc!B177</f>
        <v>82000</v>
      </c>
      <c r="BV16" s="60">
        <f>Inc!B257</f>
        <v>109900</v>
      </c>
      <c r="BW16" s="60">
        <f>Inc!B297</f>
        <v>139900</v>
      </c>
      <c r="BX16" s="60">
        <f>Inc!B337</f>
        <v>212600</v>
      </c>
      <c r="BY16" s="60">
        <f>Inc!B377</f>
        <v>964300</v>
      </c>
      <c r="CA16" s="60">
        <f t="shared" si="6"/>
        <v>1425.6</v>
      </c>
      <c r="CB16" s="60">
        <f t="shared" si="6"/>
        <v>5408.7</v>
      </c>
      <c r="CC16" s="60">
        <f t="shared" si="6"/>
        <v>10465.000000000002</v>
      </c>
      <c r="CD16" s="60">
        <f t="shared" si="6"/>
        <v>16727.999999999996</v>
      </c>
      <c r="CE16" s="60">
        <f t="shared" si="6"/>
        <v>24287.9</v>
      </c>
      <c r="CF16" s="60">
        <f t="shared" si="6"/>
        <v>32876.5</v>
      </c>
      <c r="CG16" s="60">
        <f t="shared" si="6"/>
        <v>53362.6</v>
      </c>
      <c r="CH16" s="60">
        <f t="shared" si="6"/>
        <v>299897.3</v>
      </c>
      <c r="CJ16" s="153">
        <f t="shared" si="15"/>
        <v>25518.239999999998</v>
      </c>
      <c r="CK16" s="153">
        <f t="shared" si="7"/>
        <v>96815.73</v>
      </c>
      <c r="CL16" s="153">
        <f t="shared" si="7"/>
        <v>181044.5</v>
      </c>
      <c r="CM16" s="153">
        <f t="shared" si="7"/>
        <v>291067.1999999999</v>
      </c>
      <c r="CN16" s="153">
        <f t="shared" si="7"/>
        <v>221019.89</v>
      </c>
      <c r="CO16" s="153">
        <f t="shared" si="7"/>
        <v>154519.55000000002</v>
      </c>
      <c r="CP16" s="153">
        <f t="shared" si="7"/>
        <v>202777.87999999998</v>
      </c>
      <c r="CQ16" s="153">
        <f t="shared" si="7"/>
        <v>299897.3</v>
      </c>
      <c r="CR16" s="153">
        <f t="shared" si="16"/>
        <v>1472660.29</v>
      </c>
      <c r="CT16" s="403">
        <v>237.1</v>
      </c>
      <c r="CU16" s="276">
        <f>Dem!B57+(DD16/4)</f>
        <v>17.899999999999999</v>
      </c>
      <c r="CV16" s="276">
        <f>Dem!B97+(DD16/4)</f>
        <v>17.899999999999999</v>
      </c>
      <c r="CW16" s="276">
        <f>Dem!B137+(DD16/4)</f>
        <v>17.299999999999997</v>
      </c>
      <c r="CX16" s="276">
        <f>Dem!B177+(DD16/4)</f>
        <v>17.399999999999999</v>
      </c>
      <c r="CY16" s="276">
        <f>Dem!B257</f>
        <v>9.1</v>
      </c>
      <c r="CZ16" s="276">
        <f>Dem!B297</f>
        <v>4.7</v>
      </c>
      <c r="DA16" s="276">
        <f>Dem!B337</f>
        <v>3.8</v>
      </c>
      <c r="DB16" s="276">
        <f>Dem!B377</f>
        <v>1</v>
      </c>
      <c r="DC16" s="275">
        <v>89.9</v>
      </c>
      <c r="DD16" s="46">
        <v>-0.40000000000000568</v>
      </c>
      <c r="DE16" s="275"/>
      <c r="DF16" s="276">
        <f>Dem!$D57+(DO16/4)</f>
        <v>45.775000000000006</v>
      </c>
      <c r="DG16" s="276">
        <f>Dem!$D97+(DO16/4)</f>
        <v>47.075000000000003</v>
      </c>
      <c r="DH16" s="276">
        <f>Dem!$D137+(DO16/4)</f>
        <v>47.075000000000003</v>
      </c>
      <c r="DI16" s="276">
        <f>Dem!$D177+(DO16/4)</f>
        <v>47.075000000000003</v>
      </c>
      <c r="DJ16" s="275">
        <f>Dem!$D257</f>
        <v>23.7</v>
      </c>
      <c r="DK16" s="275">
        <f>Dem!$D297</f>
        <v>11.9</v>
      </c>
      <c r="DL16" s="275">
        <f>Dem!$D337</f>
        <v>9.5</v>
      </c>
      <c r="DM16" s="275">
        <f>Dem!$D377</f>
        <v>2.4</v>
      </c>
      <c r="DN16" s="276">
        <f t="shared" si="17"/>
        <v>237.1</v>
      </c>
      <c r="DO16" s="44">
        <v>-1.2999999999999829</v>
      </c>
    </row>
    <row r="17" spans="1:119">
      <c r="A17" s="46">
        <f t="shared" si="18"/>
        <v>1987</v>
      </c>
      <c r="B17" s="141">
        <f t="shared" si="8"/>
        <v>0.13864954929966122</v>
      </c>
      <c r="C17" s="46"/>
      <c r="D17" s="141">
        <f t="shared" si="9"/>
        <v>0.61956907358112812</v>
      </c>
      <c r="E17" s="141">
        <f t="shared" si="10"/>
        <v>0.48091952428146689</v>
      </c>
      <c r="F17" s="46"/>
      <c r="G17" s="157">
        <f t="shared" si="11"/>
        <v>3.6982966193041547E-2</v>
      </c>
      <c r="H17" s="157">
        <f t="shared" si="1"/>
        <v>6.3877844166855047E-2</v>
      </c>
      <c r="I17" s="157">
        <f t="shared" si="1"/>
        <v>7.8585280101500593E-2</v>
      </c>
      <c r="J17" s="157">
        <f t="shared" si="1"/>
        <v>7.7749023201949374E-2</v>
      </c>
      <c r="K17" s="157">
        <f t="shared" si="1"/>
        <v>3.2932821435780836E-2</v>
      </c>
      <c r="L17" s="157">
        <f t="shared" si="1"/>
        <v>1.3321572400675726E-2</v>
      </c>
      <c r="M17" s="157">
        <f t="shared" si="1"/>
        <v>6.3350292907608857E-3</v>
      </c>
      <c r="N17" s="157">
        <f t="shared" si="1"/>
        <v>0</v>
      </c>
      <c r="O17" s="46"/>
      <c r="P17" s="154">
        <f t="shared" si="19"/>
        <v>1.5085169034792298E-2</v>
      </c>
      <c r="Q17" s="154">
        <f t="shared" si="20"/>
        <v>8.0610779165724816E-2</v>
      </c>
      <c r="R17" s="154">
        <f t="shared" si="20"/>
        <v>0.20707359949249718</v>
      </c>
      <c r="S17" s="154">
        <f t="shared" si="20"/>
        <v>0.41125488399025323</v>
      </c>
      <c r="T17" s="154">
        <f t="shared" si="20"/>
        <v>0.57067178564219168</v>
      </c>
      <c r="U17" s="154">
        <f t="shared" si="20"/>
        <v>0.68356855198648558</v>
      </c>
      <c r="V17" s="154">
        <f t="shared" si="20"/>
        <v>0.83162426773097797</v>
      </c>
      <c r="W17" s="162">
        <f t="shared" si="21"/>
        <v>1</v>
      </c>
      <c r="X17" s="154"/>
      <c r="Y17" s="142">
        <f t="shared" si="22"/>
        <v>3.2666005946481669E-2</v>
      </c>
      <c r="Z17" s="142">
        <f t="shared" si="12"/>
        <v>5.2646184340931629E-2</v>
      </c>
      <c r="AA17" s="142">
        <f t="shared" si="12"/>
        <v>6.1724479682854327E-2</v>
      </c>
      <c r="AB17" s="142">
        <f t="shared" si="12"/>
        <v>5.732408325074332E-2</v>
      </c>
      <c r="AC17" s="142">
        <f t="shared" si="12"/>
        <v>2.3102081268582753E-2</v>
      </c>
      <c r="AD17" s="142">
        <f t="shared" si="12"/>
        <v>8.9965312190287416E-3</v>
      </c>
      <c r="AE17" s="142">
        <f t="shared" si="12"/>
        <v>4.0003964321110039E-3</v>
      </c>
      <c r="AF17" s="142">
        <f t="shared" si="12"/>
        <v>0</v>
      </c>
      <c r="AH17" s="158">
        <f t="shared" si="13"/>
        <v>3.6669970267591681E-2</v>
      </c>
      <c r="AI17" s="158">
        <f t="shared" si="14"/>
        <v>0.13676907829534193</v>
      </c>
      <c r="AJ17" s="158">
        <f t="shared" si="14"/>
        <v>0.29137760158572845</v>
      </c>
      <c r="AK17" s="158">
        <f t="shared" si="14"/>
        <v>0.51337958374628345</v>
      </c>
      <c r="AL17" s="158">
        <f t="shared" si="14"/>
        <v>0.6689791873141725</v>
      </c>
      <c r="AM17" s="158">
        <f t="shared" si="14"/>
        <v>0.77006937561942523</v>
      </c>
      <c r="AN17" s="158">
        <f t="shared" si="14"/>
        <v>0.889990089197225</v>
      </c>
      <c r="AO17" s="158">
        <v>1</v>
      </c>
      <c r="AP17" s="143"/>
      <c r="AQ17" s="143">
        <f t="shared" si="5"/>
        <v>1.5085169034792298E-2</v>
      </c>
      <c r="AR17" s="143">
        <f t="shared" si="5"/>
        <v>6.5525610130932513E-2</v>
      </c>
      <c r="AS17" s="143">
        <f t="shared" si="5"/>
        <v>0.12646282032677236</v>
      </c>
      <c r="AT17" s="143">
        <f t="shared" si="5"/>
        <v>0.20418128449775608</v>
      </c>
      <c r="AU17" s="143">
        <f t="shared" si="5"/>
        <v>0.15941690165193845</v>
      </c>
      <c r="AV17" s="143">
        <f t="shared" si="5"/>
        <v>0.11289676634429385</v>
      </c>
      <c r="AW17" s="143">
        <f t="shared" si="5"/>
        <v>0.14805571574449233</v>
      </c>
      <c r="AX17" s="143">
        <f t="shared" si="5"/>
        <v>0.16837573226902208</v>
      </c>
      <c r="AY17" s="46"/>
      <c r="AZ17" s="152">
        <f>Shares!D58</f>
        <v>3.7</v>
      </c>
      <c r="BA17" s="152">
        <f>Shares!E58</f>
        <v>10.1</v>
      </c>
      <c r="BB17" s="152">
        <f>Shares!F58</f>
        <v>15.6</v>
      </c>
      <c r="BC17" s="152">
        <f>Shares!G58</f>
        <v>22.4</v>
      </c>
      <c r="BD17" s="152">
        <f>Shares!J58</f>
        <v>15.7</v>
      </c>
      <c r="BE17" s="152">
        <f>Shares!K58</f>
        <v>10.199999999999999</v>
      </c>
      <c r="BF17" s="152">
        <f>Shares!L58</f>
        <v>12.1</v>
      </c>
      <c r="BG17" s="152">
        <f>Shares!M58</f>
        <v>11.1</v>
      </c>
      <c r="BI17" s="246">
        <f>TxRt!B$53-TxRt!C$53+TxRt!C61</f>
        <v>8.8000000000000007</v>
      </c>
      <c r="BJ17" s="246">
        <f>TxRt!B$96-TxRt!C$96+TxRt!C104</f>
        <v>14.100000000000001</v>
      </c>
      <c r="BK17" s="246">
        <f>TxRt!B$136-TxRt!C$136+TxRt!C144</f>
        <v>17.5</v>
      </c>
      <c r="BL17" s="246">
        <f>TxRt!B$176-TxRt!C$176+TxRt!C184</f>
        <v>19.7</v>
      </c>
      <c r="BM17" s="246">
        <f>TxRt!B$256-TxRt!C$256+TxRt!C264</f>
        <v>21.9</v>
      </c>
      <c r="BN17" s="246">
        <f>TxRt!B$296-TxRt!C$296+TxRt!C304</f>
        <v>23.9</v>
      </c>
      <c r="BO17" s="246">
        <f>TxRt!B$336-TxRt!C$336+TxRt!C344</f>
        <v>26.200000000000003</v>
      </c>
      <c r="BP17" s="246">
        <f>TxRt!B$376-TxRt!C$376+TxRt!C384</f>
        <v>34.299999999999997</v>
      </c>
      <c r="BQ17" s="46"/>
      <c r="BR17" s="60">
        <f>Inc!B58</f>
        <v>13800</v>
      </c>
      <c r="BS17" s="60">
        <f>Inc!B98</f>
        <v>35400</v>
      </c>
      <c r="BT17" s="60">
        <f>Inc!B138</f>
        <v>57200</v>
      </c>
      <c r="BU17" s="60">
        <f>Inc!B178</f>
        <v>82500</v>
      </c>
      <c r="BV17" s="60">
        <f>Inc!B258</f>
        <v>110900</v>
      </c>
      <c r="BW17" s="60">
        <f>Inc!B298</f>
        <v>142400</v>
      </c>
      <c r="BX17" s="60">
        <f>Inc!B338</f>
        <v>210700</v>
      </c>
      <c r="BY17" s="60">
        <f>Inc!B378</f>
        <v>772800</v>
      </c>
      <c r="CA17" s="60">
        <f t="shared" si="6"/>
        <v>1214.4000000000001</v>
      </c>
      <c r="CB17" s="60">
        <f t="shared" si="6"/>
        <v>4991.4000000000005</v>
      </c>
      <c r="CC17" s="60">
        <f t="shared" si="6"/>
        <v>10010</v>
      </c>
      <c r="CD17" s="60">
        <f t="shared" si="6"/>
        <v>16252.5</v>
      </c>
      <c r="CE17" s="60">
        <f t="shared" si="6"/>
        <v>24287.1</v>
      </c>
      <c r="CF17" s="60">
        <f t="shared" si="6"/>
        <v>34033.599999999999</v>
      </c>
      <c r="CG17" s="60">
        <f t="shared" si="6"/>
        <v>55203.400000000009</v>
      </c>
      <c r="CH17" s="60">
        <f t="shared" si="6"/>
        <v>265070.39999999997</v>
      </c>
      <c r="CJ17" s="153">
        <f t="shared" si="15"/>
        <v>21373.439999999999</v>
      </c>
      <c r="CK17" s="153">
        <f t="shared" si="7"/>
        <v>92840.04</v>
      </c>
      <c r="CL17" s="153">
        <f t="shared" si="7"/>
        <v>179179</v>
      </c>
      <c r="CM17" s="153">
        <f t="shared" si="7"/>
        <v>289294.49999999994</v>
      </c>
      <c r="CN17" s="153">
        <f t="shared" si="7"/>
        <v>225870.03</v>
      </c>
      <c r="CO17" s="153">
        <f t="shared" si="7"/>
        <v>159957.92000000001</v>
      </c>
      <c r="CP17" s="153">
        <f t="shared" si="7"/>
        <v>209772.92</v>
      </c>
      <c r="CQ17" s="153">
        <f t="shared" si="7"/>
        <v>238563.36</v>
      </c>
      <c r="CR17" s="153">
        <f t="shared" si="16"/>
        <v>1416851.21</v>
      </c>
      <c r="CT17" s="403">
        <v>239.8</v>
      </c>
      <c r="CU17" s="276">
        <f>Dem!B58+(DD17/4)</f>
        <v>17.599999999999998</v>
      </c>
      <c r="CV17" s="276">
        <f>Dem!B98+(DD17/4)</f>
        <v>18.599999999999998</v>
      </c>
      <c r="CW17" s="276">
        <f>Dem!B138+(DD17/4)</f>
        <v>17.899999999999999</v>
      </c>
      <c r="CX17" s="276">
        <f>Dem!B178+(DD17/4)</f>
        <v>17.799999999999997</v>
      </c>
      <c r="CY17" s="276">
        <f>Dem!B258</f>
        <v>9.3000000000000007</v>
      </c>
      <c r="CZ17" s="276">
        <f>Dem!B298</f>
        <v>4.7</v>
      </c>
      <c r="DA17" s="276">
        <f>Dem!B338</f>
        <v>3.8</v>
      </c>
      <c r="DB17" s="276">
        <f>Dem!B378</f>
        <v>0.9</v>
      </c>
      <c r="DC17" s="275">
        <v>91.4</v>
      </c>
      <c r="DD17" s="46">
        <v>-0.40000000000000568</v>
      </c>
      <c r="DE17" s="275"/>
      <c r="DF17" s="276">
        <f>Dem!$D58+(DO17/4)</f>
        <v>46.424999999999997</v>
      </c>
      <c r="DG17" s="276">
        <f>Dem!$D98+(DO17/4)</f>
        <v>47.724999999999994</v>
      </c>
      <c r="DH17" s="276">
        <f>Dem!$D138+(DO17/4)</f>
        <v>47.724999999999994</v>
      </c>
      <c r="DI17" s="276">
        <f>Dem!$D178+(DO17/4)</f>
        <v>47.724999999999994</v>
      </c>
      <c r="DJ17" s="275">
        <f>Dem!$D258</f>
        <v>24</v>
      </c>
      <c r="DK17" s="275">
        <f>Dem!$D298</f>
        <v>12</v>
      </c>
      <c r="DL17" s="275">
        <f>Dem!$D338</f>
        <v>9.6</v>
      </c>
      <c r="DM17" s="275">
        <f>Dem!$D378</f>
        <v>2.4</v>
      </c>
      <c r="DN17" s="276">
        <f t="shared" si="17"/>
        <v>239.8</v>
      </c>
      <c r="DO17" s="44">
        <v>-1.1000000000000227</v>
      </c>
    </row>
    <row r="18" spans="1:119">
      <c r="A18" s="46">
        <f t="shared" si="18"/>
        <v>1988</v>
      </c>
      <c r="B18" s="141">
        <f t="shared" si="8"/>
        <v>0.15108092825804381</v>
      </c>
      <c r="C18" s="46"/>
      <c r="D18" s="141">
        <f t="shared" si="9"/>
        <v>0.64865394413105981</v>
      </c>
      <c r="E18" s="141">
        <f t="shared" si="10"/>
        <v>0.497573015873016</v>
      </c>
      <c r="F18" s="46"/>
      <c r="G18" s="157">
        <f t="shared" si="11"/>
        <v>3.7331767263628829E-2</v>
      </c>
      <c r="H18" s="157">
        <f t="shared" si="1"/>
        <v>6.4850523537275634E-2</v>
      </c>
      <c r="I18" s="157">
        <f t="shared" si="1"/>
        <v>8.1030402998231735E-2</v>
      </c>
      <c r="J18" s="157">
        <f t="shared" si="1"/>
        <v>8.2063135455912192E-2</v>
      </c>
      <c r="K18" s="157">
        <f t="shared" si="1"/>
        <v>3.5899903865149761E-2</v>
      </c>
      <c r="L18" s="157">
        <f t="shared" si="1"/>
        <v>1.5132013427314857E-2</v>
      </c>
      <c r="M18" s="157">
        <f t="shared" si="1"/>
        <v>8.0192255180169397E-3</v>
      </c>
      <c r="N18" s="157">
        <f t="shared" si="1"/>
        <v>0</v>
      </c>
      <c r="O18" s="46"/>
      <c r="P18" s="154">
        <f t="shared" si="19"/>
        <v>1.3341163681855865E-2</v>
      </c>
      <c r="Q18" s="154">
        <f t="shared" si="20"/>
        <v>7.5747382313621867E-2</v>
      </c>
      <c r="R18" s="154">
        <f t="shared" si="20"/>
        <v>0.19484798500884143</v>
      </c>
      <c r="S18" s="154">
        <f t="shared" si="20"/>
        <v>0.38968432272043912</v>
      </c>
      <c r="T18" s="154">
        <f t="shared" si="20"/>
        <v>0.5410009613485024</v>
      </c>
      <c r="U18" s="154">
        <f t="shared" si="20"/>
        <v>0.64735973145370296</v>
      </c>
      <c r="V18" s="154">
        <f t="shared" si="20"/>
        <v>0.78951936204957662</v>
      </c>
      <c r="W18" s="162">
        <f t="shared" si="21"/>
        <v>1</v>
      </c>
      <c r="X18" s="154"/>
      <c r="Y18" s="142">
        <f t="shared" si="22"/>
        <v>3.2658730158730165E-2</v>
      </c>
      <c r="Z18" s="142">
        <f t="shared" si="12"/>
        <v>5.3214285714285728E-2</v>
      </c>
      <c r="AA18" s="142">
        <f t="shared" si="12"/>
        <v>6.3253968253968271E-2</v>
      </c>
      <c r="AB18" s="142">
        <f t="shared" si="12"/>
        <v>6.0000000000000012E-2</v>
      </c>
      <c r="AC18" s="142">
        <f t="shared" si="12"/>
        <v>2.4821428571428574E-2</v>
      </c>
      <c r="AD18" s="142">
        <f t="shared" si="12"/>
        <v>1.0000000000000004E-2</v>
      </c>
      <c r="AE18" s="142">
        <f t="shared" si="12"/>
        <v>4.8380952380952412E-3</v>
      </c>
      <c r="AF18" s="142">
        <f t="shared" si="12"/>
        <v>0</v>
      </c>
      <c r="AH18" s="158">
        <f t="shared" si="13"/>
        <v>3.6706349206349201E-2</v>
      </c>
      <c r="AI18" s="158">
        <f t="shared" si="14"/>
        <v>0.13392857142857142</v>
      </c>
      <c r="AJ18" s="158">
        <f t="shared" si="14"/>
        <v>0.28373015873015872</v>
      </c>
      <c r="AK18" s="158">
        <f t="shared" si="14"/>
        <v>0.5</v>
      </c>
      <c r="AL18" s="158">
        <f t="shared" si="14"/>
        <v>0.6517857142857143</v>
      </c>
      <c r="AM18" s="158">
        <f t="shared" si="14"/>
        <v>0.75</v>
      </c>
      <c r="AN18" s="158">
        <f t="shared" si="14"/>
        <v>0.86904761904761907</v>
      </c>
      <c r="AO18" s="158">
        <v>1</v>
      </c>
      <c r="AP18" s="143"/>
      <c r="AQ18" s="143">
        <f t="shared" si="5"/>
        <v>1.3341163681855861E-2</v>
      </c>
      <c r="AR18" s="143">
        <f t="shared" si="5"/>
        <v>6.2406218631765993E-2</v>
      </c>
      <c r="AS18" s="143">
        <f t="shared" si="5"/>
        <v>0.11910060269521955</v>
      </c>
      <c r="AT18" s="143">
        <f t="shared" si="5"/>
        <v>0.19483633771159764</v>
      </c>
      <c r="AU18" s="143">
        <f t="shared" si="5"/>
        <v>0.15131663862806327</v>
      </c>
      <c r="AV18" s="143">
        <f t="shared" si="5"/>
        <v>0.10635877010520051</v>
      </c>
      <c r="AW18" s="143">
        <f t="shared" si="5"/>
        <v>0.14215963059587358</v>
      </c>
      <c r="AX18" s="143">
        <f t="shared" si="5"/>
        <v>0.21048063795042352</v>
      </c>
      <c r="AY18" s="46"/>
      <c r="AZ18" s="152">
        <f>Shares!D59</f>
        <v>3.7</v>
      </c>
      <c r="BA18" s="152">
        <f>Shares!E59</f>
        <v>9.8000000000000007</v>
      </c>
      <c r="BB18" s="152">
        <f>Shares!F59</f>
        <v>15.1</v>
      </c>
      <c r="BC18" s="152">
        <f>Shares!G59</f>
        <v>21.8</v>
      </c>
      <c r="BD18" s="152">
        <f>Shares!J59</f>
        <v>15.3</v>
      </c>
      <c r="BE18" s="152">
        <f>Shares!K59</f>
        <v>9.9</v>
      </c>
      <c r="BF18" s="152">
        <f>Shares!L59</f>
        <v>12</v>
      </c>
      <c r="BG18" s="152">
        <f>Shares!M59</f>
        <v>13.2</v>
      </c>
      <c r="BI18" s="246">
        <f>TxRt!B$53-TxRt!C$53+TxRt!C62</f>
        <v>8.1</v>
      </c>
      <c r="BJ18" s="246">
        <f>TxRt!B$96-TxRt!C$96+TxRt!C105</f>
        <v>14.100000000000001</v>
      </c>
      <c r="BK18" s="246">
        <f>TxRt!B$136-TxRt!C$136+TxRt!C145</f>
        <v>17.600000000000001</v>
      </c>
      <c r="BL18" s="246">
        <f>TxRt!B$176-TxRt!C$176+TxRt!C185</f>
        <v>19.799999999999997</v>
      </c>
      <c r="BM18" s="246">
        <f>TxRt!B$256-TxRt!C$256+TxRt!C265</f>
        <v>21.9</v>
      </c>
      <c r="BN18" s="246">
        <f>TxRt!B$296-TxRt!C$296+TxRt!C305</f>
        <v>23.6</v>
      </c>
      <c r="BO18" s="246">
        <f>TxRt!B$336-TxRt!C$336+TxRt!C345</f>
        <v>25.9</v>
      </c>
      <c r="BP18" s="246">
        <f>TxRt!B$376-TxRt!C$376+TxRt!C385</f>
        <v>33.6</v>
      </c>
      <c r="BQ18" s="46"/>
      <c r="BR18" s="60">
        <f>Inc!B59</f>
        <v>14300</v>
      </c>
      <c r="BS18" s="60">
        <f>Inc!B99</f>
        <v>36000</v>
      </c>
      <c r="BT18" s="60">
        <f>Inc!B139</f>
        <v>58100</v>
      </c>
      <c r="BU18" s="60">
        <f>Inc!B179</f>
        <v>83100</v>
      </c>
      <c r="BV18" s="60">
        <f>Inc!B259</f>
        <v>112400</v>
      </c>
      <c r="BW18" s="60">
        <f>Inc!B299</f>
        <v>145100</v>
      </c>
      <c r="BX18" s="60">
        <f>Inc!B339</f>
        <v>217500</v>
      </c>
      <c r="BY18" s="60">
        <f>Inc!B379</f>
        <v>968100</v>
      </c>
      <c r="CA18" s="60">
        <f t="shared" si="6"/>
        <v>1158.3</v>
      </c>
      <c r="CB18" s="60">
        <f t="shared" si="6"/>
        <v>5076.0000000000009</v>
      </c>
      <c r="CC18" s="60">
        <f t="shared" si="6"/>
        <v>10225.6</v>
      </c>
      <c r="CD18" s="60">
        <f t="shared" si="6"/>
        <v>16453.8</v>
      </c>
      <c r="CE18" s="60">
        <f t="shared" si="6"/>
        <v>24615.599999999999</v>
      </c>
      <c r="CF18" s="60">
        <f t="shared" si="6"/>
        <v>34243.599999999999</v>
      </c>
      <c r="CG18" s="60">
        <f t="shared" si="6"/>
        <v>56332.5</v>
      </c>
      <c r="CH18" s="60">
        <f t="shared" si="6"/>
        <v>325281.59999999998</v>
      </c>
      <c r="CJ18" s="153">
        <f t="shared" si="15"/>
        <v>20617.740000000002</v>
      </c>
      <c r="CK18" s="153">
        <f t="shared" si="7"/>
        <v>96444.000000000029</v>
      </c>
      <c r="CL18" s="153">
        <f t="shared" si="7"/>
        <v>184060.80000000005</v>
      </c>
      <c r="CM18" s="153">
        <f t="shared" si="7"/>
        <v>301104.53999999998</v>
      </c>
      <c r="CN18" s="153">
        <f t="shared" si="7"/>
        <v>233848.19999999998</v>
      </c>
      <c r="CO18" s="153">
        <f t="shared" si="7"/>
        <v>164369.28</v>
      </c>
      <c r="CP18" s="153">
        <f t="shared" si="7"/>
        <v>219696.75</v>
      </c>
      <c r="CQ18" s="153">
        <f t="shared" si="7"/>
        <v>325281.59999999998</v>
      </c>
      <c r="CR18" s="153">
        <f t="shared" si="16"/>
        <v>1545422.9100000001</v>
      </c>
      <c r="CT18" s="403">
        <v>241.7</v>
      </c>
      <c r="CU18" s="276">
        <f>Dem!B59+(DD18/4)</f>
        <v>17.8</v>
      </c>
      <c r="CV18" s="276">
        <f>Dem!B99+(DD18/4)</f>
        <v>19.000000000000004</v>
      </c>
      <c r="CW18" s="276">
        <f>Dem!B139+(DD18/4)</f>
        <v>18.000000000000004</v>
      </c>
      <c r="CX18" s="276">
        <f>Dem!B179+(DD18/4)</f>
        <v>18.3</v>
      </c>
      <c r="CY18" s="276">
        <f>Dem!B259</f>
        <v>9.5</v>
      </c>
      <c r="CZ18" s="276">
        <f>Dem!B299</f>
        <v>4.8</v>
      </c>
      <c r="DA18" s="276">
        <f>Dem!B339</f>
        <v>3.9</v>
      </c>
      <c r="DB18" s="276">
        <f>Dem!B379</f>
        <v>1</v>
      </c>
      <c r="DC18" s="275">
        <v>93.1</v>
      </c>
      <c r="DD18" s="46">
        <v>-0.39999999999999147</v>
      </c>
      <c r="DE18" s="275"/>
      <c r="DF18" s="276">
        <f>Dem!$D59+(DO18/4)</f>
        <v>46.800000000000004</v>
      </c>
      <c r="DG18" s="276">
        <f>Dem!$D99+(DO18/4)</f>
        <v>48.1</v>
      </c>
      <c r="DH18" s="276">
        <f>Dem!$D139+(DO18/4)</f>
        <v>48</v>
      </c>
      <c r="DI18" s="276">
        <f>Dem!$D179+(DO18/4)</f>
        <v>48</v>
      </c>
      <c r="DJ18" s="275">
        <f>Dem!$D259</f>
        <v>24.2</v>
      </c>
      <c r="DK18" s="275">
        <f>Dem!$D299</f>
        <v>12.1</v>
      </c>
      <c r="DL18" s="275">
        <f>Dem!$D339</f>
        <v>9.6999999999999993</v>
      </c>
      <c r="DM18" s="275">
        <f>Dem!$D379</f>
        <v>2.4</v>
      </c>
      <c r="DN18" s="276">
        <f t="shared" si="17"/>
        <v>241.7</v>
      </c>
      <c r="DO18" s="44">
        <v>-1.1999999999999886</v>
      </c>
    </row>
    <row r="19" spans="1:119">
      <c r="A19" s="46">
        <f t="shared" si="18"/>
        <v>1989</v>
      </c>
      <c r="B19" s="141">
        <f t="shared" si="8"/>
        <v>0.14723690386959959</v>
      </c>
      <c r="C19" s="46"/>
      <c r="D19" s="141">
        <f t="shared" si="9"/>
        <v>0.6381598432936314</v>
      </c>
      <c r="E19" s="141">
        <f t="shared" si="10"/>
        <v>0.49092293942403181</v>
      </c>
      <c r="F19" s="46"/>
      <c r="G19" s="157">
        <f t="shared" si="11"/>
        <v>3.738059840864149E-2</v>
      </c>
      <c r="H19" s="157">
        <f t="shared" si="1"/>
        <v>6.4804479838776338E-2</v>
      </c>
      <c r="I19" s="157">
        <f t="shared" si="1"/>
        <v>8.0261582649373622E-2</v>
      </c>
      <c r="J19" s="157">
        <f t="shared" si="1"/>
        <v>8.0286362463635089E-2</v>
      </c>
      <c r="K19" s="157">
        <f t="shared" si="1"/>
        <v>3.4664786988342633E-2</v>
      </c>
      <c r="L19" s="157">
        <f t="shared" si="1"/>
        <v>1.4386795448978619E-2</v>
      </c>
      <c r="M19" s="157">
        <f t="shared" si="1"/>
        <v>7.2953158490678717E-3</v>
      </c>
      <c r="N19" s="157">
        <f t="shared" si="1"/>
        <v>0</v>
      </c>
      <c r="O19" s="46"/>
      <c r="P19" s="154">
        <f t="shared" si="19"/>
        <v>1.3097007956792571E-2</v>
      </c>
      <c r="Q19" s="154">
        <f t="shared" si="20"/>
        <v>7.5977600806118317E-2</v>
      </c>
      <c r="R19" s="154">
        <f t="shared" si="20"/>
        <v>0.19869208675313199</v>
      </c>
      <c r="S19" s="154">
        <f t="shared" si="20"/>
        <v>0.39856818768182461</v>
      </c>
      <c r="T19" s="154">
        <f t="shared" si="20"/>
        <v>0.55335213011657369</v>
      </c>
      <c r="U19" s="154">
        <f t="shared" si="20"/>
        <v>0.66226409102042771</v>
      </c>
      <c r="V19" s="154">
        <f t="shared" si="20"/>
        <v>0.80761710377330331</v>
      </c>
      <c r="W19" s="162">
        <f t="shared" si="21"/>
        <v>1</v>
      </c>
      <c r="X19" s="154"/>
      <c r="Y19" s="142">
        <f t="shared" si="22"/>
        <v>3.2452830188679248E-2</v>
      </c>
      <c r="Z19" s="142">
        <f t="shared" si="12"/>
        <v>5.2790466732869912E-2</v>
      </c>
      <c r="AA19" s="142">
        <f t="shared" si="12"/>
        <v>6.2601787487586907E-2</v>
      </c>
      <c r="AB19" s="142">
        <f t="shared" si="12"/>
        <v>5.9106256206554124E-2</v>
      </c>
      <c r="AC19" s="142">
        <f t="shared" si="12"/>
        <v>2.4359483614697121E-2</v>
      </c>
      <c r="AD19" s="142">
        <f t="shared" si="12"/>
        <v>9.6648460774577949E-3</v>
      </c>
      <c r="AE19" s="142">
        <f t="shared" si="12"/>
        <v>4.4857994041708031E-3</v>
      </c>
      <c r="AF19" s="142">
        <f t="shared" si="12"/>
        <v>0</v>
      </c>
      <c r="AH19" s="158">
        <f t="shared" si="13"/>
        <v>3.7735849056603779E-2</v>
      </c>
      <c r="AI19" s="158">
        <f t="shared" si="14"/>
        <v>0.13604766633565046</v>
      </c>
      <c r="AJ19" s="158">
        <f t="shared" si="14"/>
        <v>0.28699106256206558</v>
      </c>
      <c r="AK19" s="158">
        <f t="shared" si="14"/>
        <v>0.50446871896722945</v>
      </c>
      <c r="AL19" s="158">
        <f t="shared" si="14"/>
        <v>0.65640516385302883</v>
      </c>
      <c r="AM19" s="158">
        <f t="shared" si="14"/>
        <v>0.75670307845084417</v>
      </c>
      <c r="AN19" s="158">
        <f t="shared" si="14"/>
        <v>0.87785501489573003</v>
      </c>
      <c r="AO19" s="158">
        <v>1</v>
      </c>
      <c r="AP19" s="143"/>
      <c r="AQ19" s="143">
        <f t="shared" si="5"/>
        <v>1.3097007956792571E-2</v>
      </c>
      <c r="AR19" s="143">
        <f t="shared" si="5"/>
        <v>6.2880592849325748E-2</v>
      </c>
      <c r="AS19" s="143">
        <f t="shared" si="5"/>
        <v>0.12271448594701367</v>
      </c>
      <c r="AT19" s="143">
        <f t="shared" si="5"/>
        <v>0.19987610092869262</v>
      </c>
      <c r="AU19" s="143">
        <f t="shared" si="5"/>
        <v>0.15478394243474911</v>
      </c>
      <c r="AV19" s="143">
        <f t="shared" si="5"/>
        <v>0.10891196090385401</v>
      </c>
      <c r="AW19" s="143">
        <f t="shared" si="5"/>
        <v>0.1453530127528756</v>
      </c>
      <c r="AX19" s="143">
        <f t="shared" si="5"/>
        <v>0.19238289622669669</v>
      </c>
      <c r="AY19" s="46"/>
      <c r="AZ19" s="152">
        <f>Shares!D60</f>
        <v>3.8</v>
      </c>
      <c r="BA19" s="152">
        <f>Shares!E60</f>
        <v>9.9</v>
      </c>
      <c r="BB19" s="152">
        <f>Shares!F60</f>
        <v>15.2</v>
      </c>
      <c r="BC19" s="152">
        <f>Shares!G60</f>
        <v>21.9</v>
      </c>
      <c r="BD19" s="152">
        <f>Shares!J60</f>
        <v>15.3</v>
      </c>
      <c r="BE19" s="152">
        <f>Shares!K60</f>
        <v>10.1</v>
      </c>
      <c r="BF19" s="152">
        <f>Shares!L60</f>
        <v>12.2</v>
      </c>
      <c r="BG19" s="152">
        <f>Shares!M60</f>
        <v>12.3</v>
      </c>
      <c r="BI19" s="246">
        <f>TxRt!B$53-TxRt!C$53+TxRt!C63</f>
        <v>7.6</v>
      </c>
      <c r="BJ19" s="246">
        <f>TxRt!B$96-TxRt!C$96+TxRt!C106</f>
        <v>13.9</v>
      </c>
      <c r="BK19" s="246">
        <f>TxRt!B$136-TxRt!C$136+TxRt!C146</f>
        <v>17.600000000000001</v>
      </c>
      <c r="BL19" s="246">
        <f>TxRt!B$176-TxRt!C$176+TxRt!C186</f>
        <v>19.899999999999999</v>
      </c>
      <c r="BM19" s="246">
        <f>TxRt!B$256-TxRt!C$256+TxRt!C266</f>
        <v>22</v>
      </c>
      <c r="BN19" s="246">
        <f>TxRt!B$296-TxRt!C$296+TxRt!C306</f>
        <v>23.7</v>
      </c>
      <c r="BO19" s="246">
        <f>TxRt!B$336-TxRt!C$336+TxRt!C346</f>
        <v>25.9</v>
      </c>
      <c r="BP19" s="246">
        <f>TxRt!B$376-TxRt!C$376+TxRt!C386</f>
        <v>32.9</v>
      </c>
      <c r="BQ19" s="46"/>
      <c r="BR19" s="60">
        <f>Inc!B60</f>
        <v>15000</v>
      </c>
      <c r="BS19" s="60">
        <f>Inc!B100</f>
        <v>36300</v>
      </c>
      <c r="BT19" s="60">
        <f>Inc!B140</f>
        <v>58700</v>
      </c>
      <c r="BU19" s="60">
        <f>Inc!B180</f>
        <v>84100</v>
      </c>
      <c r="BV19" s="60">
        <f>Inc!B260</f>
        <v>114100</v>
      </c>
      <c r="BW19" s="60">
        <f>Inc!B300</f>
        <v>147500</v>
      </c>
      <c r="BX19" s="60">
        <f>Inc!B340</f>
        <v>221700</v>
      </c>
      <c r="BY19" s="60">
        <f>Inc!B380</f>
        <v>900900</v>
      </c>
      <c r="CA19" s="60">
        <f t="shared" si="6"/>
        <v>1140</v>
      </c>
      <c r="CB19" s="60">
        <f t="shared" si="6"/>
        <v>5045.7</v>
      </c>
      <c r="CC19" s="60">
        <f t="shared" si="6"/>
        <v>10331.200000000001</v>
      </c>
      <c r="CD19" s="60">
        <f t="shared" si="6"/>
        <v>16735.899999999998</v>
      </c>
      <c r="CE19" s="60">
        <f t="shared" si="6"/>
        <v>25102</v>
      </c>
      <c r="CF19" s="60">
        <f t="shared" si="6"/>
        <v>34957.5</v>
      </c>
      <c r="CG19" s="60">
        <f t="shared" si="6"/>
        <v>57420.3</v>
      </c>
      <c r="CH19" s="60">
        <f t="shared" si="6"/>
        <v>296396.09999999998</v>
      </c>
      <c r="CJ19" s="153">
        <f t="shared" si="15"/>
        <v>20178.000000000004</v>
      </c>
      <c r="CK19" s="153">
        <f t="shared" si="7"/>
        <v>96877.440000000017</v>
      </c>
      <c r="CL19" s="153">
        <f t="shared" si="7"/>
        <v>189060.96000000002</v>
      </c>
      <c r="CM19" s="153">
        <f t="shared" si="7"/>
        <v>307940.56</v>
      </c>
      <c r="CN19" s="153">
        <f t="shared" si="7"/>
        <v>238469</v>
      </c>
      <c r="CO19" s="153">
        <f t="shared" si="7"/>
        <v>167796</v>
      </c>
      <c r="CP19" s="153">
        <f t="shared" si="7"/>
        <v>223939.17</v>
      </c>
      <c r="CQ19" s="153">
        <f t="shared" si="7"/>
        <v>296396.09999999998</v>
      </c>
      <c r="CR19" s="153">
        <f t="shared" si="16"/>
        <v>1540657.23</v>
      </c>
      <c r="CT19" s="403">
        <v>243.9</v>
      </c>
      <c r="CU19" s="276">
        <f>Dem!B60+(DD19/4)</f>
        <v>17.700000000000003</v>
      </c>
      <c r="CV19" s="276">
        <f>Dem!B100+(DD19/4)</f>
        <v>19.200000000000003</v>
      </c>
      <c r="CW19" s="276">
        <f>Dem!B140+(DD19/4)</f>
        <v>18.3</v>
      </c>
      <c r="CX19" s="276">
        <f>Dem!B180+(DD19/4)</f>
        <v>18.400000000000002</v>
      </c>
      <c r="CY19" s="276">
        <f>Dem!B260</f>
        <v>9.5</v>
      </c>
      <c r="CZ19" s="276">
        <f>Dem!B300</f>
        <v>4.8</v>
      </c>
      <c r="DA19" s="276">
        <f>Dem!B340</f>
        <v>3.9</v>
      </c>
      <c r="DB19" s="276">
        <f>Dem!B380</f>
        <v>1</v>
      </c>
      <c r="DC19" s="275">
        <v>93.6</v>
      </c>
      <c r="DD19" s="46">
        <v>-0.39999999999999147</v>
      </c>
      <c r="DE19" s="275"/>
      <c r="DF19" s="276">
        <f>Dem!$D60+(DO19/4)</f>
        <v>47.325000000000003</v>
      </c>
      <c r="DG19" s="276">
        <f>Dem!$D100+(DO19/4)</f>
        <v>48.524999999999999</v>
      </c>
      <c r="DH19" s="276">
        <f>Dem!$D140+(DO19/4)</f>
        <v>48.524999999999999</v>
      </c>
      <c r="DI19" s="276">
        <f>Dem!$D180+(DO19/4)</f>
        <v>48.524999999999999</v>
      </c>
      <c r="DJ19" s="275">
        <f>Dem!$D260</f>
        <v>24.4</v>
      </c>
      <c r="DK19" s="275">
        <f>Dem!$D300</f>
        <v>12.2</v>
      </c>
      <c r="DL19" s="275">
        <f>Dem!$D340</f>
        <v>9.8000000000000007</v>
      </c>
      <c r="DM19" s="275">
        <f>Dem!$D380</f>
        <v>2.4</v>
      </c>
      <c r="DN19" s="276">
        <f t="shared" si="17"/>
        <v>243.9</v>
      </c>
      <c r="DO19" s="44">
        <v>-1.0999999999999943</v>
      </c>
    </row>
    <row r="20" spans="1:119">
      <c r="A20" s="46">
        <f t="shared" si="18"/>
        <v>1990</v>
      </c>
      <c r="B20" s="141">
        <f t="shared" si="8"/>
        <v>0.14014534923465227</v>
      </c>
      <c r="C20" s="46"/>
      <c r="D20" s="141">
        <f t="shared" si="9"/>
        <v>0.62585328574258892</v>
      </c>
      <c r="E20" s="141">
        <f t="shared" si="10"/>
        <v>0.48570793650793664</v>
      </c>
      <c r="F20" s="46"/>
      <c r="G20" s="157">
        <f t="shared" si="11"/>
        <v>3.6994622950275259E-2</v>
      </c>
      <c r="H20" s="157">
        <f t="shared" si="1"/>
        <v>6.3690357967407171E-2</v>
      </c>
      <c r="I20" s="157">
        <f t="shared" si="1"/>
        <v>7.8823159086359174E-2</v>
      </c>
      <c r="J20" s="157">
        <f t="shared" si="1"/>
        <v>7.866298106277933E-2</v>
      </c>
      <c r="K20" s="157">
        <f t="shared" si="1"/>
        <v>3.3802904707564078E-2</v>
      </c>
      <c r="L20" s="157">
        <f t="shared" si="1"/>
        <v>1.3933660313764097E-2</v>
      </c>
      <c r="M20" s="157">
        <f t="shared" si="1"/>
        <v>7.0189567831453609E-3</v>
      </c>
      <c r="N20" s="157">
        <f t="shared" si="1"/>
        <v>0</v>
      </c>
      <c r="O20" s="46"/>
      <c r="P20" s="154">
        <f t="shared" si="19"/>
        <v>1.5026885248623729E-2</v>
      </c>
      <c r="Q20" s="154">
        <f t="shared" si="20"/>
        <v>8.154821016296418E-2</v>
      </c>
      <c r="R20" s="154">
        <f t="shared" si="20"/>
        <v>0.20588420456820428</v>
      </c>
      <c r="S20" s="154">
        <f t="shared" si="20"/>
        <v>0.40668509468610342</v>
      </c>
      <c r="T20" s="154">
        <f t="shared" si="20"/>
        <v>0.56197095292435928</v>
      </c>
      <c r="U20" s="154">
        <f t="shared" si="20"/>
        <v>0.67132679372471815</v>
      </c>
      <c r="V20" s="154">
        <f t="shared" si="20"/>
        <v>0.81452608042136609</v>
      </c>
      <c r="W20" s="162">
        <f t="shared" si="21"/>
        <v>1</v>
      </c>
      <c r="X20" s="154"/>
      <c r="Y20" s="142">
        <f t="shared" si="22"/>
        <v>3.2261904761904762E-2</v>
      </c>
      <c r="Z20" s="142">
        <f t="shared" si="12"/>
        <v>5.2222222222222225E-2</v>
      </c>
      <c r="AA20" s="142">
        <f t="shared" si="12"/>
        <v>6.2063492063492091E-2</v>
      </c>
      <c r="AB20" s="142">
        <f t="shared" si="12"/>
        <v>5.841269841269843E-2</v>
      </c>
      <c r="AC20" s="142">
        <f t="shared" si="12"/>
        <v>2.4027777777777783E-2</v>
      </c>
      <c r="AD20" s="142">
        <f t="shared" si="12"/>
        <v>9.5039682539682594E-3</v>
      </c>
      <c r="AE20" s="142">
        <f t="shared" si="12"/>
        <v>4.3619047619047674E-3</v>
      </c>
      <c r="AF20" s="142">
        <f t="shared" si="12"/>
        <v>0</v>
      </c>
      <c r="AH20" s="158">
        <f t="shared" si="13"/>
        <v>3.8690476190476192E-2</v>
      </c>
      <c r="AI20" s="158">
        <f t="shared" si="14"/>
        <v>0.1388888888888889</v>
      </c>
      <c r="AJ20" s="158">
        <f t="shared" si="14"/>
        <v>0.28968253968253965</v>
      </c>
      <c r="AK20" s="158">
        <f t="shared" si="14"/>
        <v>0.50793650793650791</v>
      </c>
      <c r="AL20" s="158">
        <f t="shared" si="14"/>
        <v>0.65972222222222221</v>
      </c>
      <c r="AM20" s="158">
        <f t="shared" si="14"/>
        <v>0.75992063492063489</v>
      </c>
      <c r="AN20" s="158">
        <f t="shared" si="14"/>
        <v>0.88095238095238093</v>
      </c>
      <c r="AO20" s="158">
        <v>1</v>
      </c>
      <c r="AP20" s="143"/>
      <c r="AQ20" s="143">
        <f t="shared" si="5"/>
        <v>1.5026885248623729E-2</v>
      </c>
      <c r="AR20" s="143">
        <f t="shared" si="5"/>
        <v>6.6521324914340457E-2</v>
      </c>
      <c r="AS20" s="143">
        <f t="shared" si="5"/>
        <v>0.12433599440524008</v>
      </c>
      <c r="AT20" s="143">
        <f t="shared" si="5"/>
        <v>0.20080089011789914</v>
      </c>
      <c r="AU20" s="143">
        <f t="shared" si="5"/>
        <v>0.1552858582382558</v>
      </c>
      <c r="AV20" s="143">
        <f t="shared" si="5"/>
        <v>0.1093558408003589</v>
      </c>
      <c r="AW20" s="143">
        <f t="shared" si="5"/>
        <v>0.14319928669664797</v>
      </c>
      <c r="AX20" s="143">
        <f t="shared" si="5"/>
        <v>0.18547391957863393</v>
      </c>
      <c r="AY20" s="46"/>
      <c r="AZ20" s="152">
        <f>Shares!D61</f>
        <v>3.9</v>
      </c>
      <c r="BA20" s="152">
        <f>Shares!E61</f>
        <v>10.1</v>
      </c>
      <c r="BB20" s="152">
        <f>Shares!F61</f>
        <v>15.2</v>
      </c>
      <c r="BC20" s="152">
        <f>Shares!G61</f>
        <v>22</v>
      </c>
      <c r="BD20" s="152">
        <f>Shares!J61</f>
        <v>15.3</v>
      </c>
      <c r="BE20" s="152">
        <f>Shares!K61</f>
        <v>10.1</v>
      </c>
      <c r="BF20" s="152">
        <f>Shares!L61</f>
        <v>12.2</v>
      </c>
      <c r="BG20" s="152">
        <f>Shares!M61</f>
        <v>12</v>
      </c>
      <c r="BI20" s="246">
        <f>TxRt!B$53-TxRt!C$53+TxRt!C64</f>
        <v>8.3000000000000007</v>
      </c>
      <c r="BJ20" s="246">
        <f>TxRt!B$96-TxRt!C$96+TxRt!C107</f>
        <v>14.3</v>
      </c>
      <c r="BK20" s="246">
        <f>TxRt!B$136-TxRt!C$136+TxRt!C147</f>
        <v>17.700000000000003</v>
      </c>
      <c r="BL20" s="246">
        <f>TxRt!B$176-TxRt!C$176+TxRt!C187</f>
        <v>19.799999999999997</v>
      </c>
      <c r="BM20" s="246">
        <f>TxRt!B$256-TxRt!C$256+TxRt!C267</f>
        <v>21.9</v>
      </c>
      <c r="BN20" s="246">
        <f>TxRt!B$296-TxRt!C$296+TxRt!C307</f>
        <v>23.4</v>
      </c>
      <c r="BO20" s="246">
        <f>TxRt!B$336-TxRt!C$336+TxRt!C347</f>
        <v>25.6</v>
      </c>
      <c r="BP20" s="246">
        <f>TxRt!B$376-TxRt!C$376+TxRt!C387</f>
        <v>32.799999999999997</v>
      </c>
      <c r="BQ20" s="46"/>
      <c r="BR20" s="60">
        <f>Inc!B61</f>
        <v>15400</v>
      </c>
      <c r="BS20" s="60">
        <f>Inc!B101</f>
        <v>37500</v>
      </c>
      <c r="BT20" s="60">
        <f>Inc!B141</f>
        <v>59100</v>
      </c>
      <c r="BU20" s="60">
        <f>Inc!B181</f>
        <v>83500</v>
      </c>
      <c r="BV20" s="60">
        <f>Inc!B261</f>
        <v>112700</v>
      </c>
      <c r="BW20" s="60">
        <f>Inc!B301</f>
        <v>144100</v>
      </c>
      <c r="BX20" s="60">
        <f>Inc!B341</f>
        <v>215600</v>
      </c>
      <c r="BY20" s="60">
        <f>Inc!B381</f>
        <v>871800</v>
      </c>
      <c r="CA20" s="60">
        <f t="shared" si="6"/>
        <v>1278.2</v>
      </c>
      <c r="CB20" s="60">
        <f t="shared" si="6"/>
        <v>5362.5</v>
      </c>
      <c r="CC20" s="60">
        <f t="shared" si="6"/>
        <v>10460.700000000001</v>
      </c>
      <c r="CD20" s="60">
        <f t="shared" si="6"/>
        <v>16532.999999999996</v>
      </c>
      <c r="CE20" s="60">
        <f t="shared" si="6"/>
        <v>24681.3</v>
      </c>
      <c r="CF20" s="60">
        <f t="shared" si="6"/>
        <v>33719.4</v>
      </c>
      <c r="CG20" s="60">
        <f t="shared" si="6"/>
        <v>55193.599999999999</v>
      </c>
      <c r="CH20" s="60">
        <f t="shared" si="6"/>
        <v>285950.39999999997</v>
      </c>
      <c r="CJ20" s="153">
        <f t="shared" si="15"/>
        <v>23167.375</v>
      </c>
      <c r="CK20" s="153">
        <f t="shared" si="7"/>
        <v>102557.8125</v>
      </c>
      <c r="CL20" s="153">
        <f t="shared" si="7"/>
        <v>191692.32750000001</v>
      </c>
      <c r="CM20" s="153">
        <f t="shared" si="7"/>
        <v>309580.42499999993</v>
      </c>
      <c r="CN20" s="153">
        <f t="shared" si="7"/>
        <v>239408.61</v>
      </c>
      <c r="CO20" s="153">
        <f t="shared" si="7"/>
        <v>168597</v>
      </c>
      <c r="CP20" s="153">
        <f t="shared" si="7"/>
        <v>220774.39999999999</v>
      </c>
      <c r="CQ20" s="153">
        <f t="shared" si="7"/>
        <v>285950.39999999997</v>
      </c>
      <c r="CR20" s="153">
        <f t="shared" si="16"/>
        <v>1541728.3499999999</v>
      </c>
      <c r="CT20" s="403">
        <v>246.7</v>
      </c>
      <c r="CU20" s="276">
        <f>Dem!B61+(DD20/4)</f>
        <v>18.125</v>
      </c>
      <c r="CV20" s="276">
        <f>Dem!B101+(DD20/4)</f>
        <v>19.125</v>
      </c>
      <c r="CW20" s="276">
        <f>Dem!B141+(DD20/4)</f>
        <v>18.324999999999999</v>
      </c>
      <c r="CX20" s="276">
        <f>Dem!B181+(DD20/4)</f>
        <v>18.725000000000001</v>
      </c>
      <c r="CY20" s="276">
        <f>Dem!B261</f>
        <v>9.6999999999999993</v>
      </c>
      <c r="CZ20" s="276">
        <f>Dem!B301</f>
        <v>5</v>
      </c>
      <c r="DA20" s="276">
        <f>Dem!B341</f>
        <v>4</v>
      </c>
      <c r="DB20" s="276">
        <f>Dem!B381</f>
        <v>1</v>
      </c>
      <c r="DC20" s="275">
        <v>94.6</v>
      </c>
      <c r="DD20" s="46">
        <v>-0.29999999999999716</v>
      </c>
      <c r="DE20" s="275"/>
      <c r="DF20" s="276">
        <f>Dem!$D61+(DO20/4)</f>
        <v>47.775000000000006</v>
      </c>
      <c r="DG20" s="276">
        <f>Dem!$D101+(DO20/4)</f>
        <v>48.975000000000001</v>
      </c>
      <c r="DH20" s="276">
        <f>Dem!$D141+(DO20/4)</f>
        <v>48.975000000000001</v>
      </c>
      <c r="DI20" s="276">
        <f>Dem!$D181+(DO20/4)</f>
        <v>48.975000000000001</v>
      </c>
      <c r="DJ20" s="275">
        <f>Dem!$D261</f>
        <v>24.7</v>
      </c>
      <c r="DK20" s="275">
        <f>Dem!$D301</f>
        <v>12.3</v>
      </c>
      <c r="DL20" s="275">
        <f>Dem!$D341</f>
        <v>9.9</v>
      </c>
      <c r="DM20" s="275">
        <f>Dem!$D381</f>
        <v>2.5</v>
      </c>
      <c r="DN20" s="276">
        <f t="shared" si="17"/>
        <v>246.7</v>
      </c>
      <c r="DO20" s="44">
        <v>-1.2999999999999829</v>
      </c>
    </row>
    <row r="21" spans="1:119">
      <c r="A21" s="46">
        <f t="shared" si="18"/>
        <v>1991</v>
      </c>
      <c r="B21" s="141">
        <f t="shared" si="8"/>
        <v>0.14476215674400383</v>
      </c>
      <c r="C21" s="46"/>
      <c r="D21" s="141">
        <f t="shared" si="9"/>
        <v>0.62241453769638488</v>
      </c>
      <c r="E21" s="141">
        <f t="shared" si="10"/>
        <v>0.47765238095238105</v>
      </c>
      <c r="F21" s="46"/>
      <c r="G21" s="157">
        <f t="shared" si="11"/>
        <v>3.723934978756397E-2</v>
      </c>
      <c r="H21" s="157">
        <f t="shared" si="1"/>
        <v>6.4114109711728415E-2</v>
      </c>
      <c r="I21" s="157">
        <f t="shared" si="1"/>
        <v>7.8603392909522118E-2</v>
      </c>
      <c r="J21" s="157">
        <f t="shared" si="1"/>
        <v>7.7872742943845885E-2</v>
      </c>
      <c r="K21" s="157">
        <f t="shared" si="1"/>
        <v>3.3220138727266334E-2</v>
      </c>
      <c r="L21" s="157">
        <f t="shared" si="1"/>
        <v>1.3560296272358559E-2</v>
      </c>
      <c r="M21" s="157">
        <f t="shared" si="1"/>
        <v>6.5972384959071878E-3</v>
      </c>
      <c r="N21" s="157">
        <f t="shared" si="1"/>
        <v>0</v>
      </c>
      <c r="O21" s="46"/>
      <c r="P21" s="154">
        <f t="shared" si="19"/>
        <v>1.3803251062180171E-2</v>
      </c>
      <c r="Q21" s="154">
        <f t="shared" si="20"/>
        <v>7.9429451441357962E-2</v>
      </c>
      <c r="R21" s="154">
        <f t="shared" si="20"/>
        <v>0.20698303545238947</v>
      </c>
      <c r="S21" s="154">
        <f t="shared" si="20"/>
        <v>0.41063628528077067</v>
      </c>
      <c r="T21" s="154">
        <f t="shared" si="20"/>
        <v>0.56779861272733667</v>
      </c>
      <c r="U21" s="154">
        <f t="shared" si="20"/>
        <v>0.67879407455282892</v>
      </c>
      <c r="V21" s="154">
        <f t="shared" si="20"/>
        <v>0.82506903760232042</v>
      </c>
      <c r="W21" s="162">
        <f t="shared" si="21"/>
        <v>1</v>
      </c>
      <c r="X21" s="154"/>
      <c r="Y21" s="142">
        <f t="shared" si="22"/>
        <v>3.2063492063492065E-2</v>
      </c>
      <c r="Z21" s="142">
        <f t="shared" si="12"/>
        <v>5.2023809523809528E-2</v>
      </c>
      <c r="AA21" s="142">
        <f t="shared" si="12"/>
        <v>6.1071428571428589E-2</v>
      </c>
      <c r="AB21" s="142">
        <f t="shared" si="12"/>
        <v>5.7222222222222223E-2</v>
      </c>
      <c r="AC21" s="142">
        <f t="shared" si="12"/>
        <v>2.3333333333333331E-2</v>
      </c>
      <c r="AD21" s="142">
        <f t="shared" si="12"/>
        <v>9.1071428571428588E-3</v>
      </c>
      <c r="AE21" s="142">
        <f t="shared" si="12"/>
        <v>4.0047619047619068E-3</v>
      </c>
      <c r="AF21" s="142">
        <f t="shared" si="12"/>
        <v>0</v>
      </c>
      <c r="AH21" s="158">
        <f t="shared" si="13"/>
        <v>3.968253968253968E-2</v>
      </c>
      <c r="AI21" s="158">
        <f t="shared" si="14"/>
        <v>0.13988095238095238</v>
      </c>
      <c r="AJ21" s="158">
        <f t="shared" si="14"/>
        <v>0.29464285714285715</v>
      </c>
      <c r="AK21" s="158">
        <f t="shared" si="14"/>
        <v>0.51388888888888895</v>
      </c>
      <c r="AL21" s="158">
        <f t="shared" si="14"/>
        <v>0.66666666666666674</v>
      </c>
      <c r="AM21" s="158">
        <f t="shared" si="14"/>
        <v>0.7678571428571429</v>
      </c>
      <c r="AN21" s="158">
        <f t="shared" si="14"/>
        <v>0.88988095238095244</v>
      </c>
      <c r="AO21" s="158">
        <v>1</v>
      </c>
      <c r="AP21" s="143"/>
      <c r="AQ21" s="143">
        <f t="shared" si="5"/>
        <v>1.3803251062180175E-2</v>
      </c>
      <c r="AR21" s="143">
        <f t="shared" si="5"/>
        <v>6.562620037917781E-2</v>
      </c>
      <c r="AS21" s="143">
        <f t="shared" si="5"/>
        <v>0.12755358401103153</v>
      </c>
      <c r="AT21" s="143">
        <f t="shared" si="5"/>
        <v>0.20365324982838126</v>
      </c>
      <c r="AU21" s="143">
        <f t="shared" si="5"/>
        <v>0.15716232744656608</v>
      </c>
      <c r="AV21" s="143">
        <f t="shared" si="5"/>
        <v>0.11099546182549223</v>
      </c>
      <c r="AW21" s="143">
        <f t="shared" si="5"/>
        <v>0.1462749630494915</v>
      </c>
      <c r="AX21" s="143">
        <f t="shared" si="5"/>
        <v>0.1749309623976795</v>
      </c>
      <c r="AY21" s="46"/>
      <c r="AZ21" s="152">
        <f>Shares!D62</f>
        <v>4</v>
      </c>
      <c r="BA21" s="152">
        <f>Shares!E62</f>
        <v>10.1</v>
      </c>
      <c r="BB21" s="152">
        <f>Shares!F62</f>
        <v>15.6</v>
      </c>
      <c r="BC21" s="152">
        <f>Shares!G62</f>
        <v>22.1</v>
      </c>
      <c r="BD21" s="152">
        <f>Shares!J62</f>
        <v>15.4</v>
      </c>
      <c r="BE21" s="152">
        <f>Shares!K62</f>
        <v>10.199999999999999</v>
      </c>
      <c r="BF21" s="152">
        <f>Shares!L62</f>
        <v>12.3</v>
      </c>
      <c r="BG21" s="152">
        <f>Shares!M62</f>
        <v>11.1</v>
      </c>
      <c r="BI21" s="246">
        <f>TxRt!B$53-TxRt!C$53+TxRt!C65</f>
        <v>7.4</v>
      </c>
      <c r="BJ21" s="246">
        <f>TxRt!B$96-TxRt!C$96+TxRt!C108</f>
        <v>13.9</v>
      </c>
      <c r="BK21" s="246">
        <f>TxRt!B$136-TxRt!C$136+TxRt!C148</f>
        <v>17.5</v>
      </c>
      <c r="BL21" s="246">
        <f>TxRt!B$176-TxRt!C$176+TxRt!C188</f>
        <v>19.7</v>
      </c>
      <c r="BM21" s="246">
        <f>TxRt!B$256-TxRt!C$256+TxRt!C268</f>
        <v>21.700000000000003</v>
      </c>
      <c r="BN21" s="246">
        <f>TxRt!B$296-TxRt!C$296+TxRt!C308</f>
        <v>23.299999999999997</v>
      </c>
      <c r="BO21" s="246">
        <f>TxRt!B$336-TxRt!C$336+TxRt!C348</f>
        <v>25.3</v>
      </c>
      <c r="BP21" s="246">
        <f>TxRt!B$376-TxRt!C$376+TxRt!C388</f>
        <v>33.5</v>
      </c>
      <c r="BQ21" s="46"/>
      <c r="BR21" s="60">
        <f>Inc!B62</f>
        <v>15500</v>
      </c>
      <c r="BS21" s="60">
        <f>Inc!B102</f>
        <v>36600</v>
      </c>
      <c r="BT21" s="60">
        <f>Inc!B142</f>
        <v>58000</v>
      </c>
      <c r="BU21" s="60">
        <f>Inc!B182</f>
        <v>82700</v>
      </c>
      <c r="BV21" s="60">
        <f>Inc!B262</f>
        <v>111000</v>
      </c>
      <c r="BW21" s="60">
        <f>Inc!B302</f>
        <v>143100</v>
      </c>
      <c r="BX21" s="60">
        <f>Inc!B342</f>
        <v>211800</v>
      </c>
      <c r="BY21" s="60">
        <f>Inc!B382</f>
        <v>784300</v>
      </c>
      <c r="CA21" s="60">
        <f t="shared" si="6"/>
        <v>1147</v>
      </c>
      <c r="CB21" s="60">
        <f t="shared" si="6"/>
        <v>5087.3999999999996</v>
      </c>
      <c r="CC21" s="60">
        <f t="shared" si="6"/>
        <v>10150</v>
      </c>
      <c r="CD21" s="60">
        <f t="shared" si="6"/>
        <v>16291.9</v>
      </c>
      <c r="CE21" s="60">
        <f t="shared" si="6"/>
        <v>24087.000000000004</v>
      </c>
      <c r="CF21" s="60">
        <f t="shared" si="6"/>
        <v>33342.299999999996</v>
      </c>
      <c r="CG21" s="60">
        <f t="shared" si="6"/>
        <v>53585.4</v>
      </c>
      <c r="CH21" s="60">
        <f t="shared" si="6"/>
        <v>262740.5</v>
      </c>
      <c r="CJ21" s="153">
        <f t="shared" si="15"/>
        <v>20732.024999999994</v>
      </c>
      <c r="CK21" s="153">
        <f t="shared" si="7"/>
        <v>98568.374999999971</v>
      </c>
      <c r="CL21" s="153">
        <f t="shared" si="7"/>
        <v>191581.24999999997</v>
      </c>
      <c r="CM21" s="153">
        <f t="shared" si="7"/>
        <v>305880.42249999993</v>
      </c>
      <c r="CN21" s="153">
        <f t="shared" si="7"/>
        <v>236052.60000000006</v>
      </c>
      <c r="CO21" s="153">
        <f t="shared" si="7"/>
        <v>166711.49999999997</v>
      </c>
      <c r="CP21" s="153">
        <f t="shared" si="7"/>
        <v>219700.13999999998</v>
      </c>
      <c r="CQ21" s="153">
        <f t="shared" si="7"/>
        <v>262740.5</v>
      </c>
      <c r="CR21" s="153">
        <f t="shared" si="16"/>
        <v>1501966.8124999998</v>
      </c>
      <c r="CT21" s="403">
        <v>249</v>
      </c>
      <c r="CU21" s="276">
        <f>Dem!B62+(DD21/4)</f>
        <v>18.074999999999996</v>
      </c>
      <c r="CV21" s="276">
        <f>Dem!B102+(DD21/4)</f>
        <v>19.374999999999996</v>
      </c>
      <c r="CW21" s="276">
        <f>Dem!B142+(DD21/4)</f>
        <v>18.874999999999996</v>
      </c>
      <c r="CX21" s="276">
        <f>Dem!B182+(DD21/4)</f>
        <v>18.774999999999995</v>
      </c>
      <c r="CY21" s="276">
        <f>Dem!B262</f>
        <v>9.8000000000000007</v>
      </c>
      <c r="CZ21" s="276">
        <f>Dem!B302</f>
        <v>5</v>
      </c>
      <c r="DA21" s="276">
        <f>Dem!B342</f>
        <v>4.0999999999999996</v>
      </c>
      <c r="DB21" s="276">
        <f>Dem!B382</f>
        <v>1</v>
      </c>
      <c r="DC21" s="275">
        <v>96</v>
      </c>
      <c r="DD21" s="46">
        <v>-0.50000000000001421</v>
      </c>
      <c r="DE21" s="275"/>
      <c r="DF21" s="276">
        <f>Dem!$D62+(DO21/4)</f>
        <v>48.174999999999997</v>
      </c>
      <c r="DG21" s="276">
        <f>Dem!$D102+(DO21/4)</f>
        <v>49.474999999999994</v>
      </c>
      <c r="DH21" s="276">
        <f>Dem!$D142+(DO21/4)</f>
        <v>49.474999999999994</v>
      </c>
      <c r="DI21" s="276">
        <f>Dem!$D182+(DO21/4)</f>
        <v>49.474999999999994</v>
      </c>
      <c r="DJ21" s="275">
        <f>Dem!$D262</f>
        <v>24.9</v>
      </c>
      <c r="DK21" s="275">
        <f>Dem!$D302</f>
        <v>12.4</v>
      </c>
      <c r="DL21" s="275">
        <f>Dem!$D342</f>
        <v>10</v>
      </c>
      <c r="DM21" s="275">
        <f>Dem!$D382</f>
        <v>2.5</v>
      </c>
      <c r="DN21" s="276">
        <f t="shared" si="17"/>
        <v>249</v>
      </c>
      <c r="DO21" s="44">
        <v>-1.3000000000000114</v>
      </c>
    </row>
    <row r="22" spans="1:119">
      <c r="A22" s="46">
        <f t="shared" si="18"/>
        <v>1992</v>
      </c>
      <c r="B22" s="141">
        <f t="shared" si="8"/>
        <v>0.15263130180227696</v>
      </c>
      <c r="C22" s="46"/>
      <c r="D22" s="141">
        <f t="shared" si="9"/>
        <v>0.64288288910386437</v>
      </c>
      <c r="E22" s="141">
        <f t="shared" si="10"/>
        <v>0.49025158730158741</v>
      </c>
      <c r="F22" s="46"/>
      <c r="G22" s="157">
        <f t="shared" si="11"/>
        <v>3.7582262150096322E-2</v>
      </c>
      <c r="H22" s="157">
        <f t="shared" si="1"/>
        <v>6.5088074744238611E-2</v>
      </c>
      <c r="I22" s="157">
        <f t="shared" si="1"/>
        <v>8.0554940535210326E-2</v>
      </c>
      <c r="J22" s="157">
        <f t="shared" si="1"/>
        <v>8.1131688941798993E-2</v>
      </c>
      <c r="K22" s="157">
        <f t="shared" si="1"/>
        <v>3.5176297086921771E-2</v>
      </c>
      <c r="L22" s="157">
        <f t="shared" si="1"/>
        <v>1.4542376978145101E-2</v>
      </c>
      <c r="M22" s="157">
        <f t="shared" si="1"/>
        <v>7.3658041155210754E-3</v>
      </c>
      <c r="N22" s="157">
        <f t="shared" si="1"/>
        <v>0</v>
      </c>
      <c r="O22" s="46"/>
      <c r="P22" s="154">
        <f t="shared" si="19"/>
        <v>1.2088689249518411E-2</v>
      </c>
      <c r="Q22" s="154">
        <f t="shared" si="20"/>
        <v>7.455962627880694E-2</v>
      </c>
      <c r="R22" s="154">
        <f t="shared" si="20"/>
        <v>0.1972252973239485</v>
      </c>
      <c r="S22" s="154">
        <f t="shared" si="20"/>
        <v>0.39434155529100512</v>
      </c>
      <c r="T22" s="154">
        <f t="shared" si="20"/>
        <v>0.54823702913078232</v>
      </c>
      <c r="U22" s="154">
        <f t="shared" si="20"/>
        <v>0.65915246043709808</v>
      </c>
      <c r="V22" s="154">
        <f t="shared" si="20"/>
        <v>0.80585489711197322</v>
      </c>
      <c r="W22" s="162">
        <f t="shared" si="21"/>
        <v>1</v>
      </c>
      <c r="X22" s="154"/>
      <c r="Y22" s="142">
        <f t="shared" si="22"/>
        <v>3.246031746031746E-2</v>
      </c>
      <c r="Z22" s="142">
        <f t="shared" si="12"/>
        <v>5.2817460317460319E-2</v>
      </c>
      <c r="AA22" s="142">
        <f t="shared" si="12"/>
        <v>6.2460317460317473E-2</v>
      </c>
      <c r="AB22" s="142">
        <f t="shared" si="12"/>
        <v>5.9007936507936523E-2</v>
      </c>
      <c r="AC22" s="142">
        <f t="shared" si="12"/>
        <v>2.432539682539683E-2</v>
      </c>
      <c r="AD22" s="142">
        <f t="shared" si="12"/>
        <v>9.6527777777777827E-3</v>
      </c>
      <c r="AE22" s="142">
        <f t="shared" si="12"/>
        <v>4.4015873015873066E-3</v>
      </c>
      <c r="AF22" s="142">
        <f t="shared" si="12"/>
        <v>0</v>
      </c>
      <c r="AH22" s="158">
        <f t="shared" si="13"/>
        <v>3.7698412698412696E-2</v>
      </c>
      <c r="AI22" s="158">
        <f t="shared" si="14"/>
        <v>0.13591269841269843</v>
      </c>
      <c r="AJ22" s="158">
        <f t="shared" si="14"/>
        <v>0.28769841269841273</v>
      </c>
      <c r="AK22" s="158">
        <f t="shared" si="14"/>
        <v>0.50496031746031744</v>
      </c>
      <c r="AL22" s="158">
        <f t="shared" si="14"/>
        <v>0.65674603174603174</v>
      </c>
      <c r="AM22" s="158">
        <f t="shared" si="14"/>
        <v>0.75694444444444442</v>
      </c>
      <c r="AN22" s="158">
        <f t="shared" si="14"/>
        <v>0.87996031746031744</v>
      </c>
      <c r="AO22" s="158">
        <v>1</v>
      </c>
      <c r="AP22" s="143"/>
      <c r="AQ22" s="143">
        <f t="shared" si="5"/>
        <v>1.2088689249518407E-2</v>
      </c>
      <c r="AR22" s="143">
        <f t="shared" si="5"/>
        <v>6.247093702928852E-2</v>
      </c>
      <c r="AS22" s="143">
        <f t="shared" si="5"/>
        <v>0.12266567104514155</v>
      </c>
      <c r="AT22" s="143">
        <f t="shared" si="5"/>
        <v>0.19711625796705656</v>
      </c>
      <c r="AU22" s="143">
        <f t="shared" si="5"/>
        <v>0.15389547383977722</v>
      </c>
      <c r="AV22" s="143">
        <f t="shared" si="5"/>
        <v>0.11091543130631575</v>
      </c>
      <c r="AW22" s="143">
        <f t="shared" si="5"/>
        <v>0.14670243667487518</v>
      </c>
      <c r="AX22" s="143">
        <f t="shared" si="5"/>
        <v>0.19414510288802672</v>
      </c>
      <c r="AY22" s="46"/>
      <c r="AZ22" s="152">
        <f>Shares!D63</f>
        <v>3.8</v>
      </c>
      <c r="BA22" s="152">
        <f>Shares!E63</f>
        <v>9.9</v>
      </c>
      <c r="BB22" s="152">
        <f>Shares!F63</f>
        <v>15.3</v>
      </c>
      <c r="BC22" s="152">
        <f>Shares!G63</f>
        <v>21.9</v>
      </c>
      <c r="BD22" s="152">
        <f>Shares!J63</f>
        <v>15.3</v>
      </c>
      <c r="BE22" s="152">
        <f>Shares!K63</f>
        <v>10.1</v>
      </c>
      <c r="BF22" s="152">
        <f>Shares!L63</f>
        <v>12.4</v>
      </c>
      <c r="BG22" s="152">
        <f>Shares!M63</f>
        <v>12.1</v>
      </c>
      <c r="BI22" s="246">
        <f>TxRt!B$53-TxRt!C$53+TxRt!C66</f>
        <v>6.8</v>
      </c>
      <c r="BJ22" s="246">
        <f>TxRt!B$96-TxRt!C$96+TxRt!C109</f>
        <v>13.5</v>
      </c>
      <c r="BK22" s="246">
        <f>TxRt!B$136-TxRt!C$136+TxRt!C149</f>
        <v>17.200000000000003</v>
      </c>
      <c r="BL22" s="246">
        <f>TxRt!B$176-TxRt!C$176+TxRt!C189</f>
        <v>19.399999999999999</v>
      </c>
      <c r="BM22" s="246">
        <f>TxRt!B$256-TxRt!C$256+TxRt!C269</f>
        <v>21.5</v>
      </c>
      <c r="BN22" s="246">
        <f>TxRt!B$296-TxRt!C$296+TxRt!C309</f>
        <v>23.2</v>
      </c>
      <c r="BO22" s="246">
        <f>TxRt!B$336-TxRt!C$336+TxRt!C349</f>
        <v>25.4</v>
      </c>
      <c r="BP22" s="246">
        <f>TxRt!B$376-TxRt!C$376+TxRt!C389</f>
        <v>34.1</v>
      </c>
      <c r="BQ22" s="46"/>
      <c r="BR22" s="60">
        <f>Inc!B63</f>
        <v>15600</v>
      </c>
      <c r="BS22" s="60">
        <f>Inc!B103</f>
        <v>36300</v>
      </c>
      <c r="BT22" s="60">
        <f>Inc!B143</f>
        <v>58300</v>
      </c>
      <c r="BU22" s="60">
        <f>Inc!B183</f>
        <v>83500</v>
      </c>
      <c r="BV22" s="60">
        <f>Inc!B263</f>
        <v>112300</v>
      </c>
      <c r="BW22" s="60">
        <f>Inc!B303</f>
        <v>145600</v>
      </c>
      <c r="BX22" s="60">
        <f>Inc!B343</f>
        <v>218800</v>
      </c>
      <c r="BY22" s="60">
        <f>Inc!B383</f>
        <v>884300</v>
      </c>
      <c r="CA22" s="60">
        <f t="shared" si="6"/>
        <v>1060.8</v>
      </c>
      <c r="CB22" s="60">
        <f t="shared" si="6"/>
        <v>4900.5</v>
      </c>
      <c r="CC22" s="60">
        <f t="shared" si="6"/>
        <v>10027.6</v>
      </c>
      <c r="CD22" s="60">
        <f t="shared" si="6"/>
        <v>16198.999999999998</v>
      </c>
      <c r="CE22" s="60">
        <f t="shared" si="6"/>
        <v>24144.5</v>
      </c>
      <c r="CF22" s="60">
        <f t="shared" si="6"/>
        <v>33779.199999999997</v>
      </c>
      <c r="CG22" s="60">
        <f t="shared" si="6"/>
        <v>55575.199999999997</v>
      </c>
      <c r="CH22" s="60">
        <f t="shared" si="6"/>
        <v>301546.3</v>
      </c>
      <c r="CJ22" s="153">
        <f t="shared" si="15"/>
        <v>18776.160000000003</v>
      </c>
      <c r="CK22" s="153">
        <f t="shared" si="7"/>
        <v>97029.900000000009</v>
      </c>
      <c r="CL22" s="153">
        <f t="shared" si="7"/>
        <v>190524.40000000005</v>
      </c>
      <c r="CM22" s="153">
        <f t="shared" si="7"/>
        <v>306161.09999999998</v>
      </c>
      <c r="CN22" s="153">
        <f t="shared" si="7"/>
        <v>239030.55000000002</v>
      </c>
      <c r="CO22" s="153">
        <f t="shared" si="7"/>
        <v>172273.91999999998</v>
      </c>
      <c r="CP22" s="153">
        <f t="shared" si="7"/>
        <v>227858.31999999998</v>
      </c>
      <c r="CQ22" s="153">
        <f t="shared" si="7"/>
        <v>301546.3</v>
      </c>
      <c r="CR22" s="153">
        <f t="shared" si="16"/>
        <v>1553200.6500000001</v>
      </c>
      <c r="CT22" s="403">
        <v>250.4</v>
      </c>
      <c r="CU22" s="276">
        <f>Dem!B63+(DD22/4)</f>
        <v>17.700000000000003</v>
      </c>
      <c r="CV22" s="276">
        <f>Dem!B103+(DD22/4)</f>
        <v>19.8</v>
      </c>
      <c r="CW22" s="276">
        <f>Dem!B143+(DD22/4)</f>
        <v>19.000000000000004</v>
      </c>
      <c r="CX22" s="276">
        <f>Dem!B183+(DD22/4)</f>
        <v>18.900000000000002</v>
      </c>
      <c r="CY22" s="276">
        <f>Dem!B263</f>
        <v>9.9</v>
      </c>
      <c r="CZ22" s="276">
        <f>Dem!B303</f>
        <v>5.0999999999999996</v>
      </c>
      <c r="DA22" s="276">
        <f>Dem!B343</f>
        <v>4.0999999999999996</v>
      </c>
      <c r="DB22" s="276">
        <f>Dem!B383</f>
        <v>1</v>
      </c>
      <c r="DC22" s="275">
        <v>96.3</v>
      </c>
      <c r="DD22" s="46">
        <v>-0.39999999999999147</v>
      </c>
      <c r="DE22" s="275"/>
      <c r="DF22" s="276">
        <f>Dem!$D63+(DO22/4)</f>
        <v>48.599999999999994</v>
      </c>
      <c r="DG22" s="276">
        <f>Dem!$D103+(DO22/4)</f>
        <v>49.8</v>
      </c>
      <c r="DH22" s="276">
        <f>Dem!$D143+(DO22/4)</f>
        <v>49.8</v>
      </c>
      <c r="DI22" s="276">
        <f>Dem!$D183+(DO22/4)</f>
        <v>49.8</v>
      </c>
      <c r="DJ22" s="275">
        <f>Dem!$D263</f>
        <v>25</v>
      </c>
      <c r="DK22" s="275">
        <f>Dem!$D303</f>
        <v>12.5</v>
      </c>
      <c r="DL22" s="275">
        <f>Dem!$D343</f>
        <v>10</v>
      </c>
      <c r="DM22" s="275">
        <f>Dem!$D383</f>
        <v>2.5</v>
      </c>
      <c r="DN22" s="276">
        <f t="shared" si="17"/>
        <v>250.4</v>
      </c>
      <c r="DO22" s="44">
        <v>-1.2000000000000171</v>
      </c>
    </row>
    <row r="23" spans="1:119">
      <c r="A23" s="46">
        <f t="shared" si="18"/>
        <v>1993</v>
      </c>
      <c r="B23" s="141">
        <f t="shared" si="8"/>
        <v>0.15794538164552391</v>
      </c>
      <c r="C23" s="46"/>
      <c r="D23" s="141">
        <f t="shared" si="9"/>
        <v>0.64530014355028598</v>
      </c>
      <c r="E23" s="141">
        <f t="shared" si="10"/>
        <v>0.48735476190476207</v>
      </c>
      <c r="F23" s="46"/>
      <c r="G23" s="157">
        <f t="shared" si="11"/>
        <v>3.7790378288558246E-2</v>
      </c>
      <c r="H23" s="157">
        <f t="shared" si="1"/>
        <v>6.5335052425780957E-2</v>
      </c>
      <c r="I23" s="157">
        <f t="shared" si="1"/>
        <v>8.0935564750866315E-2</v>
      </c>
      <c r="J23" s="157">
        <f t="shared" si="1"/>
        <v>8.1298806175370913E-2</v>
      </c>
      <c r="K23" s="157">
        <f t="shared" si="1"/>
        <v>3.5232922935339132E-2</v>
      </c>
      <c r="L23" s="157">
        <f t="shared" si="1"/>
        <v>1.4629346600405735E-2</v>
      </c>
      <c r="M23" s="157">
        <f t="shared" si="1"/>
        <v>7.4280005988216977E-3</v>
      </c>
      <c r="N23" s="157">
        <f t="shared" si="1"/>
        <v>0</v>
      </c>
      <c r="O23" s="46"/>
      <c r="P23" s="154">
        <f t="shared" si="19"/>
        <v>1.1048108557208778E-2</v>
      </c>
      <c r="Q23" s="154">
        <f t="shared" si="20"/>
        <v>7.3324737871095252E-2</v>
      </c>
      <c r="R23" s="154">
        <f t="shared" si="20"/>
        <v>0.19532217624566856</v>
      </c>
      <c r="S23" s="154">
        <f t="shared" si="20"/>
        <v>0.3935059691231455</v>
      </c>
      <c r="T23" s="154">
        <f t="shared" si="20"/>
        <v>0.54767077064660874</v>
      </c>
      <c r="U23" s="154">
        <f t="shared" si="20"/>
        <v>0.65741306799188537</v>
      </c>
      <c r="V23" s="154">
        <f t="shared" si="20"/>
        <v>0.80429998502945765</v>
      </c>
      <c r="W23" s="162">
        <f t="shared" si="21"/>
        <v>1</v>
      </c>
      <c r="X23" s="154"/>
      <c r="Y23" s="142">
        <f t="shared" si="22"/>
        <v>3.2460317460317467E-2</v>
      </c>
      <c r="Z23" s="142">
        <f t="shared" si="12"/>
        <v>5.2619047619047635E-2</v>
      </c>
      <c r="AA23" s="142">
        <f t="shared" si="12"/>
        <v>6.2261904761904789E-2</v>
      </c>
      <c r="AB23" s="142">
        <f t="shared" si="12"/>
        <v>5.8611111111111128E-2</v>
      </c>
      <c r="AC23" s="142">
        <f t="shared" si="12"/>
        <v>2.4027777777777783E-2</v>
      </c>
      <c r="AD23" s="142">
        <f t="shared" si="12"/>
        <v>9.454365079365085E-3</v>
      </c>
      <c r="AE23" s="142">
        <f t="shared" si="12"/>
        <v>4.242857142857148E-3</v>
      </c>
      <c r="AF23" s="142">
        <f t="shared" si="12"/>
        <v>0</v>
      </c>
      <c r="AH23" s="158">
        <f t="shared" si="13"/>
        <v>3.7698412698412689E-2</v>
      </c>
      <c r="AI23" s="158">
        <f t="shared" si="14"/>
        <v>0.13690476190476189</v>
      </c>
      <c r="AJ23" s="158">
        <f t="shared" si="14"/>
        <v>0.28869047619047616</v>
      </c>
      <c r="AK23" s="158">
        <f t="shared" si="14"/>
        <v>0.50694444444444442</v>
      </c>
      <c r="AL23" s="158">
        <f t="shared" si="14"/>
        <v>0.65972222222222221</v>
      </c>
      <c r="AM23" s="158">
        <f t="shared" si="14"/>
        <v>0.76091269841269837</v>
      </c>
      <c r="AN23" s="158">
        <f t="shared" si="14"/>
        <v>0.8839285714285714</v>
      </c>
      <c r="AO23" s="158">
        <v>1</v>
      </c>
      <c r="AP23" s="143"/>
      <c r="AQ23" s="143">
        <f t="shared" si="5"/>
        <v>1.1048108557208778E-2</v>
      </c>
      <c r="AR23" s="143">
        <f t="shared" si="5"/>
        <v>6.2276629313886472E-2</v>
      </c>
      <c r="AS23" s="143">
        <f t="shared" si="5"/>
        <v>0.12199743837457332</v>
      </c>
      <c r="AT23" s="143">
        <f t="shared" si="5"/>
        <v>0.19818379287747692</v>
      </c>
      <c r="AU23" s="143">
        <f t="shared" si="5"/>
        <v>0.15416480152346324</v>
      </c>
      <c r="AV23" s="143">
        <f t="shared" si="5"/>
        <v>0.10974229734527666</v>
      </c>
      <c r="AW23" s="143">
        <f t="shared" si="5"/>
        <v>0.14688691703757223</v>
      </c>
      <c r="AX23" s="143">
        <f t="shared" si="5"/>
        <v>0.19570001497054237</v>
      </c>
      <c r="AY23" s="46"/>
      <c r="AZ23" s="152">
        <f>Shares!D64</f>
        <v>3.8</v>
      </c>
      <c r="BA23" s="152">
        <f>Shares!E64</f>
        <v>10</v>
      </c>
      <c r="BB23" s="152">
        <f>Shares!F64</f>
        <v>15.3</v>
      </c>
      <c r="BC23" s="152">
        <f>Shares!G64</f>
        <v>22</v>
      </c>
      <c r="BD23" s="152">
        <f>Shares!J64</f>
        <v>15.4</v>
      </c>
      <c r="BE23" s="152">
        <f>Shares!K64</f>
        <v>10.199999999999999</v>
      </c>
      <c r="BF23" s="152">
        <f>Shares!L64</f>
        <v>12.4</v>
      </c>
      <c r="BG23" s="152">
        <f>Shares!M64</f>
        <v>11.7</v>
      </c>
      <c r="BI23" s="246">
        <f>TxRt!B$53-TxRt!C$53+TxRt!C67</f>
        <v>6.3</v>
      </c>
      <c r="BJ23" s="246">
        <f>TxRt!B$96-TxRt!C$96+TxRt!C110</f>
        <v>13.4</v>
      </c>
      <c r="BK23" s="246">
        <f>TxRt!B$136-TxRt!C$136+TxRt!C150</f>
        <v>17.100000000000001</v>
      </c>
      <c r="BL23" s="246">
        <f>TxRt!B$176-TxRt!C$176+TxRt!C190</f>
        <v>19.3</v>
      </c>
      <c r="BM23" s="246">
        <f>TxRt!B$256-TxRt!C$256+TxRt!C270</f>
        <v>21.3</v>
      </c>
      <c r="BN23" s="246">
        <f>TxRt!B$296-TxRt!C$296+TxRt!C310</f>
        <v>23</v>
      </c>
      <c r="BO23" s="246">
        <f>TxRt!B$336-TxRt!C$336+TxRt!C350</f>
        <v>25.5</v>
      </c>
      <c r="BP23" s="246">
        <f>TxRt!B$376-TxRt!C$376+TxRt!C390</f>
        <v>36.200000000000003</v>
      </c>
      <c r="BQ23" s="46"/>
      <c r="BR23" s="60">
        <f>Inc!B64</f>
        <v>15600</v>
      </c>
      <c r="BS23" s="60">
        <f>Inc!B104</f>
        <v>36400</v>
      </c>
      <c r="BT23" s="60">
        <f>Inc!B144</f>
        <v>58500</v>
      </c>
      <c r="BU23" s="60">
        <f>Inc!B184</f>
        <v>84200</v>
      </c>
      <c r="BV23" s="60">
        <f>Inc!B264</f>
        <v>113800</v>
      </c>
      <c r="BW23" s="60">
        <f>Inc!B304</f>
        <v>147100</v>
      </c>
      <c r="BX23" s="60">
        <f>Inc!B344</f>
        <v>220900</v>
      </c>
      <c r="BY23" s="60">
        <f>Inc!B384</f>
        <v>850000</v>
      </c>
      <c r="CA23" s="60">
        <f t="shared" si="6"/>
        <v>982.8</v>
      </c>
      <c r="CB23" s="60">
        <f t="shared" si="6"/>
        <v>4877.6000000000004</v>
      </c>
      <c r="CC23" s="60">
        <f t="shared" si="6"/>
        <v>10003.500000000002</v>
      </c>
      <c r="CD23" s="60">
        <f t="shared" si="6"/>
        <v>16250.6</v>
      </c>
      <c r="CE23" s="60">
        <f t="shared" si="6"/>
        <v>24239.4</v>
      </c>
      <c r="CF23" s="60">
        <f t="shared" si="6"/>
        <v>33833</v>
      </c>
      <c r="CG23" s="60">
        <f t="shared" si="6"/>
        <v>56329.5</v>
      </c>
      <c r="CH23" s="60">
        <f t="shared" si="6"/>
        <v>307700.00000000006</v>
      </c>
      <c r="CJ23" s="153">
        <f t="shared" si="15"/>
        <v>17370.989999999998</v>
      </c>
      <c r="CK23" s="153">
        <f t="shared" si="7"/>
        <v>97917.819999999992</v>
      </c>
      <c r="CL23" s="153">
        <f t="shared" si="7"/>
        <v>191817.11250000002</v>
      </c>
      <c r="CM23" s="153">
        <f t="shared" si="7"/>
        <v>311605.25499999995</v>
      </c>
      <c r="CN23" s="153">
        <f t="shared" si="7"/>
        <v>242394</v>
      </c>
      <c r="CO23" s="153">
        <f t="shared" si="7"/>
        <v>172548.3</v>
      </c>
      <c r="CP23" s="153">
        <f t="shared" si="7"/>
        <v>230950.94999999998</v>
      </c>
      <c r="CQ23" s="153">
        <f t="shared" si="7"/>
        <v>307700.00000000006</v>
      </c>
      <c r="CR23" s="153">
        <f t="shared" si="16"/>
        <v>1572304.4275</v>
      </c>
      <c r="CT23" s="403">
        <v>255</v>
      </c>
      <c r="CU23" s="276">
        <f>Dem!B64+(DD23/4)</f>
        <v>17.674999999999997</v>
      </c>
      <c r="CV23" s="276">
        <f>Dem!B104+(DD23/4)</f>
        <v>20.074999999999996</v>
      </c>
      <c r="CW23" s="276">
        <f>Dem!B144+(DD23/4)</f>
        <v>19.174999999999997</v>
      </c>
      <c r="CX23" s="276">
        <f>Dem!B184+(DD23/4)</f>
        <v>19.174999999999997</v>
      </c>
      <c r="CY23" s="276">
        <f>Dem!B264</f>
        <v>10</v>
      </c>
      <c r="CZ23" s="276">
        <f>Dem!B304</f>
        <v>5.0999999999999996</v>
      </c>
      <c r="DA23" s="276">
        <f>Dem!B344</f>
        <v>4.0999999999999996</v>
      </c>
      <c r="DB23" s="276">
        <f>Dem!B384</f>
        <v>1</v>
      </c>
      <c r="DC23" s="275">
        <v>97.3</v>
      </c>
      <c r="DD23" s="46">
        <v>-0.50000000000001421</v>
      </c>
      <c r="DE23" s="275"/>
      <c r="DF23" s="276">
        <f>Dem!$D64+(DO23/4)</f>
        <v>49.499999999999993</v>
      </c>
      <c r="DG23" s="276">
        <f>Dem!$D104+(DO23/4)</f>
        <v>50.699999999999996</v>
      </c>
      <c r="DH23" s="276">
        <f>Dem!$D144+(DO23/4)</f>
        <v>50.699999999999996</v>
      </c>
      <c r="DI23" s="276">
        <f>Dem!$D184+(DO23/4)</f>
        <v>50.699999999999996</v>
      </c>
      <c r="DJ23" s="275">
        <f>Dem!$D264</f>
        <v>25.5</v>
      </c>
      <c r="DK23" s="275">
        <f>Dem!$D304</f>
        <v>12.7</v>
      </c>
      <c r="DL23" s="275">
        <f>Dem!$D344</f>
        <v>10.199999999999999</v>
      </c>
      <c r="DM23" s="275">
        <f>Dem!$D384</f>
        <v>2.6</v>
      </c>
      <c r="DN23" s="276">
        <f t="shared" si="17"/>
        <v>255</v>
      </c>
      <c r="DO23" s="44">
        <v>-1.2000000000000171</v>
      </c>
    </row>
    <row r="24" spans="1:119">
      <c r="A24" s="46">
        <f t="shared" si="18"/>
        <v>1994</v>
      </c>
      <c r="B24" s="141">
        <f t="shared" si="8"/>
        <v>0.16532054053243489</v>
      </c>
      <c r="C24" s="46"/>
      <c r="D24" s="141">
        <f t="shared" si="9"/>
        <v>0.65554834589489785</v>
      </c>
      <c r="E24" s="141">
        <f t="shared" si="10"/>
        <v>0.49022780536246297</v>
      </c>
      <c r="F24" s="46"/>
      <c r="G24" s="157">
        <f t="shared" si="11"/>
        <v>3.8471022791339841E-2</v>
      </c>
      <c r="H24" s="157">
        <f t="shared" si="1"/>
        <v>6.6572429788414864E-2</v>
      </c>
      <c r="I24" s="157">
        <f t="shared" si="1"/>
        <v>8.2211650881327342E-2</v>
      </c>
      <c r="J24" s="157">
        <f t="shared" si="1"/>
        <v>8.2458601790440983E-2</v>
      </c>
      <c r="K24" s="157">
        <f t="shared" si="1"/>
        <v>3.582092694694277E-2</v>
      </c>
      <c r="L24" s="157">
        <f t="shared" si="1"/>
        <v>1.4817225580509625E-2</v>
      </c>
      <c r="M24" s="157">
        <f t="shared" si="1"/>
        <v>7.4223151684734657E-3</v>
      </c>
      <c r="N24" s="157">
        <f t="shared" si="1"/>
        <v>0</v>
      </c>
      <c r="O24" s="46"/>
      <c r="P24" s="154">
        <f t="shared" si="19"/>
        <v>7.6448860433008118E-3</v>
      </c>
      <c r="Q24" s="154">
        <f t="shared" si="20"/>
        <v>6.7137851057925677E-2</v>
      </c>
      <c r="R24" s="154">
        <f t="shared" si="20"/>
        <v>0.18894174559336341</v>
      </c>
      <c r="S24" s="154">
        <f t="shared" si="20"/>
        <v>0.38770699104779516</v>
      </c>
      <c r="T24" s="154">
        <f t="shared" si="20"/>
        <v>0.54179073053057236</v>
      </c>
      <c r="U24" s="154">
        <f t="shared" si="20"/>
        <v>0.65365548838980758</v>
      </c>
      <c r="V24" s="154">
        <f t="shared" si="20"/>
        <v>0.80444212078816346</v>
      </c>
      <c r="W24" s="162">
        <f t="shared" si="21"/>
        <v>1</v>
      </c>
      <c r="X24" s="154"/>
      <c r="Y24" s="142">
        <f t="shared" si="22"/>
        <v>3.2651439920556115E-2</v>
      </c>
      <c r="Z24" s="142">
        <f t="shared" si="12"/>
        <v>5.2989076464746779E-2</v>
      </c>
      <c r="AA24" s="142">
        <f t="shared" si="12"/>
        <v>6.2601787487586921E-2</v>
      </c>
      <c r="AB24" s="142">
        <f t="shared" si="12"/>
        <v>5.8907646474677278E-2</v>
      </c>
      <c r="AC24" s="142">
        <f t="shared" si="12"/>
        <v>2.4160873882820268E-2</v>
      </c>
      <c r="AD24" s="142">
        <f t="shared" si="12"/>
        <v>9.5158887785501585E-3</v>
      </c>
      <c r="AE24" s="142">
        <f t="shared" si="12"/>
        <v>4.2871896722939517E-3</v>
      </c>
      <c r="AF24" s="142">
        <f t="shared" si="12"/>
        <v>0</v>
      </c>
      <c r="AH24" s="158">
        <f t="shared" si="13"/>
        <v>3.6742800397219458E-2</v>
      </c>
      <c r="AI24" s="158">
        <f t="shared" si="14"/>
        <v>0.13505461767626611</v>
      </c>
      <c r="AJ24" s="158">
        <f t="shared" si="14"/>
        <v>0.28699106256206552</v>
      </c>
      <c r="AK24" s="158">
        <f t="shared" si="14"/>
        <v>0.50546176762661366</v>
      </c>
      <c r="AL24" s="158">
        <f t="shared" si="14"/>
        <v>0.65839126117179736</v>
      </c>
      <c r="AM24" s="158">
        <f t="shared" si="14"/>
        <v>0.75968222442899691</v>
      </c>
      <c r="AN24" s="158">
        <f t="shared" si="14"/>
        <v>0.88282025819265131</v>
      </c>
      <c r="AO24" s="158">
        <v>1</v>
      </c>
      <c r="AP24" s="143"/>
      <c r="AQ24" s="143">
        <f t="shared" si="5"/>
        <v>7.6448860433008109E-3</v>
      </c>
      <c r="AR24" s="143">
        <f t="shared" si="5"/>
        <v>5.9492965014624859E-2</v>
      </c>
      <c r="AS24" s="143">
        <f t="shared" si="5"/>
        <v>0.12180389453543773</v>
      </c>
      <c r="AT24" s="143">
        <f t="shared" si="5"/>
        <v>0.19876524545443172</v>
      </c>
      <c r="AU24" s="143">
        <f t="shared" si="5"/>
        <v>0.15408373948277715</v>
      </c>
      <c r="AV24" s="143">
        <f t="shared" si="5"/>
        <v>0.11186475785923515</v>
      </c>
      <c r="AW24" s="143">
        <f t="shared" si="5"/>
        <v>0.15078663239835585</v>
      </c>
      <c r="AX24" s="143">
        <f t="shared" si="5"/>
        <v>0.19555787921183668</v>
      </c>
      <c r="AY24" s="46"/>
      <c r="AZ24" s="152">
        <f>Shares!D65</f>
        <v>3.7</v>
      </c>
      <c r="BA24" s="152">
        <f>Shares!E65</f>
        <v>9.9</v>
      </c>
      <c r="BB24" s="152">
        <f>Shares!F65</f>
        <v>15.3</v>
      </c>
      <c r="BC24" s="152">
        <f>Shares!G65</f>
        <v>22</v>
      </c>
      <c r="BD24" s="152">
        <f>Shares!J65</f>
        <v>15.4</v>
      </c>
      <c r="BE24" s="152">
        <f>Shares!K65</f>
        <v>10.199999999999999</v>
      </c>
      <c r="BF24" s="152">
        <f>Shares!L65</f>
        <v>12.4</v>
      </c>
      <c r="BG24" s="152">
        <f>Shares!M65</f>
        <v>11.8</v>
      </c>
      <c r="BI24" s="246">
        <f>TxRt!B$53-TxRt!C$53+TxRt!C68</f>
        <v>4.4000000000000004</v>
      </c>
      <c r="BJ24" s="246">
        <f>TxRt!B$96-TxRt!C$96+TxRt!C111</f>
        <v>12.9</v>
      </c>
      <c r="BK24" s="246">
        <f>TxRt!B$136-TxRt!C$136+TxRt!C151</f>
        <v>17.100000000000001</v>
      </c>
      <c r="BL24" s="246">
        <f>TxRt!B$176-TxRt!C$176+TxRt!C191</f>
        <v>19.399999999999999</v>
      </c>
      <c r="BM24" s="246">
        <f>TxRt!B$256-TxRt!C$256+TxRt!C271</f>
        <v>21.5</v>
      </c>
      <c r="BN24" s="246">
        <f>TxRt!B$296-TxRt!C$296+TxRt!C311</f>
        <v>23.299999999999997</v>
      </c>
      <c r="BO24" s="246">
        <f>TxRt!B$336-TxRt!C$336+TxRt!C351</f>
        <v>25.700000000000003</v>
      </c>
      <c r="BP24" s="246">
        <f>TxRt!B$376-TxRt!C$376+TxRt!C391</f>
        <v>36.200000000000003</v>
      </c>
      <c r="BQ24" s="46"/>
      <c r="BR24" s="60">
        <f>Inc!B65</f>
        <v>15500</v>
      </c>
      <c r="BS24" s="60">
        <f>Inc!B105</f>
        <v>36700</v>
      </c>
      <c r="BT24" s="60">
        <f>Inc!B145</f>
        <v>58700</v>
      </c>
      <c r="BU24" s="60">
        <f>Inc!B185</f>
        <v>85300</v>
      </c>
      <c r="BV24" s="60">
        <f>Inc!B265</f>
        <v>116200</v>
      </c>
      <c r="BW24" s="60">
        <f>Inc!B305</f>
        <v>149700</v>
      </c>
      <c r="BX24" s="60">
        <f>Inc!B345</f>
        <v>226500</v>
      </c>
      <c r="BY24" s="60">
        <f>Inc!B385</f>
        <v>875900</v>
      </c>
      <c r="CA24" s="60">
        <f t="shared" si="6"/>
        <v>682</v>
      </c>
      <c r="CB24" s="60">
        <f t="shared" si="6"/>
        <v>4734.3</v>
      </c>
      <c r="CC24" s="60">
        <f t="shared" si="6"/>
        <v>10037.700000000001</v>
      </c>
      <c r="CD24" s="60">
        <f t="shared" si="6"/>
        <v>16548.199999999997</v>
      </c>
      <c r="CE24" s="60">
        <f t="shared" si="6"/>
        <v>24983</v>
      </c>
      <c r="CF24" s="60">
        <f t="shared" si="6"/>
        <v>34880.1</v>
      </c>
      <c r="CG24" s="60">
        <f t="shared" si="6"/>
        <v>58210.500000000007</v>
      </c>
      <c r="CH24" s="60">
        <f t="shared" si="6"/>
        <v>317075.80000000005</v>
      </c>
      <c r="CJ24" s="153">
        <f t="shared" si="15"/>
        <v>12395.35</v>
      </c>
      <c r="CK24" s="153">
        <f t="shared" si="7"/>
        <v>96461.362500000003</v>
      </c>
      <c r="CL24" s="153">
        <f t="shared" si="7"/>
        <v>197491.74750000003</v>
      </c>
      <c r="CM24" s="153">
        <f t="shared" si="7"/>
        <v>322276.19499999995</v>
      </c>
      <c r="CN24" s="153">
        <f t="shared" si="7"/>
        <v>249830</v>
      </c>
      <c r="CO24" s="153">
        <f t="shared" si="7"/>
        <v>181376.52</v>
      </c>
      <c r="CP24" s="153">
        <f t="shared" si="7"/>
        <v>244484.10000000003</v>
      </c>
      <c r="CQ24" s="153">
        <f t="shared" si="7"/>
        <v>317075.80000000005</v>
      </c>
      <c r="CR24" s="153">
        <f t="shared" si="16"/>
        <v>1621391.0750000002</v>
      </c>
      <c r="CT24" s="403">
        <v>257.8</v>
      </c>
      <c r="CU24" s="276">
        <f>Dem!B65+(DD24/4)</f>
        <v>18.175000000000001</v>
      </c>
      <c r="CV24" s="276">
        <f>Dem!B105+(DD24/4)</f>
        <v>20.375</v>
      </c>
      <c r="CW24" s="276">
        <f>Dem!B145+(DD24/4)</f>
        <v>19.675000000000001</v>
      </c>
      <c r="CX24" s="276">
        <f>Dem!B185+(DD24/4)</f>
        <v>19.475000000000001</v>
      </c>
      <c r="CY24" s="276">
        <f>Dem!B265</f>
        <v>10</v>
      </c>
      <c r="CZ24" s="276">
        <f>Dem!B305</f>
        <v>5.2</v>
      </c>
      <c r="DA24" s="276">
        <f>Dem!B345</f>
        <v>4.2</v>
      </c>
      <c r="DB24" s="276">
        <f>Dem!B385</f>
        <v>1</v>
      </c>
      <c r="DC24" s="275">
        <v>99.1</v>
      </c>
      <c r="DD24" s="46">
        <v>-0.5</v>
      </c>
      <c r="DE24" s="275"/>
      <c r="DF24" s="276">
        <f>Dem!$D65+(DO24/4)</f>
        <v>50.15</v>
      </c>
      <c r="DG24" s="276">
        <f>Dem!$D105+(DO24/4)</f>
        <v>51.35</v>
      </c>
      <c r="DH24" s="276">
        <f>Dem!$D145+(DO24/4)</f>
        <v>51.35</v>
      </c>
      <c r="DI24" s="276">
        <f>Dem!$D185+(DO24/4)</f>
        <v>51.35</v>
      </c>
      <c r="DJ24" s="275">
        <f>Dem!$D265</f>
        <v>25.8</v>
      </c>
      <c r="DK24" s="275">
        <f>Dem!$D305</f>
        <v>12.9</v>
      </c>
      <c r="DL24" s="275">
        <f>Dem!$D345</f>
        <v>10.3</v>
      </c>
      <c r="DM24" s="275">
        <f>Dem!$D385</f>
        <v>2.6</v>
      </c>
      <c r="DN24" s="276">
        <f t="shared" si="17"/>
        <v>257.8</v>
      </c>
      <c r="DO24" s="44">
        <v>-1</v>
      </c>
    </row>
    <row r="25" spans="1:119">
      <c r="A25" s="46">
        <f t="shared" si="18"/>
        <v>1995</v>
      </c>
      <c r="B25" s="141">
        <f t="shared" si="8"/>
        <v>0.17676920573848548</v>
      </c>
      <c r="C25" s="46"/>
      <c r="D25" s="141">
        <f t="shared" si="9"/>
        <v>0.66775810563937754</v>
      </c>
      <c r="E25" s="141">
        <f t="shared" si="10"/>
        <v>0.49098889990089206</v>
      </c>
      <c r="F25" s="46"/>
      <c r="G25" s="157">
        <f t="shared" si="11"/>
        <v>3.8616244546122086E-2</v>
      </c>
      <c r="H25" s="157">
        <f t="shared" si="11"/>
        <v>6.6859598181122581E-2</v>
      </c>
      <c r="I25" s="157">
        <f t="shared" si="11"/>
        <v>8.3224512034009768E-2</v>
      </c>
      <c r="J25" s="157">
        <f t="shared" si="11"/>
        <v>8.4615602140591703E-2</v>
      </c>
      <c r="K25" s="157">
        <f t="shared" si="11"/>
        <v>3.7131816814224498E-2</v>
      </c>
      <c r="L25" s="157">
        <f t="shared" si="11"/>
        <v>1.5507841263120964E-2</v>
      </c>
      <c r="M25" s="157">
        <f t="shared" si="11"/>
        <v>7.9234378404972224E-3</v>
      </c>
      <c r="N25" s="157">
        <f t="shared" si="11"/>
        <v>0</v>
      </c>
      <c r="O25" s="46"/>
      <c r="P25" s="154">
        <f t="shared" si="19"/>
        <v>6.918777269389568E-3</v>
      </c>
      <c r="Q25" s="154">
        <f t="shared" si="20"/>
        <v>6.5702009094387101E-2</v>
      </c>
      <c r="R25" s="154">
        <f t="shared" si="20"/>
        <v>0.18387743982995128</v>
      </c>
      <c r="S25" s="154">
        <f t="shared" si="20"/>
        <v>0.37692198929704157</v>
      </c>
      <c r="T25" s="154">
        <f t="shared" si="20"/>
        <v>0.52868183185775508</v>
      </c>
      <c r="U25" s="154">
        <f t="shared" si="20"/>
        <v>0.63984317473758079</v>
      </c>
      <c r="V25" s="154">
        <f t="shared" si="20"/>
        <v>0.79191405398756953</v>
      </c>
      <c r="W25" s="162">
        <f t="shared" si="21"/>
        <v>1</v>
      </c>
      <c r="X25" s="154"/>
      <c r="Y25" s="142">
        <f t="shared" si="22"/>
        <v>3.2071357779980179E-2</v>
      </c>
      <c r="Z25" s="142">
        <f t="shared" si="12"/>
        <v>5.2447968285431128E-2</v>
      </c>
      <c r="AA25" s="142">
        <f t="shared" si="12"/>
        <v>6.2517343904856318E-2</v>
      </c>
      <c r="AB25" s="142">
        <f t="shared" si="12"/>
        <v>5.9504459861248776E-2</v>
      </c>
      <c r="AC25" s="142">
        <f t="shared" si="12"/>
        <v>2.4687809712586717E-2</v>
      </c>
      <c r="AD25" s="142">
        <f t="shared" si="12"/>
        <v>9.7893954410307252E-3</v>
      </c>
      <c r="AE25" s="142">
        <f t="shared" si="12"/>
        <v>4.4761149653121945E-3</v>
      </c>
      <c r="AF25" s="142">
        <f t="shared" si="12"/>
        <v>0</v>
      </c>
      <c r="AH25" s="158">
        <f t="shared" si="13"/>
        <v>3.9643211100099107E-2</v>
      </c>
      <c r="AI25" s="158">
        <f t="shared" si="14"/>
        <v>0.1377601585728444</v>
      </c>
      <c r="AJ25" s="158">
        <f t="shared" si="14"/>
        <v>0.28741328047571851</v>
      </c>
      <c r="AK25" s="158">
        <f t="shared" si="14"/>
        <v>0.50247770069375619</v>
      </c>
      <c r="AL25" s="158">
        <f t="shared" si="14"/>
        <v>0.65312190287413285</v>
      </c>
      <c r="AM25" s="158">
        <f t="shared" si="14"/>
        <v>0.75421209117938559</v>
      </c>
      <c r="AN25" s="158">
        <f t="shared" si="14"/>
        <v>0.87809712586719524</v>
      </c>
      <c r="AO25" s="158">
        <v>1</v>
      </c>
      <c r="AP25" s="143"/>
      <c r="AQ25" s="143">
        <f t="shared" si="5"/>
        <v>6.9187772693895698E-3</v>
      </c>
      <c r="AR25" s="143">
        <f t="shared" si="5"/>
        <v>5.8783231824997541E-2</v>
      </c>
      <c r="AS25" s="143">
        <f t="shared" si="5"/>
        <v>0.1181754307355642</v>
      </c>
      <c r="AT25" s="143">
        <f t="shared" si="5"/>
        <v>0.19304454946709032</v>
      </c>
      <c r="AU25" s="143">
        <f t="shared" si="5"/>
        <v>0.15175984256071359</v>
      </c>
      <c r="AV25" s="143">
        <f t="shared" si="5"/>
        <v>0.11116134287982569</v>
      </c>
      <c r="AW25" s="143">
        <f t="shared" si="5"/>
        <v>0.15207087924998883</v>
      </c>
      <c r="AX25" s="143">
        <f t="shared" si="5"/>
        <v>0.20808594601243038</v>
      </c>
      <c r="AY25" s="46"/>
      <c r="AZ25" s="152">
        <f>Shares!D66</f>
        <v>4</v>
      </c>
      <c r="BA25" s="152">
        <f>Shares!E66</f>
        <v>9.9</v>
      </c>
      <c r="BB25" s="152">
        <f>Shares!F66</f>
        <v>15.1</v>
      </c>
      <c r="BC25" s="152">
        <f>Shares!G66</f>
        <v>21.7</v>
      </c>
      <c r="BD25" s="152">
        <f>Shares!J66</f>
        <v>15.2</v>
      </c>
      <c r="BE25" s="152">
        <f>Shares!K66</f>
        <v>10.199999999999999</v>
      </c>
      <c r="BF25" s="152">
        <f>Shares!L66</f>
        <v>12.5</v>
      </c>
      <c r="BG25" s="152">
        <f>Shares!M66</f>
        <v>12.3</v>
      </c>
      <c r="BI25" s="246">
        <f>TxRt!B$53-TxRt!C$53+TxRt!C69</f>
        <v>3.8</v>
      </c>
      <c r="BJ25" s="246">
        <f>TxRt!B$96-TxRt!C$96+TxRt!C112</f>
        <v>13</v>
      </c>
      <c r="BK25" s="246">
        <f>TxRt!B$136-TxRt!C$136+TxRt!C152</f>
        <v>17.100000000000001</v>
      </c>
      <c r="BL25" s="246">
        <f>TxRt!B$176-TxRt!C$176+TxRt!C192</f>
        <v>19.399999999999999</v>
      </c>
      <c r="BM25" s="246">
        <f>TxRt!B$256-TxRt!C$256+TxRt!C272</f>
        <v>21.700000000000003</v>
      </c>
      <c r="BN25" s="246">
        <f>TxRt!B$296-TxRt!C$296+TxRt!C312</f>
        <v>23.5</v>
      </c>
      <c r="BO25" s="246">
        <f>TxRt!B$336-TxRt!C$336+TxRt!C352</f>
        <v>26.200000000000003</v>
      </c>
      <c r="BP25" s="246">
        <f>TxRt!B$376-TxRt!C$376+TxRt!C392</f>
        <v>36.9</v>
      </c>
      <c r="BQ25" s="46"/>
      <c r="BR25" s="60">
        <f>Inc!B66</f>
        <v>16700</v>
      </c>
      <c r="BS25" s="60">
        <f>Inc!B106</f>
        <v>38600</v>
      </c>
      <c r="BT25" s="60">
        <f>Inc!B146</f>
        <v>60800</v>
      </c>
      <c r="BU25" s="60">
        <f>Inc!B186</f>
        <v>87100</v>
      </c>
      <c r="BV25" s="60">
        <f>Inc!B266</f>
        <v>119400</v>
      </c>
      <c r="BW25" s="60">
        <f>Inc!B306</f>
        <v>153900</v>
      </c>
      <c r="BX25" s="60">
        <f>Inc!B346</f>
        <v>238300</v>
      </c>
      <c r="BY25" s="60">
        <f>Inc!B386</f>
        <v>972400</v>
      </c>
      <c r="CA25" s="60">
        <f t="shared" si="6"/>
        <v>634.6</v>
      </c>
      <c r="CB25" s="60">
        <f t="shared" si="6"/>
        <v>5018</v>
      </c>
      <c r="CC25" s="60">
        <f t="shared" si="6"/>
        <v>10396.800000000001</v>
      </c>
      <c r="CD25" s="60">
        <f t="shared" si="6"/>
        <v>16897.399999999998</v>
      </c>
      <c r="CE25" s="60">
        <f t="shared" si="6"/>
        <v>25909.800000000003</v>
      </c>
      <c r="CF25" s="60">
        <f t="shared" si="6"/>
        <v>36166.5</v>
      </c>
      <c r="CG25" s="60">
        <f t="shared" si="6"/>
        <v>62434.600000000006</v>
      </c>
      <c r="CH25" s="60">
        <f t="shared" si="6"/>
        <v>358815.6</v>
      </c>
      <c r="CJ25" s="153">
        <f t="shared" si="15"/>
        <v>11930.479999999998</v>
      </c>
      <c r="CK25" s="153">
        <f t="shared" si="7"/>
        <v>101363.59999999999</v>
      </c>
      <c r="CL25" s="153">
        <f t="shared" si="7"/>
        <v>203777.28</v>
      </c>
      <c r="CM25" s="153">
        <f t="shared" si="7"/>
        <v>332878.77999999997</v>
      </c>
      <c r="CN25" s="153">
        <f t="shared" si="7"/>
        <v>261688.98</v>
      </c>
      <c r="CO25" s="153">
        <f t="shared" si="7"/>
        <v>191682.44999999998</v>
      </c>
      <c r="CP25" s="153">
        <f t="shared" si="7"/>
        <v>262225.32</v>
      </c>
      <c r="CQ25" s="153">
        <f t="shared" si="7"/>
        <v>358815.6</v>
      </c>
      <c r="CR25" s="153">
        <f t="shared" si="16"/>
        <v>1724362.4899999998</v>
      </c>
      <c r="CT25" s="403">
        <v>258.60000000000002</v>
      </c>
      <c r="CU25" s="276">
        <f>Dem!B66+(DD25/4)</f>
        <v>18.799999999999997</v>
      </c>
      <c r="CV25" s="276">
        <f>Dem!B106+(DD25/4)</f>
        <v>20.2</v>
      </c>
      <c r="CW25" s="276">
        <f>Dem!B146+(DD25/4)</f>
        <v>19.599999999999998</v>
      </c>
      <c r="CX25" s="276">
        <f>Dem!B186+(DD25/4)</f>
        <v>19.7</v>
      </c>
      <c r="CY25" s="276">
        <f>Dem!B266</f>
        <v>10.1</v>
      </c>
      <c r="CZ25" s="276">
        <f>Dem!B306</f>
        <v>5.3</v>
      </c>
      <c r="DA25" s="276">
        <f>Dem!B346</f>
        <v>4.2</v>
      </c>
      <c r="DB25" s="276">
        <f>Dem!B386</f>
        <v>1</v>
      </c>
      <c r="DC25" s="275">
        <v>99.7</v>
      </c>
      <c r="DD25" s="46">
        <v>-0.40000000000000568</v>
      </c>
      <c r="DE25" s="275"/>
      <c r="DF25" s="276">
        <f>Dem!$D66+(DO25/4)</f>
        <v>50.675000000000004</v>
      </c>
      <c r="DG25" s="276">
        <f>Dem!$D106+(DO25/4)</f>
        <v>51.475000000000009</v>
      </c>
      <c r="DH25" s="276">
        <f>Dem!$D146+(DO25/4)</f>
        <v>51.475000000000009</v>
      </c>
      <c r="DI25" s="276">
        <f>Dem!$D186+(DO25/4)</f>
        <v>51.475000000000009</v>
      </c>
      <c r="DJ25" s="275">
        <f>Dem!$D266</f>
        <v>25.9</v>
      </c>
      <c r="DK25" s="275">
        <f>Dem!$D306</f>
        <v>12.9</v>
      </c>
      <c r="DL25" s="275">
        <f>Dem!$D346</f>
        <v>10.3</v>
      </c>
      <c r="DM25" s="275">
        <f>Dem!$D386</f>
        <v>2.6</v>
      </c>
      <c r="DN25" s="276">
        <f t="shared" si="17"/>
        <v>258.60000000000002</v>
      </c>
      <c r="DO25" s="44">
        <v>-0.89999999999997726</v>
      </c>
    </row>
    <row r="26" spans="1:119">
      <c r="A26" s="46">
        <f t="shared" si="18"/>
        <v>1996</v>
      </c>
      <c r="B26" s="141">
        <f t="shared" si="8"/>
        <v>0.18547639467785881</v>
      </c>
      <c r="C26" s="46"/>
      <c r="D26" s="141">
        <f t="shared" si="9"/>
        <v>0.69242713946435341</v>
      </c>
      <c r="E26" s="141">
        <f t="shared" si="10"/>
        <v>0.5069507447864946</v>
      </c>
      <c r="F26" s="46"/>
      <c r="G26" s="157">
        <f t="shared" si="11"/>
        <v>3.8957889106159826E-2</v>
      </c>
      <c r="H26" s="157">
        <f t="shared" si="11"/>
        <v>6.7922889037183104E-2</v>
      </c>
      <c r="I26" s="157">
        <f t="shared" si="11"/>
        <v>8.5443712887775927E-2</v>
      </c>
      <c r="J26" s="157">
        <f t="shared" si="11"/>
        <v>8.8323566255110716E-2</v>
      </c>
      <c r="K26" s="157">
        <f t="shared" si="11"/>
        <v>3.9582788376981662E-2</v>
      </c>
      <c r="L26" s="157">
        <f t="shared" si="11"/>
        <v>1.6928861822242798E-2</v>
      </c>
      <c r="M26" s="157">
        <f t="shared" si="11"/>
        <v>9.0538622467226746E-3</v>
      </c>
      <c r="N26" s="157">
        <f t="shared" si="11"/>
        <v>0</v>
      </c>
      <c r="O26" s="46"/>
      <c r="P26" s="154">
        <f t="shared" si="19"/>
        <v>5.2105544692008822E-3</v>
      </c>
      <c r="Q26" s="154">
        <f t="shared" si="20"/>
        <v>6.0385554814084516E-2</v>
      </c>
      <c r="R26" s="154">
        <f t="shared" si="20"/>
        <v>0.17278143556112049</v>
      </c>
      <c r="S26" s="154">
        <f t="shared" si="20"/>
        <v>0.3583821687244465</v>
      </c>
      <c r="T26" s="154">
        <f t="shared" si="20"/>
        <v>0.50417211623018343</v>
      </c>
      <c r="U26" s="154">
        <f t="shared" si="20"/>
        <v>0.61142276355514413</v>
      </c>
      <c r="V26" s="154">
        <f t="shared" si="20"/>
        <v>0.76365344383193323</v>
      </c>
      <c r="W26" s="162">
        <f t="shared" si="21"/>
        <v>1</v>
      </c>
      <c r="X26" s="154"/>
      <c r="Y26" s="142">
        <f t="shared" si="22"/>
        <v>3.2452830188679248E-2</v>
      </c>
      <c r="Z26" s="142">
        <f t="shared" si="22"/>
        <v>5.3386295928500506E-2</v>
      </c>
      <c r="AA26" s="142">
        <f t="shared" si="22"/>
        <v>6.4190665342601802E-2</v>
      </c>
      <c r="AB26" s="142">
        <f t="shared" si="22"/>
        <v>6.18867924528302E-2</v>
      </c>
      <c r="AC26" s="142">
        <f t="shared" si="22"/>
        <v>2.6047666335650446E-2</v>
      </c>
      <c r="AD26" s="142">
        <f t="shared" si="22"/>
        <v>1.0508937437934457E-2</v>
      </c>
      <c r="AE26" s="142">
        <f t="shared" si="22"/>
        <v>5.0021847070506453E-3</v>
      </c>
      <c r="AF26" s="142">
        <f t="shared" si="22"/>
        <v>0</v>
      </c>
      <c r="AH26" s="158">
        <f t="shared" si="13"/>
        <v>3.7735849056603779E-2</v>
      </c>
      <c r="AI26" s="158">
        <f t="shared" si="14"/>
        <v>0.13306852035749753</v>
      </c>
      <c r="AJ26" s="158">
        <f t="shared" si="14"/>
        <v>0.27904667328699106</v>
      </c>
      <c r="AK26" s="158">
        <f t="shared" si="14"/>
        <v>0.49056603773584906</v>
      </c>
      <c r="AL26" s="158">
        <f t="shared" si="14"/>
        <v>0.63952333664349559</v>
      </c>
      <c r="AM26" s="158">
        <f t="shared" si="14"/>
        <v>0.73982125124131093</v>
      </c>
      <c r="AN26" s="158">
        <f t="shared" si="14"/>
        <v>0.86494538232373397</v>
      </c>
      <c r="AO26" s="158">
        <v>1</v>
      </c>
      <c r="AP26" s="143"/>
      <c r="AQ26" s="143">
        <f t="shared" si="5"/>
        <v>5.2105544692008822E-3</v>
      </c>
      <c r="AR26" s="143">
        <f t="shared" si="5"/>
        <v>5.517500034488363E-2</v>
      </c>
      <c r="AS26" s="143">
        <f t="shared" si="5"/>
        <v>0.11239588074703598</v>
      </c>
      <c r="AT26" s="143">
        <f t="shared" si="5"/>
        <v>0.18560073316332601</v>
      </c>
      <c r="AU26" s="143">
        <f t="shared" si="5"/>
        <v>0.14578994750573696</v>
      </c>
      <c r="AV26" s="143">
        <f t="shared" si="5"/>
        <v>0.1072506473249607</v>
      </c>
      <c r="AW26" s="143">
        <f t="shared" si="5"/>
        <v>0.15223068027678913</v>
      </c>
      <c r="AX26" s="143">
        <f t="shared" si="5"/>
        <v>0.23634655616806671</v>
      </c>
      <c r="AY26" s="46"/>
      <c r="AZ26" s="152">
        <f>Shares!D67</f>
        <v>3.8</v>
      </c>
      <c r="BA26" s="152">
        <f>Shares!E67</f>
        <v>9.6</v>
      </c>
      <c r="BB26" s="152">
        <f>Shares!F67</f>
        <v>14.7</v>
      </c>
      <c r="BC26" s="152">
        <f>Shares!G67</f>
        <v>21.3</v>
      </c>
      <c r="BD26" s="152">
        <f>Shares!J67</f>
        <v>15</v>
      </c>
      <c r="BE26" s="152">
        <f>Shares!K67</f>
        <v>10.1</v>
      </c>
      <c r="BF26" s="152">
        <f>Shares!L67</f>
        <v>12.6</v>
      </c>
      <c r="BG26" s="152">
        <f>Shares!M67</f>
        <v>13.6</v>
      </c>
      <c r="BI26" s="246">
        <f>TxRt!B$53-TxRt!C$53+TxRt!C70</f>
        <v>3.0999999999999996</v>
      </c>
      <c r="BJ26" s="246">
        <f>TxRt!B$96-TxRt!C$96+TxRt!C113</f>
        <v>12.9</v>
      </c>
      <c r="BK26" s="246">
        <f>TxRt!B$136-TxRt!C$136+TxRt!C153</f>
        <v>17.100000000000001</v>
      </c>
      <c r="BL26" s="246">
        <f>TxRt!B$176-TxRt!C$176+TxRt!C193</f>
        <v>19.5</v>
      </c>
      <c r="BM26" s="246">
        <f>TxRt!B$256-TxRt!C$256+TxRt!C273</f>
        <v>21.700000000000003</v>
      </c>
      <c r="BN26" s="246">
        <f>TxRt!B$296-TxRt!C$296+TxRt!C313</f>
        <v>23.7</v>
      </c>
      <c r="BO26" s="246">
        <f>TxRt!B$336-TxRt!C$336+TxRt!C353</f>
        <v>26.7</v>
      </c>
      <c r="BP26" s="246">
        <f>TxRt!B$376-TxRt!C$376+TxRt!C393</f>
        <v>37.299999999999997</v>
      </c>
      <c r="BQ26" s="46"/>
      <c r="BR26" s="60">
        <f>Inc!B67</f>
        <v>16700</v>
      </c>
      <c r="BS26" s="60">
        <f>Inc!B107</f>
        <v>38600</v>
      </c>
      <c r="BT26" s="60">
        <f>Inc!B147</f>
        <v>61700</v>
      </c>
      <c r="BU26" s="60">
        <f>Inc!B187</f>
        <v>88900</v>
      </c>
      <c r="BV26" s="60">
        <f>Inc!B267</f>
        <v>122000</v>
      </c>
      <c r="BW26" s="60">
        <f>Inc!B307</f>
        <v>159700</v>
      </c>
      <c r="BX26" s="60">
        <f>Inc!B347</f>
        <v>248000</v>
      </c>
      <c r="BY26" s="60">
        <f>Inc!B387</f>
        <v>1077400</v>
      </c>
      <c r="CA26" s="60">
        <f t="shared" si="6"/>
        <v>517.69999999999993</v>
      </c>
      <c r="CB26" s="60">
        <f t="shared" si="6"/>
        <v>4979.3999999999996</v>
      </c>
      <c r="CC26" s="60">
        <f t="shared" si="6"/>
        <v>10550.7</v>
      </c>
      <c r="CD26" s="60">
        <f t="shared" si="6"/>
        <v>17335.5</v>
      </c>
      <c r="CE26" s="60">
        <f t="shared" si="6"/>
        <v>26474.000000000004</v>
      </c>
      <c r="CF26" s="60">
        <f t="shared" si="6"/>
        <v>37848.9</v>
      </c>
      <c r="CG26" s="60">
        <f t="shared" si="6"/>
        <v>66216</v>
      </c>
      <c r="CH26" s="60">
        <f t="shared" si="6"/>
        <v>401870.2</v>
      </c>
      <c r="CJ26" s="153">
        <f t="shared" si="15"/>
        <v>9745.7024999999976</v>
      </c>
      <c r="CK26" s="153">
        <f t="shared" si="7"/>
        <v>103198.065</v>
      </c>
      <c r="CL26" s="153">
        <f t="shared" si="7"/>
        <v>210222.69750000001</v>
      </c>
      <c r="CM26" s="153">
        <f t="shared" si="7"/>
        <v>347143.38750000001</v>
      </c>
      <c r="CN26" s="153">
        <f t="shared" si="7"/>
        <v>272682.20000000007</v>
      </c>
      <c r="CO26" s="153">
        <f t="shared" si="7"/>
        <v>200599.17</v>
      </c>
      <c r="CP26" s="153">
        <f t="shared" si="7"/>
        <v>284728.8</v>
      </c>
      <c r="CQ26" s="153">
        <f t="shared" si="7"/>
        <v>442057.22000000003</v>
      </c>
      <c r="CR26" s="153">
        <f t="shared" si="16"/>
        <v>1870377.2425000002</v>
      </c>
      <c r="CT26" s="403">
        <v>261.89999999999998</v>
      </c>
      <c r="CU26" s="276">
        <f>Dem!B67+(DD26/4)</f>
        <v>18.824999999999999</v>
      </c>
      <c r="CV26" s="276">
        <f>Dem!B107+(DD26/4)</f>
        <v>20.725000000000001</v>
      </c>
      <c r="CW26" s="276">
        <f>Dem!B147+(DD26/4)</f>
        <v>19.925000000000001</v>
      </c>
      <c r="CX26" s="276">
        <f>Dem!B187+(DD26/4)</f>
        <v>20.025000000000002</v>
      </c>
      <c r="CY26" s="276">
        <f>Dem!B267</f>
        <v>10.3</v>
      </c>
      <c r="CZ26" s="276">
        <f>Dem!B307</f>
        <v>5.3</v>
      </c>
      <c r="DA26" s="276">
        <f>Dem!B347</f>
        <v>4.3</v>
      </c>
      <c r="DB26" s="276">
        <f>Dem!B387</f>
        <v>1.1000000000000001</v>
      </c>
      <c r="DC26" s="275">
        <v>101.1</v>
      </c>
      <c r="DD26" s="46">
        <v>-0.29999999999999716</v>
      </c>
      <c r="DE26" s="275"/>
      <c r="DF26" s="276">
        <f>Dem!$D67+(DO26/4)</f>
        <v>51.300000000000011</v>
      </c>
      <c r="DG26" s="276">
        <f>Dem!$D107+(DO26/4)</f>
        <v>52.20000000000001</v>
      </c>
      <c r="DH26" s="276">
        <f>Dem!$D147+(DO26/4)</f>
        <v>52.20000000000001</v>
      </c>
      <c r="DI26" s="276">
        <f>Dem!$D187+(DO26/4)</f>
        <v>52.20000000000001</v>
      </c>
      <c r="DJ26" s="275">
        <f>Dem!$D267</f>
        <v>26.2</v>
      </c>
      <c r="DK26" s="275">
        <f>Dem!$D307</f>
        <v>13.1</v>
      </c>
      <c r="DL26" s="275">
        <f>Dem!$D347</f>
        <v>10.5</v>
      </c>
      <c r="DM26" s="275">
        <f>Dem!$D387</f>
        <v>2.6</v>
      </c>
      <c r="DN26" s="276">
        <f t="shared" si="17"/>
        <v>261.89999999999998</v>
      </c>
      <c r="DO26" s="44">
        <v>-0.79999999999995453</v>
      </c>
    </row>
    <row r="27" spans="1:119">
      <c r="A27" s="46">
        <f t="shared" si="18"/>
        <v>1997</v>
      </c>
      <c r="B27" s="141">
        <f t="shared" si="8"/>
        <v>0.17635799214650927</v>
      </c>
      <c r="C27" s="46"/>
      <c r="D27" s="141">
        <f t="shared" si="9"/>
        <v>0.69451032581085892</v>
      </c>
      <c r="E27" s="141">
        <f t="shared" si="10"/>
        <v>0.51815233366434965</v>
      </c>
      <c r="F27" s="46"/>
      <c r="G27" s="157">
        <f t="shared" si="11"/>
        <v>3.8860007511882726E-2</v>
      </c>
      <c r="H27" s="157">
        <f t="shared" si="11"/>
        <v>6.7907296033377501E-2</v>
      </c>
      <c r="I27" s="157">
        <f t="shared" si="11"/>
        <v>8.5630326258194098E-2</v>
      </c>
      <c r="J27" s="157">
        <f t="shared" si="11"/>
        <v>8.9174501603622877E-2</v>
      </c>
      <c r="K27" s="157">
        <f t="shared" si="11"/>
        <v>3.9814703089044307E-2</v>
      </c>
      <c r="L27" s="157">
        <f t="shared" si="11"/>
        <v>1.6954975402527436E-2</v>
      </c>
      <c r="M27" s="157">
        <f t="shared" si="11"/>
        <v>8.9133530067805507E-3</v>
      </c>
      <c r="N27" s="157">
        <f t="shared" si="11"/>
        <v>0</v>
      </c>
      <c r="O27" s="46"/>
      <c r="P27" s="154">
        <f t="shared" si="19"/>
        <v>5.6999624405864018E-3</v>
      </c>
      <c r="Q27" s="154">
        <f t="shared" si="20"/>
        <v>6.0463519833112565E-2</v>
      </c>
      <c r="R27" s="154">
        <f t="shared" si="20"/>
        <v>0.17184836870902967</v>
      </c>
      <c r="S27" s="154">
        <f t="shared" si="20"/>
        <v>0.3541274919818857</v>
      </c>
      <c r="T27" s="154">
        <f t="shared" si="20"/>
        <v>0.50185296910955701</v>
      </c>
      <c r="U27" s="154">
        <f t="shared" si="20"/>
        <v>0.6109004919494514</v>
      </c>
      <c r="V27" s="154">
        <f t="shared" si="20"/>
        <v>0.76716617483048632</v>
      </c>
      <c r="W27" s="162">
        <f t="shared" si="21"/>
        <v>1</v>
      </c>
      <c r="X27" s="154"/>
      <c r="Y27" s="142">
        <f t="shared" si="22"/>
        <v>3.2254220456802388E-2</v>
      </c>
      <c r="Z27" s="142">
        <f t="shared" si="22"/>
        <v>5.3783515392254233E-2</v>
      </c>
      <c r="AA27" s="142">
        <f t="shared" si="22"/>
        <v>6.5183714001986123E-2</v>
      </c>
      <c r="AB27" s="142">
        <f t="shared" si="22"/>
        <v>6.4071499503475696E-2</v>
      </c>
      <c r="AC27" s="142">
        <f t="shared" si="22"/>
        <v>2.723932472691163E-2</v>
      </c>
      <c r="AD27" s="142">
        <f t="shared" si="22"/>
        <v>1.110476663356505E-2</v>
      </c>
      <c r="AE27" s="142">
        <f t="shared" si="22"/>
        <v>5.4391261171797467E-3</v>
      </c>
      <c r="AF27" s="142">
        <f t="shared" si="22"/>
        <v>0</v>
      </c>
      <c r="AH27" s="158">
        <f t="shared" si="13"/>
        <v>3.872889771598808E-2</v>
      </c>
      <c r="AI27" s="158">
        <f t="shared" si="14"/>
        <v>0.13108242303872888</v>
      </c>
      <c r="AJ27" s="158">
        <f t="shared" si="14"/>
        <v>0.27408142999006946</v>
      </c>
      <c r="AK27" s="158">
        <f t="shared" si="14"/>
        <v>0.47964250248262158</v>
      </c>
      <c r="AL27" s="158">
        <f t="shared" si="14"/>
        <v>0.62760675273088373</v>
      </c>
      <c r="AM27" s="158">
        <f t="shared" si="14"/>
        <v>0.72790466732869907</v>
      </c>
      <c r="AN27" s="158">
        <f t="shared" si="14"/>
        <v>0.85402184707050643</v>
      </c>
      <c r="AO27" s="158">
        <v>1</v>
      </c>
      <c r="AP27" s="143"/>
      <c r="AQ27" s="143">
        <f t="shared" si="5"/>
        <v>5.6999624405864018E-3</v>
      </c>
      <c r="AR27" s="143">
        <f t="shared" si="5"/>
        <v>5.4763557392526162E-2</v>
      </c>
      <c r="AS27" s="143">
        <f t="shared" si="5"/>
        <v>0.1113848488759171</v>
      </c>
      <c r="AT27" s="143">
        <f t="shared" si="5"/>
        <v>0.18227912327285603</v>
      </c>
      <c r="AU27" s="143">
        <f t="shared" si="5"/>
        <v>0.14772547712767128</v>
      </c>
      <c r="AV27" s="143">
        <f t="shared" si="5"/>
        <v>0.10904752283989438</v>
      </c>
      <c r="AW27" s="143">
        <f t="shared" si="5"/>
        <v>0.15626568288103498</v>
      </c>
      <c r="AX27" s="143">
        <f t="shared" si="5"/>
        <v>0.23283382516951379</v>
      </c>
      <c r="AY27" s="46"/>
      <c r="AZ27" s="152">
        <f>Shares!D68</f>
        <v>3.9</v>
      </c>
      <c r="BA27" s="152">
        <f>Shares!E68</f>
        <v>9.3000000000000007</v>
      </c>
      <c r="BB27" s="152">
        <f>Shares!F68</f>
        <v>14.4</v>
      </c>
      <c r="BC27" s="152">
        <f>Shares!G68</f>
        <v>20.7</v>
      </c>
      <c r="BD27" s="152">
        <f>Shares!J68</f>
        <v>14.9</v>
      </c>
      <c r="BE27" s="152">
        <f>Shares!K68</f>
        <v>10.1</v>
      </c>
      <c r="BF27" s="152">
        <f>Shares!L68</f>
        <v>12.7</v>
      </c>
      <c r="BG27" s="152">
        <f>Shares!M68</f>
        <v>14.7</v>
      </c>
      <c r="BI27" s="246">
        <f>TxRt!B$53-TxRt!C$53+TxRt!C71</f>
        <v>3.3</v>
      </c>
      <c r="BJ27" s="246">
        <f>TxRt!B$96-TxRt!C$96+TxRt!C114</f>
        <v>13.2</v>
      </c>
      <c r="BK27" s="246">
        <f>TxRt!B$136-TxRt!C$136+TxRt!C154</f>
        <v>17.3</v>
      </c>
      <c r="BL27" s="246">
        <f>TxRt!B$176-TxRt!C$176+TxRt!C194</f>
        <v>19.600000000000001</v>
      </c>
      <c r="BM27" s="246">
        <f>TxRt!B$256-TxRt!C$256+TxRt!C274</f>
        <v>22</v>
      </c>
      <c r="BN27" s="246">
        <f>TxRt!B$296-TxRt!C$296+TxRt!C314</f>
        <v>24</v>
      </c>
      <c r="BO27" s="246">
        <f>TxRt!B$336-TxRt!C$336+TxRt!C354</f>
        <v>27.1</v>
      </c>
      <c r="BP27" s="246">
        <f>TxRt!B$376-TxRt!C$376+TxRt!C394</f>
        <v>36.9</v>
      </c>
      <c r="BQ27" s="46"/>
      <c r="BR27" s="60">
        <f>Inc!B68</f>
        <v>17600</v>
      </c>
      <c r="BS27" s="60">
        <f>Inc!B108</f>
        <v>40000</v>
      </c>
      <c r="BT27" s="60">
        <f>Inc!B148</f>
        <v>63000</v>
      </c>
      <c r="BU27" s="60">
        <f>Inc!B188</f>
        <v>91000</v>
      </c>
      <c r="BV27" s="60">
        <f>Inc!B268</f>
        <v>124900</v>
      </c>
      <c r="BW27" s="60">
        <f>Inc!B308</f>
        <v>165900</v>
      </c>
      <c r="BX27" s="60">
        <f>Inc!B348</f>
        <v>264400</v>
      </c>
      <c r="BY27" s="60">
        <f>Inc!B388</f>
        <v>1244100</v>
      </c>
      <c r="CA27" s="60">
        <f t="shared" si="6"/>
        <v>580.79999999999995</v>
      </c>
      <c r="CB27" s="60">
        <f t="shared" si="6"/>
        <v>5280</v>
      </c>
      <c r="CC27" s="60">
        <f t="shared" si="6"/>
        <v>10899</v>
      </c>
      <c r="CD27" s="60">
        <f t="shared" si="6"/>
        <v>17836.000000000004</v>
      </c>
      <c r="CE27" s="60">
        <f t="shared" si="6"/>
        <v>27478</v>
      </c>
      <c r="CF27" s="60">
        <f t="shared" si="6"/>
        <v>39816</v>
      </c>
      <c r="CG27" s="60">
        <f t="shared" si="6"/>
        <v>71652.399999999994</v>
      </c>
      <c r="CH27" s="60">
        <f t="shared" si="6"/>
        <v>459072.9</v>
      </c>
      <c r="CJ27" s="153">
        <f t="shared" si="15"/>
        <v>11238.48</v>
      </c>
      <c r="CK27" s="153">
        <f t="shared" si="7"/>
        <v>107976.00000000001</v>
      </c>
      <c r="CL27" s="153">
        <f t="shared" si="7"/>
        <v>219614.85000000003</v>
      </c>
      <c r="CM27" s="153">
        <f t="shared" si="7"/>
        <v>359395.40000000014</v>
      </c>
      <c r="CN27" s="153">
        <f t="shared" si="7"/>
        <v>291266.8</v>
      </c>
      <c r="CO27" s="153">
        <f t="shared" si="7"/>
        <v>215006.40000000002</v>
      </c>
      <c r="CP27" s="153">
        <f t="shared" si="7"/>
        <v>308105.31999999995</v>
      </c>
      <c r="CQ27" s="153">
        <f t="shared" si="7"/>
        <v>459072.9</v>
      </c>
      <c r="CR27" s="153">
        <f t="shared" si="16"/>
        <v>1971676.15</v>
      </c>
      <c r="CT27" s="403">
        <v>264.2</v>
      </c>
      <c r="CU27" s="276">
        <f>Dem!B68+(DD27/4)</f>
        <v>19.350000000000001</v>
      </c>
      <c r="CV27" s="276">
        <f>Dem!B108+(DD27/4)</f>
        <v>20.450000000000003</v>
      </c>
      <c r="CW27" s="276">
        <f>Dem!B148+(DD27/4)</f>
        <v>20.150000000000002</v>
      </c>
      <c r="CX27" s="276">
        <f>Dem!B188+(DD27/4)</f>
        <v>20.150000000000002</v>
      </c>
      <c r="CY27" s="276">
        <f>Dem!B268</f>
        <v>10.6</v>
      </c>
      <c r="CZ27" s="276">
        <f>Dem!B308</f>
        <v>5.4</v>
      </c>
      <c r="DA27" s="276">
        <f>Dem!B348</f>
        <v>4.3</v>
      </c>
      <c r="DB27" s="276">
        <f>Dem!B388</f>
        <v>1</v>
      </c>
      <c r="DC27" s="275">
        <v>102.6</v>
      </c>
      <c r="DD27" s="46">
        <v>-0.59999999999999432</v>
      </c>
      <c r="DE27" s="275"/>
      <c r="DF27" s="276">
        <f>Dem!$D68+(DO27/4)</f>
        <v>51.375000000000014</v>
      </c>
      <c r="DG27" s="276">
        <f>Dem!$D108+(DO27/4)</f>
        <v>52.475000000000009</v>
      </c>
      <c r="DH27" s="276">
        <f>Dem!$D148+(DO27/4)</f>
        <v>52.475000000000009</v>
      </c>
      <c r="DI27" s="276">
        <f>Dem!$D188+(DO27/4)</f>
        <v>52.475000000000009</v>
      </c>
      <c r="DJ27" s="275">
        <f>Dem!$D268</f>
        <v>26.4</v>
      </c>
      <c r="DK27" s="275">
        <f>Dem!$D308</f>
        <v>13.2</v>
      </c>
      <c r="DL27" s="275">
        <f>Dem!$D348</f>
        <v>10.6</v>
      </c>
      <c r="DM27" s="275">
        <f>Dem!$D388</f>
        <v>2.6</v>
      </c>
      <c r="DN27" s="276">
        <f t="shared" si="17"/>
        <v>264.2</v>
      </c>
      <c r="DO27" s="44">
        <v>-1.2999999999999545</v>
      </c>
    </row>
    <row r="28" spans="1:119">
      <c r="A28" s="46">
        <f t="shared" si="18"/>
        <v>1998</v>
      </c>
      <c r="B28" s="141">
        <f t="shared" si="8"/>
        <v>0.18302308287813795</v>
      </c>
      <c r="C28" s="46"/>
      <c r="D28" s="141">
        <f t="shared" si="9"/>
        <v>0.70717343044516878</v>
      </c>
      <c r="E28" s="141">
        <f t="shared" si="10"/>
        <v>0.52415034756703083</v>
      </c>
      <c r="F28" s="46"/>
      <c r="G28" s="157">
        <f t="shared" si="11"/>
        <v>3.879421102126468E-2</v>
      </c>
      <c r="H28" s="157">
        <f t="shared" si="11"/>
        <v>6.8484373564935766E-2</v>
      </c>
      <c r="I28" s="157">
        <f t="shared" si="11"/>
        <v>8.7093716376307445E-2</v>
      </c>
      <c r="J28" s="157">
        <f t="shared" si="11"/>
        <v>9.1282610166061498E-2</v>
      </c>
      <c r="K28" s="157">
        <f t="shared" si="11"/>
        <v>4.1030153502768944E-2</v>
      </c>
      <c r="L28" s="157">
        <f t="shared" si="11"/>
        <v>1.7538253624740818E-2</v>
      </c>
      <c r="M28" s="157">
        <f t="shared" si="11"/>
        <v>9.3633969665052556E-3</v>
      </c>
      <c r="N28" s="157">
        <f t="shared" si="11"/>
        <v>0</v>
      </c>
      <c r="O28" s="46"/>
      <c r="P28" s="154">
        <f t="shared" si="19"/>
        <v>6.0289448936766228E-3</v>
      </c>
      <c r="Q28" s="154">
        <f t="shared" si="20"/>
        <v>5.7578132175321206E-2</v>
      </c>
      <c r="R28" s="154">
        <f t="shared" si="20"/>
        <v>0.16453141811846289</v>
      </c>
      <c r="S28" s="154">
        <f t="shared" si="20"/>
        <v>0.34358694916969257</v>
      </c>
      <c r="T28" s="154">
        <f t="shared" si="20"/>
        <v>0.48969846497231062</v>
      </c>
      <c r="U28" s="154">
        <f t="shared" si="20"/>
        <v>0.5992349275051837</v>
      </c>
      <c r="V28" s="154">
        <f t="shared" si="20"/>
        <v>0.75591507583736872</v>
      </c>
      <c r="W28" s="162">
        <f t="shared" si="21"/>
        <v>1</v>
      </c>
      <c r="X28" s="154"/>
      <c r="Y28" s="142">
        <f t="shared" si="22"/>
        <v>3.2055610724925521E-2</v>
      </c>
      <c r="Z28" s="142">
        <f t="shared" si="22"/>
        <v>5.3982125124131086E-2</v>
      </c>
      <c r="AA28" s="142">
        <f t="shared" si="22"/>
        <v>6.5779543197616697E-2</v>
      </c>
      <c r="AB28" s="142">
        <f t="shared" si="22"/>
        <v>6.5064548162859989E-2</v>
      </c>
      <c r="AC28" s="142">
        <f t="shared" si="22"/>
        <v>2.7934458788480634E-2</v>
      </c>
      <c r="AD28" s="142">
        <f t="shared" si="22"/>
        <v>1.1501986097318768E-2</v>
      </c>
      <c r="AE28" s="142">
        <f t="shared" si="22"/>
        <v>5.7569016881827209E-3</v>
      </c>
      <c r="AF28" s="142">
        <f t="shared" si="22"/>
        <v>0</v>
      </c>
      <c r="AH28" s="158">
        <f t="shared" si="13"/>
        <v>3.9721946375372394E-2</v>
      </c>
      <c r="AI28" s="158">
        <f t="shared" si="14"/>
        <v>0.13008937437934459</v>
      </c>
      <c r="AJ28" s="158">
        <f t="shared" si="14"/>
        <v>0.27110228401191661</v>
      </c>
      <c r="AK28" s="158">
        <f t="shared" si="14"/>
        <v>0.47467725918570014</v>
      </c>
      <c r="AL28" s="158">
        <f t="shared" si="14"/>
        <v>0.62065541211519371</v>
      </c>
      <c r="AM28" s="158">
        <f t="shared" si="14"/>
        <v>0.71996027805362472</v>
      </c>
      <c r="AN28" s="158">
        <f t="shared" si="14"/>
        <v>0.84607745779543209</v>
      </c>
      <c r="AO28" s="158">
        <v>1</v>
      </c>
      <c r="AP28" s="143"/>
      <c r="AQ28" s="143">
        <f t="shared" si="5"/>
        <v>6.0289448936766228E-3</v>
      </c>
      <c r="AR28" s="143">
        <f t="shared" si="5"/>
        <v>5.1549187281644586E-2</v>
      </c>
      <c r="AS28" s="143">
        <f t="shared" si="5"/>
        <v>0.1069532859431417</v>
      </c>
      <c r="AT28" s="143">
        <f t="shared" si="5"/>
        <v>0.17905553105122965</v>
      </c>
      <c r="AU28" s="143">
        <f t="shared" si="5"/>
        <v>0.14611151580261802</v>
      </c>
      <c r="AV28" s="143">
        <f t="shared" si="5"/>
        <v>0.10953646253287312</v>
      </c>
      <c r="AW28" s="143">
        <f t="shared" si="5"/>
        <v>0.15668014833218499</v>
      </c>
      <c r="AX28" s="143">
        <f t="shared" si="5"/>
        <v>0.24408492416263131</v>
      </c>
      <c r="AY28" s="46"/>
      <c r="AZ28" s="152">
        <f>Shares!D69</f>
        <v>4</v>
      </c>
      <c r="BA28" s="152">
        <f>Shares!E69</f>
        <v>9.1</v>
      </c>
      <c r="BB28" s="152">
        <f>Shares!F69</f>
        <v>14.2</v>
      </c>
      <c r="BC28" s="152">
        <f>Shares!G69</f>
        <v>20.5</v>
      </c>
      <c r="BD28" s="152">
        <f>Shares!J69</f>
        <v>14.7</v>
      </c>
      <c r="BE28" s="152">
        <f>Shares!K69</f>
        <v>10</v>
      </c>
      <c r="BF28" s="152">
        <f>Shares!L69</f>
        <v>12.7</v>
      </c>
      <c r="BG28" s="152">
        <f>Shares!M69</f>
        <v>15.5</v>
      </c>
      <c r="BI28" s="246">
        <f>TxRt!B$53-TxRt!C$53+TxRt!C72</f>
        <v>3.4000000000000004</v>
      </c>
      <c r="BJ28" s="246">
        <f>TxRt!B$96-TxRt!C$96+TxRt!C115</f>
        <v>12.6</v>
      </c>
      <c r="BK28" s="246">
        <f>TxRt!B$136-TxRt!C$136+TxRt!C155</f>
        <v>16.8</v>
      </c>
      <c r="BL28" s="246">
        <f>TxRt!B$176-TxRt!C$176+TxRt!C195</f>
        <v>19.5</v>
      </c>
      <c r="BM28" s="246">
        <f>TxRt!B$256-TxRt!C$256+TxRt!C275</f>
        <v>22.1</v>
      </c>
      <c r="BN28" s="246">
        <f>TxRt!B$296-TxRt!C$296+TxRt!C315</f>
        <v>24.299999999999997</v>
      </c>
      <c r="BO28" s="246">
        <f>TxRt!B$336-TxRt!C$336+TxRt!C355</f>
        <v>27.5</v>
      </c>
      <c r="BP28" s="246">
        <f>TxRt!B$376-TxRt!C$376+TxRt!C395</f>
        <v>36.4</v>
      </c>
      <c r="BQ28" s="46"/>
      <c r="BR28" s="60">
        <f>Inc!B69</f>
        <v>18800</v>
      </c>
      <c r="BS28" s="60">
        <f>Inc!B109</f>
        <v>41900</v>
      </c>
      <c r="BT28" s="60">
        <f>Inc!B149</f>
        <v>65200</v>
      </c>
      <c r="BU28" s="60">
        <f>Inc!B189</f>
        <v>94500</v>
      </c>
      <c r="BV28" s="60">
        <f>Inc!B269</f>
        <v>130200</v>
      </c>
      <c r="BW28" s="60">
        <f>Inc!B309</f>
        <v>172700</v>
      </c>
      <c r="BX28" s="60">
        <f>Inc!B349</f>
        <v>279200</v>
      </c>
      <c r="BY28" s="60">
        <f>Inc!B389</f>
        <v>1413000</v>
      </c>
      <c r="CA28" s="60">
        <f t="shared" si="6"/>
        <v>639.20000000000005</v>
      </c>
      <c r="CB28" s="60">
        <f t="shared" si="6"/>
        <v>5279.4</v>
      </c>
      <c r="CC28" s="60">
        <f t="shared" si="6"/>
        <v>10953.6</v>
      </c>
      <c r="CD28" s="60">
        <f t="shared" si="6"/>
        <v>18427.5</v>
      </c>
      <c r="CE28" s="60">
        <f t="shared" si="6"/>
        <v>28774.2</v>
      </c>
      <c r="CF28" s="60">
        <f t="shared" si="6"/>
        <v>41966.099999999991</v>
      </c>
      <c r="CG28" s="60">
        <f t="shared" si="6"/>
        <v>76780</v>
      </c>
      <c r="CH28" s="60">
        <f t="shared" si="6"/>
        <v>514332</v>
      </c>
      <c r="CJ28" s="153">
        <f t="shared" si="15"/>
        <v>12704.1</v>
      </c>
      <c r="CK28" s="153">
        <f t="shared" si="7"/>
        <v>108623.65499999998</v>
      </c>
      <c r="CL28" s="153">
        <f t="shared" si="7"/>
        <v>225370.32</v>
      </c>
      <c r="CM28" s="153">
        <f t="shared" si="7"/>
        <v>377303.0625</v>
      </c>
      <c r="CN28" s="153">
        <f t="shared" si="7"/>
        <v>307883.94</v>
      </c>
      <c r="CO28" s="153">
        <f t="shared" si="7"/>
        <v>230813.54999999996</v>
      </c>
      <c r="CP28" s="153">
        <f t="shared" si="7"/>
        <v>330154</v>
      </c>
      <c r="CQ28" s="153">
        <f t="shared" si="7"/>
        <v>514332</v>
      </c>
      <c r="CR28" s="153">
        <f t="shared" si="16"/>
        <v>2107184.6274999999</v>
      </c>
      <c r="CT28" s="403">
        <v>266.3</v>
      </c>
      <c r="CU28" s="276">
        <f>Dem!B69+(DD28/4)</f>
        <v>19.875</v>
      </c>
      <c r="CV28" s="276">
        <f>Dem!B109+(DD28/4)</f>
        <v>20.574999999999999</v>
      </c>
      <c r="CW28" s="276">
        <f>Dem!B149+(DD28/4)</f>
        <v>20.574999999999999</v>
      </c>
      <c r="CX28" s="276">
        <f>Dem!B189+(DD28/4)</f>
        <v>20.475000000000001</v>
      </c>
      <c r="CY28" s="276">
        <f>Dem!B269</f>
        <v>10.7</v>
      </c>
      <c r="CZ28" s="276">
        <f>Dem!B309</f>
        <v>5.5</v>
      </c>
      <c r="DA28" s="276">
        <f>Dem!B349</f>
        <v>4.3</v>
      </c>
      <c r="DB28" s="276">
        <f>Dem!B389</f>
        <v>1</v>
      </c>
      <c r="DC28" s="275">
        <v>104</v>
      </c>
      <c r="DD28" s="46">
        <v>-0.5</v>
      </c>
      <c r="DE28" s="275"/>
      <c r="DF28" s="276">
        <f>Dem!$D69+(DO28/4)</f>
        <v>51.975000000000009</v>
      </c>
      <c r="DG28" s="276">
        <f>Dem!$D109+(DO28/4)</f>
        <v>53.075000000000003</v>
      </c>
      <c r="DH28" s="276">
        <f>Dem!$D149+(DO28/4)</f>
        <v>53.075000000000003</v>
      </c>
      <c r="DI28" s="276">
        <f>Dem!$D189+(DO28/4)</f>
        <v>53.075000000000003</v>
      </c>
      <c r="DJ28" s="275">
        <f>Dem!$D269</f>
        <v>26.6</v>
      </c>
      <c r="DK28" s="275">
        <f>Dem!$D309</f>
        <v>13.3</v>
      </c>
      <c r="DL28" s="275">
        <f>Dem!$D349</f>
        <v>10.7</v>
      </c>
      <c r="DM28" s="275">
        <f>Dem!$D389</f>
        <v>2.7</v>
      </c>
      <c r="DN28" s="276">
        <f t="shared" si="17"/>
        <v>266.3</v>
      </c>
      <c r="DO28" s="44">
        <v>-0.89999999999997726</v>
      </c>
    </row>
    <row r="29" spans="1:119">
      <c r="A29" s="46">
        <f t="shared" si="18"/>
        <v>1999</v>
      </c>
      <c r="B29" s="141">
        <f t="shared" si="8"/>
        <v>0.19265695451570874</v>
      </c>
      <c r="C29" s="46"/>
      <c r="D29" s="141">
        <f t="shared" si="9"/>
        <v>0.72749313741829336</v>
      </c>
      <c r="E29" s="141">
        <f t="shared" si="10"/>
        <v>0.53483618290258461</v>
      </c>
      <c r="F29" s="46"/>
      <c r="G29" s="157">
        <f t="shared" si="11"/>
        <v>3.8697561126647941E-2</v>
      </c>
      <c r="H29" s="157">
        <f t="shared" si="11"/>
        <v>6.8943834054206163E-2</v>
      </c>
      <c r="I29" s="157">
        <f t="shared" si="11"/>
        <v>8.8837072562321553E-2</v>
      </c>
      <c r="J29" s="157">
        <f t="shared" si="11"/>
        <v>9.4597034038191391E-2</v>
      </c>
      <c r="K29" s="157">
        <f t="shared" si="11"/>
        <v>4.3311651041867988E-2</v>
      </c>
      <c r="L29" s="157">
        <f t="shared" si="11"/>
        <v>1.8889949902560613E-2</v>
      </c>
      <c r="M29" s="157">
        <f t="shared" si="11"/>
        <v>1.0469465983351007E-2</v>
      </c>
      <c r="N29" s="157">
        <f t="shared" si="11"/>
        <v>0</v>
      </c>
      <c r="O29" s="46"/>
      <c r="P29" s="154">
        <f t="shared" si="19"/>
        <v>6.5121943667603016E-3</v>
      </c>
      <c r="Q29" s="154">
        <f t="shared" si="20"/>
        <v>5.5280829728969264E-2</v>
      </c>
      <c r="R29" s="154">
        <f t="shared" si="20"/>
        <v>0.15581463718839234</v>
      </c>
      <c r="S29" s="154">
        <f t="shared" si="20"/>
        <v>0.32701482980904312</v>
      </c>
      <c r="T29" s="154">
        <f t="shared" si="20"/>
        <v>0.4668834895813202</v>
      </c>
      <c r="U29" s="154">
        <f t="shared" si="20"/>
        <v>0.57220100194878787</v>
      </c>
      <c r="V29" s="154">
        <f t="shared" si="20"/>
        <v>0.72826335041622492</v>
      </c>
      <c r="W29" s="162">
        <f t="shared" si="21"/>
        <v>1</v>
      </c>
      <c r="X29" s="154"/>
      <c r="Y29" s="142">
        <f t="shared" si="22"/>
        <v>3.204771371769384E-2</v>
      </c>
      <c r="Z29" s="142">
        <f t="shared" si="22"/>
        <v>5.4353876739562636E-2</v>
      </c>
      <c r="AA29" s="142">
        <f t="shared" si="22"/>
        <v>6.6918489065606379E-2</v>
      </c>
      <c r="AB29" s="142">
        <f t="shared" si="22"/>
        <v>6.6759443339960242E-2</v>
      </c>
      <c r="AC29" s="142">
        <f t="shared" si="22"/>
        <v>2.9065606361829033E-2</v>
      </c>
      <c r="AD29" s="142">
        <f t="shared" si="22"/>
        <v>1.2112326043737583E-2</v>
      </c>
      <c r="AE29" s="142">
        <f t="shared" si="22"/>
        <v>6.1606361829025904E-3</v>
      </c>
      <c r="AF29" s="142">
        <f t="shared" si="22"/>
        <v>0</v>
      </c>
      <c r="AH29" s="158">
        <f t="shared" si="13"/>
        <v>3.9761431411530809E-2</v>
      </c>
      <c r="AI29" s="158">
        <f t="shared" si="14"/>
        <v>0.12823061630218685</v>
      </c>
      <c r="AJ29" s="158">
        <f t="shared" si="14"/>
        <v>0.26540755467196819</v>
      </c>
      <c r="AK29" s="158">
        <f t="shared" si="14"/>
        <v>0.46620278330019882</v>
      </c>
      <c r="AL29" s="158">
        <f t="shared" si="14"/>
        <v>0.60934393638170969</v>
      </c>
      <c r="AM29" s="158">
        <f t="shared" si="14"/>
        <v>0.70775347912524844</v>
      </c>
      <c r="AN29" s="158">
        <f t="shared" si="14"/>
        <v>0.83598409542743535</v>
      </c>
      <c r="AO29" s="158">
        <v>1</v>
      </c>
      <c r="AP29" s="143"/>
      <c r="AQ29" s="143">
        <f t="shared" si="5"/>
        <v>6.5121943667603016E-3</v>
      </c>
      <c r="AR29" s="143">
        <f>CK29/$CR29</f>
        <v>4.8768635362208962E-2</v>
      </c>
      <c r="AS29" s="143">
        <f t="shared" si="5"/>
        <v>0.10053380745942309</v>
      </c>
      <c r="AT29" s="143">
        <f t="shared" si="5"/>
        <v>0.17120019262065078</v>
      </c>
      <c r="AU29" s="143">
        <f t="shared" si="5"/>
        <v>0.13986865977227705</v>
      </c>
      <c r="AV29" s="143">
        <f t="shared" si="5"/>
        <v>0.10531751236746767</v>
      </c>
      <c r="AW29" s="143">
        <f t="shared" si="5"/>
        <v>0.15606234846743702</v>
      </c>
      <c r="AX29" s="143">
        <f t="shared" si="5"/>
        <v>0.27173664958377508</v>
      </c>
      <c r="AY29" s="46"/>
      <c r="AZ29" s="152">
        <f>Shares!D70</f>
        <v>4</v>
      </c>
      <c r="BA29" s="152">
        <f>Shares!E70</f>
        <v>8.9</v>
      </c>
      <c r="BB29" s="152">
        <f>Shares!F70</f>
        <v>13.8</v>
      </c>
      <c r="BC29" s="152">
        <f>Shares!G70</f>
        <v>20.2</v>
      </c>
      <c r="BD29" s="152">
        <f>Shares!J70</f>
        <v>14.4</v>
      </c>
      <c r="BE29" s="152">
        <f>Shares!K70</f>
        <v>9.9</v>
      </c>
      <c r="BF29" s="152">
        <f>Shares!L70</f>
        <v>12.9</v>
      </c>
      <c r="BG29" s="152">
        <f>Shares!M70</f>
        <v>16.5</v>
      </c>
      <c r="BI29" s="246">
        <f>TxRt!B$53-TxRt!C$53+TxRt!C73</f>
        <v>3.8</v>
      </c>
      <c r="BJ29" s="246">
        <f>TxRt!B$96-TxRt!C$96+TxRt!C116</f>
        <v>12.6</v>
      </c>
      <c r="BK29" s="246">
        <f>TxRt!B$136-TxRt!C$136+TxRt!C156</f>
        <v>16.8</v>
      </c>
      <c r="BL29" s="246">
        <f>TxRt!B$176-TxRt!C$176+TxRt!C196</f>
        <v>19.600000000000001</v>
      </c>
      <c r="BM29" s="246">
        <f>TxRt!B$256-TxRt!C$256+TxRt!C276</f>
        <v>22.3</v>
      </c>
      <c r="BN29" s="246">
        <f>TxRt!B$296-TxRt!C$296+TxRt!C316</f>
        <v>24.6</v>
      </c>
      <c r="BO29" s="246">
        <f>TxRt!B$336-TxRt!C$336+TxRt!C356</f>
        <v>28</v>
      </c>
      <c r="BP29" s="246">
        <f>TxRt!B$376-TxRt!C$376+TxRt!C396</f>
        <v>37</v>
      </c>
      <c r="BQ29" s="46"/>
      <c r="BR29" s="60">
        <f>Inc!B70</f>
        <v>19500</v>
      </c>
      <c r="BS29" s="60">
        <f>Inc!B110</f>
        <v>43400</v>
      </c>
      <c r="BT29" s="60">
        <f>Inc!B150</f>
        <v>67100</v>
      </c>
      <c r="BU29" s="60">
        <f>Inc!B190</f>
        <v>97000</v>
      </c>
      <c r="BV29" s="60">
        <f>Inc!B270</f>
        <v>135400</v>
      </c>
      <c r="BW29" s="60">
        <f>Inc!B310</f>
        <v>179800</v>
      </c>
      <c r="BX29" s="60">
        <f>Inc!B350</f>
        <v>292600</v>
      </c>
      <c r="BY29" s="60">
        <f>Inc!B390</f>
        <v>1542200</v>
      </c>
      <c r="CA29" s="60">
        <f t="shared" si="6"/>
        <v>741</v>
      </c>
      <c r="CB29" s="60">
        <f t="shared" si="6"/>
        <v>5468.4</v>
      </c>
      <c r="CC29" s="60">
        <f t="shared" si="6"/>
        <v>11272.8</v>
      </c>
      <c r="CD29" s="60">
        <f t="shared" si="6"/>
        <v>19012.000000000004</v>
      </c>
      <c r="CE29" s="60">
        <f t="shared" si="6"/>
        <v>30194.2</v>
      </c>
      <c r="CF29" s="60">
        <f t="shared" si="6"/>
        <v>44230.8</v>
      </c>
      <c r="CG29" s="60">
        <f t="shared" si="6"/>
        <v>81928</v>
      </c>
      <c r="CH29" s="60">
        <f t="shared" si="6"/>
        <v>570614</v>
      </c>
      <c r="CJ29" s="153">
        <f t="shared" si="15"/>
        <v>15042.299999999997</v>
      </c>
      <c r="CK29" s="153">
        <f t="shared" si="7"/>
        <v>112649.03999999998</v>
      </c>
      <c r="CL29" s="153">
        <f t="shared" si="7"/>
        <v>232219.67999999996</v>
      </c>
      <c r="CM29" s="153">
        <f t="shared" si="7"/>
        <v>395449.60000000003</v>
      </c>
      <c r="CN29" s="153">
        <f t="shared" si="7"/>
        <v>323077.94</v>
      </c>
      <c r="CO29" s="153">
        <f t="shared" si="7"/>
        <v>243269.40000000002</v>
      </c>
      <c r="CP29" s="153">
        <f t="shared" si="7"/>
        <v>360483.2</v>
      </c>
      <c r="CQ29" s="153">
        <f t="shared" si="7"/>
        <v>627675.4</v>
      </c>
      <c r="CR29" s="153">
        <f t="shared" si="16"/>
        <v>2309866.56</v>
      </c>
      <c r="CT29" s="403">
        <v>269.60000000000002</v>
      </c>
      <c r="CU29" s="276">
        <f>Dem!B70+(DD29/4)</f>
        <v>20.299999999999997</v>
      </c>
      <c r="CV29" s="276">
        <f>Dem!B110+(DD29/4)</f>
        <v>20.599999999999998</v>
      </c>
      <c r="CW29" s="276">
        <f>Dem!B150+(DD29/4)</f>
        <v>20.599999999999998</v>
      </c>
      <c r="CX29" s="276">
        <f>Dem!B190+(DD29/4)</f>
        <v>20.799999999999997</v>
      </c>
      <c r="CY29" s="276">
        <f>Dem!B270</f>
        <v>10.7</v>
      </c>
      <c r="CZ29" s="276">
        <f>Dem!B310</f>
        <v>5.5</v>
      </c>
      <c r="DA29" s="276">
        <f>Dem!B350</f>
        <v>4.4000000000000004</v>
      </c>
      <c r="DB29" s="276">
        <f>Dem!B390</f>
        <v>1.1000000000000001</v>
      </c>
      <c r="DC29" s="275">
        <v>104.8</v>
      </c>
      <c r="DD29" s="46">
        <v>-0.40000000000000568</v>
      </c>
      <c r="DE29" s="275"/>
      <c r="DF29" s="276">
        <f>Dem!$D70+(DO29/4)</f>
        <v>52.649999999999984</v>
      </c>
      <c r="DG29" s="276">
        <f>Dem!$D110+(DO29/4)</f>
        <v>53.649999999999984</v>
      </c>
      <c r="DH29" s="276">
        <f>Dem!$D150+(DO29/4)</f>
        <v>53.649999999999984</v>
      </c>
      <c r="DI29" s="276">
        <f>Dem!$D190+(DO29/4)</f>
        <v>53.649999999999984</v>
      </c>
      <c r="DJ29" s="275">
        <f>Dem!$D270</f>
        <v>27</v>
      </c>
      <c r="DK29" s="275">
        <f>Dem!$D310</f>
        <v>13.5</v>
      </c>
      <c r="DL29" s="275">
        <f>Dem!$D350</f>
        <v>10.8</v>
      </c>
      <c r="DM29" s="275">
        <f>Dem!$D390</f>
        <v>2.7</v>
      </c>
      <c r="DN29" s="276">
        <f t="shared" si="17"/>
        <v>269.60000000000002</v>
      </c>
      <c r="DO29" s="44">
        <v>-1.0000000000000568</v>
      </c>
    </row>
    <row r="30" spans="1:119">
      <c r="A30" s="46">
        <f t="shared" si="18"/>
        <v>2000</v>
      </c>
      <c r="B30" s="141">
        <f t="shared" si="8"/>
        <v>0.19160702502828186</v>
      </c>
      <c r="C30" s="46"/>
      <c r="D30" s="141">
        <f t="shared" si="9"/>
        <v>0.73717879441197987</v>
      </c>
      <c r="E30" s="141">
        <f t="shared" si="10"/>
        <v>0.545571769383698</v>
      </c>
      <c r="F30" s="46"/>
      <c r="G30" s="157">
        <f t="shared" si="11"/>
        <v>3.8893817036291842E-2</v>
      </c>
      <c r="H30" s="157">
        <f t="shared" si="11"/>
        <v>6.9313588014723301E-2</v>
      </c>
      <c r="I30" s="157">
        <f t="shared" si="11"/>
        <v>8.973996221642383E-2</v>
      </c>
      <c r="J30" s="157">
        <f t="shared" si="11"/>
        <v>9.6178443463376617E-2</v>
      </c>
      <c r="K30" s="157">
        <f t="shared" si="11"/>
        <v>4.4243702070196303E-2</v>
      </c>
      <c r="L30" s="157">
        <f t="shared" si="11"/>
        <v>1.9429860407977052E-2</v>
      </c>
      <c r="M30" s="157">
        <f t="shared" si="11"/>
        <v>1.0790023997001002E-2</v>
      </c>
      <c r="N30" s="157">
        <f t="shared" si="11"/>
        <v>0</v>
      </c>
      <c r="O30" s="46"/>
      <c r="P30" s="154">
        <f t="shared" si="19"/>
        <v>5.5309148185408155E-3</v>
      </c>
      <c r="Q30" s="154">
        <f t="shared" si="20"/>
        <v>5.343205992638355E-2</v>
      </c>
      <c r="R30" s="154">
        <f t="shared" si="20"/>
        <v>0.15130018891788097</v>
      </c>
      <c r="S30" s="154">
        <f t="shared" si="20"/>
        <v>0.31910778268311701</v>
      </c>
      <c r="T30" s="154">
        <f t="shared" si="20"/>
        <v>0.45756297929803702</v>
      </c>
      <c r="U30" s="154">
        <f t="shared" si="20"/>
        <v>0.56140279184045905</v>
      </c>
      <c r="V30" s="154">
        <f t="shared" si="20"/>
        <v>0.72024940007497507</v>
      </c>
      <c r="W30" s="162">
        <f t="shared" si="21"/>
        <v>1</v>
      </c>
      <c r="X30" s="154"/>
      <c r="Y30" s="142">
        <f t="shared" si="22"/>
        <v>3.2445328031809155E-2</v>
      </c>
      <c r="Z30" s="142">
        <f t="shared" si="22"/>
        <v>5.4950298210735597E-2</v>
      </c>
      <c r="AA30" s="142">
        <f t="shared" si="22"/>
        <v>6.7912524850894648E-2</v>
      </c>
      <c r="AB30" s="142">
        <f t="shared" si="22"/>
        <v>6.8349900596421487E-2</v>
      </c>
      <c r="AC30" s="142">
        <f t="shared" si="22"/>
        <v>2.9960238568588482E-2</v>
      </c>
      <c r="AD30" s="142">
        <f t="shared" si="22"/>
        <v>1.2609343936381717E-2</v>
      </c>
      <c r="AE30" s="142">
        <f t="shared" si="22"/>
        <v>6.5582504970178989E-3</v>
      </c>
      <c r="AF30" s="142">
        <f t="shared" si="22"/>
        <v>0</v>
      </c>
      <c r="AH30" s="158">
        <f t="shared" si="13"/>
        <v>3.7773359840954271E-2</v>
      </c>
      <c r="AI30" s="158">
        <f t="shared" si="14"/>
        <v>0.12524850894632206</v>
      </c>
      <c r="AJ30" s="158">
        <f t="shared" si="14"/>
        <v>0.26043737574552683</v>
      </c>
      <c r="AK30" s="158">
        <f t="shared" si="14"/>
        <v>0.45825049701789261</v>
      </c>
      <c r="AL30" s="158">
        <f t="shared" si="14"/>
        <v>0.6003976143141152</v>
      </c>
      <c r="AM30" s="158">
        <f>AL30+BE30/SUM($AZ30:$BG30)</f>
        <v>0.69781312127236572</v>
      </c>
      <c r="AN30" s="158">
        <f t="shared" si="14"/>
        <v>0.82604373757455263</v>
      </c>
      <c r="AO30" s="158">
        <v>1</v>
      </c>
      <c r="AP30" s="143"/>
      <c r="AQ30" s="143">
        <f t="shared" si="5"/>
        <v>5.5309148185408155E-3</v>
      </c>
      <c r="AR30" s="143">
        <f>CK30/$CR30</f>
        <v>4.7901145107842734E-2</v>
      </c>
      <c r="AS30" s="143">
        <f t="shared" si="5"/>
        <v>9.7868128991497425E-2</v>
      </c>
      <c r="AT30" s="143">
        <f t="shared" si="5"/>
        <v>0.16780759376523607</v>
      </c>
      <c r="AU30" s="143">
        <f t="shared" si="5"/>
        <v>0.13845519661492003</v>
      </c>
      <c r="AV30" s="143">
        <f t="shared" si="5"/>
        <v>0.10383981254242203</v>
      </c>
      <c r="AW30" s="143">
        <f t="shared" si="5"/>
        <v>0.15884660823451605</v>
      </c>
      <c r="AX30" s="143">
        <f t="shared" si="5"/>
        <v>0.27975059992502493</v>
      </c>
      <c r="AY30" s="46"/>
      <c r="AZ30" s="152">
        <f>Shares!D71</f>
        <v>3.8</v>
      </c>
      <c r="BA30" s="152">
        <f>Shares!E71</f>
        <v>8.8000000000000007</v>
      </c>
      <c r="BB30" s="152">
        <f>Shares!F71</f>
        <v>13.6</v>
      </c>
      <c r="BC30" s="152">
        <f>Shares!G71</f>
        <v>19.899999999999999</v>
      </c>
      <c r="BD30" s="152">
        <f>Shares!J71</f>
        <v>14.3</v>
      </c>
      <c r="BE30" s="152">
        <f>Shares!K71</f>
        <v>9.8000000000000007</v>
      </c>
      <c r="BF30" s="152">
        <f>Shares!L71</f>
        <v>12.9</v>
      </c>
      <c r="BG30" s="152">
        <f>Shares!M71</f>
        <v>17.5</v>
      </c>
      <c r="BI30" s="246">
        <f>TxRt!B$53-TxRt!C$53+TxRt!C74</f>
        <v>3.4000000000000004</v>
      </c>
      <c r="BJ30" s="246">
        <f>TxRt!B$96-TxRt!C$96+TxRt!C117</f>
        <v>12.700000000000001</v>
      </c>
      <c r="BK30" s="246">
        <f>TxRt!B$136-TxRt!C$136+TxRt!C157</f>
        <v>16.8</v>
      </c>
      <c r="BL30" s="246">
        <f>TxRt!B$176-TxRt!C$176+TxRt!C197</f>
        <v>19.7</v>
      </c>
      <c r="BM30" s="246">
        <f>TxRt!B$256-TxRt!C$256+TxRt!C277</f>
        <v>22.6</v>
      </c>
      <c r="BN30" s="246">
        <f>TxRt!B$296-TxRt!C$296+TxRt!C317</f>
        <v>24.799999999999997</v>
      </c>
      <c r="BO30" s="246">
        <f>TxRt!B$336-TxRt!C$336+TxRt!C357</f>
        <v>28.400000000000002</v>
      </c>
      <c r="BP30" s="246">
        <f>TxRt!B$376-TxRt!C$376+TxRt!C397</f>
        <v>37.200000000000003</v>
      </c>
      <c r="BQ30" s="46"/>
      <c r="BR30" s="60">
        <f>Inc!B71</f>
        <v>19300</v>
      </c>
      <c r="BS30" s="60">
        <f>Inc!B111</f>
        <v>43500</v>
      </c>
      <c r="BT30" s="60">
        <f>Inc!B151</f>
        <v>67500</v>
      </c>
      <c r="BU30" s="60">
        <f>Inc!B191</f>
        <v>98700</v>
      </c>
      <c r="BV30" s="60">
        <f>Inc!B271</f>
        <v>138100</v>
      </c>
      <c r="BW30" s="60">
        <f>Inc!B311</f>
        <v>185400</v>
      </c>
      <c r="BX30" s="60">
        <f>Inc!B351</f>
        <v>301500</v>
      </c>
      <c r="BY30" s="60">
        <f>Inc!B391</f>
        <v>1695200</v>
      </c>
      <c r="CA30" s="60">
        <f t="shared" si="6"/>
        <v>656.2</v>
      </c>
      <c r="CB30" s="60">
        <f t="shared" si="6"/>
        <v>5524.5</v>
      </c>
      <c r="CC30" s="60">
        <f t="shared" si="6"/>
        <v>11340</v>
      </c>
      <c r="CD30" s="60">
        <f t="shared" si="6"/>
        <v>19443.900000000001</v>
      </c>
      <c r="CE30" s="60">
        <f t="shared" si="6"/>
        <v>31210.6</v>
      </c>
      <c r="CF30" s="60">
        <f t="shared" si="6"/>
        <v>45979.19999999999</v>
      </c>
      <c r="CG30" s="60">
        <f t="shared" si="6"/>
        <v>85626</v>
      </c>
      <c r="CH30" s="60">
        <f t="shared" si="6"/>
        <v>630614.4</v>
      </c>
      <c r="CJ30" s="153">
        <f t="shared" si="15"/>
        <v>13714.579999999998</v>
      </c>
      <c r="CK30" s="153">
        <f t="shared" si="7"/>
        <v>118776.74999999999</v>
      </c>
      <c r="CL30" s="153">
        <f t="shared" si="7"/>
        <v>242675.99999999994</v>
      </c>
      <c r="CM30" s="153">
        <f t="shared" si="7"/>
        <v>416099.45999999996</v>
      </c>
      <c r="CN30" s="153">
        <f t="shared" si="7"/>
        <v>343316.6</v>
      </c>
      <c r="CO30" s="153">
        <f t="shared" si="7"/>
        <v>257483.51999999993</v>
      </c>
      <c r="CP30" s="153">
        <f t="shared" si="7"/>
        <v>393879.6</v>
      </c>
      <c r="CQ30" s="153">
        <f t="shared" si="7"/>
        <v>693675.84000000008</v>
      </c>
      <c r="CR30" s="153">
        <f t="shared" si="16"/>
        <v>2479622.3499999996</v>
      </c>
      <c r="CT30" s="403">
        <v>276.5</v>
      </c>
      <c r="CU30" s="276">
        <f>Dem!B71+(DD30/4)</f>
        <v>20.899999999999995</v>
      </c>
      <c r="CV30" s="276">
        <f>Dem!B111+(DD30/4)</f>
        <v>21.499999999999996</v>
      </c>
      <c r="CW30" s="276">
        <f>Dem!B151+(DD30/4)</f>
        <v>21.399999999999995</v>
      </c>
      <c r="CX30" s="276">
        <f>Dem!B191+(DD30/4)</f>
        <v>21.399999999999995</v>
      </c>
      <c r="CY30" s="276">
        <f>Dem!B271</f>
        <v>11</v>
      </c>
      <c r="CZ30" s="276">
        <f>Dem!B311</f>
        <v>5.6</v>
      </c>
      <c r="DA30" s="276">
        <f>Dem!B351</f>
        <v>4.5999999999999996</v>
      </c>
      <c r="DB30" s="276">
        <f>Dem!B391</f>
        <v>1.1000000000000001</v>
      </c>
      <c r="DC30" s="275">
        <v>108.3</v>
      </c>
      <c r="DD30" s="46">
        <v>-0.4000000000000199</v>
      </c>
      <c r="DE30" s="275"/>
      <c r="DF30" s="276">
        <f>Dem!$D71+(DO30/4)</f>
        <v>54.20000000000001</v>
      </c>
      <c r="DG30" s="276">
        <f>Dem!$D111+(DO30/4)</f>
        <v>55.100000000000009</v>
      </c>
      <c r="DH30" s="276">
        <f>Dem!$D151+(DO30/4)</f>
        <v>55.100000000000009</v>
      </c>
      <c r="DI30" s="276">
        <f>Dem!$D191+(DO30/4)</f>
        <v>55.100000000000009</v>
      </c>
      <c r="DJ30" s="275">
        <f>Dem!$D271</f>
        <v>27.7</v>
      </c>
      <c r="DK30" s="275">
        <f>Dem!$D311</f>
        <v>13.8</v>
      </c>
      <c r="DL30" s="275">
        <f>Dem!$D351</f>
        <v>11.1</v>
      </c>
      <c r="DM30" s="275">
        <f>Dem!$D391</f>
        <v>2.8</v>
      </c>
      <c r="DN30" s="276">
        <f t="shared" si="17"/>
        <v>276.5</v>
      </c>
      <c r="DO30" s="44">
        <v>-0.79999999999995453</v>
      </c>
    </row>
    <row r="31" spans="1:119">
      <c r="A31" s="46">
        <f t="shared" si="18"/>
        <v>2001</v>
      </c>
      <c r="B31" s="141">
        <f t="shared" si="8"/>
        <v>0.20166898769557751</v>
      </c>
      <c r="C31" s="46"/>
      <c r="D31" s="141">
        <f t="shared" si="9"/>
        <v>0.71998429584667112</v>
      </c>
      <c r="E31" s="141">
        <f t="shared" si="10"/>
        <v>0.51831530815109361</v>
      </c>
      <c r="F31" s="46"/>
      <c r="G31" s="157">
        <f t="shared" si="11"/>
        <v>3.8925951295794459E-2</v>
      </c>
      <c r="H31" s="157">
        <f t="shared" si="11"/>
        <v>6.9403435484308038E-2</v>
      </c>
      <c r="I31" s="157">
        <f t="shared" si="11"/>
        <v>8.8955357080367781E-2</v>
      </c>
      <c r="J31" s="157">
        <f t="shared" si="11"/>
        <v>9.3291152620257153E-2</v>
      </c>
      <c r="K31" s="157">
        <f t="shared" si="11"/>
        <v>4.1941251958546227E-2</v>
      </c>
      <c r="L31" s="157">
        <f t="shared" si="11"/>
        <v>1.7950015639656581E-2</v>
      </c>
      <c r="M31" s="157">
        <f t="shared" si="11"/>
        <v>9.5249838444052548E-3</v>
      </c>
      <c r="N31" s="157">
        <f t="shared" si="11"/>
        <v>0</v>
      </c>
      <c r="O31" s="46"/>
      <c r="P31" s="154">
        <f t="shared" si="19"/>
        <v>5.370243521027755E-3</v>
      </c>
      <c r="Q31" s="154">
        <f t="shared" si="20"/>
        <v>5.2982822578459828E-2</v>
      </c>
      <c r="R31" s="154">
        <f t="shared" si="20"/>
        <v>0.15522321459816127</v>
      </c>
      <c r="S31" s="154">
        <f t="shared" si="20"/>
        <v>0.33354423689871432</v>
      </c>
      <c r="T31" s="154">
        <f t="shared" si="20"/>
        <v>0.4805874804145378</v>
      </c>
      <c r="U31" s="154">
        <f t="shared" si="20"/>
        <v>0.59099968720686846</v>
      </c>
      <c r="V31" s="154">
        <f t="shared" si="20"/>
        <v>0.75187540388986873</v>
      </c>
      <c r="W31" s="162">
        <f t="shared" si="21"/>
        <v>1</v>
      </c>
      <c r="X31" s="154"/>
      <c r="Y31" s="142">
        <f t="shared" si="22"/>
        <v>3.2246520874751494E-2</v>
      </c>
      <c r="Z31" s="142">
        <f t="shared" si="22"/>
        <v>5.3956262425447321E-2</v>
      </c>
      <c r="AA31" s="142">
        <f t="shared" si="22"/>
        <v>6.5526838966202802E-2</v>
      </c>
      <c r="AB31" s="142">
        <f t="shared" si="22"/>
        <v>6.3777335984095435E-2</v>
      </c>
      <c r="AC31" s="142">
        <f t="shared" si="22"/>
        <v>2.7176938369781314E-2</v>
      </c>
      <c r="AD31" s="142">
        <f t="shared" si="22"/>
        <v>1.1068588469184893E-2</v>
      </c>
      <c r="AE31" s="142">
        <f t="shared" si="22"/>
        <v>5.4051689860835014E-3</v>
      </c>
      <c r="AF31" s="142">
        <f t="shared" si="22"/>
        <v>0</v>
      </c>
      <c r="AH31" s="158">
        <f t="shared" si="13"/>
        <v>3.8767395626242547E-2</v>
      </c>
      <c r="AI31" s="158">
        <f t="shared" si="14"/>
        <v>0.13021868787276342</v>
      </c>
      <c r="AJ31" s="158">
        <f t="shared" si="14"/>
        <v>0.27236580516898612</v>
      </c>
      <c r="AK31" s="158">
        <f t="shared" si="14"/>
        <v>0.4811133200795229</v>
      </c>
      <c r="AL31" s="158">
        <f t="shared" si="14"/>
        <v>0.62823061630218691</v>
      </c>
      <c r="AM31" s="158">
        <f t="shared" si="14"/>
        <v>0.72862823061630222</v>
      </c>
      <c r="AN31" s="158">
        <f t="shared" si="14"/>
        <v>0.85487077534791256</v>
      </c>
      <c r="AO31" s="158">
        <v>1</v>
      </c>
      <c r="AP31" s="143"/>
      <c r="AQ31" s="143">
        <f t="shared" si="5"/>
        <v>5.370243521027755E-3</v>
      </c>
      <c r="AR31" s="143">
        <f t="shared" si="5"/>
        <v>4.7612579057432075E-2</v>
      </c>
      <c r="AS31" s="143">
        <f t="shared" si="5"/>
        <v>0.10224039201970143</v>
      </c>
      <c r="AT31" s="143">
        <f t="shared" si="5"/>
        <v>0.17832102230055305</v>
      </c>
      <c r="AU31" s="143">
        <f t="shared" si="5"/>
        <v>0.14704324351582349</v>
      </c>
      <c r="AV31" s="143">
        <f t="shared" si="5"/>
        <v>0.11041220679233066</v>
      </c>
      <c r="AW31" s="143">
        <f t="shared" si="5"/>
        <v>0.16087571668300024</v>
      </c>
      <c r="AX31" s="143">
        <f t="shared" si="5"/>
        <v>0.24812459611013121</v>
      </c>
      <c r="AY31" s="46"/>
      <c r="AZ31" s="152">
        <f>Shares!D72</f>
        <v>3.9</v>
      </c>
      <c r="BA31" s="152">
        <f>Shares!E72</f>
        <v>9.1999999999999993</v>
      </c>
      <c r="BB31" s="152">
        <f>Shares!F72</f>
        <v>14.3</v>
      </c>
      <c r="BC31" s="152">
        <f>Shares!G72</f>
        <v>21</v>
      </c>
      <c r="BD31" s="152">
        <f>Shares!J72</f>
        <v>14.8</v>
      </c>
      <c r="BE31" s="152">
        <f>Shares!K72</f>
        <v>10.1</v>
      </c>
      <c r="BF31" s="152">
        <f>Shares!L72</f>
        <v>12.7</v>
      </c>
      <c r="BG31" s="152">
        <f>Shares!M72</f>
        <v>14.6</v>
      </c>
      <c r="BI31" s="246">
        <f>TxRt!B$53-TxRt!C$53+TxRt!C75</f>
        <v>3</v>
      </c>
      <c r="BJ31" s="246">
        <f>TxRt!B$96-TxRt!C$96+TxRt!C118</f>
        <v>11.4</v>
      </c>
      <c r="BK31" s="246">
        <f>TxRt!B$136-TxRt!C$136+TxRt!C158</f>
        <v>15.700000000000001</v>
      </c>
      <c r="BL31" s="246">
        <f>TxRt!B$176-TxRt!C$176+TxRt!C198</f>
        <v>18.7</v>
      </c>
      <c r="BM31" s="246">
        <f>TxRt!B$256-TxRt!C$256+TxRt!C278</f>
        <v>21.6</v>
      </c>
      <c r="BN31" s="246">
        <f>TxRt!B$296-TxRt!C$296+TxRt!C318</f>
        <v>24</v>
      </c>
      <c r="BO31" s="246">
        <f>TxRt!B$336-TxRt!C$336+TxRt!C358</f>
        <v>27.400000000000002</v>
      </c>
      <c r="BP31" s="246">
        <f>TxRt!B$376-TxRt!C$376+TxRt!C398</f>
        <v>37.1</v>
      </c>
      <c r="BQ31" s="46"/>
      <c r="BR31" s="60">
        <f>Inc!B72</f>
        <v>19000</v>
      </c>
      <c r="BS31" s="60">
        <f>Inc!B112</f>
        <v>42900</v>
      </c>
      <c r="BT31" s="60">
        <f>Inc!B152</f>
        <v>67200</v>
      </c>
      <c r="BU31" s="60">
        <f>Inc!B192</f>
        <v>97500</v>
      </c>
      <c r="BV31" s="60">
        <f>Inc!B272</f>
        <v>136700</v>
      </c>
      <c r="BW31" s="60">
        <f>Inc!B312</f>
        <v>179900</v>
      </c>
      <c r="BX31" s="60">
        <f>Inc!B352</f>
        <v>284500</v>
      </c>
      <c r="BY31" s="60">
        <f>Inc!B392</f>
        <v>1355200</v>
      </c>
      <c r="CA31" s="60">
        <f t="shared" si="6"/>
        <v>570</v>
      </c>
      <c r="CB31" s="60">
        <f t="shared" si="6"/>
        <v>4890.6000000000004</v>
      </c>
      <c r="CC31" s="60">
        <f t="shared" si="6"/>
        <v>10550.4</v>
      </c>
      <c r="CD31" s="60">
        <f t="shared" si="6"/>
        <v>18232.5</v>
      </c>
      <c r="CE31" s="60">
        <f t="shared" si="6"/>
        <v>29527.200000000001</v>
      </c>
      <c r="CF31" s="60">
        <f t="shared" si="6"/>
        <v>43176</v>
      </c>
      <c r="CG31" s="60">
        <f t="shared" si="6"/>
        <v>77953.000000000015</v>
      </c>
      <c r="CH31" s="60">
        <f t="shared" si="6"/>
        <v>502779.2</v>
      </c>
      <c r="CJ31" s="153">
        <f t="shared" si="15"/>
        <v>11969.999999999998</v>
      </c>
      <c r="CK31" s="153">
        <f t="shared" si="7"/>
        <v>106126.01999999999</v>
      </c>
      <c r="CL31" s="153">
        <f t="shared" si="7"/>
        <v>227888.63999999993</v>
      </c>
      <c r="CM31" s="153">
        <f t="shared" si="7"/>
        <v>397468.49999999988</v>
      </c>
      <c r="CN31" s="153">
        <f t="shared" si="7"/>
        <v>327751.92</v>
      </c>
      <c r="CO31" s="153">
        <f t="shared" si="7"/>
        <v>246103.2</v>
      </c>
      <c r="CP31" s="153">
        <f t="shared" si="7"/>
        <v>358583.80000000005</v>
      </c>
      <c r="CQ31" s="153">
        <f t="shared" si="7"/>
        <v>553057.12000000011</v>
      </c>
      <c r="CR31" s="153">
        <f t="shared" si="16"/>
        <v>2228949.2000000002</v>
      </c>
      <c r="CT31" s="403">
        <v>277.8</v>
      </c>
      <c r="CU31" s="276">
        <f>Dem!B72+(DD31/4)</f>
        <v>20.999999999999996</v>
      </c>
      <c r="CV31" s="276">
        <f>Dem!B112+(DD31/4)</f>
        <v>21.699999999999996</v>
      </c>
      <c r="CW31" s="276">
        <f>Dem!B152+(DD31/4)</f>
        <v>21.599999999999994</v>
      </c>
      <c r="CX31" s="276">
        <f>Dem!B192+(DD31/4)</f>
        <v>21.799999999999994</v>
      </c>
      <c r="CY31" s="276">
        <f>Dem!B272</f>
        <v>11.1</v>
      </c>
      <c r="CZ31" s="276">
        <f>Dem!B312</f>
        <v>5.7</v>
      </c>
      <c r="DA31" s="276">
        <f>Dem!B352</f>
        <v>4.5999999999999996</v>
      </c>
      <c r="DB31" s="276">
        <f>Dem!B392</f>
        <v>1.1000000000000001</v>
      </c>
      <c r="DC31" s="275">
        <v>109.4</v>
      </c>
      <c r="DD31" s="46">
        <v>-0.4000000000000199</v>
      </c>
      <c r="DE31" s="275"/>
      <c r="DF31" s="276">
        <f>Dem!$D72+(DO31/4)</f>
        <v>54.275000000000006</v>
      </c>
      <c r="DG31" s="276">
        <f>Dem!$D112+(DO31/4)</f>
        <v>55.375000000000007</v>
      </c>
      <c r="DH31" s="276">
        <f>Dem!$D152+(DO31/4)</f>
        <v>55.375000000000007</v>
      </c>
      <c r="DI31" s="276">
        <f>Dem!$D192+(DO31/4)</f>
        <v>55.375000000000007</v>
      </c>
      <c r="DJ31" s="275">
        <f>Dem!$D272</f>
        <v>27.8</v>
      </c>
      <c r="DK31" s="275">
        <f>Dem!$D312</f>
        <v>13.9</v>
      </c>
      <c r="DL31" s="275">
        <f>Dem!$D352</f>
        <v>11.1</v>
      </c>
      <c r="DM31" s="275">
        <f>Dem!$D392</f>
        <v>2.8</v>
      </c>
      <c r="DN31" s="276">
        <f t="shared" si="17"/>
        <v>277.8</v>
      </c>
      <c r="DO31" s="44">
        <v>-0.89999999999997726</v>
      </c>
    </row>
    <row r="32" spans="1:119">
      <c r="A32" s="46">
        <f t="shared" si="18"/>
        <v>2002</v>
      </c>
      <c r="B32" s="141">
        <f t="shared" si="8"/>
        <v>0.20306130834768399</v>
      </c>
      <c r="C32" s="46"/>
      <c r="D32" s="141">
        <f t="shared" si="9"/>
        <v>0.70967441658998798</v>
      </c>
      <c r="E32" s="141">
        <f t="shared" si="10"/>
        <v>0.50661310824230399</v>
      </c>
      <c r="F32" s="46"/>
      <c r="G32" s="157">
        <f t="shared" si="11"/>
        <v>3.9053243579116631E-2</v>
      </c>
      <c r="H32" s="157">
        <f t="shared" si="11"/>
        <v>6.9354614801094921E-2</v>
      </c>
      <c r="I32" s="157">
        <f t="shared" si="11"/>
        <v>8.8308018127321058E-2</v>
      </c>
      <c r="J32" s="157">
        <f t="shared" si="11"/>
        <v>9.1490439569753432E-2</v>
      </c>
      <c r="K32" s="157">
        <f t="shared" si="11"/>
        <v>4.0620066643537379E-2</v>
      </c>
      <c r="L32" s="157">
        <f t="shared" si="11"/>
        <v>1.7176065440512419E-2</v>
      </c>
      <c r="M32" s="157">
        <f t="shared" si="11"/>
        <v>8.8347601336581424E-3</v>
      </c>
      <c r="N32" s="157">
        <f t="shared" si="11"/>
        <v>0</v>
      </c>
      <c r="O32" s="46"/>
      <c r="P32" s="154">
        <f t="shared" si="19"/>
        <v>4.733782104416895E-3</v>
      </c>
      <c r="Q32" s="154">
        <f t="shared" si="20"/>
        <v>5.3226925994525456E-2</v>
      </c>
      <c r="R32" s="154">
        <f t="shared" si="20"/>
        <v>0.15845990936339482</v>
      </c>
      <c r="S32" s="154">
        <f t="shared" si="20"/>
        <v>0.34254780215123293</v>
      </c>
      <c r="T32" s="154">
        <f t="shared" si="20"/>
        <v>0.49379933356462624</v>
      </c>
      <c r="U32" s="154">
        <f t="shared" si="20"/>
        <v>0.60647869118975173</v>
      </c>
      <c r="V32" s="154">
        <f t="shared" si="20"/>
        <v>0.76913099665854656</v>
      </c>
      <c r="W32" s="162">
        <f t="shared" si="21"/>
        <v>1</v>
      </c>
      <c r="X32" s="154"/>
      <c r="Y32" s="142">
        <f t="shared" si="22"/>
        <v>3.2055610724925521E-2</v>
      </c>
      <c r="Z32" s="142">
        <f t="shared" si="22"/>
        <v>5.3386295928500506E-2</v>
      </c>
      <c r="AA32" s="142">
        <f t="shared" si="22"/>
        <v>6.4389275074478669E-2</v>
      </c>
      <c r="AB32" s="142">
        <f t="shared" si="22"/>
        <v>6.2085402184707067E-2</v>
      </c>
      <c r="AC32" s="142">
        <f t="shared" si="22"/>
        <v>2.6047666335650446E-2</v>
      </c>
      <c r="AD32" s="142">
        <f t="shared" si="22"/>
        <v>1.0459285004965242E-2</v>
      </c>
      <c r="AE32" s="142">
        <f t="shared" si="22"/>
        <v>4.8830188679245268E-3</v>
      </c>
      <c r="AF32" s="142">
        <f t="shared" si="22"/>
        <v>0</v>
      </c>
      <c r="AH32" s="158">
        <f t="shared" si="13"/>
        <v>3.9721946375372401E-2</v>
      </c>
      <c r="AI32" s="158">
        <f t="shared" si="14"/>
        <v>0.13306852035749753</v>
      </c>
      <c r="AJ32" s="158">
        <f t="shared" si="14"/>
        <v>0.27805362462760674</v>
      </c>
      <c r="AK32" s="158">
        <f t="shared" si="14"/>
        <v>0.48957298907646474</v>
      </c>
      <c r="AL32" s="158">
        <f t="shared" si="14"/>
        <v>0.63952333664349559</v>
      </c>
      <c r="AM32" s="158">
        <f t="shared" si="14"/>
        <v>0.74081429990069525</v>
      </c>
      <c r="AN32" s="158">
        <f t="shared" si="14"/>
        <v>0.86792452830188693</v>
      </c>
      <c r="AO32" s="158">
        <v>1</v>
      </c>
      <c r="AP32" s="143"/>
      <c r="AQ32" s="143">
        <f t="shared" si="5"/>
        <v>4.7337821044168941E-3</v>
      </c>
      <c r="AR32" s="143">
        <f t="shared" si="5"/>
        <v>4.8493143890108552E-2</v>
      </c>
      <c r="AS32" s="143">
        <f t="shared" si="5"/>
        <v>0.10523298336886934</v>
      </c>
      <c r="AT32" s="143">
        <f t="shared" si="5"/>
        <v>0.18408789278783805</v>
      </c>
      <c r="AU32" s="143">
        <f t="shared" si="5"/>
        <v>0.15125153141339326</v>
      </c>
      <c r="AV32" s="143">
        <f t="shared" si="5"/>
        <v>0.11267935762512551</v>
      </c>
      <c r="AW32" s="143">
        <f t="shared" si="5"/>
        <v>0.16265230546879478</v>
      </c>
      <c r="AX32" s="143">
        <f t="shared" si="5"/>
        <v>0.23086900334145344</v>
      </c>
      <c r="AY32" s="46"/>
      <c r="AZ32" s="152">
        <f>Shares!D73</f>
        <v>4</v>
      </c>
      <c r="BA32" s="152">
        <f>Shares!E73</f>
        <v>9.4</v>
      </c>
      <c r="BB32" s="152">
        <f>Shares!F73</f>
        <v>14.6</v>
      </c>
      <c r="BC32" s="152">
        <f>Shares!G73</f>
        <v>21.3</v>
      </c>
      <c r="BD32" s="152">
        <f>Shares!J73</f>
        <v>15.1</v>
      </c>
      <c r="BE32" s="152">
        <f>Shares!K73</f>
        <v>10.199999999999999</v>
      </c>
      <c r="BF32" s="152">
        <f>Shares!L73</f>
        <v>12.8</v>
      </c>
      <c r="BG32" s="152">
        <f>Shares!M73</f>
        <v>13.3</v>
      </c>
      <c r="BI32" s="246">
        <f>TxRt!B$53-TxRt!C$53+TxRt!C76</f>
        <v>2.5</v>
      </c>
      <c r="BJ32" s="246">
        <f>TxRt!B$96-TxRt!C$96+TxRt!C119</f>
        <v>10.9</v>
      </c>
      <c r="BK32" s="246">
        <f>TxRt!B$136-TxRt!C$136+TxRt!C159</f>
        <v>15.3</v>
      </c>
      <c r="BL32" s="246">
        <f>TxRt!B$176-TxRt!C$176+TxRt!C199</f>
        <v>18.3</v>
      </c>
      <c r="BM32" s="246">
        <f>TxRt!B$256-TxRt!C$256+TxRt!C279</f>
        <v>21.1</v>
      </c>
      <c r="BN32" s="246">
        <f>TxRt!B$296-TxRt!C$296+TxRt!C319</f>
        <v>23.4</v>
      </c>
      <c r="BO32" s="246">
        <f>TxRt!B$336-TxRt!C$336+TxRt!C359</f>
        <v>26.6</v>
      </c>
      <c r="BP32" s="246">
        <f>TxRt!B$376-TxRt!C$376+TxRt!C399</f>
        <v>36.700000000000003</v>
      </c>
      <c r="BQ32" s="46"/>
      <c r="BR32" s="60">
        <f>Inc!B73</f>
        <v>18800</v>
      </c>
      <c r="BS32" s="60">
        <f>Inc!B113</f>
        <v>41800</v>
      </c>
      <c r="BT32" s="60">
        <f>Inc!B153</f>
        <v>65800</v>
      </c>
      <c r="BU32" s="60">
        <f>Inc!B193</f>
        <v>95800</v>
      </c>
      <c r="BV32" s="60">
        <f>Inc!B273</f>
        <v>134400</v>
      </c>
      <c r="BW32" s="60">
        <f>Inc!B313</f>
        <v>177400</v>
      </c>
      <c r="BX32" s="60">
        <f>Inc!B353</f>
        <v>273200</v>
      </c>
      <c r="BY32" s="60">
        <f>Inc!B393</f>
        <v>1200900</v>
      </c>
      <c r="CA32" s="60">
        <f t="shared" si="6"/>
        <v>470</v>
      </c>
      <c r="CB32" s="60">
        <f t="shared" si="6"/>
        <v>4556.2</v>
      </c>
      <c r="CC32" s="60">
        <f t="shared" si="6"/>
        <v>10067.4</v>
      </c>
      <c r="CD32" s="60">
        <f t="shared" si="6"/>
        <v>17531.400000000001</v>
      </c>
      <c r="CE32" s="60">
        <f t="shared" si="6"/>
        <v>28358.400000000001</v>
      </c>
      <c r="CF32" s="60">
        <f t="shared" si="6"/>
        <v>41511.599999999999</v>
      </c>
      <c r="CG32" s="60">
        <f t="shared" si="6"/>
        <v>72671.199999999997</v>
      </c>
      <c r="CH32" s="60">
        <f t="shared" si="6"/>
        <v>440730.3</v>
      </c>
      <c r="CJ32" s="153">
        <f t="shared" si="15"/>
        <v>9940.5000000000018</v>
      </c>
      <c r="CK32" s="153">
        <f t="shared" si="7"/>
        <v>101831.07</v>
      </c>
      <c r="CL32" s="153">
        <f t="shared" si="7"/>
        <v>220979.43000000002</v>
      </c>
      <c r="CM32" s="153">
        <f t="shared" si="7"/>
        <v>386567.37000000005</v>
      </c>
      <c r="CN32" s="153">
        <f t="shared" si="7"/>
        <v>317614.08000000002</v>
      </c>
      <c r="CO32" s="153">
        <f t="shared" si="7"/>
        <v>236616.12</v>
      </c>
      <c r="CP32" s="153">
        <f t="shared" si="7"/>
        <v>341554.64</v>
      </c>
      <c r="CQ32" s="153">
        <f t="shared" si="7"/>
        <v>484803.33</v>
      </c>
      <c r="CR32" s="153">
        <f t="shared" si="16"/>
        <v>2099906.5400000005</v>
      </c>
      <c r="CT32" s="403">
        <v>282.10000000000002</v>
      </c>
      <c r="CU32" s="276">
        <f>Dem!B73+(DD32/4)</f>
        <v>21.150000000000002</v>
      </c>
      <c r="CV32" s="276">
        <f>Dem!B113+(DD32/4)</f>
        <v>22.35</v>
      </c>
      <c r="CW32" s="276">
        <f>Dem!B153+(DD32/4)</f>
        <v>21.950000000000003</v>
      </c>
      <c r="CX32" s="276">
        <f>Dem!B193+(DD32/4)</f>
        <v>22.05</v>
      </c>
      <c r="CY32" s="276">
        <f>Dem!B273</f>
        <v>11.2</v>
      </c>
      <c r="CZ32" s="276">
        <f>Dem!B313</f>
        <v>5.7</v>
      </c>
      <c r="DA32" s="276">
        <f>Dem!B353</f>
        <v>4.7</v>
      </c>
      <c r="DB32" s="276">
        <f>Dem!B393</f>
        <v>1.1000000000000001</v>
      </c>
      <c r="DC32" s="275">
        <v>111.4</v>
      </c>
      <c r="DD32" s="46">
        <v>-0.59999999999999432</v>
      </c>
      <c r="DE32" s="275"/>
      <c r="DF32" s="276">
        <f>Dem!$D73+(DO32/4)</f>
        <v>54.625</v>
      </c>
      <c r="DG32" s="276">
        <f>Dem!$D113+(DO32/4)</f>
        <v>56.024999999999999</v>
      </c>
      <c r="DH32" s="276">
        <f>Dem!$D153+(DO32/4)</f>
        <v>56.024999999999999</v>
      </c>
      <c r="DI32" s="276">
        <f>Dem!$D193+(DO32/4)</f>
        <v>56.024999999999999</v>
      </c>
      <c r="DJ32" s="275">
        <f>Dem!$D273</f>
        <v>28.2</v>
      </c>
      <c r="DK32" s="275">
        <f>Dem!$D313</f>
        <v>14.1</v>
      </c>
      <c r="DL32" s="275">
        <f>Dem!$D353</f>
        <v>11.3</v>
      </c>
      <c r="DM32" s="275">
        <f>Dem!$D393</f>
        <v>2.8</v>
      </c>
      <c r="DN32" s="276">
        <f t="shared" si="17"/>
        <v>282.10000000000002</v>
      </c>
      <c r="DO32" s="44">
        <v>-1.5</v>
      </c>
    </row>
    <row r="33" spans="1:119">
      <c r="A33" s="46">
        <f t="shared" si="18"/>
        <v>2003</v>
      </c>
      <c r="B33" s="141">
        <f t="shared" si="8"/>
        <v>0.19507479750067824</v>
      </c>
      <c r="C33" s="46"/>
      <c r="D33" s="141">
        <f t="shared" si="9"/>
        <v>0.711318448294329</v>
      </c>
      <c r="E33" s="141">
        <f t="shared" si="10"/>
        <v>0.51624365079365075</v>
      </c>
      <c r="F33" s="46"/>
      <c r="G33" s="157">
        <f t="shared" si="11"/>
        <v>3.9019952801819163E-2</v>
      </c>
      <c r="H33" s="157">
        <f t="shared" si="11"/>
        <v>6.9713658815474644E-2</v>
      </c>
      <c r="I33" s="157">
        <f t="shared" si="11"/>
        <v>8.8676832785010665E-2</v>
      </c>
      <c r="J33" s="157">
        <f t="shared" si="11"/>
        <v>9.14901771711078E-2</v>
      </c>
      <c r="K33" s="157">
        <f t="shared" si="11"/>
        <v>4.0629027966877174E-2</v>
      </c>
      <c r="L33" s="157">
        <f t="shared" si="11"/>
        <v>1.718921965096129E-2</v>
      </c>
      <c r="M33" s="157">
        <f t="shared" si="11"/>
        <v>8.9403549559137693E-3</v>
      </c>
      <c r="N33" s="157">
        <f t="shared" si="11"/>
        <v>0</v>
      </c>
      <c r="O33" s="46"/>
      <c r="P33" s="154">
        <f t="shared" si="19"/>
        <v>4.9002359909042243E-3</v>
      </c>
      <c r="Q33" s="154">
        <f t="shared" si="20"/>
        <v>5.1431705922626796E-2</v>
      </c>
      <c r="R33" s="154">
        <f t="shared" si="20"/>
        <v>0.15661583607494678</v>
      </c>
      <c r="S33" s="154">
        <f t="shared" si="20"/>
        <v>0.34254911414446104</v>
      </c>
      <c r="T33" s="154">
        <f t="shared" si="20"/>
        <v>0.49370972033122829</v>
      </c>
      <c r="U33" s="154">
        <f t="shared" si="20"/>
        <v>0.60621560698077426</v>
      </c>
      <c r="V33" s="154">
        <f t="shared" si="20"/>
        <v>0.76649112610215586</v>
      </c>
      <c r="W33" s="162">
        <f t="shared" si="21"/>
        <v>1</v>
      </c>
      <c r="X33" s="154"/>
      <c r="Y33" s="142">
        <f t="shared" si="22"/>
        <v>3.2261904761904762E-2</v>
      </c>
      <c r="Z33" s="142">
        <f t="shared" si="22"/>
        <v>5.4007936507936519E-2</v>
      </c>
      <c r="AA33" s="142">
        <f t="shared" si="22"/>
        <v>6.5436507936507946E-2</v>
      </c>
      <c r="AB33" s="142">
        <f t="shared" si="22"/>
        <v>6.357142857142857E-2</v>
      </c>
      <c r="AC33" s="142">
        <f t="shared" si="22"/>
        <v>2.6805555555555551E-2</v>
      </c>
      <c r="AD33" s="142">
        <f t="shared" si="22"/>
        <v>1.0843253968253969E-2</v>
      </c>
      <c r="AE33" s="142">
        <f t="shared" si="22"/>
        <v>5.1952380952380974E-3</v>
      </c>
      <c r="AF33" s="142">
        <f t="shared" si="22"/>
        <v>0</v>
      </c>
      <c r="AH33" s="158">
        <f t="shared" si="13"/>
        <v>3.8690476190476192E-2</v>
      </c>
      <c r="AI33" s="158">
        <f t="shared" si="14"/>
        <v>0.12996031746031744</v>
      </c>
      <c r="AJ33" s="158">
        <f t="shared" si="14"/>
        <v>0.27281746031746035</v>
      </c>
      <c r="AK33" s="158">
        <f t="shared" si="14"/>
        <v>0.48214285714285721</v>
      </c>
      <c r="AL33" s="158">
        <f t="shared" si="14"/>
        <v>0.63194444444444453</v>
      </c>
      <c r="AM33" s="158">
        <f t="shared" si="14"/>
        <v>0.73313492063492069</v>
      </c>
      <c r="AN33" s="158">
        <f t="shared" si="14"/>
        <v>0.86011904761904767</v>
      </c>
      <c r="AO33" s="158">
        <v>1</v>
      </c>
      <c r="AP33" s="143"/>
      <c r="AQ33" s="143">
        <f t="shared" si="5"/>
        <v>4.9002359909042243E-3</v>
      </c>
      <c r="AR33" s="143">
        <f t="shared" si="5"/>
        <v>4.6531469931722573E-2</v>
      </c>
      <c r="AS33" s="143">
        <f t="shared" si="5"/>
        <v>0.10518413015231999</v>
      </c>
      <c r="AT33" s="143">
        <f t="shared" si="5"/>
        <v>0.18593327806951426</v>
      </c>
      <c r="AU33" s="143">
        <f t="shared" si="5"/>
        <v>0.15116060618676724</v>
      </c>
      <c r="AV33" s="143">
        <f t="shared" si="5"/>
        <v>0.11250588664954594</v>
      </c>
      <c r="AW33" s="143">
        <f t="shared" si="5"/>
        <v>0.16027551912138163</v>
      </c>
      <c r="AX33" s="143">
        <f t="shared" si="5"/>
        <v>0.23350887389784408</v>
      </c>
      <c r="AY33" s="46"/>
      <c r="AZ33" s="152">
        <f>Shares!D74</f>
        <v>3.9</v>
      </c>
      <c r="BA33" s="152">
        <f>Shares!E74</f>
        <v>9.1999999999999993</v>
      </c>
      <c r="BB33" s="152">
        <f>Shares!F74</f>
        <v>14.4</v>
      </c>
      <c r="BC33" s="152">
        <f>Shares!G74</f>
        <v>21.1</v>
      </c>
      <c r="BD33" s="152">
        <f>Shares!J74</f>
        <v>15.1</v>
      </c>
      <c r="BE33" s="152">
        <f>Shares!K74</f>
        <v>10.199999999999999</v>
      </c>
      <c r="BF33" s="152">
        <f>Shares!L74</f>
        <v>12.8</v>
      </c>
      <c r="BG33" s="152">
        <f>Shares!M74</f>
        <v>14.1</v>
      </c>
      <c r="BI33" s="246">
        <f>TxRt!B$53-TxRt!C$53+TxRt!C77</f>
        <v>2.5</v>
      </c>
      <c r="BJ33" s="246">
        <f>TxRt!B$96-TxRt!C$96+TxRt!C120</f>
        <v>10</v>
      </c>
      <c r="BK33" s="246">
        <f>TxRt!B$136-TxRt!C$136+TxRt!C160</f>
        <v>14.5</v>
      </c>
      <c r="BL33" s="246">
        <f>TxRt!B$176-TxRt!C$176+TxRt!C200</f>
        <v>17.5</v>
      </c>
      <c r="BM33" s="246">
        <f>TxRt!B$256-TxRt!C$256+TxRt!C280</f>
        <v>19.8</v>
      </c>
      <c r="BN33" s="246">
        <f>TxRt!B$296-TxRt!C$296+TxRt!C320</f>
        <v>22</v>
      </c>
      <c r="BO33" s="246">
        <f>TxRt!B$336-TxRt!C$336+TxRt!C360</f>
        <v>24.9</v>
      </c>
      <c r="BP33" s="246">
        <f>TxRt!B$376-TxRt!C$376+TxRt!C400</f>
        <v>33.5</v>
      </c>
      <c r="BQ33" s="46"/>
      <c r="BR33" s="60">
        <f>Inc!B74</f>
        <v>18500</v>
      </c>
      <c r="BS33" s="60">
        <f>Inc!B114</f>
        <v>41400</v>
      </c>
      <c r="BT33" s="60">
        <f>Inc!B154</f>
        <v>65700</v>
      </c>
      <c r="BU33" s="60">
        <f>Inc!B194</f>
        <v>97100</v>
      </c>
      <c r="BV33" s="60">
        <f>Inc!B274</f>
        <v>136300</v>
      </c>
      <c r="BW33" s="60">
        <f>Inc!B314</f>
        <v>181000</v>
      </c>
      <c r="BX33" s="60">
        <f>Inc!B354</f>
        <v>282300</v>
      </c>
      <c r="BY33" s="60">
        <f>Inc!B394</f>
        <v>1278400</v>
      </c>
      <c r="CA33" s="60">
        <f t="shared" si="6"/>
        <v>462.5</v>
      </c>
      <c r="CB33" s="60">
        <f t="shared" si="6"/>
        <v>4140</v>
      </c>
      <c r="CC33" s="60">
        <f t="shared" si="6"/>
        <v>9526.5</v>
      </c>
      <c r="CD33" s="60">
        <f t="shared" si="6"/>
        <v>16992.5</v>
      </c>
      <c r="CE33" s="60">
        <f t="shared" si="6"/>
        <v>26987.4</v>
      </c>
      <c r="CF33" s="60">
        <f t="shared" si="6"/>
        <v>39820</v>
      </c>
      <c r="CG33" s="60">
        <f t="shared" si="6"/>
        <v>70292.7</v>
      </c>
      <c r="CH33" s="60">
        <f t="shared" si="6"/>
        <v>428264</v>
      </c>
      <c r="CJ33" s="153">
        <f t="shared" si="15"/>
        <v>9885.9374999999982</v>
      </c>
      <c r="CK33" s="153">
        <f t="shared" si="7"/>
        <v>93874.499999999985</v>
      </c>
      <c r="CL33" s="153">
        <f t="shared" si="7"/>
        <v>212202.78749999995</v>
      </c>
      <c r="CM33" s="153">
        <f t="shared" si="7"/>
        <v>375109.43749999994</v>
      </c>
      <c r="CN33" s="153">
        <f t="shared" si="7"/>
        <v>304957.62000000005</v>
      </c>
      <c r="CO33" s="153">
        <f t="shared" si="7"/>
        <v>226974</v>
      </c>
      <c r="CP33" s="153">
        <f t="shared" si="7"/>
        <v>323346.42</v>
      </c>
      <c r="CQ33" s="153">
        <f t="shared" si="7"/>
        <v>471090.4</v>
      </c>
      <c r="CR33" s="153">
        <f t="shared" si="16"/>
        <v>2017441.1025</v>
      </c>
      <c r="CT33" s="403">
        <v>284</v>
      </c>
      <c r="CU33" s="276">
        <f>Dem!B74+(DD33/4)</f>
        <v>21.374999999999996</v>
      </c>
      <c r="CV33" s="276">
        <f>Dem!B114+(DD33/4)</f>
        <v>22.674999999999997</v>
      </c>
      <c r="CW33" s="276">
        <f>Dem!B154+(DD33/4)</f>
        <v>22.274999999999995</v>
      </c>
      <c r="CX33" s="276">
        <f>Dem!B194+(DD33/4)</f>
        <v>22.074999999999996</v>
      </c>
      <c r="CY33" s="276">
        <f>Dem!B274</f>
        <v>11.3</v>
      </c>
      <c r="CZ33" s="276">
        <f>Dem!B314</f>
        <v>5.7</v>
      </c>
      <c r="DA33" s="276">
        <f>Dem!B354</f>
        <v>4.5999999999999996</v>
      </c>
      <c r="DB33" s="276">
        <f>Dem!B394</f>
        <v>1.1000000000000001</v>
      </c>
      <c r="DC33" s="275">
        <v>112.1</v>
      </c>
      <c r="DD33" s="46">
        <v>-0.50000000000001421</v>
      </c>
      <c r="DE33" s="275"/>
      <c r="DF33" s="276">
        <f>Dem!$D74+(DO33/4)</f>
        <v>55.174999999999997</v>
      </c>
      <c r="DG33" s="276">
        <f>Dem!$D114+(DO33/4)</f>
        <v>56.474999999999994</v>
      </c>
      <c r="DH33" s="276">
        <f>Dem!$D154+(DO33/4)</f>
        <v>56.474999999999994</v>
      </c>
      <c r="DI33" s="276">
        <f>Dem!$D194+(DO33/4)</f>
        <v>56.474999999999994</v>
      </c>
      <c r="DJ33" s="275">
        <f>Dem!$D274</f>
        <v>28.4</v>
      </c>
      <c r="DK33" s="275">
        <f>Dem!$D314</f>
        <v>14.2</v>
      </c>
      <c r="DL33" s="275">
        <f>Dem!$D354</f>
        <v>11.4</v>
      </c>
      <c r="DM33" s="275">
        <f>Dem!$D394</f>
        <v>2.8</v>
      </c>
      <c r="DN33" s="276">
        <f t="shared" si="17"/>
        <v>284</v>
      </c>
      <c r="DO33" s="44">
        <v>-1.3000000000000114</v>
      </c>
    </row>
    <row r="34" spans="1:119">
      <c r="A34" s="46">
        <f t="shared" si="18"/>
        <v>2004</v>
      </c>
      <c r="B34" s="141">
        <f t="shared" si="8"/>
        <v>0.19301955247174563</v>
      </c>
      <c r="C34" s="46"/>
      <c r="D34" s="141">
        <f t="shared" si="9"/>
        <v>0.72501498444791257</v>
      </c>
      <c r="E34" s="141">
        <f t="shared" si="10"/>
        <v>0.53199543197616694</v>
      </c>
      <c r="F34" s="46"/>
      <c r="G34" s="157">
        <f t="shared" si="11"/>
        <v>3.9139390545222211E-2</v>
      </c>
      <c r="H34" s="157">
        <f t="shared" si="11"/>
        <v>6.9974443102554601E-2</v>
      </c>
      <c r="I34" s="157">
        <f t="shared" si="11"/>
        <v>8.9495723116656212E-2</v>
      </c>
      <c r="J34" s="157">
        <f t="shared" si="11"/>
        <v>9.3788723312544009E-2</v>
      </c>
      <c r="K34" s="157">
        <f t="shared" si="11"/>
        <v>4.2272320645246934E-2</v>
      </c>
      <c r="L34" s="157">
        <f t="shared" si="11"/>
        <v>1.8142917687355615E-2</v>
      </c>
      <c r="M34" s="157">
        <f t="shared" si="11"/>
        <v>9.6939738143767204E-3</v>
      </c>
      <c r="N34" s="157">
        <f t="shared" si="11"/>
        <v>0</v>
      </c>
      <c r="O34" s="46"/>
      <c r="P34" s="154">
        <f t="shared" si="19"/>
        <v>4.3030472738889844E-3</v>
      </c>
      <c r="Q34" s="154">
        <f t="shared" si="20"/>
        <v>5.0127784487227066E-2</v>
      </c>
      <c r="R34" s="154">
        <f t="shared" si="20"/>
        <v>0.15252138441671906</v>
      </c>
      <c r="S34" s="154">
        <f t="shared" si="20"/>
        <v>0.33105638343728006</v>
      </c>
      <c r="T34" s="154">
        <f t="shared" si="20"/>
        <v>0.47727679354753072</v>
      </c>
      <c r="U34" s="154">
        <f t="shared" si="20"/>
        <v>0.58714164625288778</v>
      </c>
      <c r="V34" s="154">
        <f t="shared" si="20"/>
        <v>0.74765065464058211</v>
      </c>
      <c r="W34" s="162">
        <f t="shared" si="21"/>
        <v>1</v>
      </c>
      <c r="X34" s="154"/>
      <c r="Y34" s="142">
        <f t="shared" si="22"/>
        <v>3.2452830188679248E-2</v>
      </c>
      <c r="Z34" s="142">
        <f t="shared" si="22"/>
        <v>5.4577954319761673E-2</v>
      </c>
      <c r="AA34" s="142">
        <f t="shared" si="22"/>
        <v>6.6772591857001018E-2</v>
      </c>
      <c r="AB34" s="142">
        <f t="shared" si="22"/>
        <v>6.6057596822244311E-2</v>
      </c>
      <c r="AC34" s="142">
        <f t="shared" si="22"/>
        <v>2.8430983118172794E-2</v>
      </c>
      <c r="AD34" s="142">
        <f t="shared" si="22"/>
        <v>1.1750248262164848E-2</v>
      </c>
      <c r="AE34" s="142">
        <f t="shared" si="22"/>
        <v>5.9555114200595853E-3</v>
      </c>
      <c r="AF34" s="142">
        <f t="shared" si="22"/>
        <v>0</v>
      </c>
      <c r="AH34" s="158">
        <f t="shared" si="13"/>
        <v>3.7735849056603772E-2</v>
      </c>
      <c r="AI34" s="158">
        <f t="shared" si="14"/>
        <v>0.12711022840119166</v>
      </c>
      <c r="AJ34" s="158">
        <f t="shared" si="14"/>
        <v>0.266137040714995</v>
      </c>
      <c r="AK34" s="158">
        <f t="shared" si="14"/>
        <v>0.46971201588877853</v>
      </c>
      <c r="AL34" s="158">
        <f t="shared" si="14"/>
        <v>0.6156901688182721</v>
      </c>
      <c r="AM34" s="158">
        <f t="shared" si="14"/>
        <v>0.71499503475670312</v>
      </c>
      <c r="AN34" s="158">
        <f t="shared" si="14"/>
        <v>0.84111221449851048</v>
      </c>
      <c r="AO34" s="158">
        <v>1</v>
      </c>
      <c r="AP34" s="143"/>
      <c r="AQ34" s="143">
        <f t="shared" si="5"/>
        <v>4.3030472738889835E-3</v>
      </c>
      <c r="AR34" s="143">
        <f t="shared" si="5"/>
        <v>4.5824737213338074E-2</v>
      </c>
      <c r="AS34" s="143">
        <f t="shared" si="5"/>
        <v>0.10239359992949196</v>
      </c>
      <c r="AT34" s="143">
        <f t="shared" si="5"/>
        <v>0.178534999020561</v>
      </c>
      <c r="AU34" s="143">
        <f t="shared" si="5"/>
        <v>0.14622041011025061</v>
      </c>
      <c r="AV34" s="143">
        <f t="shared" si="5"/>
        <v>0.10986485270535702</v>
      </c>
      <c r="AW34" s="143">
        <f t="shared" si="5"/>
        <v>0.16050900838769436</v>
      </c>
      <c r="AX34" s="143">
        <f t="shared" si="5"/>
        <v>0.25234934535941778</v>
      </c>
      <c r="AY34" s="46"/>
      <c r="AZ34" s="152">
        <f>Shares!D75</f>
        <v>3.8</v>
      </c>
      <c r="BA34" s="152">
        <f>Shares!E75</f>
        <v>9</v>
      </c>
      <c r="BB34" s="152">
        <f>Shares!F75</f>
        <v>14</v>
      </c>
      <c r="BC34" s="152">
        <f>Shares!G75</f>
        <v>20.5</v>
      </c>
      <c r="BD34" s="152">
        <f>Shares!J75</f>
        <v>14.7</v>
      </c>
      <c r="BE34" s="152">
        <f>Shares!K75</f>
        <v>10</v>
      </c>
      <c r="BF34" s="152">
        <f>Shares!L75</f>
        <v>12.7</v>
      </c>
      <c r="BG34" s="152">
        <f>Shares!M75</f>
        <v>16</v>
      </c>
      <c r="BI34" s="246">
        <f>TxRt!B$53-TxRt!C$53+TxRt!C78</f>
        <v>2.2999999999999998</v>
      </c>
      <c r="BJ34" s="246">
        <f>TxRt!B$96-TxRt!C$96+TxRt!C121</f>
        <v>10.200000000000001</v>
      </c>
      <c r="BK34" s="246">
        <f>TxRt!B$136-TxRt!C$136+TxRt!C161</f>
        <v>14.700000000000001</v>
      </c>
      <c r="BL34" s="246">
        <f>TxRt!B$176-TxRt!C$176+TxRt!C201</f>
        <v>17.5</v>
      </c>
      <c r="BM34" s="246">
        <f>TxRt!B$256-TxRt!C$256+TxRt!C281</f>
        <v>19.899999999999999</v>
      </c>
      <c r="BN34" s="246">
        <f>TxRt!B$296-TxRt!C$296+TxRt!C321</f>
        <v>22</v>
      </c>
      <c r="BO34" s="246">
        <f>TxRt!B$336-TxRt!C$336+TxRt!C361</f>
        <v>25.3</v>
      </c>
      <c r="BP34" s="246">
        <f>TxRt!B$376-TxRt!C$376+TxRt!C401</f>
        <v>32.700000000000003</v>
      </c>
      <c r="BQ34" s="46"/>
      <c r="BR34" s="60">
        <f>Inc!B75</f>
        <v>18800</v>
      </c>
      <c r="BS34" s="60">
        <f>Inc!B115</f>
        <v>42400</v>
      </c>
      <c r="BT34" s="60">
        <f>Inc!B155</f>
        <v>67800</v>
      </c>
      <c r="BU34" s="60">
        <f>Inc!B195</f>
        <v>100200</v>
      </c>
      <c r="BV34" s="60">
        <f>Inc!B275</f>
        <v>141300</v>
      </c>
      <c r="BW34" s="60">
        <f>Inc!B315</f>
        <v>187100</v>
      </c>
      <c r="BX34" s="60">
        <f>Inc!B355</f>
        <v>299700</v>
      </c>
      <c r="BY34" s="60">
        <f>Inc!B395</f>
        <v>1524500</v>
      </c>
      <c r="CA34" s="60">
        <f t="shared" si="6"/>
        <v>432.4</v>
      </c>
      <c r="CB34" s="60">
        <f t="shared" si="6"/>
        <v>4324.8</v>
      </c>
      <c r="CC34" s="60">
        <f t="shared" si="6"/>
        <v>9966.6</v>
      </c>
      <c r="CD34" s="60">
        <f t="shared" si="6"/>
        <v>17535</v>
      </c>
      <c r="CE34" s="60">
        <f t="shared" si="6"/>
        <v>28118.7</v>
      </c>
      <c r="CF34" s="60">
        <f t="shared" si="6"/>
        <v>41162</v>
      </c>
      <c r="CG34" s="60">
        <f t="shared" si="6"/>
        <v>75824.100000000006</v>
      </c>
      <c r="CH34" s="60">
        <f t="shared" si="6"/>
        <v>498511.50000000006</v>
      </c>
      <c r="CJ34" s="153">
        <f t="shared" si="15"/>
        <v>9350.6499999999978</v>
      </c>
      <c r="CK34" s="153">
        <f t="shared" si="7"/>
        <v>99578.51999999999</v>
      </c>
      <c r="CL34" s="153">
        <f t="shared" si="7"/>
        <v>222504.34499999997</v>
      </c>
      <c r="CM34" s="153">
        <f t="shared" si="7"/>
        <v>387961.87499999994</v>
      </c>
      <c r="CN34" s="153">
        <f t="shared" si="7"/>
        <v>317741.31000000006</v>
      </c>
      <c r="CO34" s="153">
        <f t="shared" si="7"/>
        <v>238739.6</v>
      </c>
      <c r="CP34" s="153">
        <f t="shared" si="7"/>
        <v>348790.86</v>
      </c>
      <c r="CQ34" s="153">
        <f t="shared" si="7"/>
        <v>548362.65000000014</v>
      </c>
      <c r="CR34" s="153">
        <f t="shared" si="16"/>
        <v>2173029.8100000005</v>
      </c>
      <c r="CT34" s="403">
        <v>288</v>
      </c>
      <c r="CU34" s="276">
        <f>Dem!B75+(DD34/4)</f>
        <v>21.624999999999996</v>
      </c>
      <c r="CV34" s="276">
        <f>Dem!B115+(DD34/4)</f>
        <v>23.024999999999995</v>
      </c>
      <c r="CW34" s="276">
        <f>Dem!B155+(DD34/4)</f>
        <v>22.324999999999996</v>
      </c>
      <c r="CX34" s="276">
        <f>Dem!B195+(DD34/4)</f>
        <v>22.124999999999996</v>
      </c>
      <c r="CY34" s="276">
        <f>Dem!B275</f>
        <v>11.3</v>
      </c>
      <c r="CZ34" s="276">
        <f>Dem!B315</f>
        <v>5.8</v>
      </c>
      <c r="DA34" s="276">
        <f>Dem!B355</f>
        <v>4.5999999999999996</v>
      </c>
      <c r="DB34" s="276">
        <f>Dem!B395</f>
        <v>1.1000000000000001</v>
      </c>
      <c r="DC34" s="275">
        <v>113.3</v>
      </c>
      <c r="DD34" s="46">
        <v>-0.70000000000001705</v>
      </c>
      <c r="DE34" s="275"/>
      <c r="DF34" s="276">
        <f>Dem!$D75+(DO34/4)</f>
        <v>55.97499999999998</v>
      </c>
      <c r="DG34" s="276">
        <f>Dem!$D115+(DO34/4)</f>
        <v>57.274999999999984</v>
      </c>
      <c r="DH34" s="276">
        <f>Dem!$D155+(DO34/4)</f>
        <v>57.274999999999984</v>
      </c>
      <c r="DI34" s="276">
        <f>Dem!$D195+(DO34/4)</f>
        <v>57.274999999999984</v>
      </c>
      <c r="DJ34" s="275">
        <f>Dem!$D275</f>
        <v>28.8</v>
      </c>
      <c r="DK34" s="275">
        <f>Dem!$D315</f>
        <v>14.4</v>
      </c>
      <c r="DL34" s="275">
        <f>Dem!$D355</f>
        <v>11.5</v>
      </c>
      <c r="DM34" s="275">
        <f>Dem!$D395</f>
        <v>2.9</v>
      </c>
      <c r="DN34" s="276">
        <f t="shared" si="17"/>
        <v>288</v>
      </c>
      <c r="DO34" s="44">
        <v>-1.3000000000000682</v>
      </c>
    </row>
    <row r="35" spans="1:119">
      <c r="A35" s="46">
        <f t="shared" si="18"/>
        <v>2005</v>
      </c>
      <c r="B35" s="141">
        <f t="shared" si="8"/>
        <v>0.19467557864402296</v>
      </c>
      <c r="C35" s="46"/>
      <c r="D35" s="141">
        <f t="shared" si="9"/>
        <v>0.74746684848529288</v>
      </c>
      <c r="E35" s="141">
        <f t="shared" si="10"/>
        <v>0.55279126984126992</v>
      </c>
      <c r="F35" s="46"/>
      <c r="G35" s="157">
        <f t="shared" si="11"/>
        <v>3.928004841168431E-2</v>
      </c>
      <c r="H35" s="157">
        <f t="shared" si="11"/>
        <v>7.069487824630255E-2</v>
      </c>
      <c r="I35" s="157">
        <f t="shared" si="11"/>
        <v>9.143376418244463E-2</v>
      </c>
      <c r="J35" s="157">
        <f t="shared" si="11"/>
        <v>9.7377121762366334E-2</v>
      </c>
      <c r="K35" s="157">
        <f t="shared" si="11"/>
        <v>4.474731911460314E-2</v>
      </c>
      <c r="L35" s="157">
        <f t="shared" si="11"/>
        <v>1.9540929699193934E-2</v>
      </c>
      <c r="M35" s="157">
        <f t="shared" si="11"/>
        <v>1.0659362826051568E-2</v>
      </c>
      <c r="N35" s="157">
        <f t="shared" si="11"/>
        <v>0</v>
      </c>
      <c r="O35" s="46"/>
      <c r="P35" s="154">
        <f t="shared" si="19"/>
        <v>3.5997579415784835E-3</v>
      </c>
      <c r="Q35" s="154">
        <f t="shared" si="20"/>
        <v>4.6525608768487249E-2</v>
      </c>
      <c r="R35" s="154">
        <f t="shared" si="20"/>
        <v>0.14283117908777701</v>
      </c>
      <c r="S35" s="154">
        <f t="shared" si="20"/>
        <v>0.31311439118816842</v>
      </c>
      <c r="T35" s="154">
        <f t="shared" si="20"/>
        <v>0.45252680885396868</v>
      </c>
      <c r="U35" s="154">
        <f t="shared" si="20"/>
        <v>0.55918140601612143</v>
      </c>
      <c r="V35" s="154">
        <f t="shared" si="20"/>
        <v>0.7235159293487109</v>
      </c>
      <c r="W35" s="162">
        <f t="shared" si="21"/>
        <v>1</v>
      </c>
      <c r="X35" s="154"/>
      <c r="Y35" s="142">
        <f t="shared" si="22"/>
        <v>3.2658730158730165E-2</v>
      </c>
      <c r="Z35" s="142">
        <f t="shared" si="22"/>
        <v>5.55952380952381E-2</v>
      </c>
      <c r="AA35" s="142">
        <f t="shared" si="22"/>
        <v>6.8809523809523834E-2</v>
      </c>
      <c r="AB35" s="142">
        <f t="shared" si="22"/>
        <v>6.9325396825396846E-2</v>
      </c>
      <c r="AC35" s="142">
        <f t="shared" si="22"/>
        <v>3.047619047619049E-2</v>
      </c>
      <c r="AD35" s="142">
        <f t="shared" si="22"/>
        <v>1.2827380952380963E-2</v>
      </c>
      <c r="AE35" s="142">
        <f t="shared" si="22"/>
        <v>6.7031746031746137E-3</v>
      </c>
      <c r="AF35" s="142">
        <f t="shared" si="22"/>
        <v>0</v>
      </c>
      <c r="AH35" s="158">
        <f t="shared" si="13"/>
        <v>3.6706349206349201E-2</v>
      </c>
      <c r="AI35" s="158">
        <f t="shared" si="14"/>
        <v>0.12202380952380951</v>
      </c>
      <c r="AJ35" s="158">
        <f t="shared" si="14"/>
        <v>0.25595238095238093</v>
      </c>
      <c r="AK35" s="158">
        <f t="shared" si="14"/>
        <v>0.45337301587301582</v>
      </c>
      <c r="AL35" s="158">
        <f t="shared" si="14"/>
        <v>0.59523809523809512</v>
      </c>
      <c r="AM35" s="158">
        <f t="shared" si="14"/>
        <v>0.69345238095238082</v>
      </c>
      <c r="AN35" s="158">
        <f t="shared" si="14"/>
        <v>0.82242063492063477</v>
      </c>
      <c r="AO35" s="158">
        <v>1</v>
      </c>
      <c r="AP35" s="143"/>
      <c r="AQ35" s="143">
        <f t="shared" si="5"/>
        <v>3.5997579415784835E-3</v>
      </c>
      <c r="AR35" s="143">
        <f t="shared" si="5"/>
        <v>4.2925850826908765E-2</v>
      </c>
      <c r="AS35" s="143">
        <f t="shared" si="5"/>
        <v>9.6305570319289754E-2</v>
      </c>
      <c r="AT35" s="143">
        <f t="shared" si="5"/>
        <v>0.17028321210039141</v>
      </c>
      <c r="AU35" s="143">
        <f t="shared" si="5"/>
        <v>0.13941241766580023</v>
      </c>
      <c r="AV35" s="143">
        <f t="shared" si="5"/>
        <v>0.10665459716215278</v>
      </c>
      <c r="AW35" s="143">
        <f t="shared" si="5"/>
        <v>0.16433452333258947</v>
      </c>
      <c r="AX35" s="143">
        <f t="shared" si="5"/>
        <v>0.27648407065128922</v>
      </c>
      <c r="AY35" s="46"/>
      <c r="AZ35" s="152">
        <f>Shares!D76</f>
        <v>3.7</v>
      </c>
      <c r="BA35" s="152">
        <f>Shares!E76</f>
        <v>8.6</v>
      </c>
      <c r="BB35" s="152">
        <f>Shares!F76</f>
        <v>13.5</v>
      </c>
      <c r="BC35" s="152">
        <f>Shares!G76</f>
        <v>19.899999999999999</v>
      </c>
      <c r="BD35" s="152">
        <f>Shares!J76</f>
        <v>14.3</v>
      </c>
      <c r="BE35" s="152">
        <f>Shares!K76</f>
        <v>9.9</v>
      </c>
      <c r="BF35" s="152">
        <f>Shares!L76</f>
        <v>13</v>
      </c>
      <c r="BG35" s="152">
        <f>Shares!M76</f>
        <v>17.899999999999999</v>
      </c>
      <c r="BI35" s="246">
        <f>TxRt!B$53-TxRt!C$53+TxRt!C79</f>
        <v>2</v>
      </c>
      <c r="BJ35" s="246">
        <f>TxRt!B$96-TxRt!C$96+TxRt!C122</f>
        <v>10.200000000000001</v>
      </c>
      <c r="BK35" s="246">
        <f>TxRt!B$136-TxRt!C$136+TxRt!C162</f>
        <v>14.700000000000001</v>
      </c>
      <c r="BL35" s="246">
        <f>TxRt!B$176-TxRt!C$176+TxRt!C202</f>
        <v>17.600000000000001</v>
      </c>
      <c r="BM35" s="246">
        <f>TxRt!B$256-TxRt!C$256+TxRt!C282</f>
        <v>19.899999999999999</v>
      </c>
      <c r="BN35" s="246">
        <f>TxRt!B$296-TxRt!C$296+TxRt!C322</f>
        <v>22</v>
      </c>
      <c r="BO35" s="246">
        <f>TxRt!B$336-TxRt!C$336+TxRt!C362</f>
        <v>25.6</v>
      </c>
      <c r="BP35" s="246">
        <f>TxRt!B$376-TxRt!C$376+TxRt!C402</f>
        <v>32.299999999999997</v>
      </c>
      <c r="BQ35" s="46"/>
      <c r="BR35" s="60">
        <f>Inc!B76</f>
        <v>19300</v>
      </c>
      <c r="BS35" s="60">
        <f>Inc!B116</f>
        <v>42800</v>
      </c>
      <c r="BT35" s="60">
        <f>Inc!B156</f>
        <v>69000</v>
      </c>
      <c r="BU35" s="60">
        <f>Inc!B196</f>
        <v>101900</v>
      </c>
      <c r="BV35" s="60">
        <f>Inc!B276</f>
        <v>144200</v>
      </c>
      <c r="BW35" s="60">
        <f>Inc!B316</f>
        <v>194500</v>
      </c>
      <c r="BX35" s="60">
        <f>Inc!B356</f>
        <v>323300</v>
      </c>
      <c r="BY35" s="60">
        <f>Inc!B396</f>
        <v>1842000</v>
      </c>
      <c r="CA35" s="60">
        <f t="shared" si="6"/>
        <v>386</v>
      </c>
      <c r="CB35" s="60">
        <f t="shared" si="6"/>
        <v>4365.6000000000004</v>
      </c>
      <c r="CC35" s="60">
        <f t="shared" si="6"/>
        <v>10143.000000000002</v>
      </c>
      <c r="CD35" s="60">
        <f t="shared" si="6"/>
        <v>17934.400000000001</v>
      </c>
      <c r="CE35" s="60">
        <f t="shared" si="6"/>
        <v>28695.8</v>
      </c>
      <c r="CF35" s="60">
        <f t="shared" si="6"/>
        <v>42790</v>
      </c>
      <c r="CG35" s="60">
        <f t="shared" si="6"/>
        <v>82764.800000000003</v>
      </c>
      <c r="CH35" s="60">
        <f t="shared" si="6"/>
        <v>594965.99999999988</v>
      </c>
      <c r="CJ35" s="153">
        <f t="shared" si="15"/>
        <v>8520.9499999999989</v>
      </c>
      <c r="CK35" s="153">
        <f t="shared" si="7"/>
        <v>101609.33999999998</v>
      </c>
      <c r="CL35" s="153">
        <f t="shared" si="7"/>
        <v>227963.92500000002</v>
      </c>
      <c r="CM35" s="153">
        <f t="shared" si="7"/>
        <v>403075.64</v>
      </c>
      <c r="CN35" s="153">
        <f t="shared" si="7"/>
        <v>330001.7</v>
      </c>
      <c r="CO35" s="153">
        <f t="shared" si="7"/>
        <v>252461.00000000003</v>
      </c>
      <c r="CP35" s="153">
        <f t="shared" si="7"/>
        <v>388994.56000000006</v>
      </c>
      <c r="CQ35" s="153">
        <f t="shared" si="7"/>
        <v>654462.6</v>
      </c>
      <c r="CR35" s="153">
        <f t="shared" si="16"/>
        <v>2367089.7149999999</v>
      </c>
      <c r="CT35" s="403">
        <v>289.3</v>
      </c>
      <c r="CU35" s="276">
        <f>Dem!B76+(DD35/4)</f>
        <v>22.074999999999996</v>
      </c>
      <c r="CV35" s="276">
        <f>Dem!B116+(DD35/4)</f>
        <v>23.274999999999995</v>
      </c>
      <c r="CW35" s="276">
        <f>Dem!B156+(DD35/4)</f>
        <v>22.474999999999998</v>
      </c>
      <c r="CX35" s="276">
        <f>Dem!B196+(DD35/4)</f>
        <v>22.474999999999998</v>
      </c>
      <c r="CY35" s="276">
        <f>Dem!B276</f>
        <v>11.5</v>
      </c>
      <c r="CZ35" s="276">
        <f>Dem!B316</f>
        <v>5.9</v>
      </c>
      <c r="DA35" s="276">
        <f>Dem!B356</f>
        <v>4.7</v>
      </c>
      <c r="DB35" s="276">
        <f>Dem!B396</f>
        <v>1.1000000000000001</v>
      </c>
      <c r="DC35" s="275">
        <v>114.5</v>
      </c>
      <c r="DD35" s="46">
        <v>-0.50000000000001421</v>
      </c>
      <c r="DE35" s="275"/>
      <c r="DF35" s="276">
        <f>Dem!$D76+(DO35/4)</f>
        <v>56.324999999999996</v>
      </c>
      <c r="DG35" s="276">
        <f>Dem!$D116+(DO35/4)</f>
        <v>57.624999999999993</v>
      </c>
      <c r="DH35" s="276">
        <f>Dem!$D156+(DO35/4)</f>
        <v>57.624999999999993</v>
      </c>
      <c r="DI35" s="276">
        <f>Dem!$D196+(DO35/4)</f>
        <v>57.624999999999993</v>
      </c>
      <c r="DJ35" s="275">
        <f>Dem!$D276</f>
        <v>28.9</v>
      </c>
      <c r="DK35" s="275">
        <f>Dem!$D316</f>
        <v>14.5</v>
      </c>
      <c r="DL35" s="275">
        <f>Dem!$D356</f>
        <v>11.6</v>
      </c>
      <c r="DM35" s="275">
        <f>Dem!$D396</f>
        <v>2.9</v>
      </c>
      <c r="DN35" s="276">
        <f t="shared" si="17"/>
        <v>289.3</v>
      </c>
      <c r="DO35" s="44">
        <v>-1.1000000000000227</v>
      </c>
    </row>
    <row r="36" spans="1:119">
      <c r="A36" s="46">
        <f t="shared" si="18"/>
        <v>2006</v>
      </c>
      <c r="B36" s="141">
        <f t="shared" si="8"/>
        <v>0.18990621744910541</v>
      </c>
      <c r="C36" s="46"/>
      <c r="D36" s="141">
        <f t="shared" si="9"/>
        <v>0.75056745005347925</v>
      </c>
      <c r="E36" s="141">
        <f t="shared" si="10"/>
        <v>0.56066123260437384</v>
      </c>
      <c r="F36" s="46"/>
      <c r="G36" s="157">
        <f t="shared" si="11"/>
        <v>3.9294412519115453E-2</v>
      </c>
      <c r="H36" s="157">
        <f t="shared" si="11"/>
        <v>7.0731435462757758E-2</v>
      </c>
      <c r="I36" s="157">
        <f t="shared" si="11"/>
        <v>9.1612173090711332E-2</v>
      </c>
      <c r="J36" s="157">
        <f t="shared" si="11"/>
        <v>9.7928367622017509E-2</v>
      </c>
      <c r="K36" s="157">
        <f t="shared" si="11"/>
        <v>4.5124331482551051E-2</v>
      </c>
      <c r="L36" s="157">
        <f t="shared" si="11"/>
        <v>1.9755014966303983E-2</v>
      </c>
      <c r="M36" s="157">
        <f t="shared" si="11"/>
        <v>1.0837989883282507E-2</v>
      </c>
      <c r="N36" s="157">
        <f t="shared" si="11"/>
        <v>0</v>
      </c>
      <c r="O36" s="46"/>
      <c r="P36" s="154">
        <f t="shared" si="19"/>
        <v>3.5279374044227462E-3</v>
      </c>
      <c r="Q36" s="154">
        <f t="shared" si="20"/>
        <v>4.6342822686211232E-2</v>
      </c>
      <c r="R36" s="154">
        <f t="shared" si="20"/>
        <v>0.14193913454644347</v>
      </c>
      <c r="S36" s="154">
        <f t="shared" si="20"/>
        <v>0.3103581618899125</v>
      </c>
      <c r="T36" s="154">
        <f t="shared" si="20"/>
        <v>0.44875668517448952</v>
      </c>
      <c r="U36" s="154">
        <f t="shared" si="20"/>
        <v>0.55489970067392047</v>
      </c>
      <c r="V36" s="154">
        <f t="shared" si="20"/>
        <v>0.71905025291793745</v>
      </c>
      <c r="W36" s="162">
        <f t="shared" si="21"/>
        <v>1</v>
      </c>
      <c r="X36" s="154"/>
      <c r="Y36" s="142">
        <f t="shared" si="22"/>
        <v>3.2842942345924456E-2</v>
      </c>
      <c r="Z36" s="142">
        <f t="shared" si="22"/>
        <v>5.5944333996023859E-2</v>
      </c>
      <c r="AA36" s="142">
        <f t="shared" si="22"/>
        <v>6.9502982107355879E-2</v>
      </c>
      <c r="AB36" s="142">
        <f t="shared" si="22"/>
        <v>7.0536779324055665E-2</v>
      </c>
      <c r="AC36" s="142">
        <f t="shared" si="22"/>
        <v>3.1252485089463225E-2</v>
      </c>
      <c r="AD36" s="142">
        <f t="shared" si="22"/>
        <v>1.3255467196819089E-2</v>
      </c>
      <c r="AE36" s="142">
        <f t="shared" si="22"/>
        <v>6.9956262425447373E-3</v>
      </c>
      <c r="AF36" s="142">
        <f t="shared" si="22"/>
        <v>0</v>
      </c>
      <c r="AH36" s="158">
        <f t="shared" si="13"/>
        <v>3.5785288270377739E-2</v>
      </c>
      <c r="AI36" s="158">
        <f t="shared" si="14"/>
        <v>0.12027833001988072</v>
      </c>
      <c r="AJ36" s="158">
        <f t="shared" si="14"/>
        <v>0.25248508946322068</v>
      </c>
      <c r="AK36" s="158">
        <f t="shared" si="14"/>
        <v>0.44731610337972172</v>
      </c>
      <c r="AL36" s="158">
        <f t="shared" si="14"/>
        <v>0.5874751491053678</v>
      </c>
      <c r="AM36" s="158">
        <f t="shared" si="14"/>
        <v>0.68489065606361832</v>
      </c>
      <c r="AN36" s="158">
        <f t="shared" si="14"/>
        <v>0.81510934393638168</v>
      </c>
      <c r="AO36" s="158">
        <v>1</v>
      </c>
      <c r="AP36" s="143"/>
      <c r="AQ36" s="143">
        <f t="shared" si="5"/>
        <v>3.5279374044227462E-3</v>
      </c>
      <c r="AR36" s="143">
        <f t="shared" si="5"/>
        <v>4.2814885281788485E-2</v>
      </c>
      <c r="AS36" s="143">
        <f t="shared" si="5"/>
        <v>9.5596311860232222E-2</v>
      </c>
      <c r="AT36" s="143">
        <f t="shared" si="5"/>
        <v>0.168419027343469</v>
      </c>
      <c r="AU36" s="143">
        <f t="shared" si="5"/>
        <v>0.13839852328457705</v>
      </c>
      <c r="AV36" s="143">
        <f t="shared" si="5"/>
        <v>0.10614301549943089</v>
      </c>
      <c r="AW36" s="143">
        <f t="shared" si="5"/>
        <v>0.16415055224401695</v>
      </c>
      <c r="AX36" s="143">
        <f t="shared" si="5"/>
        <v>0.28094974708206255</v>
      </c>
      <c r="AY36" s="46"/>
      <c r="AZ36" s="152">
        <f>Shares!D77</f>
        <v>3.6</v>
      </c>
      <c r="BA36" s="152">
        <f>Shares!E77</f>
        <v>8.5</v>
      </c>
      <c r="BB36" s="152">
        <f>Shares!F77</f>
        <v>13.3</v>
      </c>
      <c r="BC36" s="152">
        <f>Shares!G77</f>
        <v>19.600000000000001</v>
      </c>
      <c r="BD36" s="152">
        <f>Shares!J77</f>
        <v>14.1</v>
      </c>
      <c r="BE36" s="152">
        <f>Shares!K77</f>
        <v>9.8000000000000007</v>
      </c>
      <c r="BF36" s="152">
        <f>Shares!L77</f>
        <v>13.1</v>
      </c>
      <c r="BG36" s="152">
        <f>Shares!M77</f>
        <v>18.600000000000001</v>
      </c>
      <c r="BI36" s="246">
        <f>TxRt!B$53-TxRt!C$53+TxRt!C80</f>
        <v>2</v>
      </c>
      <c r="BJ36" s="246">
        <f>TxRt!B$96-TxRt!C$96+TxRt!C123</f>
        <v>10.3</v>
      </c>
      <c r="BK36" s="246">
        <f>TxRt!B$136-TxRt!C$136+TxRt!C163</f>
        <v>14.700000000000001</v>
      </c>
      <c r="BL36" s="246">
        <f>TxRt!B$176-TxRt!C$176+TxRt!C203</f>
        <v>17.600000000000001</v>
      </c>
      <c r="BM36" s="246">
        <f>TxRt!B$256-TxRt!C$256+TxRt!C283</f>
        <v>20</v>
      </c>
      <c r="BN36" s="246">
        <f>TxRt!B$296-TxRt!C$296+TxRt!C323</f>
        <v>22.1</v>
      </c>
      <c r="BO36" s="246">
        <f>TxRt!B$336-TxRt!C$336+TxRt!C363</f>
        <v>25.6</v>
      </c>
      <c r="BP36" s="246">
        <f>TxRt!B$376-TxRt!C$376+TxRt!C403</f>
        <v>32</v>
      </c>
      <c r="BQ36" s="46"/>
      <c r="BR36" s="60">
        <f>Inc!B77</f>
        <v>20300</v>
      </c>
      <c r="BS36" s="60">
        <f>Inc!B117</f>
        <v>43800</v>
      </c>
      <c r="BT36" s="60">
        <f>Inc!B157</f>
        <v>69700</v>
      </c>
      <c r="BU36" s="60">
        <f>Inc!B197</f>
        <v>103900</v>
      </c>
      <c r="BV36" s="60">
        <f>Inc!B277</f>
        <v>147700</v>
      </c>
      <c r="BW36" s="60">
        <f>Inc!B317</f>
        <v>199900</v>
      </c>
      <c r="BX36" s="60">
        <f>Inc!B357</f>
        <v>333600</v>
      </c>
      <c r="BY36" s="60">
        <f>Inc!B397</f>
        <v>1993200</v>
      </c>
      <c r="CA36" s="60">
        <f t="shared" si="6"/>
        <v>406</v>
      </c>
      <c r="CB36" s="60">
        <f t="shared" si="6"/>
        <v>4511.4000000000005</v>
      </c>
      <c r="CC36" s="60">
        <f t="shared" si="6"/>
        <v>10245.900000000001</v>
      </c>
      <c r="CD36" s="60">
        <f t="shared" si="6"/>
        <v>18286.400000000001</v>
      </c>
      <c r="CE36" s="60">
        <f t="shared" si="6"/>
        <v>29540</v>
      </c>
      <c r="CF36" s="60">
        <f t="shared" si="6"/>
        <v>44177.9</v>
      </c>
      <c r="CG36" s="60">
        <f t="shared" si="6"/>
        <v>85401.600000000006</v>
      </c>
      <c r="CH36" s="60">
        <f t="shared" si="6"/>
        <v>637824</v>
      </c>
      <c r="CJ36" s="153">
        <f t="shared" si="15"/>
        <v>8810.1999999999989</v>
      </c>
      <c r="CK36" s="153">
        <f t="shared" si="7"/>
        <v>106920.18000000001</v>
      </c>
      <c r="CL36" s="153">
        <f t="shared" si="7"/>
        <v>238729.47</v>
      </c>
      <c r="CM36" s="153">
        <f t="shared" si="7"/>
        <v>420587.2</v>
      </c>
      <c r="CN36" s="153">
        <f t="shared" si="7"/>
        <v>345618</v>
      </c>
      <c r="CO36" s="153">
        <f t="shared" si="7"/>
        <v>265067.40000000002</v>
      </c>
      <c r="CP36" s="153">
        <f t="shared" si="7"/>
        <v>409927.67999999999</v>
      </c>
      <c r="CQ36" s="153">
        <f t="shared" si="7"/>
        <v>701606.40000000002</v>
      </c>
      <c r="CR36" s="153">
        <f t="shared" si="16"/>
        <v>2497266.5300000003</v>
      </c>
      <c r="CT36" s="403">
        <v>292.7</v>
      </c>
      <c r="CU36" s="276">
        <f>Dem!B77+(DD36/4)</f>
        <v>21.7</v>
      </c>
      <c r="CV36" s="276">
        <f>Dem!B117+(DD36/4)</f>
        <v>23.7</v>
      </c>
      <c r="CW36" s="276">
        <f>Dem!B157+(DD36/4)</f>
        <v>23.299999999999997</v>
      </c>
      <c r="CX36" s="276">
        <f>Dem!B197+(DD36/4)</f>
        <v>23</v>
      </c>
      <c r="CY36" s="276">
        <f>Dem!B277</f>
        <v>11.7</v>
      </c>
      <c r="CZ36" s="276">
        <f>Dem!B317</f>
        <v>6</v>
      </c>
      <c r="DA36" s="276">
        <f>Dem!B357</f>
        <v>4.8</v>
      </c>
      <c r="DB36" s="276">
        <f>Dem!B397</f>
        <v>1.1000000000000001</v>
      </c>
      <c r="DC36" s="275">
        <v>116.1</v>
      </c>
      <c r="DD36" s="46">
        <v>-0.40000000000000568</v>
      </c>
      <c r="DE36" s="275"/>
      <c r="DF36" s="276">
        <f>Dem!$D77+(DO36/4)</f>
        <v>56.95</v>
      </c>
      <c r="DG36" s="276">
        <f>Dem!$D117+(DO36/4)</f>
        <v>58.150000000000006</v>
      </c>
      <c r="DH36" s="276">
        <f>Dem!$D157+(DO36/4)</f>
        <v>58.150000000000006</v>
      </c>
      <c r="DI36" s="276">
        <f>Dem!$D197+(DO36/4)</f>
        <v>58.150000000000006</v>
      </c>
      <c r="DJ36" s="275">
        <f>Dem!$D277</f>
        <v>29.3</v>
      </c>
      <c r="DK36" s="275">
        <f>Dem!$D317</f>
        <v>14.6</v>
      </c>
      <c r="DL36" s="275">
        <f>Dem!$D357</f>
        <v>11.7</v>
      </c>
      <c r="DM36" s="275">
        <f>Dem!$D397</f>
        <v>2.9</v>
      </c>
      <c r="DN36" s="276">
        <f t="shared" si="17"/>
        <v>292.7</v>
      </c>
      <c r="DO36" s="44">
        <v>-1.3999999999999773</v>
      </c>
    </row>
    <row r="37" spans="1:119">
      <c r="A37" s="46">
        <f t="shared" si="18"/>
        <v>2007</v>
      </c>
      <c r="B37" s="141">
        <f t="shared" si="8"/>
        <v>0.20090750073942087</v>
      </c>
      <c r="C37" s="46"/>
      <c r="D37" s="164">
        <f t="shared" si="9"/>
        <v>0.75941305629497646</v>
      </c>
      <c r="E37" s="164">
        <f t="shared" si="10"/>
        <v>0.55850555555555559</v>
      </c>
      <c r="F37" s="37"/>
      <c r="G37" s="165">
        <f t="shared" si="11"/>
        <v>3.9271278142512529E-2</v>
      </c>
      <c r="H37" s="165">
        <f t="shared" si="11"/>
        <v>7.058338602612918E-2</v>
      </c>
      <c r="I37" s="165">
        <f t="shared" si="11"/>
        <v>9.1910560184887219E-2</v>
      </c>
      <c r="J37" s="165">
        <f t="shared" si="11"/>
        <v>9.944749571966785E-2</v>
      </c>
      <c r="K37" s="165">
        <f t="shared" si="11"/>
        <v>4.6318148265452663E-2</v>
      </c>
      <c r="L37" s="165">
        <f t="shared" si="11"/>
        <v>2.0538349849838274E-2</v>
      </c>
      <c r="M37" s="165">
        <f t="shared" si="11"/>
        <v>1.1637309959000555E-2</v>
      </c>
      <c r="N37" s="165">
        <f t="shared" si="11"/>
        <v>0</v>
      </c>
      <c r="O37" s="37"/>
      <c r="P37" s="154">
        <f t="shared" si="19"/>
        <v>3.6436092874373655E-3</v>
      </c>
      <c r="Q37" s="154">
        <f t="shared" si="20"/>
        <v>4.7083069869354142E-2</v>
      </c>
      <c r="R37" s="154">
        <f t="shared" si="20"/>
        <v>0.14044719907556399</v>
      </c>
      <c r="S37" s="154">
        <f t="shared" si="20"/>
        <v>0.30276252140166082</v>
      </c>
      <c r="T37" s="154">
        <f t="shared" si="20"/>
        <v>0.43681851734547339</v>
      </c>
      <c r="U37" s="154">
        <f t="shared" si="20"/>
        <v>0.53923300300323462</v>
      </c>
      <c r="V37" s="154">
        <f t="shared" si="20"/>
        <v>0.69906725102498624</v>
      </c>
      <c r="W37" s="162">
        <f t="shared" si="21"/>
        <v>1</v>
      </c>
      <c r="X37" s="154"/>
      <c r="Y37" s="142">
        <f t="shared" si="22"/>
        <v>3.2261904761904762E-2</v>
      </c>
      <c r="Z37" s="142">
        <f t="shared" si="22"/>
        <v>5.5198412698412705E-2</v>
      </c>
      <c r="AA37" s="142">
        <f t="shared" si="22"/>
        <v>6.9007936507936532E-2</v>
      </c>
      <c r="AB37" s="142">
        <f t="shared" si="22"/>
        <v>7.071428571428573E-2</v>
      </c>
      <c r="AC37" s="142">
        <f t="shared" si="22"/>
        <v>3.1468253968253979E-2</v>
      </c>
      <c r="AD37" s="142">
        <f t="shared" si="22"/>
        <v>1.3422619047619056E-2</v>
      </c>
      <c r="AE37" s="142">
        <f t="shared" si="22"/>
        <v>7.1793650793650875E-3</v>
      </c>
      <c r="AF37" s="142">
        <f t="shared" si="22"/>
        <v>0</v>
      </c>
      <c r="AH37" s="158">
        <f t="shared" si="13"/>
        <v>3.8690476190476185E-2</v>
      </c>
      <c r="AI37" s="158">
        <f t="shared" si="14"/>
        <v>0.12400793650793648</v>
      </c>
      <c r="AJ37" s="158">
        <f t="shared" si="14"/>
        <v>0.25496031746031744</v>
      </c>
      <c r="AK37" s="158">
        <f t="shared" si="14"/>
        <v>0.4464285714285714</v>
      </c>
      <c r="AL37" s="158">
        <f t="shared" si="14"/>
        <v>0.58531746031746024</v>
      </c>
      <c r="AM37" s="158">
        <f t="shared" si="14"/>
        <v>0.68154761904761896</v>
      </c>
      <c r="AN37" s="158">
        <f t="shared" si="14"/>
        <v>0.81051587301587291</v>
      </c>
      <c r="AO37" s="158">
        <v>1</v>
      </c>
      <c r="AP37" s="143"/>
      <c r="AQ37" s="143">
        <f t="shared" si="5"/>
        <v>3.6436092874373664E-3</v>
      </c>
      <c r="AR37" s="143">
        <f t="shared" si="5"/>
        <v>4.3439460581916785E-2</v>
      </c>
      <c r="AS37" s="143">
        <f t="shared" si="5"/>
        <v>9.3364129206209873E-2</v>
      </c>
      <c r="AT37" s="143">
        <f t="shared" si="5"/>
        <v>0.16231532232609686</v>
      </c>
      <c r="AU37" s="143">
        <f t="shared" si="5"/>
        <v>0.13405599594381262</v>
      </c>
      <c r="AV37" s="143">
        <f t="shared" si="5"/>
        <v>0.10241448565776121</v>
      </c>
      <c r="AW37" s="143">
        <f t="shared" si="5"/>
        <v>0.15983424802175158</v>
      </c>
      <c r="AX37" s="143">
        <f t="shared" si="5"/>
        <v>0.30093274897501382</v>
      </c>
      <c r="AY37" s="46"/>
      <c r="AZ37" s="152">
        <f>Shares!D78</f>
        <v>3.9</v>
      </c>
      <c r="BA37" s="152">
        <f>Shares!E78</f>
        <v>8.6</v>
      </c>
      <c r="BB37" s="152">
        <f>Shares!F78</f>
        <v>13.2</v>
      </c>
      <c r="BC37" s="152">
        <f>Shares!G78</f>
        <v>19.3</v>
      </c>
      <c r="BD37" s="152">
        <f>Shares!J78</f>
        <v>14</v>
      </c>
      <c r="BE37" s="152">
        <f>Shares!K78</f>
        <v>9.6999999999999993</v>
      </c>
      <c r="BF37" s="152">
        <f>Shares!L78</f>
        <v>13</v>
      </c>
      <c r="BG37" s="152">
        <f>Shares!M78</f>
        <v>19.100000000000001</v>
      </c>
      <c r="BI37" s="246">
        <f>TxRt!B$53-TxRt!C$53+TxRt!C81</f>
        <v>2</v>
      </c>
      <c r="BJ37" s="246">
        <f>TxRt!B$96-TxRt!C$96+TxRt!C124</f>
        <v>10.700000000000001</v>
      </c>
      <c r="BK37" s="246">
        <f>TxRt!B$136-TxRt!C$136+TxRt!C164</f>
        <v>15</v>
      </c>
      <c r="BL37" s="246">
        <f>TxRt!B$176-TxRt!C$176+TxRt!C204</f>
        <v>17.8</v>
      </c>
      <c r="BM37" s="246">
        <f>TxRt!B$256-TxRt!C$256+TxRt!C284</f>
        <v>20.200000000000003</v>
      </c>
      <c r="BN37" s="246">
        <f>TxRt!B$296-TxRt!C$296+TxRt!C324</f>
        <v>22.299999999999997</v>
      </c>
      <c r="BO37" s="246">
        <f>TxRt!B$336-TxRt!C$336+TxRt!C364</f>
        <v>25.9</v>
      </c>
      <c r="BP37" s="246">
        <f>TxRt!B$376-TxRt!C$376+TxRt!C404</f>
        <v>32</v>
      </c>
      <c r="BQ37" s="46"/>
      <c r="BR37" s="60">
        <f>Inc!B78</f>
        <v>21600</v>
      </c>
      <c r="BS37" s="60">
        <f>Inc!B118</f>
        <v>45900</v>
      </c>
      <c r="BT37" s="60">
        <f>Inc!B158</f>
        <v>72200</v>
      </c>
      <c r="BU37" s="60">
        <f>Inc!B198</f>
        <v>106700</v>
      </c>
      <c r="BV37" s="60">
        <f>Inc!B278</f>
        <v>150700</v>
      </c>
      <c r="BW37" s="60">
        <f>Inc!B318</f>
        <v>205100</v>
      </c>
      <c r="BX37" s="60">
        <f>Inc!B358</f>
        <v>344500</v>
      </c>
      <c r="BY37" s="60">
        <f>Inc!B398</f>
        <v>2099900</v>
      </c>
      <c r="CA37" s="60">
        <f t="shared" si="6"/>
        <v>432</v>
      </c>
      <c r="CB37" s="60">
        <f t="shared" si="6"/>
        <v>4911.3</v>
      </c>
      <c r="CC37" s="60">
        <f t="shared" si="6"/>
        <v>10830</v>
      </c>
      <c r="CD37" s="60">
        <f t="shared" si="6"/>
        <v>18992.599999999999</v>
      </c>
      <c r="CE37" s="60">
        <f t="shared" si="6"/>
        <v>30441.400000000005</v>
      </c>
      <c r="CF37" s="60">
        <f t="shared" si="6"/>
        <v>45737.299999999988</v>
      </c>
      <c r="CG37" s="60">
        <f t="shared" si="6"/>
        <v>89225.5</v>
      </c>
      <c r="CH37" s="60">
        <f t="shared" si="6"/>
        <v>671968</v>
      </c>
      <c r="CJ37" s="153">
        <f t="shared" si="15"/>
        <v>9763.1999999999989</v>
      </c>
      <c r="CK37" s="153">
        <f t="shared" si="7"/>
        <v>116397.81</v>
      </c>
      <c r="CL37" s="153">
        <f t="shared" si="7"/>
        <v>250172.99999999997</v>
      </c>
      <c r="CM37" s="153">
        <f t="shared" si="7"/>
        <v>434930.53999999992</v>
      </c>
      <c r="CN37" s="153">
        <f t="shared" si="7"/>
        <v>359208.52000000008</v>
      </c>
      <c r="CO37" s="153">
        <f t="shared" si="7"/>
        <v>274423.79999999993</v>
      </c>
      <c r="CP37" s="153">
        <f t="shared" si="7"/>
        <v>428282.39999999997</v>
      </c>
      <c r="CQ37" s="153">
        <f t="shared" si="7"/>
        <v>806361.59999999998</v>
      </c>
      <c r="CR37" s="153">
        <f t="shared" si="16"/>
        <v>2679540.8699999996</v>
      </c>
      <c r="CT37" s="403">
        <v>292.89999999999998</v>
      </c>
      <c r="CU37" s="276">
        <f>Dem!B78+(DD37/4)</f>
        <v>22.599999999999998</v>
      </c>
      <c r="CV37" s="276">
        <f>Dem!B118+(DD37/4)</f>
        <v>23.7</v>
      </c>
      <c r="CW37" s="276">
        <f>Dem!B158+(DD37/4)</f>
        <v>23.099999999999998</v>
      </c>
      <c r="CX37" s="276">
        <f>Dem!B198+(DD37/4)</f>
        <v>22.9</v>
      </c>
      <c r="CY37" s="276">
        <f>Dem!B278</f>
        <v>11.8</v>
      </c>
      <c r="CZ37" s="276">
        <f>Dem!B318</f>
        <v>6</v>
      </c>
      <c r="DA37" s="276">
        <f>Dem!B358</f>
        <v>4.8</v>
      </c>
      <c r="DB37" s="276">
        <f>Dem!B398</f>
        <v>1.2</v>
      </c>
      <c r="DC37" s="275">
        <v>116.9</v>
      </c>
      <c r="DD37" s="46">
        <v>-0.40000000000000568</v>
      </c>
      <c r="DE37" s="275"/>
      <c r="DF37" s="276">
        <f>Dem!$D78+(DO37/4)</f>
        <v>56.974999999999994</v>
      </c>
      <c r="DG37" s="276">
        <f>Dem!$D118+(DO37/4)</f>
        <v>58.274999999999999</v>
      </c>
      <c r="DH37" s="276">
        <f>Dem!$D158+(DO37/4)</f>
        <v>58.274999999999999</v>
      </c>
      <c r="DI37" s="276">
        <f>Dem!$D198+(DO37/4)</f>
        <v>58.274999999999999</v>
      </c>
      <c r="DJ37" s="275">
        <f>Dem!$D278</f>
        <v>29.3</v>
      </c>
      <c r="DK37" s="275">
        <f>Dem!$D318</f>
        <v>14.6</v>
      </c>
      <c r="DL37" s="275">
        <f>Dem!$D358</f>
        <v>11.7</v>
      </c>
      <c r="DM37" s="275">
        <f>Dem!$D398</f>
        <v>2.9</v>
      </c>
      <c r="DN37" s="276">
        <f t="shared" si="17"/>
        <v>292.89999999999998</v>
      </c>
      <c r="DO37" s="44">
        <v>-1.3000000000000114</v>
      </c>
    </row>
    <row r="38" spans="1:119">
      <c r="A38" s="46">
        <f t="shared" si="18"/>
        <v>2008</v>
      </c>
      <c r="B38" s="141">
        <f t="shared" si="8"/>
        <v>0.23721086066036168</v>
      </c>
      <c r="C38" s="46"/>
      <c r="D38" s="164">
        <f>SUM(G38:N38)*2</f>
        <v>0.77052153259712075</v>
      </c>
      <c r="E38" s="164">
        <f t="shared" si="10"/>
        <v>0.53331067193675907</v>
      </c>
      <c r="F38" s="37"/>
      <c r="G38" s="165">
        <f>(P$5-P38)*P$4</f>
        <v>4.0869367984907229E-2</v>
      </c>
      <c r="H38" s="165">
        <f t="shared" si="11"/>
        <v>7.3284551317726543E-2</v>
      </c>
      <c r="I38" s="165">
        <f t="shared" si="11"/>
        <v>9.4655871509852441E-2</v>
      </c>
      <c r="J38" s="165">
        <f t="shared" si="11"/>
        <v>0.10042161175183842</v>
      </c>
      <c r="K38" s="165">
        <f t="shared" si="11"/>
        <v>4.5823922029760204E-2</v>
      </c>
      <c r="L38" s="165">
        <f t="shared" si="11"/>
        <v>1.9714057277492321E-2</v>
      </c>
      <c r="M38" s="165">
        <f t="shared" si="11"/>
        <v>1.0491384426983231E-2</v>
      </c>
      <c r="N38" s="165">
        <f t="shared" si="11"/>
        <v>0</v>
      </c>
      <c r="O38" s="37"/>
      <c r="P38" s="154">
        <f t="shared" si="19"/>
        <v>-4.3468399245361463E-3</v>
      </c>
      <c r="Q38" s="154">
        <f t="shared" si="20"/>
        <v>3.3577243411367315E-2</v>
      </c>
      <c r="R38" s="154">
        <f t="shared" si="20"/>
        <v>0.12672064245073794</v>
      </c>
      <c r="S38" s="154">
        <f t="shared" si="20"/>
        <v>0.29789194124080798</v>
      </c>
      <c r="T38" s="154">
        <f t="shared" si="20"/>
        <v>0.44176077970239802</v>
      </c>
      <c r="U38" s="154">
        <f t="shared" si="20"/>
        <v>0.55571885445015368</v>
      </c>
      <c r="V38" s="154">
        <f t="shared" si="20"/>
        <v>0.72771538932541935</v>
      </c>
      <c r="W38" s="162">
        <f t="shared" si="21"/>
        <v>1</v>
      </c>
      <c r="X38" s="154"/>
      <c r="Y38" s="142">
        <f t="shared" si="22"/>
        <v>3.2094861660079056E-2</v>
      </c>
      <c r="Z38" s="142">
        <f t="shared" si="22"/>
        <v>5.4308300395256928E-2</v>
      </c>
      <c r="AA38" s="142">
        <f t="shared" si="22"/>
        <v>6.6837944664031645E-2</v>
      </c>
      <c r="AB38" s="142">
        <f t="shared" si="22"/>
        <v>6.6521739130434812E-2</v>
      </c>
      <c r="AC38" s="142">
        <f t="shared" si="22"/>
        <v>2.8833992094861673E-2</v>
      </c>
      <c r="AD38" s="142">
        <f t="shared" si="22"/>
        <v>1.1976284584980247E-2</v>
      </c>
      <c r="AE38" s="142">
        <f t="shared" si="22"/>
        <v>6.0822134387351892E-3</v>
      </c>
      <c r="AF38" s="142">
        <f t="shared" si="22"/>
        <v>0</v>
      </c>
      <c r="AH38" s="158">
        <f t="shared" si="13"/>
        <v>3.9525691699604737E-2</v>
      </c>
      <c r="AI38" s="158">
        <f t="shared" si="14"/>
        <v>0.1284584980237154</v>
      </c>
      <c r="AJ38" s="158">
        <f t="shared" si="14"/>
        <v>0.26581027667984186</v>
      </c>
      <c r="AK38" s="158">
        <f t="shared" si="14"/>
        <v>0.467391304347826</v>
      </c>
      <c r="AL38" s="158">
        <f t="shared" si="14"/>
        <v>0.61166007905138331</v>
      </c>
      <c r="AM38" s="158">
        <f t="shared" si="14"/>
        <v>0.71047430830039515</v>
      </c>
      <c r="AN38" s="158">
        <f t="shared" si="14"/>
        <v>0.83794466403162038</v>
      </c>
      <c r="AO38" s="158">
        <v>1</v>
      </c>
      <c r="AP38" s="143"/>
      <c r="AQ38" s="143">
        <f t="shared" si="5"/>
        <v>-4.3468399245361463E-3</v>
      </c>
      <c r="AR38" s="143">
        <f t="shared" si="5"/>
        <v>3.7924083335903462E-2</v>
      </c>
      <c r="AS38" s="143">
        <f t="shared" si="5"/>
        <v>9.314339903937062E-2</v>
      </c>
      <c r="AT38" s="143">
        <f t="shared" si="5"/>
        <v>0.17117129879007004</v>
      </c>
      <c r="AU38" s="143">
        <f t="shared" si="5"/>
        <v>0.14386883846159002</v>
      </c>
      <c r="AV38" s="143">
        <f t="shared" si="5"/>
        <v>0.11395807474775566</v>
      </c>
      <c r="AW38" s="143">
        <f t="shared" si="5"/>
        <v>0.17199653487526564</v>
      </c>
      <c r="AX38" s="143">
        <f t="shared" si="5"/>
        <v>0.2722846106745806</v>
      </c>
      <c r="AY38" s="46"/>
      <c r="AZ38" s="152">
        <f>Shares!D79</f>
        <v>4</v>
      </c>
      <c r="BA38" s="152">
        <f>Shares!E79</f>
        <v>9</v>
      </c>
      <c r="BB38" s="152">
        <f>Shares!F79</f>
        <v>13.9</v>
      </c>
      <c r="BC38" s="152">
        <f>Shares!G79</f>
        <v>20.399999999999999</v>
      </c>
      <c r="BD38" s="152">
        <f>Shares!J79</f>
        <v>14.6</v>
      </c>
      <c r="BE38" s="152">
        <f>Shares!K79</f>
        <v>10</v>
      </c>
      <c r="BF38" s="152">
        <f>Shares!L79</f>
        <v>12.9</v>
      </c>
      <c r="BG38" s="152">
        <f>Shares!M79</f>
        <v>16.399999999999999</v>
      </c>
      <c r="BI38" s="246">
        <f>TxRt!B$53-TxRt!C$53+TxRt!C82</f>
        <v>-2.0999999999999996</v>
      </c>
      <c r="BJ38" s="246">
        <f>TxRt!B$96-TxRt!C$96+TxRt!C125</f>
        <v>8.1999999999999993</v>
      </c>
      <c r="BK38" s="246">
        <f>TxRt!B$136-TxRt!C$136+TxRt!C165</f>
        <v>13.100000000000001</v>
      </c>
      <c r="BL38" s="246">
        <f>TxRt!B$176-TxRt!C$176+TxRt!C205</f>
        <v>16.399999999999999</v>
      </c>
      <c r="BM38" s="246">
        <f>TxRt!B$256-TxRt!C$256+TxRt!C285</f>
        <v>19.200000000000003</v>
      </c>
      <c r="BN38" s="246">
        <f>TxRt!B$296-TxRt!C$296+TxRt!C325</f>
        <v>21.9</v>
      </c>
      <c r="BO38" s="246">
        <f>TxRt!B$336-TxRt!C$336+TxRt!C365</f>
        <v>25.700000000000003</v>
      </c>
      <c r="BP38" s="246">
        <f>TxRt!B$376-TxRt!C$376+TxRt!C405</f>
        <v>33</v>
      </c>
      <c r="BQ38" s="46"/>
      <c r="BR38" s="60">
        <f>Inc!B79</f>
        <v>21200</v>
      </c>
      <c r="BS38" s="60">
        <f>Inc!B119</f>
        <v>44200</v>
      </c>
      <c r="BT38" s="60">
        <f>Inc!B159</f>
        <v>70000</v>
      </c>
      <c r="BU38" s="60">
        <f>Inc!B199</f>
        <v>104100</v>
      </c>
      <c r="BV38" s="60">
        <f>Inc!B279</f>
        <v>147700</v>
      </c>
      <c r="BW38" s="60">
        <f>Inc!B319</f>
        <v>198300</v>
      </c>
      <c r="BX38" s="60">
        <f>Inc!B359</f>
        <v>318800</v>
      </c>
      <c r="BY38" s="60">
        <f>Inc!B399</f>
        <v>1715100</v>
      </c>
      <c r="CA38" s="60">
        <f t="shared" si="6"/>
        <v>-445.19999999999993</v>
      </c>
      <c r="CB38" s="60">
        <f t="shared" si="6"/>
        <v>3624.3999999999996</v>
      </c>
      <c r="CC38" s="60">
        <f t="shared" si="6"/>
        <v>9170.0000000000018</v>
      </c>
      <c r="CD38" s="60">
        <f t="shared" si="6"/>
        <v>17072.399999999998</v>
      </c>
      <c r="CE38" s="60">
        <f t="shared" si="6"/>
        <v>28358.400000000005</v>
      </c>
      <c r="CF38" s="60">
        <f t="shared" si="6"/>
        <v>43427.7</v>
      </c>
      <c r="CG38" s="60">
        <f t="shared" si="6"/>
        <v>81931.600000000006</v>
      </c>
      <c r="CH38" s="60">
        <f t="shared" si="6"/>
        <v>565983</v>
      </c>
      <c r="CJ38" s="153">
        <f t="shared" si="15"/>
        <v>-9939.0899999999965</v>
      </c>
      <c r="CK38" s="153">
        <f t="shared" si="7"/>
        <v>86713.769999999975</v>
      </c>
      <c r="CL38" s="153">
        <f t="shared" si="7"/>
        <v>212973.25</v>
      </c>
      <c r="CM38" s="153">
        <f t="shared" si="7"/>
        <v>391384.7699999999</v>
      </c>
      <c r="CN38" s="153">
        <f t="shared" si="7"/>
        <v>328957.44000000006</v>
      </c>
      <c r="CO38" s="153">
        <f t="shared" si="7"/>
        <v>260566.19999999998</v>
      </c>
      <c r="CP38" s="153">
        <f t="shared" si="7"/>
        <v>393271.68</v>
      </c>
      <c r="CQ38" s="153">
        <f t="shared" si="7"/>
        <v>622581.30000000005</v>
      </c>
      <c r="CR38" s="153">
        <f t="shared" si="16"/>
        <v>2286509.3200000003</v>
      </c>
      <c r="CT38" s="403">
        <v>295.10000000000002</v>
      </c>
      <c r="CU38" s="276">
        <f>Dem!B79+(DD38/4)</f>
        <v>22.324999999999996</v>
      </c>
      <c r="CV38" s="276">
        <f>Dem!B119+(DD38/4)</f>
        <v>23.924999999999997</v>
      </c>
      <c r="CW38" s="276">
        <f>Dem!B159+(DD38/4)</f>
        <v>23.224999999999994</v>
      </c>
      <c r="CX38" s="276">
        <f>Dem!B199+(DD38/4)</f>
        <v>22.924999999999997</v>
      </c>
      <c r="CY38" s="276">
        <f>Dem!B279</f>
        <v>11.6</v>
      </c>
      <c r="CZ38" s="276">
        <f>Dem!B319</f>
        <v>6</v>
      </c>
      <c r="DA38" s="276">
        <f>Dem!B359</f>
        <v>4.8</v>
      </c>
      <c r="DB38" s="276">
        <f>Dem!B399</f>
        <v>1.1000000000000001</v>
      </c>
      <c r="DC38" s="275">
        <v>117.3</v>
      </c>
      <c r="DD38" s="46">
        <v>-0.70000000000001705</v>
      </c>
      <c r="DE38" s="275"/>
      <c r="DF38" s="276">
        <f>Dem!$D79+(DO38/4)</f>
        <v>57.125</v>
      </c>
      <c r="DG38" s="276">
        <f>Dem!$D119+(DO38/4)</f>
        <v>58.625</v>
      </c>
      <c r="DH38" s="276">
        <f>Dem!$D159+(DO38/4)</f>
        <v>58.625</v>
      </c>
      <c r="DI38" s="276">
        <f>Dem!$D199+(DO38/4)</f>
        <v>58.625</v>
      </c>
      <c r="DJ38" s="275">
        <f>Dem!$D279</f>
        <v>29.5</v>
      </c>
      <c r="DK38" s="275">
        <f>Dem!$D319</f>
        <v>14.8</v>
      </c>
      <c r="DL38" s="275">
        <f>Dem!$D359</f>
        <v>11.8</v>
      </c>
      <c r="DM38" s="275">
        <f>Dem!$D399</f>
        <v>3</v>
      </c>
      <c r="DN38" s="276">
        <f t="shared" si="17"/>
        <v>295.10000000000002</v>
      </c>
      <c r="DO38" s="44">
        <v>-1.5</v>
      </c>
    </row>
    <row r="39" spans="1:119">
      <c r="A39" s="46">
        <f t="shared" si="18"/>
        <v>2009</v>
      </c>
      <c r="B39" s="141">
        <f t="shared" si="8"/>
        <v>0.23543442005715931</v>
      </c>
      <c r="C39" s="46"/>
      <c r="D39" s="164">
        <f t="shared" si="9"/>
        <v>0.74762456784041076</v>
      </c>
      <c r="E39" s="164">
        <f t="shared" si="10"/>
        <v>0.51219014778325145</v>
      </c>
      <c r="F39" s="37"/>
      <c r="G39" s="165">
        <f t="shared" si="11"/>
        <v>4.1370554682542054E-2</v>
      </c>
      <c r="H39" s="165">
        <f t="shared" si="11"/>
        <v>7.3365299278528209E-2</v>
      </c>
      <c r="I39" s="165">
        <f t="shared" si="11"/>
        <v>9.3236281249957004E-2</v>
      </c>
      <c r="J39" s="165">
        <f t="shared" si="11"/>
        <v>9.6313384222197429E-2</v>
      </c>
      <c r="K39" s="165">
        <f t="shared" si="11"/>
        <v>4.2589818963197995E-2</v>
      </c>
      <c r="L39" s="165">
        <f t="shared" si="11"/>
        <v>1.788810893461833E-2</v>
      </c>
      <c r="M39" s="165">
        <f t="shared" si="11"/>
        <v>9.048836589164333E-3</v>
      </c>
      <c r="N39" s="165">
        <f t="shared" si="11"/>
        <v>0</v>
      </c>
      <c r="O39" s="37"/>
      <c r="P39" s="154">
        <f t="shared" si="19"/>
        <v>-6.8527734127102578E-3</v>
      </c>
      <c r="Q39" s="154">
        <f t="shared" si="20"/>
        <v>3.3173503607358976E-2</v>
      </c>
      <c r="R39" s="154">
        <f t="shared" si="20"/>
        <v>0.13381859375021507</v>
      </c>
      <c r="S39" s="154">
        <f t="shared" si="20"/>
        <v>0.31843307888901295</v>
      </c>
      <c r="T39" s="154">
        <f t="shared" si="20"/>
        <v>0.47410181036802007</v>
      </c>
      <c r="U39" s="154">
        <f t="shared" si="20"/>
        <v>0.59223782130763347</v>
      </c>
      <c r="V39" s="154">
        <f t="shared" si="20"/>
        <v>0.76377908527089178</v>
      </c>
      <c r="W39" s="162">
        <f t="shared" si="21"/>
        <v>1</v>
      </c>
      <c r="X39" s="154"/>
      <c r="Y39" s="142">
        <f t="shared" si="22"/>
        <v>3.2315270935960594E-2</v>
      </c>
      <c r="Z39" s="142">
        <f t="shared" si="22"/>
        <v>5.379310344827587E-2</v>
      </c>
      <c r="AA39" s="142">
        <f t="shared" si="22"/>
        <v>6.522167487684731E-2</v>
      </c>
      <c r="AB39" s="142">
        <f t="shared" si="22"/>
        <v>6.2857142857142875E-2</v>
      </c>
      <c r="AC39" s="142">
        <f t="shared" si="22"/>
        <v>2.6354679802955673E-2</v>
      </c>
      <c r="AD39" s="142">
        <f t="shared" si="22"/>
        <v>1.0554187192118231E-2</v>
      </c>
      <c r="AE39" s="142">
        <f t="shared" si="22"/>
        <v>4.9990147783251261E-3</v>
      </c>
      <c r="AF39" s="142">
        <f t="shared" si="22"/>
        <v>0</v>
      </c>
      <c r="AH39" s="158">
        <f t="shared" si="13"/>
        <v>3.8423645320197042E-2</v>
      </c>
      <c r="AI39" s="158">
        <f t="shared" si="14"/>
        <v>0.13103448275862067</v>
      </c>
      <c r="AJ39" s="158">
        <f t="shared" si="14"/>
        <v>0.27389162561576352</v>
      </c>
      <c r="AK39" s="158">
        <f t="shared" si="14"/>
        <v>0.48571428571428565</v>
      </c>
      <c r="AL39" s="158">
        <f t="shared" si="14"/>
        <v>0.63645320197044331</v>
      </c>
      <c r="AM39" s="158">
        <f t="shared" si="14"/>
        <v>0.73891625615763545</v>
      </c>
      <c r="AN39" s="158">
        <f t="shared" si="14"/>
        <v>0.86502463054187195</v>
      </c>
      <c r="AO39" s="158">
        <v>1</v>
      </c>
      <c r="AP39" s="143"/>
      <c r="AQ39" s="143">
        <f t="shared" si="5"/>
        <v>-6.8527734127102578E-3</v>
      </c>
      <c r="AR39" s="143">
        <f t="shared" si="5"/>
        <v>4.002627702006923E-2</v>
      </c>
      <c r="AS39" s="143">
        <f t="shared" si="5"/>
        <v>0.10064509014285609</v>
      </c>
      <c r="AT39" s="143">
        <f t="shared" si="5"/>
        <v>0.18461448513879788</v>
      </c>
      <c r="AU39" s="143">
        <f t="shared" si="5"/>
        <v>0.15566873147900712</v>
      </c>
      <c r="AV39" s="143">
        <f t="shared" si="5"/>
        <v>0.11813601093961343</v>
      </c>
      <c r="AW39" s="143">
        <f t="shared" si="5"/>
        <v>0.17154126396325828</v>
      </c>
      <c r="AX39" s="143">
        <f t="shared" si="5"/>
        <v>0.23622091472910822</v>
      </c>
      <c r="AY39" s="46"/>
      <c r="AZ39" s="152">
        <f>Shares!D80</f>
        <v>3.9</v>
      </c>
      <c r="BA39" s="152">
        <f>Shares!E80</f>
        <v>9.4</v>
      </c>
      <c r="BB39" s="152">
        <f>Shares!F80</f>
        <v>14.5</v>
      </c>
      <c r="BC39" s="152">
        <f>Shares!G80</f>
        <v>21.5</v>
      </c>
      <c r="BD39" s="152">
        <f>Shares!J80</f>
        <v>15.3</v>
      </c>
      <c r="BE39" s="152">
        <f>Shares!K80</f>
        <v>10.4</v>
      </c>
      <c r="BF39" s="152">
        <f>Shares!L80</f>
        <v>12.8</v>
      </c>
      <c r="BG39" s="152">
        <f>Shares!M80</f>
        <v>13.7</v>
      </c>
      <c r="BI39" s="246">
        <f>TxRt!B$53-TxRt!C$53+TxRt!C83</f>
        <v>-3.3000000000000007</v>
      </c>
      <c r="BJ39" s="246">
        <f>TxRt!B$96-TxRt!C$96+TxRt!C126</f>
        <v>8.1000000000000014</v>
      </c>
      <c r="BK39" s="246">
        <f>TxRt!B$136-TxRt!C$136+TxRt!C166</f>
        <v>13.100000000000001</v>
      </c>
      <c r="BL39" s="246">
        <f>TxRt!B$176-TxRt!C$176+TxRt!C206</f>
        <v>16.3</v>
      </c>
      <c r="BM39" s="246">
        <f>TxRt!B$256-TxRt!C$256+TxRt!C286</f>
        <v>19</v>
      </c>
      <c r="BN39" s="246">
        <f>TxRt!B$296-TxRt!C$296+TxRt!C326</f>
        <v>21.4</v>
      </c>
      <c r="BO39" s="246">
        <f>TxRt!B$336-TxRt!C$336+TxRt!C366</f>
        <v>25</v>
      </c>
      <c r="BP39" s="246">
        <f>TxRt!B$376-TxRt!C$376+TxRt!C406</f>
        <v>33.6</v>
      </c>
      <c r="BQ39" s="46"/>
      <c r="BR39" s="60">
        <f>Inc!B80</f>
        <v>20300</v>
      </c>
      <c r="BS39" s="60">
        <f>Inc!B120</f>
        <v>42900</v>
      </c>
      <c r="BT39" s="60">
        <f>Inc!B160</f>
        <v>68400</v>
      </c>
      <c r="BU39" s="60">
        <f>Inc!B200</f>
        <v>101700</v>
      </c>
      <c r="BV39" s="60">
        <f>Inc!B280</f>
        <v>144200</v>
      </c>
      <c r="BW39" s="60">
        <f>Inc!B320</f>
        <v>192700</v>
      </c>
      <c r="BX39" s="60">
        <f>Inc!B360</f>
        <v>299400</v>
      </c>
      <c r="BY39" s="60">
        <f>Inc!B400</f>
        <v>1338600</v>
      </c>
      <c r="CA39" s="60">
        <f t="shared" si="6"/>
        <v>-669.90000000000009</v>
      </c>
      <c r="CB39" s="60">
        <f t="shared" si="6"/>
        <v>3474.9000000000005</v>
      </c>
      <c r="CC39" s="60">
        <f t="shared" si="6"/>
        <v>8960.4000000000015</v>
      </c>
      <c r="CD39" s="60">
        <f t="shared" si="6"/>
        <v>16577.099999999999</v>
      </c>
      <c r="CE39" s="60">
        <f t="shared" si="6"/>
        <v>27398</v>
      </c>
      <c r="CF39" s="60">
        <f t="shared" si="6"/>
        <v>41237.799999999996</v>
      </c>
      <c r="CG39" s="60">
        <f t="shared" si="6"/>
        <v>74850</v>
      </c>
      <c r="CH39" s="60">
        <f t="shared" si="6"/>
        <v>449769.6</v>
      </c>
      <c r="CJ39" s="153">
        <f t="shared" si="15"/>
        <v>-14352.607500000006</v>
      </c>
      <c r="CK39" s="153">
        <f t="shared" si="7"/>
        <v>83831.962500000023</v>
      </c>
      <c r="CL39" s="153">
        <f t="shared" si="7"/>
        <v>210793.41000000006</v>
      </c>
      <c r="CM39" s="153">
        <f t="shared" si="7"/>
        <v>386660.85750000004</v>
      </c>
      <c r="CN39" s="153">
        <f t="shared" si="7"/>
        <v>326036.2</v>
      </c>
      <c r="CO39" s="153">
        <f t="shared" si="7"/>
        <v>247426.8</v>
      </c>
      <c r="CP39" s="153">
        <f t="shared" si="7"/>
        <v>359280</v>
      </c>
      <c r="CQ39" s="153">
        <f t="shared" si="7"/>
        <v>494746.56</v>
      </c>
      <c r="CR39" s="153">
        <f t="shared" si="16"/>
        <v>2094423.1825000001</v>
      </c>
      <c r="CT39" s="403">
        <v>298</v>
      </c>
      <c r="CU39" s="276">
        <f>Dem!B80+(DD39/4)</f>
        <v>21.425000000000004</v>
      </c>
      <c r="CV39" s="276">
        <f>Dem!B120+(DD39/4)</f>
        <v>24.125000000000004</v>
      </c>
      <c r="CW39" s="276">
        <f>Dem!B160+(DD39/4)</f>
        <v>23.525000000000002</v>
      </c>
      <c r="CX39" s="276">
        <f>Dem!B200+(DD39/4)</f>
        <v>23.325000000000003</v>
      </c>
      <c r="CY39" s="276">
        <f>Dem!B280</f>
        <v>11.9</v>
      </c>
      <c r="CZ39" s="276">
        <f>Dem!B320</f>
        <v>6</v>
      </c>
      <c r="DA39" s="276">
        <f>Dem!B360</f>
        <v>4.8</v>
      </c>
      <c r="DB39" s="276">
        <f>Dem!B400</f>
        <v>1.1000000000000001</v>
      </c>
      <c r="DC39" s="275">
        <v>117.6</v>
      </c>
      <c r="DD39" s="46">
        <v>-0.69999999999998863</v>
      </c>
      <c r="DE39" s="275"/>
      <c r="DF39" s="276">
        <f>Dem!$D80+(DO39/4)</f>
        <v>57.474999999999987</v>
      </c>
      <c r="DG39" s="276">
        <f>Dem!$D120+(DO39/4)</f>
        <v>59.17499999999999</v>
      </c>
      <c r="DH39" s="276">
        <f>Dem!$D160+(DO39/4)</f>
        <v>59.17499999999999</v>
      </c>
      <c r="DI39" s="276">
        <f>Dem!$D200+(DO39/4)</f>
        <v>59.17499999999999</v>
      </c>
      <c r="DJ39" s="275">
        <f>Dem!$D280</f>
        <v>29.8</v>
      </c>
      <c r="DK39" s="275">
        <f>Dem!$D320</f>
        <v>14.9</v>
      </c>
      <c r="DL39" s="275">
        <f>Dem!$D360</f>
        <v>11.9</v>
      </c>
      <c r="DM39" s="275">
        <f>Dem!$D400</f>
        <v>3</v>
      </c>
      <c r="DN39" s="276">
        <f t="shared" si="17"/>
        <v>298</v>
      </c>
      <c r="DO39" s="44">
        <v>-1.7000000000000455</v>
      </c>
    </row>
    <row r="40" spans="1:119">
      <c r="A40" s="46">
        <f t="shared" si="18"/>
        <v>2010</v>
      </c>
      <c r="B40" s="141">
        <f t="shared" si="8"/>
        <v>0.23719889677674943</v>
      </c>
      <c r="C40" s="46"/>
      <c r="D40" s="141">
        <f t="shared" si="9"/>
        <v>0.76489002103710468</v>
      </c>
      <c r="E40" s="141">
        <f t="shared" si="10"/>
        <v>0.52769112426035525</v>
      </c>
      <c r="F40" s="46"/>
      <c r="G40" s="157">
        <f t="shared" si="11"/>
        <v>4.1357187753198257E-2</v>
      </c>
      <c r="H40" s="157">
        <f t="shared" si="11"/>
        <v>7.3675172027639554E-2</v>
      </c>
      <c r="I40" s="157">
        <f t="shared" si="11"/>
        <v>9.4306358467490498E-2</v>
      </c>
      <c r="J40" s="157">
        <f t="shared" si="11"/>
        <v>9.9032562776883021E-2</v>
      </c>
      <c r="K40" s="157">
        <f t="shared" si="11"/>
        <v>4.4682141151900223E-2</v>
      </c>
      <c r="L40" s="157">
        <f t="shared" si="11"/>
        <v>1.9139183239870208E-2</v>
      </c>
      <c r="M40" s="157">
        <f t="shared" si="11"/>
        <v>1.0252405101570586E-2</v>
      </c>
      <c r="N40" s="157">
        <f t="shared" si="11"/>
        <v>0</v>
      </c>
      <c r="O40" s="46"/>
      <c r="P40" s="154">
        <f t="shared" si="19"/>
        <v>-6.7859387659912583E-3</v>
      </c>
      <c r="Q40" s="154">
        <f t="shared" si="20"/>
        <v>3.1624139861802292E-2</v>
      </c>
      <c r="R40" s="154">
        <f t="shared" si="20"/>
        <v>0.12846820766254763</v>
      </c>
      <c r="S40" s="154">
        <f t="shared" si="20"/>
        <v>0.30483718611558497</v>
      </c>
      <c r="T40" s="154">
        <f t="shared" si="20"/>
        <v>0.45317858848099785</v>
      </c>
      <c r="U40" s="154">
        <f t="shared" si="20"/>
        <v>0.56721633520259596</v>
      </c>
      <c r="V40" s="154">
        <f t="shared" si="20"/>
        <v>0.73368987246073547</v>
      </c>
      <c r="W40" s="162">
        <f t="shared" si="21"/>
        <v>1</v>
      </c>
      <c r="X40" s="154"/>
      <c r="Y40" s="142">
        <f t="shared" si="22"/>
        <v>3.2504930966469434E-2</v>
      </c>
      <c r="Z40" s="142">
        <f t="shared" si="22"/>
        <v>5.4556213017751487E-2</v>
      </c>
      <c r="AA40" s="142">
        <f t="shared" si="22"/>
        <v>6.6548323471400425E-2</v>
      </c>
      <c r="AB40" s="142">
        <f t="shared" si="22"/>
        <v>6.5325443786982268E-2</v>
      </c>
      <c r="AC40" s="142">
        <f t="shared" si="22"/>
        <v>2.786982248520711E-2</v>
      </c>
      <c r="AD40" s="142">
        <f t="shared" si="22"/>
        <v>1.1405325443786991E-2</v>
      </c>
      <c r="AE40" s="142">
        <f t="shared" si="22"/>
        <v>5.6355029585798896E-3</v>
      </c>
      <c r="AF40" s="142">
        <f t="shared" si="22"/>
        <v>0</v>
      </c>
      <c r="AH40" s="158">
        <f t="shared" si="13"/>
        <v>3.7475345167652857E-2</v>
      </c>
      <c r="AI40" s="158">
        <f t="shared" si="14"/>
        <v>0.12721893491124259</v>
      </c>
      <c r="AJ40" s="158">
        <f t="shared" si="14"/>
        <v>0.267258382642998</v>
      </c>
      <c r="AK40" s="158">
        <f t="shared" si="14"/>
        <v>0.47337278106508873</v>
      </c>
      <c r="AL40" s="158">
        <f t="shared" si="14"/>
        <v>0.62130177514792895</v>
      </c>
      <c r="AM40" s="158">
        <f t="shared" si="14"/>
        <v>0.72189349112426027</v>
      </c>
      <c r="AN40" s="158">
        <f t="shared" si="14"/>
        <v>0.84911242603550285</v>
      </c>
      <c r="AO40" s="158">
        <v>1</v>
      </c>
      <c r="AP40" s="143"/>
      <c r="AQ40" s="143">
        <f t="shared" si="5"/>
        <v>-6.7859387659912574E-3</v>
      </c>
      <c r="AR40" s="143">
        <f t="shared" si="5"/>
        <v>3.8410078627793547E-2</v>
      </c>
      <c r="AS40" s="143">
        <f t="shared" si="5"/>
        <v>9.6844067800745323E-2</v>
      </c>
      <c r="AT40" s="143">
        <f t="shared" si="5"/>
        <v>0.17636897845303731</v>
      </c>
      <c r="AU40" s="143">
        <f t="shared" si="5"/>
        <v>0.14834140236541285</v>
      </c>
      <c r="AV40" s="143">
        <f t="shared" si="5"/>
        <v>0.11403774672159811</v>
      </c>
      <c r="AW40" s="143">
        <f t="shared" si="5"/>
        <v>0.16647353725813954</v>
      </c>
      <c r="AX40" s="143">
        <f t="shared" si="5"/>
        <v>0.26631012753926453</v>
      </c>
      <c r="AY40" s="46"/>
      <c r="AZ40" s="152">
        <f>Shares!D81</f>
        <v>3.8</v>
      </c>
      <c r="BA40" s="152">
        <f>Shares!E81</f>
        <v>9.1</v>
      </c>
      <c r="BB40" s="152">
        <f>Shares!F81</f>
        <v>14.2</v>
      </c>
      <c r="BC40" s="152">
        <f>Shares!G81</f>
        <v>20.9</v>
      </c>
      <c r="BD40" s="152">
        <f>Shares!J81</f>
        <v>15</v>
      </c>
      <c r="BE40" s="152">
        <f>Shares!K81</f>
        <v>10.199999999999999</v>
      </c>
      <c r="BF40" s="152">
        <f>Shares!L81</f>
        <v>12.9</v>
      </c>
      <c r="BG40" s="152">
        <f>Shares!M81</f>
        <v>15.3</v>
      </c>
      <c r="BI40" s="246">
        <f>TxRt!B$53-TxRt!C$53+TxRt!C84</f>
        <v>-3.5</v>
      </c>
      <c r="BJ40" s="246">
        <f>TxRt!B$96-TxRt!C$96+TxRt!C127</f>
        <v>8.3000000000000007</v>
      </c>
      <c r="BK40" s="246">
        <f>TxRt!B$136-TxRt!C$136+TxRt!C167</f>
        <v>13.4</v>
      </c>
      <c r="BL40" s="246">
        <f>TxRt!B$176-TxRt!C$176+TxRt!C207</f>
        <v>16.600000000000001</v>
      </c>
      <c r="BM40" s="246">
        <f>TxRt!B$256-TxRt!C$256+TxRt!C287</f>
        <v>19.399999999999999</v>
      </c>
      <c r="BN40" s="246">
        <f>TxRt!B$296-TxRt!C$296+TxRt!C327</f>
        <v>21.799999999999997</v>
      </c>
      <c r="BO40" s="246">
        <f>TxRt!B$336-TxRt!C$336+TxRt!C367</f>
        <v>25.5</v>
      </c>
      <c r="BP40" s="246">
        <f>TxRt!B$376-TxRt!C$376+TxRt!C407</f>
        <v>32.700000000000003</v>
      </c>
      <c r="BQ40" s="46"/>
      <c r="BR40" s="60">
        <f>Inc!B81</f>
        <v>19800</v>
      </c>
      <c r="BS40" s="60">
        <f>Inc!B121</f>
        <v>42300</v>
      </c>
      <c r="BT40" s="60">
        <f>Inc!B161</f>
        <v>67700</v>
      </c>
      <c r="BU40" s="60">
        <f>Inc!B201</f>
        <v>101200</v>
      </c>
      <c r="BV40" s="60">
        <f>Inc!B281</f>
        <v>144300</v>
      </c>
      <c r="BW40" s="60">
        <f>Inc!B321</f>
        <v>194200</v>
      </c>
      <c r="BX40" s="60">
        <f>Inc!B361</f>
        <v>308000</v>
      </c>
      <c r="BY40" s="60">
        <f>Inc!B401</f>
        <v>1536900</v>
      </c>
      <c r="CA40" s="60">
        <f t="shared" si="6"/>
        <v>-693</v>
      </c>
      <c r="CB40" s="60">
        <f t="shared" si="6"/>
        <v>3510.9000000000005</v>
      </c>
      <c r="CC40" s="60">
        <f t="shared" si="6"/>
        <v>9071.7999999999993</v>
      </c>
      <c r="CD40" s="60">
        <f t="shared" si="6"/>
        <v>16799.2</v>
      </c>
      <c r="CE40" s="60">
        <f t="shared" si="6"/>
        <v>27994.2</v>
      </c>
      <c r="CF40" s="60">
        <f t="shared" si="6"/>
        <v>42335.599999999991</v>
      </c>
      <c r="CG40" s="60">
        <f t="shared" si="6"/>
        <v>78540</v>
      </c>
      <c r="CH40" s="60">
        <f t="shared" ref="CH40:CH46" si="23">BP40*BY40/100</f>
        <v>502566.30000000005</v>
      </c>
      <c r="CJ40" s="153">
        <f t="shared" si="15"/>
        <v>-15367.275</v>
      </c>
      <c r="CK40" s="153">
        <f t="shared" si="7"/>
        <v>86982.547500000015</v>
      </c>
      <c r="CL40" s="153">
        <f t="shared" si="7"/>
        <v>219310.76499999998</v>
      </c>
      <c r="CM40" s="153">
        <f t="shared" si="7"/>
        <v>399400.98</v>
      </c>
      <c r="CN40" s="153">
        <f t="shared" si="7"/>
        <v>335930.4</v>
      </c>
      <c r="CO40" s="153">
        <f t="shared" si="7"/>
        <v>258247.15999999995</v>
      </c>
      <c r="CP40" s="153">
        <f t="shared" si="7"/>
        <v>376992</v>
      </c>
      <c r="CQ40" s="153">
        <f t="shared" si="7"/>
        <v>603079.56000000006</v>
      </c>
      <c r="CR40" s="153">
        <f t="shared" si="16"/>
        <v>2264576.1375000002</v>
      </c>
      <c r="CT40" s="403">
        <v>301.39999999999998</v>
      </c>
      <c r="CU40" s="276">
        <f>Dem!B81+(DD40/4)</f>
        <v>22.175000000000001</v>
      </c>
      <c r="CV40" s="276">
        <f>Dem!B121+(DD40/4)</f>
        <v>24.774999999999999</v>
      </c>
      <c r="CW40" s="276">
        <f>Dem!B161+(DD40/4)</f>
        <v>24.175000000000001</v>
      </c>
      <c r="CX40" s="276">
        <f>Dem!B201+(DD40/4)</f>
        <v>23.774999999999999</v>
      </c>
      <c r="CY40" s="276">
        <f>Dem!B281</f>
        <v>12</v>
      </c>
      <c r="CZ40" s="276">
        <f>Dem!B321</f>
        <v>6.1</v>
      </c>
      <c r="DA40" s="276">
        <f>Dem!B361</f>
        <v>4.8</v>
      </c>
      <c r="DB40" s="276">
        <f>Dem!B401</f>
        <v>1.2</v>
      </c>
      <c r="DC40" s="275">
        <v>120</v>
      </c>
      <c r="DD40" s="46">
        <v>-0.5</v>
      </c>
      <c r="DE40" s="275"/>
      <c r="DF40" s="276">
        <f>Dem!$D81+(DO40/4)</f>
        <v>58.325000000000031</v>
      </c>
      <c r="DG40" s="276">
        <f>Dem!$D121+(DO40/4)</f>
        <v>59.925000000000026</v>
      </c>
      <c r="DH40" s="276">
        <f>Dem!$D161+(DO40/4)</f>
        <v>59.925000000000026</v>
      </c>
      <c r="DI40" s="276">
        <f>Dem!$D201+(DO40/4)</f>
        <v>59.925000000000026</v>
      </c>
      <c r="DJ40" s="275">
        <f>Dem!$D281</f>
        <v>30.1</v>
      </c>
      <c r="DK40" s="275">
        <f>Dem!$D321</f>
        <v>15.1</v>
      </c>
      <c r="DL40" s="275">
        <f>Dem!$D361</f>
        <v>12.1</v>
      </c>
      <c r="DM40" s="275">
        <f>Dem!$D401</f>
        <v>3</v>
      </c>
      <c r="DN40" s="276">
        <f t="shared" si="17"/>
        <v>301.39999999999998</v>
      </c>
      <c r="DO40" s="44">
        <v>-1.4999999999998863</v>
      </c>
    </row>
    <row r="41" spans="1:119">
      <c r="A41" s="46">
        <f t="shared" si="18"/>
        <v>2011</v>
      </c>
      <c r="B41" s="141">
        <f t="shared" si="8"/>
        <v>0.21179705609288579</v>
      </c>
      <c r="C41" s="46"/>
      <c r="D41" s="141">
        <f t="shared" si="9"/>
        <v>0.73898817159140517</v>
      </c>
      <c r="E41" s="141">
        <f t="shared" si="10"/>
        <v>0.52719111549851938</v>
      </c>
      <c r="F41" s="46"/>
      <c r="G41" s="157">
        <f t="shared" si="11"/>
        <v>4.0629726747532582E-2</v>
      </c>
      <c r="H41" s="157">
        <f t="shared" si="11"/>
        <v>7.2130540922007547E-2</v>
      </c>
      <c r="I41" s="157">
        <f t="shared" si="11"/>
        <v>9.1961696947871596E-2</v>
      </c>
      <c r="J41" s="157">
        <f t="shared" si="11"/>
        <v>9.5280121658972441E-2</v>
      </c>
      <c r="K41" s="157">
        <f t="shared" si="11"/>
        <v>4.2424275238193254E-2</v>
      </c>
      <c r="L41" s="157">
        <f t="shared" si="11"/>
        <v>1.7913629141058558E-2</v>
      </c>
      <c r="M41" s="157">
        <f t="shared" si="11"/>
        <v>9.1540951400666658E-3</v>
      </c>
      <c r="N41" s="157">
        <f t="shared" si="11"/>
        <v>0</v>
      </c>
      <c r="O41" s="46"/>
      <c r="P41" s="154">
        <f t="shared" si="19"/>
        <v>-3.1486337376628857E-3</v>
      </c>
      <c r="Q41" s="154">
        <f t="shared" si="20"/>
        <v>3.9347295389962282E-2</v>
      </c>
      <c r="R41" s="154">
        <f t="shared" si="20"/>
        <v>0.14019151526064214</v>
      </c>
      <c r="S41" s="154">
        <f t="shared" si="20"/>
        <v>0.32359939170513785</v>
      </c>
      <c r="T41" s="154">
        <f t="shared" si="20"/>
        <v>0.47575724761806748</v>
      </c>
      <c r="U41" s="154">
        <f t="shared" si="20"/>
        <v>0.59172741717882893</v>
      </c>
      <c r="V41" s="154">
        <f t="shared" si="20"/>
        <v>0.76114762149833348</v>
      </c>
      <c r="W41" s="162">
        <f t="shared" si="21"/>
        <v>1</v>
      </c>
      <c r="X41" s="154"/>
      <c r="Y41" s="142">
        <f t="shared" si="22"/>
        <v>3.2300098716683122E-2</v>
      </c>
      <c r="Z41" s="142">
        <f t="shared" si="22"/>
        <v>5.4333662388943743E-2</v>
      </c>
      <c r="AA41" s="142">
        <f t="shared" si="22"/>
        <v>6.6692991115498534E-2</v>
      </c>
      <c r="AB41" s="142">
        <f t="shared" si="22"/>
        <v>6.5429417571569601E-2</v>
      </c>
      <c r="AC41" s="142">
        <f t="shared" si="22"/>
        <v>2.7907206317867729E-2</v>
      </c>
      <c r="AD41" s="142">
        <f t="shared" si="22"/>
        <v>1.1369693978282337E-2</v>
      </c>
      <c r="AE41" s="142">
        <f t="shared" si="22"/>
        <v>5.5624876604146193E-3</v>
      </c>
      <c r="AF41" s="142">
        <f t="shared" si="22"/>
        <v>0</v>
      </c>
      <c r="AH41" s="158">
        <f t="shared" si="13"/>
        <v>3.8499506416584402E-2</v>
      </c>
      <c r="AI41" s="158">
        <f t="shared" si="14"/>
        <v>0.12833168805528133</v>
      </c>
      <c r="AJ41" s="158">
        <f t="shared" si="14"/>
        <v>0.26653504442250742</v>
      </c>
      <c r="AK41" s="158">
        <f t="shared" si="14"/>
        <v>0.47285291214215203</v>
      </c>
      <c r="AL41" s="158">
        <f t="shared" si="14"/>
        <v>0.62092793682132275</v>
      </c>
      <c r="AM41" s="158">
        <f t="shared" si="14"/>
        <v>0.72260612043435335</v>
      </c>
      <c r="AN41" s="158">
        <f t="shared" si="14"/>
        <v>0.85093780848963463</v>
      </c>
      <c r="AO41" s="158">
        <v>1</v>
      </c>
      <c r="AP41" s="143"/>
      <c r="AQ41" s="143">
        <f t="shared" ref="AQ41:AX46" si="24">CJ41/$CR41</f>
        <v>-3.1486337376628857E-3</v>
      </c>
      <c r="AR41" s="143">
        <f t="shared" si="24"/>
        <v>4.2495929127625169E-2</v>
      </c>
      <c r="AS41" s="143">
        <f t="shared" si="24"/>
        <v>0.10084421987067985</v>
      </c>
      <c r="AT41" s="143">
        <f t="shared" si="24"/>
        <v>0.18340787644449569</v>
      </c>
      <c r="AU41" s="143">
        <f t="shared" si="24"/>
        <v>0.1521578559129296</v>
      </c>
      <c r="AV41" s="143">
        <f t="shared" si="24"/>
        <v>0.11597016956076139</v>
      </c>
      <c r="AW41" s="143">
        <f t="shared" si="24"/>
        <v>0.16942020431950458</v>
      </c>
      <c r="AX41" s="143">
        <f t="shared" si="24"/>
        <v>0.23885237850166649</v>
      </c>
      <c r="AY41" s="46"/>
      <c r="AZ41" s="152">
        <f>Shares!D82</f>
        <v>3.9</v>
      </c>
      <c r="BA41" s="152">
        <f>Shares!E82</f>
        <v>9.1</v>
      </c>
      <c r="BB41" s="152">
        <f>Shares!F82</f>
        <v>14</v>
      </c>
      <c r="BC41" s="152">
        <f>Shares!G82</f>
        <v>20.9</v>
      </c>
      <c r="BD41" s="152">
        <f>Shares!J82</f>
        <v>15</v>
      </c>
      <c r="BE41" s="152">
        <f>Shares!K82</f>
        <v>10.3</v>
      </c>
      <c r="BF41" s="152">
        <f>Shares!L82</f>
        <v>13</v>
      </c>
      <c r="BG41" s="152">
        <f>Shares!M82</f>
        <v>15.1</v>
      </c>
      <c r="BI41" s="246">
        <f>TxRt!B$53-TxRt!C$53+TxRt!C85</f>
        <v>-1.5999999999999996</v>
      </c>
      <c r="BJ41" s="246">
        <f>TxRt!B$96-TxRt!C$96+TxRt!C128</f>
        <v>9.4</v>
      </c>
      <c r="BK41" s="246">
        <f>TxRt!B$136-TxRt!C$136+TxRt!C168</f>
        <v>14.400000000000002</v>
      </c>
      <c r="BL41" s="246">
        <f>TxRt!B$176-TxRt!C$176+TxRt!C208</f>
        <v>17.600000000000001</v>
      </c>
      <c r="BM41" s="246">
        <f>TxRt!B$256-TxRt!C$256+TxRt!C288</f>
        <v>20.200000000000003</v>
      </c>
      <c r="BN41" s="246">
        <f>TxRt!B$296-TxRt!C$296+TxRt!C328</f>
        <v>22.4</v>
      </c>
      <c r="BO41" s="246">
        <f>TxRt!B$336-TxRt!C$336+TxRt!C368</f>
        <v>26</v>
      </c>
      <c r="BP41" s="246">
        <f>TxRt!B$376-TxRt!C$376+TxRt!C408</f>
        <v>32.799999999999997</v>
      </c>
      <c r="BQ41" s="46"/>
      <c r="BR41" s="60">
        <f>Inc!B82</f>
        <v>20100</v>
      </c>
      <c r="BS41" s="60">
        <f>Inc!B122</f>
        <v>42100</v>
      </c>
      <c r="BT41" s="60">
        <f>Inc!B162</f>
        <v>67100</v>
      </c>
      <c r="BU41" s="60">
        <f>Inc!B202</f>
        <v>101100</v>
      </c>
      <c r="BV41" s="60">
        <f>Inc!B282</f>
        <v>145700</v>
      </c>
      <c r="BW41" s="60">
        <f>Inc!B322</f>
        <v>197000</v>
      </c>
      <c r="BX41" s="60">
        <f>Inc!B362</f>
        <v>315100</v>
      </c>
      <c r="BY41" s="60">
        <f>Inc!B402</f>
        <v>1536600</v>
      </c>
      <c r="CA41" s="60">
        <f t="shared" ref="CA41:CG46" si="25">BI41*BR41/100</f>
        <v>-321.59999999999991</v>
      </c>
      <c r="CB41" s="60">
        <f t="shared" si="25"/>
        <v>3957.4</v>
      </c>
      <c r="CC41" s="60">
        <f t="shared" si="25"/>
        <v>9662.4000000000015</v>
      </c>
      <c r="CD41" s="60">
        <f t="shared" si="25"/>
        <v>17793.600000000002</v>
      </c>
      <c r="CE41" s="60">
        <f t="shared" si="25"/>
        <v>29431.400000000005</v>
      </c>
      <c r="CF41" s="60">
        <f t="shared" si="25"/>
        <v>44128</v>
      </c>
      <c r="CG41" s="60">
        <f t="shared" si="25"/>
        <v>81926</v>
      </c>
      <c r="CH41" s="60">
        <f t="shared" si="23"/>
        <v>504004.79999999993</v>
      </c>
      <c r="CJ41" s="153">
        <f t="shared" si="15"/>
        <v>-7308.359999999996</v>
      </c>
      <c r="CK41" s="153">
        <f t="shared" si="7"/>
        <v>98638.194999999992</v>
      </c>
      <c r="CL41" s="153">
        <f t="shared" si="7"/>
        <v>234071.63999999998</v>
      </c>
      <c r="CM41" s="153">
        <f t="shared" si="7"/>
        <v>425711.88</v>
      </c>
      <c r="CN41" s="153">
        <f t="shared" si="7"/>
        <v>353176.80000000005</v>
      </c>
      <c r="CO41" s="153">
        <f t="shared" si="7"/>
        <v>269180.79999999999</v>
      </c>
      <c r="CP41" s="153">
        <f t="shared" si="7"/>
        <v>393244.8</v>
      </c>
      <c r="CQ41" s="153">
        <f t="shared" si="7"/>
        <v>554405.27999999991</v>
      </c>
      <c r="CR41" s="153">
        <f t="shared" si="16"/>
        <v>2321121.0350000001</v>
      </c>
      <c r="CT41" s="403">
        <v>302.5</v>
      </c>
      <c r="CU41" s="276">
        <f>Dem!B82+(DD41/4)</f>
        <v>22.724999999999994</v>
      </c>
      <c r="CV41" s="276">
        <f>Dem!B122+(DD41/4)</f>
        <v>24.924999999999997</v>
      </c>
      <c r="CW41" s="276">
        <f>Dem!B162+(DD41/4)</f>
        <v>24.224999999999994</v>
      </c>
      <c r="CX41" s="276">
        <f>Dem!B202+(DD41/4)</f>
        <v>23.924999999999997</v>
      </c>
      <c r="CY41" s="276">
        <f>Dem!B282</f>
        <v>12</v>
      </c>
      <c r="CZ41" s="276">
        <f>Dem!B322</f>
        <v>6.1</v>
      </c>
      <c r="DA41" s="276">
        <f>Dem!B362</f>
        <v>4.8</v>
      </c>
      <c r="DB41" s="276">
        <f>Dem!B402</f>
        <v>1.1000000000000001</v>
      </c>
      <c r="DC41" s="275">
        <v>121.2</v>
      </c>
      <c r="DD41" s="46">
        <v>-0.70000000000001705</v>
      </c>
      <c r="DE41" s="275"/>
      <c r="DF41" s="276">
        <f>Dem!$D82+(DO41/4)</f>
        <v>58.625000000000014</v>
      </c>
      <c r="DG41" s="276">
        <f>Dem!$D122+(DO41/4)</f>
        <v>60.125000000000014</v>
      </c>
      <c r="DH41" s="276">
        <f>Dem!$D162+(DO41/4)</f>
        <v>60.125000000000014</v>
      </c>
      <c r="DI41" s="276">
        <f>Dem!$D202+(DO41/4)</f>
        <v>60.125000000000014</v>
      </c>
      <c r="DJ41" s="275">
        <f>Dem!$D282</f>
        <v>30.3</v>
      </c>
      <c r="DK41" s="275">
        <f>Dem!$D322</f>
        <v>15.1</v>
      </c>
      <c r="DL41" s="275">
        <f>Dem!$D362</f>
        <v>12.1</v>
      </c>
      <c r="DM41" s="275">
        <f>Dem!$D402</f>
        <v>3</v>
      </c>
      <c r="DN41" s="276">
        <f t="shared" si="17"/>
        <v>302.5</v>
      </c>
      <c r="DO41" s="44">
        <v>-1.4999999999999432</v>
      </c>
    </row>
    <row r="42" spans="1:119">
      <c r="A42" s="46">
        <f t="shared" si="18"/>
        <v>2012</v>
      </c>
      <c r="B42" s="141">
        <f t="shared" si="8"/>
        <v>0.21388516359621024</v>
      </c>
      <c r="C42" s="46"/>
      <c r="D42" s="141">
        <f t="shared" si="9"/>
        <v>0.77005949725859912</v>
      </c>
      <c r="E42" s="141">
        <f t="shared" si="10"/>
        <v>0.55617433366238889</v>
      </c>
      <c r="F42" s="46"/>
      <c r="G42" s="157">
        <f t="shared" si="11"/>
        <v>4.0475856840143598E-2</v>
      </c>
      <c r="H42" s="157">
        <f t="shared" si="11"/>
        <v>7.2851011722473977E-2</v>
      </c>
      <c r="I42" s="157">
        <f t="shared" si="11"/>
        <v>9.4271528378013336E-2</v>
      </c>
      <c r="J42" s="157">
        <f t="shared" si="11"/>
        <v>0.10042093918956677</v>
      </c>
      <c r="K42" s="157">
        <f t="shared" si="11"/>
        <v>4.5957108488004585E-2</v>
      </c>
      <c r="L42" s="157">
        <f t="shared" si="11"/>
        <v>2.0032606117391473E-2</v>
      </c>
      <c r="M42" s="157">
        <f t="shared" si="11"/>
        <v>1.1020697893705753E-2</v>
      </c>
      <c r="N42" s="157">
        <f t="shared" si="11"/>
        <v>0</v>
      </c>
      <c r="O42" s="46"/>
      <c r="P42" s="154">
        <f t="shared" si="19"/>
        <v>-2.3792842007179646E-3</v>
      </c>
      <c r="Q42" s="154">
        <f t="shared" si="20"/>
        <v>3.5744941387630194E-2</v>
      </c>
      <c r="R42" s="154">
        <f t="shared" si="20"/>
        <v>0.12864235810993341</v>
      </c>
      <c r="S42" s="154">
        <f t="shared" si="20"/>
        <v>0.29789530405216624</v>
      </c>
      <c r="T42" s="154">
        <f t="shared" si="20"/>
        <v>0.44042891511995419</v>
      </c>
      <c r="U42" s="154">
        <f t="shared" si="20"/>
        <v>0.54934787765217064</v>
      </c>
      <c r="V42" s="154">
        <f t="shared" si="20"/>
        <v>0.71448255265735627</v>
      </c>
      <c r="W42" s="162">
        <f t="shared" si="21"/>
        <v>1</v>
      </c>
      <c r="X42" s="154"/>
      <c r="Y42" s="142">
        <f t="shared" si="22"/>
        <v>3.2892398815399806E-2</v>
      </c>
      <c r="Z42" s="142">
        <f t="shared" si="22"/>
        <v>5.6110562685093783E-2</v>
      </c>
      <c r="AA42" s="142">
        <f t="shared" si="22"/>
        <v>6.9457058242843053E-2</v>
      </c>
      <c r="AB42" s="142">
        <f t="shared" si="22"/>
        <v>6.9772951628825269E-2</v>
      </c>
      <c r="AC42" s="142">
        <f t="shared" si="22"/>
        <v>3.0473840078973347E-2</v>
      </c>
      <c r="AD42" s="142">
        <f t="shared" si="22"/>
        <v>1.2751727541954595E-2</v>
      </c>
      <c r="AE42" s="142">
        <f t="shared" si="22"/>
        <v>6.6286278381046462E-3</v>
      </c>
      <c r="AF42" s="142">
        <f t="shared" si="22"/>
        <v>0</v>
      </c>
      <c r="AH42" s="158">
        <f t="shared" si="13"/>
        <v>3.5538005923000986E-2</v>
      </c>
      <c r="AI42" s="158">
        <f t="shared" si="14"/>
        <v>0.1194471865745311</v>
      </c>
      <c r="AJ42" s="158">
        <f t="shared" si="14"/>
        <v>0.25271470878578484</v>
      </c>
      <c r="AK42" s="158">
        <f t="shared" si="14"/>
        <v>0.45113524185587373</v>
      </c>
      <c r="AL42" s="158">
        <f t="shared" si="14"/>
        <v>0.59526159921026656</v>
      </c>
      <c r="AM42" s="158">
        <f t="shared" si="14"/>
        <v>0.69496544916090819</v>
      </c>
      <c r="AN42" s="158">
        <f t="shared" si="14"/>
        <v>0.82428430404738395</v>
      </c>
      <c r="AO42" s="158">
        <v>1</v>
      </c>
      <c r="AP42" s="143"/>
      <c r="AQ42" s="143">
        <f t="shared" si="24"/>
        <v>-2.3792842007179646E-3</v>
      </c>
      <c r="AR42" s="143">
        <f t="shared" si="24"/>
        <v>3.812422558834816E-2</v>
      </c>
      <c r="AS42" s="143">
        <f t="shared" si="24"/>
        <v>9.2897416722303214E-2</v>
      </c>
      <c r="AT42" s="143">
        <f t="shared" si="24"/>
        <v>0.16925294594223286</v>
      </c>
      <c r="AU42" s="143">
        <f t="shared" si="24"/>
        <v>0.14253361106778792</v>
      </c>
      <c r="AV42" s="143">
        <f t="shared" si="24"/>
        <v>0.10891896253221643</v>
      </c>
      <c r="AW42" s="143">
        <f t="shared" si="24"/>
        <v>0.16513467500518561</v>
      </c>
      <c r="AX42" s="143">
        <f t="shared" si="24"/>
        <v>0.28551744734264373</v>
      </c>
      <c r="AY42" s="46"/>
      <c r="AZ42" s="152">
        <f>Shares!D83</f>
        <v>3.6</v>
      </c>
      <c r="BA42" s="152">
        <f>Shares!E83</f>
        <v>8.5</v>
      </c>
      <c r="BB42" s="152">
        <f>Shares!F83</f>
        <v>13.5</v>
      </c>
      <c r="BC42" s="152">
        <f>Shares!G83</f>
        <v>20.100000000000001</v>
      </c>
      <c r="BD42" s="152">
        <f>Shares!J83</f>
        <v>14.6</v>
      </c>
      <c r="BE42" s="152">
        <f>Shares!K83</f>
        <v>10.1</v>
      </c>
      <c r="BF42" s="152">
        <f>Shares!L83</f>
        <v>13.1</v>
      </c>
      <c r="BG42" s="152">
        <f>Shares!M83</f>
        <v>17.8</v>
      </c>
      <c r="BI42" s="246">
        <f>TxRt!B$53-TxRt!C$53+TxRt!C86</f>
        <v>-1.4000000000000004</v>
      </c>
      <c r="BJ42" s="246">
        <f>TxRt!B$96-TxRt!C$96+TxRt!C129</f>
        <v>9.4</v>
      </c>
      <c r="BK42" s="246">
        <f>TxRt!B$136-TxRt!C$136+TxRt!C169</f>
        <v>14.5</v>
      </c>
      <c r="BL42" s="246">
        <f>TxRt!B$176-TxRt!C$176+TxRt!C209</f>
        <v>17.7</v>
      </c>
      <c r="BM42" s="246">
        <f>TxRt!B$256-TxRt!C$256+TxRt!C289</f>
        <v>20.399999999999999</v>
      </c>
      <c r="BN42" s="246">
        <f>TxRt!B$296-TxRt!C$296+TxRt!C329</f>
        <v>22.7</v>
      </c>
      <c r="BO42" s="246">
        <f>TxRt!B$336-TxRt!C$336+TxRt!C369</f>
        <v>26.400000000000002</v>
      </c>
      <c r="BP42" s="246">
        <f>TxRt!B$376-TxRt!C$376+TxRt!C409</f>
        <v>32.4</v>
      </c>
      <c r="BQ42" s="46"/>
      <c r="BR42" s="60">
        <f>Inc!B83</f>
        <v>19200</v>
      </c>
      <c r="BS42" s="60">
        <f>Inc!B123</f>
        <v>41800</v>
      </c>
      <c r="BT42" s="60">
        <f>Inc!B163</f>
        <v>67100</v>
      </c>
      <c r="BU42" s="60">
        <f>Inc!B203</f>
        <v>101800</v>
      </c>
      <c r="BV42" s="60">
        <f>Inc!B283</f>
        <v>146800</v>
      </c>
      <c r="BW42" s="60">
        <f>Inc!B323</f>
        <v>200000</v>
      </c>
      <c r="BX42" s="60">
        <f>Inc!B363</f>
        <v>329900</v>
      </c>
      <c r="BY42" s="60">
        <f>Inc!B403</f>
        <v>1897800</v>
      </c>
      <c r="CA42" s="60">
        <f t="shared" si="25"/>
        <v>-268.80000000000007</v>
      </c>
      <c r="CB42" s="60">
        <f t="shared" si="25"/>
        <v>3929.2</v>
      </c>
      <c r="CC42" s="60">
        <f t="shared" si="25"/>
        <v>9729.5</v>
      </c>
      <c r="CD42" s="60">
        <f t="shared" si="25"/>
        <v>18018.599999999999</v>
      </c>
      <c r="CE42" s="60">
        <f t="shared" si="25"/>
        <v>29947.200000000001</v>
      </c>
      <c r="CF42" s="60">
        <f t="shared" si="25"/>
        <v>45400</v>
      </c>
      <c r="CG42" s="60">
        <f t="shared" si="25"/>
        <v>87093.6</v>
      </c>
      <c r="CH42" s="60">
        <f t="shared" si="23"/>
        <v>614887.19999999995</v>
      </c>
      <c r="CJ42" s="153">
        <f t="shared" si="15"/>
        <v>-6148.8000000000029</v>
      </c>
      <c r="CK42" s="153">
        <f t="shared" si="7"/>
        <v>98524.69</v>
      </c>
      <c r="CL42" s="153">
        <f t="shared" si="7"/>
        <v>240075.41250000003</v>
      </c>
      <c r="CM42" s="153">
        <f t="shared" si="7"/>
        <v>437401.51500000001</v>
      </c>
      <c r="CN42" s="153">
        <f t="shared" si="7"/>
        <v>368350.56000000006</v>
      </c>
      <c r="CO42" s="153">
        <f t="shared" si="7"/>
        <v>281480</v>
      </c>
      <c r="CP42" s="153">
        <f t="shared" si="7"/>
        <v>426758.64000000007</v>
      </c>
      <c r="CQ42" s="153">
        <f t="shared" si="7"/>
        <v>737864.6399999999</v>
      </c>
      <c r="CR42" s="153">
        <f t="shared" si="16"/>
        <v>2584306.6575000002</v>
      </c>
      <c r="CT42" s="403">
        <v>305.8</v>
      </c>
      <c r="CU42" s="276">
        <f>Dem!B83+(DD42/4)</f>
        <v>22.875000000000004</v>
      </c>
      <c r="CV42" s="276">
        <f>Dem!B123+(DD42/4)</f>
        <v>25.075000000000003</v>
      </c>
      <c r="CW42" s="276">
        <f>Dem!B163+(DD42/4)</f>
        <v>24.675000000000004</v>
      </c>
      <c r="CX42" s="276">
        <f>Dem!B203+(DD42/4)</f>
        <v>24.275000000000002</v>
      </c>
      <c r="CY42" s="276">
        <f>Dem!B283</f>
        <v>12.3</v>
      </c>
      <c r="CZ42" s="276">
        <f>Dem!B323</f>
        <v>6.2</v>
      </c>
      <c r="DA42" s="276">
        <f>Dem!B363</f>
        <v>4.9000000000000004</v>
      </c>
      <c r="DB42" s="276">
        <f>Dem!B403</f>
        <v>1.2</v>
      </c>
      <c r="DC42" s="275">
        <v>122.5</v>
      </c>
      <c r="DD42" s="46">
        <v>-0.49999999999998579</v>
      </c>
      <c r="DE42" s="275"/>
      <c r="DF42" s="276">
        <f>Dem!$D83+(DO42/4)</f>
        <v>59.5</v>
      </c>
      <c r="DG42" s="276">
        <f>Dem!$D123+(DO42/4)</f>
        <v>60.900000000000006</v>
      </c>
      <c r="DH42" s="276">
        <f>Dem!$D163+(DO42/4)</f>
        <v>60.900000000000006</v>
      </c>
      <c r="DI42" s="276">
        <f>Dem!$D203+(DO42/4)</f>
        <v>60.900000000000006</v>
      </c>
      <c r="DJ42" s="275">
        <f>Dem!$D283</f>
        <v>30.6</v>
      </c>
      <c r="DK42" s="275">
        <f>Dem!$D323</f>
        <v>15.3</v>
      </c>
      <c r="DL42" s="275">
        <f>Dem!$D363</f>
        <v>12.2</v>
      </c>
      <c r="DM42" s="275">
        <f>Dem!$D403</f>
        <v>3.1</v>
      </c>
      <c r="DN42" s="276">
        <f t="shared" si="17"/>
        <v>305.8</v>
      </c>
      <c r="DO42" s="44">
        <v>-1.1999999999999886</v>
      </c>
    </row>
    <row r="43" spans="1:119">
      <c r="A43" s="46">
        <f t="shared" si="18"/>
        <v>2013</v>
      </c>
      <c r="B43" s="141">
        <f t="shared" si="8"/>
        <v>0.22319791224174002</v>
      </c>
      <c r="C43" s="46"/>
      <c r="D43" s="141">
        <f t="shared" si="9"/>
        <v>0.7591155825280187</v>
      </c>
      <c r="E43" s="141">
        <f t="shared" si="10"/>
        <v>0.53591767028627868</v>
      </c>
      <c r="F43" s="46"/>
      <c r="G43" s="157">
        <f t="shared" si="11"/>
        <v>4.053155983103094E-2</v>
      </c>
      <c r="H43" s="157">
        <f t="shared" si="11"/>
        <v>7.2554587127430056E-2</v>
      </c>
      <c r="I43" s="157">
        <f t="shared" si="11"/>
        <v>9.3488861793767725E-2</v>
      </c>
      <c r="J43" s="157">
        <f t="shared" si="11"/>
        <v>9.8775547538551514E-2</v>
      </c>
      <c r="K43" s="157">
        <f t="shared" si="11"/>
        <v>4.4652228462995582E-2</v>
      </c>
      <c r="L43" s="157">
        <f t="shared" si="11"/>
        <v>1.9246097629068898E-2</v>
      </c>
      <c r="M43" s="157">
        <f t="shared" si="11"/>
        <v>1.0308908881164629E-2</v>
      </c>
      <c r="N43" s="157">
        <f t="shared" si="11"/>
        <v>0</v>
      </c>
      <c r="O43" s="46"/>
      <c r="P43" s="154">
        <f t="shared" si="19"/>
        <v>-2.6577991551546944E-3</v>
      </c>
      <c r="Q43" s="154">
        <f t="shared" si="20"/>
        <v>3.7227064362849789E-2</v>
      </c>
      <c r="R43" s="154">
        <f t="shared" si="20"/>
        <v>0.13255569103116152</v>
      </c>
      <c r="S43" s="154">
        <f t="shared" si="20"/>
        <v>0.30612226230724249</v>
      </c>
      <c r="T43" s="154">
        <f t="shared" si="20"/>
        <v>0.45347771537004422</v>
      </c>
      <c r="U43" s="154">
        <f t="shared" si="20"/>
        <v>0.56507804741862211</v>
      </c>
      <c r="V43" s="154">
        <f t="shared" si="20"/>
        <v>0.73227727797088438</v>
      </c>
      <c r="W43" s="162">
        <f t="shared" si="21"/>
        <v>1</v>
      </c>
      <c r="X43" s="154"/>
      <c r="Y43" s="142">
        <f t="shared" si="22"/>
        <v>3.2497532082922019E-2</v>
      </c>
      <c r="Z43" s="142">
        <f t="shared" si="22"/>
        <v>5.5123395853899318E-2</v>
      </c>
      <c r="AA43" s="142">
        <f t="shared" si="22"/>
        <v>6.768015794669302E-2</v>
      </c>
      <c r="AB43" s="142">
        <f t="shared" si="22"/>
        <v>6.6811451135241881E-2</v>
      </c>
      <c r="AC43" s="142">
        <f t="shared" si="22"/>
        <v>2.8499506416584421E-2</v>
      </c>
      <c r="AD43" s="142">
        <f t="shared" si="22"/>
        <v>1.1665844027640683E-2</v>
      </c>
      <c r="AE43" s="142">
        <f t="shared" si="22"/>
        <v>5.6809476801579573E-3</v>
      </c>
      <c r="AF43" s="142">
        <f t="shared" si="22"/>
        <v>0</v>
      </c>
      <c r="AH43" s="158">
        <f t="shared" si="13"/>
        <v>3.7512339585389923E-2</v>
      </c>
      <c r="AI43" s="158">
        <f t="shared" si="14"/>
        <v>0.12438302073050345</v>
      </c>
      <c r="AJ43" s="158">
        <f t="shared" si="14"/>
        <v>0.26159921026653499</v>
      </c>
      <c r="AK43" s="158">
        <f t="shared" si="14"/>
        <v>0.46594274432379063</v>
      </c>
      <c r="AL43" s="158">
        <f t="shared" si="14"/>
        <v>0.61500493583415583</v>
      </c>
      <c r="AM43" s="158">
        <f t="shared" si="14"/>
        <v>0.71668311944718643</v>
      </c>
      <c r="AN43" s="158">
        <f t="shared" si="14"/>
        <v>0.84797630799605117</v>
      </c>
      <c r="AO43" s="158">
        <v>1</v>
      </c>
      <c r="AP43" s="143"/>
      <c r="AQ43" s="143">
        <f t="shared" si="24"/>
        <v>-2.6577991551546944E-3</v>
      </c>
      <c r="AR43" s="143">
        <f t="shared" si="24"/>
        <v>3.9884863518004486E-2</v>
      </c>
      <c r="AS43" s="143">
        <f t="shared" si="24"/>
        <v>9.5328626668311739E-2</v>
      </c>
      <c r="AT43" s="143">
        <f t="shared" si="24"/>
        <v>0.17356657127608094</v>
      </c>
      <c r="AU43" s="143">
        <f t="shared" si="24"/>
        <v>0.14735545306280176</v>
      </c>
      <c r="AV43" s="143">
        <f t="shared" si="24"/>
        <v>0.11160033204857792</v>
      </c>
      <c r="AW43" s="143">
        <f t="shared" si="24"/>
        <v>0.16719923055226224</v>
      </c>
      <c r="AX43" s="143">
        <f t="shared" si="24"/>
        <v>0.26772272202911573</v>
      </c>
      <c r="AY43" s="46"/>
      <c r="AZ43" s="152">
        <f>Shares!D84</f>
        <v>3.8</v>
      </c>
      <c r="BA43" s="152">
        <f>Shares!E84</f>
        <v>8.8000000000000007</v>
      </c>
      <c r="BB43" s="152">
        <f>Shares!F84</f>
        <v>13.9</v>
      </c>
      <c r="BC43" s="152">
        <f>Shares!G84</f>
        <v>20.7</v>
      </c>
      <c r="BD43" s="152">
        <f>Shares!J84</f>
        <v>15.1</v>
      </c>
      <c r="BE43" s="152">
        <f>Shares!K84</f>
        <v>10.3</v>
      </c>
      <c r="BF43" s="152">
        <f>Shares!L84</f>
        <v>13.3</v>
      </c>
      <c r="BG43" s="152">
        <f>Shares!M84</f>
        <v>15.4</v>
      </c>
      <c r="BI43" s="246">
        <f>TxRt!B$53-TxRt!C$53+TxRt!C87</f>
        <v>-1.5</v>
      </c>
      <c r="BJ43" s="246">
        <f>TxRt!B$96-TxRt!C$96+TxRt!C130</f>
        <v>9.6</v>
      </c>
      <c r="BK43" s="246">
        <f>TxRt!B$136-TxRt!C$136+TxRt!C170</f>
        <v>14.600000000000001</v>
      </c>
      <c r="BL43" s="246">
        <f>TxRt!B$176-TxRt!C$176+TxRt!C210</f>
        <v>17.8</v>
      </c>
      <c r="BM43" s="246">
        <f>TxRt!B$256-TxRt!C$256+TxRt!C290</f>
        <v>20.6</v>
      </c>
      <c r="BN43" s="246">
        <f>TxRt!B$296-TxRt!C$296+TxRt!C330</f>
        <v>22.7</v>
      </c>
      <c r="BO43" s="246">
        <f>TxRt!B$336-TxRt!C$336+TxRt!C370</f>
        <v>26.5</v>
      </c>
      <c r="BP43" s="246">
        <f>TxRt!B$376-TxRt!C$376+TxRt!C410</f>
        <v>36.200000000000003</v>
      </c>
      <c r="BQ43" s="46"/>
      <c r="BR43" s="60">
        <f>Inc!B84</f>
        <v>19900</v>
      </c>
      <c r="BS43" s="60">
        <f>Inc!B124</f>
        <v>42600</v>
      </c>
      <c r="BT43" s="60">
        <f>Inc!B164</f>
        <v>68300</v>
      </c>
      <c r="BU43" s="60">
        <f>Inc!B204</f>
        <v>104100</v>
      </c>
      <c r="BV43" s="60">
        <f>Inc!B284</f>
        <v>149500</v>
      </c>
      <c r="BW43" s="60">
        <f>Inc!B324</f>
        <v>205500</v>
      </c>
      <c r="BX43" s="60">
        <f>Inc!B364</f>
        <v>333700</v>
      </c>
      <c r="BY43" s="60">
        <f>Inc!B404</f>
        <v>1597200</v>
      </c>
      <c r="CA43" s="60">
        <f t="shared" si="25"/>
        <v>-298.5</v>
      </c>
      <c r="CB43" s="60">
        <f t="shared" si="25"/>
        <v>4089.6</v>
      </c>
      <c r="CC43" s="60">
        <f t="shared" si="25"/>
        <v>9971.8000000000011</v>
      </c>
      <c r="CD43" s="60">
        <f t="shared" si="25"/>
        <v>18529.8</v>
      </c>
      <c r="CE43" s="60">
        <f t="shared" si="25"/>
        <v>30797</v>
      </c>
      <c r="CF43" s="60">
        <f t="shared" si="25"/>
        <v>46648.5</v>
      </c>
      <c r="CG43" s="60">
        <f t="shared" si="25"/>
        <v>88430.5</v>
      </c>
      <c r="CH43" s="60">
        <f t="shared" si="23"/>
        <v>578186.4</v>
      </c>
      <c r="CJ43" s="153">
        <f t="shared" si="15"/>
        <v>-6887.8875000000016</v>
      </c>
      <c r="CK43" s="153">
        <f t="shared" si="7"/>
        <v>103364.64000000001</v>
      </c>
      <c r="CL43" s="153">
        <f t="shared" si="7"/>
        <v>247051.34500000009</v>
      </c>
      <c r="CM43" s="153">
        <f t="shared" si="7"/>
        <v>449810.89500000008</v>
      </c>
      <c r="CN43" s="153">
        <f t="shared" si="7"/>
        <v>381882.8</v>
      </c>
      <c r="CO43" s="153">
        <f t="shared" si="7"/>
        <v>289220.7</v>
      </c>
      <c r="CP43" s="153">
        <f t="shared" si="7"/>
        <v>433309.45</v>
      </c>
      <c r="CQ43" s="153">
        <f t="shared" si="7"/>
        <v>693823.68</v>
      </c>
      <c r="CR43" s="153">
        <f t="shared" si="16"/>
        <v>2591575.6225000001</v>
      </c>
      <c r="CT43" s="403">
        <v>306</v>
      </c>
      <c r="CU43" s="276">
        <f>Dem!B84+(DD43/4)</f>
        <v>23.075000000000006</v>
      </c>
      <c r="CV43" s="276">
        <f>Dem!B124+(DD43/4)</f>
        <v>25.275000000000006</v>
      </c>
      <c r="CW43" s="276">
        <f>Dem!B164+(DD43/4)</f>
        <v>24.775000000000006</v>
      </c>
      <c r="CX43" s="276">
        <f>Dem!B204+(DD43/4)</f>
        <v>24.275000000000006</v>
      </c>
      <c r="CY43" s="276">
        <f>Dem!B284</f>
        <v>12.4</v>
      </c>
      <c r="CZ43" s="276">
        <f>Dem!B324</f>
        <v>6.2</v>
      </c>
      <c r="DA43" s="276">
        <f>Dem!B364</f>
        <v>4.9000000000000004</v>
      </c>
      <c r="DB43" s="276">
        <f>Dem!B404</f>
        <v>1.2</v>
      </c>
      <c r="DC43" s="275">
        <v>123.1</v>
      </c>
      <c r="DD43" s="46">
        <v>-0.49999999999997158</v>
      </c>
      <c r="DE43" s="275"/>
      <c r="DF43" s="276">
        <f>Dem!$D84+(DO43/4)</f>
        <v>59.57500000000001</v>
      </c>
      <c r="DG43" s="276">
        <f>Dem!$D124+(DO43/4)</f>
        <v>60.875000000000014</v>
      </c>
      <c r="DH43" s="276">
        <f>Dem!$D164+(DO43/4)</f>
        <v>60.875000000000014</v>
      </c>
      <c r="DI43" s="276">
        <f>Dem!$D204+(DO43/4)</f>
        <v>60.875000000000014</v>
      </c>
      <c r="DJ43" s="275">
        <f>Dem!$D284</f>
        <v>30.6</v>
      </c>
      <c r="DK43" s="275">
        <f>Dem!$D324</f>
        <v>15.3</v>
      </c>
      <c r="DL43" s="275">
        <f>Dem!$D364</f>
        <v>12.2</v>
      </c>
      <c r="DM43" s="275">
        <f>Dem!$D404</f>
        <v>3.1</v>
      </c>
      <c r="DN43" s="276">
        <f t="shared" si="17"/>
        <v>306</v>
      </c>
      <c r="DO43" s="44">
        <v>-1.2999999999999545</v>
      </c>
    </row>
    <row r="44" spans="1:119">
      <c r="A44" s="46">
        <f t="shared" si="18"/>
        <v>2014</v>
      </c>
      <c r="B44" s="141">
        <f t="shared" si="8"/>
        <v>0.22397066094581142</v>
      </c>
      <c r="C44" s="46"/>
      <c r="D44" s="141">
        <f t="shared" si="9"/>
        <v>0.77619437636083122</v>
      </c>
      <c r="E44" s="141">
        <f t="shared" si="10"/>
        <v>0.5522237154150198</v>
      </c>
      <c r="F44" s="46"/>
      <c r="G44" s="157">
        <f t="shared" si="11"/>
        <v>4.066157589030088E-2</v>
      </c>
      <c r="H44" s="157">
        <f t="shared" si="11"/>
        <v>7.3229888638049134E-2</v>
      </c>
      <c r="I44" s="157">
        <f t="shared" si="11"/>
        <v>9.5219186408893208E-2</v>
      </c>
      <c r="J44" s="157">
        <f t="shared" si="11"/>
        <v>0.10137002278447485</v>
      </c>
      <c r="K44" s="157">
        <f t="shared" si="11"/>
        <v>4.6464440125477485E-2</v>
      </c>
      <c r="L44" s="157">
        <f t="shared" si="11"/>
        <v>2.0164136532401608E-2</v>
      </c>
      <c r="M44" s="157">
        <f t="shared" si="11"/>
        <v>1.0987937800818472E-2</v>
      </c>
      <c r="N44" s="157">
        <f t="shared" si="11"/>
        <v>0</v>
      </c>
      <c r="O44" s="46"/>
      <c r="P44" s="154">
        <f t="shared" si="19"/>
        <v>-3.3078794515043622E-3</v>
      </c>
      <c r="Q44" s="154">
        <f t="shared" si="20"/>
        <v>3.3850556809754365E-2</v>
      </c>
      <c r="R44" s="154">
        <f t="shared" si="20"/>
        <v>0.12390406795553405</v>
      </c>
      <c r="S44" s="154">
        <f t="shared" si="20"/>
        <v>0.29314988607762582</v>
      </c>
      <c r="T44" s="154">
        <f t="shared" si="20"/>
        <v>0.43535559874522517</v>
      </c>
      <c r="U44" s="154">
        <f t="shared" si="20"/>
        <v>0.54671726935196796</v>
      </c>
      <c r="V44" s="154">
        <f t="shared" si="20"/>
        <v>0.71530155497953829</v>
      </c>
      <c r="W44" s="162">
        <f t="shared" si="21"/>
        <v>1</v>
      </c>
      <c r="X44" s="154"/>
      <c r="Y44" s="142">
        <f t="shared" si="22"/>
        <v>3.2885375494071147E-2</v>
      </c>
      <c r="Z44" s="142">
        <f t="shared" si="22"/>
        <v>5.5889328063241123E-2</v>
      </c>
      <c r="AA44" s="142">
        <f t="shared" si="22"/>
        <v>6.9407114624505953E-2</v>
      </c>
      <c r="AB44" s="142">
        <f t="shared" si="22"/>
        <v>6.9288537549407128E-2</v>
      </c>
      <c r="AC44" s="142">
        <f t="shared" si="22"/>
        <v>3.0019762845849809E-2</v>
      </c>
      <c r="AD44" s="142">
        <f t="shared" si="22"/>
        <v>1.2420948616600798E-2</v>
      </c>
      <c r="AE44" s="142">
        <f t="shared" si="22"/>
        <v>6.2007905138339982E-3</v>
      </c>
      <c r="AF44" s="142">
        <f t="shared" si="22"/>
        <v>0</v>
      </c>
      <c r="AH44" s="158">
        <f t="shared" si="13"/>
        <v>3.5573122529644272E-2</v>
      </c>
      <c r="AI44" s="158">
        <f t="shared" si="14"/>
        <v>0.12055335968379446</v>
      </c>
      <c r="AJ44" s="158">
        <f t="shared" si="14"/>
        <v>0.25296442687747034</v>
      </c>
      <c r="AK44" s="158">
        <f t="shared" si="14"/>
        <v>0.45355731225296442</v>
      </c>
      <c r="AL44" s="158">
        <f t="shared" si="14"/>
        <v>0.59980237154150196</v>
      </c>
      <c r="AM44" s="158">
        <f t="shared" si="14"/>
        <v>0.70158102766798414</v>
      </c>
      <c r="AN44" s="158">
        <f t="shared" si="14"/>
        <v>0.83498023715415015</v>
      </c>
      <c r="AO44" s="158">
        <v>1</v>
      </c>
      <c r="AP44" s="143"/>
      <c r="AQ44" s="143">
        <f t="shared" si="24"/>
        <v>-3.3078794515043614E-3</v>
      </c>
      <c r="AR44" s="143">
        <f t="shared" si="24"/>
        <v>3.7158436261258719E-2</v>
      </c>
      <c r="AS44" s="143">
        <f t="shared" si="24"/>
        <v>9.0053511145779669E-2</v>
      </c>
      <c r="AT44" s="143">
        <f t="shared" si="24"/>
        <v>0.16924581812209177</v>
      </c>
      <c r="AU44" s="143">
        <f t="shared" si="24"/>
        <v>0.14220571266759932</v>
      </c>
      <c r="AV44" s="143">
        <f t="shared" si="24"/>
        <v>0.11136167060674275</v>
      </c>
      <c r="AW44" s="143">
        <f t="shared" si="24"/>
        <v>0.16858428562757033</v>
      </c>
      <c r="AX44" s="143">
        <f t="shared" si="24"/>
        <v>0.28469844502046165</v>
      </c>
      <c r="AY44" s="46"/>
      <c r="AZ44" s="152">
        <f>Shares!D85</f>
        <v>3.6</v>
      </c>
      <c r="BA44" s="152">
        <f>Shares!E85</f>
        <v>8.6</v>
      </c>
      <c r="BB44" s="152">
        <f>Shares!F85</f>
        <v>13.4</v>
      </c>
      <c r="BC44" s="152">
        <f>Shares!G85</f>
        <v>20.3</v>
      </c>
      <c r="BD44" s="152">
        <f>Shares!J85</f>
        <v>14.8</v>
      </c>
      <c r="BE44" s="152">
        <f>Shares!K85</f>
        <v>10.3</v>
      </c>
      <c r="BF44" s="152">
        <f>Shares!L85</f>
        <v>13.5</v>
      </c>
      <c r="BG44" s="152">
        <f>Shares!M85</f>
        <v>16.7</v>
      </c>
      <c r="BI44" s="246">
        <f>TxRt!B$53-TxRt!C$53+TxRt!C88</f>
        <v>-2</v>
      </c>
      <c r="BJ44" s="246">
        <f>TxRt!B$96-TxRt!C$96+TxRt!C131</f>
        <v>9.3000000000000007</v>
      </c>
      <c r="BK44" s="246">
        <f>TxRt!B$136-TxRt!C$136+TxRt!C171</f>
        <v>14.5</v>
      </c>
      <c r="BL44" s="246">
        <f>TxRt!B$176-TxRt!C$176+TxRt!C211</f>
        <v>18</v>
      </c>
      <c r="BM44" s="246">
        <f>TxRt!B$256-TxRt!C$256+TxRt!C291</f>
        <v>20.700000000000003</v>
      </c>
      <c r="BN44" s="246">
        <f>TxRt!B$296-TxRt!C$296+TxRt!C331</f>
        <v>23</v>
      </c>
      <c r="BO44" s="246">
        <f>TxRt!B$336-TxRt!C$336+TxRt!C371</f>
        <v>26.900000000000002</v>
      </c>
      <c r="BP44" s="246">
        <f>TxRt!B$376-TxRt!C$376+TxRt!C411</f>
        <v>36.5</v>
      </c>
      <c r="BQ44" s="46"/>
      <c r="BR44" s="60">
        <f>Inc!B85</f>
        <v>19400</v>
      </c>
      <c r="BS44" s="60">
        <f>Inc!B125</f>
        <v>42700</v>
      </c>
      <c r="BT44" s="60">
        <f>Inc!B165</f>
        <v>69600</v>
      </c>
      <c r="BU44" s="60">
        <f>Inc!B205</f>
        <v>105800</v>
      </c>
      <c r="BV44" s="60">
        <f>Inc!B285</f>
        <v>153200</v>
      </c>
      <c r="BW44" s="60">
        <f>Inc!B325</f>
        <v>209200</v>
      </c>
      <c r="BX44" s="60">
        <f>Inc!B365</f>
        <v>346600</v>
      </c>
      <c r="BY44" s="60">
        <f>Inc!B405</f>
        <v>1797400</v>
      </c>
      <c r="CA44" s="60">
        <f t="shared" si="25"/>
        <v>-388</v>
      </c>
      <c r="CB44" s="60">
        <f t="shared" si="25"/>
        <v>3971.1000000000004</v>
      </c>
      <c r="CC44" s="60">
        <f t="shared" si="25"/>
        <v>10092</v>
      </c>
      <c r="CD44" s="60">
        <f t="shared" si="25"/>
        <v>19044</v>
      </c>
      <c r="CE44" s="60">
        <f t="shared" si="25"/>
        <v>31712.400000000005</v>
      </c>
      <c r="CF44" s="60">
        <f t="shared" si="25"/>
        <v>48116</v>
      </c>
      <c r="CG44" s="60">
        <f t="shared" si="25"/>
        <v>93235.4</v>
      </c>
      <c r="CH44" s="60">
        <f t="shared" si="23"/>
        <v>656051</v>
      </c>
      <c r="CJ44" s="153">
        <f t="shared" si="15"/>
        <v>-9147.1</v>
      </c>
      <c r="CK44" s="153">
        <f t="shared" si="7"/>
        <v>102752.21250000002</v>
      </c>
      <c r="CL44" s="153">
        <f t="shared" si="7"/>
        <v>249020.10000000003</v>
      </c>
      <c r="CM44" s="153">
        <f t="shared" si="7"/>
        <v>468006.30000000005</v>
      </c>
      <c r="CN44" s="153">
        <f t="shared" si="7"/>
        <v>393233.76000000007</v>
      </c>
      <c r="CO44" s="153">
        <f t="shared" si="7"/>
        <v>307942.40000000002</v>
      </c>
      <c r="CP44" s="153">
        <f t="shared" si="7"/>
        <v>466177</v>
      </c>
      <c r="CQ44" s="153">
        <f t="shared" si="7"/>
        <v>787261.2</v>
      </c>
      <c r="CR44" s="153">
        <f t="shared" si="16"/>
        <v>2765245.8725000005</v>
      </c>
      <c r="CT44" s="403">
        <v>310.39999999999998</v>
      </c>
      <c r="CU44" s="276">
        <f>Dem!B85+(DD44/4)</f>
        <v>23.575000000000003</v>
      </c>
      <c r="CV44" s="276">
        <f>Dem!B125+(DD44/4)</f>
        <v>25.875000000000004</v>
      </c>
      <c r="CW44" s="276">
        <f>Dem!B165+(DD44/4)</f>
        <v>24.675000000000004</v>
      </c>
      <c r="CX44" s="276">
        <f>Dem!B205+(DD44/4)</f>
        <v>24.575000000000003</v>
      </c>
      <c r="CY44" s="276">
        <f>Dem!B285</f>
        <v>12.4</v>
      </c>
      <c r="CZ44" s="276">
        <f>Dem!B325</f>
        <v>6.4</v>
      </c>
      <c r="DA44" s="276">
        <f>Dem!B365</f>
        <v>5</v>
      </c>
      <c r="DB44" s="276">
        <f>Dem!B405</f>
        <v>1.2</v>
      </c>
      <c r="DC44" s="275">
        <v>124.7</v>
      </c>
      <c r="DD44" s="46">
        <v>-0.49999999999998579</v>
      </c>
      <c r="DE44" s="275"/>
      <c r="DF44" s="276">
        <f>Dem!$D85+(DO44/4)</f>
        <v>60.350000000000009</v>
      </c>
      <c r="DG44" s="276">
        <f>Dem!$D125+(DO44/4)</f>
        <v>61.750000000000007</v>
      </c>
      <c r="DH44" s="276">
        <f>Dem!$D165+(DO44/4)</f>
        <v>61.750000000000007</v>
      </c>
      <c r="DI44" s="276">
        <f>Dem!$D205+(DO44/4)</f>
        <v>61.750000000000007</v>
      </c>
      <c r="DJ44" s="275">
        <f>Dem!$D285</f>
        <v>31</v>
      </c>
      <c r="DK44" s="275">
        <f>Dem!$D325</f>
        <v>15.5</v>
      </c>
      <c r="DL44" s="275">
        <f>Dem!$D365</f>
        <v>12.4</v>
      </c>
      <c r="DM44" s="275">
        <f>Dem!$D405</f>
        <v>3.1</v>
      </c>
      <c r="DN44" s="276">
        <f t="shared" si="17"/>
        <v>310.39999999999998</v>
      </c>
      <c r="DO44" s="44">
        <v>-1.3999999999999773</v>
      </c>
    </row>
    <row r="45" spans="1:119">
      <c r="A45" s="46">
        <f t="shared" si="18"/>
        <v>2015</v>
      </c>
      <c r="B45" s="141">
        <f t="shared" si="8"/>
        <v>0.2260234873585063</v>
      </c>
      <c r="C45" s="46"/>
      <c r="D45" s="141">
        <f t="shared" si="9"/>
        <v>0.77315537284715397</v>
      </c>
      <c r="E45" s="141">
        <f t="shared" si="10"/>
        <v>0.54713188548864766</v>
      </c>
      <c r="F45" s="46"/>
      <c r="G45" s="157">
        <f t="shared" si="11"/>
        <v>4.0716026826690094E-2</v>
      </c>
      <c r="H45" s="157">
        <f t="shared" si="11"/>
        <v>7.3063894757522563E-2</v>
      </c>
      <c r="I45" s="157">
        <f t="shared" si="11"/>
        <v>9.4804071715907295E-2</v>
      </c>
      <c r="J45" s="157">
        <f t="shared" si="11"/>
        <v>0.10089579206590459</v>
      </c>
      <c r="K45" s="157">
        <f t="shared" si="11"/>
        <v>4.6102410829231028E-2</v>
      </c>
      <c r="L45" s="157">
        <f t="shared" si="11"/>
        <v>2.0074310685166671E-2</v>
      </c>
      <c r="M45" s="157">
        <f t="shared" si="11"/>
        <v>1.0921179543154733E-2</v>
      </c>
      <c r="N45" s="157">
        <f t="shared" si="11"/>
        <v>0</v>
      </c>
      <c r="O45" s="161">
        <v>0</v>
      </c>
      <c r="P45" s="154">
        <f t="shared" si="19"/>
        <v>-3.5801341334504352E-3</v>
      </c>
      <c r="Q45" s="154">
        <f t="shared" si="20"/>
        <v>3.4680526212387208E-2</v>
      </c>
      <c r="R45" s="154">
        <f t="shared" si="20"/>
        <v>0.12597964142046364</v>
      </c>
      <c r="S45" s="154">
        <f t="shared" si="20"/>
        <v>0.29552103967047716</v>
      </c>
      <c r="T45" s="154">
        <f t="shared" si="20"/>
        <v>0.43897589170768975</v>
      </c>
      <c r="U45" s="154">
        <f t="shared" si="20"/>
        <v>0.54851378629666669</v>
      </c>
      <c r="V45" s="154">
        <f t="shared" si="20"/>
        <v>0.71697051142113177</v>
      </c>
      <c r="W45" s="162">
        <f t="shared" si="21"/>
        <v>1</v>
      </c>
      <c r="X45" s="154"/>
      <c r="Y45" s="142">
        <f t="shared" si="22"/>
        <v>3.2694965449160909E-2</v>
      </c>
      <c r="Z45" s="142">
        <f t="shared" si="22"/>
        <v>5.5518262586377098E-2</v>
      </c>
      <c r="AA45" s="142">
        <f t="shared" si="22"/>
        <v>6.8667324777887478E-2</v>
      </c>
      <c r="AB45" s="142">
        <f t="shared" si="22"/>
        <v>6.85883514313919E-2</v>
      </c>
      <c r="AC45" s="142">
        <f t="shared" si="22"/>
        <v>2.9684106614017759E-2</v>
      </c>
      <c r="AD45" s="142">
        <f t="shared" si="22"/>
        <v>1.2258144126357352E-2</v>
      </c>
      <c r="AE45" s="142">
        <f t="shared" si="22"/>
        <v>6.1547877591312927E-3</v>
      </c>
      <c r="AF45" s="142">
        <f t="shared" si="22"/>
        <v>0</v>
      </c>
      <c r="AG45" s="161">
        <v>0</v>
      </c>
      <c r="AH45" s="158">
        <f t="shared" si="13"/>
        <v>3.6525172754195465E-2</v>
      </c>
      <c r="AI45" s="158">
        <f t="shared" si="14"/>
        <v>0.12240868706811453</v>
      </c>
      <c r="AJ45" s="158">
        <f t="shared" si="14"/>
        <v>0.25666337611056272</v>
      </c>
      <c r="AK45" s="158">
        <f t="shared" si="14"/>
        <v>0.45705824284304053</v>
      </c>
      <c r="AL45" s="158">
        <f t="shared" si="14"/>
        <v>0.60315893385982244</v>
      </c>
      <c r="AM45" s="158">
        <f t="shared" si="14"/>
        <v>0.70483711747285305</v>
      </c>
      <c r="AN45" s="158">
        <f t="shared" si="14"/>
        <v>0.83613030602171778</v>
      </c>
      <c r="AO45" s="158">
        <v>1</v>
      </c>
      <c r="AP45" s="143"/>
      <c r="AQ45" s="143">
        <f t="shared" si="24"/>
        <v>-3.5801341334504352E-3</v>
      </c>
      <c r="AR45" s="143">
        <f t="shared" si="24"/>
        <v>3.8260660345837645E-2</v>
      </c>
      <c r="AS45" s="143">
        <f t="shared" si="24"/>
        <v>9.1299115208076431E-2</v>
      </c>
      <c r="AT45" s="143">
        <f t="shared" si="24"/>
        <v>0.16954139825001352</v>
      </c>
      <c r="AU45" s="143">
        <f t="shared" si="24"/>
        <v>0.14345485203721259</v>
      </c>
      <c r="AV45" s="143">
        <f t="shared" si="24"/>
        <v>0.10953789458897698</v>
      </c>
      <c r="AW45" s="143">
        <f t="shared" si="24"/>
        <v>0.16845672512446508</v>
      </c>
      <c r="AX45" s="143">
        <f t="shared" si="24"/>
        <v>0.28302948857886823</v>
      </c>
      <c r="AY45" s="46"/>
      <c r="AZ45" s="152">
        <f>Shares!D86</f>
        <v>3.7</v>
      </c>
      <c r="BA45" s="152">
        <f>Shares!E86</f>
        <v>8.6999999999999993</v>
      </c>
      <c r="BB45" s="152">
        <f>Shares!F86</f>
        <v>13.6</v>
      </c>
      <c r="BC45" s="152">
        <f>Shares!G86</f>
        <v>20.3</v>
      </c>
      <c r="BD45" s="152">
        <f>Shares!J86</f>
        <v>14.8</v>
      </c>
      <c r="BE45" s="152">
        <f>Shares!K86</f>
        <v>10.3</v>
      </c>
      <c r="BF45" s="152">
        <f>Shares!L86</f>
        <v>13.3</v>
      </c>
      <c r="BG45" s="152">
        <f>Shares!M86</f>
        <v>16.600000000000001</v>
      </c>
      <c r="BI45" s="246">
        <f>TxRt!B$53-TxRt!C$53+TxRt!C89</f>
        <v>-2.0999999999999996</v>
      </c>
      <c r="BJ45" s="246">
        <f>TxRt!B$96-TxRt!C$96+TxRt!C132</f>
        <v>9.6</v>
      </c>
      <c r="BK45" s="246">
        <f>TxRt!B$136-TxRt!C$136+TxRt!C172</f>
        <v>14.700000000000001</v>
      </c>
      <c r="BL45" s="246">
        <f>TxRt!B$176-TxRt!C$176+TxRt!C212</f>
        <v>18.2</v>
      </c>
      <c r="BM45" s="246">
        <f>TxRt!B$256-TxRt!C$256+TxRt!C292</f>
        <v>21</v>
      </c>
      <c r="BN45" s="246">
        <f>TxRt!B$296-TxRt!C$296+TxRt!C332</f>
        <v>23.299999999999997</v>
      </c>
      <c r="BO45" s="246">
        <f>TxRt!B$336-TxRt!C$336+TxRt!C372</f>
        <v>27.2</v>
      </c>
      <c r="BP45" s="246">
        <f>TxRt!B$376-TxRt!C$376+TxRt!C412</f>
        <v>36.5</v>
      </c>
      <c r="BQ45" s="46"/>
      <c r="BR45" s="60">
        <f>Inc!B86</f>
        <v>20500</v>
      </c>
      <c r="BS45" s="60">
        <f>Inc!B126</f>
        <v>44600</v>
      </c>
      <c r="BT45" s="60">
        <f>Inc!B166</f>
        <v>72000</v>
      </c>
      <c r="BU45" s="60">
        <f>Inc!B206</f>
        <v>109300</v>
      </c>
      <c r="BV45" s="60">
        <f>Inc!B286</f>
        <v>158700</v>
      </c>
      <c r="BW45" s="60">
        <f>Inc!B326</f>
        <v>216700</v>
      </c>
      <c r="BX45" s="60">
        <f>Inc!B366</f>
        <v>359700</v>
      </c>
      <c r="BY45" s="60">
        <f>Inc!B406</f>
        <v>1876500</v>
      </c>
      <c r="CA45" s="60">
        <f t="shared" si="25"/>
        <v>-430.49999999999994</v>
      </c>
      <c r="CB45" s="60">
        <f t="shared" si="25"/>
        <v>4281.6000000000004</v>
      </c>
      <c r="CC45" s="60">
        <f t="shared" si="25"/>
        <v>10584</v>
      </c>
      <c r="CD45" s="60">
        <f t="shared" si="25"/>
        <v>19892.599999999999</v>
      </c>
      <c r="CE45" s="60">
        <f t="shared" si="25"/>
        <v>33327</v>
      </c>
      <c r="CF45" s="60">
        <f t="shared" si="25"/>
        <v>50491.099999999991</v>
      </c>
      <c r="CG45" s="60">
        <f t="shared" si="25"/>
        <v>97838.399999999994</v>
      </c>
      <c r="CH45" s="60">
        <f t="shared" si="23"/>
        <v>684922.5</v>
      </c>
      <c r="CJ45" s="153">
        <f t="shared" si="15"/>
        <v>-10396.574999999999</v>
      </c>
      <c r="CK45" s="153">
        <f t="shared" si="7"/>
        <v>111107.52000000002</v>
      </c>
      <c r="CL45" s="153">
        <f t="shared" si="7"/>
        <v>265129.2</v>
      </c>
      <c r="CM45" s="153">
        <f t="shared" si="7"/>
        <v>492341.85</v>
      </c>
      <c r="CN45" s="153">
        <f>CE45*CY45</f>
        <v>416587.5</v>
      </c>
      <c r="CO45" s="153">
        <f>CF45*CZ45</f>
        <v>318093.92999999993</v>
      </c>
      <c r="CP45" s="153">
        <f>CG45*DA45</f>
        <v>489192</v>
      </c>
      <c r="CQ45" s="153">
        <f>CH45*DB45</f>
        <v>821907</v>
      </c>
      <c r="CR45" s="153">
        <f t="shared" si="16"/>
        <v>2903962.4249999998</v>
      </c>
      <c r="CT45" s="403">
        <v>311.5</v>
      </c>
      <c r="CU45" s="276">
        <f>Dem!B86+(DD45/4)</f>
        <v>24.150000000000002</v>
      </c>
      <c r="CV45" s="276">
        <f>Dem!B126+(DD45/4)</f>
        <v>25.950000000000003</v>
      </c>
      <c r="CW45" s="276">
        <f>Dem!B166+(DD45/4)</f>
        <v>25.05</v>
      </c>
      <c r="CX45" s="276">
        <f>Dem!B206+(DD45/4)</f>
        <v>24.75</v>
      </c>
      <c r="CY45" s="276">
        <f>Dem!B286</f>
        <v>12.5</v>
      </c>
      <c r="CZ45" s="276">
        <f>Dem!B326</f>
        <v>6.3</v>
      </c>
      <c r="DA45" s="276">
        <f>Dem!B366</f>
        <v>5</v>
      </c>
      <c r="DB45" s="276">
        <f>Dem!B406</f>
        <v>1.2</v>
      </c>
      <c r="DC45" s="275">
        <v>126.1</v>
      </c>
      <c r="DD45" s="46">
        <v>-0.59999999999999432</v>
      </c>
      <c r="DE45" s="275"/>
      <c r="DF45" s="276">
        <f>Dem!$D86+(DO45/4)</f>
        <v>60.7</v>
      </c>
      <c r="DG45" s="276">
        <f>Dem!$D126+(DO45/4)</f>
        <v>62</v>
      </c>
      <c r="DH45" s="276">
        <f>Dem!$D166+(DO45/4)</f>
        <v>62</v>
      </c>
      <c r="DI45" s="276">
        <f>Dem!$D206+(DO45/4)</f>
        <v>62</v>
      </c>
      <c r="DJ45" s="275">
        <f>Dem!$D286</f>
        <v>31.2</v>
      </c>
      <c r="DK45" s="275">
        <f>Dem!$D326</f>
        <v>15.6</v>
      </c>
      <c r="DL45" s="275">
        <f>Dem!$D366</f>
        <v>12.5</v>
      </c>
      <c r="DM45" s="275">
        <f>Dem!$D406</f>
        <v>3.1</v>
      </c>
      <c r="DN45" s="276">
        <f t="shared" si="17"/>
        <v>311.5</v>
      </c>
      <c r="DO45" s="44">
        <v>-1.1999999999999886</v>
      </c>
    </row>
    <row r="46" spans="1:119">
      <c r="A46" s="46">
        <f t="shared" si="18"/>
        <v>2016</v>
      </c>
      <c r="B46" s="141">
        <f t="shared" si="8"/>
        <v>0.22269885727044691</v>
      </c>
      <c r="C46" s="46"/>
      <c r="D46" s="141">
        <f t="shared" si="9"/>
        <v>0.76162684935748948</v>
      </c>
      <c r="E46" s="141">
        <f t="shared" si="10"/>
        <v>0.53892799208704256</v>
      </c>
      <c r="F46" s="46"/>
      <c r="G46" s="157">
        <f t="shared" si="11"/>
        <v>4.0497769569044967E-2</v>
      </c>
      <c r="H46" s="157">
        <f t="shared" si="11"/>
        <v>7.2546345502058102E-2</v>
      </c>
      <c r="I46" s="157">
        <f t="shared" si="11"/>
        <v>9.3877191323967865E-2</v>
      </c>
      <c r="J46" s="157">
        <f t="shared" si="11"/>
        <v>9.9120041437685935E-2</v>
      </c>
      <c r="K46" s="157">
        <f t="shared" si="11"/>
        <v>4.4966784159056875E-2</v>
      </c>
      <c r="L46" s="157">
        <f t="shared" si="11"/>
        <v>1.9378470060022385E-2</v>
      </c>
      <c r="M46" s="157">
        <f t="shared" si="11"/>
        <v>1.0426822626908559E-2</v>
      </c>
      <c r="N46" s="157">
        <f t="shared" si="11"/>
        <v>0</v>
      </c>
      <c r="O46" s="161">
        <v>0</v>
      </c>
      <c r="P46" s="154">
        <f t="shared" si="19"/>
        <v>-2.4888478452248057E-3</v>
      </c>
      <c r="Q46" s="154">
        <f t="shared" si="20"/>
        <v>3.7268272489709528E-2</v>
      </c>
      <c r="R46" s="154">
        <f t="shared" si="20"/>
        <v>0.1306140433801608</v>
      </c>
      <c r="S46" s="154">
        <f t="shared" si="20"/>
        <v>0.30439979281157037</v>
      </c>
      <c r="T46" s="154">
        <f t="shared" si="20"/>
        <v>0.4503321584094313</v>
      </c>
      <c r="U46" s="154">
        <f t="shared" si="20"/>
        <v>0.56243059879955237</v>
      </c>
      <c r="V46" s="154">
        <f t="shared" si="20"/>
        <v>0.72932943432728614</v>
      </c>
      <c r="W46" s="162">
        <f t="shared" si="21"/>
        <v>1</v>
      </c>
      <c r="X46" s="154"/>
      <c r="Y46" s="142">
        <f t="shared" si="22"/>
        <v>3.2482690405539076E-2</v>
      </c>
      <c r="Z46" s="142">
        <f t="shared" si="22"/>
        <v>5.4876360039564788E-2</v>
      </c>
      <c r="AA46" s="142">
        <f t="shared" si="22"/>
        <v>6.797230464886253E-2</v>
      </c>
      <c r="AB46" s="142">
        <f t="shared" si="22"/>
        <v>6.7418397626112778E-2</v>
      </c>
      <c r="AC46" s="142">
        <f t="shared" si="22"/>
        <v>2.8971315529179031E-2</v>
      </c>
      <c r="AD46" s="142">
        <f t="shared" si="22"/>
        <v>1.1891691394658755E-2</v>
      </c>
      <c r="AE46" s="142">
        <f t="shared" si="22"/>
        <v>5.8512363996043558E-3</v>
      </c>
      <c r="AF46" s="142">
        <f t="shared" si="22"/>
        <v>0</v>
      </c>
      <c r="AG46" s="161">
        <v>0</v>
      </c>
      <c r="AH46" s="158">
        <f t="shared" si="13"/>
        <v>3.7586547972304651E-2</v>
      </c>
      <c r="AI46" s="158">
        <f t="shared" si="14"/>
        <v>0.12561819980217609</v>
      </c>
      <c r="AJ46" s="158">
        <f t="shared" si="14"/>
        <v>0.26013847675568746</v>
      </c>
      <c r="AK46" s="158">
        <f t="shared" si="14"/>
        <v>0.4629080118694362</v>
      </c>
      <c r="AL46" s="158">
        <f t="shared" si="14"/>
        <v>0.61028684470820971</v>
      </c>
      <c r="AM46" s="158">
        <f t="shared" si="14"/>
        <v>0.71216617210682498</v>
      </c>
      <c r="AN46" s="158">
        <f t="shared" si="14"/>
        <v>0.8437190900098912</v>
      </c>
      <c r="AO46" s="158">
        <v>1</v>
      </c>
      <c r="AP46" s="143"/>
      <c r="AQ46" s="143">
        <f t="shared" si="24"/>
        <v>-2.4888478452248057E-3</v>
      </c>
      <c r="AR46" s="143">
        <f t="shared" si="24"/>
        <v>3.9757120334934337E-2</v>
      </c>
      <c r="AS46" s="143">
        <f t="shared" si="24"/>
        <v>9.3345770890451291E-2</v>
      </c>
      <c r="AT46" s="143">
        <f t="shared" si="24"/>
        <v>0.17378574943140954</v>
      </c>
      <c r="AU46" s="143">
        <f t="shared" si="24"/>
        <v>0.14593236559786094</v>
      </c>
      <c r="AV46" s="143">
        <f t="shared" si="24"/>
        <v>0.11209844039012107</v>
      </c>
      <c r="AW46" s="143">
        <f t="shared" si="24"/>
        <v>0.16689883552773374</v>
      </c>
      <c r="AX46" s="143">
        <f t="shared" si="24"/>
        <v>0.27067056567271386</v>
      </c>
      <c r="AY46" s="46"/>
      <c r="AZ46" s="152">
        <f>Shares!D87</f>
        <v>3.8</v>
      </c>
      <c r="BA46" s="152">
        <f>Shares!E87</f>
        <v>8.9</v>
      </c>
      <c r="BB46" s="152">
        <f>Shares!F87</f>
        <v>13.6</v>
      </c>
      <c r="BC46" s="152">
        <f>Shares!G87</f>
        <v>20.5</v>
      </c>
      <c r="BD46" s="152">
        <f>Shares!J87</f>
        <v>14.9</v>
      </c>
      <c r="BE46" s="152">
        <f>Shares!K87</f>
        <v>10.3</v>
      </c>
      <c r="BF46" s="152">
        <f>Shares!L87</f>
        <v>13.3</v>
      </c>
      <c r="BG46" s="152">
        <f>Shares!M87</f>
        <v>15.8</v>
      </c>
      <c r="BI46" s="246">
        <f>TxRt!B$53-TxRt!C$53+TxRt!C90</f>
        <v>-1.4000000000000004</v>
      </c>
      <c r="BJ46" s="246">
        <f>TxRt!B$96-TxRt!C$96+TxRt!C133</f>
        <v>9.7000000000000011</v>
      </c>
      <c r="BK46" s="246">
        <f>TxRt!B$136-TxRt!C$136+TxRt!C173</f>
        <v>14.8</v>
      </c>
      <c r="BL46" s="246">
        <f>TxRt!B$176-TxRt!C$176+TxRt!C213</f>
        <v>18.3</v>
      </c>
      <c r="BM46" s="246">
        <f>TxRt!B$256-TxRt!C$256+TxRt!C293</f>
        <v>21</v>
      </c>
      <c r="BN46" s="246">
        <f>TxRt!B$296-TxRt!C$296+TxRt!C333</f>
        <v>23.4</v>
      </c>
      <c r="BO46" s="246">
        <f>TxRt!B$336-TxRt!C$336+TxRt!C373</f>
        <v>27.2</v>
      </c>
      <c r="BP46" s="246">
        <f>TxRt!B$376-TxRt!C$376+TxRt!C413</f>
        <v>36.200000000000003</v>
      </c>
      <c r="BQ46" s="46"/>
      <c r="BR46" s="60">
        <f>Inc!B87</f>
        <v>20600</v>
      </c>
      <c r="BS46" s="60">
        <f>Inc!B127</f>
        <v>45300</v>
      </c>
      <c r="BT46" s="60">
        <f>Inc!B167</f>
        <v>72500</v>
      </c>
      <c r="BU46" s="60">
        <f>Inc!B207</f>
        <v>109600</v>
      </c>
      <c r="BV46" s="60">
        <f>Inc!B287</f>
        <v>159600</v>
      </c>
      <c r="BW46" s="60">
        <f>Inc!B327</f>
        <v>218300</v>
      </c>
      <c r="BX46" s="60">
        <f>Inc!B367</f>
        <v>359500</v>
      </c>
      <c r="BY46" s="60">
        <f>Inc!B407</f>
        <v>1788800</v>
      </c>
      <c r="CA46" s="60">
        <f t="shared" si="25"/>
        <v>-288.40000000000009</v>
      </c>
      <c r="CB46" s="60">
        <f t="shared" si="25"/>
        <v>4394.1000000000004</v>
      </c>
      <c r="CC46" s="60">
        <f t="shared" si="25"/>
        <v>10730</v>
      </c>
      <c r="CD46" s="60">
        <f t="shared" si="25"/>
        <v>20056.8</v>
      </c>
      <c r="CE46" s="60">
        <f t="shared" si="25"/>
        <v>33516</v>
      </c>
      <c r="CF46" s="60">
        <f t="shared" si="25"/>
        <v>51082.2</v>
      </c>
      <c r="CG46" s="60">
        <f t="shared" si="25"/>
        <v>97784</v>
      </c>
      <c r="CH46" s="60">
        <f t="shared" si="23"/>
        <v>647545.60000000009</v>
      </c>
      <c r="CJ46" s="153">
        <f>CA46*CU46</f>
        <v>-7145.1100000000015</v>
      </c>
      <c r="CK46" s="153">
        <f t="shared" ref="CK46:CQ46" si="26">CB46*CV46</f>
        <v>114136.74750000001</v>
      </c>
      <c r="CL46" s="153">
        <f t="shared" si="26"/>
        <v>267981.75</v>
      </c>
      <c r="CM46" s="153">
        <f t="shared" si="26"/>
        <v>498912.89999999997</v>
      </c>
      <c r="CN46" s="153">
        <f t="shared" si="26"/>
        <v>418950</v>
      </c>
      <c r="CO46" s="153">
        <f t="shared" si="26"/>
        <v>321817.86</v>
      </c>
      <c r="CP46" s="153">
        <f t="shared" si="26"/>
        <v>479141.60000000003</v>
      </c>
      <c r="CQ46" s="153">
        <f t="shared" si="26"/>
        <v>777054.72000000009</v>
      </c>
      <c r="CR46" s="153">
        <f t="shared" si="16"/>
        <v>2870850.4675000003</v>
      </c>
      <c r="CT46" s="403">
        <v>311.89999999999998</v>
      </c>
      <c r="CU46" s="276">
        <f>Dem!B87+(DD46/4)</f>
        <v>24.774999999999999</v>
      </c>
      <c r="CV46" s="276">
        <f>Dem!B127+(DD46/4)</f>
        <v>25.975000000000001</v>
      </c>
      <c r="CW46" s="276">
        <f>Dem!B167+(DD46/4)</f>
        <v>24.975000000000001</v>
      </c>
      <c r="CX46" s="276">
        <f>Dem!B207+(DD46/4)</f>
        <v>24.875</v>
      </c>
      <c r="CY46" s="276">
        <f>Dem!B287</f>
        <v>12.5</v>
      </c>
      <c r="CZ46" s="276">
        <f>Dem!B327</f>
        <v>6.3</v>
      </c>
      <c r="DA46" s="276">
        <f>Dem!B367</f>
        <v>4.9000000000000004</v>
      </c>
      <c r="DB46" s="276">
        <f>Dem!B407</f>
        <v>1.2</v>
      </c>
      <c r="DC46" s="275">
        <v>126.5</v>
      </c>
      <c r="DD46" s="46">
        <v>-0.5</v>
      </c>
      <c r="DE46" s="275"/>
      <c r="DF46" s="276">
        <f>Dem!$D87+(DO46/4)</f>
        <v>60.925000000000026</v>
      </c>
      <c r="DG46" s="276">
        <f>Dem!$D127+(DO46/4)</f>
        <v>62.125000000000021</v>
      </c>
      <c r="DH46" s="276">
        <f>Dem!$D167+(DO46/4)</f>
        <v>62.125000000000021</v>
      </c>
      <c r="DI46" s="276">
        <f>Dem!$D207+(DO46/4)</f>
        <v>62.125000000000021</v>
      </c>
      <c r="DJ46" s="275">
        <f>Dem!$D287</f>
        <v>31.2</v>
      </c>
      <c r="DK46" s="275">
        <f>Dem!$D327</f>
        <v>15.6</v>
      </c>
      <c r="DL46" s="275">
        <f>Dem!$D367</f>
        <v>12.5</v>
      </c>
      <c r="DM46" s="275">
        <f>Dem!$D407</f>
        <v>3.1</v>
      </c>
      <c r="DN46" s="276">
        <f t="shared" si="17"/>
        <v>311.89999999999998</v>
      </c>
      <c r="DO46" s="44">
        <v>-1.0999999999999091</v>
      </c>
    </row>
    <row r="47" spans="1:119">
      <c r="A47" s="201" t="s">
        <v>154</v>
      </c>
      <c r="B47" s="451">
        <f>(B46-B9)/B9</f>
        <v>0.5382293211206951</v>
      </c>
      <c r="C47" s="451"/>
      <c r="AZ47" s="148" t="s">
        <v>651</v>
      </c>
    </row>
    <row r="48" spans="1:119">
      <c r="A48" s="201" t="s">
        <v>791</v>
      </c>
      <c r="B48" s="451">
        <f>(B46-B16)/B16</f>
        <v>0.72899901695287084</v>
      </c>
      <c r="C48" s="451"/>
      <c r="AZ48" s="148" t="s">
        <v>652</v>
      </c>
      <c r="CJ48" s="191"/>
      <c r="CK48" s="191"/>
      <c r="CL48" s="191"/>
      <c r="CM48" s="191"/>
      <c r="CN48" s="191"/>
      <c r="CO48" s="191"/>
      <c r="CP48" s="191"/>
      <c r="CQ48" s="191"/>
      <c r="CR48" s="191"/>
    </row>
    <row r="49" spans="70:71">
      <c r="BR49" s="577" t="e">
        <f>SUMPRODUCT(#REF!,#REF!)*0.985</f>
        <v>#REF!</v>
      </c>
      <c r="BS49" s="578" t="s">
        <v>630</v>
      </c>
    </row>
  </sheetData>
  <mergeCells count="16">
    <mergeCell ref="Y7:AF7"/>
    <mergeCell ref="B7:B8"/>
    <mergeCell ref="D7:D8"/>
    <mergeCell ref="E7:E8"/>
    <mergeCell ref="G7:N7"/>
    <mergeCell ref="P7:W7"/>
    <mergeCell ref="CJ7:CR7"/>
    <mergeCell ref="CT7:CT8"/>
    <mergeCell ref="CU7:DC7"/>
    <mergeCell ref="DF7:DN7"/>
    <mergeCell ref="AH7:AO7"/>
    <mergeCell ref="AQ7:AX7"/>
    <mergeCell ref="AZ7:BG7"/>
    <mergeCell ref="BI7:BP7"/>
    <mergeCell ref="BR7:BY7"/>
    <mergeCell ref="CA7:CH7"/>
  </mergeCells>
  <hyperlinks>
    <hyperlink ref="L1" location="Index!A1" display="index" xr:uid="{3C34888B-86F3-4632-A004-4298B06C66E9}"/>
  </hyperlinks>
  <pageMargins left="0.7" right="0.7" top="0.75" bottom="0.75" header="0.3" footer="0.3"/>
  <pageSetup orientation="portrait" horizontalDpi="1200" verticalDpi="120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D4A47-A1E2-437B-B29E-AA50BF16E8B8}">
  <sheetPr>
    <tabColor theme="9" tint="0.79998168889431442"/>
  </sheetPr>
  <dimension ref="A1:DO52"/>
  <sheetViews>
    <sheetView zoomScale="85" zoomScaleNormal="85" workbookViewId="0"/>
  </sheetViews>
  <sheetFormatPr defaultRowHeight="15"/>
  <cols>
    <col min="1" max="1" width="8.28515625" style="46" customWidth="1"/>
    <col min="2" max="2" width="10.28515625" style="673" customWidth="1"/>
    <col min="3" max="3" width="6.42578125" style="673" customWidth="1"/>
    <col min="4" max="4" width="19.28515625" style="673" customWidth="1"/>
    <col min="5" max="5" width="12.85546875" style="673" customWidth="1"/>
    <col min="6" max="6" width="4.28515625" style="673" customWidth="1"/>
    <col min="7" max="10" width="5.5703125" style="673" customWidth="1"/>
    <col min="11" max="14" width="7" style="673" customWidth="1"/>
    <col min="15" max="15" width="1.85546875" style="673" customWidth="1"/>
    <col min="16" max="16" width="5.85546875" style="673" customWidth="1"/>
    <col min="17" max="18" width="5.5703125" style="673" customWidth="1"/>
    <col min="19" max="19" width="6" style="673" customWidth="1"/>
    <col min="20" max="23" width="6.5703125" style="673" customWidth="1"/>
    <col min="24" max="24" width="3.42578125" style="673" customWidth="1"/>
    <col min="25" max="28" width="5" style="673" customWidth="1"/>
    <col min="29" max="32" width="5.7109375" style="673" customWidth="1"/>
    <col min="33" max="33" width="2.140625" style="673" customWidth="1"/>
    <col min="34" max="37" width="5.5703125" style="673" customWidth="1"/>
    <col min="38" max="39" width="6.7109375" style="673" customWidth="1"/>
    <col min="40" max="40" width="7.140625" style="673" customWidth="1"/>
    <col min="41" max="41" width="7.28515625" style="673" customWidth="1"/>
    <col min="42" max="42" width="2.28515625" style="673" customWidth="1"/>
    <col min="43" max="50" width="6.140625" style="673" customWidth="1"/>
    <col min="51" max="51" width="3.140625" style="673" customWidth="1"/>
    <col min="52" max="59" width="6.140625" style="673" customWidth="1"/>
    <col min="60" max="60" width="2.5703125" style="673" customWidth="1"/>
    <col min="61" max="68" width="6.5703125" style="673" customWidth="1"/>
    <col min="69" max="69" width="2.140625" style="673" customWidth="1"/>
    <col min="70" max="72" width="5.7109375" style="673" customWidth="1"/>
    <col min="73" max="73" width="6.42578125" style="673" customWidth="1"/>
    <col min="74" max="74" width="7.28515625" style="673" customWidth="1"/>
    <col min="75" max="77" width="7" style="673" customWidth="1"/>
    <col min="78" max="78" width="2" style="673" customWidth="1"/>
    <col min="79" max="82" width="5.5703125" style="673" customWidth="1"/>
    <col min="83" max="86" width="6.28515625" style="673" customWidth="1"/>
    <col min="87" max="87" width="3" style="673" customWidth="1"/>
    <col min="88" max="96" width="7.7109375" style="673" customWidth="1"/>
    <col min="97" max="97" width="3.7109375" style="673" customWidth="1"/>
    <col min="98" max="98" width="17.42578125" style="673" customWidth="1"/>
    <col min="99" max="16384" width="9.140625" style="673"/>
  </cols>
  <sheetData>
    <row r="1" spans="1:119">
      <c r="A1" s="147" t="s">
        <v>814</v>
      </c>
      <c r="L1" s="642" t="s">
        <v>762</v>
      </c>
      <c r="AI1" s="127"/>
    </row>
    <row r="2" spans="1:119">
      <c r="A2" s="103"/>
    </row>
    <row r="3" spans="1:119">
      <c r="A3" s="103"/>
      <c r="P3" s="6" t="s">
        <v>158</v>
      </c>
      <c r="Q3" s="6" t="s">
        <v>159</v>
      </c>
      <c r="R3" s="6" t="s">
        <v>160</v>
      </c>
      <c r="S3" s="6" t="s">
        <v>161</v>
      </c>
      <c r="T3" s="51" t="s">
        <v>33</v>
      </c>
      <c r="U3" s="51" t="s">
        <v>51</v>
      </c>
      <c r="V3" s="51" t="s">
        <v>52</v>
      </c>
      <c r="W3" s="51" t="s">
        <v>28</v>
      </c>
      <c r="CJ3" s="45">
        <v>0.2</v>
      </c>
      <c r="CK3" s="45">
        <v>0.2</v>
      </c>
      <c r="CL3" s="45">
        <v>0.2</v>
      </c>
      <c r="CM3" s="45">
        <v>0.2</v>
      </c>
      <c r="CN3" s="45">
        <v>0.1</v>
      </c>
      <c r="CO3" s="45">
        <v>0.05</v>
      </c>
      <c r="CP3" s="45">
        <v>0.04</v>
      </c>
      <c r="CQ3" s="45">
        <v>0.01</v>
      </c>
      <c r="CR3" s="45">
        <f>SUM(CJ3:CQ3)</f>
        <v>1</v>
      </c>
    </row>
    <row r="4" spans="1:119">
      <c r="A4" s="103"/>
      <c r="M4" s="149" t="s">
        <v>200</v>
      </c>
      <c r="P4" s="45">
        <v>0.2</v>
      </c>
      <c r="Q4" s="45">
        <v>0.2</v>
      </c>
      <c r="R4" s="45">
        <v>0.2</v>
      </c>
      <c r="S4" s="45">
        <v>0.2</v>
      </c>
      <c r="T4" s="45">
        <v>0.1</v>
      </c>
      <c r="U4" s="45">
        <v>0.05</v>
      </c>
      <c r="V4" s="45">
        <v>0.04</v>
      </c>
      <c r="W4" s="45">
        <v>0.01</v>
      </c>
      <c r="X4" s="45"/>
      <c r="Y4" s="45"/>
      <c r="Z4" s="45"/>
      <c r="AA4" s="45"/>
      <c r="AB4" s="45"/>
      <c r="AC4" s="45"/>
      <c r="AD4" s="45"/>
      <c r="AE4" s="45"/>
      <c r="AF4" s="45"/>
      <c r="CJ4" s="45"/>
      <c r="CK4" s="45"/>
      <c r="CL4" s="45"/>
      <c r="CM4" s="45"/>
      <c r="CN4" s="45"/>
      <c r="CO4" s="45"/>
      <c r="CP4" s="45"/>
      <c r="CQ4" s="45"/>
      <c r="CR4" s="45"/>
    </row>
    <row r="5" spans="1:119">
      <c r="A5" s="103"/>
      <c r="F5" s="148"/>
      <c r="G5" s="148"/>
      <c r="H5" s="148"/>
      <c r="I5" s="148"/>
      <c r="J5" s="148"/>
      <c r="K5" s="148"/>
      <c r="L5" s="148"/>
      <c r="M5" s="149" t="s">
        <v>203</v>
      </c>
      <c r="N5" s="148"/>
      <c r="O5" s="673">
        <v>0</v>
      </c>
      <c r="P5" s="45">
        <v>0.2</v>
      </c>
      <c r="Q5" s="45">
        <f>P5+Q4</f>
        <v>0.4</v>
      </c>
      <c r="R5" s="45">
        <f t="shared" ref="R5:W5" si="0">Q5+R4</f>
        <v>0.60000000000000009</v>
      </c>
      <c r="S5" s="45">
        <f t="shared" si="0"/>
        <v>0.8</v>
      </c>
      <c r="T5" s="45">
        <f t="shared" si="0"/>
        <v>0.9</v>
      </c>
      <c r="U5" s="45">
        <f t="shared" si="0"/>
        <v>0.95000000000000007</v>
      </c>
      <c r="V5" s="45">
        <f t="shared" si="0"/>
        <v>0.9900000000000001</v>
      </c>
      <c r="W5" s="45">
        <f t="shared" si="0"/>
        <v>1</v>
      </c>
      <c r="X5" s="45"/>
      <c r="Y5" s="45"/>
      <c r="Z5" s="45"/>
      <c r="AA5" s="45"/>
      <c r="AB5" s="45"/>
      <c r="AC5" s="45"/>
      <c r="AD5" s="45"/>
      <c r="AE5" s="45"/>
      <c r="AF5" s="45"/>
      <c r="AG5" s="45"/>
      <c r="AQ5" s="127"/>
      <c r="AZ5" s="44"/>
      <c r="CJ5" s="45"/>
      <c r="CK5" s="45"/>
      <c r="CL5" s="45"/>
      <c r="CM5" s="45"/>
      <c r="CN5" s="45"/>
      <c r="CO5" s="45"/>
      <c r="CP5" s="45"/>
      <c r="CQ5" s="45"/>
      <c r="CR5" s="45"/>
    </row>
    <row r="6" spans="1:119">
      <c r="CJ6" s="5"/>
      <c r="CK6" s="5"/>
      <c r="CL6" s="5"/>
      <c r="CM6" s="5"/>
      <c r="CN6" s="5"/>
      <c r="CO6" s="5"/>
      <c r="CP6" s="5"/>
      <c r="CQ6" s="5"/>
      <c r="CR6" s="5"/>
      <c r="CU6" s="273"/>
      <c r="CV6" s="191"/>
      <c r="CW6" s="191"/>
      <c r="CX6" s="191"/>
      <c r="CY6" s="191"/>
      <c r="CZ6" s="191"/>
      <c r="DA6" s="191"/>
      <c r="DB6" s="191"/>
      <c r="DC6" s="191"/>
      <c r="DD6" s="191"/>
      <c r="DE6" s="191"/>
      <c r="DF6" s="191"/>
      <c r="DG6" s="191"/>
      <c r="DH6" s="191"/>
      <c r="DI6" s="191"/>
      <c r="DJ6" s="191"/>
      <c r="DK6" s="191"/>
      <c r="DL6" s="191"/>
      <c r="DM6" s="191"/>
      <c r="DN6" s="191"/>
    </row>
    <row r="7" spans="1:119">
      <c r="A7" s="144"/>
      <c r="B7" s="729" t="s">
        <v>193</v>
      </c>
      <c r="C7" s="486"/>
      <c r="D7" s="733" t="s">
        <v>194</v>
      </c>
      <c r="E7" s="733" t="s">
        <v>195</v>
      </c>
      <c r="F7" s="668"/>
      <c r="G7" s="731" t="s">
        <v>201</v>
      </c>
      <c r="H7" s="731"/>
      <c r="I7" s="731"/>
      <c r="J7" s="731"/>
      <c r="K7" s="731"/>
      <c r="L7" s="731"/>
      <c r="M7" s="731"/>
      <c r="N7" s="731"/>
      <c r="O7" s="486"/>
      <c r="P7" s="731" t="s">
        <v>199</v>
      </c>
      <c r="Q7" s="731"/>
      <c r="R7" s="731"/>
      <c r="S7" s="731"/>
      <c r="T7" s="731"/>
      <c r="U7" s="731"/>
      <c r="V7" s="731"/>
      <c r="W7" s="731"/>
      <c r="X7" s="667"/>
      <c r="Y7" s="731" t="s">
        <v>766</v>
      </c>
      <c r="Z7" s="731"/>
      <c r="AA7" s="731"/>
      <c r="AB7" s="731"/>
      <c r="AC7" s="731"/>
      <c r="AD7" s="731"/>
      <c r="AE7" s="731"/>
      <c r="AF7" s="731"/>
      <c r="AG7" s="134"/>
      <c r="AH7" s="732" t="s">
        <v>765</v>
      </c>
      <c r="AI7" s="732"/>
      <c r="AJ7" s="732"/>
      <c r="AK7" s="732"/>
      <c r="AL7" s="732"/>
      <c r="AM7" s="732"/>
      <c r="AN7" s="732"/>
      <c r="AO7" s="732"/>
      <c r="AP7" s="667"/>
      <c r="AQ7" s="731" t="s">
        <v>196</v>
      </c>
      <c r="AR7" s="731"/>
      <c r="AS7" s="731"/>
      <c r="AT7" s="731"/>
      <c r="AU7" s="731"/>
      <c r="AV7" s="731"/>
      <c r="AW7" s="731"/>
      <c r="AX7" s="731"/>
      <c r="AY7" s="134"/>
      <c r="AZ7" s="736" t="s">
        <v>633</v>
      </c>
      <c r="BA7" s="736"/>
      <c r="BB7" s="736"/>
      <c r="BC7" s="736"/>
      <c r="BD7" s="736"/>
      <c r="BE7" s="736"/>
      <c r="BF7" s="736"/>
      <c r="BG7" s="736"/>
      <c r="BH7" s="134"/>
      <c r="BI7" s="765" t="s">
        <v>815</v>
      </c>
      <c r="BJ7" s="765"/>
      <c r="BK7" s="765"/>
      <c r="BL7" s="765"/>
      <c r="BM7" s="765"/>
      <c r="BN7" s="765"/>
      <c r="BO7" s="765"/>
      <c r="BP7" s="765"/>
      <c r="BQ7" s="486"/>
      <c r="BR7" s="731" t="s">
        <v>636</v>
      </c>
      <c r="BS7" s="731"/>
      <c r="BT7" s="731"/>
      <c r="BU7" s="731"/>
      <c r="BV7" s="731"/>
      <c r="BW7" s="731"/>
      <c r="BX7" s="731"/>
      <c r="BY7" s="731"/>
      <c r="BZ7" s="486"/>
      <c r="CA7" s="731" t="s">
        <v>187</v>
      </c>
      <c r="CB7" s="731"/>
      <c r="CC7" s="731"/>
      <c r="CD7" s="731"/>
      <c r="CE7" s="731"/>
      <c r="CF7" s="731"/>
      <c r="CG7" s="731"/>
      <c r="CH7" s="731"/>
      <c r="CI7" s="486"/>
      <c r="CJ7" s="735" t="s">
        <v>198</v>
      </c>
      <c r="CK7" s="735"/>
      <c r="CL7" s="735"/>
      <c r="CM7" s="735"/>
      <c r="CN7" s="735"/>
      <c r="CO7" s="735"/>
      <c r="CP7" s="735"/>
      <c r="CQ7" s="735"/>
      <c r="CR7" s="735"/>
      <c r="CT7" s="733" t="s">
        <v>259</v>
      </c>
      <c r="CU7" s="728" t="s">
        <v>283</v>
      </c>
      <c r="CV7" s="728"/>
      <c r="CW7" s="728"/>
      <c r="CX7" s="728"/>
      <c r="CY7" s="728"/>
      <c r="CZ7" s="728"/>
      <c r="DA7" s="728"/>
      <c r="DB7" s="728"/>
      <c r="DC7" s="728"/>
      <c r="DD7" s="666"/>
      <c r="DF7" s="728" t="s">
        <v>259</v>
      </c>
      <c r="DG7" s="728"/>
      <c r="DH7" s="728"/>
      <c r="DI7" s="728"/>
      <c r="DJ7" s="728"/>
      <c r="DK7" s="728"/>
      <c r="DL7" s="728"/>
      <c r="DM7" s="728"/>
      <c r="DN7" s="728"/>
    </row>
    <row r="8" spans="1:119" ht="15" customHeight="1">
      <c r="A8" s="53"/>
      <c r="B8" s="730"/>
      <c r="C8" s="6"/>
      <c r="D8" s="734"/>
      <c r="E8" s="734"/>
      <c r="F8" s="669"/>
      <c r="G8" s="6" t="s">
        <v>158</v>
      </c>
      <c r="H8" s="6" t="s">
        <v>159</v>
      </c>
      <c r="I8" s="6" t="s">
        <v>160</v>
      </c>
      <c r="J8" s="6" t="s">
        <v>161</v>
      </c>
      <c r="K8" s="51" t="s">
        <v>33</v>
      </c>
      <c r="L8" s="51" t="s">
        <v>51</v>
      </c>
      <c r="M8" s="51" t="s">
        <v>52</v>
      </c>
      <c r="N8" s="51" t="s">
        <v>28</v>
      </c>
      <c r="O8" s="6"/>
      <c r="P8" s="6" t="s">
        <v>158</v>
      </c>
      <c r="Q8" s="6" t="s">
        <v>159</v>
      </c>
      <c r="R8" s="6" t="s">
        <v>160</v>
      </c>
      <c r="S8" s="6" t="s">
        <v>161</v>
      </c>
      <c r="T8" s="51" t="s">
        <v>33</v>
      </c>
      <c r="U8" s="51" t="s">
        <v>51</v>
      </c>
      <c r="V8" s="51" t="s">
        <v>52</v>
      </c>
      <c r="W8" s="51" t="s">
        <v>28</v>
      </c>
      <c r="X8" s="51"/>
      <c r="Y8" s="6" t="s">
        <v>158</v>
      </c>
      <c r="Z8" s="6" t="s">
        <v>159</v>
      </c>
      <c r="AA8" s="6" t="s">
        <v>160</v>
      </c>
      <c r="AB8" s="6" t="s">
        <v>161</v>
      </c>
      <c r="AC8" s="51" t="s">
        <v>33</v>
      </c>
      <c r="AD8" s="51" t="s">
        <v>51</v>
      </c>
      <c r="AE8" s="51" t="s">
        <v>52</v>
      </c>
      <c r="AF8" s="51" t="s">
        <v>28</v>
      </c>
      <c r="AG8" s="5"/>
      <c r="AH8" s="6" t="s">
        <v>158</v>
      </c>
      <c r="AI8" s="6" t="s">
        <v>159</v>
      </c>
      <c r="AJ8" s="6" t="s">
        <v>160</v>
      </c>
      <c r="AK8" s="6" t="s">
        <v>161</v>
      </c>
      <c r="AL8" s="51" t="s">
        <v>33</v>
      </c>
      <c r="AM8" s="51" t="s">
        <v>51</v>
      </c>
      <c r="AN8" s="51" t="s">
        <v>52</v>
      </c>
      <c r="AO8" s="51" t="s">
        <v>28</v>
      </c>
      <c r="AP8" s="51"/>
      <c r="AQ8" s="6" t="s">
        <v>158</v>
      </c>
      <c r="AR8" s="6" t="s">
        <v>159</v>
      </c>
      <c r="AS8" s="6" t="s">
        <v>160</v>
      </c>
      <c r="AT8" s="6" t="s">
        <v>161</v>
      </c>
      <c r="AU8" s="51" t="s">
        <v>33</v>
      </c>
      <c r="AV8" s="51" t="s">
        <v>51</v>
      </c>
      <c r="AW8" s="51" t="s">
        <v>52</v>
      </c>
      <c r="AX8" s="51" t="s">
        <v>28</v>
      </c>
      <c r="AY8" s="5"/>
      <c r="AZ8" s="6" t="s">
        <v>158</v>
      </c>
      <c r="BA8" s="6" t="s">
        <v>159</v>
      </c>
      <c r="BB8" s="6" t="s">
        <v>160</v>
      </c>
      <c r="BC8" s="6" t="s">
        <v>161</v>
      </c>
      <c r="BD8" s="51" t="s">
        <v>33</v>
      </c>
      <c r="BE8" s="51" t="s">
        <v>51</v>
      </c>
      <c r="BF8" s="51" t="s">
        <v>52</v>
      </c>
      <c r="BG8" s="51" t="s">
        <v>28</v>
      </c>
      <c r="BH8" s="5"/>
      <c r="BI8" s="6" t="s">
        <v>158</v>
      </c>
      <c r="BJ8" s="6" t="s">
        <v>159</v>
      </c>
      <c r="BK8" s="6" t="s">
        <v>160</v>
      </c>
      <c r="BL8" s="6" t="s">
        <v>161</v>
      </c>
      <c r="BM8" s="51" t="s">
        <v>33</v>
      </c>
      <c r="BN8" s="51" t="s">
        <v>51</v>
      </c>
      <c r="BO8" s="51" t="s">
        <v>52</v>
      </c>
      <c r="BP8" s="51" t="s">
        <v>28</v>
      </c>
      <c r="BQ8" s="6"/>
      <c r="BR8" s="6" t="s">
        <v>158</v>
      </c>
      <c r="BS8" s="6" t="s">
        <v>159</v>
      </c>
      <c r="BT8" s="6" t="s">
        <v>160</v>
      </c>
      <c r="BU8" s="6" t="s">
        <v>161</v>
      </c>
      <c r="BV8" s="51" t="s">
        <v>33</v>
      </c>
      <c r="BW8" s="51" t="s">
        <v>51</v>
      </c>
      <c r="BX8" s="51" t="s">
        <v>52</v>
      </c>
      <c r="BY8" s="51" t="s">
        <v>28</v>
      </c>
      <c r="BZ8" s="6"/>
      <c r="CA8" s="6" t="s">
        <v>158</v>
      </c>
      <c r="CB8" s="6" t="s">
        <v>159</v>
      </c>
      <c r="CC8" s="6" t="s">
        <v>160</v>
      </c>
      <c r="CD8" s="6" t="s">
        <v>161</v>
      </c>
      <c r="CE8" s="51" t="s">
        <v>33</v>
      </c>
      <c r="CF8" s="51" t="s">
        <v>51</v>
      </c>
      <c r="CG8" s="51" t="s">
        <v>52</v>
      </c>
      <c r="CH8" s="51" t="s">
        <v>28</v>
      </c>
      <c r="CI8" s="6"/>
      <c r="CJ8" s="6" t="s">
        <v>158</v>
      </c>
      <c r="CK8" s="6" t="s">
        <v>159</v>
      </c>
      <c r="CL8" s="6" t="s">
        <v>160</v>
      </c>
      <c r="CM8" s="6" t="s">
        <v>161</v>
      </c>
      <c r="CN8" s="51" t="s">
        <v>33</v>
      </c>
      <c r="CO8" s="51" t="s">
        <v>51</v>
      </c>
      <c r="CP8" s="51" t="s">
        <v>52</v>
      </c>
      <c r="CQ8" s="51" t="s">
        <v>28</v>
      </c>
      <c r="CR8" s="51" t="s">
        <v>143</v>
      </c>
      <c r="CT8" s="734"/>
      <c r="CU8" s="6" t="s">
        <v>158</v>
      </c>
      <c r="CV8" s="6" t="s">
        <v>159</v>
      </c>
      <c r="CW8" s="6" t="s">
        <v>160</v>
      </c>
      <c r="CX8" s="6" t="s">
        <v>161</v>
      </c>
      <c r="CY8" s="51" t="s">
        <v>33</v>
      </c>
      <c r="CZ8" s="51" t="s">
        <v>51</v>
      </c>
      <c r="DA8" s="51" t="s">
        <v>52</v>
      </c>
      <c r="DB8" s="51" t="s">
        <v>28</v>
      </c>
      <c r="DC8" s="51" t="s">
        <v>143</v>
      </c>
      <c r="DD8" s="670" t="s">
        <v>293</v>
      </c>
      <c r="DF8" s="6" t="s">
        <v>158</v>
      </c>
      <c r="DG8" s="6" t="s">
        <v>159</v>
      </c>
      <c r="DH8" s="6" t="s">
        <v>160</v>
      </c>
      <c r="DI8" s="6" t="s">
        <v>161</v>
      </c>
      <c r="DJ8" s="51" t="s">
        <v>33</v>
      </c>
      <c r="DK8" s="51" t="s">
        <v>51</v>
      </c>
      <c r="DL8" s="51" t="s">
        <v>52</v>
      </c>
      <c r="DM8" s="51" t="s">
        <v>28</v>
      </c>
      <c r="DN8" s="51" t="s">
        <v>143</v>
      </c>
    </row>
    <row r="9" spans="1:119">
      <c r="A9" s="46">
        <v>1979</v>
      </c>
      <c r="B9" s="141">
        <f>D9-E9</f>
        <v>0.14414799872264866</v>
      </c>
      <c r="C9" s="46"/>
      <c r="D9" s="141">
        <f>SUM(G9:N9)*2</f>
        <v>0.57587541646940865</v>
      </c>
      <c r="E9" s="141">
        <f>SUM(Y9:AF9)*2</f>
        <v>0.43172741774675999</v>
      </c>
      <c r="F9" s="46"/>
      <c r="G9" s="157">
        <f>(P$5-P9)*P$4</f>
        <v>3.5744818280575942E-2</v>
      </c>
      <c r="H9" s="157">
        <f t="shared" ref="H9:N24" si="1">(Q$5-Q9)*Q$4</f>
        <v>6.085960431662462E-2</v>
      </c>
      <c r="I9" s="157">
        <f t="shared" si="1"/>
        <v>7.3767135751691595E-2</v>
      </c>
      <c r="J9" s="157">
        <f t="shared" si="1"/>
        <v>7.0841621264305293E-2</v>
      </c>
      <c r="K9" s="157">
        <f t="shared" si="1"/>
        <v>2.9536121805815153E-2</v>
      </c>
      <c r="L9" s="157">
        <f t="shared" si="1"/>
        <v>1.1704200506007279E-2</v>
      </c>
      <c r="M9" s="157">
        <f t="shared" si="1"/>
        <v>5.484206309684425E-3</v>
      </c>
      <c r="N9" s="157">
        <f>(W$5-W9)*W$4</f>
        <v>0</v>
      </c>
      <c r="O9" s="46"/>
      <c r="P9" s="154">
        <f>AQ9/SUM($AQ9:$AX9)</f>
        <v>2.1275908597120322E-2</v>
      </c>
      <c r="Q9" s="154">
        <f t="shared" ref="Q9:V10" si="2">P9+AR9/SUM($AQ9:$AX9)</f>
        <v>9.5701978416876957E-2</v>
      </c>
      <c r="R9" s="154">
        <f t="shared" si="2"/>
        <v>0.23116432124154213</v>
      </c>
      <c r="S9" s="154">
        <f t="shared" si="2"/>
        <v>0.44579189367847361</v>
      </c>
      <c r="T9" s="154">
        <f t="shared" si="2"/>
        <v>0.6046387819418485</v>
      </c>
      <c r="U9" s="154">
        <f t="shared" si="2"/>
        <v>0.7159159898798545</v>
      </c>
      <c r="V9" s="154">
        <f t="shared" si="2"/>
        <v>0.85289484225788947</v>
      </c>
      <c r="W9" s="162">
        <v>1</v>
      </c>
      <c r="X9" s="154"/>
      <c r="Y9" s="142">
        <f t="shared" ref="Y9:AF9" si="3">(P$5-AH9)*P$4</f>
        <v>3.0029910269192429E-2</v>
      </c>
      <c r="Z9" s="142">
        <f t="shared" si="3"/>
        <v>4.7696909272183459E-2</v>
      </c>
      <c r="AA9" s="142">
        <f t="shared" si="3"/>
        <v>5.5792622133599236E-2</v>
      </c>
      <c r="AB9" s="142">
        <f t="shared" si="3"/>
        <v>5.1126620139581296E-2</v>
      </c>
      <c r="AC9" s="142">
        <f t="shared" si="3"/>
        <v>2.0309072781655047E-2</v>
      </c>
      <c r="AD9" s="142">
        <f t="shared" si="3"/>
        <v>7.7193419740777761E-3</v>
      </c>
      <c r="AE9" s="142">
        <f t="shared" si="3"/>
        <v>3.1892323030907389E-3</v>
      </c>
      <c r="AF9" s="142">
        <f t="shared" si="3"/>
        <v>0</v>
      </c>
      <c r="AH9" s="158">
        <f>AZ9/SUM($AZ9:$BG9)</f>
        <v>4.9850448654037878E-2</v>
      </c>
      <c r="AI9" s="158">
        <f t="shared" ref="AI9:AN9" si="4">AH9+BA9/SUM($AZ9:$BG9)</f>
        <v>0.16151545363908273</v>
      </c>
      <c r="AJ9" s="158">
        <f t="shared" si="4"/>
        <v>0.32103688933200392</v>
      </c>
      <c r="AK9" s="158">
        <f t="shared" si="4"/>
        <v>0.54436689930209359</v>
      </c>
      <c r="AL9" s="158">
        <f t="shared" si="4"/>
        <v>0.69690927218344956</v>
      </c>
      <c r="AM9" s="158">
        <f t="shared" si="4"/>
        <v>0.79561316051844455</v>
      </c>
      <c r="AN9" s="158">
        <f t="shared" si="4"/>
        <v>0.91026919242273163</v>
      </c>
      <c r="AO9" s="158">
        <v>1</v>
      </c>
      <c r="AP9" s="143"/>
      <c r="AQ9" s="143">
        <f t="shared" ref="AQ9:AX40" si="5">CJ9/$CR9</f>
        <v>2.1275908597120322E-2</v>
      </c>
      <c r="AR9" s="143">
        <f t="shared" si="5"/>
        <v>7.4426069819756635E-2</v>
      </c>
      <c r="AS9" s="143">
        <f t="shared" si="5"/>
        <v>0.13546234282466518</v>
      </c>
      <c r="AT9" s="143">
        <f t="shared" si="5"/>
        <v>0.21462757243693151</v>
      </c>
      <c r="AU9" s="143">
        <f t="shared" si="5"/>
        <v>0.15884688826337492</v>
      </c>
      <c r="AV9" s="143">
        <f t="shared" si="5"/>
        <v>0.11127720793800604</v>
      </c>
      <c r="AW9" s="143">
        <f t="shared" si="5"/>
        <v>0.13697885237803495</v>
      </c>
      <c r="AX9" s="143">
        <f t="shared" si="5"/>
        <v>0.14710515774211055</v>
      </c>
      <c r="AZ9" s="152">
        <f>Shares!D50</f>
        <v>5</v>
      </c>
      <c r="BA9" s="152">
        <f>Shares!E50</f>
        <v>11.2</v>
      </c>
      <c r="BB9" s="152">
        <f>Shares!F50</f>
        <v>16</v>
      </c>
      <c r="BC9" s="152">
        <f>Shares!G50</f>
        <v>22.4</v>
      </c>
      <c r="BD9" s="152">
        <f>Shares!J50</f>
        <v>15.3</v>
      </c>
      <c r="BE9" s="152">
        <f>Shares!K50</f>
        <v>9.9</v>
      </c>
      <c r="BF9" s="152">
        <f>Shares!L50</f>
        <v>11.5</v>
      </c>
      <c r="BG9" s="152">
        <f>Shares!M50</f>
        <v>9</v>
      </c>
      <c r="BI9" s="573">
        <f>TxRt!$B53-TxRt!C53+MAX(0,TxRt!$C53)</f>
        <v>9.5</v>
      </c>
      <c r="BJ9" s="573">
        <f>TxRt!B96-TxRt!C96+MAX(0,TxRt!$C96)</f>
        <v>15</v>
      </c>
      <c r="BK9" s="573">
        <f>TxRt!B136-TxRt!C136+MAX(0,TxRt!$C136)</f>
        <v>19.100000000000001</v>
      </c>
      <c r="BL9" s="573">
        <f>TxRt!B176-TxRt!C176+MAX(0,TxRt!$C176)</f>
        <v>21.7</v>
      </c>
      <c r="BM9" s="573">
        <f>TxRt!B256-TxRt!C256+MAX(0,TxRt!$C256)</f>
        <v>23.6</v>
      </c>
      <c r="BN9" s="573">
        <f>TxRt!B296-TxRt!C296+MAX(0,TxRt!$C296)</f>
        <v>25.2</v>
      </c>
      <c r="BO9" s="573">
        <f>TxRt!B336-TxRt!C336+MAX(0,TxRt!$C336)</f>
        <v>27.1</v>
      </c>
      <c r="BP9" s="573">
        <f>TxRt!B376-TxRt!C376+MAX(0,TxRt!$C376)</f>
        <v>35.1</v>
      </c>
      <c r="BQ9" s="46"/>
      <c r="BR9" s="60">
        <f>Inc!B50</f>
        <v>15500</v>
      </c>
      <c r="BS9" s="60">
        <f>Inc!B90</f>
        <v>37100</v>
      </c>
      <c r="BT9" s="60">
        <f>Inc!B130</f>
        <v>56900</v>
      </c>
      <c r="BU9" s="60">
        <f>Inc!B170</f>
        <v>77300</v>
      </c>
      <c r="BV9" s="60">
        <f>Inc!B250</f>
        <v>100500</v>
      </c>
      <c r="BW9" s="60">
        <f>Inc!B290</f>
        <v>124200</v>
      </c>
      <c r="BX9" s="60">
        <f>Inc!B330</f>
        <v>179800</v>
      </c>
      <c r="BY9" s="60">
        <f>Inc!B370</f>
        <v>563200</v>
      </c>
      <c r="CA9" s="60">
        <f t="shared" ref="CA9:CH10" si="6">BI9*BR9/100</f>
        <v>1472.5</v>
      </c>
      <c r="CB9" s="60">
        <f t="shared" si="6"/>
        <v>5565</v>
      </c>
      <c r="CC9" s="60">
        <f t="shared" si="6"/>
        <v>10867.9</v>
      </c>
      <c r="CD9" s="60">
        <f t="shared" si="6"/>
        <v>16774.099999999999</v>
      </c>
      <c r="CE9" s="60">
        <f t="shared" si="6"/>
        <v>23718</v>
      </c>
      <c r="CF9" s="60">
        <f t="shared" si="6"/>
        <v>31298.400000000001</v>
      </c>
      <c r="CG9" s="60">
        <f t="shared" si="6"/>
        <v>48725.8</v>
      </c>
      <c r="CH9" s="60">
        <f t="shared" si="6"/>
        <v>197683.20000000001</v>
      </c>
      <c r="CJ9" s="153">
        <f>CA9*CU9</f>
        <v>25731.937500000007</v>
      </c>
      <c r="CK9" s="153">
        <f t="shared" ref="CK9:CQ45" si="7">CB9*CV9</f>
        <v>90013.875000000029</v>
      </c>
      <c r="CL9" s="153">
        <f t="shared" si="7"/>
        <v>163833.59250000006</v>
      </c>
      <c r="CM9" s="153">
        <f t="shared" si="7"/>
        <v>259579.19750000007</v>
      </c>
      <c r="CN9" s="153">
        <f t="shared" si="7"/>
        <v>192115.8</v>
      </c>
      <c r="CO9" s="153">
        <f t="shared" si="7"/>
        <v>134583.12</v>
      </c>
      <c r="CP9" s="153">
        <f t="shared" si="7"/>
        <v>165667.72</v>
      </c>
      <c r="CQ9" s="153">
        <f t="shared" si="7"/>
        <v>177914.88</v>
      </c>
      <c r="CR9" s="153">
        <f>SUM(CJ9:CQ9)</f>
        <v>1209440.1225000001</v>
      </c>
      <c r="CT9" s="403">
        <v>221.9</v>
      </c>
      <c r="CU9" s="276">
        <f>Dem!B50+(DD9/4)</f>
        <v>17.475000000000005</v>
      </c>
      <c r="CV9" s="276">
        <f>Dem!B90+(DD9/4)</f>
        <v>16.175000000000004</v>
      </c>
      <c r="CW9" s="276">
        <f>Dem!B130+(DD9/4)</f>
        <v>15.075000000000005</v>
      </c>
      <c r="CX9" s="276">
        <f>Dem!B170+(DD9/4)</f>
        <v>15.475000000000005</v>
      </c>
      <c r="CY9" s="276">
        <f>Dem!B250</f>
        <v>8.1</v>
      </c>
      <c r="CZ9" s="276">
        <f>Dem!B290</f>
        <v>4.3</v>
      </c>
      <c r="DA9" s="276">
        <f>Dem!B330</f>
        <v>3.4</v>
      </c>
      <c r="DB9" s="276">
        <f>Dem!B370</f>
        <v>0.9</v>
      </c>
      <c r="DC9" s="275">
        <v>81.099999999999994</v>
      </c>
      <c r="DD9" s="46">
        <v>-9.9999999999980105E-2</v>
      </c>
      <c r="DE9" s="275"/>
      <c r="DF9" s="276">
        <f>Dem!$D50+(DO9/4)</f>
        <v>43.17499999999999</v>
      </c>
      <c r="DG9" s="276">
        <f>Dem!$D90+(DO9/4)</f>
        <v>44.17499999999999</v>
      </c>
      <c r="DH9" s="276">
        <f>Dem!$D130+(DO9/4)</f>
        <v>44.17499999999999</v>
      </c>
      <c r="DI9" s="276">
        <f>Dem!$D170+(DO9/4)</f>
        <v>44.17499999999999</v>
      </c>
      <c r="DJ9" s="275">
        <f>Dem!$D250</f>
        <v>22.2</v>
      </c>
      <c r="DK9" s="275">
        <f>Dem!$D290</f>
        <v>11.1</v>
      </c>
      <c r="DL9" s="275">
        <f>Dem!$D330</f>
        <v>8.9</v>
      </c>
      <c r="DM9" s="275">
        <f>Dem!$D370</f>
        <v>2.2000000000000002</v>
      </c>
      <c r="DN9" s="276">
        <f>CT9</f>
        <v>221.9</v>
      </c>
      <c r="DO9" s="44">
        <v>-0.90000000000003411</v>
      </c>
    </row>
    <row r="10" spans="1:119">
      <c r="A10" s="46">
        <f>A9+1</f>
        <v>1980</v>
      </c>
      <c r="B10" s="141">
        <f t="shared" ref="B10:B46" si="8">D10-E10</f>
        <v>0.14149268749371235</v>
      </c>
      <c r="C10" s="46"/>
      <c r="D10" s="141">
        <f t="shared" ref="D10:D46" si="9">SUM(G10:N10)*2</f>
        <v>0.5777066456193356</v>
      </c>
      <c r="E10" s="141">
        <f t="shared" ref="E10:E46" si="10">SUM(Y10:AF10)*2</f>
        <v>0.43621395812562325</v>
      </c>
      <c r="F10" s="46"/>
      <c r="G10" s="157">
        <f t="shared" ref="G10:N46" si="11">(P$5-P10)*P$4</f>
        <v>3.6074726098956601E-2</v>
      </c>
      <c r="H10" s="157">
        <f t="shared" si="1"/>
        <v>6.1646578380007283E-2</v>
      </c>
      <c r="I10" s="157">
        <f t="shared" si="1"/>
        <v>7.4603049334866375E-2</v>
      </c>
      <c r="J10" s="157">
        <f t="shared" si="1"/>
        <v>7.1126834514880513E-2</v>
      </c>
      <c r="K10" s="157">
        <f t="shared" si="1"/>
        <v>2.9003105849135513E-2</v>
      </c>
      <c r="L10" s="157">
        <f t="shared" si="1"/>
        <v>1.1354113569662616E-2</v>
      </c>
      <c r="M10" s="157">
        <f t="shared" si="1"/>
        <v>5.0449150621589348E-3</v>
      </c>
      <c r="N10" s="157">
        <f t="shared" si="1"/>
        <v>0</v>
      </c>
      <c r="O10" s="46"/>
      <c r="P10" s="154">
        <f>AQ10/SUM($AQ10:$AX10)</f>
        <v>1.9626369505217001E-2</v>
      </c>
      <c r="Q10" s="154">
        <f t="shared" si="2"/>
        <v>9.1767108099963621E-2</v>
      </c>
      <c r="R10" s="154">
        <f t="shared" si="2"/>
        <v>0.2269847533256682</v>
      </c>
      <c r="S10" s="154">
        <f t="shared" si="2"/>
        <v>0.44436582742559749</v>
      </c>
      <c r="T10" s="154">
        <f t="shared" si="2"/>
        <v>0.60996894150864489</v>
      </c>
      <c r="U10" s="154">
        <f t="shared" si="2"/>
        <v>0.72291772860674774</v>
      </c>
      <c r="V10" s="154">
        <f t="shared" si="2"/>
        <v>0.86387712344602674</v>
      </c>
      <c r="W10" s="162">
        <f>W9</f>
        <v>1</v>
      </c>
      <c r="X10" s="154"/>
      <c r="Y10" s="142">
        <f>(P$5-AH10)*P$4</f>
        <v>3.0229312063808578E-2</v>
      </c>
      <c r="Z10" s="142">
        <f t="shared" ref="Z10:AF25" si="12">(Q$5-AI10)*Q$4</f>
        <v>4.8295114656031909E-2</v>
      </c>
      <c r="AA10" s="142">
        <f t="shared" si="12"/>
        <v>5.6390827517447673E-2</v>
      </c>
      <c r="AB10" s="142">
        <f t="shared" si="12"/>
        <v>5.1724825523429718E-2</v>
      </c>
      <c r="AC10" s="142">
        <f t="shared" si="12"/>
        <v>2.0508474576271186E-2</v>
      </c>
      <c r="AD10" s="142">
        <f t="shared" si="12"/>
        <v>7.7691924227318082E-3</v>
      </c>
      <c r="AE10" s="142">
        <f t="shared" si="12"/>
        <v>3.1892323030907298E-3</v>
      </c>
      <c r="AF10" s="142">
        <f>(W$5-AO10)*W$4</f>
        <v>0</v>
      </c>
      <c r="AH10" s="158">
        <f t="shared" ref="AH10:AH46" si="13">AZ10/SUM($AZ10:$BG10)</f>
        <v>4.8853439680957136E-2</v>
      </c>
      <c r="AI10" s="158">
        <f t="shared" ref="AI10:AN46" si="14">AH10+BA10/SUM($AZ10:$BG10)</f>
        <v>0.15852442671984049</v>
      </c>
      <c r="AJ10" s="158">
        <f t="shared" si="14"/>
        <v>0.31804586241276173</v>
      </c>
      <c r="AK10" s="158">
        <f t="shared" si="14"/>
        <v>0.54137587238285145</v>
      </c>
      <c r="AL10" s="158">
        <f t="shared" si="14"/>
        <v>0.69491525423728817</v>
      </c>
      <c r="AM10" s="158">
        <f t="shared" si="14"/>
        <v>0.79461615154536391</v>
      </c>
      <c r="AN10" s="158">
        <f t="shared" si="14"/>
        <v>0.91026919242273185</v>
      </c>
      <c r="AO10" s="158">
        <v>1</v>
      </c>
      <c r="AP10" s="143"/>
      <c r="AQ10" s="143">
        <f t="shared" si="5"/>
        <v>1.9626369505217001E-2</v>
      </c>
      <c r="AR10" s="143">
        <f t="shared" si="5"/>
        <v>7.2140738594746623E-2</v>
      </c>
      <c r="AS10" s="143">
        <f t="shared" si="5"/>
        <v>0.13521764522570459</v>
      </c>
      <c r="AT10" s="143">
        <f t="shared" si="5"/>
        <v>0.21738107409992927</v>
      </c>
      <c r="AU10" s="143">
        <f t="shared" si="5"/>
        <v>0.16560311408304734</v>
      </c>
      <c r="AV10" s="143">
        <f t="shared" si="5"/>
        <v>0.11294878709810288</v>
      </c>
      <c r="AW10" s="143">
        <f t="shared" si="5"/>
        <v>0.14095939483927902</v>
      </c>
      <c r="AX10" s="143">
        <f t="shared" si="5"/>
        <v>0.13612287655397326</v>
      </c>
      <c r="AY10" s="46"/>
      <c r="AZ10" s="152">
        <f>Shares!D51</f>
        <v>4.9000000000000004</v>
      </c>
      <c r="BA10" s="152">
        <f>Shares!E51</f>
        <v>11</v>
      </c>
      <c r="BB10" s="152">
        <f>Shares!F51</f>
        <v>16</v>
      </c>
      <c r="BC10" s="152">
        <f>Shares!G51</f>
        <v>22.4</v>
      </c>
      <c r="BD10" s="152">
        <f>Shares!J51</f>
        <v>15.4</v>
      </c>
      <c r="BE10" s="152">
        <f>Shares!K51</f>
        <v>10</v>
      </c>
      <c r="BF10" s="152">
        <f>Shares!L51</f>
        <v>11.6</v>
      </c>
      <c r="BG10" s="152">
        <f>Shares!M51</f>
        <v>9</v>
      </c>
      <c r="BI10" s="573">
        <f>TxRt!$B54-TxRt!C54+MAX(0,TxRt!$C54)</f>
        <v>8.9</v>
      </c>
      <c r="BJ10" s="573">
        <f>TxRt!B97-TxRt!C97+MAX(0,TxRt!$C97)</f>
        <v>14.7</v>
      </c>
      <c r="BK10" s="573">
        <f>TxRt!B137-TxRt!C137+MAX(0,TxRt!$C137)</f>
        <v>19</v>
      </c>
      <c r="BL10" s="573">
        <f>TxRt!B177-TxRt!C177+MAX(0,TxRt!$C177)</f>
        <v>21.8</v>
      </c>
      <c r="BM10" s="573">
        <f>TxRt!B257-TxRt!C257+MAX(0,TxRt!$C257)</f>
        <v>24</v>
      </c>
      <c r="BN10" s="573">
        <f>TxRt!B297-TxRt!C297+MAX(0,TxRt!$C297)</f>
        <v>25.5</v>
      </c>
      <c r="BO10" s="573">
        <f>TxRt!B337-TxRt!C337+MAX(0,TxRt!$C337)</f>
        <v>27.4</v>
      </c>
      <c r="BP10" s="573">
        <f>TxRt!B377-TxRt!C377+MAX(0,TxRt!$C377)</f>
        <v>33.1</v>
      </c>
      <c r="BQ10" s="46"/>
      <c r="BR10" s="60">
        <f>Inc!B51</f>
        <v>14900</v>
      </c>
      <c r="BS10" s="60">
        <f>Inc!B91</f>
        <v>35600</v>
      </c>
      <c r="BT10" s="60">
        <f>Inc!B131</f>
        <v>55000</v>
      </c>
      <c r="BU10" s="60">
        <f>Inc!B171</f>
        <v>75100</v>
      </c>
      <c r="BV10" s="60">
        <f>Inc!B251</f>
        <v>98300</v>
      </c>
      <c r="BW10" s="60">
        <f>Inc!B291</f>
        <v>121800</v>
      </c>
      <c r="BX10" s="60">
        <f>Inc!B331</f>
        <v>173800</v>
      </c>
      <c r="BY10" s="60">
        <f>Inc!B371</f>
        <v>540300</v>
      </c>
      <c r="CA10" s="60">
        <f t="shared" si="6"/>
        <v>1326.1</v>
      </c>
      <c r="CB10" s="60">
        <f t="shared" si="6"/>
        <v>5233.2</v>
      </c>
      <c r="CC10" s="60">
        <f t="shared" si="6"/>
        <v>10450</v>
      </c>
      <c r="CD10" s="60">
        <f t="shared" si="6"/>
        <v>16371.8</v>
      </c>
      <c r="CE10" s="60">
        <f t="shared" si="6"/>
        <v>23592</v>
      </c>
      <c r="CF10" s="60">
        <f t="shared" si="6"/>
        <v>31059</v>
      </c>
      <c r="CG10" s="60">
        <f t="shared" si="6"/>
        <v>47621.2</v>
      </c>
      <c r="CH10" s="60">
        <f t="shared" si="6"/>
        <v>178839.3</v>
      </c>
      <c r="CJ10" s="153">
        <f t="shared" ref="CJ10:CJ45" si="15">CA10*CU10</f>
        <v>23206.750000000004</v>
      </c>
      <c r="CK10" s="153">
        <f t="shared" si="7"/>
        <v>85301.16</v>
      </c>
      <c r="CL10" s="153">
        <f t="shared" si="7"/>
        <v>159885.00000000003</v>
      </c>
      <c r="CM10" s="153">
        <f t="shared" si="7"/>
        <v>257037.26000000004</v>
      </c>
      <c r="CN10" s="153">
        <f t="shared" si="7"/>
        <v>195813.6</v>
      </c>
      <c r="CO10" s="153">
        <f t="shared" si="7"/>
        <v>133553.69999999998</v>
      </c>
      <c r="CP10" s="153">
        <f t="shared" si="7"/>
        <v>166674.19999999998</v>
      </c>
      <c r="CQ10" s="153">
        <f t="shared" si="7"/>
        <v>160955.37</v>
      </c>
      <c r="CR10" s="153">
        <f t="shared" ref="CR10:CR46" si="16">SUM(CJ10:CQ10)</f>
        <v>1182427.04</v>
      </c>
      <c r="CT10" s="403">
        <v>224.5</v>
      </c>
      <c r="CU10" s="276">
        <f>Dem!B51+(DD10/4)</f>
        <v>17.500000000000004</v>
      </c>
      <c r="CV10" s="276">
        <f>Dem!B91+(DD10/4)</f>
        <v>16.3</v>
      </c>
      <c r="CW10" s="276">
        <f>Dem!B131+(DD10/4)</f>
        <v>15.300000000000002</v>
      </c>
      <c r="CX10" s="276">
        <f>Dem!B171+(DD10/4)</f>
        <v>15.700000000000003</v>
      </c>
      <c r="CY10" s="276">
        <f>Dem!B251</f>
        <v>8.3000000000000007</v>
      </c>
      <c r="CZ10" s="276">
        <f>Dem!B291</f>
        <v>4.3</v>
      </c>
      <c r="DA10" s="276">
        <f>Dem!B331</f>
        <v>3.5</v>
      </c>
      <c r="DB10" s="276">
        <f>Dem!B371</f>
        <v>0.9</v>
      </c>
      <c r="DC10" s="275">
        <v>82.6</v>
      </c>
      <c r="DD10" s="46">
        <v>-0.39999999999999147</v>
      </c>
      <c r="DE10" s="275"/>
      <c r="DF10" s="276">
        <f>Dem!$D51+(DO10/4)</f>
        <v>43.15</v>
      </c>
      <c r="DG10" s="276">
        <f>Dem!$D91+(DO10/4)</f>
        <v>44.55</v>
      </c>
      <c r="DH10" s="276">
        <f>Dem!$D131+(DO10/4)</f>
        <v>44.55</v>
      </c>
      <c r="DI10" s="276">
        <f>Dem!$D171+(DO10/4)</f>
        <v>44.55</v>
      </c>
      <c r="DJ10" s="275">
        <f>Dem!$D251</f>
        <v>22.5</v>
      </c>
      <c r="DK10" s="275">
        <f>Dem!$D291</f>
        <v>11.2</v>
      </c>
      <c r="DL10" s="275">
        <f>Dem!$D331</f>
        <v>9</v>
      </c>
      <c r="DM10" s="275">
        <f>Dem!$D371</f>
        <v>2.2000000000000002</v>
      </c>
      <c r="DN10" s="276">
        <f t="shared" ref="DN10:DN46" si="17">CT10</f>
        <v>224.5</v>
      </c>
      <c r="DO10" s="44">
        <v>-1.4000000000000057</v>
      </c>
    </row>
    <row r="11" spans="1:119">
      <c r="A11" s="46">
        <f t="shared" ref="A11:A46" si="18">A10+1</f>
        <v>1981</v>
      </c>
      <c r="B11" s="141">
        <f t="shared" si="8"/>
        <v>0.12679562212610018</v>
      </c>
      <c r="C11" s="46"/>
      <c r="D11" s="141">
        <f t="shared" si="9"/>
        <v>0.56736378133008036</v>
      </c>
      <c r="E11" s="141">
        <f t="shared" si="10"/>
        <v>0.44056815920398018</v>
      </c>
      <c r="F11" s="46"/>
      <c r="G11" s="157">
        <f t="shared" si="11"/>
        <v>3.5999018348632603E-2</v>
      </c>
      <c r="H11" s="157">
        <f t="shared" si="1"/>
        <v>6.1318104957584135E-2</v>
      </c>
      <c r="I11" s="157">
        <f t="shared" si="1"/>
        <v>7.3684364749785375E-2</v>
      </c>
      <c r="J11" s="157">
        <f t="shared" si="1"/>
        <v>6.955079372114048E-2</v>
      </c>
      <c r="K11" s="157">
        <f t="shared" si="1"/>
        <v>2.7913545059297051E-2</v>
      </c>
      <c r="L11" s="157">
        <f t="shared" si="1"/>
        <v>1.0741282546239267E-2</v>
      </c>
      <c r="M11" s="157">
        <f t="shared" si="1"/>
        <v>4.474781282361273E-3</v>
      </c>
      <c r="N11" s="157">
        <f t="shared" si="1"/>
        <v>0</v>
      </c>
      <c r="O11" s="46"/>
      <c r="P11" s="154">
        <f t="shared" ref="P11:P46" si="19">AQ11/SUM($AQ11:$AX11)</f>
        <v>2.0004908256837008E-2</v>
      </c>
      <c r="Q11" s="154">
        <f t="shared" ref="Q11:V46" si="20">P11+AR11/SUM($AQ11:$AX11)</f>
        <v>9.3409475212079374E-2</v>
      </c>
      <c r="R11" s="154">
        <f t="shared" si="20"/>
        <v>0.23157817625107327</v>
      </c>
      <c r="S11" s="154">
        <f t="shared" si="20"/>
        <v>0.45224603139429764</v>
      </c>
      <c r="T11" s="154">
        <f t="shared" si="20"/>
        <v>0.62086454940702951</v>
      </c>
      <c r="U11" s="154">
        <f t="shared" si="20"/>
        <v>0.73517434907521473</v>
      </c>
      <c r="V11" s="154">
        <f t="shared" si="20"/>
        <v>0.87813046794096827</v>
      </c>
      <c r="W11" s="162">
        <f t="shared" ref="W11:W46" si="21">W10</f>
        <v>1</v>
      </c>
      <c r="X11" s="154"/>
      <c r="Y11" s="142">
        <f t="shared" ref="Y11:AF46" si="22">(P$5-AH11)*P$4</f>
        <v>3.0646766169154235E-2</v>
      </c>
      <c r="Z11" s="142">
        <f t="shared" si="12"/>
        <v>4.8955223880597025E-2</v>
      </c>
      <c r="AA11" s="142">
        <f t="shared" si="12"/>
        <v>5.6915422885572158E-2</v>
      </c>
      <c r="AB11" s="142">
        <f t="shared" si="12"/>
        <v>5.2139303482587065E-2</v>
      </c>
      <c r="AC11" s="142">
        <f t="shared" si="12"/>
        <v>2.0646766169154229E-2</v>
      </c>
      <c r="AD11" s="142">
        <f t="shared" si="12"/>
        <v>7.7985074626865719E-3</v>
      </c>
      <c r="AE11" s="142">
        <f t="shared" si="12"/>
        <v>3.1820895522388115E-3</v>
      </c>
      <c r="AF11" s="142">
        <f t="shared" si="12"/>
        <v>0</v>
      </c>
      <c r="AH11" s="158">
        <f t="shared" si="13"/>
        <v>4.6766169154228855E-2</v>
      </c>
      <c r="AI11" s="158">
        <f t="shared" si="14"/>
        <v>0.15522388059701492</v>
      </c>
      <c r="AJ11" s="158">
        <f t="shared" si="14"/>
        <v>0.31542288557213932</v>
      </c>
      <c r="AK11" s="158">
        <f t="shared" si="14"/>
        <v>0.53930348258706473</v>
      </c>
      <c r="AL11" s="158">
        <f t="shared" si="14"/>
        <v>0.69353233830845773</v>
      </c>
      <c r="AM11" s="158">
        <f t="shared" si="14"/>
        <v>0.79402985074626864</v>
      </c>
      <c r="AN11" s="158">
        <f t="shared" si="14"/>
        <v>0.91044776119402981</v>
      </c>
      <c r="AO11" s="158">
        <v>1</v>
      </c>
      <c r="AP11" s="143"/>
      <c r="AQ11" s="143">
        <f t="shared" si="5"/>
        <v>2.0004908256837005E-2</v>
      </c>
      <c r="AR11" s="143">
        <f t="shared" si="5"/>
        <v>7.3404566955242348E-2</v>
      </c>
      <c r="AS11" s="143">
        <f t="shared" si="5"/>
        <v>0.13816870103899387</v>
      </c>
      <c r="AT11" s="143">
        <f t="shared" si="5"/>
        <v>0.22066785514322437</v>
      </c>
      <c r="AU11" s="143">
        <f t="shared" si="5"/>
        <v>0.16861851801273181</v>
      </c>
      <c r="AV11" s="143">
        <f t="shared" si="5"/>
        <v>0.11430979966818526</v>
      </c>
      <c r="AW11" s="143">
        <f t="shared" si="5"/>
        <v>0.14295611886575346</v>
      </c>
      <c r="AX11" s="143">
        <f t="shared" si="5"/>
        <v>0.12186953205903181</v>
      </c>
      <c r="AY11" s="46"/>
      <c r="AZ11" s="152">
        <f>Shares!D52</f>
        <v>4.7</v>
      </c>
      <c r="BA11" s="152">
        <f>Shares!E52</f>
        <v>10.9</v>
      </c>
      <c r="BB11" s="152">
        <f>Shares!F52</f>
        <v>16.100000000000001</v>
      </c>
      <c r="BC11" s="152">
        <f>Shares!G52</f>
        <v>22.5</v>
      </c>
      <c r="BD11" s="152">
        <f>Shares!J52</f>
        <v>15.5</v>
      </c>
      <c r="BE11" s="152">
        <f>Shares!K52</f>
        <v>10.1</v>
      </c>
      <c r="BF11" s="152">
        <f>Shares!L52</f>
        <v>11.7</v>
      </c>
      <c r="BG11" s="152">
        <f>Shares!M52</f>
        <v>9</v>
      </c>
      <c r="BI11" s="573">
        <f>TxRt!$B55-TxRt!C55+MAX(0,TxRt!$C55)</f>
        <v>9.6</v>
      </c>
      <c r="BJ11" s="573">
        <f>TxRt!B98-TxRt!C98+MAX(0,TxRt!$C98)</f>
        <v>15.2</v>
      </c>
      <c r="BK11" s="573">
        <f>TxRt!B138-TxRt!C138+MAX(0,TxRt!$C138)</f>
        <v>19.399999999999999</v>
      </c>
      <c r="BL11" s="573">
        <f>TxRt!B178-TxRt!C178+MAX(0,TxRt!$C178)</f>
        <v>22.3</v>
      </c>
      <c r="BM11" s="573">
        <f>TxRt!B258-TxRt!C258+MAX(0,TxRt!$C258)</f>
        <v>24.5</v>
      </c>
      <c r="BN11" s="573">
        <f>TxRt!B298-TxRt!C298+MAX(0,TxRt!$C298)</f>
        <v>25.8</v>
      </c>
      <c r="BO11" s="573">
        <f>TxRt!B338-TxRt!C338+MAX(0,TxRt!$C338)</f>
        <v>27.2</v>
      </c>
      <c r="BP11" s="573">
        <f>TxRt!B378-TxRt!C378+MAX(0,TxRt!$C378)</f>
        <v>30.5</v>
      </c>
      <c r="BQ11" s="46"/>
      <c r="BR11" s="60">
        <f>Inc!B52</f>
        <v>14700</v>
      </c>
      <c r="BS11" s="60">
        <f>Inc!B92</f>
        <v>35300</v>
      </c>
      <c r="BT11" s="60">
        <f>Inc!B132</f>
        <v>54700</v>
      </c>
      <c r="BU11" s="60">
        <f>Inc!B172</f>
        <v>76000</v>
      </c>
      <c r="BV11" s="60">
        <f>Inc!B252</f>
        <v>98100</v>
      </c>
      <c r="BW11" s="60">
        <f>Inc!B292</f>
        <v>122000</v>
      </c>
      <c r="BX11" s="60">
        <f>Inc!B332</f>
        <v>172100</v>
      </c>
      <c r="BY11" s="60">
        <f>Inc!B372</f>
        <v>537900</v>
      </c>
      <c r="CA11" s="60">
        <f t="shared" ref="CA11:CH40" si="23">BI11*BR11/100</f>
        <v>1411.2</v>
      </c>
      <c r="CB11" s="60">
        <f t="shared" si="23"/>
        <v>5365.6</v>
      </c>
      <c r="CC11" s="60">
        <f t="shared" si="23"/>
        <v>10611.8</v>
      </c>
      <c r="CD11" s="60">
        <f t="shared" si="23"/>
        <v>16948</v>
      </c>
      <c r="CE11" s="60">
        <f t="shared" si="23"/>
        <v>24034.5</v>
      </c>
      <c r="CF11" s="60">
        <f t="shared" si="23"/>
        <v>31476</v>
      </c>
      <c r="CG11" s="60">
        <f t="shared" si="23"/>
        <v>46811.199999999997</v>
      </c>
      <c r="CH11" s="60">
        <f t="shared" si="23"/>
        <v>164059.5</v>
      </c>
      <c r="CJ11" s="153">
        <f t="shared" si="15"/>
        <v>24237.360000000008</v>
      </c>
      <c r="CK11" s="153">
        <f t="shared" si="7"/>
        <v>88934.820000000022</v>
      </c>
      <c r="CL11" s="153">
        <f t="shared" si="7"/>
        <v>167401.14500000002</v>
      </c>
      <c r="CM11" s="153">
        <f t="shared" si="7"/>
        <v>267354.70000000007</v>
      </c>
      <c r="CN11" s="153">
        <f t="shared" si="7"/>
        <v>204293.25</v>
      </c>
      <c r="CO11" s="153">
        <f t="shared" si="7"/>
        <v>138494.40000000002</v>
      </c>
      <c r="CP11" s="153">
        <f t="shared" si="7"/>
        <v>173201.44</v>
      </c>
      <c r="CQ11" s="153">
        <f t="shared" si="7"/>
        <v>147653.55000000002</v>
      </c>
      <c r="CR11" s="153">
        <f t="shared" si="16"/>
        <v>1211570.6650000003</v>
      </c>
      <c r="CT11" s="403">
        <v>226</v>
      </c>
      <c r="CU11" s="276">
        <f>Dem!B52+(DD11/4)</f>
        <v>17.175000000000004</v>
      </c>
      <c r="CV11" s="276">
        <f>Dem!B92+(DD11/4)</f>
        <v>16.575000000000003</v>
      </c>
      <c r="CW11" s="276">
        <f>Dem!B132+(DD11/4)</f>
        <v>15.775000000000004</v>
      </c>
      <c r="CX11" s="276">
        <f>Dem!B172+(DD11/4)</f>
        <v>15.775000000000004</v>
      </c>
      <c r="CY11" s="276">
        <f>Dem!B252</f>
        <v>8.5</v>
      </c>
      <c r="CZ11" s="276">
        <f>Dem!B292</f>
        <v>4.4000000000000004</v>
      </c>
      <c r="DA11" s="276">
        <f>Dem!B332</f>
        <v>3.7</v>
      </c>
      <c r="DB11" s="276">
        <f>Dem!B372</f>
        <v>0.9</v>
      </c>
      <c r="DC11" s="275">
        <v>83.8</v>
      </c>
      <c r="DD11" s="46">
        <v>-0.49999999999998579</v>
      </c>
      <c r="DE11" s="275"/>
      <c r="DF11" s="276">
        <f>Dem!$D52+(DO11/4)</f>
        <v>43.2</v>
      </c>
      <c r="DG11" s="276">
        <f>Dem!$D92+(DO11/4)</f>
        <v>44.800000000000004</v>
      </c>
      <c r="DH11" s="276">
        <f>Dem!$D132+(DO11/4)</f>
        <v>44.800000000000004</v>
      </c>
      <c r="DI11" s="276">
        <f>Dem!$D172+(DO11/4)</f>
        <v>44.800000000000004</v>
      </c>
      <c r="DJ11" s="275">
        <f>Dem!$D252</f>
        <v>22.6</v>
      </c>
      <c r="DK11" s="275">
        <f>Dem!$D292</f>
        <v>11.3</v>
      </c>
      <c r="DL11" s="275">
        <f>Dem!$D332</f>
        <v>9</v>
      </c>
      <c r="DM11" s="275">
        <f>Dem!$D372</f>
        <v>2.2999999999999998</v>
      </c>
      <c r="DN11" s="276">
        <f t="shared" si="17"/>
        <v>226</v>
      </c>
      <c r="DO11" s="44">
        <v>-1.5999999999999943</v>
      </c>
    </row>
    <row r="12" spans="1:119">
      <c r="A12" s="46">
        <f t="shared" si="18"/>
        <v>1982</v>
      </c>
      <c r="B12" s="141">
        <f t="shared" si="8"/>
        <v>0.11600197333747542</v>
      </c>
      <c r="C12" s="46"/>
      <c r="D12" s="141">
        <f t="shared" si="9"/>
        <v>0.56721689871060976</v>
      </c>
      <c r="E12" s="141">
        <f t="shared" si="10"/>
        <v>0.45121492537313435</v>
      </c>
      <c r="F12" s="46"/>
      <c r="G12" s="157">
        <f t="shared" si="11"/>
        <v>3.5845075614118517E-2</v>
      </c>
      <c r="H12" s="157">
        <f t="shared" si="1"/>
        <v>6.1510156004761056E-2</v>
      </c>
      <c r="I12" s="157">
        <f t="shared" si="1"/>
        <v>7.3946901207872881E-2</v>
      </c>
      <c r="J12" s="157">
        <f t="shared" si="1"/>
        <v>6.9627489102944612E-2</v>
      </c>
      <c r="K12" s="157">
        <f t="shared" si="1"/>
        <v>2.7640290005497583E-2</v>
      </c>
      <c r="L12" s="157">
        <f t="shared" si="1"/>
        <v>1.0564700046782623E-2</v>
      </c>
      <c r="M12" s="157">
        <f t="shared" si="1"/>
        <v>4.4738373733276496E-3</v>
      </c>
      <c r="N12" s="157">
        <f t="shared" si="1"/>
        <v>0</v>
      </c>
      <c r="O12" s="46"/>
      <c r="P12" s="154">
        <f t="shared" si="19"/>
        <v>2.0774621929407419E-2</v>
      </c>
      <c r="Q12" s="154">
        <f t="shared" si="20"/>
        <v>9.2449219976194763E-2</v>
      </c>
      <c r="R12" s="154">
        <f t="shared" si="20"/>
        <v>0.23026549396063567</v>
      </c>
      <c r="S12" s="154">
        <f t="shared" si="20"/>
        <v>0.45186255448527701</v>
      </c>
      <c r="T12" s="154">
        <f t="shared" si="20"/>
        <v>0.62359709994502421</v>
      </c>
      <c r="U12" s="154">
        <f t="shared" si="20"/>
        <v>0.73870599906434764</v>
      </c>
      <c r="V12" s="154">
        <f t="shared" si="20"/>
        <v>0.87815406566680887</v>
      </c>
      <c r="W12" s="162">
        <f t="shared" si="21"/>
        <v>1</v>
      </c>
      <c r="X12" s="154"/>
      <c r="Y12" s="142">
        <f t="shared" si="22"/>
        <v>3.124378109452737E-2</v>
      </c>
      <c r="Z12" s="142">
        <f t="shared" si="12"/>
        <v>4.995024875621891E-2</v>
      </c>
      <c r="AA12" s="142">
        <f t="shared" si="12"/>
        <v>5.8308457711442802E-2</v>
      </c>
      <c r="AB12" s="142">
        <f t="shared" si="12"/>
        <v>5.3532338308457716E-2</v>
      </c>
      <c r="AC12" s="142">
        <f t="shared" si="12"/>
        <v>2.1144278606965175E-2</v>
      </c>
      <c r="AD12" s="142">
        <f t="shared" si="12"/>
        <v>8.0472636815920439E-3</v>
      </c>
      <c r="AE12" s="142">
        <f t="shared" si="12"/>
        <v>3.381094527363189E-3</v>
      </c>
      <c r="AF12" s="142">
        <f t="shared" si="12"/>
        <v>0</v>
      </c>
      <c r="AH12" s="158">
        <f t="shared" si="13"/>
        <v>4.3781094527363187E-2</v>
      </c>
      <c r="AI12" s="158">
        <f t="shared" si="14"/>
        <v>0.15024875621890549</v>
      </c>
      <c r="AJ12" s="158">
        <f t="shared" si="14"/>
        <v>0.30845771144278611</v>
      </c>
      <c r="AK12" s="158">
        <f t="shared" si="14"/>
        <v>0.53233830845771146</v>
      </c>
      <c r="AL12" s="158">
        <f t="shared" si="14"/>
        <v>0.6885572139303483</v>
      </c>
      <c r="AM12" s="158">
        <f t="shared" si="14"/>
        <v>0.78905472636815921</v>
      </c>
      <c r="AN12" s="158">
        <f t="shared" si="14"/>
        <v>0.90547263681592038</v>
      </c>
      <c r="AO12" s="158">
        <v>1</v>
      </c>
      <c r="AP12" s="143"/>
      <c r="AQ12" s="143">
        <f t="shared" si="5"/>
        <v>2.0774621929407416E-2</v>
      </c>
      <c r="AR12" s="143">
        <f t="shared" si="5"/>
        <v>7.167459804678733E-2</v>
      </c>
      <c r="AS12" s="143">
        <f t="shared" si="5"/>
        <v>0.13781627398444088</v>
      </c>
      <c r="AT12" s="143">
        <f t="shared" si="5"/>
        <v>0.22159706052464129</v>
      </c>
      <c r="AU12" s="143">
        <f t="shared" si="5"/>
        <v>0.17173454545974712</v>
      </c>
      <c r="AV12" s="143">
        <f t="shared" si="5"/>
        <v>0.11510889911932341</v>
      </c>
      <c r="AW12" s="143">
        <f t="shared" si="5"/>
        <v>0.13944806660246123</v>
      </c>
      <c r="AX12" s="143">
        <f t="shared" si="5"/>
        <v>0.12184593433319126</v>
      </c>
      <c r="AY12" s="46"/>
      <c r="AZ12" s="152">
        <f>Shares!D53</f>
        <v>4.4000000000000004</v>
      </c>
      <c r="BA12" s="152">
        <f>Shares!E53</f>
        <v>10.7</v>
      </c>
      <c r="BB12" s="152">
        <f>Shares!F53</f>
        <v>15.9</v>
      </c>
      <c r="BC12" s="152">
        <f>Shares!G53</f>
        <v>22.5</v>
      </c>
      <c r="BD12" s="152">
        <f>Shares!J53</f>
        <v>15.7</v>
      </c>
      <c r="BE12" s="152">
        <f>Shares!K53</f>
        <v>10.1</v>
      </c>
      <c r="BF12" s="152">
        <f>Shares!L53</f>
        <v>11.7</v>
      </c>
      <c r="BG12" s="152">
        <f>Shares!M53</f>
        <v>9.5</v>
      </c>
      <c r="BI12" s="573">
        <f>TxRt!$B56-TxRt!C56+MAX(0,TxRt!$C56)</f>
        <v>9.8000000000000007</v>
      </c>
      <c r="BJ12" s="573">
        <f>TxRt!B99-TxRt!C99+MAX(0,TxRt!$C99)</f>
        <v>14</v>
      </c>
      <c r="BK12" s="573">
        <f>TxRt!B139-TxRt!C139+MAX(0,TxRt!$C139)</f>
        <v>18.100000000000001</v>
      </c>
      <c r="BL12" s="573">
        <f>TxRt!B179-TxRt!C179+MAX(0,TxRt!$C179)</f>
        <v>20.6</v>
      </c>
      <c r="BM12" s="573">
        <f>TxRt!B259-TxRt!C259+MAX(0,TxRt!$C259)</f>
        <v>22.6</v>
      </c>
      <c r="BN12" s="573">
        <f>TxRt!B299-TxRt!C299+MAX(0,TxRt!$C299)</f>
        <v>23.7</v>
      </c>
      <c r="BO12" s="573">
        <f>TxRt!B339-TxRt!C339+MAX(0,TxRt!$C339)</f>
        <v>24.5</v>
      </c>
      <c r="BP12" s="573">
        <f>TxRt!B379-TxRt!C379+MAX(0,TxRt!$C379)</f>
        <v>26.8</v>
      </c>
      <c r="BQ12" s="46"/>
      <c r="BR12" s="60">
        <f>Inc!B53</f>
        <v>14200</v>
      </c>
      <c r="BS12" s="60">
        <f>Inc!B93</f>
        <v>34500</v>
      </c>
      <c r="BT12" s="60">
        <f>Inc!B133</f>
        <v>53900</v>
      </c>
      <c r="BU12" s="60">
        <f>Inc!B173</f>
        <v>75200</v>
      </c>
      <c r="BV12" s="60">
        <f>Inc!B253</f>
        <v>98000</v>
      </c>
      <c r="BW12" s="60">
        <f>Inc!B293</f>
        <v>121100</v>
      </c>
      <c r="BX12" s="60">
        <f>Inc!B333</f>
        <v>172600</v>
      </c>
      <c r="BY12" s="60">
        <f>Inc!B373</f>
        <v>566800</v>
      </c>
      <c r="CA12" s="60">
        <f t="shared" si="23"/>
        <v>1391.6</v>
      </c>
      <c r="CB12" s="60">
        <f t="shared" si="23"/>
        <v>4830</v>
      </c>
      <c r="CC12" s="60">
        <f t="shared" si="23"/>
        <v>9755.9000000000015</v>
      </c>
      <c r="CD12" s="60">
        <f t="shared" si="23"/>
        <v>15491.2</v>
      </c>
      <c r="CE12" s="60">
        <f t="shared" si="23"/>
        <v>22148</v>
      </c>
      <c r="CF12" s="60">
        <f t="shared" si="23"/>
        <v>28700.7</v>
      </c>
      <c r="CG12" s="60">
        <f t="shared" si="23"/>
        <v>42287</v>
      </c>
      <c r="CH12" s="60">
        <f t="shared" si="23"/>
        <v>151902.39999999999</v>
      </c>
      <c r="CJ12" s="153">
        <f t="shared" si="15"/>
        <v>23309.300000000003</v>
      </c>
      <c r="CK12" s="153">
        <f t="shared" si="7"/>
        <v>80419.500000000029</v>
      </c>
      <c r="CL12" s="153">
        <f t="shared" si="7"/>
        <v>154631.01500000007</v>
      </c>
      <c r="CM12" s="153">
        <f t="shared" si="7"/>
        <v>248633.76000000007</v>
      </c>
      <c r="CN12" s="153">
        <f t="shared" si="7"/>
        <v>192687.59999999998</v>
      </c>
      <c r="CO12" s="153">
        <f t="shared" si="7"/>
        <v>129153.15000000001</v>
      </c>
      <c r="CP12" s="153">
        <f t="shared" si="7"/>
        <v>156461.9</v>
      </c>
      <c r="CQ12" s="153">
        <f t="shared" si="7"/>
        <v>136712.16</v>
      </c>
      <c r="CR12" s="153">
        <f t="shared" si="16"/>
        <v>1122008.3850000002</v>
      </c>
      <c r="CT12" s="403">
        <v>227.6</v>
      </c>
      <c r="CU12" s="276">
        <f>Dem!B53+(DD12/4)</f>
        <v>16.750000000000004</v>
      </c>
      <c r="CV12" s="276">
        <f>Dem!B93+(DD12/4)</f>
        <v>16.650000000000006</v>
      </c>
      <c r="CW12" s="276">
        <f>Dem!B133+(DD12/4)</f>
        <v>15.850000000000005</v>
      </c>
      <c r="CX12" s="276">
        <f>Dem!B173+(DD12/4)</f>
        <v>16.050000000000004</v>
      </c>
      <c r="CY12" s="276">
        <f>Dem!B253</f>
        <v>8.6999999999999993</v>
      </c>
      <c r="CZ12" s="276">
        <f>Dem!B293</f>
        <v>4.5</v>
      </c>
      <c r="DA12" s="276">
        <f>Dem!B333</f>
        <v>3.7</v>
      </c>
      <c r="DB12" s="276">
        <f>Dem!B373</f>
        <v>0.9</v>
      </c>
      <c r="DC12" s="275">
        <v>84.3</v>
      </c>
      <c r="DD12" s="46">
        <v>-0.5999999999999801</v>
      </c>
      <c r="DE12" s="275"/>
      <c r="DF12" s="276">
        <f>Dem!$D53+(DO12/4)</f>
        <v>43.500000000000007</v>
      </c>
      <c r="DG12" s="276">
        <f>Dem!$D93+(DO12/4)</f>
        <v>45.100000000000009</v>
      </c>
      <c r="DH12" s="276">
        <f>Dem!$D133+(DO12/4)</f>
        <v>45.100000000000009</v>
      </c>
      <c r="DI12" s="276">
        <f>Dem!$D173+(DO12/4)</f>
        <v>45.100000000000009</v>
      </c>
      <c r="DJ12" s="275">
        <f>Dem!$D253</f>
        <v>22.8</v>
      </c>
      <c r="DK12" s="275">
        <f>Dem!$D293</f>
        <v>11.4</v>
      </c>
      <c r="DL12" s="275">
        <f>Dem!$D333</f>
        <v>9.1</v>
      </c>
      <c r="DM12" s="275">
        <f>Dem!$D373</f>
        <v>2.2999999999999998</v>
      </c>
      <c r="DN12" s="276">
        <f t="shared" si="17"/>
        <v>227.6</v>
      </c>
      <c r="DO12" s="44">
        <v>-1.5999999999999659</v>
      </c>
    </row>
    <row r="13" spans="1:119">
      <c r="A13" s="46">
        <f t="shared" si="18"/>
        <v>1983</v>
      </c>
      <c r="B13" s="141">
        <f t="shared" si="8"/>
        <v>0.10804600274855319</v>
      </c>
      <c r="C13" s="46"/>
      <c r="D13" s="141">
        <f t="shared" si="9"/>
        <v>0.57187857474458104</v>
      </c>
      <c r="E13" s="141">
        <f t="shared" si="10"/>
        <v>0.46383257199602784</v>
      </c>
      <c r="F13" s="46"/>
      <c r="G13" s="157">
        <f t="shared" si="11"/>
        <v>3.5599452532241296E-2</v>
      </c>
      <c r="H13" s="157">
        <f t="shared" si="1"/>
        <v>6.1348431926228991E-2</v>
      </c>
      <c r="I13" s="157">
        <f t="shared" si="1"/>
        <v>7.4536860087788911E-2</v>
      </c>
      <c r="J13" s="157">
        <f t="shared" si="1"/>
        <v>7.0386423403169293E-2</v>
      </c>
      <c r="K13" s="157">
        <f t="shared" si="1"/>
        <v>2.8305208010376382E-2</v>
      </c>
      <c r="L13" s="157">
        <f t="shared" si="1"/>
        <v>1.0890979000536167E-2</v>
      </c>
      <c r="M13" s="157">
        <f t="shared" si="1"/>
        <v>4.8719324119495247E-3</v>
      </c>
      <c r="N13" s="157">
        <f t="shared" si="1"/>
        <v>0</v>
      </c>
      <c r="O13" s="46"/>
      <c r="P13" s="154">
        <f t="shared" si="19"/>
        <v>2.2002737338793529E-2</v>
      </c>
      <c r="Q13" s="154">
        <f t="shared" si="20"/>
        <v>9.325784036885508E-2</v>
      </c>
      <c r="R13" s="154">
        <f t="shared" si="20"/>
        <v>0.22731569956105552</v>
      </c>
      <c r="S13" s="154">
        <f t="shared" si="20"/>
        <v>0.44806788298415362</v>
      </c>
      <c r="T13" s="154">
        <f t="shared" si="20"/>
        <v>0.61694791989623621</v>
      </c>
      <c r="U13" s="154">
        <f t="shared" si="20"/>
        <v>0.73218041998927674</v>
      </c>
      <c r="V13" s="154">
        <f t="shared" si="20"/>
        <v>0.86820168970126199</v>
      </c>
      <c r="W13" s="162">
        <f t="shared" si="21"/>
        <v>1</v>
      </c>
      <c r="X13" s="154"/>
      <c r="Y13" s="142">
        <f t="shared" si="22"/>
        <v>3.1857000993048661E-2</v>
      </c>
      <c r="Z13" s="142">
        <f t="shared" si="12"/>
        <v>5.1002979145978157E-2</v>
      </c>
      <c r="AA13" s="142">
        <f t="shared" si="12"/>
        <v>5.9821251241310838E-2</v>
      </c>
      <c r="AB13" s="142">
        <f t="shared" si="12"/>
        <v>5.513406156901688E-2</v>
      </c>
      <c r="AC13" s="142">
        <f t="shared" si="12"/>
        <v>2.1976166832174772E-2</v>
      </c>
      <c r="AD13" s="142">
        <f t="shared" si="12"/>
        <v>8.4731876861966204E-3</v>
      </c>
      <c r="AE13" s="142">
        <f t="shared" si="12"/>
        <v>3.6516385302879819E-3</v>
      </c>
      <c r="AF13" s="142">
        <f t="shared" si="12"/>
        <v>0</v>
      </c>
      <c r="AH13" s="158">
        <f t="shared" si="13"/>
        <v>4.0714995034756701E-2</v>
      </c>
      <c r="AI13" s="158">
        <f t="shared" si="14"/>
        <v>0.14498510427010924</v>
      </c>
      <c r="AJ13" s="158">
        <f t="shared" si="14"/>
        <v>0.30089374379344591</v>
      </c>
      <c r="AK13" s="158">
        <f t="shared" si="14"/>
        <v>0.52432969215491565</v>
      </c>
      <c r="AL13" s="158">
        <f t="shared" si="14"/>
        <v>0.68023833167825232</v>
      </c>
      <c r="AM13" s="158">
        <f t="shared" si="14"/>
        <v>0.78053624627606766</v>
      </c>
      <c r="AN13" s="158">
        <f t="shared" si="14"/>
        <v>0.89870903674280056</v>
      </c>
      <c r="AO13" s="158">
        <v>1</v>
      </c>
      <c r="AP13" s="143"/>
      <c r="AQ13" s="143">
        <f t="shared" si="5"/>
        <v>2.2002737338793533E-2</v>
      </c>
      <c r="AR13" s="143">
        <f t="shared" si="5"/>
        <v>7.1255103030061565E-2</v>
      </c>
      <c r="AS13" s="143">
        <f t="shared" si="5"/>
        <v>0.13405785919220048</v>
      </c>
      <c r="AT13" s="143">
        <f t="shared" si="5"/>
        <v>0.22075218342309816</v>
      </c>
      <c r="AU13" s="143">
        <f t="shared" si="5"/>
        <v>0.16888003691208262</v>
      </c>
      <c r="AV13" s="143">
        <f t="shared" si="5"/>
        <v>0.1152325000930406</v>
      </c>
      <c r="AW13" s="143">
        <f t="shared" si="5"/>
        <v>0.1360212697119853</v>
      </c>
      <c r="AX13" s="143">
        <f t="shared" si="5"/>
        <v>0.13179831029873781</v>
      </c>
      <c r="AY13" s="46"/>
      <c r="AZ13" s="152">
        <f>Shares!D54</f>
        <v>4.0999999999999996</v>
      </c>
      <c r="BA13" s="152">
        <f>Shares!E54</f>
        <v>10.5</v>
      </c>
      <c r="BB13" s="152">
        <f>Shares!F54</f>
        <v>15.7</v>
      </c>
      <c r="BC13" s="152">
        <f>Shares!G54</f>
        <v>22.5</v>
      </c>
      <c r="BD13" s="152">
        <f>Shares!J54</f>
        <v>15.7</v>
      </c>
      <c r="BE13" s="152">
        <f>Shares!K54</f>
        <v>10.1</v>
      </c>
      <c r="BF13" s="152">
        <f>Shares!L54</f>
        <v>11.9</v>
      </c>
      <c r="BG13" s="152">
        <f>Shares!M54</f>
        <v>10.199999999999999</v>
      </c>
      <c r="BI13" s="573">
        <f>TxRt!$B57-TxRt!C57+MAX(0,TxRt!$C57)</f>
        <v>11.1</v>
      </c>
      <c r="BJ13" s="573">
        <f>TxRt!B100-TxRt!C100+MAX(0,TxRt!$C100)</f>
        <v>14</v>
      </c>
      <c r="BK13" s="573">
        <f>TxRt!B140-TxRt!C140+MAX(0,TxRt!$C140)</f>
        <v>17.5</v>
      </c>
      <c r="BL13" s="573">
        <f>TxRt!B180-TxRt!C180+MAX(0,TxRt!$C180)</f>
        <v>20.100000000000001</v>
      </c>
      <c r="BM13" s="573">
        <f>TxRt!B260-TxRt!C260+MAX(0,TxRt!$C260)</f>
        <v>22</v>
      </c>
      <c r="BN13" s="573">
        <f>TxRt!B300-TxRt!C300+MAX(0,TxRt!$C300)</f>
        <v>22.9</v>
      </c>
      <c r="BO13" s="573">
        <f>TxRt!B340-TxRt!C340+MAX(0,TxRt!$C340)</f>
        <v>23.5</v>
      </c>
      <c r="BP13" s="573">
        <f>TxRt!B380-TxRt!C380+MAX(0,TxRt!$C380)</f>
        <v>26.8</v>
      </c>
      <c r="BQ13" s="46"/>
      <c r="BR13" s="60">
        <f>Inc!B54</f>
        <v>13600</v>
      </c>
      <c r="BS13" s="60">
        <f>Inc!B94</f>
        <v>33700</v>
      </c>
      <c r="BT13" s="60">
        <f>Inc!B134</f>
        <v>53200</v>
      </c>
      <c r="BU13" s="60">
        <f>Inc!B174</f>
        <v>74900</v>
      </c>
      <c r="BV13" s="60">
        <f>Inc!B254</f>
        <v>99200</v>
      </c>
      <c r="BW13" s="60">
        <f>Inc!B294</f>
        <v>124400</v>
      </c>
      <c r="BX13" s="60">
        <f>Inc!B334</f>
        <v>177900</v>
      </c>
      <c r="BY13" s="60">
        <f>Inc!B374</f>
        <v>621400</v>
      </c>
      <c r="CA13" s="60">
        <f t="shared" si="23"/>
        <v>1509.6</v>
      </c>
      <c r="CB13" s="60">
        <f t="shared" si="23"/>
        <v>4718</v>
      </c>
      <c r="CC13" s="60">
        <f t="shared" si="23"/>
        <v>9310</v>
      </c>
      <c r="CD13" s="60">
        <f t="shared" si="23"/>
        <v>15054.9</v>
      </c>
      <c r="CE13" s="60">
        <f t="shared" si="23"/>
        <v>21824</v>
      </c>
      <c r="CF13" s="60">
        <f t="shared" si="23"/>
        <v>28487.599999999999</v>
      </c>
      <c r="CG13" s="60">
        <f t="shared" si="23"/>
        <v>41806.5</v>
      </c>
      <c r="CH13" s="60">
        <f t="shared" si="23"/>
        <v>166535.20000000001</v>
      </c>
      <c r="CJ13" s="153">
        <f t="shared" si="15"/>
        <v>25021.62</v>
      </c>
      <c r="CK13" s="153">
        <f t="shared" si="7"/>
        <v>81031.650000000009</v>
      </c>
      <c r="CL13" s="153">
        <f t="shared" si="7"/>
        <v>152451.25</v>
      </c>
      <c r="CM13" s="153">
        <f t="shared" si="7"/>
        <v>251040.45750000002</v>
      </c>
      <c r="CN13" s="153">
        <f t="shared" si="7"/>
        <v>192051.20000000001</v>
      </c>
      <c r="CO13" s="153">
        <f t="shared" si="7"/>
        <v>131042.95999999998</v>
      </c>
      <c r="CP13" s="153">
        <f t="shared" si="7"/>
        <v>154684.05000000002</v>
      </c>
      <c r="CQ13" s="153">
        <f t="shared" si="7"/>
        <v>149881.68000000002</v>
      </c>
      <c r="CR13" s="153">
        <f t="shared" si="16"/>
        <v>1137204.8674999999</v>
      </c>
      <c r="CT13" s="403">
        <v>229.4</v>
      </c>
      <c r="CU13" s="276">
        <f>Dem!B54+(DD13/4)</f>
        <v>16.574999999999999</v>
      </c>
      <c r="CV13" s="276">
        <f>Dem!B94+(DD13/4)</f>
        <v>17.175000000000001</v>
      </c>
      <c r="CW13" s="276">
        <f>Dem!B134+(DD13/4)</f>
        <v>16.375</v>
      </c>
      <c r="CX13" s="276">
        <f>Dem!B174+(DD13/4)</f>
        <v>16.675000000000001</v>
      </c>
      <c r="CY13" s="276">
        <f>Dem!B254</f>
        <v>8.8000000000000007</v>
      </c>
      <c r="CZ13" s="276">
        <f>Dem!B294</f>
        <v>4.5999999999999996</v>
      </c>
      <c r="DA13" s="276">
        <f>Dem!B334</f>
        <v>3.7</v>
      </c>
      <c r="DB13" s="276">
        <f>Dem!B374</f>
        <v>0.9</v>
      </c>
      <c r="DC13" s="275">
        <v>85.8</v>
      </c>
      <c r="DD13" s="46">
        <v>-0.5</v>
      </c>
      <c r="DE13" s="275"/>
      <c r="DF13" s="276">
        <f>Dem!$D54+(DO13/4)</f>
        <v>43.800000000000004</v>
      </c>
      <c r="DG13" s="276">
        <f>Dem!$D94+(DO13/4)</f>
        <v>45.5</v>
      </c>
      <c r="DH13" s="276">
        <f>Dem!$D134+(DO13/4)</f>
        <v>45.5</v>
      </c>
      <c r="DI13" s="276">
        <f>Dem!$D174+(DO13/4)</f>
        <v>45.5</v>
      </c>
      <c r="DJ13" s="275">
        <f>Dem!$D254</f>
        <v>22.9</v>
      </c>
      <c r="DK13" s="275">
        <f>Dem!$D294</f>
        <v>11.5</v>
      </c>
      <c r="DL13" s="275">
        <f>Dem!$D334</f>
        <v>9.1999999999999993</v>
      </c>
      <c r="DM13" s="275">
        <f>Dem!$D374</f>
        <v>2.2999999999999998</v>
      </c>
      <c r="DN13" s="276">
        <f t="shared" si="17"/>
        <v>229.4</v>
      </c>
      <c r="DO13" s="44">
        <v>-1.5999999999999943</v>
      </c>
    </row>
    <row r="14" spans="1:119">
      <c r="A14" s="46">
        <f t="shared" si="18"/>
        <v>1984</v>
      </c>
      <c r="B14" s="141">
        <f t="shared" si="8"/>
        <v>9.9769132092976165E-2</v>
      </c>
      <c r="C14" s="46"/>
      <c r="D14" s="141">
        <f t="shared" si="9"/>
        <v>0.56401878452594545</v>
      </c>
      <c r="E14" s="141">
        <f t="shared" si="10"/>
        <v>0.46424965243296928</v>
      </c>
      <c r="F14" s="46"/>
      <c r="G14" s="157">
        <f t="shared" si="11"/>
        <v>3.4964798036412413E-2</v>
      </c>
      <c r="H14" s="157">
        <f t="shared" si="1"/>
        <v>6.0105215880027707E-2</v>
      </c>
      <c r="I14" s="157">
        <f t="shared" si="1"/>
        <v>7.3182084555887539E-2</v>
      </c>
      <c r="J14" s="157">
        <f t="shared" si="1"/>
        <v>6.9597183040658178E-2</v>
      </c>
      <c r="K14" s="157">
        <f t="shared" si="1"/>
        <v>2.8177097342871785E-2</v>
      </c>
      <c r="L14" s="157">
        <f t="shared" si="1"/>
        <v>1.0997356708466539E-2</v>
      </c>
      <c r="M14" s="157">
        <f t="shared" si="1"/>
        <v>4.9856566986485927E-3</v>
      </c>
      <c r="N14" s="157">
        <f t="shared" si="1"/>
        <v>0</v>
      </c>
      <c r="O14" s="46"/>
      <c r="P14" s="154">
        <f t="shared" si="19"/>
        <v>2.517600981793797E-2</v>
      </c>
      <c r="Q14" s="154">
        <f t="shared" si="20"/>
        <v>9.9473920599861487E-2</v>
      </c>
      <c r="R14" s="154">
        <f t="shared" si="20"/>
        <v>0.23408957722056239</v>
      </c>
      <c r="S14" s="154">
        <f t="shared" si="20"/>
        <v>0.45201408479670918</v>
      </c>
      <c r="T14" s="154">
        <f t="shared" si="20"/>
        <v>0.6182290265712822</v>
      </c>
      <c r="U14" s="154">
        <f t="shared" si="20"/>
        <v>0.73005286583066931</v>
      </c>
      <c r="V14" s="154">
        <f t="shared" si="20"/>
        <v>0.86535858253378528</v>
      </c>
      <c r="W14" s="162">
        <f t="shared" si="21"/>
        <v>1</v>
      </c>
      <c r="X14" s="154"/>
      <c r="Y14" s="142">
        <f t="shared" si="22"/>
        <v>3.145978152929494E-2</v>
      </c>
      <c r="Z14" s="142">
        <f t="shared" si="12"/>
        <v>5.0804369414101297E-2</v>
      </c>
      <c r="AA14" s="142">
        <f t="shared" si="12"/>
        <v>5.9821251241310838E-2</v>
      </c>
      <c r="AB14" s="142">
        <f t="shared" si="12"/>
        <v>5.5332671300893747E-2</v>
      </c>
      <c r="AC14" s="142">
        <f t="shared" si="12"/>
        <v>2.2274081429990069E-2</v>
      </c>
      <c r="AD14" s="142">
        <f t="shared" si="12"/>
        <v>8.622144985104269E-3</v>
      </c>
      <c r="AE14" s="142">
        <f t="shared" si="12"/>
        <v>3.810526315789473E-3</v>
      </c>
      <c r="AF14" s="142">
        <f t="shared" si="12"/>
        <v>0</v>
      </c>
      <c r="AH14" s="158">
        <f t="shared" si="13"/>
        <v>4.270109235352533E-2</v>
      </c>
      <c r="AI14" s="158">
        <f t="shared" si="14"/>
        <v>0.14597815292949357</v>
      </c>
      <c r="AJ14" s="158">
        <f t="shared" si="14"/>
        <v>0.30089374379344591</v>
      </c>
      <c r="AK14" s="158">
        <f t="shared" si="14"/>
        <v>0.52333664349553133</v>
      </c>
      <c r="AL14" s="158">
        <f t="shared" si="14"/>
        <v>0.67725918570009935</v>
      </c>
      <c r="AM14" s="158">
        <f t="shared" si="14"/>
        <v>0.77755710029791469</v>
      </c>
      <c r="AN14" s="158">
        <f t="shared" si="14"/>
        <v>0.89473684210526327</v>
      </c>
      <c r="AO14" s="158">
        <v>1</v>
      </c>
      <c r="AP14" s="143"/>
      <c r="AQ14" s="143">
        <f t="shared" si="5"/>
        <v>2.5176009817937967E-2</v>
      </c>
      <c r="AR14" s="143">
        <f t="shared" si="5"/>
        <v>7.4297910781923507E-2</v>
      </c>
      <c r="AS14" s="143">
        <f t="shared" si="5"/>
        <v>0.13461565662070088</v>
      </c>
      <c r="AT14" s="143">
        <f t="shared" si="5"/>
        <v>0.21792450757614676</v>
      </c>
      <c r="AU14" s="143">
        <f t="shared" si="5"/>
        <v>0.16621494177457299</v>
      </c>
      <c r="AV14" s="143">
        <f t="shared" si="5"/>
        <v>0.11182383925938703</v>
      </c>
      <c r="AW14" s="143">
        <f t="shared" si="5"/>
        <v>0.13530571670311592</v>
      </c>
      <c r="AX14" s="143">
        <f t="shared" si="5"/>
        <v>0.13464141746621486</v>
      </c>
      <c r="AY14" s="46"/>
      <c r="AZ14" s="152">
        <f>Shares!D55</f>
        <v>4.3</v>
      </c>
      <c r="BA14" s="152">
        <f>Shares!E55</f>
        <v>10.4</v>
      </c>
      <c r="BB14" s="152">
        <f>Shares!F55</f>
        <v>15.6</v>
      </c>
      <c r="BC14" s="152">
        <f>Shares!G55</f>
        <v>22.4</v>
      </c>
      <c r="BD14" s="152">
        <f>Shares!J55</f>
        <v>15.5</v>
      </c>
      <c r="BE14" s="152">
        <f>Shares!K55</f>
        <v>10.1</v>
      </c>
      <c r="BF14" s="152">
        <f>Shares!L55</f>
        <v>11.8</v>
      </c>
      <c r="BG14" s="152">
        <f>Shares!M55</f>
        <v>10.6</v>
      </c>
      <c r="BI14" s="573">
        <f>TxRt!$B58-TxRt!C58+MAX(0,TxRt!$C58)</f>
        <v>12.1</v>
      </c>
      <c r="BJ14" s="573">
        <f>TxRt!B101-TxRt!C101+MAX(0,TxRt!$C101)</f>
        <v>14.9</v>
      </c>
      <c r="BK14" s="573">
        <f>TxRt!B141-TxRt!C141+MAX(0,TxRt!$C141)</f>
        <v>18</v>
      </c>
      <c r="BL14" s="573">
        <f>TxRt!B181-TxRt!C181+MAX(0,TxRt!$C181)</f>
        <v>20.3</v>
      </c>
      <c r="BM14" s="573">
        <f>TxRt!B261-TxRt!C261+MAX(0,TxRt!$C261)</f>
        <v>22.1</v>
      </c>
      <c r="BN14" s="573">
        <f>TxRt!B301-TxRt!C301+MAX(0,TxRt!$C301)</f>
        <v>23</v>
      </c>
      <c r="BO14" s="573">
        <f>TxRt!B341-TxRt!C341+MAX(0,TxRt!$C341)</f>
        <v>23.5</v>
      </c>
      <c r="BP14" s="573">
        <f>TxRt!B381-TxRt!C381+MAX(0,TxRt!$C381)</f>
        <v>27</v>
      </c>
      <c r="BQ14" s="46"/>
      <c r="BR14" s="60">
        <f>Inc!B55</f>
        <v>14600</v>
      </c>
      <c r="BS14" s="60">
        <f>Inc!B95</f>
        <v>35800</v>
      </c>
      <c r="BT14" s="60">
        <f>Inc!B135</f>
        <v>56300</v>
      </c>
      <c r="BU14" s="60">
        <f>Inc!B175</f>
        <v>78900</v>
      </c>
      <c r="BV14" s="60">
        <f>Inc!B255</f>
        <v>106000</v>
      </c>
      <c r="BW14" s="60">
        <f>Inc!B295</f>
        <v>134000</v>
      </c>
      <c r="BX14" s="60">
        <f>Inc!B335</f>
        <v>193000</v>
      </c>
      <c r="BY14" s="60">
        <f>Inc!B375</f>
        <v>687200</v>
      </c>
      <c r="CA14" s="60">
        <f t="shared" si="23"/>
        <v>1766.6</v>
      </c>
      <c r="CB14" s="60">
        <f t="shared" si="23"/>
        <v>5334.2</v>
      </c>
      <c r="CC14" s="60">
        <f t="shared" si="23"/>
        <v>10134</v>
      </c>
      <c r="CD14" s="60">
        <f t="shared" si="23"/>
        <v>16016.7</v>
      </c>
      <c r="CE14" s="60">
        <f t="shared" si="23"/>
        <v>23426</v>
      </c>
      <c r="CF14" s="60">
        <f t="shared" si="23"/>
        <v>30820</v>
      </c>
      <c r="CG14" s="60">
        <f t="shared" si="23"/>
        <v>45355</v>
      </c>
      <c r="CH14" s="60">
        <f t="shared" si="23"/>
        <v>185544</v>
      </c>
      <c r="CJ14" s="153">
        <f t="shared" si="15"/>
        <v>31224.655000000006</v>
      </c>
      <c r="CK14" s="153">
        <f t="shared" si="7"/>
        <v>92148.305000000008</v>
      </c>
      <c r="CL14" s="153">
        <f t="shared" si="7"/>
        <v>166957.65000000005</v>
      </c>
      <c r="CM14" s="153">
        <f t="shared" si="7"/>
        <v>270281.81250000006</v>
      </c>
      <c r="CN14" s="153">
        <f t="shared" si="7"/>
        <v>206148.80000000002</v>
      </c>
      <c r="CO14" s="153">
        <f t="shared" si="7"/>
        <v>138690</v>
      </c>
      <c r="CP14" s="153">
        <f t="shared" si="7"/>
        <v>167813.5</v>
      </c>
      <c r="CQ14" s="153">
        <f t="shared" si="7"/>
        <v>166989.6</v>
      </c>
      <c r="CR14" s="153">
        <f t="shared" si="16"/>
        <v>1240254.3225000002</v>
      </c>
      <c r="CT14" s="403">
        <v>231.3</v>
      </c>
      <c r="CU14" s="276">
        <f>Dem!B55+(DD14/4)</f>
        <v>17.675000000000004</v>
      </c>
      <c r="CV14" s="276">
        <f>Dem!B95+(DD14/4)</f>
        <v>17.275000000000002</v>
      </c>
      <c r="CW14" s="276">
        <f>Dem!B135+(DD14/4)</f>
        <v>16.475000000000005</v>
      </c>
      <c r="CX14" s="276">
        <f>Dem!B175+(DD14/4)</f>
        <v>16.875000000000004</v>
      </c>
      <c r="CY14" s="276">
        <f>Dem!B255</f>
        <v>8.8000000000000007</v>
      </c>
      <c r="CZ14" s="276">
        <f>Dem!B295</f>
        <v>4.5</v>
      </c>
      <c r="DA14" s="276">
        <f>Dem!B335</f>
        <v>3.7</v>
      </c>
      <c r="DB14" s="276">
        <f>Dem!B375</f>
        <v>0.9</v>
      </c>
      <c r="DC14" s="275">
        <v>87.2</v>
      </c>
      <c r="DD14" s="46">
        <v>-0.49999999999998579</v>
      </c>
      <c r="DE14" s="275"/>
      <c r="DF14" s="276">
        <f>Dem!$D55+(DO14/4)</f>
        <v>44.20000000000001</v>
      </c>
      <c r="DG14" s="276">
        <f>Dem!$D95+(DO14/4)</f>
        <v>45.800000000000011</v>
      </c>
      <c r="DH14" s="276">
        <f>Dem!$D135+(DO14/4)</f>
        <v>45.900000000000006</v>
      </c>
      <c r="DI14" s="276">
        <f>Dem!$D175+(DO14/4)</f>
        <v>45.900000000000006</v>
      </c>
      <c r="DJ14" s="275">
        <f>Dem!$D255</f>
        <v>23.1</v>
      </c>
      <c r="DK14" s="275">
        <f>Dem!$D295</f>
        <v>11.6</v>
      </c>
      <c r="DL14" s="275">
        <f>Dem!$D335</f>
        <v>9.3000000000000007</v>
      </c>
      <c r="DM14" s="275">
        <f>Dem!$D375</f>
        <v>2.2999999999999998</v>
      </c>
      <c r="DN14" s="276">
        <f t="shared" si="17"/>
        <v>231.3</v>
      </c>
      <c r="DO14" s="44">
        <v>-1.5999999999999659</v>
      </c>
    </row>
    <row r="15" spans="1:119">
      <c r="A15" s="46">
        <f t="shared" si="18"/>
        <v>1985</v>
      </c>
      <c r="B15" s="141">
        <f t="shared" si="8"/>
        <v>0.10118863283840152</v>
      </c>
      <c r="C15" s="46"/>
      <c r="D15" s="141">
        <f t="shared" si="9"/>
        <v>0.57642243005510141</v>
      </c>
      <c r="E15" s="141">
        <f t="shared" si="10"/>
        <v>0.47523379721669989</v>
      </c>
      <c r="F15" s="46"/>
      <c r="G15" s="157">
        <f t="shared" si="11"/>
        <v>3.5387539657477159E-2</v>
      </c>
      <c r="H15" s="157">
        <f t="shared" si="1"/>
        <v>6.0814752913111281E-2</v>
      </c>
      <c r="I15" s="157">
        <f t="shared" si="1"/>
        <v>7.424379788234807E-2</v>
      </c>
      <c r="J15" s="157">
        <f t="shared" si="1"/>
        <v>7.147003502155902E-2</v>
      </c>
      <c r="K15" s="157">
        <f t="shared" si="1"/>
        <v>2.925308426962411E-2</v>
      </c>
      <c r="L15" s="157">
        <f t="shared" si="1"/>
        <v>1.1556587617179211E-2</v>
      </c>
      <c r="M15" s="157">
        <f t="shared" si="1"/>
        <v>5.4854176662518525E-3</v>
      </c>
      <c r="N15" s="157">
        <f t="shared" si="1"/>
        <v>0</v>
      </c>
      <c r="O15" s="46"/>
      <c r="P15" s="154">
        <f t="shared" si="19"/>
        <v>2.3062301712614235E-2</v>
      </c>
      <c r="Q15" s="154">
        <f t="shared" si="20"/>
        <v>9.5926235434443605E-2</v>
      </c>
      <c r="R15" s="154">
        <f t="shared" si="20"/>
        <v>0.22878101058825978</v>
      </c>
      <c r="S15" s="154">
        <f t="shared" si="20"/>
        <v>0.44264982489220495</v>
      </c>
      <c r="T15" s="154">
        <f t="shared" si="20"/>
        <v>0.60746915730375894</v>
      </c>
      <c r="U15" s="154">
        <f t="shared" si="20"/>
        <v>0.71886824765641588</v>
      </c>
      <c r="V15" s="154">
        <f t="shared" si="20"/>
        <v>0.85286455834370378</v>
      </c>
      <c r="W15" s="162">
        <f t="shared" si="21"/>
        <v>1</v>
      </c>
      <c r="X15" s="154"/>
      <c r="Y15" s="142">
        <f t="shared" si="22"/>
        <v>3.1848906560636187E-2</v>
      </c>
      <c r="Z15" s="142">
        <f t="shared" si="12"/>
        <v>5.1570576540755475E-2</v>
      </c>
      <c r="AA15" s="142">
        <f t="shared" si="12"/>
        <v>6.095427435387675E-2</v>
      </c>
      <c r="AB15" s="142">
        <f t="shared" si="12"/>
        <v>5.7017892644135197E-2</v>
      </c>
      <c r="AC15" s="142">
        <f t="shared" si="12"/>
        <v>2.3101391650099404E-2</v>
      </c>
      <c r="AD15" s="142">
        <f t="shared" si="12"/>
        <v>9.0308151093439377E-3</v>
      </c>
      <c r="AE15" s="142">
        <f t="shared" si="12"/>
        <v>4.0930417495029835E-3</v>
      </c>
      <c r="AF15" s="142">
        <f t="shared" si="12"/>
        <v>0</v>
      </c>
      <c r="AH15" s="158">
        <f t="shared" si="13"/>
        <v>4.0755467196819085E-2</v>
      </c>
      <c r="AI15" s="158">
        <f t="shared" si="14"/>
        <v>0.14214711729622267</v>
      </c>
      <c r="AJ15" s="158">
        <f t="shared" si="14"/>
        <v>0.29522862823061635</v>
      </c>
      <c r="AK15" s="158">
        <f t="shared" si="14"/>
        <v>0.51491053677932408</v>
      </c>
      <c r="AL15" s="158">
        <f t="shared" si="14"/>
        <v>0.66898608349900601</v>
      </c>
      <c r="AM15" s="158">
        <f t="shared" si="14"/>
        <v>0.76938369781312133</v>
      </c>
      <c r="AN15" s="158">
        <f t="shared" si="14"/>
        <v>0.88767395626242551</v>
      </c>
      <c r="AO15" s="158">
        <v>1</v>
      </c>
      <c r="AP15" s="143"/>
      <c r="AQ15" s="143">
        <f t="shared" si="5"/>
        <v>2.3062301712614232E-2</v>
      </c>
      <c r="AR15" s="143">
        <f t="shared" si="5"/>
        <v>7.2863933721829352E-2</v>
      </c>
      <c r="AS15" s="143">
        <f t="shared" si="5"/>
        <v>0.13285477515381616</v>
      </c>
      <c r="AT15" s="143">
        <f t="shared" si="5"/>
        <v>0.21386881430394511</v>
      </c>
      <c r="AU15" s="143">
        <f t="shared" si="5"/>
        <v>0.16481933241155397</v>
      </c>
      <c r="AV15" s="143">
        <f t="shared" si="5"/>
        <v>0.11139909035265694</v>
      </c>
      <c r="AW15" s="143">
        <f t="shared" si="5"/>
        <v>0.1339963106872879</v>
      </c>
      <c r="AX15" s="143">
        <f t="shared" si="5"/>
        <v>0.14713544165629625</v>
      </c>
      <c r="AY15" s="46"/>
      <c r="AZ15" s="152">
        <f>Shares!D56</f>
        <v>4.0999999999999996</v>
      </c>
      <c r="BA15" s="152">
        <f>Shares!E56</f>
        <v>10.199999999999999</v>
      </c>
      <c r="BB15" s="152">
        <f>Shares!F56</f>
        <v>15.4</v>
      </c>
      <c r="BC15" s="152">
        <f>Shares!G56</f>
        <v>22.1</v>
      </c>
      <c r="BD15" s="152">
        <f>Shares!J56</f>
        <v>15.5</v>
      </c>
      <c r="BE15" s="152">
        <f>Shares!K56</f>
        <v>10.1</v>
      </c>
      <c r="BF15" s="152">
        <f>Shares!L56</f>
        <v>11.9</v>
      </c>
      <c r="BG15" s="152">
        <f>Shares!M56</f>
        <v>11.3</v>
      </c>
      <c r="BI15" s="573">
        <f>TxRt!$B59-TxRt!C59+MAX(0,TxRt!$C59)</f>
        <v>11.8</v>
      </c>
      <c r="BJ15" s="573">
        <f>TxRt!B102-TxRt!C102+MAX(0,TxRt!$C102)</f>
        <v>15.1</v>
      </c>
      <c r="BK15" s="573">
        <f>TxRt!B142-TxRt!C142+MAX(0,TxRt!$C142)</f>
        <v>18.2</v>
      </c>
      <c r="BL15" s="573">
        <f>TxRt!B182-TxRt!C182+MAX(0,TxRt!$C182)</f>
        <v>20.5</v>
      </c>
      <c r="BM15" s="573">
        <f>TxRt!B262-TxRt!C262+MAX(0,TxRt!$C262)</f>
        <v>22.3</v>
      </c>
      <c r="BN15" s="573">
        <f>TxRt!B302-TxRt!C302+MAX(0,TxRt!$C302)</f>
        <v>23.2</v>
      </c>
      <c r="BO15" s="573">
        <f>TxRt!B342-TxRt!C342+MAX(0,TxRt!$C342)</f>
        <v>23.6</v>
      </c>
      <c r="BP15" s="573">
        <f>TxRt!B382-TxRt!C382+MAX(0,TxRt!$C382)</f>
        <v>26.1</v>
      </c>
      <c r="BQ15" s="46"/>
      <c r="BR15" s="60">
        <f>Inc!B56</f>
        <v>14500</v>
      </c>
      <c r="BS15" s="60">
        <f>Inc!B96</f>
        <v>35800</v>
      </c>
      <c r="BT15" s="60">
        <f>Inc!B136</f>
        <v>56400</v>
      </c>
      <c r="BU15" s="60">
        <f>Inc!B176</f>
        <v>79200</v>
      </c>
      <c r="BV15" s="60">
        <f>Inc!B256</f>
        <v>104900</v>
      </c>
      <c r="BW15" s="60">
        <f>Inc!B296</f>
        <v>133400</v>
      </c>
      <c r="BX15" s="60">
        <f>Inc!B336</f>
        <v>195100</v>
      </c>
      <c r="BY15" s="60">
        <f>Inc!B376</f>
        <v>736100</v>
      </c>
      <c r="CA15" s="60">
        <f t="shared" si="23"/>
        <v>1711</v>
      </c>
      <c r="CB15" s="60">
        <f t="shared" si="23"/>
        <v>5405.8</v>
      </c>
      <c r="CC15" s="60">
        <f t="shared" si="23"/>
        <v>10264.799999999999</v>
      </c>
      <c r="CD15" s="60">
        <f t="shared" si="23"/>
        <v>16236</v>
      </c>
      <c r="CE15" s="60">
        <f t="shared" si="23"/>
        <v>23392.7</v>
      </c>
      <c r="CF15" s="60">
        <f t="shared" si="23"/>
        <v>30948.799999999999</v>
      </c>
      <c r="CG15" s="60">
        <f t="shared" si="23"/>
        <v>46043.6</v>
      </c>
      <c r="CH15" s="60">
        <f t="shared" si="23"/>
        <v>192122.1</v>
      </c>
      <c r="CJ15" s="153">
        <f t="shared" si="15"/>
        <v>30113.600000000002</v>
      </c>
      <c r="CK15" s="153">
        <f t="shared" si="7"/>
        <v>95142.080000000016</v>
      </c>
      <c r="CL15" s="153">
        <f t="shared" si="7"/>
        <v>173475.12</v>
      </c>
      <c r="CM15" s="153">
        <f t="shared" si="7"/>
        <v>279259.20000000007</v>
      </c>
      <c r="CN15" s="153">
        <f t="shared" si="7"/>
        <v>215212.84</v>
      </c>
      <c r="CO15" s="153">
        <f t="shared" si="7"/>
        <v>145459.36000000002</v>
      </c>
      <c r="CP15" s="153">
        <f t="shared" si="7"/>
        <v>174965.68</v>
      </c>
      <c r="CQ15" s="153">
        <f t="shared" si="7"/>
        <v>192122.1</v>
      </c>
      <c r="CR15" s="153">
        <f t="shared" si="16"/>
        <v>1305749.9800000002</v>
      </c>
      <c r="CT15" s="403">
        <v>234.6</v>
      </c>
      <c r="CU15" s="276">
        <f>Dem!B56+(DD15/4)</f>
        <v>17.600000000000001</v>
      </c>
      <c r="CV15" s="276">
        <f>Dem!B96+(DD15/4)</f>
        <v>17.600000000000001</v>
      </c>
      <c r="CW15" s="276">
        <f>Dem!B136+(DD15/4)</f>
        <v>16.900000000000002</v>
      </c>
      <c r="CX15" s="276">
        <f>Dem!B176+(DD15/4)</f>
        <v>17.200000000000003</v>
      </c>
      <c r="CY15" s="276">
        <f>Dem!B256</f>
        <v>9.1999999999999993</v>
      </c>
      <c r="CZ15" s="276">
        <f>Dem!B296</f>
        <v>4.7</v>
      </c>
      <c r="DA15" s="276">
        <f>Dem!B336</f>
        <v>3.8</v>
      </c>
      <c r="DB15" s="276">
        <f>Dem!B376</f>
        <v>1</v>
      </c>
      <c r="DC15" s="275">
        <v>88.8</v>
      </c>
      <c r="DD15" s="46">
        <v>-0.39999999999999147</v>
      </c>
      <c r="DE15" s="275"/>
      <c r="DF15" s="276">
        <f>Dem!$D56+(DO15/4)</f>
        <v>44.750000000000007</v>
      </c>
      <c r="DG15" s="276">
        <f>Dem!$D96+(DO15/4)</f>
        <v>46.45</v>
      </c>
      <c r="DH15" s="276">
        <f>Dem!$D136+(DO15/4)</f>
        <v>46.45</v>
      </c>
      <c r="DI15" s="276">
        <f>Dem!$D176+(DO15/4)</f>
        <v>46.45</v>
      </c>
      <c r="DJ15" s="275">
        <f>Dem!$D256</f>
        <v>23.5</v>
      </c>
      <c r="DK15" s="275">
        <f>Dem!$D296</f>
        <v>11.7</v>
      </c>
      <c r="DL15" s="275">
        <f>Dem!$D336</f>
        <v>9.4</v>
      </c>
      <c r="DM15" s="275">
        <f>Dem!$D376</f>
        <v>2.2999999999999998</v>
      </c>
      <c r="DN15" s="276">
        <f t="shared" si="17"/>
        <v>234.6</v>
      </c>
      <c r="DO15" s="44">
        <v>-1.7999999999999829</v>
      </c>
    </row>
    <row r="16" spans="1:119">
      <c r="A16" s="46">
        <f t="shared" si="18"/>
        <v>1986</v>
      </c>
      <c r="B16" s="141">
        <f t="shared" si="8"/>
        <v>9.622197288316614E-2</v>
      </c>
      <c r="C16" s="46"/>
      <c r="D16" s="141">
        <f t="shared" si="9"/>
        <v>0.59727400863291802</v>
      </c>
      <c r="E16" s="141">
        <f t="shared" si="10"/>
        <v>0.50105203574975188</v>
      </c>
      <c r="F16" s="46"/>
      <c r="G16" s="157">
        <f t="shared" si="11"/>
        <v>3.5720778237243296E-2</v>
      </c>
      <c r="H16" s="157">
        <f t="shared" si="1"/>
        <v>6.189102841636826E-2</v>
      </c>
      <c r="I16" s="157">
        <f t="shared" si="1"/>
        <v>7.6201936979445342E-2</v>
      </c>
      <c r="J16" s="157">
        <f t="shared" si="1"/>
        <v>7.4496398802844893E-2</v>
      </c>
      <c r="K16" s="157">
        <f t="shared" si="1"/>
        <v>3.1283710622671206E-2</v>
      </c>
      <c r="L16" s="157">
        <f t="shared" si="1"/>
        <v>1.2683838773344025E-2</v>
      </c>
      <c r="M16" s="157">
        <f t="shared" si="1"/>
        <v>6.3593124845420061E-3</v>
      </c>
      <c r="N16" s="157">
        <f t="shared" si="1"/>
        <v>0</v>
      </c>
      <c r="O16" s="46"/>
      <c r="P16" s="154">
        <f t="shared" si="19"/>
        <v>2.1396108813783538E-2</v>
      </c>
      <c r="Q16" s="154">
        <f t="shared" si="20"/>
        <v>9.054485791815875E-2</v>
      </c>
      <c r="R16" s="154">
        <f t="shared" si="20"/>
        <v>0.21899031510277339</v>
      </c>
      <c r="S16" s="154">
        <f t="shared" si="20"/>
        <v>0.42751800598577561</v>
      </c>
      <c r="T16" s="154">
        <f t="shared" si="20"/>
        <v>0.58716289377328801</v>
      </c>
      <c r="U16" s="154">
        <f t="shared" si="20"/>
        <v>0.69632322453311957</v>
      </c>
      <c r="V16" s="154">
        <f t="shared" si="20"/>
        <v>0.83101718788644996</v>
      </c>
      <c r="W16" s="162">
        <f t="shared" si="21"/>
        <v>1</v>
      </c>
      <c r="X16" s="154"/>
      <c r="Y16" s="142">
        <f t="shared" si="22"/>
        <v>3.2254220456802388E-2</v>
      </c>
      <c r="Z16" s="142">
        <f t="shared" si="12"/>
        <v>5.2989076464746779E-2</v>
      </c>
      <c r="AA16" s="142">
        <f t="shared" si="12"/>
        <v>6.3396226415094376E-2</v>
      </c>
      <c r="AB16" s="142">
        <f t="shared" si="12"/>
        <v>6.0893743793445899E-2</v>
      </c>
      <c r="AC16" s="142">
        <f t="shared" si="12"/>
        <v>2.5551142005958306E-2</v>
      </c>
      <c r="AD16" s="142">
        <f t="shared" si="12"/>
        <v>1.0359980139026821E-2</v>
      </c>
      <c r="AE16" s="142">
        <f t="shared" si="12"/>
        <v>5.0816285998013955E-3</v>
      </c>
      <c r="AF16" s="142">
        <f t="shared" si="12"/>
        <v>0</v>
      </c>
      <c r="AH16" s="158">
        <f t="shared" si="13"/>
        <v>3.872889771598808E-2</v>
      </c>
      <c r="AI16" s="158">
        <f t="shared" si="14"/>
        <v>0.13505461767626611</v>
      </c>
      <c r="AJ16" s="158">
        <f t="shared" si="14"/>
        <v>0.28301886792452824</v>
      </c>
      <c r="AK16" s="158">
        <f t="shared" si="14"/>
        <v>0.49553128103277055</v>
      </c>
      <c r="AL16" s="158">
        <f t="shared" si="14"/>
        <v>0.64448857994041697</v>
      </c>
      <c r="AM16" s="158">
        <f t="shared" si="14"/>
        <v>0.74280039721946367</v>
      </c>
      <c r="AN16" s="158">
        <f t="shared" si="14"/>
        <v>0.86295928500496522</v>
      </c>
      <c r="AO16" s="158">
        <v>1</v>
      </c>
      <c r="AP16" s="143"/>
      <c r="AQ16" s="143">
        <f t="shared" si="5"/>
        <v>2.1396108813783538E-2</v>
      </c>
      <c r="AR16" s="143">
        <f t="shared" si="5"/>
        <v>6.9148749104375212E-2</v>
      </c>
      <c r="AS16" s="143">
        <f t="shared" si="5"/>
        <v>0.12844545718461464</v>
      </c>
      <c r="AT16" s="143">
        <f t="shared" si="5"/>
        <v>0.20852769088300219</v>
      </c>
      <c r="AU16" s="143">
        <f t="shared" si="5"/>
        <v>0.15964488778751237</v>
      </c>
      <c r="AV16" s="143">
        <f t="shared" si="5"/>
        <v>0.10916033075983154</v>
      </c>
      <c r="AW16" s="143">
        <f t="shared" si="5"/>
        <v>0.13469396335333039</v>
      </c>
      <c r="AX16" s="143">
        <f t="shared" si="5"/>
        <v>0.16898281211355001</v>
      </c>
      <c r="AY16" s="46"/>
      <c r="AZ16" s="152">
        <f>Shares!D57</f>
        <v>3.9</v>
      </c>
      <c r="BA16" s="152">
        <f>Shares!E57</f>
        <v>9.6999999999999993</v>
      </c>
      <c r="BB16" s="152">
        <f>Shares!F57</f>
        <v>14.9</v>
      </c>
      <c r="BC16" s="152">
        <f>Shares!G57</f>
        <v>21.4</v>
      </c>
      <c r="BD16" s="152">
        <f>Shares!J57</f>
        <v>15</v>
      </c>
      <c r="BE16" s="152">
        <f>Shares!K57</f>
        <v>9.9</v>
      </c>
      <c r="BF16" s="152">
        <f>Shares!L57</f>
        <v>12.1</v>
      </c>
      <c r="BG16" s="152">
        <f>Shares!M57</f>
        <v>13.8</v>
      </c>
      <c r="BI16" s="573">
        <f>TxRt!$B60-TxRt!C60+MAX(0,TxRt!$C60)</f>
        <v>11.7</v>
      </c>
      <c r="BJ16" s="573">
        <f>TxRt!B103-TxRt!C103+MAX(0,TxRt!$C103)</f>
        <v>15</v>
      </c>
      <c r="BK16" s="573">
        <f>TxRt!B143-TxRt!C143+MAX(0,TxRt!$C143)</f>
        <v>18.2</v>
      </c>
      <c r="BL16" s="573">
        <f>TxRt!B183-TxRt!C183+MAX(0,TxRt!$C183)</f>
        <v>20.6</v>
      </c>
      <c r="BM16" s="573">
        <f>TxRt!B263-TxRt!C263+MAX(0,TxRt!$C263)</f>
        <v>22.5</v>
      </c>
      <c r="BN16" s="573">
        <f>TxRt!B303-TxRt!C303+MAX(0,TxRt!$C303)</f>
        <v>23.4</v>
      </c>
      <c r="BO16" s="573">
        <f>TxRt!B343-TxRt!C343+MAX(0,TxRt!$C343)</f>
        <v>23.5</v>
      </c>
      <c r="BP16" s="573">
        <f>TxRt!B383-TxRt!C383+MAX(0,TxRt!$C383)</f>
        <v>24.7</v>
      </c>
      <c r="BQ16" s="46"/>
      <c r="BR16" s="60">
        <f>Inc!B57</f>
        <v>14400</v>
      </c>
      <c r="BS16" s="60">
        <f>Inc!B97</f>
        <v>36300</v>
      </c>
      <c r="BT16" s="60">
        <f>Inc!B137</f>
        <v>57500</v>
      </c>
      <c r="BU16" s="60">
        <f>Inc!B177</f>
        <v>82000</v>
      </c>
      <c r="BV16" s="60">
        <f>Inc!B257</f>
        <v>109900</v>
      </c>
      <c r="BW16" s="60">
        <f>Inc!B297</f>
        <v>139900</v>
      </c>
      <c r="BX16" s="60">
        <f>Inc!B337</f>
        <v>212600</v>
      </c>
      <c r="BY16" s="60">
        <f>Inc!B377</f>
        <v>964300</v>
      </c>
      <c r="CA16" s="60">
        <f t="shared" si="23"/>
        <v>1684.8</v>
      </c>
      <c r="CB16" s="60">
        <f t="shared" si="23"/>
        <v>5445</v>
      </c>
      <c r="CC16" s="60">
        <f t="shared" si="23"/>
        <v>10465</v>
      </c>
      <c r="CD16" s="60">
        <f t="shared" si="23"/>
        <v>16892.000000000004</v>
      </c>
      <c r="CE16" s="60">
        <f t="shared" si="23"/>
        <v>24727.5</v>
      </c>
      <c r="CF16" s="60">
        <f t="shared" si="23"/>
        <v>32736.6</v>
      </c>
      <c r="CG16" s="60">
        <f t="shared" si="23"/>
        <v>49961</v>
      </c>
      <c r="CH16" s="60">
        <f t="shared" si="23"/>
        <v>238182.1</v>
      </c>
      <c r="CJ16" s="153">
        <f t="shared" si="15"/>
        <v>30157.919999999998</v>
      </c>
      <c r="CK16" s="153">
        <f t="shared" si="7"/>
        <v>97465.499999999985</v>
      </c>
      <c r="CL16" s="153">
        <f t="shared" si="7"/>
        <v>181044.49999999997</v>
      </c>
      <c r="CM16" s="153">
        <f t="shared" si="7"/>
        <v>293920.80000000005</v>
      </c>
      <c r="CN16" s="153">
        <f t="shared" si="7"/>
        <v>225020.25</v>
      </c>
      <c r="CO16" s="153">
        <f t="shared" si="7"/>
        <v>153862.01999999999</v>
      </c>
      <c r="CP16" s="153">
        <f t="shared" si="7"/>
        <v>189851.8</v>
      </c>
      <c r="CQ16" s="153">
        <f t="shared" si="7"/>
        <v>238182.1</v>
      </c>
      <c r="CR16" s="153">
        <f t="shared" si="16"/>
        <v>1409504.8900000001</v>
      </c>
      <c r="CT16" s="403">
        <v>237.1</v>
      </c>
      <c r="CU16" s="276">
        <f>Dem!B57+(DD16/4)</f>
        <v>17.899999999999999</v>
      </c>
      <c r="CV16" s="276">
        <f>Dem!B97+(DD16/4)</f>
        <v>17.899999999999999</v>
      </c>
      <c r="CW16" s="276">
        <f>Dem!B137+(DD16/4)</f>
        <v>17.299999999999997</v>
      </c>
      <c r="CX16" s="276">
        <f>Dem!B177+(DD16/4)</f>
        <v>17.399999999999999</v>
      </c>
      <c r="CY16" s="276">
        <f>Dem!B257</f>
        <v>9.1</v>
      </c>
      <c r="CZ16" s="276">
        <f>Dem!B297</f>
        <v>4.7</v>
      </c>
      <c r="DA16" s="276">
        <f>Dem!B337</f>
        <v>3.8</v>
      </c>
      <c r="DB16" s="276">
        <f>Dem!B377</f>
        <v>1</v>
      </c>
      <c r="DC16" s="275">
        <v>89.9</v>
      </c>
      <c r="DD16" s="46">
        <v>-0.40000000000000568</v>
      </c>
      <c r="DE16" s="275"/>
      <c r="DF16" s="276">
        <f>Dem!$D57+(DO16/4)</f>
        <v>45.775000000000006</v>
      </c>
      <c r="DG16" s="276">
        <f>Dem!$D97+(DO16/4)</f>
        <v>47.075000000000003</v>
      </c>
      <c r="DH16" s="276">
        <f>Dem!$D137+(DO16/4)</f>
        <v>47.075000000000003</v>
      </c>
      <c r="DI16" s="276">
        <f>Dem!$D177+(DO16/4)</f>
        <v>47.075000000000003</v>
      </c>
      <c r="DJ16" s="275">
        <f>Dem!$D257</f>
        <v>23.7</v>
      </c>
      <c r="DK16" s="275">
        <f>Dem!$D297</f>
        <v>11.9</v>
      </c>
      <c r="DL16" s="275">
        <f>Dem!$D337</f>
        <v>9.5</v>
      </c>
      <c r="DM16" s="275">
        <f>Dem!$D377</f>
        <v>2.4</v>
      </c>
      <c r="DN16" s="276">
        <f t="shared" si="17"/>
        <v>237.1</v>
      </c>
      <c r="DO16" s="44">
        <v>-1.2999999999999829</v>
      </c>
    </row>
    <row r="17" spans="1:119">
      <c r="A17" s="46">
        <f t="shared" si="18"/>
        <v>1987</v>
      </c>
      <c r="B17" s="141">
        <f t="shared" si="8"/>
        <v>0.11831961160005022</v>
      </c>
      <c r="C17" s="46"/>
      <c r="D17" s="141">
        <f t="shared" si="9"/>
        <v>0.59923913588151712</v>
      </c>
      <c r="E17" s="141">
        <f t="shared" si="10"/>
        <v>0.48091952428146689</v>
      </c>
      <c r="F17" s="46"/>
      <c r="G17" s="157">
        <f t="shared" si="11"/>
        <v>3.6098913272199454E-2</v>
      </c>
      <c r="H17" s="157">
        <f t="shared" si="1"/>
        <v>6.2832875067549337E-2</v>
      </c>
      <c r="I17" s="157">
        <f t="shared" si="1"/>
        <v>7.7155060276433221E-2</v>
      </c>
      <c r="J17" s="157">
        <f t="shared" si="1"/>
        <v>7.4947221180593465E-2</v>
      </c>
      <c r="K17" s="157">
        <f t="shared" si="1"/>
        <v>3.0907965751480627E-2</v>
      </c>
      <c r="L17" s="157">
        <f t="shared" si="1"/>
        <v>1.2178305309625104E-2</v>
      </c>
      <c r="M17" s="157">
        <f t="shared" si="1"/>
        <v>5.4992270828773428E-3</v>
      </c>
      <c r="N17" s="157">
        <f t="shared" si="1"/>
        <v>0</v>
      </c>
      <c r="O17" s="46"/>
      <c r="P17" s="154">
        <f t="shared" si="19"/>
        <v>1.9505433639002749E-2</v>
      </c>
      <c r="Q17" s="154">
        <f t="shared" si="20"/>
        <v>8.583562466225339E-2</v>
      </c>
      <c r="R17" s="154">
        <f t="shared" si="20"/>
        <v>0.21422469861783397</v>
      </c>
      <c r="S17" s="154">
        <f t="shared" si="20"/>
        <v>0.42526389409703275</v>
      </c>
      <c r="T17" s="154">
        <f t="shared" si="20"/>
        <v>0.59092034248519376</v>
      </c>
      <c r="U17" s="154">
        <f t="shared" si="20"/>
        <v>0.70643389380749799</v>
      </c>
      <c r="V17" s="154">
        <f t="shared" si="20"/>
        <v>0.85251932292806654</v>
      </c>
      <c r="W17" s="162">
        <f t="shared" si="21"/>
        <v>1</v>
      </c>
      <c r="X17" s="154"/>
      <c r="Y17" s="142">
        <f t="shared" si="22"/>
        <v>3.2666005946481669E-2</v>
      </c>
      <c r="Z17" s="142">
        <f t="shared" si="12"/>
        <v>5.2646184340931629E-2</v>
      </c>
      <c r="AA17" s="142">
        <f t="shared" si="12"/>
        <v>6.1724479682854327E-2</v>
      </c>
      <c r="AB17" s="142">
        <f t="shared" si="12"/>
        <v>5.732408325074332E-2</v>
      </c>
      <c r="AC17" s="142">
        <f t="shared" si="12"/>
        <v>2.3102081268582753E-2</v>
      </c>
      <c r="AD17" s="142">
        <f t="shared" si="12"/>
        <v>8.9965312190287416E-3</v>
      </c>
      <c r="AE17" s="142">
        <f t="shared" si="12"/>
        <v>4.0003964321110039E-3</v>
      </c>
      <c r="AF17" s="142">
        <f t="shared" si="12"/>
        <v>0</v>
      </c>
      <c r="AH17" s="158">
        <f t="shared" si="13"/>
        <v>3.6669970267591681E-2</v>
      </c>
      <c r="AI17" s="158">
        <f t="shared" si="14"/>
        <v>0.13676907829534193</v>
      </c>
      <c r="AJ17" s="158">
        <f t="shared" si="14"/>
        <v>0.29137760158572845</v>
      </c>
      <c r="AK17" s="158">
        <f t="shared" si="14"/>
        <v>0.51337958374628345</v>
      </c>
      <c r="AL17" s="158">
        <f t="shared" si="14"/>
        <v>0.6689791873141725</v>
      </c>
      <c r="AM17" s="158">
        <f t="shared" si="14"/>
        <v>0.77006937561942523</v>
      </c>
      <c r="AN17" s="158">
        <f t="shared" si="14"/>
        <v>0.889990089197225</v>
      </c>
      <c r="AO17" s="158">
        <v>1</v>
      </c>
      <c r="AP17" s="143"/>
      <c r="AQ17" s="143">
        <f t="shared" si="5"/>
        <v>1.9505433639002749E-2</v>
      </c>
      <c r="AR17" s="143">
        <f t="shared" si="5"/>
        <v>6.6330191023250634E-2</v>
      </c>
      <c r="AS17" s="143">
        <f t="shared" si="5"/>
        <v>0.12838907395558058</v>
      </c>
      <c r="AT17" s="143">
        <f t="shared" si="5"/>
        <v>0.21103919547919878</v>
      </c>
      <c r="AU17" s="143">
        <f t="shared" si="5"/>
        <v>0.16565644838816102</v>
      </c>
      <c r="AV17" s="143">
        <f t="shared" si="5"/>
        <v>0.11551355132230422</v>
      </c>
      <c r="AW17" s="143">
        <f t="shared" si="5"/>
        <v>0.1460854291205686</v>
      </c>
      <c r="AX17" s="143">
        <f t="shared" si="5"/>
        <v>0.14748067707193349</v>
      </c>
      <c r="AY17" s="46"/>
      <c r="AZ17" s="152">
        <f>Shares!D58</f>
        <v>3.7</v>
      </c>
      <c r="BA17" s="152">
        <f>Shares!E58</f>
        <v>10.1</v>
      </c>
      <c r="BB17" s="152">
        <f>Shares!F58</f>
        <v>15.6</v>
      </c>
      <c r="BC17" s="152">
        <f>Shares!G58</f>
        <v>22.4</v>
      </c>
      <c r="BD17" s="152">
        <f>Shares!J58</f>
        <v>15.7</v>
      </c>
      <c r="BE17" s="152">
        <f>Shares!K58</f>
        <v>10.199999999999999</v>
      </c>
      <c r="BF17" s="152">
        <f>Shares!L58</f>
        <v>12.1</v>
      </c>
      <c r="BG17" s="152">
        <f>Shares!M58</f>
        <v>11.1</v>
      </c>
      <c r="BI17" s="573">
        <f>TxRt!$B61-TxRt!C61+MAX(0,TxRt!$C61)</f>
        <v>11.399999999999999</v>
      </c>
      <c r="BJ17" s="573">
        <f>TxRt!B104-TxRt!C104+MAX(0,TxRt!$C104)</f>
        <v>14.3</v>
      </c>
      <c r="BK17" s="573">
        <f>TxRt!B144-TxRt!C144+MAX(0,TxRt!$C144)</f>
        <v>17.8</v>
      </c>
      <c r="BL17" s="573">
        <f>TxRt!B184-TxRt!C184+MAX(0,TxRt!$C184)</f>
        <v>20.399999999999999</v>
      </c>
      <c r="BM17" s="573">
        <f>TxRt!B264-TxRt!C264+MAX(0,TxRt!$C264)</f>
        <v>22.8</v>
      </c>
      <c r="BN17" s="573">
        <f>TxRt!B304-TxRt!C304+MAX(0,TxRt!$C304)</f>
        <v>24.5</v>
      </c>
      <c r="BO17" s="573">
        <f>TxRt!B344-TxRt!C344+MAX(0,TxRt!$C344)</f>
        <v>25.9</v>
      </c>
      <c r="BP17" s="573">
        <f>TxRt!B384-TxRt!C384+MAX(0,TxRt!$C384)</f>
        <v>30.1</v>
      </c>
      <c r="BQ17" s="46"/>
      <c r="BR17" s="60">
        <f>Inc!B58</f>
        <v>13800</v>
      </c>
      <c r="BS17" s="60">
        <f>Inc!B98</f>
        <v>35400</v>
      </c>
      <c r="BT17" s="60">
        <f>Inc!B138</f>
        <v>57200</v>
      </c>
      <c r="BU17" s="60">
        <f>Inc!B178</f>
        <v>82500</v>
      </c>
      <c r="BV17" s="60">
        <f>Inc!B258</f>
        <v>110900</v>
      </c>
      <c r="BW17" s="60">
        <f>Inc!B298</f>
        <v>142400</v>
      </c>
      <c r="BX17" s="60">
        <f>Inc!B338</f>
        <v>210700</v>
      </c>
      <c r="BY17" s="60">
        <f>Inc!B378</f>
        <v>772800</v>
      </c>
      <c r="CA17" s="60">
        <f t="shared" si="23"/>
        <v>1573.1999999999998</v>
      </c>
      <c r="CB17" s="60">
        <f t="shared" si="23"/>
        <v>5062.2</v>
      </c>
      <c r="CC17" s="60">
        <f t="shared" si="23"/>
        <v>10181.6</v>
      </c>
      <c r="CD17" s="60">
        <f t="shared" si="23"/>
        <v>16829.999999999996</v>
      </c>
      <c r="CE17" s="60">
        <f t="shared" si="23"/>
        <v>25285.200000000001</v>
      </c>
      <c r="CF17" s="60">
        <f t="shared" si="23"/>
        <v>34888</v>
      </c>
      <c r="CG17" s="60">
        <f t="shared" si="23"/>
        <v>54571.3</v>
      </c>
      <c r="CH17" s="60">
        <f t="shared" si="23"/>
        <v>232612.8</v>
      </c>
      <c r="CJ17" s="153">
        <f t="shared" si="15"/>
        <v>27688.319999999992</v>
      </c>
      <c r="CK17" s="153">
        <f t="shared" si="7"/>
        <v>94156.919999999984</v>
      </c>
      <c r="CL17" s="153">
        <f t="shared" si="7"/>
        <v>182250.63999999998</v>
      </c>
      <c r="CM17" s="153">
        <f t="shared" si="7"/>
        <v>299573.99999999988</v>
      </c>
      <c r="CN17" s="153">
        <f t="shared" si="7"/>
        <v>235152.36000000002</v>
      </c>
      <c r="CO17" s="153">
        <f t="shared" si="7"/>
        <v>163973.6</v>
      </c>
      <c r="CP17" s="153">
        <f t="shared" si="7"/>
        <v>207370.94</v>
      </c>
      <c r="CQ17" s="153">
        <f t="shared" si="7"/>
        <v>209351.52</v>
      </c>
      <c r="CR17" s="153">
        <f t="shared" si="16"/>
        <v>1419518.2999999998</v>
      </c>
      <c r="CT17" s="403">
        <v>239.8</v>
      </c>
      <c r="CU17" s="276">
        <f>Dem!B58+(DD17/4)</f>
        <v>17.599999999999998</v>
      </c>
      <c r="CV17" s="276">
        <f>Dem!B98+(DD17/4)</f>
        <v>18.599999999999998</v>
      </c>
      <c r="CW17" s="276">
        <f>Dem!B138+(DD17/4)</f>
        <v>17.899999999999999</v>
      </c>
      <c r="CX17" s="276">
        <f>Dem!B178+(DD17/4)</f>
        <v>17.799999999999997</v>
      </c>
      <c r="CY17" s="276">
        <f>Dem!B258</f>
        <v>9.3000000000000007</v>
      </c>
      <c r="CZ17" s="276">
        <f>Dem!B298</f>
        <v>4.7</v>
      </c>
      <c r="DA17" s="276">
        <f>Dem!B338</f>
        <v>3.8</v>
      </c>
      <c r="DB17" s="276">
        <f>Dem!B378</f>
        <v>0.9</v>
      </c>
      <c r="DC17" s="275">
        <v>91.4</v>
      </c>
      <c r="DD17" s="46">
        <v>-0.40000000000000568</v>
      </c>
      <c r="DE17" s="275"/>
      <c r="DF17" s="276">
        <f>Dem!$D58+(DO17/4)</f>
        <v>46.424999999999997</v>
      </c>
      <c r="DG17" s="276">
        <f>Dem!$D98+(DO17/4)</f>
        <v>47.724999999999994</v>
      </c>
      <c r="DH17" s="276">
        <f>Dem!$D138+(DO17/4)</f>
        <v>47.724999999999994</v>
      </c>
      <c r="DI17" s="276">
        <f>Dem!$D178+(DO17/4)</f>
        <v>47.724999999999994</v>
      </c>
      <c r="DJ17" s="275">
        <f>Dem!$D258</f>
        <v>24</v>
      </c>
      <c r="DK17" s="275">
        <f>Dem!$D298</f>
        <v>12</v>
      </c>
      <c r="DL17" s="275">
        <f>Dem!$D338</f>
        <v>9.6</v>
      </c>
      <c r="DM17" s="275">
        <f>Dem!$D378</f>
        <v>2.4</v>
      </c>
      <c r="DN17" s="276">
        <f t="shared" si="17"/>
        <v>239.8</v>
      </c>
      <c r="DO17" s="44">
        <v>-1.1000000000000227</v>
      </c>
    </row>
    <row r="18" spans="1:119">
      <c r="A18" s="46">
        <f t="shared" si="18"/>
        <v>1988</v>
      </c>
      <c r="B18" s="141">
        <f t="shared" si="8"/>
        <v>0.11975653877094289</v>
      </c>
      <c r="C18" s="46"/>
      <c r="D18" s="141">
        <f t="shared" si="9"/>
        <v>0.61732955464395889</v>
      </c>
      <c r="E18" s="141">
        <f t="shared" si="10"/>
        <v>0.497573015873016</v>
      </c>
      <c r="F18" s="46"/>
      <c r="G18" s="157">
        <f t="shared" si="11"/>
        <v>3.6181501732276584E-2</v>
      </c>
      <c r="H18" s="157">
        <f t="shared" si="1"/>
        <v>6.317824894689178E-2</v>
      </c>
      <c r="I18" s="157">
        <f t="shared" si="1"/>
        <v>7.8563319551400196E-2</v>
      </c>
      <c r="J18" s="157">
        <f t="shared" si="1"/>
        <v>7.7656659900982555E-2</v>
      </c>
      <c r="K18" s="157">
        <f t="shared" si="1"/>
        <v>3.287870520460856E-2</v>
      </c>
      <c r="L18" s="157">
        <f t="shared" si="1"/>
        <v>1.3444993336104522E-2</v>
      </c>
      <c r="M18" s="157">
        <f t="shared" si="1"/>
        <v>6.7613486497153062E-3</v>
      </c>
      <c r="N18" s="157">
        <f t="shared" si="1"/>
        <v>0</v>
      </c>
      <c r="O18" s="46"/>
      <c r="P18" s="154">
        <f t="shared" si="19"/>
        <v>1.9092491338617099E-2</v>
      </c>
      <c r="Q18" s="154">
        <f t="shared" si="20"/>
        <v>8.4108755265541138E-2</v>
      </c>
      <c r="R18" s="154">
        <f t="shared" si="20"/>
        <v>0.20718340224299911</v>
      </c>
      <c r="S18" s="154">
        <f t="shared" si="20"/>
        <v>0.4117167004950873</v>
      </c>
      <c r="T18" s="154">
        <f t="shared" si="20"/>
        <v>0.57121294795391442</v>
      </c>
      <c r="U18" s="154">
        <f t="shared" si="20"/>
        <v>0.68110013327790964</v>
      </c>
      <c r="V18" s="154">
        <f t="shared" si="20"/>
        <v>0.82096628375711744</v>
      </c>
      <c r="W18" s="162">
        <f t="shared" si="21"/>
        <v>1</v>
      </c>
      <c r="X18" s="154"/>
      <c r="Y18" s="142">
        <f t="shared" si="22"/>
        <v>3.2658730158730165E-2</v>
      </c>
      <c r="Z18" s="142">
        <f t="shared" si="12"/>
        <v>5.3214285714285728E-2</v>
      </c>
      <c r="AA18" s="142">
        <f t="shared" si="12"/>
        <v>6.3253968253968271E-2</v>
      </c>
      <c r="AB18" s="142">
        <f t="shared" si="12"/>
        <v>6.0000000000000012E-2</v>
      </c>
      <c r="AC18" s="142">
        <f t="shared" si="12"/>
        <v>2.4821428571428574E-2</v>
      </c>
      <c r="AD18" s="142">
        <f t="shared" si="12"/>
        <v>1.0000000000000004E-2</v>
      </c>
      <c r="AE18" s="142">
        <f t="shared" si="12"/>
        <v>4.8380952380952412E-3</v>
      </c>
      <c r="AF18" s="142">
        <f t="shared" si="12"/>
        <v>0</v>
      </c>
      <c r="AH18" s="158">
        <f t="shared" si="13"/>
        <v>3.6706349206349201E-2</v>
      </c>
      <c r="AI18" s="158">
        <f t="shared" si="14"/>
        <v>0.13392857142857142</v>
      </c>
      <c r="AJ18" s="158">
        <f t="shared" si="14"/>
        <v>0.28373015873015872</v>
      </c>
      <c r="AK18" s="158">
        <f t="shared" si="14"/>
        <v>0.5</v>
      </c>
      <c r="AL18" s="158">
        <f t="shared" si="14"/>
        <v>0.6517857142857143</v>
      </c>
      <c r="AM18" s="158">
        <f t="shared" si="14"/>
        <v>0.75</v>
      </c>
      <c r="AN18" s="158">
        <f t="shared" si="14"/>
        <v>0.86904761904761907</v>
      </c>
      <c r="AO18" s="158">
        <v>1</v>
      </c>
      <c r="AP18" s="143"/>
      <c r="AQ18" s="143">
        <f t="shared" si="5"/>
        <v>1.9092491338617096E-2</v>
      </c>
      <c r="AR18" s="143">
        <f t="shared" si="5"/>
        <v>6.5016263926924028E-2</v>
      </c>
      <c r="AS18" s="143">
        <f t="shared" si="5"/>
        <v>0.12307464697745796</v>
      </c>
      <c r="AT18" s="143">
        <f t="shared" si="5"/>
        <v>0.20453329825208816</v>
      </c>
      <c r="AU18" s="143">
        <f t="shared" si="5"/>
        <v>0.1594962474588271</v>
      </c>
      <c r="AV18" s="143">
        <f t="shared" si="5"/>
        <v>0.10988718532399515</v>
      </c>
      <c r="AW18" s="143">
        <f t="shared" si="5"/>
        <v>0.13986615047920783</v>
      </c>
      <c r="AX18" s="143">
        <f t="shared" si="5"/>
        <v>0.17903371624288267</v>
      </c>
      <c r="AY18" s="46"/>
      <c r="AZ18" s="152">
        <f>Shares!D59</f>
        <v>3.7</v>
      </c>
      <c r="BA18" s="152">
        <f>Shares!E59</f>
        <v>9.8000000000000007</v>
      </c>
      <c r="BB18" s="152">
        <f>Shares!F59</f>
        <v>15.1</v>
      </c>
      <c r="BC18" s="152">
        <f>Shares!G59</f>
        <v>21.8</v>
      </c>
      <c r="BD18" s="152">
        <f>Shares!J59</f>
        <v>15.3</v>
      </c>
      <c r="BE18" s="152">
        <f>Shares!K59</f>
        <v>9.9</v>
      </c>
      <c r="BF18" s="152">
        <f>Shares!L59</f>
        <v>12</v>
      </c>
      <c r="BG18" s="152">
        <f>Shares!M59</f>
        <v>13.2</v>
      </c>
      <c r="BI18" s="573">
        <f>TxRt!$B62-TxRt!C62+MAX(0,TxRt!$C62)</f>
        <v>11.6</v>
      </c>
      <c r="BJ18" s="573">
        <f>TxRt!B105-TxRt!C105+MAX(0,TxRt!$C105)</f>
        <v>14.7</v>
      </c>
      <c r="BK18" s="573">
        <f>TxRt!B145-TxRt!C145+MAX(0,TxRt!$C145)</f>
        <v>18.2</v>
      </c>
      <c r="BL18" s="573">
        <f>TxRt!B185-TxRt!C185+MAX(0,TxRt!$C185)</f>
        <v>20.8</v>
      </c>
      <c r="BM18" s="573">
        <f>TxRt!B265-TxRt!C265+MAX(0,TxRt!$C265)</f>
        <v>23.1</v>
      </c>
      <c r="BN18" s="573">
        <f>TxRt!B305-TxRt!C305+MAX(0,TxRt!$C305)</f>
        <v>24.4</v>
      </c>
      <c r="BO18" s="573">
        <f>TxRt!B345-TxRt!C345+MAX(0,TxRt!$C345)</f>
        <v>25.5</v>
      </c>
      <c r="BP18" s="573">
        <f>TxRt!B385-TxRt!C385+MAX(0,TxRt!$C385)</f>
        <v>28.6</v>
      </c>
      <c r="BQ18" s="46"/>
      <c r="BR18" s="60">
        <f>Inc!B59</f>
        <v>14300</v>
      </c>
      <c r="BS18" s="60">
        <f>Inc!B99</f>
        <v>36000</v>
      </c>
      <c r="BT18" s="60">
        <f>Inc!B139</f>
        <v>58100</v>
      </c>
      <c r="BU18" s="60">
        <f>Inc!B179</f>
        <v>83100</v>
      </c>
      <c r="BV18" s="60">
        <f>Inc!B259</f>
        <v>112400</v>
      </c>
      <c r="BW18" s="60">
        <f>Inc!B299</f>
        <v>145100</v>
      </c>
      <c r="BX18" s="60">
        <f>Inc!B339</f>
        <v>217500</v>
      </c>
      <c r="BY18" s="60">
        <f>Inc!B379</f>
        <v>968100</v>
      </c>
      <c r="CA18" s="60">
        <f t="shared" si="23"/>
        <v>1658.8</v>
      </c>
      <c r="CB18" s="60">
        <f t="shared" si="23"/>
        <v>5292</v>
      </c>
      <c r="CC18" s="60">
        <f t="shared" si="23"/>
        <v>10574.2</v>
      </c>
      <c r="CD18" s="60">
        <f t="shared" si="23"/>
        <v>17284.8</v>
      </c>
      <c r="CE18" s="60">
        <f t="shared" si="23"/>
        <v>25964.400000000001</v>
      </c>
      <c r="CF18" s="60">
        <f t="shared" si="23"/>
        <v>35404.400000000001</v>
      </c>
      <c r="CG18" s="60">
        <f t="shared" si="23"/>
        <v>55462.5</v>
      </c>
      <c r="CH18" s="60">
        <f t="shared" si="23"/>
        <v>276876.59999999998</v>
      </c>
      <c r="CJ18" s="153">
        <f t="shared" si="15"/>
        <v>29526.639999999999</v>
      </c>
      <c r="CK18" s="153">
        <f t="shared" si="7"/>
        <v>100548.00000000001</v>
      </c>
      <c r="CL18" s="153">
        <f t="shared" si="7"/>
        <v>190335.60000000006</v>
      </c>
      <c r="CM18" s="153">
        <f t="shared" si="7"/>
        <v>316311.84000000003</v>
      </c>
      <c r="CN18" s="153">
        <f t="shared" si="7"/>
        <v>246661.80000000002</v>
      </c>
      <c r="CO18" s="153">
        <f t="shared" si="7"/>
        <v>169941.12</v>
      </c>
      <c r="CP18" s="153">
        <f t="shared" si="7"/>
        <v>216303.75</v>
      </c>
      <c r="CQ18" s="153">
        <f t="shared" si="7"/>
        <v>276876.59999999998</v>
      </c>
      <c r="CR18" s="153">
        <f t="shared" si="16"/>
        <v>1546505.35</v>
      </c>
      <c r="CT18" s="403">
        <v>241.7</v>
      </c>
      <c r="CU18" s="276">
        <f>Dem!B59+(DD18/4)</f>
        <v>17.8</v>
      </c>
      <c r="CV18" s="276">
        <f>Dem!B99+(DD18/4)</f>
        <v>19.000000000000004</v>
      </c>
      <c r="CW18" s="276">
        <f>Dem!B139+(DD18/4)</f>
        <v>18.000000000000004</v>
      </c>
      <c r="CX18" s="276">
        <f>Dem!B179+(DD18/4)</f>
        <v>18.3</v>
      </c>
      <c r="CY18" s="276">
        <f>Dem!B259</f>
        <v>9.5</v>
      </c>
      <c r="CZ18" s="276">
        <f>Dem!B299</f>
        <v>4.8</v>
      </c>
      <c r="DA18" s="276">
        <f>Dem!B339</f>
        <v>3.9</v>
      </c>
      <c r="DB18" s="276">
        <f>Dem!B379</f>
        <v>1</v>
      </c>
      <c r="DC18" s="275">
        <v>93.1</v>
      </c>
      <c r="DD18" s="46">
        <v>-0.39999999999999147</v>
      </c>
      <c r="DE18" s="275"/>
      <c r="DF18" s="276">
        <f>Dem!$D59+(DO18/4)</f>
        <v>46.800000000000004</v>
      </c>
      <c r="DG18" s="276">
        <f>Dem!$D99+(DO18/4)</f>
        <v>48.1</v>
      </c>
      <c r="DH18" s="276">
        <f>Dem!$D139+(DO18/4)</f>
        <v>48</v>
      </c>
      <c r="DI18" s="276">
        <f>Dem!$D179+(DO18/4)</f>
        <v>48</v>
      </c>
      <c r="DJ18" s="275">
        <f>Dem!$D259</f>
        <v>24.2</v>
      </c>
      <c r="DK18" s="275">
        <f>Dem!$D299</f>
        <v>12.1</v>
      </c>
      <c r="DL18" s="275">
        <f>Dem!$D339</f>
        <v>9.6999999999999993</v>
      </c>
      <c r="DM18" s="275">
        <f>Dem!$D379</f>
        <v>2.4</v>
      </c>
      <c r="DN18" s="276">
        <f t="shared" si="17"/>
        <v>241.7</v>
      </c>
      <c r="DO18" s="44">
        <v>-1.1999999999999886</v>
      </c>
    </row>
    <row r="19" spans="1:119">
      <c r="A19" s="46">
        <f t="shared" si="18"/>
        <v>1989</v>
      </c>
      <c r="B19" s="141">
        <f t="shared" si="8"/>
        <v>0.11587561566574806</v>
      </c>
      <c r="C19" s="46"/>
      <c r="D19" s="141">
        <f t="shared" si="9"/>
        <v>0.60679855508977987</v>
      </c>
      <c r="E19" s="141">
        <f t="shared" si="10"/>
        <v>0.49092293942403181</v>
      </c>
      <c r="F19" s="46"/>
      <c r="G19" s="157">
        <f t="shared" si="11"/>
        <v>3.6027632042610273E-2</v>
      </c>
      <c r="H19" s="157">
        <f t="shared" si="1"/>
        <v>6.3060886288535928E-2</v>
      </c>
      <c r="I19" s="157">
        <f t="shared" si="1"/>
        <v>7.7764710527793157E-2</v>
      </c>
      <c r="J19" s="157">
        <f t="shared" si="1"/>
        <v>7.5888800498398329E-2</v>
      </c>
      <c r="K19" s="157">
        <f t="shared" si="1"/>
        <v>3.1726516078153612E-2</v>
      </c>
      <c r="L19" s="157">
        <f t="shared" si="1"/>
        <v>1.2790428788709769E-2</v>
      </c>
      <c r="M19" s="157">
        <f t="shared" si="1"/>
        <v>6.140303320688845E-3</v>
      </c>
      <c r="N19" s="157">
        <f t="shared" si="1"/>
        <v>0</v>
      </c>
      <c r="O19" s="46"/>
      <c r="P19" s="154">
        <f t="shared" si="19"/>
        <v>1.9861839786948637E-2</v>
      </c>
      <c r="Q19" s="154">
        <f t="shared" si="20"/>
        <v>8.4695568557320425E-2</v>
      </c>
      <c r="R19" s="154">
        <f t="shared" si="20"/>
        <v>0.21117644736103436</v>
      </c>
      <c r="S19" s="154">
        <f t="shared" si="20"/>
        <v>0.42055599750800843</v>
      </c>
      <c r="T19" s="154">
        <f t="shared" si="20"/>
        <v>0.58273483921846392</v>
      </c>
      <c r="U19" s="154">
        <f t="shared" si="20"/>
        <v>0.69419142422580471</v>
      </c>
      <c r="V19" s="154">
        <f t="shared" si="20"/>
        <v>0.83649241698277899</v>
      </c>
      <c r="W19" s="162">
        <f t="shared" si="21"/>
        <v>1</v>
      </c>
      <c r="X19" s="154"/>
      <c r="Y19" s="142">
        <f t="shared" si="22"/>
        <v>3.2452830188679248E-2</v>
      </c>
      <c r="Z19" s="142">
        <f t="shared" si="12"/>
        <v>5.2790466732869912E-2</v>
      </c>
      <c r="AA19" s="142">
        <f t="shared" si="12"/>
        <v>6.2601787487586907E-2</v>
      </c>
      <c r="AB19" s="142">
        <f t="shared" si="12"/>
        <v>5.9106256206554124E-2</v>
      </c>
      <c r="AC19" s="142">
        <f t="shared" si="12"/>
        <v>2.4359483614697121E-2</v>
      </c>
      <c r="AD19" s="142">
        <f t="shared" si="12"/>
        <v>9.6648460774577949E-3</v>
      </c>
      <c r="AE19" s="142">
        <f t="shared" si="12"/>
        <v>4.4857994041708031E-3</v>
      </c>
      <c r="AF19" s="142">
        <f t="shared" si="12"/>
        <v>0</v>
      </c>
      <c r="AH19" s="158">
        <f t="shared" si="13"/>
        <v>3.7735849056603779E-2</v>
      </c>
      <c r="AI19" s="158">
        <f t="shared" si="14"/>
        <v>0.13604766633565046</v>
      </c>
      <c r="AJ19" s="158">
        <f t="shared" si="14"/>
        <v>0.28699106256206558</v>
      </c>
      <c r="AK19" s="158">
        <f t="shared" si="14"/>
        <v>0.50446871896722945</v>
      </c>
      <c r="AL19" s="158">
        <f t="shared" si="14"/>
        <v>0.65640516385302883</v>
      </c>
      <c r="AM19" s="158">
        <f t="shared" si="14"/>
        <v>0.75670307845084417</v>
      </c>
      <c r="AN19" s="158">
        <f t="shared" si="14"/>
        <v>0.87785501489573003</v>
      </c>
      <c r="AO19" s="158">
        <v>1</v>
      </c>
      <c r="AP19" s="143"/>
      <c r="AQ19" s="143">
        <f t="shared" si="5"/>
        <v>1.9861839786948634E-2</v>
      </c>
      <c r="AR19" s="143">
        <f t="shared" si="5"/>
        <v>6.4833728770371774E-2</v>
      </c>
      <c r="AS19" s="143">
        <f t="shared" si="5"/>
        <v>0.12648087880371389</v>
      </c>
      <c r="AT19" s="143">
        <f t="shared" si="5"/>
        <v>0.20937955014697404</v>
      </c>
      <c r="AU19" s="143">
        <f t="shared" si="5"/>
        <v>0.16217884171045552</v>
      </c>
      <c r="AV19" s="143">
        <f t="shared" si="5"/>
        <v>0.11145658500734074</v>
      </c>
      <c r="AW19" s="143">
        <f t="shared" si="5"/>
        <v>0.14230099275697428</v>
      </c>
      <c r="AX19" s="143">
        <f t="shared" si="5"/>
        <v>0.16350758301722115</v>
      </c>
      <c r="AY19" s="46"/>
      <c r="AZ19" s="152">
        <f>Shares!D60</f>
        <v>3.8</v>
      </c>
      <c r="BA19" s="152">
        <f>Shares!E60</f>
        <v>9.9</v>
      </c>
      <c r="BB19" s="152">
        <f>Shares!F60</f>
        <v>15.2</v>
      </c>
      <c r="BC19" s="152">
        <f>Shares!G60</f>
        <v>21.9</v>
      </c>
      <c r="BD19" s="152">
        <f>Shares!J60</f>
        <v>15.3</v>
      </c>
      <c r="BE19" s="152">
        <f>Shares!K60</f>
        <v>10.1</v>
      </c>
      <c r="BF19" s="152">
        <f>Shares!L60</f>
        <v>12.2</v>
      </c>
      <c r="BG19" s="152">
        <f>Shares!M60</f>
        <v>12.3</v>
      </c>
      <c r="BI19" s="573">
        <f>TxRt!$B63-TxRt!C63+MAX(0,TxRt!$C63)</f>
        <v>11.5</v>
      </c>
      <c r="BJ19" s="573">
        <f>TxRt!B106-TxRt!C106+MAX(0,TxRt!$C106)</f>
        <v>14.3</v>
      </c>
      <c r="BK19" s="573">
        <f>TxRt!B146-TxRt!C146+MAX(0,TxRt!$C146)</f>
        <v>18.100000000000001</v>
      </c>
      <c r="BL19" s="573">
        <f>TxRt!B186-TxRt!C186+MAX(0,TxRt!$C186)</f>
        <v>20.8</v>
      </c>
      <c r="BM19" s="573">
        <f>TxRt!B266-TxRt!C266+MAX(0,TxRt!$C266)</f>
        <v>23</v>
      </c>
      <c r="BN19" s="573">
        <f>TxRt!B306-TxRt!C306+MAX(0,TxRt!$C306)</f>
        <v>24.2</v>
      </c>
      <c r="BO19" s="573">
        <f>TxRt!B346-TxRt!C346+MAX(0,TxRt!$C346)</f>
        <v>25.3</v>
      </c>
      <c r="BP19" s="573">
        <f>TxRt!B386-TxRt!C386+MAX(0,TxRt!$C386)</f>
        <v>27.9</v>
      </c>
      <c r="BQ19" s="46"/>
      <c r="BR19" s="60">
        <f>Inc!B60</f>
        <v>15000</v>
      </c>
      <c r="BS19" s="60">
        <f>Inc!B100</f>
        <v>36300</v>
      </c>
      <c r="BT19" s="60">
        <f>Inc!B140</f>
        <v>58700</v>
      </c>
      <c r="BU19" s="60">
        <f>Inc!B180</f>
        <v>84100</v>
      </c>
      <c r="BV19" s="60">
        <f>Inc!B260</f>
        <v>114100</v>
      </c>
      <c r="BW19" s="60">
        <f>Inc!B300</f>
        <v>147500</v>
      </c>
      <c r="BX19" s="60">
        <f>Inc!B340</f>
        <v>221700</v>
      </c>
      <c r="BY19" s="60">
        <f>Inc!B380</f>
        <v>900900</v>
      </c>
      <c r="CA19" s="60">
        <f t="shared" si="23"/>
        <v>1725</v>
      </c>
      <c r="CB19" s="60">
        <f t="shared" si="23"/>
        <v>5190.8999999999996</v>
      </c>
      <c r="CC19" s="60">
        <f t="shared" si="23"/>
        <v>10624.7</v>
      </c>
      <c r="CD19" s="60">
        <f t="shared" si="23"/>
        <v>17492.8</v>
      </c>
      <c r="CE19" s="60">
        <f t="shared" si="23"/>
        <v>26243</v>
      </c>
      <c r="CF19" s="60">
        <f t="shared" si="23"/>
        <v>35695</v>
      </c>
      <c r="CG19" s="60">
        <f t="shared" si="23"/>
        <v>56090.1</v>
      </c>
      <c r="CH19" s="60">
        <f t="shared" si="23"/>
        <v>251351.1</v>
      </c>
      <c r="CJ19" s="153">
        <f t="shared" si="15"/>
        <v>30532.500000000004</v>
      </c>
      <c r="CK19" s="153">
        <f t="shared" si="7"/>
        <v>99665.280000000013</v>
      </c>
      <c r="CL19" s="153">
        <f t="shared" si="7"/>
        <v>194432.01</v>
      </c>
      <c r="CM19" s="153">
        <f t="shared" si="7"/>
        <v>321867.52000000002</v>
      </c>
      <c r="CN19" s="153">
        <f t="shared" si="7"/>
        <v>249308.5</v>
      </c>
      <c r="CO19" s="153">
        <f t="shared" si="7"/>
        <v>171336</v>
      </c>
      <c r="CP19" s="153">
        <f t="shared" si="7"/>
        <v>218751.38999999998</v>
      </c>
      <c r="CQ19" s="153">
        <f t="shared" si="7"/>
        <v>251351.1</v>
      </c>
      <c r="CR19" s="153">
        <f t="shared" si="16"/>
        <v>1537244.3</v>
      </c>
      <c r="CT19" s="403">
        <v>243.9</v>
      </c>
      <c r="CU19" s="276">
        <f>Dem!B60+(DD19/4)</f>
        <v>17.700000000000003</v>
      </c>
      <c r="CV19" s="276">
        <f>Dem!B100+(DD19/4)</f>
        <v>19.200000000000003</v>
      </c>
      <c r="CW19" s="276">
        <f>Dem!B140+(DD19/4)</f>
        <v>18.3</v>
      </c>
      <c r="CX19" s="276">
        <f>Dem!B180+(DD19/4)</f>
        <v>18.400000000000002</v>
      </c>
      <c r="CY19" s="276">
        <f>Dem!B260</f>
        <v>9.5</v>
      </c>
      <c r="CZ19" s="276">
        <f>Dem!B300</f>
        <v>4.8</v>
      </c>
      <c r="DA19" s="276">
        <f>Dem!B340</f>
        <v>3.9</v>
      </c>
      <c r="DB19" s="276">
        <f>Dem!B380</f>
        <v>1</v>
      </c>
      <c r="DC19" s="275">
        <v>93.6</v>
      </c>
      <c r="DD19" s="46">
        <v>-0.39999999999999147</v>
      </c>
      <c r="DE19" s="275"/>
      <c r="DF19" s="276">
        <f>Dem!$D60+(DO19/4)</f>
        <v>47.325000000000003</v>
      </c>
      <c r="DG19" s="276">
        <f>Dem!$D100+(DO19/4)</f>
        <v>48.524999999999999</v>
      </c>
      <c r="DH19" s="276">
        <f>Dem!$D140+(DO19/4)</f>
        <v>48.524999999999999</v>
      </c>
      <c r="DI19" s="276">
        <f>Dem!$D180+(DO19/4)</f>
        <v>48.524999999999999</v>
      </c>
      <c r="DJ19" s="275">
        <f>Dem!$D260</f>
        <v>24.4</v>
      </c>
      <c r="DK19" s="275">
        <f>Dem!$D300</f>
        <v>12.2</v>
      </c>
      <c r="DL19" s="275">
        <f>Dem!$D340</f>
        <v>9.8000000000000007</v>
      </c>
      <c r="DM19" s="275">
        <f>Dem!$D380</f>
        <v>2.4</v>
      </c>
      <c r="DN19" s="276">
        <f t="shared" si="17"/>
        <v>243.9</v>
      </c>
      <c r="DO19" s="44">
        <v>-1.0999999999999943</v>
      </c>
    </row>
    <row r="20" spans="1:119">
      <c r="A20" s="46">
        <f t="shared" si="18"/>
        <v>1990</v>
      </c>
      <c r="B20" s="141">
        <f t="shared" si="8"/>
        <v>0.10858301582988628</v>
      </c>
      <c r="C20" s="46"/>
      <c r="D20" s="141">
        <f t="shared" si="9"/>
        <v>0.59429095233782292</v>
      </c>
      <c r="E20" s="141">
        <f t="shared" si="10"/>
        <v>0.48570793650793664</v>
      </c>
      <c r="F20" s="46"/>
      <c r="G20" s="157">
        <f t="shared" si="11"/>
        <v>3.5705782457625464E-2</v>
      </c>
      <c r="H20" s="157">
        <f t="shared" si="1"/>
        <v>6.1797858263222621E-2</v>
      </c>
      <c r="I20" s="157">
        <f t="shared" si="1"/>
        <v>7.6315407341360081E-2</v>
      </c>
      <c r="J20" s="157">
        <f t="shared" si="1"/>
        <v>7.4270830962825121E-2</v>
      </c>
      <c r="K20" s="157">
        <f t="shared" si="1"/>
        <v>3.0882479117638653E-2</v>
      </c>
      <c r="L20" s="157">
        <f t="shared" si="1"/>
        <v>1.2329088131477085E-2</v>
      </c>
      <c r="M20" s="157">
        <f t="shared" si="1"/>
        <v>5.8440298947624748E-3</v>
      </c>
      <c r="N20" s="157">
        <f t="shared" si="1"/>
        <v>0</v>
      </c>
      <c r="O20" s="46"/>
      <c r="P20" s="154">
        <f t="shared" si="19"/>
        <v>2.1471087711872689E-2</v>
      </c>
      <c r="Q20" s="154">
        <f t="shared" si="20"/>
        <v>9.1010708683886957E-2</v>
      </c>
      <c r="R20" s="154">
        <f t="shared" si="20"/>
        <v>0.21842296329319971</v>
      </c>
      <c r="S20" s="154">
        <f t="shared" si="20"/>
        <v>0.42864584518587445</v>
      </c>
      <c r="T20" s="154">
        <f t="shared" si="20"/>
        <v>0.59117520882361352</v>
      </c>
      <c r="U20" s="154">
        <f t="shared" si="20"/>
        <v>0.70341823737045839</v>
      </c>
      <c r="V20" s="154">
        <f t="shared" si="20"/>
        <v>0.84389925263093823</v>
      </c>
      <c r="W20" s="162">
        <f t="shared" si="21"/>
        <v>1</v>
      </c>
      <c r="X20" s="154"/>
      <c r="Y20" s="142">
        <f t="shared" si="22"/>
        <v>3.2261904761904762E-2</v>
      </c>
      <c r="Z20" s="142">
        <f t="shared" si="12"/>
        <v>5.2222222222222225E-2</v>
      </c>
      <c r="AA20" s="142">
        <f t="shared" si="12"/>
        <v>6.2063492063492091E-2</v>
      </c>
      <c r="AB20" s="142">
        <f t="shared" si="12"/>
        <v>5.841269841269843E-2</v>
      </c>
      <c r="AC20" s="142">
        <f t="shared" si="12"/>
        <v>2.4027777777777783E-2</v>
      </c>
      <c r="AD20" s="142">
        <f t="shared" si="12"/>
        <v>9.5039682539682594E-3</v>
      </c>
      <c r="AE20" s="142">
        <f t="shared" si="12"/>
        <v>4.3619047619047674E-3</v>
      </c>
      <c r="AF20" s="142">
        <f t="shared" si="12"/>
        <v>0</v>
      </c>
      <c r="AH20" s="158">
        <f t="shared" si="13"/>
        <v>3.8690476190476192E-2</v>
      </c>
      <c r="AI20" s="158">
        <f t="shared" si="14"/>
        <v>0.1388888888888889</v>
      </c>
      <c r="AJ20" s="158">
        <f t="shared" si="14"/>
        <v>0.28968253968253965</v>
      </c>
      <c r="AK20" s="158">
        <f t="shared" si="14"/>
        <v>0.50793650793650791</v>
      </c>
      <c r="AL20" s="158">
        <f t="shared" si="14"/>
        <v>0.65972222222222221</v>
      </c>
      <c r="AM20" s="158">
        <f t="shared" si="14"/>
        <v>0.75992063492063489</v>
      </c>
      <c r="AN20" s="158">
        <f t="shared" si="14"/>
        <v>0.88095238095238093</v>
      </c>
      <c r="AO20" s="158">
        <v>1</v>
      </c>
      <c r="AP20" s="143"/>
      <c r="AQ20" s="143">
        <f t="shared" si="5"/>
        <v>2.1471087711872686E-2</v>
      </c>
      <c r="AR20" s="143">
        <f t="shared" si="5"/>
        <v>6.9539620972014257E-2</v>
      </c>
      <c r="AS20" s="143">
        <f t="shared" si="5"/>
        <v>0.12741225460931271</v>
      </c>
      <c r="AT20" s="143">
        <f t="shared" si="5"/>
        <v>0.21022288189267471</v>
      </c>
      <c r="AU20" s="143">
        <f t="shared" si="5"/>
        <v>0.16252936363773898</v>
      </c>
      <c r="AV20" s="143">
        <f t="shared" si="5"/>
        <v>0.11224302854684484</v>
      </c>
      <c r="AW20" s="143">
        <f t="shared" si="5"/>
        <v>0.14048101526047979</v>
      </c>
      <c r="AX20" s="143">
        <f t="shared" si="5"/>
        <v>0.1561007473690619</v>
      </c>
      <c r="AY20" s="46"/>
      <c r="AZ20" s="152">
        <f>Shares!D61</f>
        <v>3.9</v>
      </c>
      <c r="BA20" s="152">
        <f>Shares!E61</f>
        <v>10.1</v>
      </c>
      <c r="BB20" s="152">
        <f>Shares!F61</f>
        <v>15.2</v>
      </c>
      <c r="BC20" s="152">
        <f>Shares!G61</f>
        <v>22</v>
      </c>
      <c r="BD20" s="152">
        <f>Shares!J61</f>
        <v>15.3</v>
      </c>
      <c r="BE20" s="152">
        <f>Shares!K61</f>
        <v>10.1</v>
      </c>
      <c r="BF20" s="152">
        <f>Shares!L61</f>
        <v>12.2</v>
      </c>
      <c r="BG20" s="152">
        <f>Shares!M61</f>
        <v>12</v>
      </c>
      <c r="BI20" s="573">
        <f>TxRt!$B64-TxRt!C64+MAX(0,TxRt!$C64)</f>
        <v>11.899999999999999</v>
      </c>
      <c r="BJ20" s="573">
        <f>TxRt!B107-TxRt!C107+MAX(0,TxRt!$C107)</f>
        <v>15</v>
      </c>
      <c r="BK20" s="573">
        <f>TxRt!B147-TxRt!C147+MAX(0,TxRt!$C147)</f>
        <v>18.2</v>
      </c>
      <c r="BL20" s="573">
        <f>TxRt!B187-TxRt!C187+MAX(0,TxRt!$C187)</f>
        <v>20.8</v>
      </c>
      <c r="BM20" s="573">
        <f>TxRt!B267-TxRt!C267+MAX(0,TxRt!$C267)</f>
        <v>23</v>
      </c>
      <c r="BN20" s="573">
        <f>TxRt!B307-TxRt!C307+MAX(0,TxRt!$C307)</f>
        <v>24.1</v>
      </c>
      <c r="BO20" s="573">
        <f>TxRt!B347-TxRt!C347+MAX(0,TxRt!$C347)</f>
        <v>25.2</v>
      </c>
      <c r="BP20" s="573">
        <f>TxRt!B387-TxRt!C387+MAX(0,TxRt!$C387)</f>
        <v>27.7</v>
      </c>
      <c r="BQ20" s="46"/>
      <c r="BR20" s="60">
        <f>Inc!B61</f>
        <v>15400</v>
      </c>
      <c r="BS20" s="60">
        <f>Inc!B101</f>
        <v>37500</v>
      </c>
      <c r="BT20" s="60">
        <f>Inc!B141</f>
        <v>59100</v>
      </c>
      <c r="BU20" s="60">
        <f>Inc!B181</f>
        <v>83500</v>
      </c>
      <c r="BV20" s="60">
        <f>Inc!B261</f>
        <v>112700</v>
      </c>
      <c r="BW20" s="60">
        <f>Inc!B301</f>
        <v>144100</v>
      </c>
      <c r="BX20" s="60">
        <f>Inc!B341</f>
        <v>215600</v>
      </c>
      <c r="BY20" s="60">
        <f>Inc!B381</f>
        <v>871800</v>
      </c>
      <c r="CA20" s="60">
        <f t="shared" si="23"/>
        <v>1832.5999999999997</v>
      </c>
      <c r="CB20" s="60">
        <f t="shared" si="23"/>
        <v>5625</v>
      </c>
      <c r="CC20" s="60">
        <f t="shared" si="23"/>
        <v>10756.2</v>
      </c>
      <c r="CD20" s="60">
        <f t="shared" si="23"/>
        <v>17368</v>
      </c>
      <c r="CE20" s="60">
        <f t="shared" si="23"/>
        <v>25921</v>
      </c>
      <c r="CF20" s="60">
        <f t="shared" si="23"/>
        <v>34728.1</v>
      </c>
      <c r="CG20" s="60">
        <f t="shared" si="23"/>
        <v>54331.199999999997</v>
      </c>
      <c r="CH20" s="60">
        <f t="shared" si="23"/>
        <v>241488.6</v>
      </c>
      <c r="CJ20" s="153">
        <f t="shared" si="15"/>
        <v>33215.874999999993</v>
      </c>
      <c r="CK20" s="153">
        <f t="shared" si="7"/>
        <v>107578.125</v>
      </c>
      <c r="CL20" s="153">
        <f t="shared" si="7"/>
        <v>197107.36500000002</v>
      </c>
      <c r="CM20" s="153">
        <f t="shared" si="7"/>
        <v>325215.80000000005</v>
      </c>
      <c r="CN20" s="153">
        <f t="shared" si="7"/>
        <v>251433.69999999998</v>
      </c>
      <c r="CO20" s="153">
        <f t="shared" si="7"/>
        <v>173640.5</v>
      </c>
      <c r="CP20" s="153">
        <f t="shared" si="7"/>
        <v>217324.79999999999</v>
      </c>
      <c r="CQ20" s="153">
        <f t="shared" si="7"/>
        <v>241488.6</v>
      </c>
      <c r="CR20" s="153">
        <f t="shared" si="16"/>
        <v>1547004.7650000001</v>
      </c>
      <c r="CT20" s="403">
        <v>246.7</v>
      </c>
      <c r="CU20" s="276">
        <f>Dem!B61+(DD20/4)</f>
        <v>18.125</v>
      </c>
      <c r="CV20" s="276">
        <f>Dem!B101+(DD20/4)</f>
        <v>19.125</v>
      </c>
      <c r="CW20" s="276">
        <f>Dem!B141+(DD20/4)</f>
        <v>18.324999999999999</v>
      </c>
      <c r="CX20" s="276">
        <f>Dem!B181+(DD20/4)</f>
        <v>18.725000000000001</v>
      </c>
      <c r="CY20" s="276">
        <f>Dem!B261</f>
        <v>9.6999999999999993</v>
      </c>
      <c r="CZ20" s="276">
        <f>Dem!B301</f>
        <v>5</v>
      </c>
      <c r="DA20" s="276">
        <f>Dem!B341</f>
        <v>4</v>
      </c>
      <c r="DB20" s="276">
        <f>Dem!B381</f>
        <v>1</v>
      </c>
      <c r="DC20" s="275">
        <v>94.6</v>
      </c>
      <c r="DD20" s="46">
        <v>-0.29999999999999716</v>
      </c>
      <c r="DE20" s="275"/>
      <c r="DF20" s="276">
        <f>Dem!$D61+(DO20/4)</f>
        <v>47.775000000000006</v>
      </c>
      <c r="DG20" s="276">
        <f>Dem!$D101+(DO20/4)</f>
        <v>48.975000000000001</v>
      </c>
      <c r="DH20" s="276">
        <f>Dem!$D141+(DO20/4)</f>
        <v>48.975000000000001</v>
      </c>
      <c r="DI20" s="276">
        <f>Dem!$D181+(DO20/4)</f>
        <v>48.975000000000001</v>
      </c>
      <c r="DJ20" s="275">
        <f>Dem!$D261</f>
        <v>24.7</v>
      </c>
      <c r="DK20" s="275">
        <f>Dem!$D301</f>
        <v>12.3</v>
      </c>
      <c r="DL20" s="275">
        <f>Dem!$D341</f>
        <v>9.9</v>
      </c>
      <c r="DM20" s="275">
        <f>Dem!$D381</f>
        <v>2.5</v>
      </c>
      <c r="DN20" s="276">
        <f t="shared" si="17"/>
        <v>246.7</v>
      </c>
      <c r="DO20" s="44">
        <v>-1.2999999999999829</v>
      </c>
    </row>
    <row r="21" spans="1:119">
      <c r="A21" s="46">
        <f t="shared" si="18"/>
        <v>1991</v>
      </c>
      <c r="B21" s="141">
        <f t="shared" si="8"/>
        <v>0.11602257457905185</v>
      </c>
      <c r="C21" s="46"/>
      <c r="D21" s="141">
        <f t="shared" si="9"/>
        <v>0.5936749555314329</v>
      </c>
      <c r="E21" s="141">
        <f t="shared" si="10"/>
        <v>0.47765238095238105</v>
      </c>
      <c r="F21" s="46"/>
      <c r="G21" s="157">
        <f t="shared" si="11"/>
        <v>3.5468198265411498E-2</v>
      </c>
      <c r="H21" s="157">
        <f t="shared" si="1"/>
        <v>6.1946022256763461E-2</v>
      </c>
      <c r="I21" s="157">
        <f t="shared" si="1"/>
        <v>7.6319436904361437E-2</v>
      </c>
      <c r="J21" s="157">
        <f t="shared" si="1"/>
        <v>7.4459834204841369E-2</v>
      </c>
      <c r="K21" s="157">
        <f t="shared" si="1"/>
        <v>3.0850051769376774E-2</v>
      </c>
      <c r="L21" s="157">
        <f t="shared" si="1"/>
        <v>1.2232293101879522E-2</v>
      </c>
      <c r="M21" s="157">
        <f t="shared" si="1"/>
        <v>5.561641263082384E-3</v>
      </c>
      <c r="N21" s="157">
        <f t="shared" si="1"/>
        <v>0</v>
      </c>
      <c r="O21" s="46"/>
      <c r="P21" s="154">
        <f t="shared" si="19"/>
        <v>2.265900867294255E-2</v>
      </c>
      <c r="Q21" s="154">
        <f t="shared" si="20"/>
        <v>9.0269888716182745E-2</v>
      </c>
      <c r="R21" s="154">
        <f t="shared" si="20"/>
        <v>0.21840281547819296</v>
      </c>
      <c r="S21" s="154">
        <f t="shared" si="20"/>
        <v>0.4277008289757932</v>
      </c>
      <c r="T21" s="154">
        <f t="shared" si="20"/>
        <v>0.59149948230623228</v>
      </c>
      <c r="U21" s="154">
        <f t="shared" si="20"/>
        <v>0.70535413796240964</v>
      </c>
      <c r="V21" s="154">
        <f t="shared" si="20"/>
        <v>0.8509589684229405</v>
      </c>
      <c r="W21" s="162">
        <f t="shared" si="21"/>
        <v>1</v>
      </c>
      <c r="X21" s="154"/>
      <c r="Y21" s="142">
        <f t="shared" si="22"/>
        <v>3.2063492063492065E-2</v>
      </c>
      <c r="Z21" s="142">
        <f t="shared" si="12"/>
        <v>5.2023809523809528E-2</v>
      </c>
      <c r="AA21" s="142">
        <f t="shared" si="12"/>
        <v>6.1071428571428589E-2</v>
      </c>
      <c r="AB21" s="142">
        <f t="shared" si="12"/>
        <v>5.7222222222222223E-2</v>
      </c>
      <c r="AC21" s="142">
        <f t="shared" si="12"/>
        <v>2.3333333333333331E-2</v>
      </c>
      <c r="AD21" s="142">
        <f t="shared" si="12"/>
        <v>9.1071428571428588E-3</v>
      </c>
      <c r="AE21" s="142">
        <f t="shared" si="12"/>
        <v>4.0047619047619068E-3</v>
      </c>
      <c r="AF21" s="142">
        <f t="shared" si="12"/>
        <v>0</v>
      </c>
      <c r="AH21" s="158">
        <f t="shared" si="13"/>
        <v>3.968253968253968E-2</v>
      </c>
      <c r="AI21" s="158">
        <f t="shared" si="14"/>
        <v>0.13988095238095238</v>
      </c>
      <c r="AJ21" s="158">
        <f t="shared" si="14"/>
        <v>0.29464285714285715</v>
      </c>
      <c r="AK21" s="158">
        <f t="shared" si="14"/>
        <v>0.51388888888888895</v>
      </c>
      <c r="AL21" s="158">
        <f t="shared" si="14"/>
        <v>0.66666666666666674</v>
      </c>
      <c r="AM21" s="158">
        <f t="shared" si="14"/>
        <v>0.7678571428571429</v>
      </c>
      <c r="AN21" s="158">
        <f t="shared" si="14"/>
        <v>0.88988095238095244</v>
      </c>
      <c r="AO21" s="158">
        <v>1</v>
      </c>
      <c r="AP21" s="143"/>
      <c r="AQ21" s="143">
        <f t="shared" si="5"/>
        <v>2.265900867294255E-2</v>
      </c>
      <c r="AR21" s="143">
        <f t="shared" si="5"/>
        <v>6.7610880043240187E-2</v>
      </c>
      <c r="AS21" s="143">
        <f t="shared" si="5"/>
        <v>0.12813292676201021</v>
      </c>
      <c r="AT21" s="143">
        <f t="shared" si="5"/>
        <v>0.20929801349760022</v>
      </c>
      <c r="AU21" s="143">
        <f t="shared" si="5"/>
        <v>0.16379865333043908</v>
      </c>
      <c r="AV21" s="143">
        <f t="shared" si="5"/>
        <v>0.11385465565617738</v>
      </c>
      <c r="AW21" s="143">
        <f t="shared" si="5"/>
        <v>0.14560483046053088</v>
      </c>
      <c r="AX21" s="143">
        <f t="shared" si="5"/>
        <v>0.14904103157705956</v>
      </c>
      <c r="AY21" s="46"/>
      <c r="AZ21" s="152">
        <f>Shares!D62</f>
        <v>4</v>
      </c>
      <c r="BA21" s="152">
        <f>Shares!E62</f>
        <v>10.1</v>
      </c>
      <c r="BB21" s="152">
        <f>Shares!F62</f>
        <v>15.6</v>
      </c>
      <c r="BC21" s="152">
        <f>Shares!G62</f>
        <v>22.1</v>
      </c>
      <c r="BD21" s="152">
        <f>Shares!J62</f>
        <v>15.4</v>
      </c>
      <c r="BE21" s="152">
        <f>Shares!K62</f>
        <v>10.199999999999999</v>
      </c>
      <c r="BF21" s="152">
        <f>Shares!L62</f>
        <v>12.3</v>
      </c>
      <c r="BG21" s="152">
        <f>Shares!M62</f>
        <v>11.1</v>
      </c>
      <c r="BI21" s="573">
        <f>TxRt!$B65-TxRt!C65+MAX(0,TxRt!$C65)</f>
        <v>12.299999999999999</v>
      </c>
      <c r="BJ21" s="573">
        <f>TxRt!B108-TxRt!C108+MAX(0,TxRt!$C108)</f>
        <v>14.5</v>
      </c>
      <c r="BK21" s="573">
        <f>TxRt!B148-TxRt!C148+MAX(0,TxRt!$C148)</f>
        <v>17.8</v>
      </c>
      <c r="BL21" s="573">
        <f>TxRt!B188-TxRt!C188+MAX(0,TxRt!$C188)</f>
        <v>20.5</v>
      </c>
      <c r="BM21" s="573">
        <f>TxRt!B268-TxRt!C268+MAX(0,TxRt!$C268)</f>
        <v>22.9</v>
      </c>
      <c r="BN21" s="573">
        <f>TxRt!B308-TxRt!C308+MAX(0,TxRt!$C308)</f>
        <v>24.2</v>
      </c>
      <c r="BO21" s="573">
        <f>TxRt!B348-TxRt!C348+MAX(0,TxRt!$C348)</f>
        <v>25.5</v>
      </c>
      <c r="BP21" s="573">
        <f>TxRt!B388-TxRt!C388+MAX(0,TxRt!$C388)</f>
        <v>28.9</v>
      </c>
      <c r="BQ21" s="46"/>
      <c r="BR21" s="60">
        <f>Inc!B62</f>
        <v>15500</v>
      </c>
      <c r="BS21" s="60">
        <f>Inc!B102</f>
        <v>36600</v>
      </c>
      <c r="BT21" s="60">
        <f>Inc!B142</f>
        <v>58000</v>
      </c>
      <c r="BU21" s="60">
        <f>Inc!B182</f>
        <v>82700</v>
      </c>
      <c r="BV21" s="60">
        <f>Inc!B262</f>
        <v>111000</v>
      </c>
      <c r="BW21" s="60">
        <f>Inc!B302</f>
        <v>143100</v>
      </c>
      <c r="BX21" s="60">
        <f>Inc!B342</f>
        <v>211800</v>
      </c>
      <c r="BY21" s="60">
        <f>Inc!B382</f>
        <v>784300</v>
      </c>
      <c r="CA21" s="60">
        <f t="shared" si="23"/>
        <v>1906.4999999999998</v>
      </c>
      <c r="CB21" s="60">
        <f t="shared" si="23"/>
        <v>5307</v>
      </c>
      <c r="CC21" s="60">
        <f t="shared" si="23"/>
        <v>10324</v>
      </c>
      <c r="CD21" s="60">
        <f t="shared" si="23"/>
        <v>16953.5</v>
      </c>
      <c r="CE21" s="60">
        <f t="shared" si="23"/>
        <v>25419</v>
      </c>
      <c r="CF21" s="60">
        <f t="shared" si="23"/>
        <v>34630.199999999997</v>
      </c>
      <c r="CG21" s="60">
        <f t="shared" si="23"/>
        <v>54009</v>
      </c>
      <c r="CH21" s="60">
        <f t="shared" si="23"/>
        <v>226662.7</v>
      </c>
      <c r="CJ21" s="153">
        <f t="shared" si="15"/>
        <v>34459.987499999988</v>
      </c>
      <c r="CK21" s="153">
        <f t="shared" si="7"/>
        <v>102823.12499999999</v>
      </c>
      <c r="CL21" s="153">
        <f t="shared" si="7"/>
        <v>194865.49999999997</v>
      </c>
      <c r="CM21" s="153">
        <f t="shared" si="7"/>
        <v>318301.96249999991</v>
      </c>
      <c r="CN21" s="153">
        <f t="shared" si="7"/>
        <v>249106.2</v>
      </c>
      <c r="CO21" s="153">
        <f t="shared" si="7"/>
        <v>173151</v>
      </c>
      <c r="CP21" s="153">
        <f t="shared" si="7"/>
        <v>221436.9</v>
      </c>
      <c r="CQ21" s="153">
        <f t="shared" si="7"/>
        <v>226662.7</v>
      </c>
      <c r="CR21" s="153">
        <f t="shared" si="16"/>
        <v>1520807.3749999998</v>
      </c>
      <c r="CT21" s="403">
        <v>249</v>
      </c>
      <c r="CU21" s="276">
        <f>Dem!B62+(DD21/4)</f>
        <v>18.074999999999996</v>
      </c>
      <c r="CV21" s="276">
        <f>Dem!B102+(DD21/4)</f>
        <v>19.374999999999996</v>
      </c>
      <c r="CW21" s="276">
        <f>Dem!B142+(DD21/4)</f>
        <v>18.874999999999996</v>
      </c>
      <c r="CX21" s="276">
        <f>Dem!B182+(DD21/4)</f>
        <v>18.774999999999995</v>
      </c>
      <c r="CY21" s="276">
        <f>Dem!B262</f>
        <v>9.8000000000000007</v>
      </c>
      <c r="CZ21" s="276">
        <f>Dem!B302</f>
        <v>5</v>
      </c>
      <c r="DA21" s="276">
        <f>Dem!B342</f>
        <v>4.0999999999999996</v>
      </c>
      <c r="DB21" s="276">
        <f>Dem!B382</f>
        <v>1</v>
      </c>
      <c r="DC21" s="275">
        <v>96</v>
      </c>
      <c r="DD21" s="46">
        <v>-0.50000000000001421</v>
      </c>
      <c r="DE21" s="275"/>
      <c r="DF21" s="276">
        <f>Dem!$D62+(DO21/4)</f>
        <v>48.174999999999997</v>
      </c>
      <c r="DG21" s="276">
        <f>Dem!$D102+(DO21/4)</f>
        <v>49.474999999999994</v>
      </c>
      <c r="DH21" s="276">
        <f>Dem!$D142+(DO21/4)</f>
        <v>49.474999999999994</v>
      </c>
      <c r="DI21" s="276">
        <f>Dem!$D182+(DO21/4)</f>
        <v>49.474999999999994</v>
      </c>
      <c r="DJ21" s="275">
        <f>Dem!$D262</f>
        <v>24.9</v>
      </c>
      <c r="DK21" s="275">
        <f>Dem!$D302</f>
        <v>12.4</v>
      </c>
      <c r="DL21" s="275">
        <f>Dem!$D342</f>
        <v>10</v>
      </c>
      <c r="DM21" s="275">
        <f>Dem!$D382</f>
        <v>2.5</v>
      </c>
      <c r="DN21" s="276">
        <f t="shared" si="17"/>
        <v>249</v>
      </c>
      <c r="DO21" s="44">
        <v>-1.3000000000000114</v>
      </c>
    </row>
    <row r="22" spans="1:119">
      <c r="A22" s="46">
        <f t="shared" si="18"/>
        <v>1992</v>
      </c>
      <c r="B22" s="141">
        <f t="shared" si="8"/>
        <v>0.12078796965898259</v>
      </c>
      <c r="C22" s="46"/>
      <c r="D22" s="141">
        <f t="shared" si="9"/>
        <v>0.61103955696057</v>
      </c>
      <c r="E22" s="141">
        <f t="shared" si="10"/>
        <v>0.49025158730158741</v>
      </c>
      <c r="F22" s="46"/>
      <c r="G22" s="157">
        <f t="shared" si="11"/>
        <v>3.5544565890308112E-2</v>
      </c>
      <c r="H22" s="157">
        <f t="shared" si="1"/>
        <v>6.2851250962529567E-2</v>
      </c>
      <c r="I22" s="157">
        <f t="shared" si="1"/>
        <v>7.7940669681963726E-2</v>
      </c>
      <c r="J22" s="157">
        <f t="shared" si="1"/>
        <v>7.7237075727529803E-2</v>
      </c>
      <c r="K22" s="157">
        <f t="shared" si="1"/>
        <v>3.258611156659981E-2</v>
      </c>
      <c r="L22" s="157">
        <f t="shared" si="1"/>
        <v>1.3108755110144794E-2</v>
      </c>
      <c r="M22" s="157">
        <f t="shared" si="1"/>
        <v>6.2513495412091788E-3</v>
      </c>
      <c r="N22" s="157">
        <f t="shared" si="1"/>
        <v>0</v>
      </c>
      <c r="O22" s="46"/>
      <c r="P22" s="154">
        <f t="shared" si="19"/>
        <v>2.2277170548459461E-2</v>
      </c>
      <c r="Q22" s="154">
        <f t="shared" si="20"/>
        <v>8.5743745187352213E-2</v>
      </c>
      <c r="R22" s="154">
        <f t="shared" si="20"/>
        <v>0.21029665159018154</v>
      </c>
      <c r="S22" s="154">
        <f t="shared" si="20"/>
        <v>0.41381462136235103</v>
      </c>
      <c r="T22" s="154">
        <f t="shared" si="20"/>
        <v>0.57413888433400195</v>
      </c>
      <c r="U22" s="154">
        <f t="shared" si="20"/>
        <v>0.68782489779710421</v>
      </c>
      <c r="V22" s="154">
        <f t="shared" si="20"/>
        <v>0.83371626146977063</v>
      </c>
      <c r="W22" s="162">
        <f t="shared" si="21"/>
        <v>1</v>
      </c>
      <c r="X22" s="154"/>
      <c r="Y22" s="142">
        <f t="shared" si="22"/>
        <v>3.246031746031746E-2</v>
      </c>
      <c r="Z22" s="142">
        <f t="shared" si="12"/>
        <v>5.2817460317460319E-2</v>
      </c>
      <c r="AA22" s="142">
        <f t="shared" si="12"/>
        <v>6.2460317460317473E-2</v>
      </c>
      <c r="AB22" s="142">
        <f t="shared" si="12"/>
        <v>5.9007936507936523E-2</v>
      </c>
      <c r="AC22" s="142">
        <f t="shared" si="12"/>
        <v>2.432539682539683E-2</v>
      </c>
      <c r="AD22" s="142">
        <f t="shared" si="12"/>
        <v>9.6527777777777827E-3</v>
      </c>
      <c r="AE22" s="142">
        <f t="shared" si="12"/>
        <v>4.4015873015873066E-3</v>
      </c>
      <c r="AF22" s="142">
        <f t="shared" si="12"/>
        <v>0</v>
      </c>
      <c r="AH22" s="158">
        <f t="shared" si="13"/>
        <v>3.7698412698412696E-2</v>
      </c>
      <c r="AI22" s="158">
        <f t="shared" si="14"/>
        <v>0.13591269841269843</v>
      </c>
      <c r="AJ22" s="158">
        <f t="shared" si="14"/>
        <v>0.28769841269841273</v>
      </c>
      <c r="AK22" s="158">
        <f t="shared" si="14"/>
        <v>0.50496031746031744</v>
      </c>
      <c r="AL22" s="158">
        <f t="shared" si="14"/>
        <v>0.65674603174603174</v>
      </c>
      <c r="AM22" s="158">
        <f t="shared" si="14"/>
        <v>0.75694444444444442</v>
      </c>
      <c r="AN22" s="158">
        <f t="shared" si="14"/>
        <v>0.87996031746031744</v>
      </c>
      <c r="AO22" s="158">
        <v>1</v>
      </c>
      <c r="AP22" s="143"/>
      <c r="AQ22" s="143">
        <f t="shared" si="5"/>
        <v>2.2277170548459461E-2</v>
      </c>
      <c r="AR22" s="143">
        <f t="shared" si="5"/>
        <v>6.3466574638892756E-2</v>
      </c>
      <c r="AS22" s="143">
        <f t="shared" si="5"/>
        <v>0.12455290640282933</v>
      </c>
      <c r="AT22" s="143">
        <f t="shared" si="5"/>
        <v>0.20351796977216949</v>
      </c>
      <c r="AU22" s="143">
        <f t="shared" si="5"/>
        <v>0.16032426297165089</v>
      </c>
      <c r="AV22" s="143">
        <f t="shared" si="5"/>
        <v>0.11368601346310223</v>
      </c>
      <c r="AW22" s="143">
        <f t="shared" si="5"/>
        <v>0.14589136367266642</v>
      </c>
      <c r="AX22" s="143">
        <f t="shared" si="5"/>
        <v>0.16628373853022932</v>
      </c>
      <c r="AY22" s="46"/>
      <c r="AZ22" s="152">
        <f>Shares!D63</f>
        <v>3.8</v>
      </c>
      <c r="BA22" s="152">
        <f>Shares!E63</f>
        <v>9.9</v>
      </c>
      <c r="BB22" s="152">
        <f>Shares!F63</f>
        <v>15.3</v>
      </c>
      <c r="BC22" s="152">
        <f>Shares!G63</f>
        <v>21.9</v>
      </c>
      <c r="BD22" s="152">
        <f>Shares!J63</f>
        <v>15.3</v>
      </c>
      <c r="BE22" s="152">
        <f>Shares!K63</f>
        <v>10.1</v>
      </c>
      <c r="BF22" s="152">
        <f>Shares!L63</f>
        <v>12.4</v>
      </c>
      <c r="BG22" s="152">
        <f>Shares!M63</f>
        <v>12.1</v>
      </c>
      <c r="BI22" s="573">
        <f>TxRt!$B66-TxRt!C66+MAX(0,TxRt!$C66)</f>
        <v>12.7</v>
      </c>
      <c r="BJ22" s="573">
        <f>TxRt!B109-TxRt!C109+MAX(0,TxRt!$C109)</f>
        <v>13.9</v>
      </c>
      <c r="BK22" s="573">
        <f>TxRt!B149-TxRt!C149+MAX(0,TxRt!$C149)</f>
        <v>17.7</v>
      </c>
      <c r="BL22" s="573">
        <f>TxRt!B189-TxRt!C189+MAX(0,TxRt!$C189)</f>
        <v>20.3</v>
      </c>
      <c r="BM22" s="573">
        <f>TxRt!B269-TxRt!C269+MAX(0,TxRt!$C269)</f>
        <v>22.7</v>
      </c>
      <c r="BN22" s="573">
        <f>TxRt!B309-TxRt!C309+MAX(0,TxRt!$C309)</f>
        <v>24.1</v>
      </c>
      <c r="BO22" s="573">
        <f>TxRt!B349-TxRt!C349+MAX(0,TxRt!$C349)</f>
        <v>25.6</v>
      </c>
      <c r="BP22" s="573">
        <f>TxRt!B389-TxRt!C389+MAX(0,TxRt!$C389)</f>
        <v>29.6</v>
      </c>
      <c r="BQ22" s="46"/>
      <c r="BR22" s="60">
        <f>Inc!B63</f>
        <v>15600</v>
      </c>
      <c r="BS22" s="60">
        <f>Inc!B103</f>
        <v>36300</v>
      </c>
      <c r="BT22" s="60">
        <f>Inc!B143</f>
        <v>58300</v>
      </c>
      <c r="BU22" s="60">
        <f>Inc!B183</f>
        <v>83500</v>
      </c>
      <c r="BV22" s="60">
        <f>Inc!B263</f>
        <v>112300</v>
      </c>
      <c r="BW22" s="60">
        <f>Inc!B303</f>
        <v>145600</v>
      </c>
      <c r="BX22" s="60">
        <f>Inc!B343</f>
        <v>218800</v>
      </c>
      <c r="BY22" s="60">
        <f>Inc!B383</f>
        <v>884300</v>
      </c>
      <c r="CA22" s="60">
        <f t="shared" si="23"/>
        <v>1981.2</v>
      </c>
      <c r="CB22" s="60">
        <f t="shared" si="23"/>
        <v>5045.7</v>
      </c>
      <c r="CC22" s="60">
        <f t="shared" si="23"/>
        <v>10319.1</v>
      </c>
      <c r="CD22" s="60">
        <f t="shared" si="23"/>
        <v>16950.5</v>
      </c>
      <c r="CE22" s="60">
        <f t="shared" si="23"/>
        <v>25492.1</v>
      </c>
      <c r="CF22" s="60">
        <f t="shared" si="23"/>
        <v>35089.599999999999</v>
      </c>
      <c r="CG22" s="60">
        <f t="shared" si="23"/>
        <v>56012.800000000003</v>
      </c>
      <c r="CH22" s="60">
        <f t="shared" si="23"/>
        <v>261752.8</v>
      </c>
      <c r="CJ22" s="153">
        <f t="shared" si="15"/>
        <v>35067.240000000005</v>
      </c>
      <c r="CK22" s="153">
        <f t="shared" si="7"/>
        <v>99904.86</v>
      </c>
      <c r="CL22" s="153">
        <f t="shared" si="7"/>
        <v>196062.90000000005</v>
      </c>
      <c r="CM22" s="153">
        <f t="shared" si="7"/>
        <v>320364.45</v>
      </c>
      <c r="CN22" s="153">
        <f t="shared" si="7"/>
        <v>252371.79</v>
      </c>
      <c r="CO22" s="153">
        <f t="shared" si="7"/>
        <v>178956.96</v>
      </c>
      <c r="CP22" s="153">
        <f t="shared" si="7"/>
        <v>229652.47999999998</v>
      </c>
      <c r="CQ22" s="153">
        <f t="shared" si="7"/>
        <v>261752.8</v>
      </c>
      <c r="CR22" s="153">
        <f t="shared" si="16"/>
        <v>1574133.4800000002</v>
      </c>
      <c r="CT22" s="403">
        <v>250.4</v>
      </c>
      <c r="CU22" s="276">
        <f>Dem!B63+(DD22/4)</f>
        <v>17.700000000000003</v>
      </c>
      <c r="CV22" s="276">
        <f>Dem!B103+(DD22/4)</f>
        <v>19.8</v>
      </c>
      <c r="CW22" s="276">
        <f>Dem!B143+(DD22/4)</f>
        <v>19.000000000000004</v>
      </c>
      <c r="CX22" s="276">
        <f>Dem!B183+(DD22/4)</f>
        <v>18.900000000000002</v>
      </c>
      <c r="CY22" s="276">
        <f>Dem!B263</f>
        <v>9.9</v>
      </c>
      <c r="CZ22" s="276">
        <f>Dem!B303</f>
        <v>5.0999999999999996</v>
      </c>
      <c r="DA22" s="276">
        <f>Dem!B343</f>
        <v>4.0999999999999996</v>
      </c>
      <c r="DB22" s="276">
        <f>Dem!B383</f>
        <v>1</v>
      </c>
      <c r="DC22" s="275">
        <v>96.3</v>
      </c>
      <c r="DD22" s="46">
        <v>-0.39999999999999147</v>
      </c>
      <c r="DE22" s="275"/>
      <c r="DF22" s="276">
        <f>Dem!$D63+(DO22/4)</f>
        <v>48.599999999999994</v>
      </c>
      <c r="DG22" s="276">
        <f>Dem!$D103+(DO22/4)</f>
        <v>49.8</v>
      </c>
      <c r="DH22" s="276">
        <f>Dem!$D143+(DO22/4)</f>
        <v>49.8</v>
      </c>
      <c r="DI22" s="276">
        <f>Dem!$D183+(DO22/4)</f>
        <v>49.8</v>
      </c>
      <c r="DJ22" s="275">
        <f>Dem!$D263</f>
        <v>25</v>
      </c>
      <c r="DK22" s="275">
        <f>Dem!$D303</f>
        <v>12.5</v>
      </c>
      <c r="DL22" s="275">
        <f>Dem!$D343</f>
        <v>10</v>
      </c>
      <c r="DM22" s="275">
        <f>Dem!$D383</f>
        <v>2.5</v>
      </c>
      <c r="DN22" s="276">
        <f t="shared" si="17"/>
        <v>250.4</v>
      </c>
      <c r="DO22" s="44">
        <v>-1.2000000000000171</v>
      </c>
    </row>
    <row r="23" spans="1:119">
      <c r="A23" s="46">
        <f t="shared" si="18"/>
        <v>1993</v>
      </c>
      <c r="B23" s="141">
        <f t="shared" si="8"/>
        <v>0.13134209779939149</v>
      </c>
      <c r="C23" s="46"/>
      <c r="D23" s="141">
        <f t="shared" si="9"/>
        <v>0.61869685970415356</v>
      </c>
      <c r="E23" s="141">
        <f t="shared" si="10"/>
        <v>0.48735476190476207</v>
      </c>
      <c r="F23" s="46"/>
      <c r="G23" s="157">
        <f t="shared" si="11"/>
        <v>3.5520704091683918E-2</v>
      </c>
      <c r="H23" s="157">
        <f t="shared" si="1"/>
        <v>6.3110245626233907E-2</v>
      </c>
      <c r="I23" s="157">
        <f t="shared" si="1"/>
        <v>7.8813074751563239E-2</v>
      </c>
      <c r="J23" s="157">
        <f t="shared" si="1"/>
        <v>7.8476844866909354E-2</v>
      </c>
      <c r="K23" s="157">
        <f t="shared" si="1"/>
        <v>3.3342346633406794E-2</v>
      </c>
      <c r="L23" s="157">
        <f t="shared" si="1"/>
        <v>1.353914946635006E-2</v>
      </c>
      <c r="M23" s="157">
        <f t="shared" si="1"/>
        <v>6.5460644159295138E-3</v>
      </c>
      <c r="N23" s="157">
        <f t="shared" si="1"/>
        <v>0</v>
      </c>
      <c r="O23" s="46"/>
      <c r="P23" s="154">
        <f t="shared" si="19"/>
        <v>2.239647954158042E-2</v>
      </c>
      <c r="Q23" s="154">
        <f t="shared" si="20"/>
        <v>8.4448771868830458E-2</v>
      </c>
      <c r="R23" s="154">
        <f t="shared" si="20"/>
        <v>0.20593462624218395</v>
      </c>
      <c r="S23" s="154">
        <f t="shared" si="20"/>
        <v>0.40761577566545332</v>
      </c>
      <c r="T23" s="154">
        <f t="shared" si="20"/>
        <v>0.56657653366593208</v>
      </c>
      <c r="U23" s="154">
        <f t="shared" si="20"/>
        <v>0.67921701067299889</v>
      </c>
      <c r="V23" s="154">
        <f t="shared" si="20"/>
        <v>0.82634838960176227</v>
      </c>
      <c r="W23" s="162">
        <f t="shared" si="21"/>
        <v>1</v>
      </c>
      <c r="X23" s="154"/>
      <c r="Y23" s="142">
        <f t="shared" si="22"/>
        <v>3.2460317460317467E-2</v>
      </c>
      <c r="Z23" s="142">
        <f t="shared" si="12"/>
        <v>5.2619047619047635E-2</v>
      </c>
      <c r="AA23" s="142">
        <f t="shared" si="12"/>
        <v>6.2261904761904789E-2</v>
      </c>
      <c r="AB23" s="142">
        <f t="shared" si="12"/>
        <v>5.8611111111111128E-2</v>
      </c>
      <c r="AC23" s="142">
        <f t="shared" si="12"/>
        <v>2.4027777777777783E-2</v>
      </c>
      <c r="AD23" s="142">
        <f t="shared" si="12"/>
        <v>9.454365079365085E-3</v>
      </c>
      <c r="AE23" s="142">
        <f t="shared" si="12"/>
        <v>4.242857142857148E-3</v>
      </c>
      <c r="AF23" s="142">
        <f t="shared" si="12"/>
        <v>0</v>
      </c>
      <c r="AH23" s="158">
        <f t="shared" si="13"/>
        <v>3.7698412698412689E-2</v>
      </c>
      <c r="AI23" s="158">
        <f t="shared" si="14"/>
        <v>0.13690476190476189</v>
      </c>
      <c r="AJ23" s="158">
        <f t="shared" si="14"/>
        <v>0.28869047619047616</v>
      </c>
      <c r="AK23" s="158">
        <f t="shared" si="14"/>
        <v>0.50694444444444442</v>
      </c>
      <c r="AL23" s="158">
        <f t="shared" si="14"/>
        <v>0.65972222222222221</v>
      </c>
      <c r="AM23" s="158">
        <f t="shared" si="14"/>
        <v>0.76091269841269837</v>
      </c>
      <c r="AN23" s="158">
        <f t="shared" si="14"/>
        <v>0.8839285714285714</v>
      </c>
      <c r="AO23" s="158">
        <v>1</v>
      </c>
      <c r="AP23" s="143"/>
      <c r="AQ23" s="143">
        <f t="shared" si="5"/>
        <v>2.2396479541580423E-2</v>
      </c>
      <c r="AR23" s="143">
        <f t="shared" si="5"/>
        <v>6.2052292327250048E-2</v>
      </c>
      <c r="AS23" s="143">
        <f t="shared" si="5"/>
        <v>0.12148585437335353</v>
      </c>
      <c r="AT23" s="143">
        <f t="shared" si="5"/>
        <v>0.20168114942326942</v>
      </c>
      <c r="AU23" s="143">
        <f t="shared" si="5"/>
        <v>0.15896075800047876</v>
      </c>
      <c r="AV23" s="143">
        <f t="shared" si="5"/>
        <v>0.11264047700706688</v>
      </c>
      <c r="AW23" s="143">
        <f t="shared" si="5"/>
        <v>0.14713137892876346</v>
      </c>
      <c r="AX23" s="143">
        <f t="shared" si="5"/>
        <v>0.17365161039823757</v>
      </c>
      <c r="AY23" s="46"/>
      <c r="AZ23" s="152">
        <f>Shares!D64</f>
        <v>3.8</v>
      </c>
      <c r="BA23" s="152">
        <f>Shares!E64</f>
        <v>10</v>
      </c>
      <c r="BB23" s="152">
        <f>Shares!F64</f>
        <v>15.3</v>
      </c>
      <c r="BC23" s="152">
        <f>Shares!G64</f>
        <v>22</v>
      </c>
      <c r="BD23" s="152">
        <f>Shares!J64</f>
        <v>15.4</v>
      </c>
      <c r="BE23" s="152">
        <f>Shares!K64</f>
        <v>10.199999999999999</v>
      </c>
      <c r="BF23" s="152">
        <f>Shares!L64</f>
        <v>12.4</v>
      </c>
      <c r="BG23" s="152">
        <f>Shares!M64</f>
        <v>11.7</v>
      </c>
      <c r="BI23" s="573">
        <f>TxRt!$B67-TxRt!C67+MAX(0,TxRt!$C67)</f>
        <v>13.2</v>
      </c>
      <c r="BJ23" s="573">
        <f>TxRt!B110-TxRt!C110+MAX(0,TxRt!$C110)</f>
        <v>13.8</v>
      </c>
      <c r="BK23" s="573">
        <f>TxRt!B150-TxRt!C150+MAX(0,TxRt!$C150)</f>
        <v>17.600000000000001</v>
      </c>
      <c r="BL23" s="573">
        <f>TxRt!B190-TxRt!C190+MAX(0,TxRt!$C190)</f>
        <v>20.3</v>
      </c>
      <c r="BM23" s="573">
        <f>TxRt!B270-TxRt!C270+MAX(0,TxRt!$C270)</f>
        <v>22.7</v>
      </c>
      <c r="BN23" s="573">
        <f>TxRt!B310-TxRt!C310+MAX(0,TxRt!$C310)</f>
        <v>24.4</v>
      </c>
      <c r="BO23" s="573">
        <f>TxRt!B350-TxRt!C350+MAX(0,TxRt!$C350)</f>
        <v>26.4</v>
      </c>
      <c r="BP23" s="573">
        <f>TxRt!B390-TxRt!C390+MAX(0,TxRt!$C390)</f>
        <v>33.200000000000003</v>
      </c>
      <c r="BQ23" s="46"/>
      <c r="BR23" s="60">
        <f>Inc!B64</f>
        <v>15600</v>
      </c>
      <c r="BS23" s="60">
        <f>Inc!B104</f>
        <v>36400</v>
      </c>
      <c r="BT23" s="60">
        <f>Inc!B144</f>
        <v>58500</v>
      </c>
      <c r="BU23" s="60">
        <f>Inc!B184</f>
        <v>84200</v>
      </c>
      <c r="BV23" s="60">
        <f>Inc!B264</f>
        <v>113800</v>
      </c>
      <c r="BW23" s="60">
        <f>Inc!B304</f>
        <v>147100</v>
      </c>
      <c r="BX23" s="60">
        <f>Inc!B344</f>
        <v>220900</v>
      </c>
      <c r="BY23" s="60">
        <f>Inc!B384</f>
        <v>850000</v>
      </c>
      <c r="CA23" s="60">
        <f t="shared" si="23"/>
        <v>2059.1999999999998</v>
      </c>
      <c r="CB23" s="60">
        <f t="shared" si="23"/>
        <v>5023.2</v>
      </c>
      <c r="CC23" s="60">
        <f t="shared" si="23"/>
        <v>10296.000000000002</v>
      </c>
      <c r="CD23" s="60">
        <f t="shared" si="23"/>
        <v>17092.599999999999</v>
      </c>
      <c r="CE23" s="60">
        <f t="shared" si="23"/>
        <v>25832.6</v>
      </c>
      <c r="CF23" s="60">
        <f t="shared" si="23"/>
        <v>35892.400000000001</v>
      </c>
      <c r="CG23" s="60">
        <f t="shared" si="23"/>
        <v>58317.599999999999</v>
      </c>
      <c r="CH23" s="60">
        <f t="shared" si="23"/>
        <v>282200.00000000006</v>
      </c>
      <c r="CJ23" s="153">
        <f t="shared" si="15"/>
        <v>36396.359999999993</v>
      </c>
      <c r="CK23" s="153">
        <f t="shared" si="7"/>
        <v>100840.73999999998</v>
      </c>
      <c r="CL23" s="153">
        <f t="shared" si="7"/>
        <v>197425.80000000002</v>
      </c>
      <c r="CM23" s="153">
        <f t="shared" si="7"/>
        <v>327750.60499999992</v>
      </c>
      <c r="CN23" s="153">
        <f t="shared" si="7"/>
        <v>258326</v>
      </c>
      <c r="CO23" s="153">
        <f t="shared" si="7"/>
        <v>183051.24</v>
      </c>
      <c r="CP23" s="153">
        <f t="shared" si="7"/>
        <v>239102.15999999997</v>
      </c>
      <c r="CQ23" s="153">
        <f t="shared" si="7"/>
        <v>282200.00000000006</v>
      </c>
      <c r="CR23" s="153">
        <f t="shared" si="16"/>
        <v>1625092.9049999998</v>
      </c>
      <c r="CT23" s="403">
        <v>255</v>
      </c>
      <c r="CU23" s="276">
        <f>Dem!B64+(DD23/4)</f>
        <v>17.674999999999997</v>
      </c>
      <c r="CV23" s="276">
        <f>Dem!B104+(DD23/4)</f>
        <v>20.074999999999996</v>
      </c>
      <c r="CW23" s="276">
        <f>Dem!B144+(DD23/4)</f>
        <v>19.174999999999997</v>
      </c>
      <c r="CX23" s="276">
        <f>Dem!B184+(DD23/4)</f>
        <v>19.174999999999997</v>
      </c>
      <c r="CY23" s="276">
        <f>Dem!B264</f>
        <v>10</v>
      </c>
      <c r="CZ23" s="276">
        <f>Dem!B304</f>
        <v>5.0999999999999996</v>
      </c>
      <c r="DA23" s="276">
        <f>Dem!B344</f>
        <v>4.0999999999999996</v>
      </c>
      <c r="DB23" s="276">
        <f>Dem!B384</f>
        <v>1</v>
      </c>
      <c r="DC23" s="275">
        <v>97.3</v>
      </c>
      <c r="DD23" s="46">
        <v>-0.50000000000001421</v>
      </c>
      <c r="DE23" s="275"/>
      <c r="DF23" s="276">
        <f>Dem!$D64+(DO23/4)</f>
        <v>49.499999999999993</v>
      </c>
      <c r="DG23" s="276">
        <f>Dem!$D104+(DO23/4)</f>
        <v>50.699999999999996</v>
      </c>
      <c r="DH23" s="276">
        <f>Dem!$D144+(DO23/4)</f>
        <v>50.699999999999996</v>
      </c>
      <c r="DI23" s="276">
        <f>Dem!$D184+(DO23/4)</f>
        <v>50.699999999999996</v>
      </c>
      <c r="DJ23" s="275">
        <f>Dem!$D264</f>
        <v>25.5</v>
      </c>
      <c r="DK23" s="275">
        <f>Dem!$D304</f>
        <v>12.7</v>
      </c>
      <c r="DL23" s="275">
        <f>Dem!$D344</f>
        <v>10.199999999999999</v>
      </c>
      <c r="DM23" s="275">
        <f>Dem!$D384</f>
        <v>2.6</v>
      </c>
      <c r="DN23" s="276">
        <f t="shared" si="17"/>
        <v>255</v>
      </c>
      <c r="DO23" s="44">
        <v>-1.2000000000000171</v>
      </c>
    </row>
    <row r="24" spans="1:119">
      <c r="A24" s="46">
        <f t="shared" si="18"/>
        <v>1994</v>
      </c>
      <c r="B24" s="141">
        <f t="shared" si="8"/>
        <v>0.13509180915439439</v>
      </c>
      <c r="C24" s="46"/>
      <c r="D24" s="141">
        <f t="shared" si="9"/>
        <v>0.62531961451685736</v>
      </c>
      <c r="E24" s="141">
        <f t="shared" si="10"/>
        <v>0.49022780536246297</v>
      </c>
      <c r="F24" s="46"/>
      <c r="G24" s="157">
        <f t="shared" si="11"/>
        <v>3.5604041185102596E-2</v>
      </c>
      <c r="H24" s="157">
        <f t="shared" si="1"/>
        <v>6.3760180060520186E-2</v>
      </c>
      <c r="I24" s="157">
        <f t="shared" si="1"/>
        <v>7.9640657831166195E-2</v>
      </c>
      <c r="J24" s="157">
        <f t="shared" si="1"/>
        <v>7.9295381048079039E-2</v>
      </c>
      <c r="K24" s="157">
        <f t="shared" si="1"/>
        <v>3.3901193024857501E-2</v>
      </c>
      <c r="L24" s="157">
        <f t="shared" si="1"/>
        <v>1.3788038169056594E-2</v>
      </c>
      <c r="M24" s="157">
        <f t="shared" si="1"/>
        <v>6.6703159396465806E-3</v>
      </c>
      <c r="N24" s="157">
        <f t="shared" si="1"/>
        <v>0</v>
      </c>
      <c r="O24" s="46"/>
      <c r="P24" s="154">
        <f t="shared" si="19"/>
        <v>2.1979794074487014E-2</v>
      </c>
      <c r="Q24" s="154">
        <f t="shared" si="20"/>
        <v>8.1199099697399135E-2</v>
      </c>
      <c r="R24" s="154">
        <f t="shared" si="20"/>
        <v>0.20179671084416911</v>
      </c>
      <c r="S24" s="154">
        <f t="shared" si="20"/>
        <v>0.40352309475960491</v>
      </c>
      <c r="T24" s="154">
        <f t="shared" si="20"/>
        <v>0.56098806975142501</v>
      </c>
      <c r="U24" s="154">
        <f t="shared" si="20"/>
        <v>0.6742392366188682</v>
      </c>
      <c r="V24" s="154">
        <f t="shared" si="20"/>
        <v>0.82324210150883559</v>
      </c>
      <c r="W24" s="162">
        <f t="shared" si="21"/>
        <v>1</v>
      </c>
      <c r="X24" s="154"/>
      <c r="Y24" s="142">
        <f t="shared" si="22"/>
        <v>3.2651439920556115E-2</v>
      </c>
      <c r="Z24" s="142">
        <f t="shared" si="12"/>
        <v>5.2989076464746779E-2</v>
      </c>
      <c r="AA24" s="142">
        <f t="shared" si="12"/>
        <v>6.2601787487586921E-2</v>
      </c>
      <c r="AB24" s="142">
        <f t="shared" si="12"/>
        <v>5.8907646474677278E-2</v>
      </c>
      <c r="AC24" s="142">
        <f t="shared" si="12"/>
        <v>2.4160873882820268E-2</v>
      </c>
      <c r="AD24" s="142">
        <f t="shared" si="12"/>
        <v>9.5158887785501585E-3</v>
      </c>
      <c r="AE24" s="142">
        <f t="shared" si="12"/>
        <v>4.2871896722939517E-3</v>
      </c>
      <c r="AF24" s="142">
        <f t="shared" si="12"/>
        <v>0</v>
      </c>
      <c r="AH24" s="158">
        <f t="shared" si="13"/>
        <v>3.6742800397219458E-2</v>
      </c>
      <c r="AI24" s="158">
        <f t="shared" si="14"/>
        <v>0.13505461767626611</v>
      </c>
      <c r="AJ24" s="158">
        <f t="shared" si="14"/>
        <v>0.28699106256206552</v>
      </c>
      <c r="AK24" s="158">
        <f t="shared" si="14"/>
        <v>0.50546176762661366</v>
      </c>
      <c r="AL24" s="158">
        <f t="shared" si="14"/>
        <v>0.65839126117179736</v>
      </c>
      <c r="AM24" s="158">
        <f t="shared" si="14"/>
        <v>0.75968222442899691</v>
      </c>
      <c r="AN24" s="158">
        <f t="shared" si="14"/>
        <v>0.88282025819265131</v>
      </c>
      <c r="AO24" s="158">
        <v>1</v>
      </c>
      <c r="AP24" s="143"/>
      <c r="AQ24" s="143">
        <f t="shared" si="5"/>
        <v>2.1979794074487014E-2</v>
      </c>
      <c r="AR24" s="143">
        <f t="shared" si="5"/>
        <v>5.9219305622912125E-2</v>
      </c>
      <c r="AS24" s="143">
        <f t="shared" si="5"/>
        <v>0.12059761114676996</v>
      </c>
      <c r="AT24" s="143">
        <f t="shared" si="5"/>
        <v>0.20172638391543579</v>
      </c>
      <c r="AU24" s="143">
        <f t="shared" si="5"/>
        <v>0.15746497499182011</v>
      </c>
      <c r="AV24" s="143">
        <f t="shared" si="5"/>
        <v>0.11325116686744323</v>
      </c>
      <c r="AW24" s="143">
        <f t="shared" si="5"/>
        <v>0.14900286488996742</v>
      </c>
      <c r="AX24" s="143">
        <f t="shared" si="5"/>
        <v>0.17675789849116436</v>
      </c>
      <c r="AY24" s="46"/>
      <c r="AZ24" s="152">
        <f>Shares!D65</f>
        <v>3.7</v>
      </c>
      <c r="BA24" s="152">
        <f>Shares!E65</f>
        <v>9.9</v>
      </c>
      <c r="BB24" s="152">
        <f>Shares!F65</f>
        <v>15.3</v>
      </c>
      <c r="BC24" s="152">
        <f>Shares!G65</f>
        <v>22</v>
      </c>
      <c r="BD24" s="152">
        <f>Shares!J65</f>
        <v>15.4</v>
      </c>
      <c r="BE24" s="152">
        <f>Shares!K65</f>
        <v>10.199999999999999</v>
      </c>
      <c r="BF24" s="152">
        <f>Shares!L65</f>
        <v>12.4</v>
      </c>
      <c r="BG24" s="152">
        <f>Shares!M65</f>
        <v>11.8</v>
      </c>
      <c r="BI24" s="573">
        <f>TxRt!$B68-TxRt!C68+MAX(0,TxRt!$C68)</f>
        <v>13.299999999999999</v>
      </c>
      <c r="BJ24" s="573">
        <f>TxRt!B111-TxRt!C111+MAX(0,TxRt!$C111)</f>
        <v>13.5</v>
      </c>
      <c r="BK24" s="573">
        <f>TxRt!B151-TxRt!C151+MAX(0,TxRt!$C151)</f>
        <v>17.8</v>
      </c>
      <c r="BL24" s="573">
        <f>TxRt!B191-TxRt!C191+MAX(0,TxRt!$C191)</f>
        <v>20.7</v>
      </c>
      <c r="BM24" s="573">
        <f>TxRt!B271-TxRt!C271+MAX(0,TxRt!$C271)</f>
        <v>23.1</v>
      </c>
      <c r="BN24" s="573">
        <f>TxRt!B311-TxRt!C311+MAX(0,TxRt!$C311)</f>
        <v>24.8</v>
      </c>
      <c r="BO24" s="573">
        <f>TxRt!B351-TxRt!C351+MAX(0,TxRt!$C351)</f>
        <v>26.7</v>
      </c>
      <c r="BP24" s="573">
        <f>TxRt!B391-TxRt!C391+MAX(0,TxRt!$C391)</f>
        <v>34.4</v>
      </c>
      <c r="BQ24" s="46"/>
      <c r="BR24" s="60">
        <f>Inc!B65</f>
        <v>15500</v>
      </c>
      <c r="BS24" s="60">
        <f>Inc!B105</f>
        <v>36700</v>
      </c>
      <c r="BT24" s="60">
        <f>Inc!B145</f>
        <v>58700</v>
      </c>
      <c r="BU24" s="60">
        <f>Inc!B185</f>
        <v>85300</v>
      </c>
      <c r="BV24" s="60">
        <f>Inc!B265</f>
        <v>116200</v>
      </c>
      <c r="BW24" s="60">
        <f>Inc!B305</f>
        <v>149700</v>
      </c>
      <c r="BX24" s="60">
        <f>Inc!B345</f>
        <v>226500</v>
      </c>
      <c r="BY24" s="60">
        <f>Inc!B385</f>
        <v>875900</v>
      </c>
      <c r="CA24" s="60">
        <f t="shared" si="23"/>
        <v>2061.4999999999995</v>
      </c>
      <c r="CB24" s="60">
        <f t="shared" si="23"/>
        <v>4954.5</v>
      </c>
      <c r="CC24" s="60">
        <f t="shared" si="23"/>
        <v>10448.6</v>
      </c>
      <c r="CD24" s="60">
        <f t="shared" si="23"/>
        <v>17657.099999999999</v>
      </c>
      <c r="CE24" s="60">
        <f t="shared" si="23"/>
        <v>26842.2</v>
      </c>
      <c r="CF24" s="60">
        <f t="shared" si="23"/>
        <v>37125.599999999999</v>
      </c>
      <c r="CG24" s="60">
        <f t="shared" si="23"/>
        <v>60475.5</v>
      </c>
      <c r="CH24" s="60">
        <f t="shared" si="23"/>
        <v>301309.59999999998</v>
      </c>
      <c r="CJ24" s="153">
        <f t="shared" si="15"/>
        <v>37467.76249999999</v>
      </c>
      <c r="CK24" s="153">
        <f t="shared" si="7"/>
        <v>100947.9375</v>
      </c>
      <c r="CL24" s="153">
        <f t="shared" si="7"/>
        <v>205576.20500000002</v>
      </c>
      <c r="CM24" s="153">
        <f t="shared" si="7"/>
        <v>343872.02250000002</v>
      </c>
      <c r="CN24" s="153">
        <f t="shared" si="7"/>
        <v>268422</v>
      </c>
      <c r="CO24" s="153">
        <f t="shared" si="7"/>
        <v>193053.12</v>
      </c>
      <c r="CP24" s="153">
        <f t="shared" si="7"/>
        <v>253997.1</v>
      </c>
      <c r="CQ24" s="153">
        <f t="shared" si="7"/>
        <v>301309.59999999998</v>
      </c>
      <c r="CR24" s="153">
        <f t="shared" si="16"/>
        <v>1704645.7475000001</v>
      </c>
      <c r="CT24" s="403">
        <v>257.8</v>
      </c>
      <c r="CU24" s="276">
        <f>Dem!B65+(DD24/4)</f>
        <v>18.175000000000001</v>
      </c>
      <c r="CV24" s="276">
        <f>Dem!B105+(DD24/4)</f>
        <v>20.375</v>
      </c>
      <c r="CW24" s="276">
        <f>Dem!B145+(DD24/4)</f>
        <v>19.675000000000001</v>
      </c>
      <c r="CX24" s="276">
        <f>Dem!B185+(DD24/4)</f>
        <v>19.475000000000001</v>
      </c>
      <c r="CY24" s="276">
        <f>Dem!B265</f>
        <v>10</v>
      </c>
      <c r="CZ24" s="276">
        <f>Dem!B305</f>
        <v>5.2</v>
      </c>
      <c r="DA24" s="276">
        <f>Dem!B345</f>
        <v>4.2</v>
      </c>
      <c r="DB24" s="276">
        <f>Dem!B385</f>
        <v>1</v>
      </c>
      <c r="DC24" s="275">
        <v>99.1</v>
      </c>
      <c r="DD24" s="46">
        <v>-0.5</v>
      </c>
      <c r="DE24" s="275"/>
      <c r="DF24" s="276">
        <f>Dem!$D65+(DO24/4)</f>
        <v>50.15</v>
      </c>
      <c r="DG24" s="276">
        <f>Dem!$D105+(DO24/4)</f>
        <v>51.35</v>
      </c>
      <c r="DH24" s="276">
        <f>Dem!$D145+(DO24/4)</f>
        <v>51.35</v>
      </c>
      <c r="DI24" s="276">
        <f>Dem!$D185+(DO24/4)</f>
        <v>51.35</v>
      </c>
      <c r="DJ24" s="275">
        <f>Dem!$D265</f>
        <v>25.8</v>
      </c>
      <c r="DK24" s="275">
        <f>Dem!$D305</f>
        <v>12.9</v>
      </c>
      <c r="DL24" s="275">
        <f>Dem!$D345</f>
        <v>10.3</v>
      </c>
      <c r="DM24" s="275">
        <f>Dem!$D385</f>
        <v>2.6</v>
      </c>
      <c r="DN24" s="276">
        <f t="shared" si="17"/>
        <v>257.8</v>
      </c>
      <c r="DO24" s="44">
        <v>-1</v>
      </c>
    </row>
    <row r="25" spans="1:119">
      <c r="A25" s="46">
        <f t="shared" si="18"/>
        <v>1995</v>
      </c>
      <c r="B25" s="141">
        <f t="shared" si="8"/>
        <v>0.14216941914594566</v>
      </c>
      <c r="C25" s="46"/>
      <c r="D25" s="141">
        <f t="shared" si="9"/>
        <v>0.63315831904683773</v>
      </c>
      <c r="E25" s="141">
        <f t="shared" si="10"/>
        <v>0.49098889990089206</v>
      </c>
      <c r="F25" s="46"/>
      <c r="G25" s="157">
        <f t="shared" si="11"/>
        <v>3.5398197114712392E-2</v>
      </c>
      <c r="H25" s="157">
        <f t="shared" si="11"/>
        <v>6.3539968708889158E-2</v>
      </c>
      <c r="I25" s="157">
        <f t="shared" si="11"/>
        <v>8.0163349439913836E-2</v>
      </c>
      <c r="J25" s="157">
        <f t="shared" si="11"/>
        <v>8.1020108838095406E-2</v>
      </c>
      <c r="K25" s="157">
        <f t="shared" si="11"/>
        <v>3.502710565545214E-2</v>
      </c>
      <c r="L25" s="157">
        <f t="shared" si="11"/>
        <v>1.4350415546580154E-2</v>
      </c>
      <c r="M25" s="157">
        <f t="shared" si="11"/>
        <v>7.0800142197757808E-3</v>
      </c>
      <c r="N25" s="157">
        <f t="shared" si="11"/>
        <v>0</v>
      </c>
      <c r="O25" s="46"/>
      <c r="P25" s="154">
        <f t="shared" si="19"/>
        <v>2.3009014426438042E-2</v>
      </c>
      <c r="Q25" s="154">
        <f t="shared" si="20"/>
        <v>8.2300156455554191E-2</v>
      </c>
      <c r="R25" s="154">
        <f t="shared" si="20"/>
        <v>0.19918325280043095</v>
      </c>
      <c r="S25" s="154">
        <f t="shared" si="20"/>
        <v>0.39489945580952301</v>
      </c>
      <c r="T25" s="154">
        <f t="shared" si="20"/>
        <v>0.54972894344547862</v>
      </c>
      <c r="U25" s="154">
        <f t="shared" si="20"/>
        <v>0.66299168906839701</v>
      </c>
      <c r="V25" s="154">
        <f t="shared" si="20"/>
        <v>0.81299964450560558</v>
      </c>
      <c r="W25" s="162">
        <f t="shared" si="21"/>
        <v>1</v>
      </c>
      <c r="X25" s="154"/>
      <c r="Y25" s="142">
        <f t="shared" si="22"/>
        <v>3.2071357779980179E-2</v>
      </c>
      <c r="Z25" s="142">
        <f t="shared" si="12"/>
        <v>5.2447968285431128E-2</v>
      </c>
      <c r="AA25" s="142">
        <f t="shared" si="12"/>
        <v>6.2517343904856318E-2</v>
      </c>
      <c r="AB25" s="142">
        <f t="shared" si="12"/>
        <v>5.9504459861248776E-2</v>
      </c>
      <c r="AC25" s="142">
        <f t="shared" si="12"/>
        <v>2.4687809712586717E-2</v>
      </c>
      <c r="AD25" s="142">
        <f t="shared" si="12"/>
        <v>9.7893954410307252E-3</v>
      </c>
      <c r="AE25" s="142">
        <f t="shared" si="12"/>
        <v>4.4761149653121945E-3</v>
      </c>
      <c r="AF25" s="142">
        <f t="shared" si="12"/>
        <v>0</v>
      </c>
      <c r="AH25" s="158">
        <f t="shared" si="13"/>
        <v>3.9643211100099107E-2</v>
      </c>
      <c r="AI25" s="158">
        <f t="shared" si="14"/>
        <v>0.1377601585728444</v>
      </c>
      <c r="AJ25" s="158">
        <f t="shared" si="14"/>
        <v>0.28741328047571851</v>
      </c>
      <c r="AK25" s="158">
        <f t="shared" si="14"/>
        <v>0.50247770069375619</v>
      </c>
      <c r="AL25" s="158">
        <f t="shared" si="14"/>
        <v>0.65312190287413285</v>
      </c>
      <c r="AM25" s="158">
        <f t="shared" si="14"/>
        <v>0.75421209117938559</v>
      </c>
      <c r="AN25" s="158">
        <f t="shared" si="14"/>
        <v>0.87809712586719524</v>
      </c>
      <c r="AO25" s="158">
        <v>1</v>
      </c>
      <c r="AP25" s="143"/>
      <c r="AQ25" s="143">
        <f t="shared" si="5"/>
        <v>2.3009014426438046E-2</v>
      </c>
      <c r="AR25" s="143">
        <f t="shared" si="5"/>
        <v>5.9291142029116166E-2</v>
      </c>
      <c r="AS25" s="143">
        <f t="shared" si="5"/>
        <v>0.11688309634487679</v>
      </c>
      <c r="AT25" s="143">
        <f t="shared" si="5"/>
        <v>0.19571620300909215</v>
      </c>
      <c r="AU25" s="143">
        <f t="shared" si="5"/>
        <v>0.15482948763595569</v>
      </c>
      <c r="AV25" s="143">
        <f t="shared" si="5"/>
        <v>0.11326274562291845</v>
      </c>
      <c r="AW25" s="143">
        <f t="shared" si="5"/>
        <v>0.15000795543720866</v>
      </c>
      <c r="AX25" s="143">
        <f t="shared" si="5"/>
        <v>0.18700035549439414</v>
      </c>
      <c r="AY25" s="46"/>
      <c r="AZ25" s="152">
        <f>Shares!D66</f>
        <v>4</v>
      </c>
      <c r="BA25" s="152">
        <f>Shares!E66</f>
        <v>9.9</v>
      </c>
      <c r="BB25" s="152">
        <f>Shares!F66</f>
        <v>15.1</v>
      </c>
      <c r="BC25" s="152">
        <f>Shares!G66</f>
        <v>21.7</v>
      </c>
      <c r="BD25" s="152">
        <f>Shares!J66</f>
        <v>15.2</v>
      </c>
      <c r="BE25" s="152">
        <f>Shares!K66</f>
        <v>10.199999999999999</v>
      </c>
      <c r="BF25" s="152">
        <f>Shares!L66</f>
        <v>12.5</v>
      </c>
      <c r="BG25" s="152">
        <f>Shares!M66</f>
        <v>12.3</v>
      </c>
      <c r="BI25" s="573">
        <f>TxRt!$B69-TxRt!C69+MAX(0,TxRt!$C69)</f>
        <v>13.3</v>
      </c>
      <c r="BJ25" s="573">
        <f>TxRt!B112-TxRt!C112+MAX(0,TxRt!$C112)</f>
        <v>13.8</v>
      </c>
      <c r="BK25" s="573">
        <f>TxRt!B152-TxRt!C152+MAX(0,TxRt!$C152)</f>
        <v>17.8</v>
      </c>
      <c r="BL25" s="573">
        <f>TxRt!B192-TxRt!C192+MAX(0,TxRt!$C192)</f>
        <v>20.7</v>
      </c>
      <c r="BM25" s="573">
        <f>TxRt!B272-TxRt!C272+MAX(0,TxRt!$C272)</f>
        <v>23.3</v>
      </c>
      <c r="BN25" s="573">
        <f>TxRt!B312-TxRt!C312+MAX(0,TxRt!$C312)</f>
        <v>25.2</v>
      </c>
      <c r="BO25" s="573">
        <f>TxRt!B352-TxRt!C352+MAX(0,TxRt!$C352)</f>
        <v>27.2</v>
      </c>
      <c r="BP25" s="573">
        <f>TxRt!B392-TxRt!C392+MAX(0,TxRt!$C392)</f>
        <v>34.9</v>
      </c>
      <c r="BQ25" s="46"/>
      <c r="BR25" s="60">
        <f>Inc!B66</f>
        <v>16700</v>
      </c>
      <c r="BS25" s="60">
        <f>Inc!B106</f>
        <v>38600</v>
      </c>
      <c r="BT25" s="60">
        <f>Inc!B146</f>
        <v>60800</v>
      </c>
      <c r="BU25" s="60">
        <f>Inc!B186</f>
        <v>87100</v>
      </c>
      <c r="BV25" s="60">
        <f>Inc!B266</f>
        <v>119400</v>
      </c>
      <c r="BW25" s="60">
        <f>Inc!B306</f>
        <v>153900</v>
      </c>
      <c r="BX25" s="60">
        <f>Inc!B346</f>
        <v>238300</v>
      </c>
      <c r="BY25" s="60">
        <f>Inc!B386</f>
        <v>972400</v>
      </c>
      <c r="CA25" s="60">
        <f t="shared" si="23"/>
        <v>2221.1</v>
      </c>
      <c r="CB25" s="60">
        <f t="shared" si="23"/>
        <v>5326.8</v>
      </c>
      <c r="CC25" s="60">
        <f t="shared" si="23"/>
        <v>10822.4</v>
      </c>
      <c r="CD25" s="60">
        <f t="shared" si="23"/>
        <v>18029.7</v>
      </c>
      <c r="CE25" s="60">
        <f t="shared" si="23"/>
        <v>27820.2</v>
      </c>
      <c r="CF25" s="60">
        <f t="shared" si="23"/>
        <v>38782.800000000003</v>
      </c>
      <c r="CG25" s="60">
        <f t="shared" si="23"/>
        <v>64817.599999999999</v>
      </c>
      <c r="CH25" s="60">
        <f t="shared" si="23"/>
        <v>339367.6</v>
      </c>
      <c r="CJ25" s="153">
        <f t="shared" si="15"/>
        <v>41756.679999999993</v>
      </c>
      <c r="CK25" s="153">
        <f t="shared" si="7"/>
        <v>107601.36</v>
      </c>
      <c r="CL25" s="153">
        <f t="shared" si="7"/>
        <v>212119.03999999998</v>
      </c>
      <c r="CM25" s="153">
        <f t="shared" si="7"/>
        <v>355185.09</v>
      </c>
      <c r="CN25" s="153">
        <f t="shared" si="7"/>
        <v>280984.02</v>
      </c>
      <c r="CO25" s="153">
        <f t="shared" si="7"/>
        <v>205548.84</v>
      </c>
      <c r="CP25" s="153">
        <f t="shared" si="7"/>
        <v>272233.92</v>
      </c>
      <c r="CQ25" s="153">
        <f t="shared" si="7"/>
        <v>339367.6</v>
      </c>
      <c r="CR25" s="153">
        <f t="shared" si="16"/>
        <v>1814796.5499999998</v>
      </c>
      <c r="CT25" s="403">
        <v>258.60000000000002</v>
      </c>
      <c r="CU25" s="276">
        <f>Dem!B66+(DD25/4)</f>
        <v>18.799999999999997</v>
      </c>
      <c r="CV25" s="276">
        <f>Dem!B106+(DD25/4)</f>
        <v>20.2</v>
      </c>
      <c r="CW25" s="276">
        <f>Dem!B146+(DD25/4)</f>
        <v>19.599999999999998</v>
      </c>
      <c r="CX25" s="276">
        <f>Dem!B186+(DD25/4)</f>
        <v>19.7</v>
      </c>
      <c r="CY25" s="276">
        <f>Dem!B266</f>
        <v>10.1</v>
      </c>
      <c r="CZ25" s="276">
        <f>Dem!B306</f>
        <v>5.3</v>
      </c>
      <c r="DA25" s="276">
        <f>Dem!B346</f>
        <v>4.2</v>
      </c>
      <c r="DB25" s="276">
        <f>Dem!B386</f>
        <v>1</v>
      </c>
      <c r="DC25" s="275">
        <v>99.7</v>
      </c>
      <c r="DD25" s="46">
        <v>-0.40000000000000568</v>
      </c>
      <c r="DE25" s="275"/>
      <c r="DF25" s="276">
        <f>Dem!$D66+(DO25/4)</f>
        <v>50.675000000000004</v>
      </c>
      <c r="DG25" s="276">
        <f>Dem!$D106+(DO25/4)</f>
        <v>51.475000000000009</v>
      </c>
      <c r="DH25" s="276">
        <f>Dem!$D146+(DO25/4)</f>
        <v>51.475000000000009</v>
      </c>
      <c r="DI25" s="276">
        <f>Dem!$D186+(DO25/4)</f>
        <v>51.475000000000009</v>
      </c>
      <c r="DJ25" s="275">
        <f>Dem!$D266</f>
        <v>25.9</v>
      </c>
      <c r="DK25" s="275">
        <f>Dem!$D306</f>
        <v>12.9</v>
      </c>
      <c r="DL25" s="275">
        <f>Dem!$D346</f>
        <v>10.3</v>
      </c>
      <c r="DM25" s="275">
        <f>Dem!$D386</f>
        <v>2.6</v>
      </c>
      <c r="DN25" s="276">
        <f t="shared" si="17"/>
        <v>258.60000000000002</v>
      </c>
      <c r="DO25" s="44">
        <v>-0.89999999999997726</v>
      </c>
    </row>
    <row r="26" spans="1:119">
      <c r="A26" s="46">
        <f t="shared" si="18"/>
        <v>1996</v>
      </c>
      <c r="B26" s="141">
        <f t="shared" si="8"/>
        <v>0.1473188763910156</v>
      </c>
      <c r="C26" s="46"/>
      <c r="D26" s="141">
        <f t="shared" si="9"/>
        <v>0.6542696211775102</v>
      </c>
      <c r="E26" s="141">
        <f t="shared" si="10"/>
        <v>0.5069507447864946</v>
      </c>
      <c r="F26" s="46"/>
      <c r="G26" s="157">
        <f t="shared" si="11"/>
        <v>3.5737325539111714E-2</v>
      </c>
      <c r="H26" s="157">
        <f t="shared" si="11"/>
        <v>6.4479378771356899E-2</v>
      </c>
      <c r="I26" s="157">
        <f t="shared" si="11"/>
        <v>8.2001243720850103E-2</v>
      </c>
      <c r="J26" s="157">
        <f t="shared" si="11"/>
        <v>8.4148147306221166E-2</v>
      </c>
      <c r="K26" s="157">
        <f t="shared" si="11"/>
        <v>3.710097023068927E-2</v>
      </c>
      <c r="L26" s="157">
        <f t="shared" si="11"/>
        <v>1.5594774883625567E-2</v>
      </c>
      <c r="M26" s="157">
        <f t="shared" si="11"/>
        <v>8.0729701369003995E-3</v>
      </c>
      <c r="N26" s="157">
        <f t="shared" si="11"/>
        <v>0</v>
      </c>
      <c r="O26" s="46"/>
      <c r="P26" s="154">
        <f t="shared" si="19"/>
        <v>2.1313372304441434E-2</v>
      </c>
      <c r="Q26" s="154">
        <f t="shared" si="20"/>
        <v>7.7603106143215556E-2</v>
      </c>
      <c r="R26" s="154">
        <f t="shared" si="20"/>
        <v>0.18999378139574957</v>
      </c>
      <c r="S26" s="154">
        <f t="shared" si="20"/>
        <v>0.37925926346889421</v>
      </c>
      <c r="T26" s="154">
        <f t="shared" si="20"/>
        <v>0.52899029769310735</v>
      </c>
      <c r="U26" s="154">
        <f t="shared" si="20"/>
        <v>0.63810450232748872</v>
      </c>
      <c r="V26" s="154">
        <f t="shared" si="20"/>
        <v>0.78817574657749012</v>
      </c>
      <c r="W26" s="162">
        <f t="shared" si="21"/>
        <v>1</v>
      </c>
      <c r="X26" s="154"/>
      <c r="Y26" s="142">
        <f t="shared" si="22"/>
        <v>3.2452830188679248E-2</v>
      </c>
      <c r="Z26" s="142">
        <f t="shared" si="22"/>
        <v>5.3386295928500506E-2</v>
      </c>
      <c r="AA26" s="142">
        <f t="shared" si="22"/>
        <v>6.4190665342601802E-2</v>
      </c>
      <c r="AB26" s="142">
        <f t="shared" si="22"/>
        <v>6.18867924528302E-2</v>
      </c>
      <c r="AC26" s="142">
        <f t="shared" si="22"/>
        <v>2.6047666335650446E-2</v>
      </c>
      <c r="AD26" s="142">
        <f t="shared" si="22"/>
        <v>1.0508937437934457E-2</v>
      </c>
      <c r="AE26" s="142">
        <f t="shared" si="22"/>
        <v>5.0021847070506453E-3</v>
      </c>
      <c r="AF26" s="142">
        <f t="shared" si="22"/>
        <v>0</v>
      </c>
      <c r="AH26" s="158">
        <f t="shared" si="13"/>
        <v>3.7735849056603779E-2</v>
      </c>
      <c r="AI26" s="158">
        <f t="shared" si="14"/>
        <v>0.13306852035749753</v>
      </c>
      <c r="AJ26" s="158">
        <f t="shared" si="14"/>
        <v>0.27904667328699106</v>
      </c>
      <c r="AK26" s="158">
        <f t="shared" si="14"/>
        <v>0.49056603773584906</v>
      </c>
      <c r="AL26" s="158">
        <f t="shared" si="14"/>
        <v>0.63952333664349559</v>
      </c>
      <c r="AM26" s="158">
        <f t="shared" si="14"/>
        <v>0.73982125124131093</v>
      </c>
      <c r="AN26" s="158">
        <f t="shared" si="14"/>
        <v>0.86494538232373397</v>
      </c>
      <c r="AO26" s="158">
        <v>1</v>
      </c>
      <c r="AP26" s="143"/>
      <c r="AQ26" s="143">
        <f t="shared" si="5"/>
        <v>2.1313372304441434E-2</v>
      </c>
      <c r="AR26" s="143">
        <f t="shared" si="5"/>
        <v>5.6289733838774114E-2</v>
      </c>
      <c r="AS26" s="143">
        <f t="shared" si="5"/>
        <v>0.11239067525253402</v>
      </c>
      <c r="AT26" s="143">
        <f t="shared" si="5"/>
        <v>0.18926548207314464</v>
      </c>
      <c r="AU26" s="143">
        <f t="shared" si="5"/>
        <v>0.14973103422421311</v>
      </c>
      <c r="AV26" s="143">
        <f t="shared" si="5"/>
        <v>0.10911420463438137</v>
      </c>
      <c r="AW26" s="143">
        <f t="shared" si="5"/>
        <v>0.15007124425000146</v>
      </c>
      <c r="AX26" s="143">
        <f t="shared" si="5"/>
        <v>0.21182425342250985</v>
      </c>
      <c r="AY26" s="46"/>
      <c r="AZ26" s="152">
        <f>Shares!D67</f>
        <v>3.8</v>
      </c>
      <c r="BA26" s="152">
        <f>Shares!E67</f>
        <v>9.6</v>
      </c>
      <c r="BB26" s="152">
        <f>Shares!F67</f>
        <v>14.7</v>
      </c>
      <c r="BC26" s="152">
        <f>Shares!G67</f>
        <v>21.3</v>
      </c>
      <c r="BD26" s="152">
        <f>Shares!J67</f>
        <v>15</v>
      </c>
      <c r="BE26" s="152">
        <f>Shares!K67</f>
        <v>10.1</v>
      </c>
      <c r="BF26" s="152">
        <f>Shares!L67</f>
        <v>12.6</v>
      </c>
      <c r="BG26" s="152">
        <f>Shares!M67</f>
        <v>13.6</v>
      </c>
      <c r="BI26" s="573">
        <f>TxRt!$B70-TxRt!C70+MAX(0,TxRt!$C70)</f>
        <v>13.2</v>
      </c>
      <c r="BJ26" s="573">
        <f>TxRt!B113-TxRt!C113+MAX(0,TxRt!$C113)</f>
        <v>13.7</v>
      </c>
      <c r="BK26" s="573">
        <f>TxRt!B153-TxRt!C153+MAX(0,TxRt!$C153)</f>
        <v>17.8</v>
      </c>
      <c r="BL26" s="573">
        <f>TxRt!B193-TxRt!C193+MAX(0,TxRt!$C193)</f>
        <v>20.7</v>
      </c>
      <c r="BM26" s="573">
        <f>TxRt!B273-TxRt!C273+MAX(0,TxRt!$C273)</f>
        <v>23.2</v>
      </c>
      <c r="BN26" s="573">
        <f>TxRt!B313-TxRt!C313+MAX(0,TxRt!$C313)</f>
        <v>25.1</v>
      </c>
      <c r="BO26" s="573">
        <f>TxRt!B353-TxRt!C353+MAX(0,TxRt!$C353)</f>
        <v>27.4</v>
      </c>
      <c r="BP26" s="573">
        <f>TxRt!B393-TxRt!C393+MAX(0,TxRt!$C393)</f>
        <v>34.799999999999997</v>
      </c>
      <c r="BQ26" s="46"/>
      <c r="BR26" s="60">
        <f>Inc!B67</f>
        <v>16700</v>
      </c>
      <c r="BS26" s="60">
        <f>Inc!B107</f>
        <v>38600</v>
      </c>
      <c r="BT26" s="60">
        <f>Inc!B147</f>
        <v>61700</v>
      </c>
      <c r="BU26" s="60">
        <f>Inc!B187</f>
        <v>88900</v>
      </c>
      <c r="BV26" s="60">
        <f>Inc!B267</f>
        <v>122000</v>
      </c>
      <c r="BW26" s="60">
        <f>Inc!B307</f>
        <v>159700</v>
      </c>
      <c r="BX26" s="60">
        <f>Inc!B347</f>
        <v>248000</v>
      </c>
      <c r="BY26" s="60">
        <f>Inc!B387</f>
        <v>1077400</v>
      </c>
      <c r="CA26" s="60">
        <f t="shared" si="23"/>
        <v>2204.4</v>
      </c>
      <c r="CB26" s="60">
        <f t="shared" si="23"/>
        <v>5288.2</v>
      </c>
      <c r="CC26" s="60">
        <f t="shared" si="23"/>
        <v>10982.6</v>
      </c>
      <c r="CD26" s="60">
        <f t="shared" si="23"/>
        <v>18402.3</v>
      </c>
      <c r="CE26" s="60">
        <f t="shared" si="23"/>
        <v>28304</v>
      </c>
      <c r="CF26" s="60">
        <f t="shared" si="23"/>
        <v>40084.699999999997</v>
      </c>
      <c r="CG26" s="60">
        <f t="shared" si="23"/>
        <v>67952</v>
      </c>
      <c r="CH26" s="60">
        <f t="shared" si="23"/>
        <v>374935.2</v>
      </c>
      <c r="CJ26" s="153">
        <f t="shared" si="15"/>
        <v>41497.83</v>
      </c>
      <c r="CK26" s="153">
        <f t="shared" si="7"/>
        <v>109597.94500000001</v>
      </c>
      <c r="CL26" s="153">
        <f t="shared" si="7"/>
        <v>218828.30500000002</v>
      </c>
      <c r="CM26" s="153">
        <f t="shared" si="7"/>
        <v>368506.05750000005</v>
      </c>
      <c r="CN26" s="153">
        <f t="shared" si="7"/>
        <v>291531.2</v>
      </c>
      <c r="CO26" s="153">
        <f t="shared" si="7"/>
        <v>212448.90999999997</v>
      </c>
      <c r="CP26" s="153">
        <f t="shared" si="7"/>
        <v>292193.59999999998</v>
      </c>
      <c r="CQ26" s="153">
        <f t="shared" si="7"/>
        <v>412428.72000000003</v>
      </c>
      <c r="CR26" s="153">
        <f t="shared" si="16"/>
        <v>1947032.5675000001</v>
      </c>
      <c r="CT26" s="403">
        <v>261.89999999999998</v>
      </c>
      <c r="CU26" s="276">
        <f>Dem!B67+(DD26/4)</f>
        <v>18.824999999999999</v>
      </c>
      <c r="CV26" s="276">
        <f>Dem!B107+(DD26/4)</f>
        <v>20.725000000000001</v>
      </c>
      <c r="CW26" s="276">
        <f>Dem!B147+(DD26/4)</f>
        <v>19.925000000000001</v>
      </c>
      <c r="CX26" s="276">
        <f>Dem!B187+(DD26/4)</f>
        <v>20.025000000000002</v>
      </c>
      <c r="CY26" s="276">
        <f>Dem!B267</f>
        <v>10.3</v>
      </c>
      <c r="CZ26" s="276">
        <f>Dem!B307</f>
        <v>5.3</v>
      </c>
      <c r="DA26" s="276">
        <f>Dem!B347</f>
        <v>4.3</v>
      </c>
      <c r="DB26" s="276">
        <f>Dem!B387</f>
        <v>1.1000000000000001</v>
      </c>
      <c r="DC26" s="275">
        <v>101.1</v>
      </c>
      <c r="DD26" s="46">
        <v>-0.29999999999999716</v>
      </c>
      <c r="DE26" s="275"/>
      <c r="DF26" s="276">
        <f>Dem!$D67+(DO26/4)</f>
        <v>51.300000000000011</v>
      </c>
      <c r="DG26" s="276">
        <f>Dem!$D107+(DO26/4)</f>
        <v>52.20000000000001</v>
      </c>
      <c r="DH26" s="276">
        <f>Dem!$D147+(DO26/4)</f>
        <v>52.20000000000001</v>
      </c>
      <c r="DI26" s="276">
        <f>Dem!$D187+(DO26/4)</f>
        <v>52.20000000000001</v>
      </c>
      <c r="DJ26" s="275">
        <f>Dem!$D267</f>
        <v>26.2</v>
      </c>
      <c r="DK26" s="275">
        <f>Dem!$D307</f>
        <v>13.1</v>
      </c>
      <c r="DL26" s="275">
        <f>Dem!$D347</f>
        <v>10.5</v>
      </c>
      <c r="DM26" s="275">
        <f>Dem!$D387</f>
        <v>2.6</v>
      </c>
      <c r="DN26" s="276">
        <f t="shared" si="17"/>
        <v>261.89999999999998</v>
      </c>
      <c r="DO26" s="44">
        <v>-0.79999999999995453</v>
      </c>
    </row>
    <row r="27" spans="1:119">
      <c r="A27" s="46">
        <f t="shared" si="18"/>
        <v>1997</v>
      </c>
      <c r="B27" s="141">
        <f t="shared" si="8"/>
        <v>0.13550171378198239</v>
      </c>
      <c r="C27" s="46"/>
      <c r="D27" s="141">
        <f t="shared" si="9"/>
        <v>0.65365404744633204</v>
      </c>
      <c r="E27" s="141">
        <f t="shared" si="10"/>
        <v>0.51815233366434965</v>
      </c>
      <c r="F27" s="46"/>
      <c r="G27" s="157">
        <f t="shared" si="11"/>
        <v>3.5592727577755771E-2</v>
      </c>
      <c r="H27" s="157">
        <f t="shared" si="11"/>
        <v>6.4365211984112117E-2</v>
      </c>
      <c r="I27" s="157">
        <f t="shared" si="11"/>
        <v>8.1838567639600068E-2</v>
      </c>
      <c r="J27" s="157">
        <f t="shared" si="11"/>
        <v>8.4626044661649191E-2</v>
      </c>
      <c r="K27" s="157">
        <f t="shared" si="11"/>
        <v>3.7061664952914977E-2</v>
      </c>
      <c r="L27" s="157">
        <f t="shared" si="11"/>
        <v>1.5497547691769559E-2</v>
      </c>
      <c r="M27" s="157">
        <f t="shared" si="11"/>
        <v>7.8452592153643117E-3</v>
      </c>
      <c r="N27" s="157">
        <f t="shared" si="11"/>
        <v>0</v>
      </c>
      <c r="O27" s="46"/>
      <c r="P27" s="154">
        <f t="shared" si="19"/>
        <v>2.2036362111221168E-2</v>
      </c>
      <c r="Q27" s="154">
        <f t="shared" si="20"/>
        <v>7.817394007943948E-2</v>
      </c>
      <c r="R27" s="154">
        <f t="shared" si="20"/>
        <v>0.1908071618019998</v>
      </c>
      <c r="S27" s="154">
        <f t="shared" si="20"/>
        <v>0.37686977669175414</v>
      </c>
      <c r="T27" s="154">
        <f t="shared" si="20"/>
        <v>0.52938335047085028</v>
      </c>
      <c r="U27" s="154">
        <f t="shared" si="20"/>
        <v>0.64004904616460889</v>
      </c>
      <c r="V27" s="154">
        <f t="shared" si="20"/>
        <v>0.79386851961589233</v>
      </c>
      <c r="W27" s="162">
        <f t="shared" si="21"/>
        <v>1</v>
      </c>
      <c r="X27" s="154"/>
      <c r="Y27" s="142">
        <f t="shared" si="22"/>
        <v>3.2254220456802388E-2</v>
      </c>
      <c r="Z27" s="142">
        <f t="shared" si="22"/>
        <v>5.3783515392254233E-2</v>
      </c>
      <c r="AA27" s="142">
        <f t="shared" si="22"/>
        <v>6.5183714001986123E-2</v>
      </c>
      <c r="AB27" s="142">
        <f t="shared" si="22"/>
        <v>6.4071499503475696E-2</v>
      </c>
      <c r="AC27" s="142">
        <f t="shared" si="22"/>
        <v>2.723932472691163E-2</v>
      </c>
      <c r="AD27" s="142">
        <f t="shared" si="22"/>
        <v>1.110476663356505E-2</v>
      </c>
      <c r="AE27" s="142">
        <f t="shared" si="22"/>
        <v>5.4391261171797467E-3</v>
      </c>
      <c r="AF27" s="142">
        <f t="shared" si="22"/>
        <v>0</v>
      </c>
      <c r="AH27" s="158">
        <f t="shared" si="13"/>
        <v>3.872889771598808E-2</v>
      </c>
      <c r="AI27" s="158">
        <f t="shared" si="14"/>
        <v>0.13108242303872888</v>
      </c>
      <c r="AJ27" s="158">
        <f t="shared" si="14"/>
        <v>0.27408142999006946</v>
      </c>
      <c r="AK27" s="158">
        <f t="shared" si="14"/>
        <v>0.47964250248262158</v>
      </c>
      <c r="AL27" s="158">
        <f t="shared" si="14"/>
        <v>0.62760675273088373</v>
      </c>
      <c r="AM27" s="158">
        <f t="shared" si="14"/>
        <v>0.72790466732869907</v>
      </c>
      <c r="AN27" s="158">
        <f t="shared" si="14"/>
        <v>0.85402184707050643</v>
      </c>
      <c r="AO27" s="158">
        <v>1</v>
      </c>
      <c r="AP27" s="143"/>
      <c r="AQ27" s="143">
        <f t="shared" si="5"/>
        <v>2.2036362111221168E-2</v>
      </c>
      <c r="AR27" s="143">
        <f t="shared" si="5"/>
        <v>5.6137577968218312E-2</v>
      </c>
      <c r="AS27" s="143">
        <f t="shared" si="5"/>
        <v>0.11263322172256031</v>
      </c>
      <c r="AT27" s="143">
        <f t="shared" si="5"/>
        <v>0.18606261488975434</v>
      </c>
      <c r="AU27" s="143">
        <f t="shared" si="5"/>
        <v>0.15251357377909613</v>
      </c>
      <c r="AV27" s="143">
        <f t="shared" si="5"/>
        <v>0.11066569569375856</v>
      </c>
      <c r="AW27" s="143">
        <f t="shared" si="5"/>
        <v>0.15381947345128347</v>
      </c>
      <c r="AX27" s="143">
        <f t="shared" si="5"/>
        <v>0.2061314803841077</v>
      </c>
      <c r="AY27" s="46"/>
      <c r="AZ27" s="152">
        <f>Shares!D68</f>
        <v>3.9</v>
      </c>
      <c r="BA27" s="152">
        <f>Shares!E68</f>
        <v>9.3000000000000007</v>
      </c>
      <c r="BB27" s="152">
        <f>Shares!F68</f>
        <v>14.4</v>
      </c>
      <c r="BC27" s="152">
        <f>Shares!G68</f>
        <v>20.7</v>
      </c>
      <c r="BD27" s="152">
        <f>Shares!J68</f>
        <v>14.9</v>
      </c>
      <c r="BE27" s="152">
        <f>Shares!K68</f>
        <v>10.1</v>
      </c>
      <c r="BF27" s="152">
        <f>Shares!L68</f>
        <v>12.7</v>
      </c>
      <c r="BG27" s="152">
        <f>Shares!M68</f>
        <v>14.7</v>
      </c>
      <c r="BI27" s="573">
        <f>TxRt!$B71-TxRt!C71+MAX(0,TxRt!$C71)</f>
        <v>13.2</v>
      </c>
      <c r="BJ27" s="573">
        <f>TxRt!B114-TxRt!C114+MAX(0,TxRt!$C114)</f>
        <v>14</v>
      </c>
      <c r="BK27" s="573">
        <f>TxRt!B154-TxRt!C154+MAX(0,TxRt!$C154)</f>
        <v>18.100000000000001</v>
      </c>
      <c r="BL27" s="573">
        <f>TxRt!B194-TxRt!C194+MAX(0,TxRt!$C194)</f>
        <v>20.7</v>
      </c>
      <c r="BM27" s="573">
        <f>TxRt!B274-TxRt!C274+MAX(0,TxRt!$C274)</f>
        <v>23.5</v>
      </c>
      <c r="BN27" s="573">
        <f>TxRt!B314-TxRt!C314+MAX(0,TxRt!$C314)</f>
        <v>25.2</v>
      </c>
      <c r="BO27" s="573">
        <f>TxRt!B354-TxRt!C354+MAX(0,TxRt!$C354)</f>
        <v>27.6</v>
      </c>
      <c r="BP27" s="573">
        <f>TxRt!B394-TxRt!C394+MAX(0,TxRt!$C394)</f>
        <v>33.799999999999997</v>
      </c>
      <c r="BQ27" s="46"/>
      <c r="BR27" s="60">
        <f>Inc!B68</f>
        <v>17600</v>
      </c>
      <c r="BS27" s="60">
        <f>Inc!B108</f>
        <v>40000</v>
      </c>
      <c r="BT27" s="60">
        <f>Inc!B148</f>
        <v>63000</v>
      </c>
      <c r="BU27" s="60">
        <f>Inc!B188</f>
        <v>91000</v>
      </c>
      <c r="BV27" s="60">
        <f>Inc!B268</f>
        <v>124900</v>
      </c>
      <c r="BW27" s="60">
        <f>Inc!B308</f>
        <v>165900</v>
      </c>
      <c r="BX27" s="60">
        <f>Inc!B348</f>
        <v>264400</v>
      </c>
      <c r="BY27" s="60">
        <f>Inc!B388</f>
        <v>1244100</v>
      </c>
      <c r="CA27" s="60">
        <f t="shared" si="23"/>
        <v>2323.1999999999998</v>
      </c>
      <c r="CB27" s="60">
        <f t="shared" si="23"/>
        <v>5600</v>
      </c>
      <c r="CC27" s="60">
        <f t="shared" si="23"/>
        <v>11403</v>
      </c>
      <c r="CD27" s="60">
        <f t="shared" si="23"/>
        <v>18837</v>
      </c>
      <c r="CE27" s="60">
        <f t="shared" si="23"/>
        <v>29351.5</v>
      </c>
      <c r="CF27" s="60">
        <f t="shared" si="23"/>
        <v>41806.800000000003</v>
      </c>
      <c r="CG27" s="60">
        <f t="shared" si="23"/>
        <v>72974.399999999994</v>
      </c>
      <c r="CH27" s="60">
        <f t="shared" si="23"/>
        <v>420505.8</v>
      </c>
      <c r="CJ27" s="153">
        <f t="shared" si="15"/>
        <v>44953.919999999998</v>
      </c>
      <c r="CK27" s="153">
        <f t="shared" si="7"/>
        <v>114520.00000000001</v>
      </c>
      <c r="CL27" s="153">
        <f t="shared" si="7"/>
        <v>229770.45</v>
      </c>
      <c r="CM27" s="153">
        <f t="shared" si="7"/>
        <v>379565.55000000005</v>
      </c>
      <c r="CN27" s="153">
        <f t="shared" si="7"/>
        <v>311125.89999999997</v>
      </c>
      <c r="CO27" s="153">
        <f t="shared" si="7"/>
        <v>225756.72000000003</v>
      </c>
      <c r="CP27" s="153">
        <f t="shared" si="7"/>
        <v>313789.92</v>
      </c>
      <c r="CQ27" s="153">
        <f t="shared" si="7"/>
        <v>420505.8</v>
      </c>
      <c r="CR27" s="153">
        <f t="shared" si="16"/>
        <v>2039988.26</v>
      </c>
      <c r="CT27" s="403">
        <v>264.2</v>
      </c>
      <c r="CU27" s="276">
        <f>Dem!B68+(DD27/4)</f>
        <v>19.350000000000001</v>
      </c>
      <c r="CV27" s="276">
        <f>Dem!B108+(DD27/4)</f>
        <v>20.450000000000003</v>
      </c>
      <c r="CW27" s="276">
        <f>Dem!B148+(DD27/4)</f>
        <v>20.150000000000002</v>
      </c>
      <c r="CX27" s="276">
        <f>Dem!B188+(DD27/4)</f>
        <v>20.150000000000002</v>
      </c>
      <c r="CY27" s="276">
        <f>Dem!B268</f>
        <v>10.6</v>
      </c>
      <c r="CZ27" s="276">
        <f>Dem!B308</f>
        <v>5.4</v>
      </c>
      <c r="DA27" s="276">
        <f>Dem!B348</f>
        <v>4.3</v>
      </c>
      <c r="DB27" s="276">
        <f>Dem!B388</f>
        <v>1</v>
      </c>
      <c r="DC27" s="275">
        <v>102.6</v>
      </c>
      <c r="DD27" s="46">
        <v>-0.59999999999999432</v>
      </c>
      <c r="DE27" s="275"/>
      <c r="DF27" s="276">
        <f>Dem!$D68+(DO27/4)</f>
        <v>51.375000000000014</v>
      </c>
      <c r="DG27" s="276">
        <f>Dem!$D108+(DO27/4)</f>
        <v>52.475000000000009</v>
      </c>
      <c r="DH27" s="276">
        <f>Dem!$D148+(DO27/4)</f>
        <v>52.475000000000009</v>
      </c>
      <c r="DI27" s="276">
        <f>Dem!$D188+(DO27/4)</f>
        <v>52.475000000000009</v>
      </c>
      <c r="DJ27" s="275">
        <f>Dem!$D268</f>
        <v>26.4</v>
      </c>
      <c r="DK27" s="275">
        <f>Dem!$D308</f>
        <v>13.2</v>
      </c>
      <c r="DL27" s="275">
        <f>Dem!$D348</f>
        <v>10.6</v>
      </c>
      <c r="DM27" s="275">
        <f>Dem!$D388</f>
        <v>2.6</v>
      </c>
      <c r="DN27" s="276">
        <f t="shared" si="17"/>
        <v>264.2</v>
      </c>
      <c r="DO27" s="44">
        <v>-1.2999999999999545</v>
      </c>
    </row>
    <row r="28" spans="1:119">
      <c r="A28" s="46">
        <f t="shared" si="18"/>
        <v>1998</v>
      </c>
      <c r="B28" s="141">
        <f t="shared" si="8"/>
        <v>0.13740457918178817</v>
      </c>
      <c r="C28" s="46"/>
      <c r="D28" s="141">
        <f t="shared" si="9"/>
        <v>0.66155492674881899</v>
      </c>
      <c r="E28" s="141">
        <f t="shared" si="10"/>
        <v>0.52415034756703083</v>
      </c>
      <c r="F28" s="46"/>
      <c r="G28" s="157">
        <f t="shared" si="11"/>
        <v>3.5477704930294542E-2</v>
      </c>
      <c r="H28" s="157">
        <f t="shared" si="11"/>
        <v>6.4722734467213563E-2</v>
      </c>
      <c r="I28" s="157">
        <f t="shared" si="11"/>
        <v>8.2991357537501545E-2</v>
      </c>
      <c r="J28" s="157">
        <f t="shared" si="11"/>
        <v>8.5882849296612718E-2</v>
      </c>
      <c r="K28" s="157">
        <f t="shared" si="11"/>
        <v>3.7766337968074819E-2</v>
      </c>
      <c r="L28" s="157">
        <f t="shared" si="11"/>
        <v>1.5812002544167453E-2</v>
      </c>
      <c r="M28" s="157">
        <f t="shared" si="11"/>
        <v>8.1244766305448215E-3</v>
      </c>
      <c r="N28" s="157">
        <f t="shared" si="11"/>
        <v>0</v>
      </c>
      <c r="O28" s="46"/>
      <c r="P28" s="154">
        <f t="shared" si="19"/>
        <v>2.2611475348527303E-2</v>
      </c>
      <c r="Q28" s="154">
        <f t="shared" si="20"/>
        <v>7.6386327663932233E-2</v>
      </c>
      <c r="R28" s="154">
        <f t="shared" si="20"/>
        <v>0.18504321231249238</v>
      </c>
      <c r="S28" s="154">
        <f t="shared" si="20"/>
        <v>0.37058575351693646</v>
      </c>
      <c r="T28" s="154">
        <f t="shared" si="20"/>
        <v>0.52233662031925188</v>
      </c>
      <c r="U28" s="154">
        <f t="shared" si="20"/>
        <v>0.63375994911665101</v>
      </c>
      <c r="V28" s="154">
        <f t="shared" si="20"/>
        <v>0.78688808423637957</v>
      </c>
      <c r="W28" s="162">
        <f t="shared" si="21"/>
        <v>1</v>
      </c>
      <c r="X28" s="154"/>
      <c r="Y28" s="142">
        <f t="shared" si="22"/>
        <v>3.2055610724925521E-2</v>
      </c>
      <c r="Z28" s="142">
        <f t="shared" si="22"/>
        <v>5.3982125124131086E-2</v>
      </c>
      <c r="AA28" s="142">
        <f t="shared" si="22"/>
        <v>6.5779543197616697E-2</v>
      </c>
      <c r="AB28" s="142">
        <f t="shared" si="22"/>
        <v>6.5064548162859989E-2</v>
      </c>
      <c r="AC28" s="142">
        <f t="shared" si="22"/>
        <v>2.7934458788480634E-2</v>
      </c>
      <c r="AD28" s="142">
        <f t="shared" si="22"/>
        <v>1.1501986097318768E-2</v>
      </c>
      <c r="AE28" s="142">
        <f t="shared" si="22"/>
        <v>5.7569016881827209E-3</v>
      </c>
      <c r="AF28" s="142">
        <f t="shared" si="22"/>
        <v>0</v>
      </c>
      <c r="AH28" s="158">
        <f t="shared" si="13"/>
        <v>3.9721946375372394E-2</v>
      </c>
      <c r="AI28" s="158">
        <f t="shared" si="14"/>
        <v>0.13008937437934459</v>
      </c>
      <c r="AJ28" s="158">
        <f t="shared" si="14"/>
        <v>0.27110228401191661</v>
      </c>
      <c r="AK28" s="158">
        <f t="shared" si="14"/>
        <v>0.47467725918570014</v>
      </c>
      <c r="AL28" s="158">
        <f t="shared" si="14"/>
        <v>0.62065541211519371</v>
      </c>
      <c r="AM28" s="158">
        <f t="shared" si="14"/>
        <v>0.71996027805362472</v>
      </c>
      <c r="AN28" s="158">
        <f t="shared" si="14"/>
        <v>0.84607745779543209</v>
      </c>
      <c r="AO28" s="158">
        <v>1</v>
      </c>
      <c r="AP28" s="143"/>
      <c r="AQ28" s="143">
        <f t="shared" si="5"/>
        <v>2.2611475348527303E-2</v>
      </c>
      <c r="AR28" s="143">
        <f t="shared" si="5"/>
        <v>5.3774852315404929E-2</v>
      </c>
      <c r="AS28" s="143">
        <f t="shared" si="5"/>
        <v>0.10865688464856015</v>
      </c>
      <c r="AT28" s="143">
        <f t="shared" si="5"/>
        <v>0.18554254120444408</v>
      </c>
      <c r="AU28" s="143">
        <f t="shared" si="5"/>
        <v>0.15175086680231548</v>
      </c>
      <c r="AV28" s="143">
        <f t="shared" si="5"/>
        <v>0.11142332879739909</v>
      </c>
      <c r="AW28" s="143">
        <f t="shared" si="5"/>
        <v>0.15312813511972859</v>
      </c>
      <c r="AX28" s="143">
        <f t="shared" si="5"/>
        <v>0.21311191576362046</v>
      </c>
      <c r="AY28" s="46"/>
      <c r="AZ28" s="152">
        <f>Shares!D69</f>
        <v>4</v>
      </c>
      <c r="BA28" s="152">
        <f>Shares!E69</f>
        <v>9.1</v>
      </c>
      <c r="BB28" s="152">
        <f>Shares!F69</f>
        <v>14.2</v>
      </c>
      <c r="BC28" s="152">
        <f>Shares!G69</f>
        <v>20.5</v>
      </c>
      <c r="BD28" s="152">
        <f>Shares!J69</f>
        <v>14.7</v>
      </c>
      <c r="BE28" s="152">
        <f>Shares!K69</f>
        <v>10</v>
      </c>
      <c r="BF28" s="152">
        <f>Shares!L69</f>
        <v>12.7</v>
      </c>
      <c r="BG28" s="152">
        <f>Shares!M69</f>
        <v>15.5</v>
      </c>
      <c r="BI28" s="573">
        <f>TxRt!$B72-TxRt!C72+MAX(0,TxRt!$C72)</f>
        <v>13</v>
      </c>
      <c r="BJ28" s="573">
        <f>TxRt!B115-TxRt!C115+MAX(0,TxRt!$C115)</f>
        <v>13.4</v>
      </c>
      <c r="BK28" s="573">
        <f>TxRt!B155-TxRt!C155+MAX(0,TxRt!$C155)</f>
        <v>17.399999999999999</v>
      </c>
      <c r="BL28" s="573">
        <f>TxRt!B195-TxRt!C195+MAX(0,TxRt!$C195)</f>
        <v>20.6</v>
      </c>
      <c r="BM28" s="573">
        <f>TxRt!B275-TxRt!C275+MAX(0,TxRt!$C275)</f>
        <v>23.4</v>
      </c>
      <c r="BN28" s="573">
        <f>TxRt!B315-TxRt!C315+MAX(0,TxRt!$C315)</f>
        <v>25.2</v>
      </c>
      <c r="BO28" s="573">
        <f>TxRt!B355-TxRt!C355+MAX(0,TxRt!$C355)</f>
        <v>27.4</v>
      </c>
      <c r="BP28" s="573">
        <f>TxRt!B395-TxRt!C395+MAX(0,TxRt!$C395)</f>
        <v>32.4</v>
      </c>
      <c r="BQ28" s="46"/>
      <c r="BR28" s="60">
        <f>Inc!B69</f>
        <v>18800</v>
      </c>
      <c r="BS28" s="60">
        <f>Inc!B109</f>
        <v>41900</v>
      </c>
      <c r="BT28" s="60">
        <f>Inc!B149</f>
        <v>65200</v>
      </c>
      <c r="BU28" s="60">
        <f>Inc!B189</f>
        <v>94500</v>
      </c>
      <c r="BV28" s="60">
        <f>Inc!B269</f>
        <v>130200</v>
      </c>
      <c r="BW28" s="60">
        <f>Inc!B309</f>
        <v>172700</v>
      </c>
      <c r="BX28" s="60">
        <f>Inc!B349</f>
        <v>279200</v>
      </c>
      <c r="BY28" s="60">
        <f>Inc!B389</f>
        <v>1413000</v>
      </c>
      <c r="CA28" s="60">
        <f t="shared" si="23"/>
        <v>2444</v>
      </c>
      <c r="CB28" s="60">
        <f t="shared" si="23"/>
        <v>5614.6</v>
      </c>
      <c r="CC28" s="60">
        <f t="shared" si="23"/>
        <v>11344.8</v>
      </c>
      <c r="CD28" s="60">
        <f t="shared" si="23"/>
        <v>19467.000000000004</v>
      </c>
      <c r="CE28" s="60">
        <f t="shared" si="23"/>
        <v>30466.799999999999</v>
      </c>
      <c r="CF28" s="60">
        <f t="shared" si="23"/>
        <v>43520.4</v>
      </c>
      <c r="CG28" s="60">
        <f t="shared" si="23"/>
        <v>76500.800000000003</v>
      </c>
      <c r="CH28" s="60">
        <f t="shared" si="23"/>
        <v>457812</v>
      </c>
      <c r="CJ28" s="153">
        <f t="shared" si="15"/>
        <v>48574.5</v>
      </c>
      <c r="CK28" s="153">
        <f t="shared" si="7"/>
        <v>115520.395</v>
      </c>
      <c r="CL28" s="153">
        <f t="shared" si="7"/>
        <v>233419.25999999998</v>
      </c>
      <c r="CM28" s="153">
        <f t="shared" si="7"/>
        <v>398586.82500000013</v>
      </c>
      <c r="CN28" s="153">
        <f t="shared" si="7"/>
        <v>325994.75999999995</v>
      </c>
      <c r="CO28" s="153">
        <f t="shared" si="7"/>
        <v>239362.2</v>
      </c>
      <c r="CP28" s="153">
        <f t="shared" si="7"/>
        <v>328953.44</v>
      </c>
      <c r="CQ28" s="153">
        <f t="shared" si="7"/>
        <v>457812</v>
      </c>
      <c r="CR28" s="153">
        <f t="shared" si="16"/>
        <v>2148223.38</v>
      </c>
      <c r="CT28" s="403">
        <v>266.3</v>
      </c>
      <c r="CU28" s="276">
        <f>Dem!B69+(DD28/4)</f>
        <v>19.875</v>
      </c>
      <c r="CV28" s="276">
        <f>Dem!B109+(DD28/4)</f>
        <v>20.574999999999999</v>
      </c>
      <c r="CW28" s="276">
        <f>Dem!B149+(DD28/4)</f>
        <v>20.574999999999999</v>
      </c>
      <c r="CX28" s="276">
        <f>Dem!B189+(DD28/4)</f>
        <v>20.475000000000001</v>
      </c>
      <c r="CY28" s="276">
        <f>Dem!B269</f>
        <v>10.7</v>
      </c>
      <c r="CZ28" s="276">
        <f>Dem!B309</f>
        <v>5.5</v>
      </c>
      <c r="DA28" s="276">
        <f>Dem!B349</f>
        <v>4.3</v>
      </c>
      <c r="DB28" s="276">
        <f>Dem!B389</f>
        <v>1</v>
      </c>
      <c r="DC28" s="275">
        <v>104</v>
      </c>
      <c r="DD28" s="46">
        <v>-0.5</v>
      </c>
      <c r="DE28" s="275"/>
      <c r="DF28" s="276">
        <f>Dem!$D69+(DO28/4)</f>
        <v>51.975000000000009</v>
      </c>
      <c r="DG28" s="276">
        <f>Dem!$D109+(DO28/4)</f>
        <v>53.075000000000003</v>
      </c>
      <c r="DH28" s="276">
        <f>Dem!$D149+(DO28/4)</f>
        <v>53.075000000000003</v>
      </c>
      <c r="DI28" s="276">
        <f>Dem!$D189+(DO28/4)</f>
        <v>53.075000000000003</v>
      </c>
      <c r="DJ28" s="275">
        <f>Dem!$D269</f>
        <v>26.6</v>
      </c>
      <c r="DK28" s="275">
        <f>Dem!$D309</f>
        <v>13.3</v>
      </c>
      <c r="DL28" s="275">
        <f>Dem!$D349</f>
        <v>10.7</v>
      </c>
      <c r="DM28" s="275">
        <f>Dem!$D389</f>
        <v>2.7</v>
      </c>
      <c r="DN28" s="276">
        <f t="shared" si="17"/>
        <v>266.3</v>
      </c>
      <c r="DO28" s="44">
        <v>-0.89999999999997726</v>
      </c>
    </row>
    <row r="29" spans="1:119">
      <c r="A29" s="46">
        <f t="shared" si="18"/>
        <v>1999</v>
      </c>
      <c r="B29" s="141">
        <f t="shared" si="8"/>
        <v>0.14520780750631335</v>
      </c>
      <c r="C29" s="46"/>
      <c r="D29" s="141">
        <f t="shared" si="9"/>
        <v>0.68004399040889796</v>
      </c>
      <c r="E29" s="141">
        <f t="shared" si="10"/>
        <v>0.53483618290258461</v>
      </c>
      <c r="F29" s="46"/>
      <c r="G29" s="157">
        <f t="shared" si="11"/>
        <v>3.5639475363594915E-2</v>
      </c>
      <c r="H29" s="157">
        <f t="shared" si="11"/>
        <v>6.5180337151688444E-2</v>
      </c>
      <c r="I29" s="157">
        <f t="shared" si="11"/>
        <v>8.4524339564599787E-2</v>
      </c>
      <c r="J29" s="157">
        <f t="shared" si="11"/>
        <v>8.8860852928990638E-2</v>
      </c>
      <c r="K29" s="157">
        <f t="shared" si="11"/>
        <v>3.9770250695081055E-2</v>
      </c>
      <c r="L29" s="157">
        <f t="shared" si="11"/>
        <v>1.7001795992987269E-2</v>
      </c>
      <c r="M29" s="157">
        <f t="shared" si="11"/>
        <v>9.0449435075068384E-3</v>
      </c>
      <c r="N29" s="157">
        <f t="shared" si="11"/>
        <v>0</v>
      </c>
      <c r="O29" s="46"/>
      <c r="P29" s="154">
        <f t="shared" si="19"/>
        <v>2.180262318202545E-2</v>
      </c>
      <c r="Q29" s="154">
        <f t="shared" si="20"/>
        <v>7.4098314241557842E-2</v>
      </c>
      <c r="R29" s="154">
        <f t="shared" si="20"/>
        <v>0.17737830217700118</v>
      </c>
      <c r="S29" s="154">
        <f t="shared" si="20"/>
        <v>0.35569573535504689</v>
      </c>
      <c r="T29" s="154">
        <f t="shared" si="20"/>
        <v>0.50229749304918947</v>
      </c>
      <c r="U29" s="154">
        <f t="shared" si="20"/>
        <v>0.60996408014025472</v>
      </c>
      <c r="V29" s="154">
        <f t="shared" si="20"/>
        <v>0.76387641231232917</v>
      </c>
      <c r="W29" s="162">
        <f t="shared" si="21"/>
        <v>1</v>
      </c>
      <c r="X29" s="154"/>
      <c r="Y29" s="142">
        <f t="shared" si="22"/>
        <v>3.204771371769384E-2</v>
      </c>
      <c r="Z29" s="142">
        <f t="shared" si="22"/>
        <v>5.4353876739562636E-2</v>
      </c>
      <c r="AA29" s="142">
        <f t="shared" si="22"/>
        <v>6.6918489065606379E-2</v>
      </c>
      <c r="AB29" s="142">
        <f t="shared" si="22"/>
        <v>6.6759443339960242E-2</v>
      </c>
      <c r="AC29" s="142">
        <f t="shared" si="22"/>
        <v>2.9065606361829033E-2</v>
      </c>
      <c r="AD29" s="142">
        <f t="shared" si="22"/>
        <v>1.2112326043737583E-2</v>
      </c>
      <c r="AE29" s="142">
        <f t="shared" si="22"/>
        <v>6.1606361829025904E-3</v>
      </c>
      <c r="AF29" s="142">
        <f t="shared" si="22"/>
        <v>0</v>
      </c>
      <c r="AH29" s="158">
        <f t="shared" si="13"/>
        <v>3.9761431411530809E-2</v>
      </c>
      <c r="AI29" s="158">
        <f t="shared" si="14"/>
        <v>0.12823061630218685</v>
      </c>
      <c r="AJ29" s="158">
        <f t="shared" si="14"/>
        <v>0.26540755467196819</v>
      </c>
      <c r="AK29" s="158">
        <f t="shared" si="14"/>
        <v>0.46620278330019882</v>
      </c>
      <c r="AL29" s="158">
        <f t="shared" si="14"/>
        <v>0.60934393638170969</v>
      </c>
      <c r="AM29" s="158">
        <f t="shared" si="14"/>
        <v>0.70775347912524844</v>
      </c>
      <c r="AN29" s="158">
        <f t="shared" si="14"/>
        <v>0.83598409542743535</v>
      </c>
      <c r="AO29" s="158">
        <v>1</v>
      </c>
      <c r="AP29" s="143"/>
      <c r="AQ29" s="143">
        <f t="shared" si="5"/>
        <v>2.1802623182025447E-2</v>
      </c>
      <c r="AR29" s="143">
        <f>CK29/$CR29</f>
        <v>5.2295691059532384E-2</v>
      </c>
      <c r="AS29" s="143">
        <f t="shared" si="5"/>
        <v>0.10327998793544334</v>
      </c>
      <c r="AT29" s="143">
        <f t="shared" si="5"/>
        <v>0.17831743317804569</v>
      </c>
      <c r="AU29" s="143">
        <f t="shared" si="5"/>
        <v>0.14660175769414252</v>
      </c>
      <c r="AV29" s="143">
        <f t="shared" si="5"/>
        <v>0.10766658709106527</v>
      </c>
      <c r="AW29" s="143">
        <f t="shared" si="5"/>
        <v>0.15391233217207437</v>
      </c>
      <c r="AX29" s="143">
        <f t="shared" si="5"/>
        <v>0.23612358768767097</v>
      </c>
      <c r="AY29" s="46"/>
      <c r="AZ29" s="152">
        <f>Shares!D70</f>
        <v>4</v>
      </c>
      <c r="BA29" s="152">
        <f>Shares!E70</f>
        <v>8.9</v>
      </c>
      <c r="BB29" s="152">
        <f>Shares!F70</f>
        <v>13.8</v>
      </c>
      <c r="BC29" s="152">
        <f>Shares!G70</f>
        <v>20.2</v>
      </c>
      <c r="BD29" s="152">
        <f>Shares!J70</f>
        <v>14.4</v>
      </c>
      <c r="BE29" s="152">
        <f>Shares!K70</f>
        <v>9.9</v>
      </c>
      <c r="BF29" s="152">
        <f>Shares!L70</f>
        <v>12.9</v>
      </c>
      <c r="BG29" s="152">
        <f>Shares!M70</f>
        <v>16.5</v>
      </c>
      <c r="BI29" s="573">
        <f>TxRt!$B73-TxRt!C73+MAX(0,TxRt!$C73)</f>
        <v>12.9</v>
      </c>
      <c r="BJ29" s="573">
        <f>TxRt!B116-TxRt!C116+MAX(0,TxRt!$C116)</f>
        <v>13.7</v>
      </c>
      <c r="BK29" s="573">
        <f>TxRt!B156-TxRt!C156+MAX(0,TxRt!$C156)</f>
        <v>17.5</v>
      </c>
      <c r="BL29" s="573">
        <f>TxRt!B196-TxRt!C196+MAX(0,TxRt!$C196)</f>
        <v>20.7</v>
      </c>
      <c r="BM29" s="573">
        <f>TxRt!B276-TxRt!C276+MAX(0,TxRt!$C276)</f>
        <v>23.7</v>
      </c>
      <c r="BN29" s="573">
        <f>TxRt!B316-TxRt!C316+MAX(0,TxRt!$C316)</f>
        <v>25.5</v>
      </c>
      <c r="BO29" s="573">
        <f>TxRt!B356-TxRt!C356+MAX(0,TxRt!$C356)</f>
        <v>28</v>
      </c>
      <c r="BP29" s="573">
        <f>TxRt!B396-TxRt!C396+MAX(0,TxRt!$C396)</f>
        <v>32.6</v>
      </c>
      <c r="BQ29" s="46"/>
      <c r="BR29" s="60">
        <f>Inc!B70</f>
        <v>19500</v>
      </c>
      <c r="BS29" s="60">
        <f>Inc!B110</f>
        <v>43400</v>
      </c>
      <c r="BT29" s="60">
        <f>Inc!B150</f>
        <v>67100</v>
      </c>
      <c r="BU29" s="60">
        <f>Inc!B190</f>
        <v>97000</v>
      </c>
      <c r="BV29" s="60">
        <f>Inc!B270</f>
        <v>135400</v>
      </c>
      <c r="BW29" s="60">
        <f>Inc!B310</f>
        <v>179800</v>
      </c>
      <c r="BX29" s="60">
        <f>Inc!B350</f>
        <v>292600</v>
      </c>
      <c r="BY29" s="60">
        <f>Inc!B390</f>
        <v>1542200</v>
      </c>
      <c r="CA29" s="60">
        <f t="shared" si="23"/>
        <v>2515.5</v>
      </c>
      <c r="CB29" s="60">
        <f t="shared" si="23"/>
        <v>5945.8</v>
      </c>
      <c r="CC29" s="60">
        <f t="shared" si="23"/>
        <v>11742.5</v>
      </c>
      <c r="CD29" s="60">
        <f t="shared" si="23"/>
        <v>20079</v>
      </c>
      <c r="CE29" s="60">
        <f t="shared" si="23"/>
        <v>32089.8</v>
      </c>
      <c r="CF29" s="60">
        <f t="shared" si="23"/>
        <v>45849</v>
      </c>
      <c r="CG29" s="60">
        <f t="shared" si="23"/>
        <v>81928</v>
      </c>
      <c r="CH29" s="60">
        <f t="shared" si="23"/>
        <v>502757.2</v>
      </c>
      <c r="CJ29" s="153">
        <f t="shared" si="15"/>
        <v>51064.649999999994</v>
      </c>
      <c r="CK29" s="153">
        <f t="shared" si="7"/>
        <v>122483.48</v>
      </c>
      <c r="CL29" s="153">
        <f t="shared" si="7"/>
        <v>241895.49999999997</v>
      </c>
      <c r="CM29" s="153">
        <f t="shared" si="7"/>
        <v>417643.19999999995</v>
      </c>
      <c r="CN29" s="153">
        <f t="shared" si="7"/>
        <v>343360.86</v>
      </c>
      <c r="CO29" s="153">
        <f t="shared" si="7"/>
        <v>252169.5</v>
      </c>
      <c r="CP29" s="153">
        <f t="shared" si="7"/>
        <v>360483.2</v>
      </c>
      <c r="CQ29" s="153">
        <f t="shared" si="7"/>
        <v>553032.92000000004</v>
      </c>
      <c r="CR29" s="153">
        <f t="shared" si="16"/>
        <v>2342133.31</v>
      </c>
      <c r="CT29" s="403">
        <v>269.60000000000002</v>
      </c>
      <c r="CU29" s="276">
        <f>Dem!B70+(DD29/4)</f>
        <v>20.299999999999997</v>
      </c>
      <c r="CV29" s="276">
        <f>Dem!B110+(DD29/4)</f>
        <v>20.599999999999998</v>
      </c>
      <c r="CW29" s="276">
        <f>Dem!B150+(DD29/4)</f>
        <v>20.599999999999998</v>
      </c>
      <c r="CX29" s="276">
        <f>Dem!B190+(DD29/4)</f>
        <v>20.799999999999997</v>
      </c>
      <c r="CY29" s="276">
        <f>Dem!B270</f>
        <v>10.7</v>
      </c>
      <c r="CZ29" s="276">
        <f>Dem!B310</f>
        <v>5.5</v>
      </c>
      <c r="DA29" s="276">
        <f>Dem!B350</f>
        <v>4.4000000000000004</v>
      </c>
      <c r="DB29" s="276">
        <f>Dem!B390</f>
        <v>1.1000000000000001</v>
      </c>
      <c r="DC29" s="275">
        <v>104.8</v>
      </c>
      <c r="DD29" s="46">
        <v>-0.40000000000000568</v>
      </c>
      <c r="DE29" s="275"/>
      <c r="DF29" s="276">
        <f>Dem!$D70+(DO29/4)</f>
        <v>52.649999999999984</v>
      </c>
      <c r="DG29" s="276">
        <f>Dem!$D110+(DO29/4)</f>
        <v>53.649999999999984</v>
      </c>
      <c r="DH29" s="276">
        <f>Dem!$D150+(DO29/4)</f>
        <v>53.649999999999984</v>
      </c>
      <c r="DI29" s="276">
        <f>Dem!$D190+(DO29/4)</f>
        <v>53.649999999999984</v>
      </c>
      <c r="DJ29" s="275">
        <f>Dem!$D270</f>
        <v>27</v>
      </c>
      <c r="DK29" s="275">
        <f>Dem!$D310</f>
        <v>13.5</v>
      </c>
      <c r="DL29" s="275">
        <f>Dem!$D350</f>
        <v>10.8</v>
      </c>
      <c r="DM29" s="275">
        <f>Dem!$D390</f>
        <v>2.7</v>
      </c>
      <c r="DN29" s="276">
        <f t="shared" si="17"/>
        <v>269.60000000000002</v>
      </c>
      <c r="DO29" s="44">
        <v>-1.0000000000000568</v>
      </c>
    </row>
    <row r="30" spans="1:119">
      <c r="A30" s="46">
        <f t="shared" si="18"/>
        <v>2000</v>
      </c>
      <c r="B30" s="141">
        <f t="shared" si="8"/>
        <v>0.1435484076233764</v>
      </c>
      <c r="C30" s="46"/>
      <c r="D30" s="141">
        <f t="shared" si="9"/>
        <v>0.6891201770070744</v>
      </c>
      <c r="E30" s="141">
        <f t="shared" si="10"/>
        <v>0.545571769383698</v>
      </c>
      <c r="F30" s="46"/>
      <c r="G30" s="157">
        <f t="shared" si="11"/>
        <v>3.5870302765239052E-2</v>
      </c>
      <c r="H30" s="157">
        <f t="shared" si="11"/>
        <v>6.561667559622103E-2</v>
      </c>
      <c r="I30" s="157">
        <f t="shared" si="11"/>
        <v>8.5471338166021107E-2</v>
      </c>
      <c r="J30" s="157">
        <f t="shared" si="11"/>
        <v>9.0225148955773007E-2</v>
      </c>
      <c r="K30" s="157">
        <f t="shared" si="11"/>
        <v>4.0600964053291382E-2</v>
      </c>
      <c r="L30" s="157">
        <f t="shared" si="11"/>
        <v>1.7464813486167904E-2</v>
      </c>
      <c r="M30" s="157">
        <f t="shared" si="11"/>
        <v>9.3108454808237037E-3</v>
      </c>
      <c r="N30" s="157">
        <f t="shared" si="11"/>
        <v>0</v>
      </c>
      <c r="O30" s="46"/>
      <c r="P30" s="154">
        <f t="shared" si="19"/>
        <v>2.0648486173804732E-2</v>
      </c>
      <c r="Q30" s="154">
        <f t="shared" si="20"/>
        <v>7.1916622018894871E-2</v>
      </c>
      <c r="R30" s="154">
        <f t="shared" si="20"/>
        <v>0.17264330916989457</v>
      </c>
      <c r="S30" s="154">
        <f t="shared" si="20"/>
        <v>0.34887425522113502</v>
      </c>
      <c r="T30" s="154">
        <f t="shared" si="20"/>
        <v>0.49399035946708625</v>
      </c>
      <c r="U30" s="154">
        <f t="shared" si="20"/>
        <v>0.60070373027664203</v>
      </c>
      <c r="V30" s="154">
        <f t="shared" si="20"/>
        <v>0.7572288629794075</v>
      </c>
      <c r="W30" s="162">
        <f t="shared" si="21"/>
        <v>1</v>
      </c>
      <c r="X30" s="154"/>
      <c r="Y30" s="142">
        <f t="shared" si="22"/>
        <v>3.2445328031809155E-2</v>
      </c>
      <c r="Z30" s="142">
        <f t="shared" si="22"/>
        <v>5.4950298210735597E-2</v>
      </c>
      <c r="AA30" s="142">
        <f t="shared" si="22"/>
        <v>6.7912524850894648E-2</v>
      </c>
      <c r="AB30" s="142">
        <f t="shared" si="22"/>
        <v>6.8349900596421487E-2</v>
      </c>
      <c r="AC30" s="142">
        <f t="shared" si="22"/>
        <v>2.9960238568588482E-2</v>
      </c>
      <c r="AD30" s="142">
        <f t="shared" si="22"/>
        <v>1.2609343936381717E-2</v>
      </c>
      <c r="AE30" s="142">
        <f t="shared" si="22"/>
        <v>6.5582504970178989E-3</v>
      </c>
      <c r="AF30" s="142">
        <f t="shared" si="22"/>
        <v>0</v>
      </c>
      <c r="AH30" s="158">
        <f t="shared" si="13"/>
        <v>3.7773359840954271E-2</v>
      </c>
      <c r="AI30" s="158">
        <f t="shared" si="14"/>
        <v>0.12524850894632206</v>
      </c>
      <c r="AJ30" s="158">
        <f t="shared" si="14"/>
        <v>0.26043737574552683</v>
      </c>
      <c r="AK30" s="158">
        <f t="shared" si="14"/>
        <v>0.45825049701789261</v>
      </c>
      <c r="AL30" s="158">
        <f t="shared" si="14"/>
        <v>0.6003976143141152</v>
      </c>
      <c r="AM30" s="158">
        <f>AL30+BE30/SUM($AZ30:$BG30)</f>
        <v>0.69781312127236572</v>
      </c>
      <c r="AN30" s="158">
        <f t="shared" si="14"/>
        <v>0.82604373757455263</v>
      </c>
      <c r="AO30" s="158">
        <v>1</v>
      </c>
      <c r="AP30" s="143"/>
      <c r="AQ30" s="143">
        <f t="shared" si="5"/>
        <v>2.0648486173804732E-2</v>
      </c>
      <c r="AR30" s="143">
        <f>CK30/$CR30</f>
        <v>5.1268135845090143E-2</v>
      </c>
      <c r="AS30" s="143">
        <f t="shared" si="5"/>
        <v>0.10072668715099971</v>
      </c>
      <c r="AT30" s="143">
        <f t="shared" si="5"/>
        <v>0.17623094605124046</v>
      </c>
      <c r="AU30" s="143">
        <f t="shared" si="5"/>
        <v>0.1451161042459512</v>
      </c>
      <c r="AV30" s="143">
        <f t="shared" si="5"/>
        <v>0.10671337080955573</v>
      </c>
      <c r="AW30" s="143">
        <f t="shared" si="5"/>
        <v>0.15652513270276541</v>
      </c>
      <c r="AX30" s="143">
        <f t="shared" si="5"/>
        <v>0.24277113702059258</v>
      </c>
      <c r="AY30" s="46"/>
      <c r="AZ30" s="152">
        <f>Shares!D71</f>
        <v>3.8</v>
      </c>
      <c r="BA30" s="152">
        <f>Shares!E71</f>
        <v>8.8000000000000007</v>
      </c>
      <c r="BB30" s="152">
        <f>Shares!F71</f>
        <v>13.6</v>
      </c>
      <c r="BC30" s="152">
        <f>Shares!G71</f>
        <v>19.899999999999999</v>
      </c>
      <c r="BD30" s="152">
        <f>Shares!J71</f>
        <v>14.3</v>
      </c>
      <c r="BE30" s="152">
        <f>Shares!K71</f>
        <v>9.8000000000000007</v>
      </c>
      <c r="BF30" s="152">
        <f>Shares!L71</f>
        <v>12.9</v>
      </c>
      <c r="BG30" s="152">
        <f>Shares!M71</f>
        <v>17.5</v>
      </c>
      <c r="BI30" s="573">
        <f>TxRt!$B74-TxRt!C74+MAX(0,TxRt!$C74)</f>
        <v>12.7</v>
      </c>
      <c r="BJ30" s="573">
        <f>TxRt!B117-TxRt!C117+MAX(0,TxRt!$C117)</f>
        <v>13.6</v>
      </c>
      <c r="BK30" s="573">
        <f>TxRt!B157-TxRt!C157+MAX(0,TxRt!$C157)</f>
        <v>17.3</v>
      </c>
      <c r="BL30" s="573">
        <f>TxRt!B197-TxRt!C197+MAX(0,TxRt!$C197)</f>
        <v>20.7</v>
      </c>
      <c r="BM30" s="573">
        <f>TxRt!B277-TxRt!C277+MAX(0,TxRt!$C277)</f>
        <v>23.7</v>
      </c>
      <c r="BN30" s="573">
        <f>TxRt!B317-TxRt!C317+MAX(0,TxRt!$C317)</f>
        <v>25.5</v>
      </c>
      <c r="BO30" s="573">
        <f>TxRt!B357-TxRt!C357+MAX(0,TxRt!$C357)</f>
        <v>28</v>
      </c>
      <c r="BP30" s="573">
        <f>TxRt!B397-TxRt!C397+MAX(0,TxRt!$C397)</f>
        <v>32.299999999999997</v>
      </c>
      <c r="BQ30" s="46"/>
      <c r="BR30" s="60">
        <f>Inc!B71</f>
        <v>19300</v>
      </c>
      <c r="BS30" s="60">
        <f>Inc!B111</f>
        <v>43500</v>
      </c>
      <c r="BT30" s="60">
        <f>Inc!B151</f>
        <v>67500</v>
      </c>
      <c r="BU30" s="60">
        <f>Inc!B191</f>
        <v>98700</v>
      </c>
      <c r="BV30" s="60">
        <f>Inc!B271</f>
        <v>138100</v>
      </c>
      <c r="BW30" s="60">
        <f>Inc!B311</f>
        <v>185400</v>
      </c>
      <c r="BX30" s="60">
        <f>Inc!B351</f>
        <v>301500</v>
      </c>
      <c r="BY30" s="60">
        <f>Inc!B391</f>
        <v>1695200</v>
      </c>
      <c r="CA30" s="60">
        <f t="shared" si="23"/>
        <v>2451.1</v>
      </c>
      <c r="CB30" s="60">
        <f t="shared" si="23"/>
        <v>5916</v>
      </c>
      <c r="CC30" s="60">
        <f t="shared" si="23"/>
        <v>11677.5</v>
      </c>
      <c r="CD30" s="60">
        <f t="shared" si="23"/>
        <v>20430.900000000001</v>
      </c>
      <c r="CE30" s="60">
        <f t="shared" si="23"/>
        <v>32729.7</v>
      </c>
      <c r="CF30" s="60">
        <f t="shared" si="23"/>
        <v>47277</v>
      </c>
      <c r="CG30" s="60">
        <f t="shared" si="23"/>
        <v>84420</v>
      </c>
      <c r="CH30" s="60">
        <f t="shared" si="23"/>
        <v>547549.6</v>
      </c>
      <c r="CJ30" s="153">
        <f t="shared" si="15"/>
        <v>51227.989999999983</v>
      </c>
      <c r="CK30" s="153">
        <f t="shared" si="7"/>
        <v>127193.99999999999</v>
      </c>
      <c r="CL30" s="153">
        <f t="shared" si="7"/>
        <v>249898.49999999994</v>
      </c>
      <c r="CM30" s="153">
        <f t="shared" si="7"/>
        <v>437221.25999999995</v>
      </c>
      <c r="CN30" s="153">
        <f t="shared" si="7"/>
        <v>360026.7</v>
      </c>
      <c r="CO30" s="153">
        <f t="shared" si="7"/>
        <v>264751.2</v>
      </c>
      <c r="CP30" s="153">
        <f t="shared" si="7"/>
        <v>388331.99999999994</v>
      </c>
      <c r="CQ30" s="153">
        <f t="shared" si="7"/>
        <v>602304.56000000006</v>
      </c>
      <c r="CR30" s="153">
        <f t="shared" si="16"/>
        <v>2480956.21</v>
      </c>
      <c r="CT30" s="403">
        <v>276.5</v>
      </c>
      <c r="CU30" s="276">
        <f>Dem!B71+(DD30/4)</f>
        <v>20.899999999999995</v>
      </c>
      <c r="CV30" s="276">
        <f>Dem!B111+(DD30/4)</f>
        <v>21.499999999999996</v>
      </c>
      <c r="CW30" s="276">
        <f>Dem!B151+(DD30/4)</f>
        <v>21.399999999999995</v>
      </c>
      <c r="CX30" s="276">
        <f>Dem!B191+(DD30/4)</f>
        <v>21.399999999999995</v>
      </c>
      <c r="CY30" s="276">
        <f>Dem!B271</f>
        <v>11</v>
      </c>
      <c r="CZ30" s="276">
        <f>Dem!B311</f>
        <v>5.6</v>
      </c>
      <c r="DA30" s="276">
        <f>Dem!B351</f>
        <v>4.5999999999999996</v>
      </c>
      <c r="DB30" s="276">
        <f>Dem!B391</f>
        <v>1.1000000000000001</v>
      </c>
      <c r="DC30" s="275">
        <v>108.3</v>
      </c>
      <c r="DD30" s="46">
        <v>-0.4000000000000199</v>
      </c>
      <c r="DE30" s="275"/>
      <c r="DF30" s="276">
        <f>Dem!$D71+(DO30/4)</f>
        <v>54.20000000000001</v>
      </c>
      <c r="DG30" s="276">
        <f>Dem!$D111+(DO30/4)</f>
        <v>55.100000000000009</v>
      </c>
      <c r="DH30" s="276">
        <f>Dem!$D151+(DO30/4)</f>
        <v>55.100000000000009</v>
      </c>
      <c r="DI30" s="276">
        <f>Dem!$D191+(DO30/4)</f>
        <v>55.100000000000009</v>
      </c>
      <c r="DJ30" s="275">
        <f>Dem!$D271</f>
        <v>27.7</v>
      </c>
      <c r="DK30" s="275">
        <f>Dem!$D311</f>
        <v>13.8</v>
      </c>
      <c r="DL30" s="275">
        <f>Dem!$D351</f>
        <v>11.1</v>
      </c>
      <c r="DM30" s="275">
        <f>Dem!$D391</f>
        <v>2.8</v>
      </c>
      <c r="DN30" s="276">
        <f t="shared" si="17"/>
        <v>276.5</v>
      </c>
      <c r="DO30" s="44">
        <v>-0.79999999999995453</v>
      </c>
    </row>
    <row r="31" spans="1:119">
      <c r="A31" s="46">
        <f t="shared" si="18"/>
        <v>2001</v>
      </c>
      <c r="B31" s="141">
        <f t="shared" si="8"/>
        <v>0.1564591657984018</v>
      </c>
      <c r="C31" s="46"/>
      <c r="D31" s="141">
        <f t="shared" si="9"/>
        <v>0.67477447394949541</v>
      </c>
      <c r="E31" s="141">
        <f t="shared" si="10"/>
        <v>0.51831530815109361</v>
      </c>
      <c r="F31" s="46"/>
      <c r="G31" s="157">
        <f t="shared" si="11"/>
        <v>3.5468216221703652E-2</v>
      </c>
      <c r="H31" s="157">
        <f t="shared" si="11"/>
        <v>6.5650089629243499E-2</v>
      </c>
      <c r="I31" s="157">
        <f t="shared" si="11"/>
        <v>8.5107820424286371E-2</v>
      </c>
      <c r="J31" s="157">
        <f t="shared" si="11"/>
        <v>8.8129757425352617E-2</v>
      </c>
      <c r="K31" s="157">
        <f t="shared" si="11"/>
        <v>3.8677318849461288E-2</v>
      </c>
      <c r="L31" s="157">
        <f t="shared" si="11"/>
        <v>1.6153968273312953E-2</v>
      </c>
      <c r="M31" s="157">
        <f t="shared" si="11"/>
        <v>8.2000661513872732E-3</v>
      </c>
      <c r="N31" s="157">
        <f t="shared" si="11"/>
        <v>0</v>
      </c>
      <c r="O31" s="46"/>
      <c r="P31" s="154">
        <f t="shared" si="19"/>
        <v>2.2658918891481736E-2</v>
      </c>
      <c r="Q31" s="154">
        <f t="shared" si="20"/>
        <v>7.1749551853782512E-2</v>
      </c>
      <c r="R31" s="154">
        <f t="shared" si="20"/>
        <v>0.17446089787856828</v>
      </c>
      <c r="S31" s="154">
        <f t="shared" si="20"/>
        <v>0.35935121287323696</v>
      </c>
      <c r="T31" s="154">
        <f t="shared" si="20"/>
        <v>0.51322681150538718</v>
      </c>
      <c r="U31" s="154">
        <f t="shared" si="20"/>
        <v>0.62692063453374103</v>
      </c>
      <c r="V31" s="154">
        <f t="shared" si="20"/>
        <v>0.78499834621531828</v>
      </c>
      <c r="W31" s="162">
        <f t="shared" si="21"/>
        <v>1</v>
      </c>
      <c r="X31" s="154"/>
      <c r="Y31" s="142">
        <f t="shared" si="22"/>
        <v>3.2246520874751494E-2</v>
      </c>
      <c r="Z31" s="142">
        <f t="shared" si="22"/>
        <v>5.3956262425447321E-2</v>
      </c>
      <c r="AA31" s="142">
        <f t="shared" si="22"/>
        <v>6.5526838966202802E-2</v>
      </c>
      <c r="AB31" s="142">
        <f t="shared" si="22"/>
        <v>6.3777335984095435E-2</v>
      </c>
      <c r="AC31" s="142">
        <f t="shared" si="22"/>
        <v>2.7176938369781314E-2</v>
      </c>
      <c r="AD31" s="142">
        <f t="shared" si="22"/>
        <v>1.1068588469184893E-2</v>
      </c>
      <c r="AE31" s="142">
        <f t="shared" si="22"/>
        <v>5.4051689860835014E-3</v>
      </c>
      <c r="AF31" s="142">
        <f t="shared" si="22"/>
        <v>0</v>
      </c>
      <c r="AH31" s="158">
        <f t="shared" si="13"/>
        <v>3.8767395626242547E-2</v>
      </c>
      <c r="AI31" s="158">
        <f t="shared" si="14"/>
        <v>0.13021868787276342</v>
      </c>
      <c r="AJ31" s="158">
        <f t="shared" si="14"/>
        <v>0.27236580516898612</v>
      </c>
      <c r="AK31" s="158">
        <f t="shared" si="14"/>
        <v>0.4811133200795229</v>
      </c>
      <c r="AL31" s="158">
        <f t="shared" si="14"/>
        <v>0.62823061630218691</v>
      </c>
      <c r="AM31" s="158">
        <f t="shared" si="14"/>
        <v>0.72862823061630222</v>
      </c>
      <c r="AN31" s="158">
        <f t="shared" si="14"/>
        <v>0.85487077534791256</v>
      </c>
      <c r="AO31" s="158">
        <v>1</v>
      </c>
      <c r="AP31" s="143"/>
      <c r="AQ31" s="143">
        <f t="shared" si="5"/>
        <v>2.2658918891481736E-2</v>
      </c>
      <c r="AR31" s="143">
        <f t="shared" si="5"/>
        <v>4.9090632962300783E-2</v>
      </c>
      <c r="AS31" s="143">
        <f t="shared" si="5"/>
        <v>0.10271134602478577</v>
      </c>
      <c r="AT31" s="143">
        <f t="shared" si="5"/>
        <v>0.18489031499466868</v>
      </c>
      <c r="AU31" s="143">
        <f t="shared" si="5"/>
        <v>0.15387559863215022</v>
      </c>
      <c r="AV31" s="143">
        <f t="shared" si="5"/>
        <v>0.11369382302835386</v>
      </c>
      <c r="AW31" s="143">
        <f t="shared" si="5"/>
        <v>0.15807771168157728</v>
      </c>
      <c r="AX31" s="143">
        <f t="shared" si="5"/>
        <v>0.21500165378468178</v>
      </c>
      <c r="AY31" s="46"/>
      <c r="AZ31" s="152">
        <f>Shares!D72</f>
        <v>3.9</v>
      </c>
      <c r="BA31" s="152">
        <f>Shares!E72</f>
        <v>9.1999999999999993</v>
      </c>
      <c r="BB31" s="152">
        <f>Shares!F72</f>
        <v>14.3</v>
      </c>
      <c r="BC31" s="152">
        <f>Shares!G72</f>
        <v>21</v>
      </c>
      <c r="BD31" s="152">
        <f>Shares!J72</f>
        <v>14.8</v>
      </c>
      <c r="BE31" s="152">
        <f>Shares!K72</f>
        <v>10.1</v>
      </c>
      <c r="BF31" s="152">
        <f>Shares!L72</f>
        <v>12.7</v>
      </c>
      <c r="BG31" s="152">
        <f>Shares!M72</f>
        <v>14.6</v>
      </c>
      <c r="BI31" s="573">
        <f>TxRt!$B75-TxRt!C75+MAX(0,TxRt!$C75)</f>
        <v>12.6</v>
      </c>
      <c r="BJ31" s="573">
        <f>TxRt!B118-TxRt!C118+MAX(0,TxRt!$C118)</f>
        <v>11.7</v>
      </c>
      <c r="BK31" s="573">
        <f>TxRt!B158-TxRt!C158+MAX(0,TxRt!$C158)</f>
        <v>15.7</v>
      </c>
      <c r="BL31" s="573">
        <f>TxRt!B198-TxRt!C198+MAX(0,TxRt!$C198)</f>
        <v>19.3</v>
      </c>
      <c r="BM31" s="573">
        <f>TxRt!B278-TxRt!C278+MAX(0,TxRt!$C278)</f>
        <v>22.5</v>
      </c>
      <c r="BN31" s="573">
        <f>TxRt!B318-TxRt!C318+MAX(0,TxRt!$C318)</f>
        <v>24.6</v>
      </c>
      <c r="BO31" s="573">
        <f>TxRt!B358-TxRt!C358+MAX(0,TxRt!$C358)</f>
        <v>26.8</v>
      </c>
      <c r="BP31" s="573">
        <f>TxRt!B398-TxRt!C398+MAX(0,TxRt!$C398)</f>
        <v>32</v>
      </c>
      <c r="BQ31" s="46"/>
      <c r="BR31" s="60">
        <f>Inc!B72</f>
        <v>19000</v>
      </c>
      <c r="BS31" s="60">
        <f>Inc!B112</f>
        <v>42900</v>
      </c>
      <c r="BT31" s="60">
        <f>Inc!B152</f>
        <v>67200</v>
      </c>
      <c r="BU31" s="60">
        <f>Inc!B192</f>
        <v>97500</v>
      </c>
      <c r="BV31" s="60">
        <f>Inc!B272</f>
        <v>136700</v>
      </c>
      <c r="BW31" s="60">
        <f>Inc!B312</f>
        <v>179900</v>
      </c>
      <c r="BX31" s="60">
        <f>Inc!B352</f>
        <v>284500</v>
      </c>
      <c r="BY31" s="60">
        <f>Inc!B392</f>
        <v>1355200</v>
      </c>
      <c r="CA31" s="60">
        <f t="shared" si="23"/>
        <v>2394</v>
      </c>
      <c r="CB31" s="60">
        <f t="shared" si="23"/>
        <v>5019.2999999999993</v>
      </c>
      <c r="CC31" s="60">
        <f t="shared" si="23"/>
        <v>10550.4</v>
      </c>
      <c r="CD31" s="60">
        <f t="shared" si="23"/>
        <v>18817.5</v>
      </c>
      <c r="CE31" s="60">
        <f t="shared" si="23"/>
        <v>30757.5</v>
      </c>
      <c r="CF31" s="60">
        <f t="shared" si="23"/>
        <v>44255.4</v>
      </c>
      <c r="CG31" s="60">
        <f t="shared" si="23"/>
        <v>76246</v>
      </c>
      <c r="CH31" s="60">
        <f t="shared" si="23"/>
        <v>433664</v>
      </c>
      <c r="CJ31" s="153">
        <f t="shared" si="15"/>
        <v>50273.999999999993</v>
      </c>
      <c r="CK31" s="153">
        <f t="shared" si="7"/>
        <v>108918.80999999997</v>
      </c>
      <c r="CL31" s="153">
        <f t="shared" si="7"/>
        <v>227888.63999999993</v>
      </c>
      <c r="CM31" s="153">
        <f t="shared" si="7"/>
        <v>410221.49999999988</v>
      </c>
      <c r="CN31" s="153">
        <f t="shared" si="7"/>
        <v>341408.25</v>
      </c>
      <c r="CO31" s="153">
        <f t="shared" si="7"/>
        <v>252255.78000000003</v>
      </c>
      <c r="CP31" s="153">
        <f t="shared" si="7"/>
        <v>350731.6</v>
      </c>
      <c r="CQ31" s="153">
        <f t="shared" si="7"/>
        <v>477030.40000000002</v>
      </c>
      <c r="CR31" s="153">
        <f t="shared" si="16"/>
        <v>2218728.9799999995</v>
      </c>
      <c r="CT31" s="403">
        <v>277.8</v>
      </c>
      <c r="CU31" s="276">
        <f>Dem!B72+(DD31/4)</f>
        <v>20.999999999999996</v>
      </c>
      <c r="CV31" s="276">
        <f>Dem!B112+(DD31/4)</f>
        <v>21.699999999999996</v>
      </c>
      <c r="CW31" s="276">
        <f>Dem!B152+(DD31/4)</f>
        <v>21.599999999999994</v>
      </c>
      <c r="CX31" s="276">
        <f>Dem!B192+(DD31/4)</f>
        <v>21.799999999999994</v>
      </c>
      <c r="CY31" s="276">
        <f>Dem!B272</f>
        <v>11.1</v>
      </c>
      <c r="CZ31" s="276">
        <f>Dem!B312</f>
        <v>5.7</v>
      </c>
      <c r="DA31" s="276">
        <f>Dem!B352</f>
        <v>4.5999999999999996</v>
      </c>
      <c r="DB31" s="276">
        <f>Dem!B392</f>
        <v>1.1000000000000001</v>
      </c>
      <c r="DC31" s="275">
        <v>109.4</v>
      </c>
      <c r="DD31" s="46">
        <v>-0.4000000000000199</v>
      </c>
      <c r="DE31" s="275"/>
      <c r="DF31" s="276">
        <f>Dem!$D72+(DO31/4)</f>
        <v>54.275000000000006</v>
      </c>
      <c r="DG31" s="276">
        <f>Dem!$D112+(DO31/4)</f>
        <v>55.375000000000007</v>
      </c>
      <c r="DH31" s="276">
        <f>Dem!$D152+(DO31/4)</f>
        <v>55.375000000000007</v>
      </c>
      <c r="DI31" s="276">
        <f>Dem!$D192+(DO31/4)</f>
        <v>55.375000000000007</v>
      </c>
      <c r="DJ31" s="275">
        <f>Dem!$D272</f>
        <v>27.8</v>
      </c>
      <c r="DK31" s="275">
        <f>Dem!$D312</f>
        <v>13.9</v>
      </c>
      <c r="DL31" s="275">
        <f>Dem!$D352</f>
        <v>11.1</v>
      </c>
      <c r="DM31" s="275">
        <f>Dem!$D392</f>
        <v>2.8</v>
      </c>
      <c r="DN31" s="276">
        <f t="shared" si="17"/>
        <v>277.8</v>
      </c>
      <c r="DO31" s="44">
        <v>-0.89999999999997726</v>
      </c>
    </row>
    <row r="32" spans="1:119">
      <c r="A32" s="46">
        <f t="shared" si="18"/>
        <v>2002</v>
      </c>
      <c r="B32" s="141">
        <f t="shared" si="8"/>
        <v>0.15955844204757785</v>
      </c>
      <c r="C32" s="46"/>
      <c r="D32" s="141">
        <f t="shared" si="9"/>
        <v>0.66617155028988184</v>
      </c>
      <c r="E32" s="141">
        <f t="shared" si="10"/>
        <v>0.50661310824230399</v>
      </c>
      <c r="F32" s="46"/>
      <c r="G32" s="157">
        <f t="shared" si="11"/>
        <v>3.5199046734202245E-2</v>
      </c>
      <c r="H32" s="157">
        <f t="shared" si="11"/>
        <v>6.5351337733790968E-2</v>
      </c>
      <c r="I32" s="157">
        <f t="shared" si="11"/>
        <v>8.4452310216292459E-2</v>
      </c>
      <c r="J32" s="157">
        <f t="shared" si="11"/>
        <v>8.7003800137062576E-2</v>
      </c>
      <c r="K32" s="157">
        <f t="shared" si="11"/>
        <v>3.7779005520944077E-2</v>
      </c>
      <c r="L32" s="157">
        <f t="shared" si="11"/>
        <v>1.5624040293777198E-2</v>
      </c>
      <c r="M32" s="157">
        <f t="shared" si="11"/>
        <v>7.6762345088713961E-3</v>
      </c>
      <c r="N32" s="157">
        <f t="shared" si="11"/>
        <v>0</v>
      </c>
      <c r="O32" s="46"/>
      <c r="P32" s="154">
        <f t="shared" si="19"/>
        <v>2.4004766328988777E-2</v>
      </c>
      <c r="Q32" s="154">
        <f t="shared" si="20"/>
        <v>7.3243311331045252E-2</v>
      </c>
      <c r="R32" s="154">
        <f t="shared" si="20"/>
        <v>0.17773844891853785</v>
      </c>
      <c r="S32" s="154">
        <f t="shared" si="20"/>
        <v>0.36498099931468719</v>
      </c>
      <c r="T32" s="154">
        <f t="shared" si="20"/>
        <v>0.52220994479055927</v>
      </c>
      <c r="U32" s="154">
        <f t="shared" si="20"/>
        <v>0.63751919412445612</v>
      </c>
      <c r="V32" s="154">
        <f t="shared" si="20"/>
        <v>0.79809413727821521</v>
      </c>
      <c r="W32" s="162">
        <f t="shared" si="21"/>
        <v>1</v>
      </c>
      <c r="X32" s="154"/>
      <c r="Y32" s="142">
        <f t="shared" si="22"/>
        <v>3.2055610724925521E-2</v>
      </c>
      <c r="Z32" s="142">
        <f t="shared" si="22"/>
        <v>5.3386295928500506E-2</v>
      </c>
      <c r="AA32" s="142">
        <f t="shared" si="22"/>
        <v>6.4389275074478669E-2</v>
      </c>
      <c r="AB32" s="142">
        <f t="shared" si="22"/>
        <v>6.2085402184707067E-2</v>
      </c>
      <c r="AC32" s="142">
        <f t="shared" si="22"/>
        <v>2.6047666335650446E-2</v>
      </c>
      <c r="AD32" s="142">
        <f t="shared" si="22"/>
        <v>1.0459285004965242E-2</v>
      </c>
      <c r="AE32" s="142">
        <f t="shared" si="22"/>
        <v>4.8830188679245268E-3</v>
      </c>
      <c r="AF32" s="142">
        <f t="shared" si="22"/>
        <v>0</v>
      </c>
      <c r="AH32" s="158">
        <f t="shared" si="13"/>
        <v>3.9721946375372401E-2</v>
      </c>
      <c r="AI32" s="158">
        <f t="shared" si="14"/>
        <v>0.13306852035749753</v>
      </c>
      <c r="AJ32" s="158">
        <f t="shared" si="14"/>
        <v>0.27805362462760674</v>
      </c>
      <c r="AK32" s="158">
        <f t="shared" si="14"/>
        <v>0.48957298907646474</v>
      </c>
      <c r="AL32" s="158">
        <f t="shared" si="14"/>
        <v>0.63952333664349559</v>
      </c>
      <c r="AM32" s="158">
        <f t="shared" si="14"/>
        <v>0.74081429990069525</v>
      </c>
      <c r="AN32" s="158">
        <f t="shared" si="14"/>
        <v>0.86792452830188693</v>
      </c>
      <c r="AO32" s="158">
        <v>1</v>
      </c>
      <c r="AP32" s="143"/>
      <c r="AQ32" s="143">
        <f t="shared" si="5"/>
        <v>2.4004766328988771E-2</v>
      </c>
      <c r="AR32" s="143">
        <f t="shared" si="5"/>
        <v>4.9238545002056468E-2</v>
      </c>
      <c r="AS32" s="143">
        <f t="shared" si="5"/>
        <v>0.10449513758749256</v>
      </c>
      <c r="AT32" s="143">
        <f t="shared" si="5"/>
        <v>0.18724255039614932</v>
      </c>
      <c r="AU32" s="143">
        <f t="shared" si="5"/>
        <v>0.15722894547587202</v>
      </c>
      <c r="AV32" s="143">
        <f t="shared" si="5"/>
        <v>0.11530924933389687</v>
      </c>
      <c r="AW32" s="143">
        <f t="shared" si="5"/>
        <v>0.16057494315375903</v>
      </c>
      <c r="AX32" s="143">
        <f t="shared" si="5"/>
        <v>0.20190586272178485</v>
      </c>
      <c r="AY32" s="46"/>
      <c r="AZ32" s="152">
        <f>Shares!D73</f>
        <v>4</v>
      </c>
      <c r="BA32" s="152">
        <f>Shares!E73</f>
        <v>9.4</v>
      </c>
      <c r="BB32" s="152">
        <f>Shares!F73</f>
        <v>14.6</v>
      </c>
      <c r="BC32" s="152">
        <f>Shares!G73</f>
        <v>21.3</v>
      </c>
      <c r="BD32" s="152">
        <f>Shares!J73</f>
        <v>15.1</v>
      </c>
      <c r="BE32" s="152">
        <f>Shares!K73</f>
        <v>10.199999999999999</v>
      </c>
      <c r="BF32" s="152">
        <f>Shares!L73</f>
        <v>12.8</v>
      </c>
      <c r="BG32" s="152">
        <f>Shares!M73</f>
        <v>13.3</v>
      </c>
      <c r="BI32" s="573">
        <f>TxRt!$B76-TxRt!C76+MAX(0,TxRt!$C76)</f>
        <v>12.6</v>
      </c>
      <c r="BJ32" s="573">
        <f>TxRt!B119-TxRt!C119+MAX(0,TxRt!$C119)</f>
        <v>11</v>
      </c>
      <c r="BK32" s="573">
        <f>TxRt!B159-TxRt!C159+MAX(0,TxRt!$C159)</f>
        <v>15.1</v>
      </c>
      <c r="BL32" s="573">
        <f>TxRt!B199-TxRt!C199+MAX(0,TxRt!$C199)</f>
        <v>18.5</v>
      </c>
      <c r="BM32" s="573">
        <f>TxRt!B279-TxRt!C279+MAX(0,TxRt!$C279)</f>
        <v>21.8</v>
      </c>
      <c r="BN32" s="573">
        <f>TxRt!B319-TxRt!C319+MAX(0,TxRt!$C319)</f>
        <v>23.8</v>
      </c>
      <c r="BO32" s="573">
        <f>TxRt!B359-TxRt!C359+MAX(0,TxRt!$C359)</f>
        <v>26.1</v>
      </c>
      <c r="BP32" s="573">
        <f>TxRt!B399-TxRt!C399+MAX(0,TxRt!$C399)</f>
        <v>31.9</v>
      </c>
      <c r="BQ32" s="46"/>
      <c r="BR32" s="60">
        <f>Inc!B73</f>
        <v>18800</v>
      </c>
      <c r="BS32" s="60">
        <f>Inc!B113</f>
        <v>41800</v>
      </c>
      <c r="BT32" s="60">
        <f>Inc!B153</f>
        <v>65800</v>
      </c>
      <c r="BU32" s="60">
        <f>Inc!B193</f>
        <v>95800</v>
      </c>
      <c r="BV32" s="60">
        <f>Inc!B273</f>
        <v>134400</v>
      </c>
      <c r="BW32" s="60">
        <f>Inc!B313</f>
        <v>177400</v>
      </c>
      <c r="BX32" s="60">
        <f>Inc!B353</f>
        <v>273200</v>
      </c>
      <c r="BY32" s="60">
        <f>Inc!B393</f>
        <v>1200900</v>
      </c>
      <c r="CA32" s="60">
        <f t="shared" si="23"/>
        <v>2368.8000000000002</v>
      </c>
      <c r="CB32" s="60">
        <f t="shared" si="23"/>
        <v>4598</v>
      </c>
      <c r="CC32" s="60">
        <f t="shared" si="23"/>
        <v>9935.7999999999993</v>
      </c>
      <c r="CD32" s="60">
        <f t="shared" si="23"/>
        <v>17723</v>
      </c>
      <c r="CE32" s="60">
        <f t="shared" si="23"/>
        <v>29299.200000000001</v>
      </c>
      <c r="CF32" s="60">
        <f t="shared" si="23"/>
        <v>42221.2</v>
      </c>
      <c r="CG32" s="60">
        <f t="shared" si="23"/>
        <v>71305.2</v>
      </c>
      <c r="CH32" s="60">
        <f t="shared" si="23"/>
        <v>383087.1</v>
      </c>
      <c r="CJ32" s="153">
        <f t="shared" si="15"/>
        <v>50100.12000000001</v>
      </c>
      <c r="CK32" s="153">
        <f t="shared" si="7"/>
        <v>102765.3</v>
      </c>
      <c r="CL32" s="153">
        <f t="shared" si="7"/>
        <v>218090.81000000003</v>
      </c>
      <c r="CM32" s="153">
        <f t="shared" si="7"/>
        <v>390792.15</v>
      </c>
      <c r="CN32" s="153">
        <f t="shared" si="7"/>
        <v>328151.03999999998</v>
      </c>
      <c r="CO32" s="153">
        <f t="shared" si="7"/>
        <v>240660.84</v>
      </c>
      <c r="CP32" s="153">
        <f t="shared" si="7"/>
        <v>335134.44</v>
      </c>
      <c r="CQ32" s="153">
        <f t="shared" si="7"/>
        <v>421395.81</v>
      </c>
      <c r="CR32" s="153">
        <f t="shared" si="16"/>
        <v>2087090.5100000002</v>
      </c>
      <c r="CT32" s="403">
        <v>282.10000000000002</v>
      </c>
      <c r="CU32" s="276">
        <f>Dem!B73+(DD32/4)</f>
        <v>21.150000000000002</v>
      </c>
      <c r="CV32" s="276">
        <f>Dem!B113+(DD32/4)</f>
        <v>22.35</v>
      </c>
      <c r="CW32" s="276">
        <f>Dem!B153+(DD32/4)</f>
        <v>21.950000000000003</v>
      </c>
      <c r="CX32" s="276">
        <f>Dem!B193+(DD32/4)</f>
        <v>22.05</v>
      </c>
      <c r="CY32" s="276">
        <f>Dem!B273</f>
        <v>11.2</v>
      </c>
      <c r="CZ32" s="276">
        <f>Dem!B313</f>
        <v>5.7</v>
      </c>
      <c r="DA32" s="276">
        <f>Dem!B353</f>
        <v>4.7</v>
      </c>
      <c r="DB32" s="276">
        <f>Dem!B393</f>
        <v>1.1000000000000001</v>
      </c>
      <c r="DC32" s="275">
        <v>111.4</v>
      </c>
      <c r="DD32" s="46">
        <v>-0.59999999999999432</v>
      </c>
      <c r="DE32" s="275"/>
      <c r="DF32" s="276">
        <f>Dem!$D73+(DO32/4)</f>
        <v>54.625</v>
      </c>
      <c r="DG32" s="276">
        <f>Dem!$D113+(DO32/4)</f>
        <v>56.024999999999999</v>
      </c>
      <c r="DH32" s="276">
        <f>Dem!$D153+(DO32/4)</f>
        <v>56.024999999999999</v>
      </c>
      <c r="DI32" s="276">
        <f>Dem!$D193+(DO32/4)</f>
        <v>56.024999999999999</v>
      </c>
      <c r="DJ32" s="275">
        <f>Dem!$D273</f>
        <v>28.2</v>
      </c>
      <c r="DK32" s="275">
        <f>Dem!$D313</f>
        <v>14.1</v>
      </c>
      <c r="DL32" s="275">
        <f>Dem!$D353</f>
        <v>11.3</v>
      </c>
      <c r="DM32" s="275">
        <f>Dem!$D393</f>
        <v>2.8</v>
      </c>
      <c r="DN32" s="276">
        <f t="shared" si="17"/>
        <v>282.10000000000002</v>
      </c>
      <c r="DO32" s="44">
        <v>-1.5</v>
      </c>
    </row>
    <row r="33" spans="1:119">
      <c r="A33" s="46">
        <f t="shared" si="18"/>
        <v>2003</v>
      </c>
      <c r="B33" s="141">
        <f t="shared" si="8"/>
        <v>0.15177446526853478</v>
      </c>
      <c r="C33" s="46"/>
      <c r="D33" s="141">
        <f t="shared" si="9"/>
        <v>0.66801811606218553</v>
      </c>
      <c r="E33" s="141">
        <f t="shared" si="10"/>
        <v>0.51624365079365075</v>
      </c>
      <c r="F33" s="46"/>
      <c r="G33" s="157">
        <f t="shared" si="11"/>
        <v>3.5102554285303067E-2</v>
      </c>
      <c r="H33" s="157">
        <f t="shared" si="11"/>
        <v>6.5032579570887053E-2</v>
      </c>
      <c r="I33" s="157">
        <f t="shared" si="11"/>
        <v>8.462426321609369E-2</v>
      </c>
      <c r="J33" s="157">
        <f t="shared" si="11"/>
        <v>8.7416976364632956E-2</v>
      </c>
      <c r="K33" s="157">
        <f t="shared" si="11"/>
        <v>3.80879606505274E-2</v>
      </c>
      <c r="L33" s="157">
        <f t="shared" si="11"/>
        <v>1.5834358360881123E-2</v>
      </c>
      <c r="M33" s="157">
        <f t="shared" si="11"/>
        <v>7.910365582767552E-3</v>
      </c>
      <c r="N33" s="157">
        <f t="shared" si="11"/>
        <v>0</v>
      </c>
      <c r="O33" s="46"/>
      <c r="P33" s="154">
        <f t="shared" si="19"/>
        <v>2.4487228573484683E-2</v>
      </c>
      <c r="Q33" s="154">
        <f t="shared" si="20"/>
        <v>7.4837102145564771E-2</v>
      </c>
      <c r="R33" s="154">
        <f t="shared" si="20"/>
        <v>0.17687868391953165</v>
      </c>
      <c r="S33" s="154">
        <f t="shared" si="20"/>
        <v>0.36291511817683531</v>
      </c>
      <c r="T33" s="154">
        <f t="shared" si="20"/>
        <v>0.51912039349472605</v>
      </c>
      <c r="U33" s="154">
        <f t="shared" si="20"/>
        <v>0.6333128327823776</v>
      </c>
      <c r="V33" s="154">
        <f t="shared" si="20"/>
        <v>0.79224086043081132</v>
      </c>
      <c r="W33" s="162">
        <f t="shared" si="21"/>
        <v>1</v>
      </c>
      <c r="X33" s="154"/>
      <c r="Y33" s="142">
        <f t="shared" si="22"/>
        <v>3.2261904761904762E-2</v>
      </c>
      <c r="Z33" s="142">
        <f t="shared" si="22"/>
        <v>5.4007936507936519E-2</v>
      </c>
      <c r="AA33" s="142">
        <f t="shared" si="22"/>
        <v>6.5436507936507946E-2</v>
      </c>
      <c r="AB33" s="142">
        <f t="shared" si="22"/>
        <v>6.357142857142857E-2</v>
      </c>
      <c r="AC33" s="142">
        <f t="shared" si="22"/>
        <v>2.6805555555555551E-2</v>
      </c>
      <c r="AD33" s="142">
        <f t="shared" si="22"/>
        <v>1.0843253968253969E-2</v>
      </c>
      <c r="AE33" s="142">
        <f t="shared" si="22"/>
        <v>5.1952380952380974E-3</v>
      </c>
      <c r="AF33" s="142">
        <f t="shared" si="22"/>
        <v>0</v>
      </c>
      <c r="AH33" s="158">
        <f t="shared" si="13"/>
        <v>3.8690476190476192E-2</v>
      </c>
      <c r="AI33" s="158">
        <f t="shared" si="14"/>
        <v>0.12996031746031744</v>
      </c>
      <c r="AJ33" s="158">
        <f t="shared" si="14"/>
        <v>0.27281746031746035</v>
      </c>
      <c r="AK33" s="158">
        <f t="shared" si="14"/>
        <v>0.48214285714285721</v>
      </c>
      <c r="AL33" s="158">
        <f t="shared" si="14"/>
        <v>0.63194444444444453</v>
      </c>
      <c r="AM33" s="158">
        <f t="shared" si="14"/>
        <v>0.73313492063492069</v>
      </c>
      <c r="AN33" s="158">
        <f t="shared" si="14"/>
        <v>0.86011904761904767</v>
      </c>
      <c r="AO33" s="158">
        <v>1</v>
      </c>
      <c r="AP33" s="143"/>
      <c r="AQ33" s="143">
        <f t="shared" si="5"/>
        <v>2.4487228573484683E-2</v>
      </c>
      <c r="AR33" s="143">
        <f t="shared" si="5"/>
        <v>5.0349873572080095E-2</v>
      </c>
      <c r="AS33" s="143">
        <f t="shared" si="5"/>
        <v>0.1020415817739669</v>
      </c>
      <c r="AT33" s="143">
        <f t="shared" si="5"/>
        <v>0.18603643425730365</v>
      </c>
      <c r="AU33" s="143">
        <f t="shared" si="5"/>
        <v>0.15620527531789075</v>
      </c>
      <c r="AV33" s="143">
        <f t="shared" si="5"/>
        <v>0.11419243928765159</v>
      </c>
      <c r="AW33" s="143">
        <f t="shared" si="5"/>
        <v>0.1589280276484337</v>
      </c>
      <c r="AX33" s="143">
        <f t="shared" si="5"/>
        <v>0.20775913956918871</v>
      </c>
      <c r="AY33" s="46"/>
      <c r="AZ33" s="152">
        <f>Shares!D74</f>
        <v>3.9</v>
      </c>
      <c r="BA33" s="152">
        <f>Shares!E74</f>
        <v>9.1999999999999993</v>
      </c>
      <c r="BB33" s="152">
        <f>Shares!F74</f>
        <v>14.4</v>
      </c>
      <c r="BC33" s="152">
        <f>Shares!G74</f>
        <v>21.1</v>
      </c>
      <c r="BD33" s="152">
        <f>Shares!J74</f>
        <v>15.1</v>
      </c>
      <c r="BE33" s="152">
        <f>Shares!K74</f>
        <v>10.199999999999999</v>
      </c>
      <c r="BF33" s="152">
        <f>Shares!L74</f>
        <v>12.8</v>
      </c>
      <c r="BG33" s="152">
        <f>Shares!M74</f>
        <v>14.1</v>
      </c>
      <c r="BI33" s="573">
        <f>TxRt!$B77-TxRt!C77+MAX(0,TxRt!$C77)</f>
        <v>12.7</v>
      </c>
      <c r="BJ33" s="573">
        <f>TxRt!B120-TxRt!C120+MAX(0,TxRt!$C120)</f>
        <v>11</v>
      </c>
      <c r="BK33" s="573">
        <f>TxRt!B160-TxRt!C160+MAX(0,TxRt!$C160)</f>
        <v>14.3</v>
      </c>
      <c r="BL33" s="573">
        <f>TxRt!B200-TxRt!C200+MAX(0,TxRt!$C200)</f>
        <v>17.8</v>
      </c>
      <c r="BM33" s="573">
        <f>TxRt!B280-TxRt!C280+MAX(0,TxRt!$C280)</f>
        <v>20.8</v>
      </c>
      <c r="BN33" s="573">
        <f>TxRt!B320-TxRt!C320+MAX(0,TxRt!$C320)</f>
        <v>22.7</v>
      </c>
      <c r="BO33" s="573">
        <f>TxRt!B360-TxRt!C360+MAX(0,TxRt!$C360)</f>
        <v>25.1</v>
      </c>
      <c r="BP33" s="573">
        <f>TxRt!B400-TxRt!C400+MAX(0,TxRt!$C400)</f>
        <v>30.3</v>
      </c>
      <c r="BQ33" s="46"/>
      <c r="BR33" s="60">
        <f>Inc!B74</f>
        <v>18500</v>
      </c>
      <c r="BS33" s="60">
        <f>Inc!B114</f>
        <v>41400</v>
      </c>
      <c r="BT33" s="60">
        <f>Inc!B154</f>
        <v>65700</v>
      </c>
      <c r="BU33" s="60">
        <f>Inc!B194</f>
        <v>97100</v>
      </c>
      <c r="BV33" s="60">
        <f>Inc!B274</f>
        <v>136300</v>
      </c>
      <c r="BW33" s="60">
        <f>Inc!B314</f>
        <v>181000</v>
      </c>
      <c r="BX33" s="60">
        <f>Inc!B354</f>
        <v>282300</v>
      </c>
      <c r="BY33" s="60">
        <f>Inc!B394</f>
        <v>1278400</v>
      </c>
      <c r="CA33" s="60">
        <f t="shared" si="23"/>
        <v>2349.5</v>
      </c>
      <c r="CB33" s="60">
        <f t="shared" si="23"/>
        <v>4554</v>
      </c>
      <c r="CC33" s="60">
        <f t="shared" si="23"/>
        <v>9395.1</v>
      </c>
      <c r="CD33" s="60">
        <f t="shared" si="23"/>
        <v>17283.8</v>
      </c>
      <c r="CE33" s="60">
        <f t="shared" si="23"/>
        <v>28350.400000000001</v>
      </c>
      <c r="CF33" s="60">
        <f t="shared" si="23"/>
        <v>41087</v>
      </c>
      <c r="CG33" s="60">
        <f t="shared" si="23"/>
        <v>70857.3</v>
      </c>
      <c r="CH33" s="60">
        <f t="shared" si="23"/>
        <v>387355.2</v>
      </c>
      <c r="CJ33" s="153">
        <f t="shared" si="15"/>
        <v>50220.562499999993</v>
      </c>
      <c r="CK33" s="153">
        <f t="shared" si="7"/>
        <v>103261.94999999998</v>
      </c>
      <c r="CL33" s="153">
        <f t="shared" si="7"/>
        <v>209275.85249999995</v>
      </c>
      <c r="CM33" s="153">
        <f t="shared" si="7"/>
        <v>381539.88499999989</v>
      </c>
      <c r="CN33" s="153">
        <f t="shared" si="7"/>
        <v>320359.52</v>
      </c>
      <c r="CO33" s="153">
        <f t="shared" si="7"/>
        <v>234195.9</v>
      </c>
      <c r="CP33" s="153">
        <f t="shared" si="7"/>
        <v>325943.58</v>
      </c>
      <c r="CQ33" s="153">
        <f t="shared" si="7"/>
        <v>426090.72000000003</v>
      </c>
      <c r="CR33" s="153">
        <f t="shared" si="16"/>
        <v>2050887.9699999997</v>
      </c>
      <c r="CT33" s="403">
        <v>284</v>
      </c>
      <c r="CU33" s="276">
        <f>Dem!B74+(DD33/4)</f>
        <v>21.374999999999996</v>
      </c>
      <c r="CV33" s="276">
        <f>Dem!B114+(DD33/4)</f>
        <v>22.674999999999997</v>
      </c>
      <c r="CW33" s="276">
        <f>Dem!B154+(DD33/4)</f>
        <v>22.274999999999995</v>
      </c>
      <c r="CX33" s="276">
        <f>Dem!B194+(DD33/4)</f>
        <v>22.074999999999996</v>
      </c>
      <c r="CY33" s="276">
        <f>Dem!B274</f>
        <v>11.3</v>
      </c>
      <c r="CZ33" s="276">
        <f>Dem!B314</f>
        <v>5.7</v>
      </c>
      <c r="DA33" s="276">
        <f>Dem!B354</f>
        <v>4.5999999999999996</v>
      </c>
      <c r="DB33" s="276">
        <f>Dem!B394</f>
        <v>1.1000000000000001</v>
      </c>
      <c r="DC33" s="275">
        <v>112.1</v>
      </c>
      <c r="DD33" s="46">
        <v>-0.50000000000001421</v>
      </c>
      <c r="DE33" s="275"/>
      <c r="DF33" s="276">
        <f>Dem!$D74+(DO33/4)</f>
        <v>55.174999999999997</v>
      </c>
      <c r="DG33" s="276">
        <f>Dem!$D114+(DO33/4)</f>
        <v>56.474999999999994</v>
      </c>
      <c r="DH33" s="276">
        <f>Dem!$D154+(DO33/4)</f>
        <v>56.474999999999994</v>
      </c>
      <c r="DI33" s="276">
        <f>Dem!$D194+(DO33/4)</f>
        <v>56.474999999999994</v>
      </c>
      <c r="DJ33" s="275">
        <f>Dem!$D274</f>
        <v>28.4</v>
      </c>
      <c r="DK33" s="275">
        <f>Dem!$D314</f>
        <v>14.2</v>
      </c>
      <c r="DL33" s="275">
        <f>Dem!$D354</f>
        <v>11.4</v>
      </c>
      <c r="DM33" s="275">
        <f>Dem!$D394</f>
        <v>2.8</v>
      </c>
      <c r="DN33" s="276">
        <f t="shared" si="17"/>
        <v>284</v>
      </c>
      <c r="DO33" s="44">
        <v>-1.3000000000000114</v>
      </c>
    </row>
    <row r="34" spans="1:119">
      <c r="A34" s="46">
        <f t="shared" si="18"/>
        <v>2004</v>
      </c>
      <c r="B34" s="141">
        <f t="shared" si="8"/>
        <v>0.15155909709032533</v>
      </c>
      <c r="C34" s="46"/>
      <c r="D34" s="141">
        <f t="shared" si="9"/>
        <v>0.68355452906649228</v>
      </c>
      <c r="E34" s="141">
        <f t="shared" si="10"/>
        <v>0.53199543197616694</v>
      </c>
      <c r="F34" s="46"/>
      <c r="G34" s="157">
        <f t="shared" si="11"/>
        <v>3.5408732820331988E-2</v>
      </c>
      <c r="H34" s="157">
        <f t="shared" si="11"/>
        <v>6.5706609988690184E-2</v>
      </c>
      <c r="I34" s="157">
        <f t="shared" si="11"/>
        <v>8.5740998992069217E-2</v>
      </c>
      <c r="J34" s="157">
        <f t="shared" si="11"/>
        <v>8.9688772233020769E-2</v>
      </c>
      <c r="K34" s="157">
        <f t="shared" si="11"/>
        <v>3.9769796991839246E-2</v>
      </c>
      <c r="L34" s="157">
        <f t="shared" si="11"/>
        <v>1.6772017168509176E-2</v>
      </c>
      <c r="M34" s="157">
        <f t="shared" si="11"/>
        <v>8.6903363387855325E-3</v>
      </c>
      <c r="N34" s="157">
        <f t="shared" si="11"/>
        <v>0</v>
      </c>
      <c r="O34" s="46"/>
      <c r="P34" s="154">
        <f t="shared" si="19"/>
        <v>2.2956335898340084E-2</v>
      </c>
      <c r="Q34" s="154">
        <f t="shared" si="20"/>
        <v>7.14669500565491E-2</v>
      </c>
      <c r="R34" s="154">
        <f t="shared" si="20"/>
        <v>0.171295005039654</v>
      </c>
      <c r="S34" s="154">
        <f t="shared" si="20"/>
        <v>0.35155613883489623</v>
      </c>
      <c r="T34" s="154">
        <f t="shared" si="20"/>
        <v>0.50230203008160756</v>
      </c>
      <c r="U34" s="154">
        <f t="shared" si="20"/>
        <v>0.6145596566298166</v>
      </c>
      <c r="V34" s="154">
        <f t="shared" si="20"/>
        <v>0.77274159153036182</v>
      </c>
      <c r="W34" s="162">
        <f t="shared" si="21"/>
        <v>1</v>
      </c>
      <c r="X34" s="154"/>
      <c r="Y34" s="142">
        <f t="shared" si="22"/>
        <v>3.2452830188679248E-2</v>
      </c>
      <c r="Z34" s="142">
        <f t="shared" si="22"/>
        <v>5.4577954319761673E-2</v>
      </c>
      <c r="AA34" s="142">
        <f t="shared" si="22"/>
        <v>6.6772591857001018E-2</v>
      </c>
      <c r="AB34" s="142">
        <f t="shared" si="22"/>
        <v>6.6057596822244311E-2</v>
      </c>
      <c r="AC34" s="142">
        <f t="shared" si="22"/>
        <v>2.8430983118172794E-2</v>
      </c>
      <c r="AD34" s="142">
        <f t="shared" si="22"/>
        <v>1.1750248262164848E-2</v>
      </c>
      <c r="AE34" s="142">
        <f t="shared" si="22"/>
        <v>5.9555114200595853E-3</v>
      </c>
      <c r="AF34" s="142">
        <f t="shared" si="22"/>
        <v>0</v>
      </c>
      <c r="AH34" s="158">
        <f t="shared" si="13"/>
        <v>3.7735849056603772E-2</v>
      </c>
      <c r="AI34" s="158">
        <f t="shared" si="14"/>
        <v>0.12711022840119166</v>
      </c>
      <c r="AJ34" s="158">
        <f t="shared" si="14"/>
        <v>0.266137040714995</v>
      </c>
      <c r="AK34" s="158">
        <f t="shared" si="14"/>
        <v>0.46971201588877853</v>
      </c>
      <c r="AL34" s="158">
        <f t="shared" si="14"/>
        <v>0.6156901688182721</v>
      </c>
      <c r="AM34" s="158">
        <f t="shared" si="14"/>
        <v>0.71499503475670312</v>
      </c>
      <c r="AN34" s="158">
        <f t="shared" si="14"/>
        <v>0.84111221449851048</v>
      </c>
      <c r="AO34" s="158">
        <v>1</v>
      </c>
      <c r="AP34" s="143"/>
      <c r="AQ34" s="143">
        <f t="shared" si="5"/>
        <v>2.2956335898340084E-2</v>
      </c>
      <c r="AR34" s="143">
        <f t="shared" si="5"/>
        <v>4.8510614158209009E-2</v>
      </c>
      <c r="AS34" s="143">
        <f t="shared" si="5"/>
        <v>9.9828054983104902E-2</v>
      </c>
      <c r="AT34" s="143">
        <f t="shared" si="5"/>
        <v>0.18026113379524225</v>
      </c>
      <c r="AU34" s="143">
        <f t="shared" si="5"/>
        <v>0.15074589124671137</v>
      </c>
      <c r="AV34" s="143">
        <f t="shared" si="5"/>
        <v>0.11225762654820907</v>
      </c>
      <c r="AW34" s="143">
        <f t="shared" si="5"/>
        <v>0.15818193490054519</v>
      </c>
      <c r="AX34" s="143">
        <f t="shared" si="5"/>
        <v>0.22725840846963818</v>
      </c>
      <c r="AY34" s="46"/>
      <c r="AZ34" s="152">
        <f>Shares!D75</f>
        <v>3.8</v>
      </c>
      <c r="BA34" s="152">
        <f>Shares!E75</f>
        <v>9</v>
      </c>
      <c r="BB34" s="152">
        <f>Shares!F75</f>
        <v>14</v>
      </c>
      <c r="BC34" s="152">
        <f>Shares!G75</f>
        <v>20.5</v>
      </c>
      <c r="BD34" s="152">
        <f>Shares!J75</f>
        <v>14.7</v>
      </c>
      <c r="BE34" s="152">
        <f>Shares!K75</f>
        <v>10</v>
      </c>
      <c r="BF34" s="152">
        <f>Shares!L75</f>
        <v>12.7</v>
      </c>
      <c r="BG34" s="152">
        <f>Shares!M75</f>
        <v>16</v>
      </c>
      <c r="BI34" s="573">
        <f>TxRt!$B78-TxRt!C78+MAX(0,TxRt!$C78)</f>
        <v>12.5</v>
      </c>
      <c r="BJ34" s="573">
        <f>TxRt!B121-TxRt!C121+MAX(0,TxRt!$C121)</f>
        <v>11</v>
      </c>
      <c r="BK34" s="573">
        <f>TxRt!B161-TxRt!C161+MAX(0,TxRt!$C161)</f>
        <v>14.6</v>
      </c>
      <c r="BL34" s="573">
        <f>TxRt!B201-TxRt!C201+MAX(0,TxRt!$C201)</f>
        <v>18</v>
      </c>
      <c r="BM34" s="573">
        <f>TxRt!B281-TxRt!C281+MAX(0,TxRt!$C281)</f>
        <v>20.9</v>
      </c>
      <c r="BN34" s="573">
        <f>TxRt!B321-TxRt!C321+MAX(0,TxRt!$C321)</f>
        <v>22.9</v>
      </c>
      <c r="BO34" s="573">
        <f>TxRt!B361-TxRt!C361+MAX(0,TxRt!$C361)</f>
        <v>25.4</v>
      </c>
      <c r="BP34" s="573">
        <f>TxRt!B401-TxRt!C401+MAX(0,TxRt!$C401)</f>
        <v>30</v>
      </c>
      <c r="BQ34" s="46"/>
      <c r="BR34" s="60">
        <f>Inc!B75</f>
        <v>18800</v>
      </c>
      <c r="BS34" s="60">
        <f>Inc!B115</f>
        <v>42400</v>
      </c>
      <c r="BT34" s="60">
        <f>Inc!B155</f>
        <v>67800</v>
      </c>
      <c r="BU34" s="60">
        <f>Inc!B195</f>
        <v>100200</v>
      </c>
      <c r="BV34" s="60">
        <f>Inc!B275</f>
        <v>141300</v>
      </c>
      <c r="BW34" s="60">
        <f>Inc!B315</f>
        <v>187100</v>
      </c>
      <c r="BX34" s="60">
        <f>Inc!B355</f>
        <v>299700</v>
      </c>
      <c r="BY34" s="60">
        <f>Inc!B395</f>
        <v>1524500</v>
      </c>
      <c r="CA34" s="60">
        <f t="shared" si="23"/>
        <v>2350</v>
      </c>
      <c r="CB34" s="60">
        <f t="shared" si="23"/>
        <v>4664</v>
      </c>
      <c r="CC34" s="60">
        <f t="shared" si="23"/>
        <v>9898.7999999999993</v>
      </c>
      <c r="CD34" s="60">
        <f t="shared" si="23"/>
        <v>18036</v>
      </c>
      <c r="CE34" s="60">
        <f t="shared" si="23"/>
        <v>29531.7</v>
      </c>
      <c r="CF34" s="60">
        <f t="shared" si="23"/>
        <v>42845.9</v>
      </c>
      <c r="CG34" s="60">
        <f t="shared" si="23"/>
        <v>76123.8</v>
      </c>
      <c r="CH34" s="60">
        <f t="shared" si="23"/>
        <v>457350</v>
      </c>
      <c r="CJ34" s="153">
        <f t="shared" si="15"/>
        <v>50818.749999999993</v>
      </c>
      <c r="CK34" s="153">
        <f t="shared" si="7"/>
        <v>107388.59999999998</v>
      </c>
      <c r="CL34" s="153">
        <f t="shared" si="7"/>
        <v>220990.70999999993</v>
      </c>
      <c r="CM34" s="153">
        <f t="shared" si="7"/>
        <v>399046.49999999994</v>
      </c>
      <c r="CN34" s="153">
        <f t="shared" si="7"/>
        <v>333708.21000000002</v>
      </c>
      <c r="CO34" s="153">
        <f t="shared" si="7"/>
        <v>248506.22</v>
      </c>
      <c r="CP34" s="153">
        <f t="shared" si="7"/>
        <v>350169.48</v>
      </c>
      <c r="CQ34" s="153">
        <f t="shared" si="7"/>
        <v>503085.00000000006</v>
      </c>
      <c r="CR34" s="153">
        <f t="shared" si="16"/>
        <v>2213713.4699999997</v>
      </c>
      <c r="CT34" s="403">
        <v>288</v>
      </c>
      <c r="CU34" s="276">
        <f>Dem!B75+(DD34/4)</f>
        <v>21.624999999999996</v>
      </c>
      <c r="CV34" s="276">
        <f>Dem!B115+(DD34/4)</f>
        <v>23.024999999999995</v>
      </c>
      <c r="CW34" s="276">
        <f>Dem!B155+(DD34/4)</f>
        <v>22.324999999999996</v>
      </c>
      <c r="CX34" s="276">
        <f>Dem!B195+(DD34/4)</f>
        <v>22.124999999999996</v>
      </c>
      <c r="CY34" s="276">
        <f>Dem!B275</f>
        <v>11.3</v>
      </c>
      <c r="CZ34" s="276">
        <f>Dem!B315</f>
        <v>5.8</v>
      </c>
      <c r="DA34" s="276">
        <f>Dem!B355</f>
        <v>4.5999999999999996</v>
      </c>
      <c r="DB34" s="276">
        <f>Dem!B395</f>
        <v>1.1000000000000001</v>
      </c>
      <c r="DC34" s="275">
        <v>113.3</v>
      </c>
      <c r="DD34" s="46">
        <v>-0.70000000000001705</v>
      </c>
      <c r="DE34" s="275"/>
      <c r="DF34" s="276">
        <f>Dem!$D75+(DO34/4)</f>
        <v>55.97499999999998</v>
      </c>
      <c r="DG34" s="276">
        <f>Dem!$D115+(DO34/4)</f>
        <v>57.274999999999984</v>
      </c>
      <c r="DH34" s="276">
        <f>Dem!$D155+(DO34/4)</f>
        <v>57.274999999999984</v>
      </c>
      <c r="DI34" s="276">
        <f>Dem!$D195+(DO34/4)</f>
        <v>57.274999999999984</v>
      </c>
      <c r="DJ34" s="275">
        <f>Dem!$D275</f>
        <v>28.8</v>
      </c>
      <c r="DK34" s="275">
        <f>Dem!$D315</f>
        <v>14.4</v>
      </c>
      <c r="DL34" s="275">
        <f>Dem!$D355</f>
        <v>11.5</v>
      </c>
      <c r="DM34" s="275">
        <f>Dem!$D395</f>
        <v>2.9</v>
      </c>
      <c r="DN34" s="276">
        <f t="shared" si="17"/>
        <v>288</v>
      </c>
      <c r="DO34" s="44">
        <v>-1.3000000000000682</v>
      </c>
    </row>
    <row r="35" spans="1:119">
      <c r="A35" s="46">
        <f t="shared" si="18"/>
        <v>2005</v>
      </c>
      <c r="B35" s="141">
        <f t="shared" si="8"/>
        <v>0.15138732044642966</v>
      </c>
      <c r="C35" s="46"/>
      <c r="D35" s="141">
        <f t="shared" si="9"/>
        <v>0.70417859028769958</v>
      </c>
      <c r="E35" s="141">
        <f t="shared" si="10"/>
        <v>0.55279126984126992</v>
      </c>
      <c r="F35" s="46"/>
      <c r="G35" s="157">
        <f t="shared" si="11"/>
        <v>3.5447507023307977E-2</v>
      </c>
      <c r="H35" s="157">
        <f t="shared" si="11"/>
        <v>6.6276872365792355E-2</v>
      </c>
      <c r="I35" s="157">
        <f t="shared" si="11"/>
        <v>8.7411802521240409E-2</v>
      </c>
      <c r="J35" s="157">
        <f t="shared" si="11"/>
        <v>9.296309874722436E-2</v>
      </c>
      <c r="K35" s="157">
        <f t="shared" si="11"/>
        <v>4.2169549928965905E-2</v>
      </c>
      <c r="L35" s="157">
        <f t="shared" si="11"/>
        <v>1.8161178450810202E-2</v>
      </c>
      <c r="M35" s="157">
        <f t="shared" si="11"/>
        <v>9.6592861065085828E-3</v>
      </c>
      <c r="N35" s="157">
        <f t="shared" si="11"/>
        <v>0</v>
      </c>
      <c r="O35" s="46"/>
      <c r="P35" s="154">
        <f t="shared" si="19"/>
        <v>2.2762464883460145E-2</v>
      </c>
      <c r="Q35" s="154">
        <f t="shared" si="20"/>
        <v>6.861563817103826E-2</v>
      </c>
      <c r="R35" s="154">
        <f t="shared" si="20"/>
        <v>0.16294098739379809</v>
      </c>
      <c r="S35" s="154">
        <f t="shared" si="20"/>
        <v>0.3351845062638783</v>
      </c>
      <c r="T35" s="154">
        <f t="shared" si="20"/>
        <v>0.47830450071034103</v>
      </c>
      <c r="U35" s="154">
        <f t="shared" si="20"/>
        <v>0.58677643098379606</v>
      </c>
      <c r="V35" s="154">
        <f t="shared" si="20"/>
        <v>0.74851784733728555</v>
      </c>
      <c r="W35" s="162">
        <f t="shared" si="21"/>
        <v>1</v>
      </c>
      <c r="X35" s="154"/>
      <c r="Y35" s="142">
        <f t="shared" si="22"/>
        <v>3.2658730158730165E-2</v>
      </c>
      <c r="Z35" s="142">
        <f t="shared" si="22"/>
        <v>5.55952380952381E-2</v>
      </c>
      <c r="AA35" s="142">
        <f t="shared" si="22"/>
        <v>6.8809523809523834E-2</v>
      </c>
      <c r="AB35" s="142">
        <f t="shared" si="22"/>
        <v>6.9325396825396846E-2</v>
      </c>
      <c r="AC35" s="142">
        <f t="shared" si="22"/>
        <v>3.047619047619049E-2</v>
      </c>
      <c r="AD35" s="142">
        <f t="shared" si="22"/>
        <v>1.2827380952380963E-2</v>
      </c>
      <c r="AE35" s="142">
        <f t="shared" si="22"/>
        <v>6.7031746031746137E-3</v>
      </c>
      <c r="AF35" s="142">
        <f t="shared" si="22"/>
        <v>0</v>
      </c>
      <c r="AH35" s="158">
        <f t="shared" si="13"/>
        <v>3.6706349206349201E-2</v>
      </c>
      <c r="AI35" s="158">
        <f t="shared" si="14"/>
        <v>0.12202380952380951</v>
      </c>
      <c r="AJ35" s="158">
        <f t="shared" si="14"/>
        <v>0.25595238095238093</v>
      </c>
      <c r="AK35" s="158">
        <f t="shared" si="14"/>
        <v>0.45337301587301582</v>
      </c>
      <c r="AL35" s="158">
        <f t="shared" si="14"/>
        <v>0.59523809523809512</v>
      </c>
      <c r="AM35" s="158">
        <f t="shared" si="14"/>
        <v>0.69345238095238082</v>
      </c>
      <c r="AN35" s="158">
        <f t="shared" si="14"/>
        <v>0.82242063492063477</v>
      </c>
      <c r="AO35" s="158">
        <v>1</v>
      </c>
      <c r="AP35" s="143"/>
      <c r="AQ35" s="143">
        <f t="shared" si="5"/>
        <v>2.2762464883460145E-2</v>
      </c>
      <c r="AR35" s="143">
        <f t="shared" si="5"/>
        <v>4.5853173287578111E-2</v>
      </c>
      <c r="AS35" s="143">
        <f t="shared" si="5"/>
        <v>9.4325349222759841E-2</v>
      </c>
      <c r="AT35" s="143">
        <f t="shared" si="5"/>
        <v>0.17224351887008019</v>
      </c>
      <c r="AU35" s="143">
        <f t="shared" si="5"/>
        <v>0.14311999444646273</v>
      </c>
      <c r="AV35" s="143">
        <f t="shared" si="5"/>
        <v>0.10847193027345506</v>
      </c>
      <c r="AW35" s="143">
        <f t="shared" si="5"/>
        <v>0.16174141635348951</v>
      </c>
      <c r="AX35" s="143">
        <f t="shared" si="5"/>
        <v>0.25148215266271445</v>
      </c>
      <c r="AY35" s="46"/>
      <c r="AZ35" s="152">
        <f>Shares!D76</f>
        <v>3.7</v>
      </c>
      <c r="BA35" s="152">
        <f>Shares!E76</f>
        <v>8.6</v>
      </c>
      <c r="BB35" s="152">
        <f>Shares!F76</f>
        <v>13.5</v>
      </c>
      <c r="BC35" s="152">
        <f>Shares!G76</f>
        <v>19.899999999999999</v>
      </c>
      <c r="BD35" s="152">
        <f>Shares!J76</f>
        <v>14.3</v>
      </c>
      <c r="BE35" s="152">
        <f>Shares!K76</f>
        <v>9.9</v>
      </c>
      <c r="BF35" s="152">
        <f>Shares!L76</f>
        <v>13</v>
      </c>
      <c r="BG35" s="152">
        <f>Shares!M76</f>
        <v>17.899999999999999</v>
      </c>
      <c r="BI35" s="573">
        <f>TxRt!$B79-TxRt!C79+MAX(0,TxRt!$C79)</f>
        <v>13</v>
      </c>
      <c r="BJ35" s="573">
        <f>TxRt!B122-TxRt!C122+MAX(0,TxRt!$C122)</f>
        <v>11.2</v>
      </c>
      <c r="BK35" s="573">
        <f>TxRt!B162-TxRt!C162+MAX(0,TxRt!$C162)</f>
        <v>14.8</v>
      </c>
      <c r="BL35" s="573">
        <f>TxRt!B202-TxRt!C202+MAX(0,TxRt!$C202)</f>
        <v>18.3</v>
      </c>
      <c r="BM35" s="573">
        <f>TxRt!B282-TxRt!C282+MAX(0,TxRt!$C282)</f>
        <v>21</v>
      </c>
      <c r="BN35" s="573">
        <f>TxRt!B322-TxRt!C322+MAX(0,TxRt!$C322)</f>
        <v>23</v>
      </c>
      <c r="BO35" s="573">
        <f>TxRt!B362-TxRt!C362+MAX(0,TxRt!$C362)</f>
        <v>25.9</v>
      </c>
      <c r="BP35" s="573">
        <f>TxRt!B402-TxRt!C402+MAX(0,TxRt!$C402)</f>
        <v>30.2</v>
      </c>
      <c r="BQ35" s="46"/>
      <c r="BR35" s="60">
        <f>Inc!B76</f>
        <v>19300</v>
      </c>
      <c r="BS35" s="60">
        <f>Inc!B116</f>
        <v>42800</v>
      </c>
      <c r="BT35" s="60">
        <f>Inc!B156</f>
        <v>69000</v>
      </c>
      <c r="BU35" s="60">
        <f>Inc!B196</f>
        <v>101900</v>
      </c>
      <c r="BV35" s="60">
        <f>Inc!B276</f>
        <v>144200</v>
      </c>
      <c r="BW35" s="60">
        <f>Inc!B316</f>
        <v>194500</v>
      </c>
      <c r="BX35" s="60">
        <f>Inc!B356</f>
        <v>323300</v>
      </c>
      <c r="BY35" s="60">
        <f>Inc!B396</f>
        <v>1842000</v>
      </c>
      <c r="CA35" s="60">
        <f t="shared" si="23"/>
        <v>2509</v>
      </c>
      <c r="CB35" s="60">
        <f t="shared" si="23"/>
        <v>4793.5999999999995</v>
      </c>
      <c r="CC35" s="60">
        <f t="shared" si="23"/>
        <v>10212</v>
      </c>
      <c r="CD35" s="60">
        <f t="shared" si="23"/>
        <v>18647.7</v>
      </c>
      <c r="CE35" s="60">
        <f t="shared" si="23"/>
        <v>30282</v>
      </c>
      <c r="CF35" s="60">
        <f t="shared" si="23"/>
        <v>44735</v>
      </c>
      <c r="CG35" s="60">
        <f t="shared" si="23"/>
        <v>83734.7</v>
      </c>
      <c r="CH35" s="60">
        <f t="shared" si="23"/>
        <v>556284</v>
      </c>
      <c r="CJ35" s="153">
        <f t="shared" si="15"/>
        <v>55386.174999999988</v>
      </c>
      <c r="CK35" s="153">
        <f t="shared" si="7"/>
        <v>111571.03999999996</v>
      </c>
      <c r="CL35" s="153">
        <f t="shared" si="7"/>
        <v>229514.69999999998</v>
      </c>
      <c r="CM35" s="153">
        <f t="shared" si="7"/>
        <v>419107.0575</v>
      </c>
      <c r="CN35" s="153">
        <f t="shared" si="7"/>
        <v>348243</v>
      </c>
      <c r="CO35" s="153">
        <f t="shared" si="7"/>
        <v>263936.5</v>
      </c>
      <c r="CP35" s="153">
        <f t="shared" si="7"/>
        <v>393553.09</v>
      </c>
      <c r="CQ35" s="153">
        <f t="shared" si="7"/>
        <v>611912.4</v>
      </c>
      <c r="CR35" s="153">
        <f t="shared" si="16"/>
        <v>2433223.9624999999</v>
      </c>
      <c r="CT35" s="403">
        <v>289.3</v>
      </c>
      <c r="CU35" s="276">
        <f>Dem!B76+(DD35/4)</f>
        <v>22.074999999999996</v>
      </c>
      <c r="CV35" s="276">
        <f>Dem!B116+(DD35/4)</f>
        <v>23.274999999999995</v>
      </c>
      <c r="CW35" s="276">
        <f>Dem!B156+(DD35/4)</f>
        <v>22.474999999999998</v>
      </c>
      <c r="CX35" s="276">
        <f>Dem!B196+(DD35/4)</f>
        <v>22.474999999999998</v>
      </c>
      <c r="CY35" s="276">
        <f>Dem!B276</f>
        <v>11.5</v>
      </c>
      <c r="CZ35" s="276">
        <f>Dem!B316</f>
        <v>5.9</v>
      </c>
      <c r="DA35" s="276">
        <f>Dem!B356</f>
        <v>4.7</v>
      </c>
      <c r="DB35" s="276">
        <f>Dem!B396</f>
        <v>1.1000000000000001</v>
      </c>
      <c r="DC35" s="275">
        <v>114.5</v>
      </c>
      <c r="DD35" s="46">
        <v>-0.50000000000001421</v>
      </c>
      <c r="DE35" s="275"/>
      <c r="DF35" s="276">
        <f>Dem!$D76+(DO35/4)</f>
        <v>56.324999999999996</v>
      </c>
      <c r="DG35" s="276">
        <f>Dem!$D116+(DO35/4)</f>
        <v>57.624999999999993</v>
      </c>
      <c r="DH35" s="276">
        <f>Dem!$D156+(DO35/4)</f>
        <v>57.624999999999993</v>
      </c>
      <c r="DI35" s="276">
        <f>Dem!$D196+(DO35/4)</f>
        <v>57.624999999999993</v>
      </c>
      <c r="DJ35" s="275">
        <f>Dem!$D276</f>
        <v>28.9</v>
      </c>
      <c r="DK35" s="275">
        <f>Dem!$D316</f>
        <v>14.5</v>
      </c>
      <c r="DL35" s="275">
        <f>Dem!$D356</f>
        <v>11.6</v>
      </c>
      <c r="DM35" s="275">
        <f>Dem!$D396</f>
        <v>2.9</v>
      </c>
      <c r="DN35" s="276">
        <f t="shared" si="17"/>
        <v>289.3</v>
      </c>
      <c r="DO35" s="44">
        <v>-1.1000000000000227</v>
      </c>
    </row>
    <row r="36" spans="1:119">
      <c r="A36" s="46">
        <f t="shared" si="18"/>
        <v>2006</v>
      </c>
      <c r="B36" s="141">
        <f t="shared" si="8"/>
        <v>0.14559295006137707</v>
      </c>
      <c r="C36" s="46"/>
      <c r="D36" s="141">
        <f t="shared" si="9"/>
        <v>0.70625418266575091</v>
      </c>
      <c r="E36" s="141">
        <f t="shared" si="10"/>
        <v>0.56066123260437384</v>
      </c>
      <c r="F36" s="46"/>
      <c r="G36" s="157">
        <f t="shared" si="11"/>
        <v>3.539937804747411E-2</v>
      </c>
      <c r="H36" s="157">
        <f t="shared" si="11"/>
        <v>6.6337953960461479E-2</v>
      </c>
      <c r="I36" s="157">
        <f t="shared" si="11"/>
        <v>8.7478420514135277E-2</v>
      </c>
      <c r="J36" s="157">
        <f t="shared" si="11"/>
        <v>9.3394428837746291E-2</v>
      </c>
      <c r="K36" s="157">
        <f t="shared" si="11"/>
        <v>4.2420502389808962E-2</v>
      </c>
      <c r="L36" s="157">
        <f t="shared" si="11"/>
        <v>1.8311764810916897E-2</v>
      </c>
      <c r="M36" s="157">
        <f t="shared" si="11"/>
        <v>9.7846427723324823E-3</v>
      </c>
      <c r="N36" s="157">
        <f t="shared" si="11"/>
        <v>0</v>
      </c>
      <c r="O36" s="46"/>
      <c r="P36" s="154">
        <f t="shared" si="19"/>
        <v>2.3003109762629485E-2</v>
      </c>
      <c r="Q36" s="154">
        <f t="shared" si="20"/>
        <v>6.8310230197692681E-2</v>
      </c>
      <c r="R36" s="154">
        <f t="shared" si="20"/>
        <v>0.16260789742932374</v>
      </c>
      <c r="S36" s="154">
        <f t="shared" si="20"/>
        <v>0.33302785581126859</v>
      </c>
      <c r="T36" s="154">
        <f t="shared" si="20"/>
        <v>0.47579497610191046</v>
      </c>
      <c r="U36" s="154">
        <f t="shared" si="20"/>
        <v>0.58376470378166212</v>
      </c>
      <c r="V36" s="154">
        <f t="shared" si="20"/>
        <v>0.74538393069168807</v>
      </c>
      <c r="W36" s="162">
        <f t="shared" si="21"/>
        <v>1</v>
      </c>
      <c r="X36" s="154"/>
      <c r="Y36" s="142">
        <f t="shared" si="22"/>
        <v>3.2842942345924456E-2</v>
      </c>
      <c r="Z36" s="142">
        <f t="shared" si="22"/>
        <v>5.5944333996023859E-2</v>
      </c>
      <c r="AA36" s="142">
        <f t="shared" si="22"/>
        <v>6.9502982107355879E-2</v>
      </c>
      <c r="AB36" s="142">
        <f t="shared" si="22"/>
        <v>7.0536779324055665E-2</v>
      </c>
      <c r="AC36" s="142">
        <f t="shared" si="22"/>
        <v>3.1252485089463225E-2</v>
      </c>
      <c r="AD36" s="142">
        <f t="shared" si="22"/>
        <v>1.3255467196819089E-2</v>
      </c>
      <c r="AE36" s="142">
        <f t="shared" si="22"/>
        <v>6.9956262425447373E-3</v>
      </c>
      <c r="AF36" s="142">
        <f t="shared" si="22"/>
        <v>0</v>
      </c>
      <c r="AH36" s="158">
        <f t="shared" si="13"/>
        <v>3.5785288270377739E-2</v>
      </c>
      <c r="AI36" s="158">
        <f t="shared" si="14"/>
        <v>0.12027833001988072</v>
      </c>
      <c r="AJ36" s="158">
        <f t="shared" si="14"/>
        <v>0.25248508946322068</v>
      </c>
      <c r="AK36" s="158">
        <f t="shared" si="14"/>
        <v>0.44731610337972172</v>
      </c>
      <c r="AL36" s="158">
        <f t="shared" si="14"/>
        <v>0.5874751491053678</v>
      </c>
      <c r="AM36" s="158">
        <f t="shared" si="14"/>
        <v>0.68489065606361832</v>
      </c>
      <c r="AN36" s="158">
        <f t="shared" si="14"/>
        <v>0.81510934393638168</v>
      </c>
      <c r="AO36" s="158">
        <v>1</v>
      </c>
      <c r="AP36" s="143"/>
      <c r="AQ36" s="143">
        <f t="shared" si="5"/>
        <v>2.3003109762629485E-2</v>
      </c>
      <c r="AR36" s="143">
        <f t="shared" si="5"/>
        <v>4.5307120435063193E-2</v>
      </c>
      <c r="AS36" s="143">
        <f t="shared" si="5"/>
        <v>9.4297667231631077E-2</v>
      </c>
      <c r="AT36" s="143">
        <f t="shared" si="5"/>
        <v>0.17041995838194485</v>
      </c>
      <c r="AU36" s="143">
        <f t="shared" si="5"/>
        <v>0.14276712029064187</v>
      </c>
      <c r="AV36" s="143">
        <f t="shared" si="5"/>
        <v>0.10796972767975169</v>
      </c>
      <c r="AW36" s="143">
        <f t="shared" si="5"/>
        <v>0.161619226910026</v>
      </c>
      <c r="AX36" s="143">
        <f t="shared" si="5"/>
        <v>0.25461606930831193</v>
      </c>
      <c r="AY36" s="46"/>
      <c r="AZ36" s="152">
        <f>Shares!D77</f>
        <v>3.6</v>
      </c>
      <c r="BA36" s="152">
        <f>Shares!E77</f>
        <v>8.5</v>
      </c>
      <c r="BB36" s="152">
        <f>Shares!F77</f>
        <v>13.3</v>
      </c>
      <c r="BC36" s="152">
        <f>Shares!G77</f>
        <v>19.600000000000001</v>
      </c>
      <c r="BD36" s="152">
        <f>Shares!J77</f>
        <v>14.1</v>
      </c>
      <c r="BE36" s="152">
        <f>Shares!K77</f>
        <v>9.8000000000000007</v>
      </c>
      <c r="BF36" s="152">
        <f>Shares!L77</f>
        <v>13.1</v>
      </c>
      <c r="BG36" s="152">
        <f>Shares!M77</f>
        <v>18.600000000000001</v>
      </c>
      <c r="BI36" s="573">
        <f>TxRt!$B80-TxRt!C80+MAX(0,TxRt!$C80)</f>
        <v>13.4</v>
      </c>
      <c r="BJ36" s="573">
        <f>TxRt!B123-TxRt!C123+MAX(0,TxRt!$C123)</f>
        <v>11.2</v>
      </c>
      <c r="BK36" s="573">
        <f>TxRt!B163-TxRt!C163+MAX(0,TxRt!$C163)</f>
        <v>14.9</v>
      </c>
      <c r="BL36" s="573">
        <f>TxRt!B203-TxRt!C203+MAX(0,TxRt!$C203)</f>
        <v>18.3</v>
      </c>
      <c r="BM36" s="573">
        <f>TxRt!B283-TxRt!C283+MAX(0,TxRt!$C283)</f>
        <v>21.2</v>
      </c>
      <c r="BN36" s="573">
        <f>TxRt!B323-TxRt!C323+MAX(0,TxRt!$C323)</f>
        <v>23.1</v>
      </c>
      <c r="BO36" s="573">
        <f>TxRt!B363-TxRt!C363+MAX(0,TxRt!$C363)</f>
        <v>25.9</v>
      </c>
      <c r="BP36" s="573">
        <f>TxRt!B403-TxRt!C403+MAX(0,TxRt!$C403)</f>
        <v>29.8</v>
      </c>
      <c r="BQ36" s="46"/>
      <c r="BR36" s="60">
        <f>Inc!B77</f>
        <v>20300</v>
      </c>
      <c r="BS36" s="60">
        <f>Inc!B117</f>
        <v>43800</v>
      </c>
      <c r="BT36" s="60">
        <f>Inc!B157</f>
        <v>69700</v>
      </c>
      <c r="BU36" s="60">
        <f>Inc!B197</f>
        <v>103900</v>
      </c>
      <c r="BV36" s="60">
        <f>Inc!B277</f>
        <v>147700</v>
      </c>
      <c r="BW36" s="60">
        <f>Inc!B317</f>
        <v>199900</v>
      </c>
      <c r="BX36" s="60">
        <f>Inc!B357</f>
        <v>333600</v>
      </c>
      <c r="BY36" s="60">
        <f>Inc!B397</f>
        <v>1993200</v>
      </c>
      <c r="CA36" s="60">
        <f t="shared" si="23"/>
        <v>2720.2</v>
      </c>
      <c r="CB36" s="60">
        <f t="shared" si="23"/>
        <v>4905.5999999999995</v>
      </c>
      <c r="CC36" s="60">
        <f t="shared" si="23"/>
        <v>10385.299999999999</v>
      </c>
      <c r="CD36" s="60">
        <f t="shared" si="23"/>
        <v>19013.7</v>
      </c>
      <c r="CE36" s="60">
        <f t="shared" si="23"/>
        <v>31312.400000000001</v>
      </c>
      <c r="CF36" s="60">
        <f t="shared" si="23"/>
        <v>46176.9</v>
      </c>
      <c r="CG36" s="60">
        <f t="shared" si="23"/>
        <v>86402.4</v>
      </c>
      <c r="CH36" s="60">
        <f t="shared" si="23"/>
        <v>593973.6</v>
      </c>
      <c r="CJ36" s="153">
        <f t="shared" si="15"/>
        <v>59028.34</v>
      </c>
      <c r="CK36" s="153">
        <f t="shared" si="7"/>
        <v>116262.71999999999</v>
      </c>
      <c r="CL36" s="153">
        <f t="shared" si="7"/>
        <v>241977.48999999996</v>
      </c>
      <c r="CM36" s="153">
        <f t="shared" si="7"/>
        <v>437315.10000000003</v>
      </c>
      <c r="CN36" s="153">
        <f t="shared" si="7"/>
        <v>366355.08</v>
      </c>
      <c r="CO36" s="153">
        <f t="shared" si="7"/>
        <v>277061.40000000002</v>
      </c>
      <c r="CP36" s="153">
        <f t="shared" si="7"/>
        <v>414731.51999999996</v>
      </c>
      <c r="CQ36" s="153">
        <f t="shared" si="7"/>
        <v>653370.96000000008</v>
      </c>
      <c r="CR36" s="153">
        <f t="shared" si="16"/>
        <v>2566102.61</v>
      </c>
      <c r="CT36" s="403">
        <v>292.7</v>
      </c>
      <c r="CU36" s="276">
        <f>Dem!B77+(DD36/4)</f>
        <v>21.7</v>
      </c>
      <c r="CV36" s="276">
        <f>Dem!B117+(DD36/4)</f>
        <v>23.7</v>
      </c>
      <c r="CW36" s="276">
        <f>Dem!B157+(DD36/4)</f>
        <v>23.299999999999997</v>
      </c>
      <c r="CX36" s="276">
        <f>Dem!B197+(DD36/4)</f>
        <v>23</v>
      </c>
      <c r="CY36" s="276">
        <f>Dem!B277</f>
        <v>11.7</v>
      </c>
      <c r="CZ36" s="276">
        <f>Dem!B317</f>
        <v>6</v>
      </c>
      <c r="DA36" s="276">
        <f>Dem!B357</f>
        <v>4.8</v>
      </c>
      <c r="DB36" s="276">
        <f>Dem!B397</f>
        <v>1.1000000000000001</v>
      </c>
      <c r="DC36" s="275">
        <v>116.1</v>
      </c>
      <c r="DD36" s="46">
        <v>-0.40000000000000568</v>
      </c>
      <c r="DE36" s="275"/>
      <c r="DF36" s="276">
        <f>Dem!$D77+(DO36/4)</f>
        <v>56.95</v>
      </c>
      <c r="DG36" s="276">
        <f>Dem!$D117+(DO36/4)</f>
        <v>58.150000000000006</v>
      </c>
      <c r="DH36" s="276">
        <f>Dem!$D157+(DO36/4)</f>
        <v>58.150000000000006</v>
      </c>
      <c r="DI36" s="276">
        <f>Dem!$D197+(DO36/4)</f>
        <v>58.150000000000006</v>
      </c>
      <c r="DJ36" s="275">
        <f>Dem!$D277</f>
        <v>29.3</v>
      </c>
      <c r="DK36" s="275">
        <f>Dem!$D317</f>
        <v>14.6</v>
      </c>
      <c r="DL36" s="275">
        <f>Dem!$D357</f>
        <v>11.7</v>
      </c>
      <c r="DM36" s="275">
        <f>Dem!$D397</f>
        <v>2.9</v>
      </c>
      <c r="DN36" s="276">
        <f t="shared" si="17"/>
        <v>292.7</v>
      </c>
      <c r="DO36" s="44">
        <v>-1.3999999999999773</v>
      </c>
    </row>
    <row r="37" spans="1:119">
      <c r="A37" s="46">
        <f t="shared" si="18"/>
        <v>2007</v>
      </c>
      <c r="B37" s="141">
        <f t="shared" si="8"/>
        <v>0.15217387006935712</v>
      </c>
      <c r="C37" s="46"/>
      <c r="D37" s="164">
        <f t="shared" si="9"/>
        <v>0.71067942562491271</v>
      </c>
      <c r="E37" s="164">
        <f t="shared" si="10"/>
        <v>0.55850555555555559</v>
      </c>
      <c r="F37" s="37"/>
      <c r="G37" s="165">
        <f t="shared" si="11"/>
        <v>3.5293146939296159E-2</v>
      </c>
      <c r="H37" s="165">
        <f t="shared" si="11"/>
        <v>6.6115369224208312E-2</v>
      </c>
      <c r="I37" s="165">
        <f t="shared" si="11"/>
        <v>8.7521517064247045E-2</v>
      </c>
      <c r="J37" s="165">
        <f t="shared" si="11"/>
        <v>9.4206736476892802E-2</v>
      </c>
      <c r="K37" s="165">
        <f t="shared" si="11"/>
        <v>4.3105237971066482E-2</v>
      </c>
      <c r="L37" s="165">
        <f t="shared" si="11"/>
        <v>1.8791946589499904E-2</v>
      </c>
      <c r="M37" s="165">
        <f t="shared" si="11"/>
        <v>1.0305758547245683E-2</v>
      </c>
      <c r="N37" s="165">
        <f t="shared" si="11"/>
        <v>0</v>
      </c>
      <c r="O37" s="37"/>
      <c r="P37" s="154">
        <f t="shared" si="19"/>
        <v>2.353426530351924E-2</v>
      </c>
      <c r="Q37" s="154">
        <f t="shared" si="20"/>
        <v>6.9423153878958463E-2</v>
      </c>
      <c r="R37" s="154">
        <f t="shared" si="20"/>
        <v>0.16239241467876486</v>
      </c>
      <c r="S37" s="154">
        <f t="shared" si="20"/>
        <v>0.32896631761553607</v>
      </c>
      <c r="T37" s="154">
        <f t="shared" si="20"/>
        <v>0.46894762028933523</v>
      </c>
      <c r="U37" s="154">
        <f t="shared" si="20"/>
        <v>0.57416106821000201</v>
      </c>
      <c r="V37" s="154">
        <f t="shared" si="20"/>
        <v>0.73235603631885804</v>
      </c>
      <c r="W37" s="162">
        <f t="shared" si="21"/>
        <v>1</v>
      </c>
      <c r="X37" s="154"/>
      <c r="Y37" s="142">
        <f t="shared" si="22"/>
        <v>3.2261904761904762E-2</v>
      </c>
      <c r="Z37" s="142">
        <f t="shared" si="22"/>
        <v>5.5198412698412705E-2</v>
      </c>
      <c r="AA37" s="142">
        <f t="shared" si="22"/>
        <v>6.9007936507936532E-2</v>
      </c>
      <c r="AB37" s="142">
        <f t="shared" si="22"/>
        <v>7.071428571428573E-2</v>
      </c>
      <c r="AC37" s="142">
        <f t="shared" si="22"/>
        <v>3.1468253968253979E-2</v>
      </c>
      <c r="AD37" s="142">
        <f t="shared" si="22"/>
        <v>1.3422619047619056E-2</v>
      </c>
      <c r="AE37" s="142">
        <f t="shared" si="22"/>
        <v>7.1793650793650875E-3</v>
      </c>
      <c r="AF37" s="142">
        <f t="shared" si="22"/>
        <v>0</v>
      </c>
      <c r="AH37" s="158">
        <f t="shared" si="13"/>
        <v>3.8690476190476185E-2</v>
      </c>
      <c r="AI37" s="158">
        <f t="shared" si="14"/>
        <v>0.12400793650793648</v>
      </c>
      <c r="AJ37" s="158">
        <f t="shared" si="14"/>
        <v>0.25496031746031744</v>
      </c>
      <c r="AK37" s="158">
        <f t="shared" si="14"/>
        <v>0.4464285714285714</v>
      </c>
      <c r="AL37" s="158">
        <f t="shared" si="14"/>
        <v>0.58531746031746024</v>
      </c>
      <c r="AM37" s="158">
        <f t="shared" si="14"/>
        <v>0.68154761904761896</v>
      </c>
      <c r="AN37" s="158">
        <f t="shared" si="14"/>
        <v>0.81051587301587291</v>
      </c>
      <c r="AO37" s="158">
        <v>1</v>
      </c>
      <c r="AP37" s="143"/>
      <c r="AQ37" s="143">
        <f t="shared" si="5"/>
        <v>2.353426530351924E-2</v>
      </c>
      <c r="AR37" s="143">
        <f t="shared" si="5"/>
        <v>4.5888888575439227E-2</v>
      </c>
      <c r="AS37" s="143">
        <f t="shared" si="5"/>
        <v>9.2969260799806414E-2</v>
      </c>
      <c r="AT37" s="143">
        <f t="shared" si="5"/>
        <v>0.16657390293677118</v>
      </c>
      <c r="AU37" s="143">
        <f t="shared" si="5"/>
        <v>0.13998130267379916</v>
      </c>
      <c r="AV37" s="143">
        <f t="shared" si="5"/>
        <v>0.10521344792066678</v>
      </c>
      <c r="AW37" s="143">
        <f t="shared" si="5"/>
        <v>0.158194968108856</v>
      </c>
      <c r="AX37" s="143">
        <f t="shared" si="5"/>
        <v>0.26764396368114196</v>
      </c>
      <c r="AY37" s="46"/>
      <c r="AZ37" s="152">
        <f>Shares!D78</f>
        <v>3.9</v>
      </c>
      <c r="BA37" s="152">
        <f>Shares!E78</f>
        <v>8.6</v>
      </c>
      <c r="BB37" s="152">
        <f>Shares!F78</f>
        <v>13.2</v>
      </c>
      <c r="BC37" s="152">
        <f>Shares!G78</f>
        <v>19.3</v>
      </c>
      <c r="BD37" s="152">
        <f>Shares!J78</f>
        <v>14</v>
      </c>
      <c r="BE37" s="152">
        <f>Shares!K78</f>
        <v>9.6999999999999993</v>
      </c>
      <c r="BF37" s="152">
        <f>Shares!L78</f>
        <v>13</v>
      </c>
      <c r="BG37" s="152">
        <f>Shares!M78</f>
        <v>19.100000000000001</v>
      </c>
      <c r="BI37" s="573">
        <f>TxRt!$B81-TxRt!C81+MAX(0,TxRt!$C81)</f>
        <v>12.8</v>
      </c>
      <c r="BJ37" s="573">
        <f>TxRt!B124-TxRt!C124+MAX(0,TxRt!$C124)</f>
        <v>11.2</v>
      </c>
      <c r="BK37" s="573">
        <f>TxRt!B164-TxRt!C164+MAX(0,TxRt!$C164)</f>
        <v>14.8</v>
      </c>
      <c r="BL37" s="573">
        <f>TxRt!B204-TxRt!C204+MAX(0,TxRt!$C204)</f>
        <v>18.100000000000001</v>
      </c>
      <c r="BM37" s="573">
        <f>TxRt!B284-TxRt!C284+MAX(0,TxRt!$C284)</f>
        <v>20.9</v>
      </c>
      <c r="BN37" s="573">
        <f>TxRt!B324-TxRt!C324+MAX(0,TxRt!$C324)</f>
        <v>22.7</v>
      </c>
      <c r="BO37" s="573">
        <f>TxRt!B364-TxRt!C364+MAX(0,TxRt!$C364)</f>
        <v>25.4</v>
      </c>
      <c r="BP37" s="573">
        <f>TxRt!B404-TxRt!C404+MAX(0,TxRt!$C404)</f>
        <v>28.2</v>
      </c>
      <c r="BQ37" s="46"/>
      <c r="BR37" s="60">
        <f>Inc!B78</f>
        <v>21600</v>
      </c>
      <c r="BS37" s="60">
        <f>Inc!B118</f>
        <v>45900</v>
      </c>
      <c r="BT37" s="60">
        <f>Inc!B158</f>
        <v>72200</v>
      </c>
      <c r="BU37" s="60">
        <f>Inc!B198</f>
        <v>106700</v>
      </c>
      <c r="BV37" s="60">
        <f>Inc!B278</f>
        <v>150700</v>
      </c>
      <c r="BW37" s="60">
        <f>Inc!B318</f>
        <v>205100</v>
      </c>
      <c r="BX37" s="60">
        <f>Inc!B358</f>
        <v>344500</v>
      </c>
      <c r="BY37" s="60">
        <f>Inc!B398</f>
        <v>2099900</v>
      </c>
      <c r="CA37" s="60">
        <f t="shared" si="23"/>
        <v>2764.8</v>
      </c>
      <c r="CB37" s="60">
        <f t="shared" si="23"/>
        <v>5140.7999999999993</v>
      </c>
      <c r="CC37" s="60">
        <f t="shared" si="23"/>
        <v>10685.6</v>
      </c>
      <c r="CD37" s="60">
        <f t="shared" si="23"/>
        <v>19312.7</v>
      </c>
      <c r="CE37" s="60">
        <f t="shared" si="23"/>
        <v>31496.3</v>
      </c>
      <c r="CF37" s="60">
        <f t="shared" si="23"/>
        <v>46557.7</v>
      </c>
      <c r="CG37" s="60">
        <f t="shared" si="23"/>
        <v>87503</v>
      </c>
      <c r="CH37" s="60">
        <f t="shared" si="23"/>
        <v>592171.80000000005</v>
      </c>
      <c r="CJ37" s="153">
        <f t="shared" si="15"/>
        <v>62484.479999999996</v>
      </c>
      <c r="CK37" s="153">
        <f t="shared" si="7"/>
        <v>121836.95999999998</v>
      </c>
      <c r="CL37" s="153">
        <f t="shared" si="7"/>
        <v>246837.36</v>
      </c>
      <c r="CM37" s="153">
        <f t="shared" si="7"/>
        <v>442260.83</v>
      </c>
      <c r="CN37" s="153">
        <f t="shared" si="7"/>
        <v>371656.34</v>
      </c>
      <c r="CO37" s="153">
        <f t="shared" si="7"/>
        <v>279346.19999999995</v>
      </c>
      <c r="CP37" s="153">
        <f t="shared" si="7"/>
        <v>420014.39999999997</v>
      </c>
      <c r="CQ37" s="153">
        <f t="shared" si="7"/>
        <v>710606.16</v>
      </c>
      <c r="CR37" s="153">
        <f t="shared" si="16"/>
        <v>2655042.73</v>
      </c>
      <c r="CT37" s="403">
        <v>292.89999999999998</v>
      </c>
      <c r="CU37" s="276">
        <f>Dem!B78+(DD37/4)</f>
        <v>22.599999999999998</v>
      </c>
      <c r="CV37" s="276">
        <f>Dem!B118+(DD37/4)</f>
        <v>23.7</v>
      </c>
      <c r="CW37" s="276">
        <f>Dem!B158+(DD37/4)</f>
        <v>23.099999999999998</v>
      </c>
      <c r="CX37" s="276">
        <f>Dem!B198+(DD37/4)</f>
        <v>22.9</v>
      </c>
      <c r="CY37" s="276">
        <f>Dem!B278</f>
        <v>11.8</v>
      </c>
      <c r="CZ37" s="276">
        <f>Dem!B318</f>
        <v>6</v>
      </c>
      <c r="DA37" s="276">
        <f>Dem!B358</f>
        <v>4.8</v>
      </c>
      <c r="DB37" s="276">
        <f>Dem!B398</f>
        <v>1.2</v>
      </c>
      <c r="DC37" s="275">
        <v>116.9</v>
      </c>
      <c r="DD37" s="46">
        <v>-0.40000000000000568</v>
      </c>
      <c r="DE37" s="275"/>
      <c r="DF37" s="276">
        <f>Dem!$D78+(DO37/4)</f>
        <v>56.974999999999994</v>
      </c>
      <c r="DG37" s="276">
        <f>Dem!$D118+(DO37/4)</f>
        <v>58.274999999999999</v>
      </c>
      <c r="DH37" s="276">
        <f>Dem!$D158+(DO37/4)</f>
        <v>58.274999999999999</v>
      </c>
      <c r="DI37" s="276">
        <f>Dem!$D198+(DO37/4)</f>
        <v>58.274999999999999</v>
      </c>
      <c r="DJ37" s="275">
        <f>Dem!$D278</f>
        <v>29.3</v>
      </c>
      <c r="DK37" s="275">
        <f>Dem!$D318</f>
        <v>14.6</v>
      </c>
      <c r="DL37" s="275">
        <f>Dem!$D358</f>
        <v>11.7</v>
      </c>
      <c r="DM37" s="275">
        <f>Dem!$D398</f>
        <v>2.9</v>
      </c>
      <c r="DN37" s="276">
        <f t="shared" si="17"/>
        <v>292.89999999999998</v>
      </c>
      <c r="DO37" s="44">
        <v>-1.3000000000000114</v>
      </c>
    </row>
    <row r="38" spans="1:119">
      <c r="A38" s="46">
        <f t="shared" si="18"/>
        <v>2008</v>
      </c>
      <c r="B38" s="141">
        <f t="shared" si="8"/>
        <v>0.16387529217549257</v>
      </c>
      <c r="C38" s="46"/>
      <c r="D38" s="164">
        <f>SUM(G38:N38)*2</f>
        <v>0.69718596411225164</v>
      </c>
      <c r="E38" s="164">
        <f t="shared" si="10"/>
        <v>0.53331067193675907</v>
      </c>
      <c r="F38" s="37"/>
      <c r="G38" s="165">
        <f>(P$5-P38)*P$4</f>
        <v>3.4734203699772585E-2</v>
      </c>
      <c r="H38" s="165">
        <f t="shared" si="11"/>
        <v>6.4851171088775875E-2</v>
      </c>
      <c r="I38" s="165">
        <f t="shared" si="11"/>
        <v>8.7197285532240876E-2</v>
      </c>
      <c r="J38" s="165">
        <f t="shared" si="11"/>
        <v>9.3210759887105282E-2</v>
      </c>
      <c r="K38" s="165">
        <f t="shared" si="11"/>
        <v>4.1889287360980521E-2</v>
      </c>
      <c r="L38" s="165">
        <f t="shared" si="11"/>
        <v>1.7673030980089627E-2</v>
      </c>
      <c r="M38" s="165">
        <f t="shared" si="11"/>
        <v>9.0372435071610149E-3</v>
      </c>
      <c r="N38" s="165">
        <f t="shared" si="11"/>
        <v>0</v>
      </c>
      <c r="O38" s="37"/>
      <c r="P38" s="154">
        <f t="shared" si="19"/>
        <v>2.6328981501137098E-2</v>
      </c>
      <c r="Q38" s="154">
        <f t="shared" si="20"/>
        <v>7.5744144556120663E-2</v>
      </c>
      <c r="R38" s="154">
        <f t="shared" si="20"/>
        <v>0.16401357233879571</v>
      </c>
      <c r="S38" s="154">
        <f t="shared" si="20"/>
        <v>0.33394620056447366</v>
      </c>
      <c r="T38" s="154">
        <f t="shared" si="20"/>
        <v>0.48110712639019482</v>
      </c>
      <c r="U38" s="154">
        <f t="shared" si="20"/>
        <v>0.59653938039820753</v>
      </c>
      <c r="V38" s="154">
        <f t="shared" si="20"/>
        <v>0.76406891232097474</v>
      </c>
      <c r="W38" s="162">
        <f t="shared" si="21"/>
        <v>1</v>
      </c>
      <c r="X38" s="154"/>
      <c r="Y38" s="142">
        <f t="shared" si="22"/>
        <v>3.2094861660079056E-2</v>
      </c>
      <c r="Z38" s="142">
        <f t="shared" si="22"/>
        <v>5.4308300395256928E-2</v>
      </c>
      <c r="AA38" s="142">
        <f t="shared" si="22"/>
        <v>6.6837944664031645E-2</v>
      </c>
      <c r="AB38" s="142">
        <f t="shared" si="22"/>
        <v>6.6521739130434812E-2</v>
      </c>
      <c r="AC38" s="142">
        <f t="shared" si="22"/>
        <v>2.8833992094861673E-2</v>
      </c>
      <c r="AD38" s="142">
        <f t="shared" si="22"/>
        <v>1.1976284584980247E-2</v>
      </c>
      <c r="AE38" s="142">
        <f t="shared" si="22"/>
        <v>6.0822134387351892E-3</v>
      </c>
      <c r="AF38" s="142">
        <f t="shared" si="22"/>
        <v>0</v>
      </c>
      <c r="AH38" s="158">
        <f t="shared" si="13"/>
        <v>3.9525691699604737E-2</v>
      </c>
      <c r="AI38" s="158">
        <f t="shared" si="14"/>
        <v>0.1284584980237154</v>
      </c>
      <c r="AJ38" s="158">
        <f t="shared" si="14"/>
        <v>0.26581027667984186</v>
      </c>
      <c r="AK38" s="158">
        <f t="shared" si="14"/>
        <v>0.467391304347826</v>
      </c>
      <c r="AL38" s="158">
        <f t="shared" si="14"/>
        <v>0.61166007905138331</v>
      </c>
      <c r="AM38" s="158">
        <f t="shared" si="14"/>
        <v>0.71047430830039515</v>
      </c>
      <c r="AN38" s="158">
        <f t="shared" si="14"/>
        <v>0.83794466403162038</v>
      </c>
      <c r="AO38" s="158">
        <v>1</v>
      </c>
      <c r="AP38" s="143"/>
      <c r="AQ38" s="143">
        <f t="shared" si="5"/>
        <v>2.6328981501137098E-2</v>
      </c>
      <c r="AR38" s="143">
        <f t="shared" si="5"/>
        <v>4.9415163054983564E-2</v>
      </c>
      <c r="AS38" s="143">
        <f t="shared" si="5"/>
        <v>8.8269427782675033E-2</v>
      </c>
      <c r="AT38" s="143">
        <f t="shared" si="5"/>
        <v>0.16993262822567792</v>
      </c>
      <c r="AU38" s="143">
        <f t="shared" si="5"/>
        <v>0.14716092582572116</v>
      </c>
      <c r="AV38" s="143">
        <f t="shared" si="5"/>
        <v>0.11543225400801266</v>
      </c>
      <c r="AW38" s="143">
        <f t="shared" si="5"/>
        <v>0.16752953192276718</v>
      </c>
      <c r="AX38" s="143">
        <f t="shared" si="5"/>
        <v>0.23593108767902532</v>
      </c>
      <c r="AY38" s="46"/>
      <c r="AZ38" s="152">
        <f>Shares!D79</f>
        <v>4</v>
      </c>
      <c r="BA38" s="152">
        <f>Shares!E79</f>
        <v>9</v>
      </c>
      <c r="BB38" s="152">
        <f>Shares!F79</f>
        <v>13.9</v>
      </c>
      <c r="BC38" s="152">
        <f>Shares!G79</f>
        <v>20.399999999999999</v>
      </c>
      <c r="BD38" s="152">
        <f>Shares!J79</f>
        <v>14.6</v>
      </c>
      <c r="BE38" s="152">
        <f>Shares!K79</f>
        <v>10</v>
      </c>
      <c r="BF38" s="152">
        <f>Shares!L79</f>
        <v>12.9</v>
      </c>
      <c r="BG38" s="152">
        <f>Shares!M79</f>
        <v>16.399999999999999</v>
      </c>
      <c r="BI38" s="573">
        <f>TxRt!$B82-TxRt!C82+MAX(0,TxRt!$C82)</f>
        <v>12.5</v>
      </c>
      <c r="BJ38" s="573">
        <f>TxRt!B125-TxRt!C125+MAX(0,TxRt!$C125)</f>
        <v>10.5</v>
      </c>
      <c r="BK38" s="573">
        <f>TxRt!B165-TxRt!C165+MAX(0,TxRt!$C165)</f>
        <v>12.2</v>
      </c>
      <c r="BL38" s="573">
        <f>TxRt!B205-TxRt!C205+MAX(0,TxRt!$C205)</f>
        <v>16</v>
      </c>
      <c r="BM38" s="573">
        <f>TxRt!B285-TxRt!C285+MAX(0,TxRt!$C285)</f>
        <v>19.3</v>
      </c>
      <c r="BN38" s="573">
        <f>TxRt!B325-TxRt!C325+MAX(0,TxRt!$C325)</f>
        <v>21.8</v>
      </c>
      <c r="BO38" s="573">
        <f>TxRt!B365-TxRt!C365+MAX(0,TxRt!$C365)</f>
        <v>24.6</v>
      </c>
      <c r="BP38" s="573">
        <f>TxRt!B405-TxRt!C405+MAX(0,TxRt!$C405)</f>
        <v>28.1</v>
      </c>
      <c r="BQ38" s="46"/>
      <c r="BR38" s="60">
        <f>Inc!B79</f>
        <v>21200</v>
      </c>
      <c r="BS38" s="60">
        <f>Inc!B119</f>
        <v>44200</v>
      </c>
      <c r="BT38" s="60">
        <f>Inc!B159</f>
        <v>70000</v>
      </c>
      <c r="BU38" s="60">
        <f>Inc!B199</f>
        <v>104100</v>
      </c>
      <c r="BV38" s="60">
        <f>Inc!B279</f>
        <v>147700</v>
      </c>
      <c r="BW38" s="60">
        <f>Inc!B319</f>
        <v>198300</v>
      </c>
      <c r="BX38" s="60">
        <f>Inc!B359</f>
        <v>318800</v>
      </c>
      <c r="BY38" s="60">
        <f>Inc!B399</f>
        <v>1715100</v>
      </c>
      <c r="CA38" s="60">
        <f t="shared" si="23"/>
        <v>2650</v>
      </c>
      <c r="CB38" s="60">
        <f t="shared" si="23"/>
        <v>4641</v>
      </c>
      <c r="CC38" s="60">
        <f t="shared" si="23"/>
        <v>8540</v>
      </c>
      <c r="CD38" s="60">
        <f t="shared" si="23"/>
        <v>16656</v>
      </c>
      <c r="CE38" s="60">
        <f t="shared" si="23"/>
        <v>28506.1</v>
      </c>
      <c r="CF38" s="60">
        <f t="shared" si="23"/>
        <v>43229.4</v>
      </c>
      <c r="CG38" s="60">
        <f t="shared" si="23"/>
        <v>78424.800000000003</v>
      </c>
      <c r="CH38" s="60">
        <f t="shared" si="23"/>
        <v>481943.1</v>
      </c>
      <c r="CJ38" s="153">
        <f t="shared" si="15"/>
        <v>59161.249999999985</v>
      </c>
      <c r="CK38" s="153">
        <f t="shared" si="7"/>
        <v>111035.92499999999</v>
      </c>
      <c r="CL38" s="153">
        <f t="shared" si="7"/>
        <v>198341.49999999994</v>
      </c>
      <c r="CM38" s="153">
        <f t="shared" si="7"/>
        <v>381838.79999999993</v>
      </c>
      <c r="CN38" s="153">
        <f t="shared" si="7"/>
        <v>330670.75999999995</v>
      </c>
      <c r="CO38" s="153">
        <f t="shared" si="7"/>
        <v>259376.40000000002</v>
      </c>
      <c r="CP38" s="153">
        <f t="shared" si="7"/>
        <v>376439.03999999998</v>
      </c>
      <c r="CQ38" s="153">
        <f t="shared" si="7"/>
        <v>530137.41</v>
      </c>
      <c r="CR38" s="153">
        <f t="shared" si="16"/>
        <v>2247001.085</v>
      </c>
      <c r="CT38" s="403">
        <v>295.10000000000002</v>
      </c>
      <c r="CU38" s="276">
        <f>Dem!B79+(DD38/4)</f>
        <v>22.324999999999996</v>
      </c>
      <c r="CV38" s="276">
        <f>Dem!B119+(DD38/4)</f>
        <v>23.924999999999997</v>
      </c>
      <c r="CW38" s="276">
        <f>Dem!B159+(DD38/4)</f>
        <v>23.224999999999994</v>
      </c>
      <c r="CX38" s="276">
        <f>Dem!B199+(DD38/4)</f>
        <v>22.924999999999997</v>
      </c>
      <c r="CY38" s="276">
        <f>Dem!B279</f>
        <v>11.6</v>
      </c>
      <c r="CZ38" s="276">
        <f>Dem!B319</f>
        <v>6</v>
      </c>
      <c r="DA38" s="276">
        <f>Dem!B359</f>
        <v>4.8</v>
      </c>
      <c r="DB38" s="276">
        <f>Dem!B399</f>
        <v>1.1000000000000001</v>
      </c>
      <c r="DC38" s="275">
        <v>117.3</v>
      </c>
      <c r="DD38" s="46">
        <v>-0.70000000000001705</v>
      </c>
      <c r="DE38" s="275"/>
      <c r="DF38" s="276">
        <f>Dem!$D79+(DO38/4)</f>
        <v>57.125</v>
      </c>
      <c r="DG38" s="276">
        <f>Dem!$D119+(DO38/4)</f>
        <v>58.625</v>
      </c>
      <c r="DH38" s="276">
        <f>Dem!$D159+(DO38/4)</f>
        <v>58.625</v>
      </c>
      <c r="DI38" s="276">
        <f>Dem!$D199+(DO38/4)</f>
        <v>58.625</v>
      </c>
      <c r="DJ38" s="275">
        <f>Dem!$D279</f>
        <v>29.5</v>
      </c>
      <c r="DK38" s="275">
        <f>Dem!$D319</f>
        <v>14.8</v>
      </c>
      <c r="DL38" s="275">
        <f>Dem!$D359</f>
        <v>11.8</v>
      </c>
      <c r="DM38" s="275">
        <f>Dem!$D399</f>
        <v>3</v>
      </c>
      <c r="DN38" s="276">
        <f t="shared" si="17"/>
        <v>295.10000000000002</v>
      </c>
      <c r="DO38" s="44">
        <v>-1.5</v>
      </c>
    </row>
    <row r="39" spans="1:119">
      <c r="A39" s="46">
        <f t="shared" si="18"/>
        <v>2009</v>
      </c>
      <c r="B39" s="141">
        <f t="shared" si="8"/>
        <v>0.16654134931256548</v>
      </c>
      <c r="C39" s="46"/>
      <c r="D39" s="164">
        <f t="shared" si="9"/>
        <v>0.67873149709581693</v>
      </c>
      <c r="E39" s="164">
        <f t="shared" si="10"/>
        <v>0.51219014778325145</v>
      </c>
      <c r="F39" s="37"/>
      <c r="G39" s="165">
        <f t="shared" si="11"/>
        <v>3.4709514861025706E-2</v>
      </c>
      <c r="H39" s="165">
        <f t="shared" si="11"/>
        <v>6.4638036326059412E-2</v>
      </c>
      <c r="I39" s="165">
        <f t="shared" si="11"/>
        <v>8.6160827872640552E-2</v>
      </c>
      <c r="J39" s="165">
        <f t="shared" si="11"/>
        <v>9.0380614939905513E-2</v>
      </c>
      <c r="K39" s="165">
        <f t="shared" si="11"/>
        <v>3.9410102224905014E-2</v>
      </c>
      <c r="L39" s="165">
        <f t="shared" si="11"/>
        <v>1.6241877523527442E-2</v>
      </c>
      <c r="M39" s="165">
        <f t="shared" si="11"/>
        <v>7.8247747998448029E-3</v>
      </c>
      <c r="N39" s="165">
        <f t="shared" si="11"/>
        <v>0</v>
      </c>
      <c r="O39" s="37"/>
      <c r="P39" s="154">
        <f t="shared" si="19"/>
        <v>2.6452425694871502E-2</v>
      </c>
      <c r="Q39" s="154">
        <f t="shared" si="20"/>
        <v>7.6809818369702965E-2</v>
      </c>
      <c r="R39" s="154">
        <f t="shared" si="20"/>
        <v>0.16919586063679737</v>
      </c>
      <c r="S39" s="154">
        <f t="shared" si="20"/>
        <v>0.34809692530047248</v>
      </c>
      <c r="T39" s="154">
        <f t="shared" si="20"/>
        <v>0.50589897775094994</v>
      </c>
      <c r="U39" s="154">
        <f t="shared" si="20"/>
        <v>0.62516244952945121</v>
      </c>
      <c r="V39" s="154">
        <f t="shared" si="20"/>
        <v>0.79438063000388004</v>
      </c>
      <c r="W39" s="162">
        <f t="shared" si="21"/>
        <v>1</v>
      </c>
      <c r="X39" s="154"/>
      <c r="Y39" s="142">
        <f t="shared" si="22"/>
        <v>3.2315270935960594E-2</v>
      </c>
      <c r="Z39" s="142">
        <f t="shared" si="22"/>
        <v>5.379310344827587E-2</v>
      </c>
      <c r="AA39" s="142">
        <f t="shared" si="22"/>
        <v>6.522167487684731E-2</v>
      </c>
      <c r="AB39" s="142">
        <f t="shared" si="22"/>
        <v>6.2857142857142875E-2</v>
      </c>
      <c r="AC39" s="142">
        <f t="shared" si="22"/>
        <v>2.6354679802955673E-2</v>
      </c>
      <c r="AD39" s="142">
        <f t="shared" si="22"/>
        <v>1.0554187192118231E-2</v>
      </c>
      <c r="AE39" s="142">
        <f t="shared" si="22"/>
        <v>4.9990147783251261E-3</v>
      </c>
      <c r="AF39" s="142">
        <f t="shared" si="22"/>
        <v>0</v>
      </c>
      <c r="AH39" s="158">
        <f t="shared" si="13"/>
        <v>3.8423645320197042E-2</v>
      </c>
      <c r="AI39" s="158">
        <f t="shared" si="14"/>
        <v>0.13103448275862067</v>
      </c>
      <c r="AJ39" s="158">
        <f t="shared" si="14"/>
        <v>0.27389162561576352</v>
      </c>
      <c r="AK39" s="158">
        <f t="shared" si="14"/>
        <v>0.48571428571428565</v>
      </c>
      <c r="AL39" s="158">
        <f t="shared" si="14"/>
        <v>0.63645320197044331</v>
      </c>
      <c r="AM39" s="158">
        <f t="shared" si="14"/>
        <v>0.73891625615763545</v>
      </c>
      <c r="AN39" s="158">
        <f t="shared" si="14"/>
        <v>0.86502463054187195</v>
      </c>
      <c r="AO39" s="158">
        <v>1</v>
      </c>
      <c r="AP39" s="143"/>
      <c r="AQ39" s="143">
        <f t="shared" si="5"/>
        <v>2.6452425694871502E-2</v>
      </c>
      <c r="AR39" s="143">
        <f t="shared" si="5"/>
        <v>5.0357392674831455E-2</v>
      </c>
      <c r="AS39" s="143">
        <f t="shared" si="5"/>
        <v>9.238604226709439E-2</v>
      </c>
      <c r="AT39" s="143">
        <f t="shared" si="5"/>
        <v>0.17890106466367511</v>
      </c>
      <c r="AU39" s="143">
        <f t="shared" si="5"/>
        <v>0.1578020524504774</v>
      </c>
      <c r="AV39" s="143">
        <f t="shared" si="5"/>
        <v>0.11926347177850122</v>
      </c>
      <c r="AW39" s="143">
        <f t="shared" si="5"/>
        <v>0.16921818047442888</v>
      </c>
      <c r="AX39" s="143">
        <f t="shared" si="5"/>
        <v>0.20561936999611991</v>
      </c>
      <c r="AY39" s="46"/>
      <c r="AZ39" s="152">
        <f>Shares!D80</f>
        <v>3.9</v>
      </c>
      <c r="BA39" s="152">
        <f>Shares!E80</f>
        <v>9.4</v>
      </c>
      <c r="BB39" s="152">
        <f>Shares!F80</f>
        <v>14.5</v>
      </c>
      <c r="BC39" s="152">
        <f>Shares!G80</f>
        <v>21.5</v>
      </c>
      <c r="BD39" s="152">
        <f>Shares!J80</f>
        <v>15.3</v>
      </c>
      <c r="BE39" s="152">
        <f>Shares!K80</f>
        <v>10.4</v>
      </c>
      <c r="BF39" s="152">
        <f>Shares!L80</f>
        <v>12.8</v>
      </c>
      <c r="BG39" s="152">
        <f>Shares!M80</f>
        <v>13.7</v>
      </c>
      <c r="BI39" s="573">
        <f>TxRt!$B83-TxRt!C83+MAX(0,TxRt!$C83)</f>
        <v>12.5</v>
      </c>
      <c r="BJ39" s="573">
        <f>TxRt!B126-TxRt!C126+MAX(0,TxRt!$C126)</f>
        <v>10</v>
      </c>
      <c r="BK39" s="573">
        <f>TxRt!B166-TxRt!C166+MAX(0,TxRt!$C166)</f>
        <v>11.8</v>
      </c>
      <c r="BL39" s="573">
        <f>TxRt!B206-TxRt!C206+MAX(0,TxRt!$C206)</f>
        <v>15.5</v>
      </c>
      <c r="BM39" s="573">
        <f>TxRt!B286-TxRt!C286+MAX(0,TxRt!$C286)</f>
        <v>18.899999999999999</v>
      </c>
      <c r="BN39" s="573">
        <f>TxRt!B326-TxRt!C326+MAX(0,TxRt!$C326)</f>
        <v>21.2</v>
      </c>
      <c r="BO39" s="573">
        <f>TxRt!B366-TxRt!C366+MAX(0,TxRt!$C366)</f>
        <v>24.2</v>
      </c>
      <c r="BP39" s="573">
        <f>TxRt!B406-TxRt!C406+MAX(0,TxRt!$C406)</f>
        <v>28.7</v>
      </c>
      <c r="BQ39" s="46"/>
      <c r="BR39" s="60">
        <f>Inc!B80</f>
        <v>20300</v>
      </c>
      <c r="BS39" s="60">
        <f>Inc!B120</f>
        <v>42900</v>
      </c>
      <c r="BT39" s="60">
        <f>Inc!B160</f>
        <v>68400</v>
      </c>
      <c r="BU39" s="60">
        <f>Inc!B200</f>
        <v>101700</v>
      </c>
      <c r="BV39" s="60">
        <f>Inc!B280</f>
        <v>144200</v>
      </c>
      <c r="BW39" s="60">
        <f>Inc!B320</f>
        <v>192700</v>
      </c>
      <c r="BX39" s="60">
        <f>Inc!B360</f>
        <v>299400</v>
      </c>
      <c r="BY39" s="60">
        <f>Inc!B400</f>
        <v>1338600</v>
      </c>
      <c r="CA39" s="60">
        <f t="shared" si="23"/>
        <v>2537.5</v>
      </c>
      <c r="CB39" s="60">
        <f t="shared" si="23"/>
        <v>4290</v>
      </c>
      <c r="CC39" s="60">
        <f t="shared" si="23"/>
        <v>8071.2</v>
      </c>
      <c r="CD39" s="60">
        <f t="shared" si="23"/>
        <v>15763.5</v>
      </c>
      <c r="CE39" s="60">
        <f t="shared" si="23"/>
        <v>27253.8</v>
      </c>
      <c r="CF39" s="60">
        <f t="shared" si="23"/>
        <v>40852.400000000001</v>
      </c>
      <c r="CG39" s="60">
        <f t="shared" si="23"/>
        <v>72454.8</v>
      </c>
      <c r="CH39" s="60">
        <f t="shared" si="23"/>
        <v>384178.2</v>
      </c>
      <c r="CJ39" s="153">
        <f t="shared" si="15"/>
        <v>54365.937500000007</v>
      </c>
      <c r="CK39" s="153">
        <f t="shared" si="7"/>
        <v>103496.25000000001</v>
      </c>
      <c r="CL39" s="153">
        <f t="shared" si="7"/>
        <v>189874.98</v>
      </c>
      <c r="CM39" s="153">
        <f t="shared" si="7"/>
        <v>367683.63750000007</v>
      </c>
      <c r="CN39" s="153">
        <f t="shared" si="7"/>
        <v>324320.21999999997</v>
      </c>
      <c r="CO39" s="153">
        <f t="shared" si="7"/>
        <v>245114.40000000002</v>
      </c>
      <c r="CP39" s="153">
        <f t="shared" si="7"/>
        <v>347783.04</v>
      </c>
      <c r="CQ39" s="153">
        <f t="shared" si="7"/>
        <v>422596.02</v>
      </c>
      <c r="CR39" s="153">
        <f t="shared" si="16"/>
        <v>2055234.4850000003</v>
      </c>
      <c r="CT39" s="403">
        <v>298</v>
      </c>
      <c r="CU39" s="276">
        <f>Dem!B80+(DD39/4)</f>
        <v>21.425000000000004</v>
      </c>
      <c r="CV39" s="276">
        <f>Dem!B120+(DD39/4)</f>
        <v>24.125000000000004</v>
      </c>
      <c r="CW39" s="276">
        <f>Dem!B160+(DD39/4)</f>
        <v>23.525000000000002</v>
      </c>
      <c r="CX39" s="276">
        <f>Dem!B200+(DD39/4)</f>
        <v>23.325000000000003</v>
      </c>
      <c r="CY39" s="276">
        <f>Dem!B280</f>
        <v>11.9</v>
      </c>
      <c r="CZ39" s="276">
        <f>Dem!B320</f>
        <v>6</v>
      </c>
      <c r="DA39" s="276">
        <f>Dem!B360</f>
        <v>4.8</v>
      </c>
      <c r="DB39" s="276">
        <f>Dem!B400</f>
        <v>1.1000000000000001</v>
      </c>
      <c r="DC39" s="275">
        <v>117.6</v>
      </c>
      <c r="DD39" s="46">
        <v>-0.69999999999998863</v>
      </c>
      <c r="DE39" s="275"/>
      <c r="DF39" s="276">
        <f>Dem!$D80+(DO39/4)</f>
        <v>57.474999999999987</v>
      </c>
      <c r="DG39" s="276">
        <f>Dem!$D120+(DO39/4)</f>
        <v>59.17499999999999</v>
      </c>
      <c r="DH39" s="276">
        <f>Dem!$D160+(DO39/4)</f>
        <v>59.17499999999999</v>
      </c>
      <c r="DI39" s="276">
        <f>Dem!$D200+(DO39/4)</f>
        <v>59.17499999999999</v>
      </c>
      <c r="DJ39" s="275">
        <f>Dem!$D280</f>
        <v>29.8</v>
      </c>
      <c r="DK39" s="275">
        <f>Dem!$D320</f>
        <v>14.9</v>
      </c>
      <c r="DL39" s="275">
        <f>Dem!$D360</f>
        <v>11.9</v>
      </c>
      <c r="DM39" s="275">
        <f>Dem!$D400</f>
        <v>3</v>
      </c>
      <c r="DN39" s="276">
        <f t="shared" si="17"/>
        <v>298</v>
      </c>
      <c r="DO39" s="44">
        <v>-1.7000000000000455</v>
      </c>
    </row>
    <row r="40" spans="1:119">
      <c r="A40" s="46">
        <f t="shared" si="18"/>
        <v>2010</v>
      </c>
      <c r="B40" s="141">
        <f t="shared" si="8"/>
        <v>0.17316505842035357</v>
      </c>
      <c r="C40" s="46"/>
      <c r="D40" s="141">
        <f t="shared" si="9"/>
        <v>0.70085618268070882</v>
      </c>
      <c r="E40" s="141">
        <f t="shared" si="10"/>
        <v>0.52769112426035525</v>
      </c>
      <c r="F40" s="46"/>
      <c r="G40" s="157">
        <f t="shared" si="11"/>
        <v>3.4911413901027838E-2</v>
      </c>
      <c r="H40" s="157">
        <f t="shared" si="11"/>
        <v>6.5381715450745101E-2</v>
      </c>
      <c r="I40" s="157">
        <f t="shared" si="11"/>
        <v>8.7726806675059665E-2</v>
      </c>
      <c r="J40" s="157">
        <f t="shared" si="11"/>
        <v>9.3621408945060172E-2</v>
      </c>
      <c r="K40" s="157">
        <f t="shared" si="11"/>
        <v>4.1836482470512172E-2</v>
      </c>
      <c r="L40" s="157">
        <f t="shared" si="11"/>
        <v>1.7715314707179769E-2</v>
      </c>
      <c r="M40" s="157">
        <f t="shared" si="11"/>
        <v>9.2349491907696511E-3</v>
      </c>
      <c r="N40" s="157">
        <f t="shared" si="11"/>
        <v>0</v>
      </c>
      <c r="O40" s="46"/>
      <c r="P40" s="154">
        <f t="shared" si="19"/>
        <v>2.5442930494860818E-2</v>
      </c>
      <c r="Q40" s="154">
        <f t="shared" si="20"/>
        <v>7.3091422746274587E-2</v>
      </c>
      <c r="R40" s="154">
        <f t="shared" si="20"/>
        <v>0.16136596662470182</v>
      </c>
      <c r="S40" s="154">
        <f t="shared" si="20"/>
        <v>0.3318929552746992</v>
      </c>
      <c r="T40" s="154">
        <f t="shared" si="20"/>
        <v>0.48163517529487831</v>
      </c>
      <c r="U40" s="154">
        <f t="shared" si="20"/>
        <v>0.59569370585640469</v>
      </c>
      <c r="V40" s="154">
        <f t="shared" si="20"/>
        <v>0.75912627023075885</v>
      </c>
      <c r="W40" s="162">
        <f t="shared" si="21"/>
        <v>1</v>
      </c>
      <c r="X40" s="154"/>
      <c r="Y40" s="142">
        <f t="shared" si="22"/>
        <v>3.2504930966469434E-2</v>
      </c>
      <c r="Z40" s="142">
        <f t="shared" si="22"/>
        <v>5.4556213017751487E-2</v>
      </c>
      <c r="AA40" s="142">
        <f t="shared" si="22"/>
        <v>6.6548323471400425E-2</v>
      </c>
      <c r="AB40" s="142">
        <f t="shared" si="22"/>
        <v>6.5325443786982268E-2</v>
      </c>
      <c r="AC40" s="142">
        <f t="shared" si="22"/>
        <v>2.786982248520711E-2</v>
      </c>
      <c r="AD40" s="142">
        <f t="shared" si="22"/>
        <v>1.1405325443786991E-2</v>
      </c>
      <c r="AE40" s="142">
        <f t="shared" si="22"/>
        <v>5.6355029585798896E-3</v>
      </c>
      <c r="AF40" s="142">
        <f t="shared" si="22"/>
        <v>0</v>
      </c>
      <c r="AH40" s="158">
        <f t="shared" si="13"/>
        <v>3.7475345167652857E-2</v>
      </c>
      <c r="AI40" s="158">
        <f t="shared" si="14"/>
        <v>0.12721893491124259</v>
      </c>
      <c r="AJ40" s="158">
        <f t="shared" si="14"/>
        <v>0.267258382642998</v>
      </c>
      <c r="AK40" s="158">
        <f t="shared" si="14"/>
        <v>0.47337278106508873</v>
      </c>
      <c r="AL40" s="158">
        <f t="shared" si="14"/>
        <v>0.62130177514792895</v>
      </c>
      <c r="AM40" s="158">
        <f t="shared" si="14"/>
        <v>0.72189349112426027</v>
      </c>
      <c r="AN40" s="158">
        <f t="shared" si="14"/>
        <v>0.84911242603550285</v>
      </c>
      <c r="AO40" s="158">
        <v>1</v>
      </c>
      <c r="AP40" s="143"/>
      <c r="AQ40" s="143">
        <f t="shared" si="5"/>
        <v>2.5442930494860818E-2</v>
      </c>
      <c r="AR40" s="143">
        <f t="shared" si="5"/>
        <v>4.7648492251413765E-2</v>
      </c>
      <c r="AS40" s="143">
        <f t="shared" si="5"/>
        <v>8.8274543878427217E-2</v>
      </c>
      <c r="AT40" s="143">
        <f t="shared" si="5"/>
        <v>0.17052698864999741</v>
      </c>
      <c r="AU40" s="143">
        <f t="shared" si="5"/>
        <v>0.14974222002017912</v>
      </c>
      <c r="AV40" s="143">
        <f t="shared" si="5"/>
        <v>0.11405853056152637</v>
      </c>
      <c r="AW40" s="143">
        <f t="shared" si="5"/>
        <v>0.16343256437435413</v>
      </c>
      <c r="AX40" s="143">
        <f t="shared" si="5"/>
        <v>0.2408737297692411</v>
      </c>
      <c r="AY40" s="46"/>
      <c r="AZ40" s="152">
        <f>Shares!D81</f>
        <v>3.8</v>
      </c>
      <c r="BA40" s="152">
        <f>Shares!E81</f>
        <v>9.1</v>
      </c>
      <c r="BB40" s="152">
        <f>Shares!F81</f>
        <v>14.2</v>
      </c>
      <c r="BC40" s="152">
        <f>Shares!G81</f>
        <v>20.9</v>
      </c>
      <c r="BD40" s="152">
        <f>Shares!J81</f>
        <v>15</v>
      </c>
      <c r="BE40" s="152">
        <f>Shares!K81</f>
        <v>10.199999999999999</v>
      </c>
      <c r="BF40" s="152">
        <f>Shares!L81</f>
        <v>12.9</v>
      </c>
      <c r="BG40" s="152">
        <f>Shares!M81</f>
        <v>15.3</v>
      </c>
      <c r="BI40" s="573">
        <f>TxRt!$B84-TxRt!C84+MAX(0,TxRt!$C84)</f>
        <v>13</v>
      </c>
      <c r="BJ40" s="573">
        <f>TxRt!B127-TxRt!C127+MAX(0,TxRt!$C127)</f>
        <v>10.199999999999999</v>
      </c>
      <c r="BK40" s="573">
        <f>TxRt!B167-TxRt!C167+MAX(0,TxRt!$C167)</f>
        <v>12.1</v>
      </c>
      <c r="BL40" s="573">
        <f>TxRt!B207-TxRt!C207+MAX(0,TxRt!$C207)</f>
        <v>15.9</v>
      </c>
      <c r="BM40" s="573">
        <f>TxRt!B287-TxRt!C287+MAX(0,TxRt!$C287)</f>
        <v>19.399999999999999</v>
      </c>
      <c r="BN40" s="573">
        <f>TxRt!B327-TxRt!C327+MAX(0,TxRt!$C327)</f>
        <v>21.6</v>
      </c>
      <c r="BO40" s="573">
        <f>TxRt!B367-TxRt!C367+MAX(0,TxRt!$C367)</f>
        <v>24.8</v>
      </c>
      <c r="BP40" s="573">
        <f>TxRt!B407-TxRt!C407+MAX(0,TxRt!$C407)</f>
        <v>29.3</v>
      </c>
      <c r="BQ40" s="46"/>
      <c r="BR40" s="60">
        <f>Inc!B81</f>
        <v>19800</v>
      </c>
      <c r="BS40" s="60">
        <f>Inc!B121</f>
        <v>42300</v>
      </c>
      <c r="BT40" s="60">
        <f>Inc!B161</f>
        <v>67700</v>
      </c>
      <c r="BU40" s="60">
        <f>Inc!B201</f>
        <v>101200</v>
      </c>
      <c r="BV40" s="60">
        <f>Inc!B281</f>
        <v>144300</v>
      </c>
      <c r="BW40" s="60">
        <f>Inc!B321</f>
        <v>194200</v>
      </c>
      <c r="BX40" s="60">
        <f>Inc!B361</f>
        <v>308000</v>
      </c>
      <c r="BY40" s="60">
        <f>Inc!B401</f>
        <v>1536900</v>
      </c>
      <c r="CA40" s="60">
        <f t="shared" si="23"/>
        <v>2574</v>
      </c>
      <c r="CB40" s="60">
        <f t="shared" si="23"/>
        <v>4314.5999999999995</v>
      </c>
      <c r="CC40" s="60">
        <f t="shared" si="23"/>
        <v>8191.7</v>
      </c>
      <c r="CD40" s="60">
        <f t="shared" si="23"/>
        <v>16090.8</v>
      </c>
      <c r="CE40" s="60">
        <f t="shared" si="23"/>
        <v>27994.2</v>
      </c>
      <c r="CF40" s="60">
        <f t="shared" si="23"/>
        <v>41947.199999999997</v>
      </c>
      <c r="CG40" s="60">
        <f t="shared" si="23"/>
        <v>76384</v>
      </c>
      <c r="CH40" s="60">
        <f t="shared" ref="CH40:CH46" si="24">BP40*BY40/100</f>
        <v>450311.7</v>
      </c>
      <c r="CJ40" s="153">
        <f t="shared" si="15"/>
        <v>57078.450000000004</v>
      </c>
      <c r="CK40" s="153">
        <f t="shared" si="7"/>
        <v>106894.21499999998</v>
      </c>
      <c r="CL40" s="153">
        <f t="shared" si="7"/>
        <v>198034.3475</v>
      </c>
      <c r="CM40" s="153">
        <f t="shared" si="7"/>
        <v>382558.76999999996</v>
      </c>
      <c r="CN40" s="153">
        <f t="shared" si="7"/>
        <v>335930.4</v>
      </c>
      <c r="CO40" s="153">
        <f t="shared" si="7"/>
        <v>255877.91999999995</v>
      </c>
      <c r="CP40" s="153">
        <f t="shared" si="7"/>
        <v>366643.20000000001</v>
      </c>
      <c r="CQ40" s="153">
        <f t="shared" si="7"/>
        <v>540374.04</v>
      </c>
      <c r="CR40" s="153">
        <f t="shared" si="16"/>
        <v>2243391.3425000003</v>
      </c>
      <c r="CT40" s="403">
        <v>301.39999999999998</v>
      </c>
      <c r="CU40" s="276">
        <f>Dem!B81+(DD40/4)</f>
        <v>22.175000000000001</v>
      </c>
      <c r="CV40" s="276">
        <f>Dem!B121+(DD40/4)</f>
        <v>24.774999999999999</v>
      </c>
      <c r="CW40" s="276">
        <f>Dem!B161+(DD40/4)</f>
        <v>24.175000000000001</v>
      </c>
      <c r="CX40" s="276">
        <f>Dem!B201+(DD40/4)</f>
        <v>23.774999999999999</v>
      </c>
      <c r="CY40" s="276">
        <f>Dem!B281</f>
        <v>12</v>
      </c>
      <c r="CZ40" s="276">
        <f>Dem!B321</f>
        <v>6.1</v>
      </c>
      <c r="DA40" s="276">
        <f>Dem!B361</f>
        <v>4.8</v>
      </c>
      <c r="DB40" s="276">
        <f>Dem!B401</f>
        <v>1.2</v>
      </c>
      <c r="DC40" s="275">
        <v>120</v>
      </c>
      <c r="DD40" s="46">
        <v>-0.5</v>
      </c>
      <c r="DE40" s="275"/>
      <c r="DF40" s="276">
        <f>Dem!$D81+(DO40/4)</f>
        <v>58.325000000000031</v>
      </c>
      <c r="DG40" s="276">
        <f>Dem!$D121+(DO40/4)</f>
        <v>59.925000000000026</v>
      </c>
      <c r="DH40" s="276">
        <f>Dem!$D161+(DO40/4)</f>
        <v>59.925000000000026</v>
      </c>
      <c r="DI40" s="276">
        <f>Dem!$D201+(DO40/4)</f>
        <v>59.925000000000026</v>
      </c>
      <c r="DJ40" s="275">
        <f>Dem!$D281</f>
        <v>30.1</v>
      </c>
      <c r="DK40" s="275">
        <f>Dem!$D321</f>
        <v>15.1</v>
      </c>
      <c r="DL40" s="275">
        <f>Dem!$D361</f>
        <v>12.1</v>
      </c>
      <c r="DM40" s="275">
        <f>Dem!$D401</f>
        <v>3</v>
      </c>
      <c r="DN40" s="276">
        <f t="shared" si="17"/>
        <v>301.39999999999998</v>
      </c>
      <c r="DO40" s="44">
        <v>-1.4999999999998863</v>
      </c>
    </row>
    <row r="41" spans="1:119">
      <c r="A41" s="46">
        <f t="shared" si="18"/>
        <v>2011</v>
      </c>
      <c r="B41" s="141">
        <f t="shared" si="8"/>
        <v>0.17235588608976382</v>
      </c>
      <c r="C41" s="46"/>
      <c r="D41" s="141">
        <f t="shared" si="9"/>
        <v>0.6995470015882832</v>
      </c>
      <c r="E41" s="141">
        <f t="shared" si="10"/>
        <v>0.52719111549851938</v>
      </c>
      <c r="F41" s="46"/>
      <c r="G41" s="157">
        <f t="shared" si="11"/>
        <v>3.5069235858538737E-2</v>
      </c>
      <c r="H41" s="157">
        <f t="shared" si="11"/>
        <v>6.6162193696968921E-2</v>
      </c>
      <c r="I41" s="157">
        <f t="shared" si="11"/>
        <v>8.8165365539014121E-2</v>
      </c>
      <c r="J41" s="157">
        <f t="shared" si="11"/>
        <v>9.3128021924757762E-2</v>
      </c>
      <c r="K41" s="157">
        <f t="shared" si="11"/>
        <v>4.1319937808342977E-2</v>
      </c>
      <c r="L41" s="157">
        <f t="shared" si="11"/>
        <v>1.7283717761249817E-2</v>
      </c>
      <c r="M41" s="157">
        <f t="shared" si="11"/>
        <v>8.6450282052692312E-3</v>
      </c>
      <c r="N41" s="157">
        <f t="shared" si="11"/>
        <v>0</v>
      </c>
      <c r="O41" s="46"/>
      <c r="P41" s="154">
        <f t="shared" si="19"/>
        <v>2.4653820707306321E-2</v>
      </c>
      <c r="Q41" s="154">
        <f t="shared" si="20"/>
        <v>6.918903151515543E-2</v>
      </c>
      <c r="R41" s="154">
        <f t="shared" si="20"/>
        <v>0.1591731723049295</v>
      </c>
      <c r="S41" s="154">
        <f t="shared" si="20"/>
        <v>0.33435989037621128</v>
      </c>
      <c r="T41" s="154">
        <f t="shared" si="20"/>
        <v>0.48680062191657025</v>
      </c>
      <c r="U41" s="154">
        <f t="shared" si="20"/>
        <v>0.60432564477500372</v>
      </c>
      <c r="V41" s="154">
        <f t="shared" si="20"/>
        <v>0.77387429486826931</v>
      </c>
      <c r="W41" s="162">
        <f t="shared" si="21"/>
        <v>1</v>
      </c>
      <c r="X41" s="154"/>
      <c r="Y41" s="142">
        <f t="shared" si="22"/>
        <v>3.2300098716683122E-2</v>
      </c>
      <c r="Z41" s="142">
        <f t="shared" si="22"/>
        <v>5.4333662388943743E-2</v>
      </c>
      <c r="AA41" s="142">
        <f t="shared" si="22"/>
        <v>6.6692991115498534E-2</v>
      </c>
      <c r="AB41" s="142">
        <f t="shared" si="22"/>
        <v>6.5429417571569601E-2</v>
      </c>
      <c r="AC41" s="142">
        <f t="shared" si="22"/>
        <v>2.7907206317867729E-2</v>
      </c>
      <c r="AD41" s="142">
        <f t="shared" si="22"/>
        <v>1.1369693978282337E-2</v>
      </c>
      <c r="AE41" s="142">
        <f t="shared" si="22"/>
        <v>5.5624876604146193E-3</v>
      </c>
      <c r="AF41" s="142">
        <f t="shared" si="22"/>
        <v>0</v>
      </c>
      <c r="AH41" s="158">
        <f t="shared" si="13"/>
        <v>3.8499506416584402E-2</v>
      </c>
      <c r="AI41" s="158">
        <f t="shared" si="14"/>
        <v>0.12833168805528133</v>
      </c>
      <c r="AJ41" s="158">
        <f t="shared" si="14"/>
        <v>0.26653504442250742</v>
      </c>
      <c r="AK41" s="158">
        <f t="shared" si="14"/>
        <v>0.47285291214215203</v>
      </c>
      <c r="AL41" s="158">
        <f t="shared" si="14"/>
        <v>0.62092793682132275</v>
      </c>
      <c r="AM41" s="158">
        <f t="shared" si="14"/>
        <v>0.72260612043435335</v>
      </c>
      <c r="AN41" s="158">
        <f t="shared" si="14"/>
        <v>0.85093780848963463</v>
      </c>
      <c r="AO41" s="158">
        <v>1</v>
      </c>
      <c r="AP41" s="143"/>
      <c r="AQ41" s="143">
        <f t="shared" ref="AQ41:AX46" si="25">CJ41/$CR41</f>
        <v>2.4653820707306321E-2</v>
      </c>
      <c r="AR41" s="143">
        <f t="shared" si="25"/>
        <v>4.4535210807849106E-2</v>
      </c>
      <c r="AS41" s="143">
        <f t="shared" si="25"/>
        <v>8.9984140789774084E-2</v>
      </c>
      <c r="AT41" s="143">
        <f t="shared" si="25"/>
        <v>0.17518671807128178</v>
      </c>
      <c r="AU41" s="143">
        <f t="shared" si="25"/>
        <v>0.15244073154035898</v>
      </c>
      <c r="AV41" s="143">
        <f t="shared" si="25"/>
        <v>0.11752502285843343</v>
      </c>
      <c r="AW41" s="143">
        <f t="shared" si="25"/>
        <v>0.16954865009326564</v>
      </c>
      <c r="AX41" s="143">
        <f t="shared" si="25"/>
        <v>0.22612570513173066</v>
      </c>
      <c r="AY41" s="46"/>
      <c r="AZ41" s="152">
        <f>Shares!D82</f>
        <v>3.9</v>
      </c>
      <c r="BA41" s="152">
        <f>Shares!E82</f>
        <v>9.1</v>
      </c>
      <c r="BB41" s="152">
        <f>Shares!F82</f>
        <v>14</v>
      </c>
      <c r="BC41" s="152">
        <f>Shares!G82</f>
        <v>20.9</v>
      </c>
      <c r="BD41" s="152">
        <f>Shares!J82</f>
        <v>15</v>
      </c>
      <c r="BE41" s="152">
        <f>Shares!K82</f>
        <v>10.3</v>
      </c>
      <c r="BF41" s="152">
        <f>Shares!L82</f>
        <v>13</v>
      </c>
      <c r="BG41" s="152">
        <f>Shares!M82</f>
        <v>15.1</v>
      </c>
      <c r="BI41" s="573">
        <f>TxRt!$B85-TxRt!C85+MAX(0,TxRt!$C85)</f>
        <v>11.7</v>
      </c>
      <c r="BJ41" s="573">
        <f>TxRt!B128-TxRt!C128+MAX(0,TxRt!$C128)</f>
        <v>9.1999999999999993</v>
      </c>
      <c r="BK41" s="573">
        <f>TxRt!B168-TxRt!C168+MAX(0,TxRt!$C168)</f>
        <v>12</v>
      </c>
      <c r="BL41" s="573">
        <f>TxRt!B208-TxRt!C208+MAX(0,TxRt!$C208)</f>
        <v>15.7</v>
      </c>
      <c r="BM41" s="573">
        <f>TxRt!B288-TxRt!C288+MAX(0,TxRt!$C288)</f>
        <v>18.899999999999999</v>
      </c>
      <c r="BN41" s="573">
        <f>TxRt!B328-TxRt!C328+MAX(0,TxRt!$C328)</f>
        <v>21.2</v>
      </c>
      <c r="BO41" s="573">
        <f>TxRt!B368-TxRt!C368+MAX(0,TxRt!$C368)</f>
        <v>24.3</v>
      </c>
      <c r="BP41" s="573">
        <f>TxRt!B408-TxRt!C408+MAX(0,TxRt!$C408)</f>
        <v>29</v>
      </c>
      <c r="BQ41" s="46"/>
      <c r="BR41" s="60">
        <f>Inc!B82</f>
        <v>20100</v>
      </c>
      <c r="BS41" s="60">
        <f>Inc!B122</f>
        <v>42100</v>
      </c>
      <c r="BT41" s="60">
        <f>Inc!B162</f>
        <v>67100</v>
      </c>
      <c r="BU41" s="60">
        <f>Inc!B202</f>
        <v>101100</v>
      </c>
      <c r="BV41" s="60">
        <f>Inc!B282</f>
        <v>145700</v>
      </c>
      <c r="BW41" s="60">
        <f>Inc!B322</f>
        <v>197000</v>
      </c>
      <c r="BX41" s="60">
        <f>Inc!B362</f>
        <v>315100</v>
      </c>
      <c r="BY41" s="60">
        <f>Inc!B402</f>
        <v>1536600</v>
      </c>
      <c r="CA41" s="60">
        <f t="shared" ref="CA41:CG46" si="26">BI41*BR41/100</f>
        <v>2351.6999999999998</v>
      </c>
      <c r="CB41" s="60">
        <f t="shared" si="26"/>
        <v>3873.1999999999994</v>
      </c>
      <c r="CC41" s="60">
        <f t="shared" si="26"/>
        <v>8052</v>
      </c>
      <c r="CD41" s="60">
        <f t="shared" si="26"/>
        <v>15872.7</v>
      </c>
      <c r="CE41" s="60">
        <f t="shared" si="26"/>
        <v>27537.3</v>
      </c>
      <c r="CF41" s="60">
        <f t="shared" si="26"/>
        <v>41764</v>
      </c>
      <c r="CG41" s="60">
        <f t="shared" si="26"/>
        <v>76569.3</v>
      </c>
      <c r="CH41" s="60">
        <f t="shared" si="24"/>
        <v>445614</v>
      </c>
      <c r="CJ41" s="153">
        <f t="shared" si="15"/>
        <v>53442.382499999985</v>
      </c>
      <c r="CK41" s="153">
        <f t="shared" si="7"/>
        <v>96539.50999999998</v>
      </c>
      <c r="CL41" s="153">
        <f t="shared" si="7"/>
        <v>195059.69999999995</v>
      </c>
      <c r="CM41" s="153">
        <f t="shared" si="7"/>
        <v>379754.34749999997</v>
      </c>
      <c r="CN41" s="153">
        <f t="shared" si="7"/>
        <v>330447.59999999998</v>
      </c>
      <c r="CO41" s="153">
        <f t="shared" si="7"/>
        <v>254760.4</v>
      </c>
      <c r="CP41" s="153">
        <f t="shared" si="7"/>
        <v>367532.64</v>
      </c>
      <c r="CQ41" s="153">
        <f t="shared" si="7"/>
        <v>490175.4</v>
      </c>
      <c r="CR41" s="153">
        <f t="shared" si="16"/>
        <v>2167711.98</v>
      </c>
      <c r="CT41" s="403">
        <v>302.5</v>
      </c>
      <c r="CU41" s="276">
        <f>Dem!B82+(DD41/4)</f>
        <v>22.724999999999994</v>
      </c>
      <c r="CV41" s="276">
        <f>Dem!B122+(DD41/4)</f>
        <v>24.924999999999997</v>
      </c>
      <c r="CW41" s="276">
        <f>Dem!B162+(DD41/4)</f>
        <v>24.224999999999994</v>
      </c>
      <c r="CX41" s="276">
        <f>Dem!B202+(DD41/4)</f>
        <v>23.924999999999997</v>
      </c>
      <c r="CY41" s="276">
        <f>Dem!B282</f>
        <v>12</v>
      </c>
      <c r="CZ41" s="276">
        <f>Dem!B322</f>
        <v>6.1</v>
      </c>
      <c r="DA41" s="276">
        <f>Dem!B362</f>
        <v>4.8</v>
      </c>
      <c r="DB41" s="276">
        <f>Dem!B402</f>
        <v>1.1000000000000001</v>
      </c>
      <c r="DC41" s="275">
        <v>121.2</v>
      </c>
      <c r="DD41" s="46">
        <v>-0.70000000000001705</v>
      </c>
      <c r="DE41" s="275"/>
      <c r="DF41" s="276">
        <f>Dem!$D82+(DO41/4)</f>
        <v>58.625000000000014</v>
      </c>
      <c r="DG41" s="276">
        <f>Dem!$D122+(DO41/4)</f>
        <v>60.125000000000014</v>
      </c>
      <c r="DH41" s="276">
        <f>Dem!$D162+(DO41/4)</f>
        <v>60.125000000000014</v>
      </c>
      <c r="DI41" s="276">
        <f>Dem!$D202+(DO41/4)</f>
        <v>60.125000000000014</v>
      </c>
      <c r="DJ41" s="275">
        <f>Dem!$D282</f>
        <v>30.3</v>
      </c>
      <c r="DK41" s="275">
        <f>Dem!$D322</f>
        <v>15.1</v>
      </c>
      <c r="DL41" s="275">
        <f>Dem!$D362</f>
        <v>12.1</v>
      </c>
      <c r="DM41" s="275">
        <f>Dem!$D402</f>
        <v>3</v>
      </c>
      <c r="DN41" s="276">
        <f t="shared" si="17"/>
        <v>302.5</v>
      </c>
      <c r="DO41" s="44">
        <v>-1.4999999999999432</v>
      </c>
    </row>
    <row r="42" spans="1:119">
      <c r="A42" s="46">
        <f t="shared" si="18"/>
        <v>2012</v>
      </c>
      <c r="B42" s="141">
        <f t="shared" si="8"/>
        <v>0.17816575782805033</v>
      </c>
      <c r="C42" s="46"/>
      <c r="D42" s="141">
        <f t="shared" si="9"/>
        <v>0.73434009149043922</v>
      </c>
      <c r="E42" s="141">
        <f t="shared" si="10"/>
        <v>0.55617433366238889</v>
      </c>
      <c r="F42" s="46"/>
      <c r="G42" s="157">
        <f t="shared" si="11"/>
        <v>3.5698961193514366E-2</v>
      </c>
      <c r="H42" s="157">
        <f t="shared" si="11"/>
        <v>6.7696306589069943E-2</v>
      </c>
      <c r="I42" s="157">
        <f t="shared" si="11"/>
        <v>9.0932658533262017E-2</v>
      </c>
      <c r="J42" s="157">
        <f t="shared" si="11"/>
        <v>9.8323982717651026E-2</v>
      </c>
      <c r="K42" s="157">
        <f t="shared" si="11"/>
        <v>4.4776277344668394E-2</v>
      </c>
      <c r="L42" s="157">
        <f t="shared" si="11"/>
        <v>1.9331086588378052E-2</v>
      </c>
      <c r="M42" s="157">
        <f t="shared" si="11"/>
        <v>1.0410772778675805E-2</v>
      </c>
      <c r="N42" s="157">
        <f t="shared" si="11"/>
        <v>0</v>
      </c>
      <c r="O42" s="46"/>
      <c r="P42" s="154">
        <f t="shared" si="19"/>
        <v>2.1505194032428163E-2</v>
      </c>
      <c r="Q42" s="154">
        <f t="shared" si="20"/>
        <v>6.1518467054650312E-2</v>
      </c>
      <c r="R42" s="154">
        <f t="shared" si="20"/>
        <v>0.14533670733369003</v>
      </c>
      <c r="S42" s="154">
        <f t="shared" si="20"/>
        <v>0.30838008641174497</v>
      </c>
      <c r="T42" s="154">
        <f t="shared" si="20"/>
        <v>0.45223722655331611</v>
      </c>
      <c r="U42" s="154">
        <f t="shared" si="20"/>
        <v>0.56337826823243908</v>
      </c>
      <c r="V42" s="154">
        <f t="shared" si="20"/>
        <v>0.72973068053310497</v>
      </c>
      <c r="W42" s="162">
        <f t="shared" si="21"/>
        <v>1</v>
      </c>
      <c r="X42" s="154"/>
      <c r="Y42" s="142">
        <f t="shared" si="22"/>
        <v>3.2892398815399806E-2</v>
      </c>
      <c r="Z42" s="142">
        <f t="shared" si="22"/>
        <v>5.6110562685093783E-2</v>
      </c>
      <c r="AA42" s="142">
        <f t="shared" si="22"/>
        <v>6.9457058242843053E-2</v>
      </c>
      <c r="AB42" s="142">
        <f t="shared" si="22"/>
        <v>6.9772951628825269E-2</v>
      </c>
      <c r="AC42" s="142">
        <f t="shared" si="22"/>
        <v>3.0473840078973347E-2</v>
      </c>
      <c r="AD42" s="142">
        <f t="shared" si="22"/>
        <v>1.2751727541954595E-2</v>
      </c>
      <c r="AE42" s="142">
        <f t="shared" si="22"/>
        <v>6.6286278381046462E-3</v>
      </c>
      <c r="AF42" s="142">
        <f t="shared" si="22"/>
        <v>0</v>
      </c>
      <c r="AH42" s="158">
        <f t="shared" si="13"/>
        <v>3.5538005923000986E-2</v>
      </c>
      <c r="AI42" s="158">
        <f t="shared" si="14"/>
        <v>0.1194471865745311</v>
      </c>
      <c r="AJ42" s="158">
        <f t="shared" si="14"/>
        <v>0.25271470878578484</v>
      </c>
      <c r="AK42" s="158">
        <f t="shared" si="14"/>
        <v>0.45113524185587373</v>
      </c>
      <c r="AL42" s="158">
        <f t="shared" si="14"/>
        <v>0.59526159921026656</v>
      </c>
      <c r="AM42" s="158">
        <f t="shared" si="14"/>
        <v>0.69496544916090819</v>
      </c>
      <c r="AN42" s="158">
        <f t="shared" si="14"/>
        <v>0.82428430404738395</v>
      </c>
      <c r="AO42" s="158">
        <v>1</v>
      </c>
      <c r="AP42" s="143"/>
      <c r="AQ42" s="143">
        <f t="shared" si="25"/>
        <v>2.1505194032428163E-2</v>
      </c>
      <c r="AR42" s="143">
        <f t="shared" si="25"/>
        <v>4.001327302222215E-2</v>
      </c>
      <c r="AS42" s="143">
        <f t="shared" si="25"/>
        <v>8.3818240279039724E-2</v>
      </c>
      <c r="AT42" s="143">
        <f t="shared" si="25"/>
        <v>0.16304337907805497</v>
      </c>
      <c r="AU42" s="143">
        <f t="shared" si="25"/>
        <v>0.14385714014157114</v>
      </c>
      <c r="AV42" s="143">
        <f t="shared" si="25"/>
        <v>0.11114104167912303</v>
      </c>
      <c r="AW42" s="143">
        <f t="shared" si="25"/>
        <v>0.16635241230066591</v>
      </c>
      <c r="AX42" s="143">
        <f t="shared" si="25"/>
        <v>0.27026931946689497</v>
      </c>
      <c r="AY42" s="46"/>
      <c r="AZ42" s="152">
        <f>Shares!D83</f>
        <v>3.6</v>
      </c>
      <c r="BA42" s="152">
        <f>Shares!E83</f>
        <v>8.5</v>
      </c>
      <c r="BB42" s="152">
        <f>Shares!F83</f>
        <v>13.5</v>
      </c>
      <c r="BC42" s="152">
        <f>Shares!G83</f>
        <v>20.100000000000001</v>
      </c>
      <c r="BD42" s="152">
        <f>Shares!J83</f>
        <v>14.6</v>
      </c>
      <c r="BE42" s="152">
        <f>Shares!K83</f>
        <v>10.1</v>
      </c>
      <c r="BF42" s="152">
        <f>Shares!L83</f>
        <v>13.1</v>
      </c>
      <c r="BG42" s="152">
        <f>Shares!M83</f>
        <v>17.8</v>
      </c>
      <c r="BI42" s="573">
        <f>TxRt!$B86-TxRt!C86+MAX(0,TxRt!$C86)</f>
        <v>11.8</v>
      </c>
      <c r="BJ42" s="573">
        <f>TxRt!B129-TxRt!C129+MAX(0,TxRt!$C129)</f>
        <v>9.1999999999999993</v>
      </c>
      <c r="BK42" s="573">
        <f>TxRt!B169-TxRt!C169+MAX(0,TxRt!$C169)</f>
        <v>12.2</v>
      </c>
      <c r="BL42" s="573">
        <f>TxRt!B209-TxRt!C209+MAX(0,TxRt!$C209)</f>
        <v>15.9</v>
      </c>
      <c r="BM42" s="573">
        <f>TxRt!B289-TxRt!C289+MAX(0,TxRt!$C289)</f>
        <v>19.2</v>
      </c>
      <c r="BN42" s="573">
        <f>TxRt!B329-TxRt!C329+MAX(0,TxRt!$C329)</f>
        <v>21.6</v>
      </c>
      <c r="BO42" s="573">
        <f>TxRt!B369-TxRt!C369+MAX(0,TxRt!$C369)</f>
        <v>24.8</v>
      </c>
      <c r="BP42" s="573">
        <f>TxRt!B409-TxRt!C409+MAX(0,TxRt!$C409)</f>
        <v>28.6</v>
      </c>
      <c r="BQ42" s="46"/>
      <c r="BR42" s="60">
        <f>Inc!B83</f>
        <v>19200</v>
      </c>
      <c r="BS42" s="60">
        <f>Inc!B123</f>
        <v>41800</v>
      </c>
      <c r="BT42" s="60">
        <f>Inc!B163</f>
        <v>67100</v>
      </c>
      <c r="BU42" s="60">
        <f>Inc!B203</f>
        <v>101800</v>
      </c>
      <c r="BV42" s="60">
        <f>Inc!B283</f>
        <v>146800</v>
      </c>
      <c r="BW42" s="60">
        <f>Inc!B323</f>
        <v>200000</v>
      </c>
      <c r="BX42" s="60">
        <f>Inc!B363</f>
        <v>329900</v>
      </c>
      <c r="BY42" s="60">
        <f>Inc!B403</f>
        <v>1897800</v>
      </c>
      <c r="CA42" s="60">
        <f t="shared" si="26"/>
        <v>2265.6</v>
      </c>
      <c r="CB42" s="60">
        <f t="shared" si="26"/>
        <v>3845.5999999999995</v>
      </c>
      <c r="CC42" s="60">
        <f t="shared" si="26"/>
        <v>8186.2</v>
      </c>
      <c r="CD42" s="60">
        <f t="shared" si="26"/>
        <v>16186.2</v>
      </c>
      <c r="CE42" s="60">
        <f t="shared" si="26"/>
        <v>28185.599999999999</v>
      </c>
      <c r="CF42" s="60">
        <f t="shared" si="26"/>
        <v>43200</v>
      </c>
      <c r="CG42" s="60">
        <f t="shared" si="26"/>
        <v>81815.199999999997</v>
      </c>
      <c r="CH42" s="60">
        <f t="shared" si="24"/>
        <v>542770.80000000005</v>
      </c>
      <c r="CJ42" s="153">
        <f t="shared" si="15"/>
        <v>51825.600000000006</v>
      </c>
      <c r="CK42" s="153">
        <f t="shared" si="7"/>
        <v>96428.42</v>
      </c>
      <c r="CL42" s="153">
        <f t="shared" si="7"/>
        <v>201994.48500000004</v>
      </c>
      <c r="CM42" s="153">
        <f t="shared" si="7"/>
        <v>392920.00500000006</v>
      </c>
      <c r="CN42" s="153">
        <f t="shared" si="7"/>
        <v>346682.88</v>
      </c>
      <c r="CO42" s="153">
        <f t="shared" si="7"/>
        <v>267840</v>
      </c>
      <c r="CP42" s="153">
        <f t="shared" si="7"/>
        <v>400894.48000000004</v>
      </c>
      <c r="CQ42" s="153">
        <f t="shared" si="7"/>
        <v>651324.96000000008</v>
      </c>
      <c r="CR42" s="153">
        <f t="shared" si="16"/>
        <v>2409910.83</v>
      </c>
      <c r="CT42" s="403">
        <v>305.8</v>
      </c>
      <c r="CU42" s="276">
        <f>Dem!B83+(DD42/4)</f>
        <v>22.875000000000004</v>
      </c>
      <c r="CV42" s="276">
        <f>Dem!B123+(DD42/4)</f>
        <v>25.075000000000003</v>
      </c>
      <c r="CW42" s="276">
        <f>Dem!B163+(DD42/4)</f>
        <v>24.675000000000004</v>
      </c>
      <c r="CX42" s="276">
        <f>Dem!B203+(DD42/4)</f>
        <v>24.275000000000002</v>
      </c>
      <c r="CY42" s="276">
        <f>Dem!B283</f>
        <v>12.3</v>
      </c>
      <c r="CZ42" s="276">
        <f>Dem!B323</f>
        <v>6.2</v>
      </c>
      <c r="DA42" s="276">
        <f>Dem!B363</f>
        <v>4.9000000000000004</v>
      </c>
      <c r="DB42" s="276">
        <f>Dem!B403</f>
        <v>1.2</v>
      </c>
      <c r="DC42" s="275">
        <v>122.5</v>
      </c>
      <c r="DD42" s="46">
        <v>-0.49999999999998579</v>
      </c>
      <c r="DE42" s="275"/>
      <c r="DF42" s="276">
        <f>Dem!$D83+(DO42/4)</f>
        <v>59.5</v>
      </c>
      <c r="DG42" s="276">
        <f>Dem!$D123+(DO42/4)</f>
        <v>60.900000000000006</v>
      </c>
      <c r="DH42" s="276">
        <f>Dem!$D163+(DO42/4)</f>
        <v>60.900000000000006</v>
      </c>
      <c r="DI42" s="276">
        <f>Dem!$D203+(DO42/4)</f>
        <v>60.900000000000006</v>
      </c>
      <c r="DJ42" s="275">
        <f>Dem!$D283</f>
        <v>30.6</v>
      </c>
      <c r="DK42" s="275">
        <f>Dem!$D323</f>
        <v>15.3</v>
      </c>
      <c r="DL42" s="275">
        <f>Dem!$D363</f>
        <v>12.2</v>
      </c>
      <c r="DM42" s="275">
        <f>Dem!$D403</f>
        <v>3.1</v>
      </c>
      <c r="DN42" s="276">
        <f t="shared" si="17"/>
        <v>305.8</v>
      </c>
      <c r="DO42" s="44">
        <v>-1.1999999999999886</v>
      </c>
    </row>
    <row r="43" spans="1:119">
      <c r="A43" s="46">
        <f t="shared" si="18"/>
        <v>2013</v>
      </c>
      <c r="B43" s="141">
        <f t="shared" si="8"/>
        <v>0.17655882247865662</v>
      </c>
      <c r="C43" s="46"/>
      <c r="D43" s="141">
        <f t="shared" si="9"/>
        <v>0.7124764927649353</v>
      </c>
      <c r="E43" s="141">
        <f t="shared" si="10"/>
        <v>0.53591767028627868</v>
      </c>
      <c r="F43" s="46"/>
      <c r="G43" s="157">
        <f t="shared" si="11"/>
        <v>3.5305071679110227E-2</v>
      </c>
      <c r="H43" s="157">
        <f t="shared" si="11"/>
        <v>6.6696786586121271E-2</v>
      </c>
      <c r="I43" s="157">
        <f t="shared" si="11"/>
        <v>8.8875564882299543E-2</v>
      </c>
      <c r="J43" s="157">
        <f t="shared" si="11"/>
        <v>9.5073614849621513E-2</v>
      </c>
      <c r="K43" s="157">
        <f t="shared" si="11"/>
        <v>4.2644509791477693E-2</v>
      </c>
      <c r="L43" s="157">
        <f t="shared" si="11"/>
        <v>1.8141395396236628E-2</v>
      </c>
      <c r="M43" s="157">
        <f t="shared" si="11"/>
        <v>9.5013031976007908E-3</v>
      </c>
      <c r="N43" s="157">
        <f t="shared" si="11"/>
        <v>0</v>
      </c>
      <c r="O43" s="46"/>
      <c r="P43" s="154">
        <f t="shared" si="19"/>
        <v>2.3474641604448867E-2</v>
      </c>
      <c r="Q43" s="154">
        <f t="shared" si="20"/>
        <v>6.6516067069393683E-2</v>
      </c>
      <c r="R43" s="154">
        <f t="shared" si="20"/>
        <v>0.15562217558850239</v>
      </c>
      <c r="S43" s="154">
        <f t="shared" si="20"/>
        <v>0.32463192575189248</v>
      </c>
      <c r="T43" s="154">
        <f t="shared" si="20"/>
        <v>0.47355490208522311</v>
      </c>
      <c r="U43" s="154">
        <f t="shared" si="20"/>
        <v>0.58717209207526755</v>
      </c>
      <c r="V43" s="154">
        <f t="shared" si="20"/>
        <v>0.75246742005998035</v>
      </c>
      <c r="W43" s="162">
        <f t="shared" si="21"/>
        <v>1</v>
      </c>
      <c r="X43" s="154"/>
      <c r="Y43" s="142">
        <f t="shared" si="22"/>
        <v>3.2497532082922019E-2</v>
      </c>
      <c r="Z43" s="142">
        <f t="shared" si="22"/>
        <v>5.5123395853899318E-2</v>
      </c>
      <c r="AA43" s="142">
        <f t="shared" si="22"/>
        <v>6.768015794669302E-2</v>
      </c>
      <c r="AB43" s="142">
        <f t="shared" si="22"/>
        <v>6.6811451135241881E-2</v>
      </c>
      <c r="AC43" s="142">
        <f t="shared" si="22"/>
        <v>2.8499506416584421E-2</v>
      </c>
      <c r="AD43" s="142">
        <f t="shared" si="22"/>
        <v>1.1665844027640683E-2</v>
      </c>
      <c r="AE43" s="142">
        <f t="shared" si="22"/>
        <v>5.6809476801579573E-3</v>
      </c>
      <c r="AF43" s="142">
        <f t="shared" si="22"/>
        <v>0</v>
      </c>
      <c r="AH43" s="158">
        <f t="shared" si="13"/>
        <v>3.7512339585389923E-2</v>
      </c>
      <c r="AI43" s="158">
        <f t="shared" si="14"/>
        <v>0.12438302073050345</v>
      </c>
      <c r="AJ43" s="158">
        <f t="shared" si="14"/>
        <v>0.26159921026653499</v>
      </c>
      <c r="AK43" s="158">
        <f t="shared" si="14"/>
        <v>0.46594274432379063</v>
      </c>
      <c r="AL43" s="158">
        <f t="shared" si="14"/>
        <v>0.61500493583415583</v>
      </c>
      <c r="AM43" s="158">
        <f t="shared" si="14"/>
        <v>0.71668311944718643</v>
      </c>
      <c r="AN43" s="158">
        <f t="shared" si="14"/>
        <v>0.84797630799605117</v>
      </c>
      <c r="AO43" s="158">
        <v>1</v>
      </c>
      <c r="AP43" s="143"/>
      <c r="AQ43" s="143">
        <f t="shared" si="25"/>
        <v>2.3474641604448867E-2</v>
      </c>
      <c r="AR43" s="143">
        <f t="shared" si="25"/>
        <v>4.304142546494482E-2</v>
      </c>
      <c r="AS43" s="143">
        <f t="shared" si="25"/>
        <v>8.9106108519108718E-2</v>
      </c>
      <c r="AT43" s="143">
        <f t="shared" si="25"/>
        <v>0.16900975016339009</v>
      </c>
      <c r="AU43" s="143">
        <f t="shared" si="25"/>
        <v>0.1489229763333306</v>
      </c>
      <c r="AV43" s="143">
        <f t="shared" si="25"/>
        <v>0.11361718999004447</v>
      </c>
      <c r="AW43" s="143">
        <f t="shared" si="25"/>
        <v>0.1652953279847128</v>
      </c>
      <c r="AX43" s="143">
        <f t="shared" si="25"/>
        <v>0.24753257994001959</v>
      </c>
      <c r="AY43" s="46"/>
      <c r="AZ43" s="152">
        <f>Shares!D84</f>
        <v>3.8</v>
      </c>
      <c r="BA43" s="152">
        <f>Shares!E84</f>
        <v>8.8000000000000007</v>
      </c>
      <c r="BB43" s="152">
        <f>Shares!F84</f>
        <v>13.9</v>
      </c>
      <c r="BC43" s="152">
        <f>Shares!G84</f>
        <v>20.7</v>
      </c>
      <c r="BD43" s="152">
        <f>Shares!J84</f>
        <v>15.1</v>
      </c>
      <c r="BE43" s="152">
        <f>Shares!K84</f>
        <v>10.3</v>
      </c>
      <c r="BF43" s="152">
        <f>Shares!L84</f>
        <v>13.3</v>
      </c>
      <c r="BG43" s="152">
        <f>Shares!M84</f>
        <v>15.4</v>
      </c>
      <c r="BI43" s="573">
        <f>TxRt!$B87-TxRt!C87+MAX(0,TxRt!$C87)</f>
        <v>13.3</v>
      </c>
      <c r="BJ43" s="573">
        <f>TxRt!B130-TxRt!C130+MAX(0,TxRt!$C130)</f>
        <v>10.4</v>
      </c>
      <c r="BK43" s="573">
        <f>TxRt!B170-TxRt!C170+MAX(0,TxRt!$C170)</f>
        <v>13.7</v>
      </c>
      <c r="BL43" s="573">
        <f>TxRt!B210-TxRt!C210+MAX(0,TxRt!$C210)</f>
        <v>17.399999999999999</v>
      </c>
      <c r="BM43" s="573">
        <f>TxRt!B290-TxRt!C290+MAX(0,TxRt!$C290)</f>
        <v>20.9</v>
      </c>
      <c r="BN43" s="573">
        <f>TxRt!B330-TxRt!C330+MAX(0,TxRt!$C330)</f>
        <v>23.2</v>
      </c>
      <c r="BO43" s="573">
        <f>TxRt!B370-TxRt!C370+MAX(0,TxRt!$C370)</f>
        <v>26.3</v>
      </c>
      <c r="BP43" s="573">
        <f>TxRt!B410-TxRt!C410+MAX(0,TxRt!$C410)</f>
        <v>33.6</v>
      </c>
      <c r="BQ43" s="46"/>
      <c r="BR43" s="60">
        <f>Inc!B84</f>
        <v>19900</v>
      </c>
      <c r="BS43" s="60">
        <f>Inc!B124</f>
        <v>42600</v>
      </c>
      <c r="BT43" s="60">
        <f>Inc!B164</f>
        <v>68300</v>
      </c>
      <c r="BU43" s="60">
        <f>Inc!B204</f>
        <v>104100</v>
      </c>
      <c r="BV43" s="60">
        <f>Inc!B284</f>
        <v>149500</v>
      </c>
      <c r="BW43" s="60">
        <f>Inc!B324</f>
        <v>205500</v>
      </c>
      <c r="BX43" s="60">
        <f>Inc!B364</f>
        <v>333700</v>
      </c>
      <c r="BY43" s="60">
        <f>Inc!B404</f>
        <v>1597200</v>
      </c>
      <c r="CA43" s="60">
        <f t="shared" si="26"/>
        <v>2646.7</v>
      </c>
      <c r="CB43" s="60">
        <f t="shared" si="26"/>
        <v>4430.3999999999996</v>
      </c>
      <c r="CC43" s="60">
        <f t="shared" si="26"/>
        <v>9357.1</v>
      </c>
      <c r="CD43" s="60">
        <f t="shared" si="26"/>
        <v>18113.399999999998</v>
      </c>
      <c r="CE43" s="60">
        <f t="shared" si="26"/>
        <v>31245.5</v>
      </c>
      <c r="CF43" s="60">
        <f t="shared" si="26"/>
        <v>47676</v>
      </c>
      <c r="CG43" s="60">
        <f t="shared" si="26"/>
        <v>87763.1</v>
      </c>
      <c r="CH43" s="60">
        <f t="shared" si="24"/>
        <v>536659.19999999995</v>
      </c>
      <c r="CJ43" s="153">
        <f t="shared" si="15"/>
        <v>61072.602500000015</v>
      </c>
      <c r="CK43" s="153">
        <f t="shared" si="7"/>
        <v>111978.36000000002</v>
      </c>
      <c r="CL43" s="153">
        <f t="shared" si="7"/>
        <v>231822.15250000005</v>
      </c>
      <c r="CM43" s="153">
        <f t="shared" si="7"/>
        <v>439702.78500000003</v>
      </c>
      <c r="CN43" s="153">
        <f t="shared" si="7"/>
        <v>387444.2</v>
      </c>
      <c r="CO43" s="153">
        <f t="shared" si="7"/>
        <v>295591.2</v>
      </c>
      <c r="CP43" s="153">
        <f t="shared" si="7"/>
        <v>430039.19000000006</v>
      </c>
      <c r="CQ43" s="153">
        <f t="shared" si="7"/>
        <v>643991.03999999992</v>
      </c>
      <c r="CR43" s="153">
        <f t="shared" si="16"/>
        <v>2601641.5300000003</v>
      </c>
      <c r="CT43" s="403">
        <v>306</v>
      </c>
      <c r="CU43" s="276">
        <f>Dem!B84+(DD43/4)</f>
        <v>23.075000000000006</v>
      </c>
      <c r="CV43" s="276">
        <f>Dem!B124+(DD43/4)</f>
        <v>25.275000000000006</v>
      </c>
      <c r="CW43" s="276">
        <f>Dem!B164+(DD43/4)</f>
        <v>24.775000000000006</v>
      </c>
      <c r="CX43" s="276">
        <f>Dem!B204+(DD43/4)</f>
        <v>24.275000000000006</v>
      </c>
      <c r="CY43" s="276">
        <f>Dem!B284</f>
        <v>12.4</v>
      </c>
      <c r="CZ43" s="276">
        <f>Dem!B324</f>
        <v>6.2</v>
      </c>
      <c r="DA43" s="276">
        <f>Dem!B364</f>
        <v>4.9000000000000004</v>
      </c>
      <c r="DB43" s="276">
        <f>Dem!B404</f>
        <v>1.2</v>
      </c>
      <c r="DC43" s="275">
        <v>123.1</v>
      </c>
      <c r="DD43" s="46">
        <v>-0.49999999999997158</v>
      </c>
      <c r="DE43" s="275"/>
      <c r="DF43" s="276">
        <f>Dem!$D84+(DO43/4)</f>
        <v>59.57500000000001</v>
      </c>
      <c r="DG43" s="276">
        <f>Dem!$D124+(DO43/4)</f>
        <v>60.875000000000014</v>
      </c>
      <c r="DH43" s="276">
        <f>Dem!$D164+(DO43/4)</f>
        <v>60.875000000000014</v>
      </c>
      <c r="DI43" s="276">
        <f>Dem!$D204+(DO43/4)</f>
        <v>60.875000000000014</v>
      </c>
      <c r="DJ43" s="275">
        <f>Dem!$D284</f>
        <v>30.6</v>
      </c>
      <c r="DK43" s="275">
        <f>Dem!$D324</f>
        <v>15.3</v>
      </c>
      <c r="DL43" s="275">
        <f>Dem!$D364</f>
        <v>12.2</v>
      </c>
      <c r="DM43" s="275">
        <f>Dem!$D404</f>
        <v>3.1</v>
      </c>
      <c r="DN43" s="276">
        <f t="shared" si="17"/>
        <v>306</v>
      </c>
      <c r="DO43" s="44">
        <v>-1.2999999999999545</v>
      </c>
    </row>
    <row r="44" spans="1:119">
      <c r="A44" s="46">
        <f t="shared" si="18"/>
        <v>2014</v>
      </c>
      <c r="B44" s="141">
        <f t="shared" si="8"/>
        <v>0.17199549674286718</v>
      </c>
      <c r="C44" s="46"/>
      <c r="D44" s="141">
        <f t="shared" si="9"/>
        <v>0.72421921215788698</v>
      </c>
      <c r="E44" s="141">
        <f t="shared" si="10"/>
        <v>0.5522237154150198</v>
      </c>
      <c r="F44" s="46"/>
      <c r="G44" s="157">
        <f t="shared" si="11"/>
        <v>3.5599029121892743E-2</v>
      </c>
      <c r="H44" s="157">
        <f t="shared" si="11"/>
        <v>6.7188867075555325E-2</v>
      </c>
      <c r="I44" s="157">
        <f t="shared" si="11"/>
        <v>8.9923146754603139E-2</v>
      </c>
      <c r="J44" s="157">
        <f t="shared" si="11"/>
        <v>9.668862286200311E-2</v>
      </c>
      <c r="K44" s="157">
        <f t="shared" si="11"/>
        <v>4.3884035481563256E-2</v>
      </c>
      <c r="L44" s="157">
        <f t="shared" si="11"/>
        <v>1.8817467695430096E-2</v>
      </c>
      <c r="M44" s="157">
        <f t="shared" si="11"/>
        <v>1.0008437087895863E-2</v>
      </c>
      <c r="N44" s="157">
        <f t="shared" si="11"/>
        <v>0</v>
      </c>
      <c r="O44" s="46"/>
      <c r="P44" s="154">
        <f t="shared" si="19"/>
        <v>2.2004854390536305E-2</v>
      </c>
      <c r="Q44" s="154">
        <f t="shared" si="20"/>
        <v>6.4055664622223396E-2</v>
      </c>
      <c r="R44" s="154">
        <f t="shared" si="20"/>
        <v>0.15038426622698442</v>
      </c>
      <c r="S44" s="154">
        <f t="shared" si="20"/>
        <v>0.31655688568998452</v>
      </c>
      <c r="T44" s="154">
        <f t="shared" si="20"/>
        <v>0.46115964518436747</v>
      </c>
      <c r="U44" s="154">
        <f t="shared" si="20"/>
        <v>0.57365064609139815</v>
      </c>
      <c r="V44" s="154">
        <f t="shared" si="20"/>
        <v>0.73978907280260353</v>
      </c>
      <c r="W44" s="162">
        <f t="shared" si="21"/>
        <v>1</v>
      </c>
      <c r="X44" s="154"/>
      <c r="Y44" s="142">
        <f t="shared" si="22"/>
        <v>3.2885375494071147E-2</v>
      </c>
      <c r="Z44" s="142">
        <f t="shared" si="22"/>
        <v>5.5889328063241123E-2</v>
      </c>
      <c r="AA44" s="142">
        <f t="shared" si="22"/>
        <v>6.9407114624505953E-2</v>
      </c>
      <c r="AB44" s="142">
        <f t="shared" si="22"/>
        <v>6.9288537549407128E-2</v>
      </c>
      <c r="AC44" s="142">
        <f t="shared" si="22"/>
        <v>3.0019762845849809E-2</v>
      </c>
      <c r="AD44" s="142">
        <f t="shared" si="22"/>
        <v>1.2420948616600798E-2</v>
      </c>
      <c r="AE44" s="142">
        <f t="shared" si="22"/>
        <v>6.2007905138339982E-3</v>
      </c>
      <c r="AF44" s="142">
        <f t="shared" si="22"/>
        <v>0</v>
      </c>
      <c r="AH44" s="158">
        <f t="shared" si="13"/>
        <v>3.5573122529644272E-2</v>
      </c>
      <c r="AI44" s="158">
        <f t="shared" si="14"/>
        <v>0.12055335968379446</v>
      </c>
      <c r="AJ44" s="158">
        <f t="shared" si="14"/>
        <v>0.25296442687747034</v>
      </c>
      <c r="AK44" s="158">
        <f t="shared" si="14"/>
        <v>0.45355731225296442</v>
      </c>
      <c r="AL44" s="158">
        <f t="shared" si="14"/>
        <v>0.59980237154150196</v>
      </c>
      <c r="AM44" s="158">
        <f t="shared" si="14"/>
        <v>0.70158102766798414</v>
      </c>
      <c r="AN44" s="158">
        <f t="shared" si="14"/>
        <v>0.83498023715415015</v>
      </c>
      <c r="AO44" s="158">
        <v>1</v>
      </c>
      <c r="AP44" s="143"/>
      <c r="AQ44" s="143">
        <f t="shared" si="25"/>
        <v>2.2004854390536305E-2</v>
      </c>
      <c r="AR44" s="143">
        <f t="shared" si="25"/>
        <v>4.2050810231687094E-2</v>
      </c>
      <c r="AS44" s="143">
        <f t="shared" si="25"/>
        <v>8.6328601604761024E-2</v>
      </c>
      <c r="AT44" s="143">
        <f t="shared" si="25"/>
        <v>0.16617261946300013</v>
      </c>
      <c r="AU44" s="143">
        <f t="shared" si="25"/>
        <v>0.14460275949438292</v>
      </c>
      <c r="AV44" s="143">
        <f t="shared" si="25"/>
        <v>0.11249100090703068</v>
      </c>
      <c r="AW44" s="143">
        <f t="shared" si="25"/>
        <v>0.16613842671120532</v>
      </c>
      <c r="AX44" s="143">
        <f t="shared" si="25"/>
        <v>0.26021092719739641</v>
      </c>
      <c r="AY44" s="46"/>
      <c r="AZ44" s="152">
        <f>Shares!D85</f>
        <v>3.6</v>
      </c>
      <c r="BA44" s="152">
        <f>Shares!E85</f>
        <v>8.6</v>
      </c>
      <c r="BB44" s="152">
        <f>Shares!F85</f>
        <v>13.4</v>
      </c>
      <c r="BC44" s="152">
        <f>Shares!G85</f>
        <v>20.3</v>
      </c>
      <c r="BD44" s="152">
        <f>Shares!J85</f>
        <v>14.8</v>
      </c>
      <c r="BE44" s="152">
        <f>Shares!K85</f>
        <v>10.3</v>
      </c>
      <c r="BF44" s="152">
        <f>Shares!L85</f>
        <v>13.5</v>
      </c>
      <c r="BG44" s="152">
        <f>Shares!M85</f>
        <v>16.7</v>
      </c>
      <c r="BI44" s="573">
        <f>TxRt!$B88-TxRt!C88+MAX(0,TxRt!$C88)</f>
        <v>13.4</v>
      </c>
      <c r="BJ44" s="573">
        <f>TxRt!B131-TxRt!C131+MAX(0,TxRt!$C131)</f>
        <v>10.6</v>
      </c>
      <c r="BK44" s="573">
        <f>TxRt!B171-TxRt!C171+MAX(0,TxRt!$C171)</f>
        <v>14</v>
      </c>
      <c r="BL44" s="573">
        <f>TxRt!B211-TxRt!C211+MAX(0,TxRt!$C211)</f>
        <v>17.8</v>
      </c>
      <c r="BM44" s="573">
        <f>TxRt!B291-TxRt!C291+MAX(0,TxRt!$C291)</f>
        <v>21.2</v>
      </c>
      <c r="BN44" s="573">
        <f>TxRt!B331-TxRt!C331+MAX(0,TxRt!$C331)</f>
        <v>23.4</v>
      </c>
      <c r="BO44" s="573">
        <f>TxRt!B371-TxRt!C371+MAX(0,TxRt!$C371)</f>
        <v>26.7</v>
      </c>
      <c r="BP44" s="573">
        <f>TxRt!B411-TxRt!C411+MAX(0,TxRt!$C411)</f>
        <v>33.6</v>
      </c>
      <c r="BQ44" s="46"/>
      <c r="BR44" s="60">
        <f>Inc!B85</f>
        <v>19400</v>
      </c>
      <c r="BS44" s="60">
        <f>Inc!B125</f>
        <v>42700</v>
      </c>
      <c r="BT44" s="60">
        <f>Inc!B165</f>
        <v>69600</v>
      </c>
      <c r="BU44" s="60">
        <f>Inc!B205</f>
        <v>105800</v>
      </c>
      <c r="BV44" s="60">
        <f>Inc!B285</f>
        <v>153200</v>
      </c>
      <c r="BW44" s="60">
        <f>Inc!B325</f>
        <v>209200</v>
      </c>
      <c r="BX44" s="60">
        <f>Inc!B365</f>
        <v>346600</v>
      </c>
      <c r="BY44" s="60">
        <f>Inc!B405</f>
        <v>1797400</v>
      </c>
      <c r="CA44" s="60">
        <f t="shared" si="26"/>
        <v>2599.6</v>
      </c>
      <c r="CB44" s="60">
        <f t="shared" si="26"/>
        <v>4526.2</v>
      </c>
      <c r="CC44" s="60">
        <f t="shared" si="26"/>
        <v>9744</v>
      </c>
      <c r="CD44" s="60">
        <f t="shared" si="26"/>
        <v>18832.400000000001</v>
      </c>
      <c r="CE44" s="60">
        <f t="shared" si="26"/>
        <v>32478.400000000001</v>
      </c>
      <c r="CF44" s="60">
        <f t="shared" si="26"/>
        <v>48952.800000000003</v>
      </c>
      <c r="CG44" s="60">
        <f t="shared" si="26"/>
        <v>92542.2</v>
      </c>
      <c r="CH44" s="60">
        <f t="shared" si="24"/>
        <v>603926.4</v>
      </c>
      <c r="CJ44" s="153">
        <f t="shared" si="15"/>
        <v>61285.570000000007</v>
      </c>
      <c r="CK44" s="153">
        <f t="shared" si="7"/>
        <v>117115.42500000002</v>
      </c>
      <c r="CL44" s="153">
        <f t="shared" si="7"/>
        <v>240433.20000000004</v>
      </c>
      <c r="CM44" s="153">
        <f t="shared" si="7"/>
        <v>462806.2300000001</v>
      </c>
      <c r="CN44" s="153">
        <f t="shared" si="7"/>
        <v>402732.16000000003</v>
      </c>
      <c r="CO44" s="153">
        <f t="shared" si="7"/>
        <v>313297.92000000004</v>
      </c>
      <c r="CP44" s="153">
        <f t="shared" si="7"/>
        <v>462711</v>
      </c>
      <c r="CQ44" s="153">
        <f t="shared" si="7"/>
        <v>724711.68</v>
      </c>
      <c r="CR44" s="153">
        <f t="shared" si="16"/>
        <v>2785093.1850000005</v>
      </c>
      <c r="CT44" s="403">
        <v>310.39999999999998</v>
      </c>
      <c r="CU44" s="276">
        <f>Dem!B85+(DD44/4)</f>
        <v>23.575000000000003</v>
      </c>
      <c r="CV44" s="276">
        <f>Dem!B125+(DD44/4)</f>
        <v>25.875000000000004</v>
      </c>
      <c r="CW44" s="276">
        <f>Dem!B165+(DD44/4)</f>
        <v>24.675000000000004</v>
      </c>
      <c r="CX44" s="276">
        <f>Dem!B205+(DD44/4)</f>
        <v>24.575000000000003</v>
      </c>
      <c r="CY44" s="276">
        <f>Dem!B285</f>
        <v>12.4</v>
      </c>
      <c r="CZ44" s="276">
        <f>Dem!B325</f>
        <v>6.4</v>
      </c>
      <c r="DA44" s="276">
        <f>Dem!B365</f>
        <v>5</v>
      </c>
      <c r="DB44" s="276">
        <f>Dem!B405</f>
        <v>1.2</v>
      </c>
      <c r="DC44" s="275">
        <v>124.7</v>
      </c>
      <c r="DD44" s="46">
        <v>-0.49999999999998579</v>
      </c>
      <c r="DE44" s="275"/>
      <c r="DF44" s="276">
        <f>Dem!$D85+(DO44/4)</f>
        <v>60.350000000000009</v>
      </c>
      <c r="DG44" s="276">
        <f>Dem!$D125+(DO44/4)</f>
        <v>61.750000000000007</v>
      </c>
      <c r="DH44" s="276">
        <f>Dem!$D165+(DO44/4)</f>
        <v>61.750000000000007</v>
      </c>
      <c r="DI44" s="276">
        <f>Dem!$D205+(DO44/4)</f>
        <v>61.750000000000007</v>
      </c>
      <c r="DJ44" s="275">
        <f>Dem!$D285</f>
        <v>31</v>
      </c>
      <c r="DK44" s="275">
        <f>Dem!$D325</f>
        <v>15.5</v>
      </c>
      <c r="DL44" s="275">
        <f>Dem!$D365</f>
        <v>12.4</v>
      </c>
      <c r="DM44" s="275">
        <f>Dem!$D405</f>
        <v>3.1</v>
      </c>
      <c r="DN44" s="276">
        <f t="shared" si="17"/>
        <v>310.39999999999998</v>
      </c>
      <c r="DO44" s="44">
        <v>-1.3999999999999773</v>
      </c>
    </row>
    <row r="45" spans="1:119">
      <c r="A45" s="46">
        <f t="shared" si="18"/>
        <v>2015</v>
      </c>
      <c r="B45" s="141">
        <f t="shared" si="8"/>
        <v>0.17466801147211009</v>
      </c>
      <c r="C45" s="46"/>
      <c r="D45" s="141">
        <f t="shared" si="9"/>
        <v>0.72179989696075775</v>
      </c>
      <c r="E45" s="141">
        <f t="shared" si="10"/>
        <v>0.54713188548864766</v>
      </c>
      <c r="F45" s="46"/>
      <c r="G45" s="157">
        <f t="shared" si="11"/>
        <v>3.5523990916123654E-2</v>
      </c>
      <c r="H45" s="157">
        <f t="shared" si="11"/>
        <v>6.7136922467359403E-2</v>
      </c>
      <c r="I45" s="157">
        <f t="shared" si="11"/>
        <v>8.9710151248485387E-2</v>
      </c>
      <c r="J45" s="157">
        <f t="shared" si="11"/>
        <v>9.6290873201677604E-2</v>
      </c>
      <c r="K45" s="157">
        <f t="shared" si="11"/>
        <v>4.3564506937627485E-2</v>
      </c>
      <c r="L45" s="157">
        <f t="shared" si="11"/>
        <v>1.8723209105922768E-2</v>
      </c>
      <c r="M45" s="157">
        <f t="shared" si="11"/>
        <v>9.9502946031825076E-3</v>
      </c>
      <c r="N45" s="157">
        <f t="shared" si="11"/>
        <v>0</v>
      </c>
      <c r="O45" s="161">
        <v>0</v>
      </c>
      <c r="P45" s="154">
        <f t="shared" si="19"/>
        <v>2.2380045419381739E-2</v>
      </c>
      <c r="Q45" s="154">
        <f t="shared" si="20"/>
        <v>6.4315387663202966E-2</v>
      </c>
      <c r="R45" s="154">
        <f t="shared" si="20"/>
        <v>0.15144924375757321</v>
      </c>
      <c r="S45" s="154">
        <f t="shared" si="20"/>
        <v>0.31854563399161206</v>
      </c>
      <c r="T45" s="154">
        <f t="shared" si="20"/>
        <v>0.46435493062372518</v>
      </c>
      <c r="U45" s="154">
        <f t="shared" si="20"/>
        <v>0.57553581788154473</v>
      </c>
      <c r="V45" s="154">
        <f t="shared" si="20"/>
        <v>0.7412426349204374</v>
      </c>
      <c r="W45" s="162">
        <f t="shared" si="21"/>
        <v>1</v>
      </c>
      <c r="X45" s="154"/>
      <c r="Y45" s="142">
        <f t="shared" si="22"/>
        <v>3.2694965449160909E-2</v>
      </c>
      <c r="Z45" s="142">
        <f t="shared" si="22"/>
        <v>5.5518262586377098E-2</v>
      </c>
      <c r="AA45" s="142">
        <f t="shared" si="22"/>
        <v>6.8667324777887478E-2</v>
      </c>
      <c r="AB45" s="142">
        <f t="shared" si="22"/>
        <v>6.85883514313919E-2</v>
      </c>
      <c r="AC45" s="142">
        <f t="shared" si="22"/>
        <v>2.9684106614017759E-2</v>
      </c>
      <c r="AD45" s="142">
        <f t="shared" si="22"/>
        <v>1.2258144126357352E-2</v>
      </c>
      <c r="AE45" s="142">
        <f t="shared" si="22"/>
        <v>6.1547877591312927E-3</v>
      </c>
      <c r="AF45" s="142">
        <f t="shared" si="22"/>
        <v>0</v>
      </c>
      <c r="AG45" s="161">
        <v>0</v>
      </c>
      <c r="AH45" s="158">
        <f t="shared" si="13"/>
        <v>3.6525172754195465E-2</v>
      </c>
      <c r="AI45" s="158">
        <f t="shared" si="14"/>
        <v>0.12240868706811453</v>
      </c>
      <c r="AJ45" s="158">
        <f t="shared" si="14"/>
        <v>0.25666337611056272</v>
      </c>
      <c r="AK45" s="158">
        <f t="shared" si="14"/>
        <v>0.45705824284304053</v>
      </c>
      <c r="AL45" s="158">
        <f t="shared" si="14"/>
        <v>0.60315893385982244</v>
      </c>
      <c r="AM45" s="158">
        <f t="shared" si="14"/>
        <v>0.70483711747285305</v>
      </c>
      <c r="AN45" s="158">
        <f t="shared" si="14"/>
        <v>0.83613030602171778</v>
      </c>
      <c r="AO45" s="158">
        <v>1</v>
      </c>
      <c r="AP45" s="143"/>
      <c r="AQ45" s="143">
        <f t="shared" si="25"/>
        <v>2.2380045419381739E-2</v>
      </c>
      <c r="AR45" s="143">
        <f t="shared" si="25"/>
        <v>4.1935342243821234E-2</v>
      </c>
      <c r="AS45" s="143">
        <f t="shared" si="25"/>
        <v>8.7133856094370243E-2</v>
      </c>
      <c r="AT45" s="143">
        <f t="shared" si="25"/>
        <v>0.16709639023403888</v>
      </c>
      <c r="AU45" s="143">
        <f t="shared" si="25"/>
        <v>0.14580929663211312</v>
      </c>
      <c r="AV45" s="143">
        <f t="shared" si="25"/>
        <v>0.11118088725781955</v>
      </c>
      <c r="AW45" s="143">
        <f t="shared" si="25"/>
        <v>0.16570681703889265</v>
      </c>
      <c r="AX45" s="143">
        <f t="shared" si="25"/>
        <v>0.25875736507956254</v>
      </c>
      <c r="AY45" s="46"/>
      <c r="AZ45" s="152">
        <f>Shares!D86</f>
        <v>3.7</v>
      </c>
      <c r="BA45" s="152">
        <f>Shares!E86</f>
        <v>8.6999999999999993</v>
      </c>
      <c r="BB45" s="152">
        <f>Shares!F86</f>
        <v>13.6</v>
      </c>
      <c r="BC45" s="152">
        <f>Shares!G86</f>
        <v>20.3</v>
      </c>
      <c r="BD45" s="152">
        <f>Shares!J86</f>
        <v>14.8</v>
      </c>
      <c r="BE45" s="152">
        <f>Shares!K86</f>
        <v>10.3</v>
      </c>
      <c r="BF45" s="152">
        <f>Shares!L86</f>
        <v>13.3</v>
      </c>
      <c r="BG45" s="152">
        <f>Shares!M86</f>
        <v>16.600000000000001</v>
      </c>
      <c r="BI45" s="573">
        <f>TxRt!$B89-TxRt!C89+MAX(0,TxRt!$C89)</f>
        <v>13.1</v>
      </c>
      <c r="BJ45" s="573">
        <f>TxRt!B132-TxRt!C132+MAX(0,TxRt!$C132)</f>
        <v>10.5</v>
      </c>
      <c r="BK45" s="573">
        <f>TxRt!B172-TxRt!C172+MAX(0,TxRt!$C172)</f>
        <v>14</v>
      </c>
      <c r="BL45" s="573">
        <f>TxRt!B212-TxRt!C212+MAX(0,TxRt!$C212)</f>
        <v>17.899999999999999</v>
      </c>
      <c r="BM45" s="573">
        <f>TxRt!B292-TxRt!C292+MAX(0,TxRt!$C292)</f>
        <v>21.3</v>
      </c>
      <c r="BN45" s="573">
        <f>TxRt!B332-TxRt!C332+MAX(0,TxRt!$C332)</f>
        <v>23.6</v>
      </c>
      <c r="BO45" s="573">
        <f>TxRt!B372-TxRt!C372+MAX(0,TxRt!$C372)</f>
        <v>26.7</v>
      </c>
      <c r="BP45" s="573">
        <f>TxRt!B412-TxRt!C412+MAX(0,TxRt!$C412)</f>
        <v>33.299999999999997</v>
      </c>
      <c r="BQ45" s="46"/>
      <c r="BR45" s="60">
        <f>Inc!B86</f>
        <v>20500</v>
      </c>
      <c r="BS45" s="60">
        <f>Inc!B126</f>
        <v>44600</v>
      </c>
      <c r="BT45" s="60">
        <f>Inc!B166</f>
        <v>72000</v>
      </c>
      <c r="BU45" s="60">
        <f>Inc!B206</f>
        <v>109300</v>
      </c>
      <c r="BV45" s="60">
        <f>Inc!B286</f>
        <v>158700</v>
      </c>
      <c r="BW45" s="60">
        <f>Inc!B326</f>
        <v>216700</v>
      </c>
      <c r="BX45" s="60">
        <f>Inc!B366</f>
        <v>359700</v>
      </c>
      <c r="BY45" s="60">
        <f>Inc!B406</f>
        <v>1876500</v>
      </c>
      <c r="CA45" s="60">
        <f t="shared" si="26"/>
        <v>2685.5</v>
      </c>
      <c r="CB45" s="60">
        <f t="shared" si="26"/>
        <v>4683</v>
      </c>
      <c r="CC45" s="60">
        <f t="shared" si="26"/>
        <v>10080</v>
      </c>
      <c r="CD45" s="60">
        <f t="shared" si="26"/>
        <v>19564.699999999997</v>
      </c>
      <c r="CE45" s="60">
        <f t="shared" si="26"/>
        <v>33803.1</v>
      </c>
      <c r="CF45" s="60">
        <f t="shared" si="26"/>
        <v>51141.2</v>
      </c>
      <c r="CG45" s="60">
        <f t="shared" si="26"/>
        <v>96039.9</v>
      </c>
      <c r="CH45" s="60">
        <f t="shared" si="24"/>
        <v>624874.49999999988</v>
      </c>
      <c r="CJ45" s="153">
        <f t="shared" si="15"/>
        <v>64854.825000000004</v>
      </c>
      <c r="CK45" s="153">
        <f t="shared" si="7"/>
        <v>121523.85000000002</v>
      </c>
      <c r="CL45" s="153">
        <f t="shared" si="7"/>
        <v>252504</v>
      </c>
      <c r="CM45" s="153">
        <f t="shared" si="7"/>
        <v>484226.32499999995</v>
      </c>
      <c r="CN45" s="153">
        <f>CE45*CY45</f>
        <v>422538.75</v>
      </c>
      <c r="CO45" s="153">
        <f>CF45*CZ45</f>
        <v>322189.56</v>
      </c>
      <c r="CP45" s="153">
        <f>CG45*DA45</f>
        <v>480199.5</v>
      </c>
      <c r="CQ45" s="153">
        <f>CH45*DB45</f>
        <v>749849.39999999979</v>
      </c>
      <c r="CR45" s="153">
        <f t="shared" si="16"/>
        <v>2897886.21</v>
      </c>
      <c r="CT45" s="403">
        <v>311.5</v>
      </c>
      <c r="CU45" s="276">
        <f>Dem!B86+(DD45/4)</f>
        <v>24.150000000000002</v>
      </c>
      <c r="CV45" s="276">
        <f>Dem!B126+(DD45/4)</f>
        <v>25.950000000000003</v>
      </c>
      <c r="CW45" s="276">
        <f>Dem!B166+(DD45/4)</f>
        <v>25.05</v>
      </c>
      <c r="CX45" s="276">
        <f>Dem!B206+(DD45/4)</f>
        <v>24.75</v>
      </c>
      <c r="CY45" s="276">
        <f>Dem!B286</f>
        <v>12.5</v>
      </c>
      <c r="CZ45" s="276">
        <f>Dem!B326</f>
        <v>6.3</v>
      </c>
      <c r="DA45" s="276">
        <f>Dem!B366</f>
        <v>5</v>
      </c>
      <c r="DB45" s="276">
        <f>Dem!B406</f>
        <v>1.2</v>
      </c>
      <c r="DC45" s="275">
        <v>126.1</v>
      </c>
      <c r="DD45" s="46">
        <v>-0.59999999999999432</v>
      </c>
      <c r="DE45" s="275"/>
      <c r="DF45" s="276">
        <f>Dem!$D86+(DO45/4)</f>
        <v>60.7</v>
      </c>
      <c r="DG45" s="276">
        <f>Dem!$D126+(DO45/4)</f>
        <v>62</v>
      </c>
      <c r="DH45" s="276">
        <f>Dem!$D166+(DO45/4)</f>
        <v>62</v>
      </c>
      <c r="DI45" s="276">
        <f>Dem!$D206+(DO45/4)</f>
        <v>62</v>
      </c>
      <c r="DJ45" s="275">
        <f>Dem!$D286</f>
        <v>31.2</v>
      </c>
      <c r="DK45" s="275">
        <f>Dem!$D326</f>
        <v>15.6</v>
      </c>
      <c r="DL45" s="275">
        <f>Dem!$D366</f>
        <v>12.5</v>
      </c>
      <c r="DM45" s="275">
        <f>Dem!$D406</f>
        <v>3.1</v>
      </c>
      <c r="DN45" s="276">
        <f t="shared" si="17"/>
        <v>311.5</v>
      </c>
      <c r="DO45" s="44">
        <v>-1.1999999999999886</v>
      </c>
    </row>
    <row r="46" spans="1:119">
      <c r="A46" s="46">
        <f t="shared" si="18"/>
        <v>2016</v>
      </c>
      <c r="B46" s="141">
        <f t="shared" si="8"/>
        <v>0.17556638811087721</v>
      </c>
      <c r="C46" s="46"/>
      <c r="D46" s="141">
        <f t="shared" si="9"/>
        <v>0.71449438019791978</v>
      </c>
      <c r="E46" s="141">
        <f t="shared" si="10"/>
        <v>0.53892799208704256</v>
      </c>
      <c r="F46" s="46"/>
      <c r="G46" s="157">
        <f t="shared" si="11"/>
        <v>3.5508000488670755E-2</v>
      </c>
      <c r="H46" s="157">
        <f t="shared" si="11"/>
        <v>6.6795398093315625E-2</v>
      </c>
      <c r="I46" s="157">
        <f t="shared" si="11"/>
        <v>8.9214276587237795E-2</v>
      </c>
      <c r="J46" s="157">
        <f t="shared" si="11"/>
        <v>9.5125222831515935E-2</v>
      </c>
      <c r="K46" s="157">
        <f t="shared" si="11"/>
        <v>4.2790688354456888E-2</v>
      </c>
      <c r="L46" s="157">
        <f t="shared" si="11"/>
        <v>1.8227282485491419E-2</v>
      </c>
      <c r="M46" s="157">
        <f t="shared" si="11"/>
        <v>9.5863212582714581E-3</v>
      </c>
      <c r="N46" s="157">
        <f t="shared" si="11"/>
        <v>0</v>
      </c>
      <c r="O46" s="161">
        <v>0</v>
      </c>
      <c r="P46" s="154">
        <f t="shared" si="19"/>
        <v>2.2459997556646249E-2</v>
      </c>
      <c r="Q46" s="154">
        <f t="shared" si="20"/>
        <v>6.6023009533421911E-2</v>
      </c>
      <c r="R46" s="154">
        <f t="shared" si="20"/>
        <v>0.15392861706381117</v>
      </c>
      <c r="S46" s="154">
        <f t="shared" si="20"/>
        <v>0.32437388584242038</v>
      </c>
      <c r="T46" s="154">
        <f t="shared" si="20"/>
        <v>0.47209311645543117</v>
      </c>
      <c r="U46" s="154">
        <f t="shared" si="20"/>
        <v>0.58545435029017168</v>
      </c>
      <c r="V46" s="154">
        <f t="shared" si="20"/>
        <v>0.75034196854321367</v>
      </c>
      <c r="W46" s="162">
        <f t="shared" si="21"/>
        <v>1</v>
      </c>
      <c r="X46" s="154"/>
      <c r="Y46" s="142">
        <f t="shared" si="22"/>
        <v>3.2482690405539076E-2</v>
      </c>
      <c r="Z46" s="142">
        <f t="shared" si="22"/>
        <v>5.4876360039564788E-2</v>
      </c>
      <c r="AA46" s="142">
        <f t="shared" si="22"/>
        <v>6.797230464886253E-2</v>
      </c>
      <c r="AB46" s="142">
        <f t="shared" si="22"/>
        <v>6.7418397626112778E-2</v>
      </c>
      <c r="AC46" s="142">
        <f t="shared" si="22"/>
        <v>2.8971315529179031E-2</v>
      </c>
      <c r="AD46" s="142">
        <f t="shared" si="22"/>
        <v>1.1891691394658755E-2</v>
      </c>
      <c r="AE46" s="142">
        <f t="shared" si="22"/>
        <v>5.8512363996043558E-3</v>
      </c>
      <c r="AF46" s="142">
        <f t="shared" si="22"/>
        <v>0</v>
      </c>
      <c r="AG46" s="161">
        <v>0</v>
      </c>
      <c r="AH46" s="158">
        <f t="shared" si="13"/>
        <v>3.7586547972304651E-2</v>
      </c>
      <c r="AI46" s="158">
        <f t="shared" si="14"/>
        <v>0.12561819980217609</v>
      </c>
      <c r="AJ46" s="158">
        <f t="shared" si="14"/>
        <v>0.26013847675568746</v>
      </c>
      <c r="AK46" s="158">
        <f t="shared" si="14"/>
        <v>0.4629080118694362</v>
      </c>
      <c r="AL46" s="158">
        <f t="shared" si="14"/>
        <v>0.61028684470820971</v>
      </c>
      <c r="AM46" s="158">
        <f t="shared" si="14"/>
        <v>0.71216617210682498</v>
      </c>
      <c r="AN46" s="158">
        <f t="shared" si="14"/>
        <v>0.8437190900098912</v>
      </c>
      <c r="AO46" s="158">
        <v>1</v>
      </c>
      <c r="AP46" s="143"/>
      <c r="AQ46" s="143">
        <f t="shared" si="25"/>
        <v>2.2459997556646249E-2</v>
      </c>
      <c r="AR46" s="143">
        <f t="shared" si="25"/>
        <v>4.3563011976775659E-2</v>
      </c>
      <c r="AS46" s="143">
        <f t="shared" si="25"/>
        <v>8.7905607530389271E-2</v>
      </c>
      <c r="AT46" s="143">
        <f t="shared" si="25"/>
        <v>0.17044526877860922</v>
      </c>
      <c r="AU46" s="143">
        <f t="shared" si="25"/>
        <v>0.14771923061301076</v>
      </c>
      <c r="AV46" s="143">
        <f t="shared" si="25"/>
        <v>0.11336123383474052</v>
      </c>
      <c r="AW46" s="143">
        <f t="shared" si="25"/>
        <v>0.16488761825304199</v>
      </c>
      <c r="AX46" s="143">
        <f t="shared" si="25"/>
        <v>0.24965803145678639</v>
      </c>
      <c r="AY46" s="46"/>
      <c r="AZ46" s="152">
        <f>Shares!D87</f>
        <v>3.8</v>
      </c>
      <c r="BA46" s="152">
        <f>Shares!E87</f>
        <v>8.9</v>
      </c>
      <c r="BB46" s="152">
        <f>Shares!F87</f>
        <v>13.6</v>
      </c>
      <c r="BC46" s="152">
        <f>Shares!G87</f>
        <v>20.5</v>
      </c>
      <c r="BD46" s="152">
        <f>Shares!J87</f>
        <v>14.9</v>
      </c>
      <c r="BE46" s="152">
        <f>Shares!K87</f>
        <v>10.3</v>
      </c>
      <c r="BF46" s="152">
        <f>Shares!L87</f>
        <v>13.3</v>
      </c>
      <c r="BG46" s="152">
        <f>Shares!M87</f>
        <v>15.8</v>
      </c>
      <c r="BI46" s="573">
        <f>TxRt!$B90-TxRt!C90+MAX(0,TxRt!$C90)</f>
        <v>12.6</v>
      </c>
      <c r="BJ46" s="573">
        <f>TxRt!B133-TxRt!C133+MAX(0,TxRt!$C133)</f>
        <v>10.6</v>
      </c>
      <c r="BK46" s="573">
        <f>TxRt!B173-TxRt!C173+MAX(0,TxRt!$C173)</f>
        <v>13.9</v>
      </c>
      <c r="BL46" s="573">
        <f>TxRt!B213-TxRt!C213+MAX(0,TxRt!$C213)</f>
        <v>17.899999999999999</v>
      </c>
      <c r="BM46" s="573">
        <f>TxRt!B293-TxRt!C293+MAX(0,TxRt!$C293)</f>
        <v>21.2</v>
      </c>
      <c r="BN46" s="573">
        <f>TxRt!B333-TxRt!C333+MAX(0,TxRt!$C333)</f>
        <v>23.6</v>
      </c>
      <c r="BO46" s="573">
        <f>TxRt!B373-TxRt!C373+MAX(0,TxRt!$C373)</f>
        <v>26.8</v>
      </c>
      <c r="BP46" s="573">
        <f>TxRt!B413-TxRt!C413+MAX(0,TxRt!$C413)</f>
        <v>33.299999999999997</v>
      </c>
      <c r="BQ46" s="46"/>
      <c r="BR46" s="60">
        <f>Inc!B87</f>
        <v>20600</v>
      </c>
      <c r="BS46" s="60">
        <f>Inc!B127</f>
        <v>45300</v>
      </c>
      <c r="BT46" s="60">
        <f>Inc!B167</f>
        <v>72500</v>
      </c>
      <c r="BU46" s="60">
        <f>Inc!B207</f>
        <v>109600</v>
      </c>
      <c r="BV46" s="60">
        <f>Inc!B287</f>
        <v>159600</v>
      </c>
      <c r="BW46" s="60">
        <f>Inc!B327</f>
        <v>218300</v>
      </c>
      <c r="BX46" s="60">
        <f>Inc!B367</f>
        <v>359500</v>
      </c>
      <c r="BY46" s="60">
        <f>Inc!B407</f>
        <v>1788800</v>
      </c>
      <c r="CA46" s="60">
        <f t="shared" si="26"/>
        <v>2595.6</v>
      </c>
      <c r="CB46" s="60">
        <f t="shared" si="26"/>
        <v>4801.8</v>
      </c>
      <c r="CC46" s="60">
        <f t="shared" si="26"/>
        <v>10077.5</v>
      </c>
      <c r="CD46" s="60">
        <f t="shared" si="26"/>
        <v>19618.399999999998</v>
      </c>
      <c r="CE46" s="60">
        <f t="shared" si="26"/>
        <v>33835.199999999997</v>
      </c>
      <c r="CF46" s="60">
        <f t="shared" si="26"/>
        <v>51518.8</v>
      </c>
      <c r="CG46" s="60">
        <f t="shared" si="26"/>
        <v>96346</v>
      </c>
      <c r="CH46" s="60">
        <f t="shared" si="24"/>
        <v>595670.39999999991</v>
      </c>
      <c r="CJ46" s="153">
        <f>CA46*CU46</f>
        <v>64305.989999999991</v>
      </c>
      <c r="CK46" s="153">
        <f t="shared" ref="CK46:CQ46" si="27">CB46*CV46</f>
        <v>124726.755</v>
      </c>
      <c r="CL46" s="153">
        <f t="shared" si="27"/>
        <v>251685.5625</v>
      </c>
      <c r="CM46" s="153">
        <f t="shared" si="27"/>
        <v>488007.69999999995</v>
      </c>
      <c r="CN46" s="153">
        <f t="shared" si="27"/>
        <v>422939.99999999994</v>
      </c>
      <c r="CO46" s="153">
        <f t="shared" si="27"/>
        <v>324568.44</v>
      </c>
      <c r="CP46" s="153">
        <f t="shared" si="27"/>
        <v>472095.4</v>
      </c>
      <c r="CQ46" s="153">
        <f t="shared" si="27"/>
        <v>714804.47999999986</v>
      </c>
      <c r="CR46" s="153">
        <f t="shared" si="16"/>
        <v>2863134.3274999997</v>
      </c>
      <c r="CT46" s="403">
        <v>311.89999999999998</v>
      </c>
      <c r="CU46" s="276">
        <f>Dem!B87+(DD46/4)</f>
        <v>24.774999999999999</v>
      </c>
      <c r="CV46" s="276">
        <f>Dem!B127+(DD46/4)</f>
        <v>25.975000000000001</v>
      </c>
      <c r="CW46" s="276">
        <f>Dem!B167+(DD46/4)</f>
        <v>24.975000000000001</v>
      </c>
      <c r="CX46" s="276">
        <f>Dem!B207+(DD46/4)</f>
        <v>24.875</v>
      </c>
      <c r="CY46" s="276">
        <f>Dem!B287</f>
        <v>12.5</v>
      </c>
      <c r="CZ46" s="276">
        <f>Dem!B327</f>
        <v>6.3</v>
      </c>
      <c r="DA46" s="276">
        <f>Dem!B367</f>
        <v>4.9000000000000004</v>
      </c>
      <c r="DB46" s="276">
        <f>Dem!B407</f>
        <v>1.2</v>
      </c>
      <c r="DC46" s="275">
        <v>126.5</v>
      </c>
      <c r="DD46" s="46">
        <v>-0.5</v>
      </c>
      <c r="DE46" s="275"/>
      <c r="DF46" s="276">
        <f>Dem!$D87+(DO46/4)</f>
        <v>60.925000000000026</v>
      </c>
      <c r="DG46" s="276">
        <f>Dem!$D127+(DO46/4)</f>
        <v>62.125000000000021</v>
      </c>
      <c r="DH46" s="276">
        <f>Dem!$D167+(DO46/4)</f>
        <v>62.125000000000021</v>
      </c>
      <c r="DI46" s="276">
        <f>Dem!$D207+(DO46/4)</f>
        <v>62.125000000000021</v>
      </c>
      <c r="DJ46" s="275">
        <f>Dem!$D287</f>
        <v>31.2</v>
      </c>
      <c r="DK46" s="275">
        <f>Dem!$D327</f>
        <v>15.6</v>
      </c>
      <c r="DL46" s="275">
        <f>Dem!$D367</f>
        <v>12.5</v>
      </c>
      <c r="DM46" s="275">
        <f>Dem!$D407</f>
        <v>3.1</v>
      </c>
      <c r="DN46" s="276">
        <f t="shared" si="17"/>
        <v>311.89999999999998</v>
      </c>
      <c r="DO46" s="44">
        <v>-1.0999999999999091</v>
      </c>
    </row>
    <row r="47" spans="1:119">
      <c r="A47" s="201" t="s">
        <v>154</v>
      </c>
      <c r="B47" s="451">
        <f>(B46-B9)/B9</f>
        <v>0.21795924790242729</v>
      </c>
      <c r="C47" s="451"/>
      <c r="AZ47" s="148" t="s">
        <v>651</v>
      </c>
    </row>
    <row r="48" spans="1:119">
      <c r="A48" s="201" t="s">
        <v>791</v>
      </c>
      <c r="B48" s="451">
        <f>(B46-B16)/B16</f>
        <v>0.82459767608435963</v>
      </c>
      <c r="C48" s="451"/>
      <c r="AZ48" s="148" t="s">
        <v>652</v>
      </c>
      <c r="CJ48" s="191"/>
      <c r="CK48" s="191"/>
      <c r="CL48" s="191"/>
      <c r="CM48" s="191"/>
      <c r="CN48" s="191"/>
      <c r="CO48" s="191"/>
      <c r="CP48" s="191"/>
      <c r="CQ48" s="191"/>
      <c r="CR48" s="191"/>
    </row>
    <row r="49" spans="1:71">
      <c r="BR49" s="577" t="e">
        <f>SUMPRODUCT(#REF!,#REF!)*0.985</f>
        <v>#REF!</v>
      </c>
      <c r="BS49" s="578" t="s">
        <v>630</v>
      </c>
    </row>
    <row r="50" spans="1:71" ht="61.5" customHeight="1">
      <c r="B50" s="691" t="s">
        <v>1034</v>
      </c>
      <c r="D50" s="691" t="s">
        <v>1035</v>
      </c>
      <c r="E50" s="673" t="s">
        <v>1033</v>
      </c>
    </row>
    <row r="51" spans="1:71">
      <c r="A51" s="201" t="s">
        <v>154</v>
      </c>
      <c r="B51" s="141">
        <f>B46-B9</f>
        <v>3.1418389388228551E-2</v>
      </c>
      <c r="D51" s="141">
        <f>('3-Kak'!B$46-'3-Kak'!B9)</f>
        <v>6.722894679722996E-2</v>
      </c>
      <c r="E51" s="16">
        <f>B51/D51</f>
        <v>0.46733424938203977</v>
      </c>
    </row>
    <row r="52" spans="1:71">
      <c r="A52" s="201" t="s">
        <v>791</v>
      </c>
      <c r="B52" s="141">
        <f>B46-B16</f>
        <v>7.9344415227711074E-2</v>
      </c>
      <c r="D52" s="141">
        <f>('3-Kak'!B$46-'3-Kak'!B16)</f>
        <v>0.11578308382997482</v>
      </c>
      <c r="E52" s="16">
        <f>B52/D52</f>
        <v>0.68528503994786305</v>
      </c>
    </row>
  </sheetData>
  <mergeCells count="16">
    <mergeCell ref="Y7:AF7"/>
    <mergeCell ref="B7:B8"/>
    <mergeCell ref="D7:D8"/>
    <mergeCell ref="E7:E8"/>
    <mergeCell ref="G7:N7"/>
    <mergeCell ref="P7:W7"/>
    <mergeCell ref="CJ7:CR7"/>
    <mergeCell ref="CT7:CT8"/>
    <mergeCell ref="CU7:DC7"/>
    <mergeCell ref="DF7:DN7"/>
    <mergeCell ref="AH7:AO7"/>
    <mergeCell ref="AQ7:AX7"/>
    <mergeCell ref="AZ7:BG7"/>
    <mergeCell ref="BI7:BP7"/>
    <mergeCell ref="BR7:BY7"/>
    <mergeCell ref="CA7:CH7"/>
  </mergeCells>
  <hyperlinks>
    <hyperlink ref="L1" location="Index!A1" display="index" xr:uid="{2DAE0DEB-41FA-458E-8969-F23AA7E782AB}"/>
  </hyperlinks>
  <pageMargins left="0.7" right="0.7" top="0.75" bottom="0.75" header="0.3" footer="0.3"/>
  <pageSetup orientation="portrait" horizontalDpi="1200" verticalDpi="120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A8E85-AFD7-40CD-BBBC-21E4BA62DC00}">
  <sheetPr>
    <tabColor theme="9" tint="0.79998168889431442"/>
  </sheetPr>
  <dimension ref="A1:BG99"/>
  <sheetViews>
    <sheetView zoomScale="85" zoomScaleNormal="85" workbookViewId="0"/>
  </sheetViews>
  <sheetFormatPr defaultRowHeight="15"/>
  <cols>
    <col min="1" max="1" width="8.28515625" style="46" customWidth="1"/>
    <col min="2" max="2" width="10.28515625" style="695" customWidth="1"/>
    <col min="3" max="3" width="2.7109375" style="695" customWidth="1"/>
    <col min="4" max="4" width="19.28515625" style="695" customWidth="1"/>
    <col min="5" max="5" width="12.85546875" style="695" customWidth="1"/>
    <col min="6" max="6" width="2.140625" style="695" customWidth="1"/>
    <col min="7" max="10" width="5.5703125" style="695" customWidth="1"/>
    <col min="11" max="14" width="7" style="695" customWidth="1"/>
    <col min="15" max="15" width="1.85546875" style="695" customWidth="1"/>
    <col min="16" max="16" width="5.85546875" style="695" customWidth="1"/>
    <col min="17" max="18" width="5.5703125" style="695" customWidth="1"/>
    <col min="19" max="19" width="6" style="695" customWidth="1"/>
    <col min="20" max="23" width="6.5703125" style="695" customWidth="1"/>
    <col min="24" max="24" width="3.42578125" style="695" customWidth="1"/>
    <col min="25" max="28" width="5" style="695" customWidth="1"/>
    <col min="29" max="32" width="5.7109375" style="695" customWidth="1"/>
    <col min="33" max="33" width="2.140625" style="695" customWidth="1"/>
    <col min="34" max="37" width="5.5703125" style="695" customWidth="1"/>
    <col min="38" max="39" width="6.7109375" style="695" customWidth="1"/>
    <col min="40" max="40" width="7.140625" style="695" customWidth="1"/>
    <col min="41" max="41" width="7.28515625" style="695" customWidth="1"/>
    <col min="42" max="42" width="2.28515625" style="695" customWidth="1"/>
    <col min="43" max="50" width="6.140625" style="695" customWidth="1"/>
    <col min="51" max="51" width="3.140625" style="695" customWidth="1"/>
    <col min="52" max="59" width="6.140625" style="695" customWidth="1"/>
    <col min="60" max="16384" width="9.140625" style="695"/>
  </cols>
  <sheetData>
    <row r="1" spans="1:59">
      <c r="A1" s="147" t="s">
        <v>1052</v>
      </c>
      <c r="K1" s="642" t="s">
        <v>762</v>
      </c>
      <c r="AI1" s="127"/>
    </row>
    <row r="2" spans="1:59">
      <c r="A2" s="103"/>
    </row>
    <row r="3" spans="1:59">
      <c r="A3" s="103"/>
      <c r="P3" s="6" t="s">
        <v>158</v>
      </c>
      <c r="Q3" s="6" t="s">
        <v>159</v>
      </c>
      <c r="R3" s="6" t="s">
        <v>160</v>
      </c>
      <c r="S3" s="6" t="s">
        <v>161</v>
      </c>
      <c r="T3" s="51" t="s">
        <v>33</v>
      </c>
      <c r="U3" s="51" t="s">
        <v>51</v>
      </c>
      <c r="V3" s="51" t="s">
        <v>52</v>
      </c>
      <c r="W3" s="51" t="s">
        <v>28</v>
      </c>
    </row>
    <row r="4" spans="1:59">
      <c r="A4" s="103"/>
      <c r="M4" s="149" t="s">
        <v>200</v>
      </c>
      <c r="P4" s="45">
        <v>0.2</v>
      </c>
      <c r="Q4" s="45">
        <v>0.2</v>
      </c>
      <c r="R4" s="45">
        <v>0.2</v>
      </c>
      <c r="S4" s="45">
        <v>0.2</v>
      </c>
      <c r="T4" s="45">
        <v>0.1</v>
      </c>
      <c r="U4" s="45">
        <v>0.05</v>
      </c>
      <c r="V4" s="45">
        <v>0.04</v>
      </c>
      <c r="W4" s="45">
        <v>0.01</v>
      </c>
      <c r="X4" s="45"/>
      <c r="Y4" s="45"/>
      <c r="Z4" s="45"/>
      <c r="AA4" s="45"/>
      <c r="AB4" s="45"/>
      <c r="AC4" s="45"/>
      <c r="AD4" s="45"/>
      <c r="AE4" s="45"/>
      <c r="AF4" s="45"/>
    </row>
    <row r="5" spans="1:59">
      <c r="A5" s="103"/>
      <c r="F5" s="148"/>
      <c r="G5" s="148"/>
      <c r="H5" s="148"/>
      <c r="I5" s="148"/>
      <c r="J5" s="148"/>
      <c r="K5" s="148"/>
      <c r="L5" s="148"/>
      <c r="M5" s="149" t="s">
        <v>203</v>
      </c>
      <c r="N5" s="148"/>
      <c r="O5" s="695">
        <v>0</v>
      </c>
      <c r="P5" s="45">
        <v>0.2</v>
      </c>
      <c r="Q5" s="45">
        <f>P5+Q4</f>
        <v>0.4</v>
      </c>
      <c r="R5" s="45">
        <f t="shared" ref="R5:W5" si="0">Q5+R4</f>
        <v>0.60000000000000009</v>
      </c>
      <c r="S5" s="45">
        <f t="shared" si="0"/>
        <v>0.8</v>
      </c>
      <c r="T5" s="45">
        <f t="shared" si="0"/>
        <v>0.9</v>
      </c>
      <c r="U5" s="45">
        <f t="shared" si="0"/>
        <v>0.95000000000000007</v>
      </c>
      <c r="V5" s="45">
        <f t="shared" si="0"/>
        <v>0.9900000000000001</v>
      </c>
      <c r="W5" s="45">
        <f t="shared" si="0"/>
        <v>1</v>
      </c>
      <c r="X5" s="45"/>
      <c r="Y5" s="45"/>
      <c r="Z5" s="45"/>
      <c r="AA5" s="45"/>
      <c r="AB5" s="45"/>
      <c r="AC5" s="45"/>
      <c r="AD5" s="45"/>
      <c r="AE5" s="45"/>
      <c r="AF5" s="45"/>
      <c r="AG5" s="45"/>
      <c r="AQ5" s="127"/>
      <c r="AZ5" s="44"/>
    </row>
    <row r="7" spans="1:59">
      <c r="A7" s="144"/>
      <c r="B7" s="729" t="s">
        <v>193</v>
      </c>
      <c r="C7" s="486"/>
      <c r="D7" s="733" t="s">
        <v>194</v>
      </c>
      <c r="E7" s="733" t="s">
        <v>195</v>
      </c>
      <c r="F7" s="693"/>
      <c r="G7" s="731" t="s">
        <v>201</v>
      </c>
      <c r="H7" s="731"/>
      <c r="I7" s="731"/>
      <c r="J7" s="731"/>
      <c r="K7" s="731"/>
      <c r="L7" s="731"/>
      <c r="M7" s="731"/>
      <c r="N7" s="731"/>
      <c r="O7" s="486"/>
      <c r="P7" s="731" t="s">
        <v>199</v>
      </c>
      <c r="Q7" s="731"/>
      <c r="R7" s="731"/>
      <c r="S7" s="731"/>
      <c r="T7" s="731"/>
      <c r="U7" s="731"/>
      <c r="V7" s="731"/>
      <c r="W7" s="731"/>
      <c r="X7" s="692"/>
      <c r="Y7" s="731" t="s">
        <v>766</v>
      </c>
      <c r="Z7" s="731"/>
      <c r="AA7" s="731"/>
      <c r="AB7" s="731"/>
      <c r="AC7" s="731"/>
      <c r="AD7" s="731"/>
      <c r="AE7" s="731"/>
      <c r="AF7" s="731"/>
      <c r="AG7" s="134"/>
      <c r="AH7" s="732" t="s">
        <v>1038</v>
      </c>
      <c r="AI7" s="732"/>
      <c r="AJ7" s="732"/>
      <c r="AK7" s="732"/>
      <c r="AL7" s="732"/>
      <c r="AM7" s="732"/>
      <c r="AN7" s="732"/>
      <c r="AO7" s="732"/>
      <c r="AP7" s="692"/>
      <c r="AQ7" s="731" t="s">
        <v>1037</v>
      </c>
      <c r="AR7" s="731"/>
      <c r="AS7" s="731"/>
      <c r="AT7" s="731"/>
      <c r="AU7" s="731"/>
      <c r="AV7" s="731"/>
      <c r="AW7" s="731"/>
      <c r="AX7" s="731"/>
      <c r="AY7" s="134"/>
      <c r="AZ7" s="736" t="s">
        <v>1036</v>
      </c>
      <c r="BA7" s="736"/>
      <c r="BB7" s="736"/>
      <c r="BC7" s="736"/>
      <c r="BD7" s="736"/>
      <c r="BE7" s="736"/>
      <c r="BF7" s="736"/>
      <c r="BG7" s="736"/>
    </row>
    <row r="8" spans="1:59" ht="15" customHeight="1">
      <c r="A8" s="53"/>
      <c r="B8" s="730"/>
      <c r="C8" s="6"/>
      <c r="D8" s="734"/>
      <c r="E8" s="734"/>
      <c r="F8" s="694"/>
      <c r="G8" s="6" t="s">
        <v>158</v>
      </c>
      <c r="H8" s="6" t="s">
        <v>159</v>
      </c>
      <c r="I8" s="6" t="s">
        <v>160</v>
      </c>
      <c r="J8" s="6" t="s">
        <v>161</v>
      </c>
      <c r="K8" s="51" t="s">
        <v>33</v>
      </c>
      <c r="L8" s="51" t="s">
        <v>51</v>
      </c>
      <c r="M8" s="51" t="s">
        <v>52</v>
      </c>
      <c r="N8" s="51" t="s">
        <v>28</v>
      </c>
      <c r="O8" s="6"/>
      <c r="P8" s="6" t="s">
        <v>158</v>
      </c>
      <c r="Q8" s="6" t="s">
        <v>159</v>
      </c>
      <c r="R8" s="6" t="s">
        <v>160</v>
      </c>
      <c r="S8" s="6" t="s">
        <v>161</v>
      </c>
      <c r="T8" s="51" t="s">
        <v>33</v>
      </c>
      <c r="U8" s="51" t="s">
        <v>51</v>
      </c>
      <c r="V8" s="51" t="s">
        <v>52</v>
      </c>
      <c r="W8" s="51" t="s">
        <v>28</v>
      </c>
      <c r="X8" s="51"/>
      <c r="Y8" s="6" t="s">
        <v>158</v>
      </c>
      <c r="Z8" s="6" t="s">
        <v>159</v>
      </c>
      <c r="AA8" s="6" t="s">
        <v>160</v>
      </c>
      <c r="AB8" s="6" t="s">
        <v>161</v>
      </c>
      <c r="AC8" s="51" t="s">
        <v>33</v>
      </c>
      <c r="AD8" s="51" t="s">
        <v>51</v>
      </c>
      <c r="AE8" s="51" t="s">
        <v>52</v>
      </c>
      <c r="AF8" s="51" t="s">
        <v>28</v>
      </c>
      <c r="AG8" s="5"/>
      <c r="AH8" s="6" t="s">
        <v>158</v>
      </c>
      <c r="AI8" s="6" t="s">
        <v>159</v>
      </c>
      <c r="AJ8" s="6" t="s">
        <v>160</v>
      </c>
      <c r="AK8" s="6" t="s">
        <v>161</v>
      </c>
      <c r="AL8" s="51" t="s">
        <v>33</v>
      </c>
      <c r="AM8" s="51" t="s">
        <v>51</v>
      </c>
      <c r="AN8" s="51" t="s">
        <v>52</v>
      </c>
      <c r="AO8" s="51" t="s">
        <v>28</v>
      </c>
      <c r="AP8" s="51"/>
      <c r="AQ8" s="6" t="s">
        <v>158</v>
      </c>
      <c r="AR8" s="6" t="s">
        <v>159</v>
      </c>
      <c r="AS8" s="6" t="s">
        <v>160</v>
      </c>
      <c r="AT8" s="6" t="s">
        <v>161</v>
      </c>
      <c r="AU8" s="51" t="s">
        <v>33</v>
      </c>
      <c r="AV8" s="51" t="s">
        <v>51</v>
      </c>
      <c r="AW8" s="51" t="s">
        <v>52</v>
      </c>
      <c r="AX8" s="51" t="s">
        <v>28</v>
      </c>
      <c r="AY8" s="5"/>
      <c r="AZ8" s="6" t="s">
        <v>158</v>
      </c>
      <c r="BA8" s="6" t="s">
        <v>159</v>
      </c>
      <c r="BB8" s="6" t="s">
        <v>160</v>
      </c>
      <c r="BC8" s="6" t="s">
        <v>161</v>
      </c>
      <c r="BD8" s="51" t="s">
        <v>33</v>
      </c>
      <c r="BE8" s="51" t="s">
        <v>51</v>
      </c>
      <c r="BF8" s="51" t="s">
        <v>52</v>
      </c>
      <c r="BG8" s="51" t="s">
        <v>28</v>
      </c>
    </row>
    <row r="9" spans="1:59">
      <c r="A9" s="46">
        <v>2011</v>
      </c>
      <c r="B9" s="141">
        <f t="shared" ref="B9:B14" si="1">D9-E9</f>
        <v>0.21213447825675635</v>
      </c>
      <c r="C9" s="46"/>
      <c r="D9" s="141">
        <f t="shared" ref="D9:D14" si="2">SUM(G9:N9)*2</f>
        <v>0.72957890938251824</v>
      </c>
      <c r="E9" s="141">
        <f t="shared" ref="E9:E14" si="3">SUM(Y9:AF9)*2</f>
        <v>0.51744443112576188</v>
      </c>
      <c r="F9" s="46"/>
      <c r="G9" s="157">
        <f t="shared" ref="G9:N14" si="4">(P$5-P9)*P$4</f>
        <v>3.9137931034482765E-2</v>
      </c>
      <c r="H9" s="157">
        <f t="shared" si="4"/>
        <v>7.2882919005613486E-2</v>
      </c>
      <c r="I9" s="157">
        <f t="shared" si="4"/>
        <v>9.3075380914194095E-2</v>
      </c>
      <c r="J9" s="157">
        <f t="shared" si="4"/>
        <v>9.3640737770649574E-2</v>
      </c>
      <c r="K9" s="157">
        <f t="shared" si="4"/>
        <v>4.0972333600641543E-2</v>
      </c>
      <c r="L9" s="157">
        <f t="shared" si="4"/>
        <v>1.6891539695268649E-2</v>
      </c>
      <c r="M9" s="157">
        <f t="shared" si="4"/>
        <v>8.1886126704089832E-3</v>
      </c>
      <c r="N9" s="157">
        <f>(W$5-W9)*W$4</f>
        <v>0</v>
      </c>
      <c r="O9" s="46"/>
      <c r="P9" s="154">
        <f t="shared" ref="P9:P14" si="5">AQ9/SUM($AQ9:$AX9)</f>
        <v>4.3103448275862068E-3</v>
      </c>
      <c r="Q9" s="154">
        <f t="shared" ref="Q9:V14" si="6">P9+AR9/SUM($AQ9:$AX9)</f>
        <v>3.558540497193264E-2</v>
      </c>
      <c r="R9" s="154">
        <f t="shared" si="6"/>
        <v>0.13462309542902967</v>
      </c>
      <c r="S9" s="154">
        <f t="shared" si="6"/>
        <v>0.33179631114675223</v>
      </c>
      <c r="T9" s="154">
        <f t="shared" si="6"/>
        <v>0.4902766639935846</v>
      </c>
      <c r="U9" s="154">
        <f t="shared" si="6"/>
        <v>0.61216920609462711</v>
      </c>
      <c r="V9" s="154">
        <f>U9+AW9/SUM($AQ9:$AX9)</f>
        <v>0.78528468323977552</v>
      </c>
      <c r="W9" s="158">
        <v>1</v>
      </c>
      <c r="X9" s="154"/>
      <c r="Y9" s="142">
        <f t="shared" ref="Y9:AF14" si="7">(P$5-AH9)*P$4</f>
        <v>3.1689141943861757E-2</v>
      </c>
      <c r="Z9" s="142">
        <f t="shared" si="7"/>
        <v>5.4667865348117073E-2</v>
      </c>
      <c r="AA9" s="142">
        <f t="shared" si="7"/>
        <v>6.6139246828488693E-2</v>
      </c>
      <c r="AB9" s="142">
        <f t="shared" si="7"/>
        <v>6.3366297073219488E-2</v>
      </c>
      <c r="AC9" s="142">
        <f t="shared" si="7"/>
        <v>2.6899410648286895E-2</v>
      </c>
      <c r="AD9" s="142">
        <f t="shared" si="7"/>
        <v>1.0830336629707327E-2</v>
      </c>
      <c r="AE9" s="142">
        <f t="shared" si="7"/>
        <v>5.1299170911996853E-3</v>
      </c>
      <c r="AF9" s="142">
        <f t="shared" si="7"/>
        <v>0</v>
      </c>
      <c r="AH9" s="158">
        <f t="shared" ref="AH9:AH14" si="8">AZ9/SUM($AZ9:$BG9)</f>
        <v>4.1554290280691242E-2</v>
      </c>
      <c r="AI9" s="158">
        <f t="shared" ref="AI9:AN14" si="9">AH9+BA9/SUM($AZ9:$BG9)</f>
        <v>0.12666067325941466</v>
      </c>
      <c r="AJ9" s="158">
        <f t="shared" si="9"/>
        <v>0.26930376585755667</v>
      </c>
      <c r="AK9" s="158">
        <f t="shared" si="9"/>
        <v>0.48316851463390265</v>
      </c>
      <c r="AL9" s="158">
        <f t="shared" si="9"/>
        <v>0.6310058935171311</v>
      </c>
      <c r="AM9" s="158">
        <f t="shared" si="9"/>
        <v>0.73339326740585353</v>
      </c>
      <c r="AN9" s="158">
        <f>AM9+BF9/SUM($AZ9:$BG9)</f>
        <v>0.86175207272000798</v>
      </c>
      <c r="AO9" s="158">
        <v>1</v>
      </c>
      <c r="AP9" s="143"/>
      <c r="AQ9" s="143">
        <v>0.43</v>
      </c>
      <c r="AR9" s="143">
        <v>3.12</v>
      </c>
      <c r="AS9" s="143">
        <v>9.8800000000000008</v>
      </c>
      <c r="AT9" s="143">
        <v>19.670000000000002</v>
      </c>
      <c r="AU9" s="143">
        <v>15.81</v>
      </c>
      <c r="AV9" s="143">
        <v>12.16</v>
      </c>
      <c r="AW9" s="143">
        <v>17.27</v>
      </c>
      <c r="AX9" s="143">
        <v>21.42</v>
      </c>
      <c r="AY9" s="46"/>
      <c r="AZ9" s="152">
        <v>4.16</v>
      </c>
      <c r="BA9" s="152">
        <v>8.52</v>
      </c>
      <c r="BB9" s="152">
        <v>14.28</v>
      </c>
      <c r="BC9" s="152">
        <v>21.41</v>
      </c>
      <c r="BD9" s="152">
        <v>14.8</v>
      </c>
      <c r="BE9" s="152">
        <v>10.25</v>
      </c>
      <c r="BF9" s="152">
        <v>12.85</v>
      </c>
      <c r="BG9" s="152">
        <v>13.84</v>
      </c>
    </row>
    <row r="10" spans="1:59">
      <c r="A10" s="46">
        <f t="shared" ref="A10:A26" si="10">A9+1</f>
        <v>2012</v>
      </c>
      <c r="B10" s="141">
        <f t="shared" si="1"/>
        <v>0.2081748375740311</v>
      </c>
      <c r="C10" s="46"/>
      <c r="D10" s="141">
        <f t="shared" si="2"/>
        <v>0.73124461152882214</v>
      </c>
      <c r="E10" s="141">
        <f t="shared" si="3"/>
        <v>0.52306977395479104</v>
      </c>
      <c r="F10" s="46"/>
      <c r="G10" s="157">
        <f t="shared" si="4"/>
        <v>3.8857142857142861E-2</v>
      </c>
      <c r="H10" s="157">
        <f t="shared" si="4"/>
        <v>7.2280701754385973E-2</v>
      </c>
      <c r="I10" s="157">
        <f t="shared" si="4"/>
        <v>9.2611528822055145E-2</v>
      </c>
      <c r="J10" s="157">
        <f t="shared" si="4"/>
        <v>9.4195488721804513E-2</v>
      </c>
      <c r="K10" s="157">
        <f t="shared" si="4"/>
        <v>4.1578947368421049E-2</v>
      </c>
      <c r="L10" s="157">
        <f t="shared" si="4"/>
        <v>1.7379699248120301E-2</v>
      </c>
      <c r="M10" s="157">
        <f t="shared" si="4"/>
        <v>8.7187969924812023E-3</v>
      </c>
      <c r="N10" s="157">
        <f t="shared" si="4"/>
        <v>0</v>
      </c>
      <c r="O10" s="46"/>
      <c r="P10" s="154">
        <f t="shared" si="5"/>
        <v>5.7142857142857143E-3</v>
      </c>
      <c r="Q10" s="154">
        <f t="shared" si="6"/>
        <v>3.8596491228070177E-2</v>
      </c>
      <c r="R10" s="154">
        <f t="shared" si="6"/>
        <v>0.13694235588972434</v>
      </c>
      <c r="S10" s="154">
        <f t="shared" si="6"/>
        <v>0.32902255639097749</v>
      </c>
      <c r="T10" s="154">
        <f t="shared" si="6"/>
        <v>0.48421052631578954</v>
      </c>
      <c r="U10" s="154">
        <f t="shared" si="6"/>
        <v>0.60240601503759406</v>
      </c>
      <c r="V10" s="154">
        <f t="shared" si="6"/>
        <v>0.77203007518797007</v>
      </c>
      <c r="W10" s="158">
        <v>1</v>
      </c>
      <c r="X10" s="154"/>
      <c r="Y10" s="142">
        <f t="shared" si="7"/>
        <v>3.1878375675135032E-2</v>
      </c>
      <c r="Z10" s="142">
        <f t="shared" si="7"/>
        <v>5.5075015003000605E-2</v>
      </c>
      <c r="AA10" s="142">
        <f t="shared" si="7"/>
        <v>6.6749349869974009E-2</v>
      </c>
      <c r="AB10" s="142">
        <f t="shared" si="7"/>
        <v>6.4260852170434091E-2</v>
      </c>
      <c r="AC10" s="142">
        <f t="shared" si="7"/>
        <v>2.7337467493498704E-2</v>
      </c>
      <c r="AD10" s="142">
        <f t="shared" si="7"/>
        <v>1.1032706541308264E-2</v>
      </c>
      <c r="AE10" s="142">
        <f t="shared" si="7"/>
        <v>5.2011202240448105E-3</v>
      </c>
      <c r="AF10" s="142">
        <f t="shared" si="7"/>
        <v>0</v>
      </c>
      <c r="AH10" s="158">
        <f t="shared" si="8"/>
        <v>4.060812162432486E-2</v>
      </c>
      <c r="AI10" s="158">
        <f t="shared" si="9"/>
        <v>0.124624924984997</v>
      </c>
      <c r="AJ10" s="158">
        <f t="shared" si="9"/>
        <v>0.26625325065013006</v>
      </c>
      <c r="AK10" s="158">
        <f t="shared" si="9"/>
        <v>0.47869573914782959</v>
      </c>
      <c r="AL10" s="158">
        <f t="shared" si="9"/>
        <v>0.62662532506501301</v>
      </c>
      <c r="AM10" s="158">
        <f t="shared" si="9"/>
        <v>0.72934586917383482</v>
      </c>
      <c r="AN10" s="158">
        <f t="shared" si="9"/>
        <v>0.85997199439887984</v>
      </c>
      <c r="AO10" s="158">
        <v>1</v>
      </c>
      <c r="AP10" s="143"/>
      <c r="AQ10" s="143">
        <v>0.56999999999999995</v>
      </c>
      <c r="AR10" s="143">
        <v>3.28</v>
      </c>
      <c r="AS10" s="143">
        <v>9.81</v>
      </c>
      <c r="AT10" s="143">
        <v>19.16</v>
      </c>
      <c r="AU10" s="143">
        <v>15.48</v>
      </c>
      <c r="AV10" s="143">
        <v>11.79</v>
      </c>
      <c r="AW10" s="143">
        <v>16.920000000000002</v>
      </c>
      <c r="AX10" s="143">
        <v>22.74</v>
      </c>
      <c r="AY10" s="46"/>
      <c r="AZ10" s="152">
        <v>4.0599999999999996</v>
      </c>
      <c r="BA10" s="152">
        <v>8.4</v>
      </c>
      <c r="BB10" s="152">
        <v>14.16</v>
      </c>
      <c r="BC10" s="152">
        <v>21.24</v>
      </c>
      <c r="BD10" s="152">
        <v>14.79</v>
      </c>
      <c r="BE10" s="152">
        <v>10.27</v>
      </c>
      <c r="BF10" s="152">
        <v>13.06</v>
      </c>
      <c r="BG10" s="152">
        <v>14</v>
      </c>
    </row>
    <row r="11" spans="1:59">
      <c r="A11" s="46">
        <f t="shared" si="10"/>
        <v>2013</v>
      </c>
      <c r="B11" s="141">
        <f t="shared" si="1"/>
        <v>0.2081748375740311</v>
      </c>
      <c r="C11" s="46"/>
      <c r="D11" s="141">
        <f t="shared" si="2"/>
        <v>0.73124461152882214</v>
      </c>
      <c r="E11" s="141">
        <f t="shared" si="3"/>
        <v>0.52306977395479104</v>
      </c>
      <c r="F11" s="46"/>
      <c r="G11" s="157">
        <f t="shared" si="4"/>
        <v>3.8857142857142861E-2</v>
      </c>
      <c r="H11" s="157">
        <f t="shared" si="4"/>
        <v>7.2280701754385973E-2</v>
      </c>
      <c r="I11" s="157">
        <f t="shared" si="4"/>
        <v>9.2611528822055145E-2</v>
      </c>
      <c r="J11" s="157">
        <f t="shared" si="4"/>
        <v>9.4195488721804513E-2</v>
      </c>
      <c r="K11" s="157">
        <f t="shared" si="4"/>
        <v>4.1578947368421049E-2</v>
      </c>
      <c r="L11" s="157">
        <f t="shared" si="4"/>
        <v>1.7379699248120301E-2</v>
      </c>
      <c r="M11" s="157">
        <f t="shared" si="4"/>
        <v>8.7187969924812023E-3</v>
      </c>
      <c r="N11" s="157">
        <f t="shared" si="4"/>
        <v>0</v>
      </c>
      <c r="O11" s="46"/>
      <c r="P11" s="154">
        <f t="shared" si="5"/>
        <v>5.7142857142857143E-3</v>
      </c>
      <c r="Q11" s="154">
        <f t="shared" si="6"/>
        <v>3.8596491228070177E-2</v>
      </c>
      <c r="R11" s="154">
        <f t="shared" si="6"/>
        <v>0.13694235588972434</v>
      </c>
      <c r="S11" s="154">
        <f t="shared" si="6"/>
        <v>0.32902255639097749</v>
      </c>
      <c r="T11" s="154">
        <f t="shared" si="6"/>
        <v>0.48421052631578954</v>
      </c>
      <c r="U11" s="154">
        <f t="shared" si="6"/>
        <v>0.60240601503759406</v>
      </c>
      <c r="V11" s="154">
        <f t="shared" si="6"/>
        <v>0.77203007518797007</v>
      </c>
      <c r="W11" s="158">
        <v>1</v>
      </c>
      <c r="X11" s="154"/>
      <c r="Y11" s="142">
        <f t="shared" si="7"/>
        <v>3.1878375675135032E-2</v>
      </c>
      <c r="Z11" s="142">
        <f t="shared" si="7"/>
        <v>5.5075015003000605E-2</v>
      </c>
      <c r="AA11" s="142">
        <f t="shared" si="7"/>
        <v>6.6749349869974009E-2</v>
      </c>
      <c r="AB11" s="142">
        <f t="shared" si="7"/>
        <v>6.4260852170434091E-2</v>
      </c>
      <c r="AC11" s="142">
        <f t="shared" si="7"/>
        <v>2.7337467493498704E-2</v>
      </c>
      <c r="AD11" s="142">
        <f t="shared" si="7"/>
        <v>1.1032706541308264E-2</v>
      </c>
      <c r="AE11" s="142">
        <f t="shared" si="7"/>
        <v>5.2011202240448105E-3</v>
      </c>
      <c r="AF11" s="142">
        <f t="shared" si="7"/>
        <v>0</v>
      </c>
      <c r="AH11" s="158">
        <f t="shared" si="8"/>
        <v>4.060812162432486E-2</v>
      </c>
      <c r="AI11" s="158">
        <f t="shared" si="9"/>
        <v>0.124624924984997</v>
      </c>
      <c r="AJ11" s="158">
        <f t="shared" si="9"/>
        <v>0.26625325065013006</v>
      </c>
      <c r="AK11" s="158">
        <f t="shared" si="9"/>
        <v>0.47869573914782959</v>
      </c>
      <c r="AL11" s="158">
        <f t="shared" si="9"/>
        <v>0.62662532506501301</v>
      </c>
      <c r="AM11" s="158">
        <f t="shared" si="9"/>
        <v>0.72934586917383482</v>
      </c>
      <c r="AN11" s="158">
        <f t="shared" si="9"/>
        <v>0.85997199439887984</v>
      </c>
      <c r="AO11" s="158">
        <v>1</v>
      </c>
      <c r="AP11" s="143"/>
      <c r="AQ11" s="143">
        <v>0.56999999999999995</v>
      </c>
      <c r="AR11" s="143">
        <v>3.28</v>
      </c>
      <c r="AS11" s="143">
        <v>9.81</v>
      </c>
      <c r="AT11" s="143">
        <v>19.16</v>
      </c>
      <c r="AU11" s="143">
        <v>15.48</v>
      </c>
      <c r="AV11" s="143">
        <v>11.79</v>
      </c>
      <c r="AW11" s="143">
        <v>16.920000000000002</v>
      </c>
      <c r="AX11" s="143">
        <v>22.74</v>
      </c>
      <c r="AY11" s="46"/>
      <c r="AZ11" s="152">
        <v>4.0599999999999996</v>
      </c>
      <c r="BA11" s="152">
        <v>8.4</v>
      </c>
      <c r="BB11" s="152">
        <v>14.16</v>
      </c>
      <c r="BC11" s="152">
        <v>21.24</v>
      </c>
      <c r="BD11" s="152">
        <v>14.79</v>
      </c>
      <c r="BE11" s="152">
        <v>10.27</v>
      </c>
      <c r="BF11" s="152">
        <v>13.06</v>
      </c>
      <c r="BG11" s="152">
        <v>14</v>
      </c>
    </row>
    <row r="12" spans="1:59">
      <c r="A12" s="46">
        <f t="shared" si="10"/>
        <v>2014</v>
      </c>
      <c r="B12" s="141">
        <f t="shared" si="1"/>
        <v>0.2024191770750533</v>
      </c>
      <c r="C12" s="46"/>
      <c r="D12" s="141">
        <f t="shared" si="2"/>
        <v>0.7387444522401525</v>
      </c>
      <c r="E12" s="141">
        <f t="shared" si="3"/>
        <v>0.5363252751650992</v>
      </c>
      <c r="F12" s="46"/>
      <c r="G12" s="157">
        <f t="shared" si="4"/>
        <v>3.8857371955497655E-2</v>
      </c>
      <c r="H12" s="157">
        <f t="shared" si="4"/>
        <v>7.228224917309814E-2</v>
      </c>
      <c r="I12" s="157">
        <f t="shared" si="4"/>
        <v>9.2817480204470296E-2</v>
      </c>
      <c r="J12" s="157">
        <f t="shared" si="4"/>
        <v>9.5411446326551075E-2</v>
      </c>
      <c r="K12" s="157">
        <f t="shared" si="4"/>
        <v>4.2631051418262005E-2</v>
      </c>
      <c r="L12" s="157">
        <f t="shared" si="4"/>
        <v>1.8062293274531422E-2</v>
      </c>
      <c r="M12" s="157">
        <f t="shared" si="4"/>
        <v>9.3103337676656312E-3</v>
      </c>
      <c r="N12" s="157">
        <f t="shared" si="4"/>
        <v>0</v>
      </c>
      <c r="O12" s="46"/>
      <c r="P12" s="154">
        <f t="shared" si="5"/>
        <v>5.7131402225117766E-3</v>
      </c>
      <c r="Q12" s="154">
        <f t="shared" si="6"/>
        <v>3.8588754134509372E-2</v>
      </c>
      <c r="R12" s="154">
        <f t="shared" si="6"/>
        <v>0.1359125989776486</v>
      </c>
      <c r="S12" s="154">
        <f t="shared" si="6"/>
        <v>0.32294276836724467</v>
      </c>
      <c r="T12" s="154">
        <f t="shared" si="6"/>
        <v>0.47368948581738002</v>
      </c>
      <c r="U12" s="154">
        <f t="shared" si="6"/>
        <v>0.58875413450937164</v>
      </c>
      <c r="V12" s="154">
        <f t="shared" si="6"/>
        <v>0.75724165580835934</v>
      </c>
      <c r="W12" s="158">
        <v>1</v>
      </c>
      <c r="X12" s="154"/>
      <c r="Y12" s="142">
        <f t="shared" si="7"/>
        <v>3.2215329197518516E-2</v>
      </c>
      <c r="Z12" s="142">
        <f t="shared" si="7"/>
        <v>5.5825495297178312E-2</v>
      </c>
      <c r="AA12" s="142">
        <f t="shared" si="7"/>
        <v>6.7968781268761269E-2</v>
      </c>
      <c r="AB12" s="142">
        <f t="shared" si="7"/>
        <v>6.6223734240544327E-2</v>
      </c>
      <c r="AC12" s="142">
        <f t="shared" si="7"/>
        <v>2.8543125875525311E-2</v>
      </c>
      <c r="AD12" s="142">
        <f t="shared" si="7"/>
        <v>1.1698519111466882E-2</v>
      </c>
      <c r="AE12" s="142">
        <f t="shared" si="7"/>
        <v>5.6876525915549349E-3</v>
      </c>
      <c r="AF12" s="142">
        <f t="shared" si="7"/>
        <v>0</v>
      </c>
      <c r="AH12" s="158">
        <f t="shared" si="8"/>
        <v>3.8923354012407443E-2</v>
      </c>
      <c r="AI12" s="158">
        <f t="shared" si="9"/>
        <v>0.12087252351410846</v>
      </c>
      <c r="AJ12" s="158">
        <f t="shared" si="9"/>
        <v>0.26015609365619374</v>
      </c>
      <c r="AK12" s="158">
        <f t="shared" si="9"/>
        <v>0.4688813287972784</v>
      </c>
      <c r="AL12" s="158">
        <f t="shared" si="9"/>
        <v>0.61456874124474692</v>
      </c>
      <c r="AM12" s="158">
        <f t="shared" si="9"/>
        <v>0.71602961777066243</v>
      </c>
      <c r="AN12" s="158">
        <f t="shared" si="9"/>
        <v>0.84780868521112673</v>
      </c>
      <c r="AO12" s="158">
        <v>1</v>
      </c>
      <c r="AP12" s="143"/>
      <c r="AQ12" s="143">
        <v>0.56999999999999995</v>
      </c>
      <c r="AR12" s="143">
        <v>3.28</v>
      </c>
      <c r="AS12" s="143">
        <v>9.7100000000000009</v>
      </c>
      <c r="AT12" s="143">
        <v>18.66</v>
      </c>
      <c r="AU12" s="143">
        <v>15.04</v>
      </c>
      <c r="AV12" s="143">
        <v>11.48</v>
      </c>
      <c r="AW12" s="143">
        <v>16.809999999999999</v>
      </c>
      <c r="AX12" s="143">
        <v>24.22</v>
      </c>
      <c r="AY12" s="46"/>
      <c r="AZ12" s="152">
        <v>3.89</v>
      </c>
      <c r="BA12" s="152">
        <v>8.19</v>
      </c>
      <c r="BB12" s="152">
        <v>13.92</v>
      </c>
      <c r="BC12" s="152">
        <v>20.86</v>
      </c>
      <c r="BD12" s="152">
        <v>14.56</v>
      </c>
      <c r="BE12" s="152">
        <v>10.14</v>
      </c>
      <c r="BF12" s="152">
        <v>13.17</v>
      </c>
      <c r="BG12" s="152">
        <v>15.21</v>
      </c>
    </row>
    <row r="13" spans="1:59">
      <c r="A13" s="46">
        <f t="shared" si="10"/>
        <v>2015</v>
      </c>
      <c r="B13" s="141">
        <f t="shared" si="1"/>
        <v>0.19959865870195759</v>
      </c>
      <c r="C13" s="46"/>
      <c r="D13" s="141">
        <f t="shared" si="2"/>
        <v>0.73721202404809627</v>
      </c>
      <c r="E13" s="141">
        <f t="shared" si="3"/>
        <v>0.53761336534613868</v>
      </c>
      <c r="F13" s="46"/>
      <c r="G13" s="157">
        <f t="shared" si="4"/>
        <v>3.8817635270541086E-2</v>
      </c>
      <c r="H13" s="157">
        <f t="shared" si="4"/>
        <v>7.2064128256513024E-2</v>
      </c>
      <c r="I13" s="157">
        <f t="shared" si="4"/>
        <v>9.2625250501002024E-2</v>
      </c>
      <c r="J13" s="157">
        <f t="shared" si="4"/>
        <v>9.5290581162324653E-2</v>
      </c>
      <c r="K13" s="157">
        <f t="shared" si="4"/>
        <v>4.2535070140280566E-2</v>
      </c>
      <c r="L13" s="157">
        <f t="shared" si="4"/>
        <v>1.8006012024048095E-2</v>
      </c>
      <c r="M13" s="157">
        <f t="shared" si="4"/>
        <v>9.2673346693386803E-3</v>
      </c>
      <c r="N13" s="157">
        <f t="shared" si="4"/>
        <v>0</v>
      </c>
      <c r="O13" s="161">
        <v>0</v>
      </c>
      <c r="P13" s="154">
        <f t="shared" si="5"/>
        <v>5.9118236472945887E-3</v>
      </c>
      <c r="Q13" s="154">
        <f t="shared" si="6"/>
        <v>3.9679358717434873E-2</v>
      </c>
      <c r="R13" s="154">
        <f t="shared" si="6"/>
        <v>0.13687374749498998</v>
      </c>
      <c r="S13" s="154">
        <f t="shared" si="6"/>
        <v>0.32354709418837679</v>
      </c>
      <c r="T13" s="154">
        <f t="shared" si="6"/>
        <v>0.4746492985971944</v>
      </c>
      <c r="U13" s="154">
        <f t="shared" si="6"/>
        <v>0.58987975951903815</v>
      </c>
      <c r="V13" s="154">
        <f t="shared" si="6"/>
        <v>0.75831663326653309</v>
      </c>
      <c r="W13" s="158">
        <v>1</v>
      </c>
      <c r="X13" s="154"/>
      <c r="Y13" s="142">
        <f t="shared" si="7"/>
        <v>3.2356942777110848E-2</v>
      </c>
      <c r="Z13" s="142">
        <f t="shared" si="7"/>
        <v>5.5970388155262119E-2</v>
      </c>
      <c r="AA13" s="142">
        <f t="shared" si="7"/>
        <v>6.8119247699079663E-2</v>
      </c>
      <c r="AB13" s="142">
        <f t="shared" si="7"/>
        <v>6.636254501800723E-2</v>
      </c>
      <c r="AC13" s="142">
        <f t="shared" si="7"/>
        <v>2.8605442176870756E-2</v>
      </c>
      <c r="AD13" s="142">
        <f t="shared" si="7"/>
        <v>1.1705682272909169E-2</v>
      </c>
      <c r="AE13" s="142">
        <f t="shared" si="7"/>
        <v>5.6864345738295401E-3</v>
      </c>
      <c r="AF13" s="142">
        <f t="shared" si="7"/>
        <v>0</v>
      </c>
      <c r="AG13" s="161">
        <v>0</v>
      </c>
      <c r="AH13" s="158">
        <f t="shared" si="8"/>
        <v>3.8215286114445773E-2</v>
      </c>
      <c r="AI13" s="158">
        <f t="shared" si="9"/>
        <v>0.12014805922368946</v>
      </c>
      <c r="AJ13" s="158">
        <f t="shared" si="9"/>
        <v>0.25940376150460182</v>
      </c>
      <c r="AK13" s="158">
        <f t="shared" si="9"/>
        <v>0.46818727490996392</v>
      </c>
      <c r="AL13" s="158">
        <f t="shared" si="9"/>
        <v>0.61394557823129248</v>
      </c>
      <c r="AM13" s="158">
        <f t="shared" si="9"/>
        <v>0.71588635454181671</v>
      </c>
      <c r="AN13" s="158">
        <f t="shared" si="9"/>
        <v>0.84783913565426161</v>
      </c>
      <c r="AO13" s="158">
        <v>1</v>
      </c>
      <c r="AP13" s="143"/>
      <c r="AQ13" s="143">
        <v>0.59</v>
      </c>
      <c r="AR13" s="143">
        <v>3.37</v>
      </c>
      <c r="AS13" s="143">
        <v>9.6999999999999993</v>
      </c>
      <c r="AT13" s="143">
        <v>18.63</v>
      </c>
      <c r="AU13" s="143">
        <v>15.08</v>
      </c>
      <c r="AV13" s="143">
        <v>11.5</v>
      </c>
      <c r="AW13" s="143">
        <v>16.809999999999999</v>
      </c>
      <c r="AX13" s="143">
        <v>24.12</v>
      </c>
      <c r="AY13" s="46"/>
      <c r="AZ13" s="152">
        <v>3.82</v>
      </c>
      <c r="BA13" s="152">
        <v>8.19</v>
      </c>
      <c r="BB13" s="152">
        <v>13.92</v>
      </c>
      <c r="BC13" s="152">
        <v>20.87</v>
      </c>
      <c r="BD13" s="152">
        <v>14.57</v>
      </c>
      <c r="BE13" s="152">
        <v>10.19</v>
      </c>
      <c r="BF13" s="152">
        <v>13.19</v>
      </c>
      <c r="BG13" s="152">
        <v>15.21</v>
      </c>
    </row>
    <row r="14" spans="1:59">
      <c r="A14" s="46">
        <f t="shared" si="10"/>
        <v>2016</v>
      </c>
      <c r="B14" s="141">
        <f t="shared" si="1"/>
        <v>0.19597249482842694</v>
      </c>
      <c r="C14" s="46"/>
      <c r="D14" s="141">
        <f t="shared" si="2"/>
        <v>0.72720871656146691</v>
      </c>
      <c r="E14" s="141">
        <f t="shared" si="3"/>
        <v>0.53123622173303997</v>
      </c>
      <c r="F14" s="46"/>
      <c r="G14" s="157">
        <f t="shared" si="4"/>
        <v>3.8717563370403774E-2</v>
      </c>
      <c r="H14" s="157">
        <f t="shared" si="4"/>
        <v>7.1784390341649143E-2</v>
      </c>
      <c r="I14" s="157">
        <f t="shared" si="4"/>
        <v>9.1826470293557783E-2</v>
      </c>
      <c r="J14" s="157">
        <f t="shared" si="4"/>
        <v>9.3633904418394961E-2</v>
      </c>
      <c r="K14" s="157">
        <f t="shared" si="4"/>
        <v>4.146778879871757E-2</v>
      </c>
      <c r="L14" s="157">
        <f t="shared" si="4"/>
        <v>1.7412834385332133E-2</v>
      </c>
      <c r="M14" s="157">
        <f t="shared" si="4"/>
        <v>8.7614066726780897E-3</v>
      </c>
      <c r="N14" s="157">
        <f t="shared" si="4"/>
        <v>0</v>
      </c>
      <c r="O14" s="161">
        <v>0</v>
      </c>
      <c r="P14" s="154">
        <f t="shared" si="5"/>
        <v>6.4121831479811648E-3</v>
      </c>
      <c r="Q14" s="154">
        <f t="shared" si="6"/>
        <v>4.1078048291754335E-2</v>
      </c>
      <c r="R14" s="154">
        <f t="shared" si="6"/>
        <v>0.14086764853221123</v>
      </c>
      <c r="S14" s="154">
        <f t="shared" si="6"/>
        <v>0.33183047790802528</v>
      </c>
      <c r="T14" s="154">
        <f t="shared" si="6"/>
        <v>0.48532211201282438</v>
      </c>
      <c r="U14" s="154">
        <f t="shared" si="6"/>
        <v>0.60174331229335742</v>
      </c>
      <c r="V14" s="154">
        <f t="shared" si="6"/>
        <v>0.77096483318304787</v>
      </c>
      <c r="W14" s="158">
        <v>1</v>
      </c>
      <c r="X14" s="154"/>
      <c r="Y14" s="142">
        <f t="shared" si="7"/>
        <v>3.2435461276766067E-2</v>
      </c>
      <c r="Z14" s="142">
        <f t="shared" si="7"/>
        <v>5.5865519311586967E-2</v>
      </c>
      <c r="AA14" s="142">
        <f t="shared" si="7"/>
        <v>6.7528517110266181E-2</v>
      </c>
      <c r="AB14" s="142">
        <f t="shared" si="7"/>
        <v>6.5183109865919561E-2</v>
      </c>
      <c r="AC14" s="142">
        <f t="shared" si="7"/>
        <v>2.7892735641384826E-2</v>
      </c>
      <c r="AD14" s="142">
        <f t="shared" si="7"/>
        <v>1.1333299979987993E-2</v>
      </c>
      <c r="AE14" s="142">
        <f t="shared" si="7"/>
        <v>5.3794676806083654E-3</v>
      </c>
      <c r="AF14" s="142">
        <f t="shared" si="7"/>
        <v>0</v>
      </c>
      <c r="AG14" s="161">
        <v>0</v>
      </c>
      <c r="AH14" s="158">
        <f t="shared" si="8"/>
        <v>3.7822693616169703E-2</v>
      </c>
      <c r="AI14" s="158">
        <f t="shared" si="9"/>
        <v>0.12067240344206523</v>
      </c>
      <c r="AJ14" s="158">
        <f t="shared" si="9"/>
        <v>0.26235741444866922</v>
      </c>
      <c r="AK14" s="158">
        <f t="shared" si="9"/>
        <v>0.47408445067040228</v>
      </c>
      <c r="AL14" s="158">
        <f t="shared" si="9"/>
        <v>0.62107264358615177</v>
      </c>
      <c r="AM14" s="158">
        <f t="shared" si="9"/>
        <v>0.72333400040024021</v>
      </c>
      <c r="AN14" s="158">
        <f t="shared" si="9"/>
        <v>0.85551330798479097</v>
      </c>
      <c r="AO14" s="158">
        <v>1</v>
      </c>
      <c r="AP14" s="143"/>
      <c r="AQ14" s="143">
        <v>0.64</v>
      </c>
      <c r="AR14" s="143">
        <v>3.46</v>
      </c>
      <c r="AS14" s="143">
        <v>9.9600000000000009</v>
      </c>
      <c r="AT14" s="143">
        <v>19.059999999999999</v>
      </c>
      <c r="AU14" s="143">
        <v>15.32</v>
      </c>
      <c r="AV14" s="143">
        <v>11.62</v>
      </c>
      <c r="AW14" s="143">
        <v>16.89</v>
      </c>
      <c r="AX14" s="143">
        <v>22.86</v>
      </c>
      <c r="AY14" s="46"/>
      <c r="AZ14" s="152">
        <v>3.78</v>
      </c>
      <c r="BA14" s="152">
        <v>8.2799999999999994</v>
      </c>
      <c r="BB14" s="152">
        <v>14.16</v>
      </c>
      <c r="BC14" s="152">
        <v>21.16</v>
      </c>
      <c r="BD14" s="152">
        <v>14.69</v>
      </c>
      <c r="BE14" s="152">
        <v>10.220000000000001</v>
      </c>
      <c r="BF14" s="152">
        <v>13.21</v>
      </c>
      <c r="BG14" s="152">
        <v>14.44</v>
      </c>
    </row>
    <row r="15" spans="1:59">
      <c r="A15" s="46">
        <f t="shared" si="10"/>
        <v>2017</v>
      </c>
      <c r="B15" s="141">
        <f t="shared" ref="B15:B23" si="11">D15-E15</f>
        <v>0.19417707896622882</v>
      </c>
      <c r="C15" s="46"/>
      <c r="D15" s="141">
        <f t="shared" ref="D15:D23" si="12">SUM(G15:N15)*2</f>
        <v>0.73234866760168316</v>
      </c>
      <c r="E15" s="141">
        <f t="shared" ref="E15:E23" si="13">SUM(Y15:AF15)*2</f>
        <v>0.53817158863545433</v>
      </c>
      <c r="F15" s="46"/>
      <c r="G15" s="157">
        <f t="shared" ref="G15:G23" si="14">(P$5-P15)*P$4</f>
        <v>3.8757763975155284E-2</v>
      </c>
      <c r="H15" s="157">
        <f t="shared" ref="H15:H23" si="15">(Q$5-Q15)*Q$4</f>
        <v>7.1825285513925072E-2</v>
      </c>
      <c r="I15" s="157">
        <f t="shared" ref="I15:I23" si="16">(R$5-R15)*R$4</f>
        <v>9.2089761570827516E-2</v>
      </c>
      <c r="J15" s="157">
        <f t="shared" ref="J15:J23" si="17">(S$5-S15)*S$4</f>
        <v>9.4562211981566835E-2</v>
      </c>
      <c r="K15" s="157">
        <f t="shared" ref="K15:K23" si="18">(T$5-T15)*T$4</f>
        <v>4.2043678621518733E-2</v>
      </c>
      <c r="L15" s="157">
        <f t="shared" ref="L15:L23" si="19">(U$5-U15)*U$4</f>
        <v>1.7786515728310959E-2</v>
      </c>
      <c r="M15" s="157">
        <f t="shared" ref="M15:M23" si="20">(V$5-V15)*V$4</f>
        <v>9.1091164095371685E-3</v>
      </c>
      <c r="N15" s="157">
        <f t="shared" ref="N15:N23" si="21">(W$5-W15)*W$4</f>
        <v>0</v>
      </c>
      <c r="O15" s="161">
        <v>1</v>
      </c>
      <c r="P15" s="154">
        <f t="shared" ref="P15:P23" si="22">AQ15/SUM($AQ15:$AX15)</f>
        <v>6.2111801242236029E-3</v>
      </c>
      <c r="Q15" s="154">
        <f t="shared" ref="Q15:Q23" si="23">P15+AR15/SUM($AQ15:$AX15)</f>
        <v>4.0873572430374677E-2</v>
      </c>
      <c r="R15" s="154">
        <f t="shared" ref="R15:R23" si="24">Q15+AS15/SUM($AQ15:$AX15)</f>
        <v>0.13955119214586256</v>
      </c>
      <c r="S15" s="154">
        <f t="shared" ref="S15:S23" si="25">R15+AT15/SUM($AQ15:$AX15)</f>
        <v>0.32718894009216593</v>
      </c>
      <c r="T15" s="154">
        <f t="shared" ref="T15:T23" si="26">S15+AU15/SUM($AQ15:$AX15)</f>
        <v>0.4795632137848127</v>
      </c>
      <c r="U15" s="154">
        <f t="shared" ref="U15:U23" si="27">T15+AV15/SUM($AQ15:$AX15)</f>
        <v>0.59426968543378089</v>
      </c>
      <c r="V15" s="154">
        <f t="shared" ref="V15:V23" si="28">U15+AW15/SUM($AQ15:$AX15)</f>
        <v>0.7622720897615709</v>
      </c>
      <c r="W15" s="158">
        <v>1</v>
      </c>
      <c r="X15" s="154"/>
      <c r="Y15" s="142">
        <f t="shared" ref="Y15:Y23" si="29">(P$5-AH15)*P$4</f>
        <v>3.2577030812324929E-2</v>
      </c>
      <c r="Z15" s="142">
        <f t="shared" ref="Z15:Z23" si="30">(Q$5-AI15)*Q$4</f>
        <v>5.6150460184073638E-2</v>
      </c>
      <c r="AA15" s="142">
        <f t="shared" ref="AA15:AA23" si="31">(R$5-AJ15)*R$4</f>
        <v>6.8079231692677086E-2</v>
      </c>
      <c r="AB15" s="142">
        <f t="shared" ref="AB15:AB23" si="32">(S$5-AK15)*S$4</f>
        <v>6.628251300520209E-2</v>
      </c>
      <c r="AC15" s="142">
        <f t="shared" ref="AC15:AC23" si="33">(T$5-AL15)*T$4</f>
        <v>2.8545418167266912E-2</v>
      </c>
      <c r="AD15" s="142">
        <f t="shared" ref="AD15:AD23" si="34">(U$5-AM15)*U$4</f>
        <v>1.1720688275310132E-2</v>
      </c>
      <c r="AE15" s="142">
        <f t="shared" ref="AE15:AE23" si="35">(V$5-AN15)*V$4</f>
        <v>5.7304521808723584E-3</v>
      </c>
      <c r="AF15" s="142">
        <f t="shared" ref="AF15:AF23" si="36">(W$5-AO15)*W$4</f>
        <v>0</v>
      </c>
      <c r="AG15" s="161">
        <v>1</v>
      </c>
      <c r="AH15" s="158">
        <f t="shared" ref="AH15:AH23" si="37">AZ15/SUM($AZ15:$BG15)</f>
        <v>3.711484593837535E-2</v>
      </c>
      <c r="AI15" s="158">
        <f t="shared" ref="AI15:AI23" si="38">AH15+BA15/SUM($AZ15:$BG15)</f>
        <v>0.11924769907963184</v>
      </c>
      <c r="AJ15" s="158">
        <f t="shared" ref="AJ15:AJ23" si="39">AI15+BB15/SUM($AZ15:$BG15)</f>
        <v>0.25960384153661464</v>
      </c>
      <c r="AK15" s="158">
        <f t="shared" ref="AK15:AK23" si="40">AJ15+BC15/SUM($AZ15:$BG15)</f>
        <v>0.46858743497398958</v>
      </c>
      <c r="AL15" s="158">
        <f t="shared" ref="AL15:AL23" si="41">AK15+BD15/SUM($AZ15:$BG15)</f>
        <v>0.61454581832733091</v>
      </c>
      <c r="AM15" s="158">
        <f t="shared" ref="AM15:AM23" si="42">AL15+BE15/SUM($AZ15:$BG15)</f>
        <v>0.71558623449379744</v>
      </c>
      <c r="AN15" s="158">
        <f t="shared" ref="AN15:AN23" si="43">AM15+BF15/SUM($AZ15:$BG15)</f>
        <v>0.84673869547819114</v>
      </c>
      <c r="AO15" s="158">
        <v>1</v>
      </c>
      <c r="AP15" s="143"/>
      <c r="AQ15" s="143">
        <v>0.62</v>
      </c>
      <c r="AR15" s="143">
        <v>3.46</v>
      </c>
      <c r="AS15" s="143">
        <v>9.85</v>
      </c>
      <c r="AT15" s="143">
        <v>18.73</v>
      </c>
      <c r="AU15" s="143">
        <v>15.21</v>
      </c>
      <c r="AV15" s="143">
        <v>11.45</v>
      </c>
      <c r="AW15" s="143">
        <v>16.77</v>
      </c>
      <c r="AX15" s="143">
        <v>23.73</v>
      </c>
      <c r="AY15" s="46"/>
      <c r="AZ15" s="152">
        <v>3.71</v>
      </c>
      <c r="BA15" s="152">
        <v>8.2100000000000009</v>
      </c>
      <c r="BB15" s="152">
        <v>14.03</v>
      </c>
      <c r="BC15" s="152">
        <v>20.89</v>
      </c>
      <c r="BD15" s="152">
        <v>14.59</v>
      </c>
      <c r="BE15" s="152">
        <v>10.1</v>
      </c>
      <c r="BF15" s="152">
        <v>13.11</v>
      </c>
      <c r="BG15" s="152">
        <v>15.32</v>
      </c>
    </row>
    <row r="16" spans="1:59">
      <c r="A16" s="46">
        <f t="shared" si="10"/>
        <v>2018</v>
      </c>
      <c r="B16" s="141">
        <f t="shared" si="11"/>
        <v>0.19504717730363008</v>
      </c>
      <c r="C16" s="46"/>
      <c r="D16" s="141">
        <f t="shared" si="12"/>
        <v>0.7337049604168755</v>
      </c>
      <c r="E16" s="141">
        <f t="shared" si="13"/>
        <v>0.53865778311324541</v>
      </c>
      <c r="F16" s="46"/>
      <c r="G16" s="157">
        <f t="shared" si="14"/>
        <v>3.8757390520092194E-2</v>
      </c>
      <c r="H16" s="157">
        <f t="shared" si="15"/>
        <v>7.1822827938671216E-2</v>
      </c>
      <c r="I16" s="157">
        <f t="shared" si="16"/>
        <v>9.2121455055616808E-2</v>
      </c>
      <c r="J16" s="157">
        <f t="shared" si="17"/>
        <v>9.4722918128068948E-2</v>
      </c>
      <c r="K16" s="157">
        <f t="shared" si="18"/>
        <v>4.2129471890971042E-2</v>
      </c>
      <c r="L16" s="157">
        <f t="shared" si="19"/>
        <v>1.7857751277683138E-2</v>
      </c>
      <c r="M16" s="157">
        <f t="shared" si="20"/>
        <v>9.4406653973344041E-3</v>
      </c>
      <c r="N16" s="157">
        <f t="shared" si="21"/>
        <v>0</v>
      </c>
      <c r="O16" s="161">
        <v>2</v>
      </c>
      <c r="P16" s="154">
        <f t="shared" si="22"/>
        <v>6.2130473995390323E-3</v>
      </c>
      <c r="Q16" s="154">
        <f t="shared" si="23"/>
        <v>4.0885860306643956E-2</v>
      </c>
      <c r="R16" s="154">
        <f t="shared" si="24"/>
        <v>0.13939272472191605</v>
      </c>
      <c r="S16" s="154">
        <f t="shared" si="25"/>
        <v>0.32638540935965532</v>
      </c>
      <c r="T16" s="154">
        <f t="shared" si="26"/>
        <v>0.47870528109028965</v>
      </c>
      <c r="U16" s="154">
        <f t="shared" si="27"/>
        <v>0.59284497444633732</v>
      </c>
      <c r="V16" s="154">
        <f t="shared" si="28"/>
        <v>0.75398336506663999</v>
      </c>
      <c r="W16" s="158">
        <v>1</v>
      </c>
      <c r="X16" s="154"/>
      <c r="Y16" s="142">
        <f t="shared" si="29"/>
        <v>3.2537014805922373E-2</v>
      </c>
      <c r="Z16" s="142">
        <f t="shared" si="30"/>
        <v>5.5970388155262112E-2</v>
      </c>
      <c r="AA16" s="142">
        <f t="shared" si="31"/>
        <v>6.7839135654261723E-2</v>
      </c>
      <c r="AB16" s="142">
        <f t="shared" si="32"/>
        <v>6.6342537014805927E-2</v>
      </c>
      <c r="AC16" s="142">
        <f t="shared" si="33"/>
        <v>2.8765506202480987E-2</v>
      </c>
      <c r="AD16" s="142">
        <f t="shared" si="34"/>
        <v>1.1915766306522607E-2</v>
      </c>
      <c r="AE16" s="142">
        <f t="shared" si="35"/>
        <v>5.9585434173669459E-3</v>
      </c>
      <c r="AF16" s="142">
        <f t="shared" si="36"/>
        <v>0</v>
      </c>
      <c r="AG16" s="161">
        <v>2</v>
      </c>
      <c r="AH16" s="158">
        <f t="shared" si="37"/>
        <v>3.7314925970388158E-2</v>
      </c>
      <c r="AI16" s="158">
        <f t="shared" si="38"/>
        <v>0.12014805922368947</v>
      </c>
      <c r="AJ16" s="158">
        <f t="shared" si="39"/>
        <v>0.2608043217286915</v>
      </c>
      <c r="AK16" s="158">
        <f t="shared" si="40"/>
        <v>0.46828731492597042</v>
      </c>
      <c r="AL16" s="158">
        <f t="shared" si="41"/>
        <v>0.61234493797519018</v>
      </c>
      <c r="AM16" s="158">
        <f t="shared" si="42"/>
        <v>0.71168467386954792</v>
      </c>
      <c r="AN16" s="158">
        <f t="shared" si="43"/>
        <v>0.84103641456582645</v>
      </c>
      <c r="AO16" s="158">
        <v>1</v>
      </c>
      <c r="AP16" s="143"/>
      <c r="AQ16" s="143">
        <v>0.62</v>
      </c>
      <c r="AR16" s="143">
        <v>3.46</v>
      </c>
      <c r="AS16" s="143">
        <v>9.83</v>
      </c>
      <c r="AT16" s="143">
        <v>18.66</v>
      </c>
      <c r="AU16" s="143">
        <v>15.2</v>
      </c>
      <c r="AV16" s="143">
        <v>11.39</v>
      </c>
      <c r="AW16" s="143">
        <v>16.079999999999998</v>
      </c>
      <c r="AX16" s="143">
        <v>24.55</v>
      </c>
      <c r="AY16" s="46"/>
      <c r="AZ16" s="152">
        <v>3.73</v>
      </c>
      <c r="BA16" s="152">
        <v>8.2799999999999994</v>
      </c>
      <c r="BB16" s="152">
        <v>14.06</v>
      </c>
      <c r="BC16" s="152">
        <v>20.74</v>
      </c>
      <c r="BD16" s="152">
        <v>14.4</v>
      </c>
      <c r="BE16" s="152">
        <v>9.93</v>
      </c>
      <c r="BF16" s="152">
        <v>12.93</v>
      </c>
      <c r="BG16" s="152">
        <v>15.89</v>
      </c>
    </row>
    <row r="17" spans="1:59">
      <c r="A17" s="46">
        <f t="shared" si="10"/>
        <v>2019</v>
      </c>
      <c r="B17" s="141">
        <f t="shared" si="11"/>
        <v>0.19795839896677581</v>
      </c>
      <c r="C17" s="46"/>
      <c r="D17" s="141">
        <f t="shared" si="12"/>
        <v>0.73924910803768296</v>
      </c>
      <c r="E17" s="141">
        <f t="shared" si="13"/>
        <v>0.54129070907090715</v>
      </c>
      <c r="F17" s="46"/>
      <c r="G17" s="157">
        <f t="shared" si="14"/>
        <v>3.8737221888153942E-2</v>
      </c>
      <c r="H17" s="157">
        <f t="shared" si="15"/>
        <v>7.1842052515534188E-2</v>
      </c>
      <c r="I17" s="157">
        <f t="shared" si="16"/>
        <v>9.2399278412507543E-2</v>
      </c>
      <c r="J17" s="157">
        <f t="shared" si="17"/>
        <v>9.5578272198837466E-2</v>
      </c>
      <c r="K17" s="157">
        <f t="shared" si="18"/>
        <v>4.288634996993386E-2</v>
      </c>
      <c r="L17" s="157">
        <f t="shared" si="19"/>
        <v>1.831078372419323E-2</v>
      </c>
      <c r="M17" s="157">
        <f t="shared" si="20"/>
        <v>9.8705953096813077E-3</v>
      </c>
      <c r="N17" s="157">
        <f t="shared" si="21"/>
        <v>0</v>
      </c>
      <c r="O17" s="161">
        <v>3</v>
      </c>
      <c r="P17" s="154">
        <f t="shared" si="22"/>
        <v>6.313890559230307E-3</v>
      </c>
      <c r="Q17" s="154">
        <f t="shared" si="23"/>
        <v>4.0789737422329123E-2</v>
      </c>
      <c r="R17" s="154">
        <f t="shared" si="24"/>
        <v>0.13800360793746241</v>
      </c>
      <c r="S17" s="154">
        <f t="shared" si="25"/>
        <v>0.32210863900581277</v>
      </c>
      <c r="T17" s="154">
        <f t="shared" si="26"/>
        <v>0.47113650030066145</v>
      </c>
      <c r="U17" s="154">
        <f t="shared" si="27"/>
        <v>0.58378432551613546</v>
      </c>
      <c r="V17" s="154">
        <f t="shared" si="28"/>
        <v>0.74323511725796743</v>
      </c>
      <c r="W17" s="158">
        <v>1</v>
      </c>
      <c r="X17" s="154"/>
      <c r="Y17" s="142">
        <f t="shared" si="29"/>
        <v>3.2539253925392544E-2</v>
      </c>
      <c r="Z17" s="142">
        <f t="shared" si="30"/>
        <v>5.6017601760176033E-2</v>
      </c>
      <c r="AA17" s="142">
        <f t="shared" si="31"/>
        <v>6.7954795479547969E-2</v>
      </c>
      <c r="AB17" s="142">
        <f t="shared" si="32"/>
        <v>6.6750675067506759E-2</v>
      </c>
      <c r="AC17" s="142">
        <f t="shared" si="33"/>
        <v>2.9103910391039114E-2</v>
      </c>
      <c r="AD17" s="142">
        <f t="shared" si="34"/>
        <v>1.212646264626463E-2</v>
      </c>
      <c r="AE17" s="142">
        <f t="shared" si="35"/>
        <v>6.1526552655265564E-3</v>
      </c>
      <c r="AF17" s="142">
        <f t="shared" si="36"/>
        <v>0</v>
      </c>
      <c r="AG17" s="161">
        <v>3</v>
      </c>
      <c r="AH17" s="158">
        <f t="shared" si="37"/>
        <v>3.7303730373037303E-2</v>
      </c>
      <c r="AI17" s="158">
        <f t="shared" si="38"/>
        <v>0.11991199119911991</v>
      </c>
      <c r="AJ17" s="158">
        <f t="shared" si="39"/>
        <v>0.26022602260226024</v>
      </c>
      <c r="AK17" s="158">
        <f t="shared" si="40"/>
        <v>0.46624662466246625</v>
      </c>
      <c r="AL17" s="158">
        <f t="shared" si="41"/>
        <v>0.60896089608960891</v>
      </c>
      <c r="AM17" s="158">
        <f t="shared" si="42"/>
        <v>0.70747074707470747</v>
      </c>
      <c r="AN17" s="158">
        <f t="shared" si="43"/>
        <v>0.83618361836183619</v>
      </c>
      <c r="AO17" s="158">
        <v>1</v>
      </c>
      <c r="AP17" s="143"/>
      <c r="AQ17" s="143">
        <v>0.63</v>
      </c>
      <c r="AR17" s="143">
        <v>3.44</v>
      </c>
      <c r="AS17" s="143">
        <v>9.6999999999999993</v>
      </c>
      <c r="AT17" s="143">
        <v>18.37</v>
      </c>
      <c r="AU17" s="143">
        <v>14.87</v>
      </c>
      <c r="AV17" s="143">
        <v>11.24</v>
      </c>
      <c r="AW17" s="143">
        <v>15.91</v>
      </c>
      <c r="AX17" s="143">
        <v>25.62</v>
      </c>
      <c r="AY17" s="46"/>
      <c r="AZ17" s="152">
        <v>3.73</v>
      </c>
      <c r="BA17" s="152">
        <v>8.26</v>
      </c>
      <c r="BB17" s="152">
        <v>14.03</v>
      </c>
      <c r="BC17" s="152">
        <v>20.6</v>
      </c>
      <c r="BD17" s="152">
        <v>14.27</v>
      </c>
      <c r="BE17" s="152">
        <v>9.85</v>
      </c>
      <c r="BF17" s="152">
        <v>12.87</v>
      </c>
      <c r="BG17" s="152">
        <v>16.38</v>
      </c>
    </row>
    <row r="18" spans="1:59">
      <c r="A18" s="46">
        <f t="shared" si="10"/>
        <v>2020</v>
      </c>
      <c r="B18" s="141">
        <f t="shared" si="11"/>
        <v>0.19557910331054895</v>
      </c>
      <c r="C18" s="46"/>
      <c r="D18" s="141">
        <f t="shared" si="12"/>
        <v>0.73377109930854811</v>
      </c>
      <c r="E18" s="141">
        <f t="shared" si="13"/>
        <v>0.53819199599799916</v>
      </c>
      <c r="F18" s="46"/>
      <c r="G18" s="157">
        <f t="shared" si="14"/>
        <v>3.8677222166549757E-2</v>
      </c>
      <c r="H18" s="157">
        <f t="shared" si="15"/>
        <v>7.1622407054815124E-2</v>
      </c>
      <c r="I18" s="157">
        <f t="shared" si="16"/>
        <v>9.2001202525303152E-2</v>
      </c>
      <c r="J18" s="157">
        <f t="shared" si="17"/>
        <v>9.4903296923539451E-2</v>
      </c>
      <c r="K18" s="157">
        <f t="shared" si="18"/>
        <v>4.226976650967032E-2</v>
      </c>
      <c r="L18" s="157">
        <f t="shared" si="19"/>
        <v>1.7942930153321986E-2</v>
      </c>
      <c r="M18" s="157">
        <f t="shared" si="20"/>
        <v>9.4687243210742674E-3</v>
      </c>
      <c r="N18" s="157">
        <f t="shared" si="21"/>
        <v>0</v>
      </c>
      <c r="O18" s="161">
        <v>4</v>
      </c>
      <c r="P18" s="154">
        <f t="shared" si="22"/>
        <v>6.6138891672512272E-3</v>
      </c>
      <c r="Q18" s="154">
        <f t="shared" si="23"/>
        <v>4.1887964725924438E-2</v>
      </c>
      <c r="R18" s="154">
        <f t="shared" si="24"/>
        <v>0.13999398737348431</v>
      </c>
      <c r="S18" s="154">
        <f t="shared" si="25"/>
        <v>0.3254835153823028</v>
      </c>
      <c r="T18" s="154">
        <f t="shared" si="26"/>
        <v>0.47730233490329688</v>
      </c>
      <c r="U18" s="154">
        <f t="shared" si="27"/>
        <v>0.59114139693356038</v>
      </c>
      <c r="V18" s="154">
        <f t="shared" si="28"/>
        <v>0.75328189197314344</v>
      </c>
      <c r="W18" s="158">
        <v>1</v>
      </c>
      <c r="X18" s="154"/>
      <c r="Y18" s="142">
        <f t="shared" si="29"/>
        <v>3.2476238119059531E-2</v>
      </c>
      <c r="Z18" s="142">
        <f t="shared" si="30"/>
        <v>5.59079539769885E-2</v>
      </c>
      <c r="AA18" s="142">
        <f t="shared" si="31"/>
        <v>6.7793896948474264E-2</v>
      </c>
      <c r="AB18" s="142">
        <f t="shared" si="32"/>
        <v>6.6373186593296676E-2</v>
      </c>
      <c r="AC18" s="142">
        <f t="shared" si="33"/>
        <v>2.8749374687343676E-2</v>
      </c>
      <c r="AD18" s="142">
        <f t="shared" si="34"/>
        <v>1.189219609804903E-2</v>
      </c>
      <c r="AE18" s="142">
        <f t="shared" si="35"/>
        <v>5.9031515757878997E-3</v>
      </c>
      <c r="AF18" s="142">
        <f t="shared" si="36"/>
        <v>0</v>
      </c>
      <c r="AG18" s="161">
        <v>4</v>
      </c>
      <c r="AH18" s="158">
        <f t="shared" si="37"/>
        <v>3.7618809404702351E-2</v>
      </c>
      <c r="AI18" s="158">
        <f t="shared" si="38"/>
        <v>0.12046023011505752</v>
      </c>
      <c r="AJ18" s="158">
        <f t="shared" si="39"/>
        <v>0.26103051525762877</v>
      </c>
      <c r="AK18" s="158">
        <f t="shared" si="40"/>
        <v>0.46813406703351668</v>
      </c>
      <c r="AL18" s="158">
        <f t="shared" si="41"/>
        <v>0.61250625312656326</v>
      </c>
      <c r="AM18" s="158">
        <f t="shared" si="42"/>
        <v>0.71215607803901948</v>
      </c>
      <c r="AN18" s="158">
        <f t="shared" si="43"/>
        <v>0.84242121060530262</v>
      </c>
      <c r="AO18" s="158">
        <v>1</v>
      </c>
      <c r="AP18" s="143"/>
      <c r="AQ18" s="143">
        <v>0.66</v>
      </c>
      <c r="AR18" s="143">
        <v>3.52</v>
      </c>
      <c r="AS18" s="143">
        <v>9.7899999999999991</v>
      </c>
      <c r="AT18" s="143">
        <v>18.510000000000002</v>
      </c>
      <c r="AU18" s="143">
        <v>15.15</v>
      </c>
      <c r="AV18" s="143">
        <v>11.36</v>
      </c>
      <c r="AW18" s="143">
        <v>16.18</v>
      </c>
      <c r="AX18" s="143">
        <v>24.62</v>
      </c>
      <c r="AY18" s="46"/>
      <c r="AZ18" s="152">
        <v>3.76</v>
      </c>
      <c r="BA18" s="152">
        <v>8.2799999999999994</v>
      </c>
      <c r="BB18" s="152">
        <v>14.05</v>
      </c>
      <c r="BC18" s="152">
        <v>20.7</v>
      </c>
      <c r="BD18" s="152">
        <v>14.43</v>
      </c>
      <c r="BE18" s="152">
        <v>9.9600000000000009</v>
      </c>
      <c r="BF18" s="152">
        <v>13.02</v>
      </c>
      <c r="BG18" s="152">
        <v>15.75</v>
      </c>
    </row>
    <row r="19" spans="1:59">
      <c r="A19" s="46">
        <f t="shared" si="10"/>
        <v>2021</v>
      </c>
      <c r="B19" s="141">
        <f t="shared" si="11"/>
        <v>0.19729831064286441</v>
      </c>
      <c r="C19" s="46"/>
      <c r="D19" s="141">
        <f t="shared" si="12"/>
        <v>0.73282110431907033</v>
      </c>
      <c r="E19" s="141">
        <f t="shared" si="13"/>
        <v>0.53552279367620592</v>
      </c>
      <c r="F19" s="46"/>
      <c r="G19" s="157">
        <f t="shared" si="14"/>
        <v>3.8737348431706592E-2</v>
      </c>
      <c r="H19" s="157">
        <f t="shared" si="15"/>
        <v>7.1702575408357561E-2</v>
      </c>
      <c r="I19" s="157">
        <f t="shared" si="16"/>
        <v>9.2001202525303166E-2</v>
      </c>
      <c r="J19" s="157">
        <f t="shared" si="17"/>
        <v>9.478304439322581E-2</v>
      </c>
      <c r="K19" s="157">
        <f t="shared" si="18"/>
        <v>4.205932458162142E-2</v>
      </c>
      <c r="L19" s="157">
        <f t="shared" si="19"/>
        <v>1.7822677623008328E-2</v>
      </c>
      <c r="M19" s="157">
        <f t="shared" si="20"/>
        <v>9.3043791963122631E-3</v>
      </c>
      <c r="N19" s="157">
        <f t="shared" si="21"/>
        <v>0</v>
      </c>
      <c r="O19" s="161">
        <v>5</v>
      </c>
      <c r="P19" s="154">
        <f t="shared" si="22"/>
        <v>6.3132578414670792E-3</v>
      </c>
      <c r="Q19" s="154">
        <f t="shared" si="23"/>
        <v>4.1487122958212233E-2</v>
      </c>
      <c r="R19" s="154">
        <f t="shared" si="24"/>
        <v>0.13999398737348429</v>
      </c>
      <c r="S19" s="154">
        <f t="shared" si="25"/>
        <v>0.32608477803387104</v>
      </c>
      <c r="T19" s="154">
        <f t="shared" si="26"/>
        <v>0.47940675418378587</v>
      </c>
      <c r="U19" s="154">
        <f t="shared" si="27"/>
        <v>0.59354644753983354</v>
      </c>
      <c r="V19" s="154">
        <f t="shared" si="28"/>
        <v>0.75739052009219354</v>
      </c>
      <c r="W19" s="158">
        <v>1</v>
      </c>
      <c r="X19" s="154"/>
      <c r="Y19" s="142">
        <f t="shared" si="29"/>
        <v>3.2435461276766067E-2</v>
      </c>
      <c r="Z19" s="142">
        <f t="shared" si="30"/>
        <v>5.5785471282769672E-2</v>
      </c>
      <c r="AA19" s="142">
        <f t="shared" si="31"/>
        <v>6.7548529117470515E-2</v>
      </c>
      <c r="AB19" s="142">
        <f t="shared" si="32"/>
        <v>6.5983590154092484E-2</v>
      </c>
      <c r="AC19" s="142">
        <f t="shared" si="33"/>
        <v>2.8483089853912361E-2</v>
      </c>
      <c r="AD19" s="142">
        <f t="shared" si="34"/>
        <v>1.1753552131278778E-2</v>
      </c>
      <c r="AE19" s="142">
        <f t="shared" si="35"/>
        <v>5.7717030218130995E-3</v>
      </c>
      <c r="AF19" s="142">
        <f t="shared" si="36"/>
        <v>0</v>
      </c>
      <c r="AG19" s="161">
        <v>5</v>
      </c>
      <c r="AH19" s="158">
        <f t="shared" si="37"/>
        <v>3.7822693616169696E-2</v>
      </c>
      <c r="AI19" s="158">
        <f t="shared" si="38"/>
        <v>0.12107264358615169</v>
      </c>
      <c r="AJ19" s="158">
        <f t="shared" si="39"/>
        <v>0.26225735441264753</v>
      </c>
      <c r="AK19" s="158">
        <f t="shared" si="40"/>
        <v>0.47008204922953767</v>
      </c>
      <c r="AL19" s="158">
        <f t="shared" si="41"/>
        <v>0.61516910146087644</v>
      </c>
      <c r="AM19" s="158">
        <f t="shared" si="42"/>
        <v>0.71492895737442452</v>
      </c>
      <c r="AN19" s="158">
        <f t="shared" si="43"/>
        <v>0.84570742445467262</v>
      </c>
      <c r="AO19" s="158">
        <v>1</v>
      </c>
      <c r="AP19" s="143"/>
      <c r="AQ19" s="143">
        <v>0.63</v>
      </c>
      <c r="AR19" s="143">
        <v>3.51</v>
      </c>
      <c r="AS19" s="143">
        <v>9.83</v>
      </c>
      <c r="AT19" s="143">
        <v>18.57</v>
      </c>
      <c r="AU19" s="143">
        <v>15.3</v>
      </c>
      <c r="AV19" s="143">
        <v>11.39</v>
      </c>
      <c r="AW19" s="143">
        <v>16.350000000000001</v>
      </c>
      <c r="AX19" s="143">
        <v>24.21</v>
      </c>
      <c r="AY19" s="46"/>
      <c r="AZ19" s="152">
        <v>3.78</v>
      </c>
      <c r="BA19" s="152">
        <v>8.32</v>
      </c>
      <c r="BB19" s="152">
        <v>14.11</v>
      </c>
      <c r="BC19" s="152">
        <v>20.77</v>
      </c>
      <c r="BD19" s="152">
        <v>14.5</v>
      </c>
      <c r="BE19" s="152">
        <v>9.9700000000000006</v>
      </c>
      <c r="BF19" s="152">
        <v>13.07</v>
      </c>
      <c r="BG19" s="152">
        <v>15.42</v>
      </c>
    </row>
    <row r="20" spans="1:59">
      <c r="A20" s="46">
        <f t="shared" si="10"/>
        <v>2022</v>
      </c>
      <c r="B20" s="141">
        <f t="shared" si="11"/>
        <v>0.19835878319875033</v>
      </c>
      <c r="C20" s="46"/>
      <c r="D20" s="141">
        <f t="shared" si="12"/>
        <v>0.7314880336740831</v>
      </c>
      <c r="E20" s="141">
        <f t="shared" si="13"/>
        <v>0.53312925047533277</v>
      </c>
      <c r="F20" s="46"/>
      <c r="G20" s="157">
        <f t="shared" si="14"/>
        <v>3.8677089597113655E-2</v>
      </c>
      <c r="H20" s="157">
        <f t="shared" si="15"/>
        <v>7.1541391060332735E-2</v>
      </c>
      <c r="I20" s="157">
        <f t="shared" si="16"/>
        <v>9.173782321106437E-2</v>
      </c>
      <c r="J20" s="157">
        <f t="shared" si="17"/>
        <v>9.4656243736219697E-2</v>
      </c>
      <c r="K20" s="157">
        <f t="shared" si="18"/>
        <v>4.2034475846863102E-2</v>
      </c>
      <c r="L20" s="157">
        <f t="shared" si="19"/>
        <v>1.781970334736421E-2</v>
      </c>
      <c r="M20" s="157">
        <f t="shared" si="20"/>
        <v>9.2772900380837919E-3</v>
      </c>
      <c r="N20" s="157">
        <f t="shared" si="21"/>
        <v>0</v>
      </c>
      <c r="O20" s="161">
        <v>6</v>
      </c>
      <c r="P20" s="154">
        <f t="shared" si="22"/>
        <v>6.6145520144317502E-3</v>
      </c>
      <c r="Q20" s="154">
        <f t="shared" si="23"/>
        <v>4.2293044698336342E-2</v>
      </c>
      <c r="R20" s="154">
        <f t="shared" si="24"/>
        <v>0.14131088394467831</v>
      </c>
      <c r="S20" s="154">
        <f t="shared" si="25"/>
        <v>0.32671878131890159</v>
      </c>
      <c r="T20" s="154">
        <f t="shared" si="26"/>
        <v>0.47965524153136901</v>
      </c>
      <c r="U20" s="154">
        <f t="shared" si="27"/>
        <v>0.59360593305271592</v>
      </c>
      <c r="V20" s="154">
        <f t="shared" si="28"/>
        <v>0.7580677490479053</v>
      </c>
      <c r="W20" s="158">
        <v>1</v>
      </c>
      <c r="X20" s="154"/>
      <c r="Y20" s="142">
        <f t="shared" si="29"/>
        <v>3.2334634243970782E-2</v>
      </c>
      <c r="Z20" s="142">
        <f t="shared" si="30"/>
        <v>5.5522866006204354E-2</v>
      </c>
      <c r="AA20" s="142">
        <f t="shared" si="31"/>
        <v>6.7183028119683796E-2</v>
      </c>
      <c r="AB20" s="142">
        <f t="shared" si="32"/>
        <v>6.5734013809666772E-2</v>
      </c>
      <c r="AC20" s="142">
        <f t="shared" si="33"/>
        <v>2.8356849794856399E-2</v>
      </c>
      <c r="AD20" s="142">
        <f t="shared" si="34"/>
        <v>1.1704943460422296E-2</v>
      </c>
      <c r="AE20" s="142">
        <f t="shared" si="35"/>
        <v>5.7282898028620053E-3</v>
      </c>
      <c r="AF20" s="142">
        <f t="shared" si="36"/>
        <v>0</v>
      </c>
      <c r="AG20" s="161">
        <v>6</v>
      </c>
      <c r="AH20" s="158">
        <f t="shared" si="37"/>
        <v>3.8326828780146101E-2</v>
      </c>
      <c r="AI20" s="158">
        <f t="shared" si="38"/>
        <v>0.12238566996897829</v>
      </c>
      <c r="AJ20" s="158">
        <f t="shared" si="39"/>
        <v>0.26408485940158111</v>
      </c>
      <c r="AK20" s="158">
        <f t="shared" si="40"/>
        <v>0.4713299309516662</v>
      </c>
      <c r="AL20" s="158">
        <f t="shared" si="41"/>
        <v>0.61643150205143604</v>
      </c>
      <c r="AM20" s="158">
        <f t="shared" si="42"/>
        <v>0.71590113079155415</v>
      </c>
      <c r="AN20" s="158">
        <f t="shared" si="43"/>
        <v>0.84679275492844996</v>
      </c>
      <c r="AO20" s="158">
        <v>1</v>
      </c>
      <c r="AP20" s="143"/>
      <c r="AQ20" s="143">
        <v>0.66</v>
      </c>
      <c r="AR20" s="143">
        <v>3.56</v>
      </c>
      <c r="AS20" s="143">
        <v>9.8800000000000008</v>
      </c>
      <c r="AT20" s="143">
        <v>18.5</v>
      </c>
      <c r="AU20" s="143">
        <v>15.26</v>
      </c>
      <c r="AV20" s="143">
        <v>11.37</v>
      </c>
      <c r="AW20" s="143">
        <v>16.41</v>
      </c>
      <c r="AX20" s="143">
        <v>24.14</v>
      </c>
      <c r="AY20" s="46"/>
      <c r="AZ20" s="152">
        <v>3.83</v>
      </c>
      <c r="BA20" s="152">
        <v>8.4</v>
      </c>
      <c r="BB20" s="152">
        <v>14.16</v>
      </c>
      <c r="BC20" s="152">
        <v>20.71</v>
      </c>
      <c r="BD20" s="152">
        <v>14.5</v>
      </c>
      <c r="BE20" s="152">
        <v>9.94</v>
      </c>
      <c r="BF20" s="152">
        <v>13.08</v>
      </c>
      <c r="BG20" s="152">
        <v>15.31</v>
      </c>
    </row>
    <row r="21" spans="1:59">
      <c r="A21" s="46">
        <f t="shared" si="10"/>
        <v>2023</v>
      </c>
      <c r="B21" s="141">
        <f t="shared" si="11"/>
        <v>0.19827431452191957</v>
      </c>
      <c r="C21" s="46"/>
      <c r="D21" s="141">
        <f t="shared" si="12"/>
        <v>0.73140156359627173</v>
      </c>
      <c r="E21" s="141">
        <f t="shared" si="13"/>
        <v>0.53312724907435216</v>
      </c>
      <c r="F21" s="46"/>
      <c r="G21" s="157">
        <f t="shared" si="14"/>
        <v>3.8676957001102547E-2</v>
      </c>
      <c r="H21" s="157">
        <f t="shared" si="15"/>
        <v>7.1600681567605504E-2</v>
      </c>
      <c r="I21" s="157">
        <f t="shared" si="16"/>
        <v>9.1775082690187457E-2</v>
      </c>
      <c r="J21" s="157">
        <f t="shared" si="17"/>
        <v>9.4609602084795047E-2</v>
      </c>
      <c r="K21" s="157">
        <f t="shared" si="18"/>
        <v>4.1999599077879132E-2</v>
      </c>
      <c r="L21" s="157">
        <f t="shared" si="19"/>
        <v>1.7816728475493645E-2</v>
      </c>
      <c r="M21" s="157">
        <f t="shared" si="20"/>
        <v>9.2221309010724756E-3</v>
      </c>
      <c r="N21" s="157">
        <f t="shared" si="21"/>
        <v>0</v>
      </c>
      <c r="O21" s="161">
        <v>7</v>
      </c>
      <c r="P21" s="154">
        <f t="shared" si="22"/>
        <v>6.6152149944873201E-3</v>
      </c>
      <c r="Q21" s="154">
        <f t="shared" si="23"/>
        <v>4.1996592161972532E-2</v>
      </c>
      <c r="R21" s="154">
        <f t="shared" si="24"/>
        <v>0.14112458654906285</v>
      </c>
      <c r="S21" s="154">
        <f t="shared" si="25"/>
        <v>0.32695198957602484</v>
      </c>
      <c r="T21" s="154">
        <f t="shared" si="26"/>
        <v>0.48000400922120873</v>
      </c>
      <c r="U21" s="154">
        <f t="shared" si="27"/>
        <v>0.59366543049012721</v>
      </c>
      <c r="V21" s="154">
        <f t="shared" si="28"/>
        <v>0.7594467274731882</v>
      </c>
      <c r="W21" s="158">
        <v>1</v>
      </c>
      <c r="X21" s="154"/>
      <c r="Y21" s="142">
        <f t="shared" si="29"/>
        <v>3.2334634243970782E-2</v>
      </c>
      <c r="Z21" s="142">
        <f t="shared" si="30"/>
        <v>5.5562894025818078E-2</v>
      </c>
      <c r="AA21" s="142">
        <f t="shared" si="31"/>
        <v>6.7223056139297521E-2</v>
      </c>
      <c r="AB21" s="142">
        <f t="shared" si="32"/>
        <v>6.571399979985991E-2</v>
      </c>
      <c r="AC21" s="142">
        <f t="shared" si="33"/>
        <v>2.833683578504953E-2</v>
      </c>
      <c r="AD21" s="142">
        <f t="shared" si="34"/>
        <v>1.1699939957970579E-2</v>
      </c>
      <c r="AE21" s="142">
        <f t="shared" si="35"/>
        <v>5.6922645852096479E-3</v>
      </c>
      <c r="AF21" s="142">
        <f t="shared" si="36"/>
        <v>0</v>
      </c>
      <c r="AG21" s="161">
        <v>7</v>
      </c>
      <c r="AH21" s="158">
        <f t="shared" si="37"/>
        <v>3.8326828780146108E-2</v>
      </c>
      <c r="AI21" s="158">
        <f t="shared" si="38"/>
        <v>0.12218552987090965</v>
      </c>
      <c r="AJ21" s="158">
        <f t="shared" si="39"/>
        <v>0.26388471930351248</v>
      </c>
      <c r="AK21" s="158">
        <f t="shared" si="40"/>
        <v>0.47143000100070054</v>
      </c>
      <c r="AL21" s="158">
        <f t="shared" si="41"/>
        <v>0.61663164214950472</v>
      </c>
      <c r="AM21" s="158">
        <f t="shared" si="42"/>
        <v>0.71600120084058849</v>
      </c>
      <c r="AN21" s="158">
        <f t="shared" si="43"/>
        <v>0.84769338536975891</v>
      </c>
      <c r="AO21" s="158">
        <v>1</v>
      </c>
      <c r="AP21" s="143"/>
      <c r="AQ21" s="143">
        <v>0.66</v>
      </c>
      <c r="AR21" s="143">
        <v>3.53</v>
      </c>
      <c r="AS21" s="143">
        <v>9.89</v>
      </c>
      <c r="AT21" s="143">
        <v>18.54</v>
      </c>
      <c r="AU21" s="143">
        <v>15.27</v>
      </c>
      <c r="AV21" s="143">
        <v>11.34</v>
      </c>
      <c r="AW21" s="143">
        <v>16.54</v>
      </c>
      <c r="AX21" s="143">
        <v>24</v>
      </c>
      <c r="AY21" s="46"/>
      <c r="AZ21" s="152">
        <v>3.83</v>
      </c>
      <c r="BA21" s="152">
        <v>8.3800000000000008</v>
      </c>
      <c r="BB21" s="152">
        <v>14.16</v>
      </c>
      <c r="BC21" s="152">
        <v>20.74</v>
      </c>
      <c r="BD21" s="152">
        <v>14.51</v>
      </c>
      <c r="BE21" s="152">
        <v>9.93</v>
      </c>
      <c r="BF21" s="152">
        <v>13.16</v>
      </c>
      <c r="BG21" s="152">
        <v>15.22</v>
      </c>
    </row>
    <row r="22" spans="1:59">
      <c r="A22" s="46">
        <f t="shared" si="10"/>
        <v>2024</v>
      </c>
      <c r="B22" s="141">
        <f t="shared" si="11"/>
        <v>0.19811810350536085</v>
      </c>
      <c r="C22" s="46"/>
      <c r="D22" s="141">
        <f t="shared" si="12"/>
        <v>0.73044060150375956</v>
      </c>
      <c r="E22" s="141">
        <f t="shared" si="13"/>
        <v>0.5323224979983987</v>
      </c>
      <c r="F22" s="46"/>
      <c r="G22" s="157">
        <f t="shared" si="14"/>
        <v>3.8636591478696747E-2</v>
      </c>
      <c r="H22" s="157">
        <f t="shared" si="15"/>
        <v>7.1518796992481204E-2</v>
      </c>
      <c r="I22" s="157">
        <f t="shared" si="16"/>
        <v>9.1629072681704282E-2</v>
      </c>
      <c r="J22" s="157">
        <f t="shared" si="17"/>
        <v>9.4436090225563929E-2</v>
      </c>
      <c r="K22" s="157">
        <f t="shared" si="18"/>
        <v>4.1939849624060159E-2</v>
      </c>
      <c r="L22" s="157">
        <f t="shared" si="19"/>
        <v>1.78358395989975E-2</v>
      </c>
      <c r="M22" s="157">
        <f t="shared" si="20"/>
        <v>9.2240601503759435E-3</v>
      </c>
      <c r="N22" s="157">
        <f t="shared" si="21"/>
        <v>0</v>
      </c>
      <c r="O22" s="161">
        <v>8</v>
      </c>
      <c r="P22" s="154">
        <f t="shared" si="22"/>
        <v>6.8170426065162909E-3</v>
      </c>
      <c r="Q22" s="154">
        <f t="shared" si="23"/>
        <v>4.2406015037593982E-2</v>
      </c>
      <c r="R22" s="154">
        <f t="shared" si="24"/>
        <v>0.14185463659147871</v>
      </c>
      <c r="S22" s="154">
        <f t="shared" si="25"/>
        <v>0.32781954887218046</v>
      </c>
      <c r="T22" s="154">
        <f t="shared" si="26"/>
        <v>0.48060150375939847</v>
      </c>
      <c r="U22" s="154">
        <f t="shared" si="27"/>
        <v>0.59328320802005008</v>
      </c>
      <c r="V22" s="154">
        <f t="shared" si="28"/>
        <v>0.75939849624060152</v>
      </c>
      <c r="W22" s="158">
        <v>1</v>
      </c>
      <c r="X22" s="154"/>
      <c r="Y22" s="142">
        <f t="shared" si="29"/>
        <v>3.2293835068054444E-2</v>
      </c>
      <c r="Z22" s="142">
        <f t="shared" si="30"/>
        <v>5.5500400320256209E-2</v>
      </c>
      <c r="AA22" s="142">
        <f t="shared" si="31"/>
        <v>6.7097678142514022E-2</v>
      </c>
      <c r="AB22" s="142">
        <f t="shared" si="32"/>
        <v>6.5564451561249001E-2</v>
      </c>
      <c r="AC22" s="142">
        <f t="shared" si="33"/>
        <v>2.8300640512409915E-2</v>
      </c>
      <c r="AD22" s="142">
        <f t="shared" si="34"/>
        <v>1.1711369095276215E-2</v>
      </c>
      <c r="AE22" s="142">
        <f t="shared" si="35"/>
        <v>5.6928742994395475E-3</v>
      </c>
      <c r="AF22" s="142">
        <f t="shared" si="36"/>
        <v>0</v>
      </c>
      <c r="AG22" s="161">
        <v>8</v>
      </c>
      <c r="AH22" s="158">
        <f t="shared" si="37"/>
        <v>3.8530824659727785E-2</v>
      </c>
      <c r="AI22" s="158">
        <f t="shared" si="38"/>
        <v>0.122497998398719</v>
      </c>
      <c r="AJ22" s="158">
        <f t="shared" si="39"/>
        <v>0.26451160928743001</v>
      </c>
      <c r="AK22" s="158">
        <f t="shared" si="40"/>
        <v>0.47217774219375508</v>
      </c>
      <c r="AL22" s="158">
        <f t="shared" si="41"/>
        <v>0.61699359487590089</v>
      </c>
      <c r="AM22" s="158">
        <f t="shared" si="42"/>
        <v>0.71577261809447579</v>
      </c>
      <c r="AN22" s="158">
        <f t="shared" si="43"/>
        <v>0.84767814251401141</v>
      </c>
      <c r="AO22" s="158">
        <v>1</v>
      </c>
      <c r="AP22" s="143"/>
      <c r="AQ22" s="143">
        <v>0.68</v>
      </c>
      <c r="AR22" s="143">
        <v>3.55</v>
      </c>
      <c r="AS22" s="143">
        <v>9.92</v>
      </c>
      <c r="AT22" s="143">
        <v>18.55</v>
      </c>
      <c r="AU22" s="143">
        <v>15.24</v>
      </c>
      <c r="AV22" s="143">
        <v>11.24</v>
      </c>
      <c r="AW22" s="143">
        <v>16.57</v>
      </c>
      <c r="AX22" s="143">
        <v>24</v>
      </c>
      <c r="AY22" s="46"/>
      <c r="AZ22" s="152">
        <v>3.85</v>
      </c>
      <c r="BA22" s="152">
        <v>8.39</v>
      </c>
      <c r="BB22" s="152">
        <v>14.19</v>
      </c>
      <c r="BC22" s="152">
        <v>20.75</v>
      </c>
      <c r="BD22" s="152">
        <v>14.47</v>
      </c>
      <c r="BE22" s="152">
        <v>9.8699999999999992</v>
      </c>
      <c r="BF22" s="152">
        <v>13.18</v>
      </c>
      <c r="BG22" s="152">
        <v>15.22</v>
      </c>
    </row>
    <row r="23" spans="1:59">
      <c r="A23" s="46">
        <f t="shared" si="10"/>
        <v>2025</v>
      </c>
      <c r="B23" s="141">
        <f t="shared" si="11"/>
        <v>0.19822820873556179</v>
      </c>
      <c r="C23" s="46"/>
      <c r="D23" s="141">
        <f t="shared" si="12"/>
        <v>0.72977381978550682</v>
      </c>
      <c r="E23" s="141">
        <f t="shared" si="13"/>
        <v>0.53154561104994502</v>
      </c>
      <c r="F23" s="46"/>
      <c r="G23" s="157">
        <f t="shared" si="14"/>
        <v>3.8656910895058641E-2</v>
      </c>
      <c r="H23" s="157">
        <f t="shared" si="15"/>
        <v>7.1620727673649395E-2</v>
      </c>
      <c r="I23" s="157">
        <f t="shared" si="16"/>
        <v>9.1634759947880146E-2</v>
      </c>
      <c r="J23" s="157">
        <f t="shared" si="17"/>
        <v>9.4308910494136533E-2</v>
      </c>
      <c r="K23" s="157">
        <f t="shared" si="18"/>
        <v>4.1809161070462064E-2</v>
      </c>
      <c r="L23" s="157">
        <f t="shared" si="19"/>
        <v>1.7726520998296087E-2</v>
      </c>
      <c r="M23" s="157">
        <f t="shared" si="20"/>
        <v>9.1299188132705263E-3</v>
      </c>
      <c r="N23" s="157">
        <f t="shared" si="21"/>
        <v>0</v>
      </c>
      <c r="O23" s="161">
        <v>9</v>
      </c>
      <c r="P23" s="154">
        <f t="shared" si="22"/>
        <v>6.7154455247068262E-3</v>
      </c>
      <c r="Q23" s="154">
        <f t="shared" si="23"/>
        <v>4.1896361631753032E-2</v>
      </c>
      <c r="R23" s="154">
        <f t="shared" si="24"/>
        <v>0.14182620026059939</v>
      </c>
      <c r="S23" s="154">
        <f t="shared" si="25"/>
        <v>0.32845544752931743</v>
      </c>
      <c r="T23" s="154">
        <f t="shared" si="26"/>
        <v>0.48190838929537938</v>
      </c>
      <c r="U23" s="154">
        <f t="shared" si="27"/>
        <v>0.59546958003407835</v>
      </c>
      <c r="V23" s="154">
        <f t="shared" si="28"/>
        <v>0.76175202966823696</v>
      </c>
      <c r="W23" s="158">
        <v>1</v>
      </c>
      <c r="X23" s="154"/>
      <c r="Y23" s="142">
        <f t="shared" si="29"/>
        <v>3.2313081773596243E-2</v>
      </c>
      <c r="Z23" s="142">
        <f t="shared" si="30"/>
        <v>5.5517966169552603E-2</v>
      </c>
      <c r="AA23" s="142">
        <f t="shared" si="31"/>
        <v>6.7052347112401184E-2</v>
      </c>
      <c r="AB23" s="142">
        <f t="shared" si="32"/>
        <v>6.5414873386047456E-2</v>
      </c>
      <c r="AC23" s="142">
        <f t="shared" si="33"/>
        <v>2.8204383945551005E-2</v>
      </c>
      <c r="AD23" s="142">
        <f t="shared" si="34"/>
        <v>1.163271944750276E-2</v>
      </c>
      <c r="AE23" s="142">
        <f t="shared" si="35"/>
        <v>5.6374336903212939E-3</v>
      </c>
      <c r="AF23" s="142">
        <f t="shared" si="36"/>
        <v>0</v>
      </c>
      <c r="AG23" s="161">
        <v>9</v>
      </c>
      <c r="AH23" s="158">
        <f t="shared" si="37"/>
        <v>3.8434591132018817E-2</v>
      </c>
      <c r="AI23" s="158">
        <f t="shared" si="38"/>
        <v>0.12241016915223703</v>
      </c>
      <c r="AJ23" s="158">
        <f t="shared" si="39"/>
        <v>0.2647382644379942</v>
      </c>
      <c r="AK23" s="158">
        <f t="shared" si="40"/>
        <v>0.47292563306976276</v>
      </c>
      <c r="AL23" s="158">
        <f t="shared" si="41"/>
        <v>0.61795616054448999</v>
      </c>
      <c r="AM23" s="158">
        <f t="shared" si="42"/>
        <v>0.71734561104994488</v>
      </c>
      <c r="AN23" s="158">
        <f t="shared" si="43"/>
        <v>0.84906415774196775</v>
      </c>
      <c r="AO23" s="158">
        <v>1</v>
      </c>
      <c r="AP23" s="143"/>
      <c r="AQ23" s="143">
        <v>0.67</v>
      </c>
      <c r="AR23" s="143">
        <v>3.51</v>
      </c>
      <c r="AS23" s="143">
        <v>9.9700000000000006</v>
      </c>
      <c r="AT23" s="143">
        <v>18.62</v>
      </c>
      <c r="AU23" s="143">
        <v>15.31</v>
      </c>
      <c r="AV23" s="143">
        <v>11.33</v>
      </c>
      <c r="AW23" s="143">
        <v>16.59</v>
      </c>
      <c r="AX23" s="143">
        <v>23.77</v>
      </c>
      <c r="AY23" s="46"/>
      <c r="AZ23" s="152">
        <v>3.84</v>
      </c>
      <c r="BA23" s="152">
        <v>8.39</v>
      </c>
      <c r="BB23" s="152">
        <v>14.22</v>
      </c>
      <c r="BC23" s="152">
        <v>20.8</v>
      </c>
      <c r="BD23" s="152">
        <v>14.49</v>
      </c>
      <c r="BE23" s="152">
        <v>9.93</v>
      </c>
      <c r="BF23" s="152">
        <v>13.16</v>
      </c>
      <c r="BG23" s="152">
        <v>15.08</v>
      </c>
    </row>
    <row r="24" spans="1:59">
      <c r="A24" s="46">
        <f t="shared" si="10"/>
        <v>2026</v>
      </c>
      <c r="B24" s="141">
        <f t="shared" ref="B24:B26" si="44">D24-E24</f>
        <v>0.1939980831935868</v>
      </c>
      <c r="C24" s="46"/>
      <c r="D24" s="141">
        <f t="shared" ref="D24:D26" si="45">SUM(G24:N24)*2</f>
        <v>0.72505662759242562</v>
      </c>
      <c r="E24" s="141">
        <f t="shared" ref="E24:E26" si="46">SUM(Y24:AF24)*2</f>
        <v>0.53105854439883882</v>
      </c>
      <c r="F24" s="46"/>
      <c r="G24" s="157">
        <f t="shared" ref="G24:G26" si="47">(P$5-P24)*P$4</f>
        <v>3.8577296864041682E-2</v>
      </c>
      <c r="H24" s="157">
        <f t="shared" ref="H24:H26" si="48">(Q$5-Q24)*Q$4</f>
        <v>7.1203286243863337E-2</v>
      </c>
      <c r="I24" s="157">
        <f t="shared" ref="I24:I26" si="49">(R$5-R24)*R$4</f>
        <v>9.0844604749023172E-2</v>
      </c>
      <c r="J24" s="157">
        <f t="shared" ref="J24:J26" si="50">(S$5-S24)*S$4</f>
        <v>9.3413485622683104E-2</v>
      </c>
      <c r="K24" s="157">
        <f t="shared" ref="K24:K26" si="51">(T$5-T24)*T$4</f>
        <v>4.1638112413585816E-2</v>
      </c>
      <c r="L24" s="157">
        <f t="shared" ref="L24:L26" si="52">(U$5-U24)*U$4</f>
        <v>1.7793557759743516E-2</v>
      </c>
      <c r="M24" s="157">
        <f t="shared" ref="M24:M26" si="53">(V$5-V24)*V$4</f>
        <v>9.0579701432722225E-3</v>
      </c>
      <c r="N24" s="157">
        <f t="shared" ref="N24:N26" si="54">(W$5-W24)*W$4</f>
        <v>0</v>
      </c>
      <c r="O24" s="161">
        <v>10</v>
      </c>
      <c r="P24" s="154">
        <f t="shared" ref="P24:P26" si="55">AQ24/SUM($AQ24:$AX24)</f>
        <v>7.1135156797916032E-3</v>
      </c>
      <c r="Q24" s="154">
        <f t="shared" ref="Q24:Q26" si="56">P24+AR24/SUM($AQ24:$AX24)</f>
        <v>4.3983568780683303E-2</v>
      </c>
      <c r="R24" s="154">
        <f t="shared" ref="R24:R26" si="57">Q24+AS24/SUM($AQ24:$AX24)</f>
        <v>0.14577697625488428</v>
      </c>
      <c r="S24" s="154">
        <f t="shared" ref="S24:S26" si="58">R24+AT24/SUM($AQ24:$AX24)</f>
        <v>0.33293257188658454</v>
      </c>
      <c r="T24" s="154">
        <f t="shared" ref="T24:T26" si="59">S24+AU24/SUM($AQ24:$AX24)</f>
        <v>0.48361887586414187</v>
      </c>
      <c r="U24" s="154">
        <f t="shared" ref="U24:U26" si="60">T24+AV24/SUM($AQ24:$AX24)</f>
        <v>0.59412884480512973</v>
      </c>
      <c r="V24" s="154">
        <f t="shared" ref="V24:V26" si="61">U24+AW24/SUM($AQ24:$AX24)</f>
        <v>0.76355074641819454</v>
      </c>
      <c r="W24" s="158">
        <v>1</v>
      </c>
      <c r="X24" s="154"/>
      <c r="Y24" s="142">
        <f t="shared" ref="Y24:Y26" si="62">(P$5-AH24)*P$4</f>
        <v>3.2311542696966671E-2</v>
      </c>
      <c r="Z24" s="142">
        <f t="shared" ref="Z24:Z26" si="63">(Q$5-AI24)*Q$4</f>
        <v>5.5493042346581249E-2</v>
      </c>
      <c r="AA24" s="142">
        <f t="shared" ref="AA24:AA26" si="64">(R$5-AJ24)*R$4</f>
        <v>6.6921613775152697E-2</v>
      </c>
      <c r="AB24" s="142">
        <f t="shared" ref="AB24:AB26" si="65">(S$5-AK24)*S$4</f>
        <v>6.5235759335268803E-2</v>
      </c>
      <c r="AC24" s="142">
        <f t="shared" ref="AC24:AC26" si="66">(T$5-AL24)*T$4</f>
        <v>2.819201121233357E-2</v>
      </c>
      <c r="AD24" s="142">
        <f t="shared" ref="AD24:AD26" si="67">(U$5-AM24)*U$4</f>
        <v>1.1680598658524378E-2</v>
      </c>
      <c r="AE24" s="142">
        <f t="shared" ref="AE24:AE26" si="68">(V$5-AN24)*V$4</f>
        <v>5.6947041745920536E-3</v>
      </c>
      <c r="AF24" s="142">
        <f t="shared" ref="AF24:AF26" si="69">(W$5-AO24)*W$4</f>
        <v>0</v>
      </c>
      <c r="AG24" s="161">
        <v>10</v>
      </c>
      <c r="AH24" s="158">
        <f t="shared" ref="AH24:AH26" si="70">AZ24/SUM($AZ24:$BG24)</f>
        <v>3.8442286515166679E-2</v>
      </c>
      <c r="AI24" s="158">
        <f t="shared" ref="AI24:AI26" si="71">AH24+BA24/SUM($AZ24:$BG24)</f>
        <v>0.1225347882670938</v>
      </c>
      <c r="AJ24" s="158">
        <f t="shared" ref="AJ24:AJ26" si="72">AI24+BB24/SUM($AZ24:$BG24)</f>
        <v>0.26539193112423665</v>
      </c>
      <c r="AK24" s="158">
        <f t="shared" ref="AK24:AK26" si="73">AJ24+BC24/SUM($AZ24:$BG24)</f>
        <v>0.47382120332365602</v>
      </c>
      <c r="AL24" s="158">
        <f t="shared" ref="AL24:AL26" si="74">AK24+BD24/SUM($AZ24:$BG24)</f>
        <v>0.61807988787666435</v>
      </c>
      <c r="AM24" s="158">
        <f t="shared" ref="AM24:AM26" si="75">AL24+BE24/SUM($AZ24:$BG24)</f>
        <v>0.71638802682951253</v>
      </c>
      <c r="AN24" s="158">
        <f t="shared" ref="AN24:AN26" si="76">AM24+BF24/SUM($AZ24:$BG24)</f>
        <v>0.84763239563519877</v>
      </c>
      <c r="AO24" s="158">
        <v>1</v>
      </c>
      <c r="AP24" s="143"/>
      <c r="AQ24" s="143">
        <v>0.71</v>
      </c>
      <c r="AR24" s="143">
        <v>3.68</v>
      </c>
      <c r="AS24" s="143">
        <v>10.16</v>
      </c>
      <c r="AT24" s="143">
        <v>18.68</v>
      </c>
      <c r="AU24" s="143">
        <v>15.04</v>
      </c>
      <c r="AV24" s="143">
        <v>11.03</v>
      </c>
      <c r="AW24" s="143">
        <v>16.91</v>
      </c>
      <c r="AX24" s="143">
        <v>23.6</v>
      </c>
      <c r="AY24" s="46"/>
      <c r="AZ24" s="152">
        <v>3.84</v>
      </c>
      <c r="BA24" s="152">
        <v>8.4</v>
      </c>
      <c r="BB24" s="152">
        <v>14.27</v>
      </c>
      <c r="BC24" s="152">
        <v>20.82</v>
      </c>
      <c r="BD24" s="152">
        <v>14.41</v>
      </c>
      <c r="BE24" s="152">
        <v>9.82</v>
      </c>
      <c r="BF24" s="152">
        <v>13.11</v>
      </c>
      <c r="BG24" s="152">
        <v>15.22</v>
      </c>
    </row>
    <row r="25" spans="1:59">
      <c r="A25" s="46">
        <f t="shared" si="10"/>
        <v>2027</v>
      </c>
      <c r="B25" s="141">
        <f t="shared" si="44"/>
        <v>0.19427860470135416</v>
      </c>
      <c r="C25" s="46"/>
      <c r="D25" s="141">
        <f t="shared" si="45"/>
        <v>0.72281550791424576</v>
      </c>
      <c r="E25" s="141">
        <f t="shared" si="46"/>
        <v>0.5285369032128916</v>
      </c>
      <c r="F25" s="46"/>
      <c r="G25" s="157">
        <f t="shared" si="47"/>
        <v>3.8577439390903634E-2</v>
      </c>
      <c r="H25" s="157">
        <f t="shared" si="48"/>
        <v>7.1144059306752161E-2</v>
      </c>
      <c r="I25" s="157">
        <f t="shared" si="49"/>
        <v>9.0567020637146889E-2</v>
      </c>
      <c r="J25" s="157">
        <f t="shared" si="50"/>
        <v>9.2959326788218805E-2</v>
      </c>
      <c r="K25" s="157">
        <f t="shared" si="51"/>
        <v>4.1462632738930076E-2</v>
      </c>
      <c r="L25" s="157">
        <f t="shared" si="52"/>
        <v>1.7716389501101989E-2</v>
      </c>
      <c r="M25" s="157">
        <f t="shared" si="53"/>
        <v>8.9808855940693277E-3</v>
      </c>
      <c r="N25" s="157">
        <f t="shared" si="54"/>
        <v>0</v>
      </c>
      <c r="O25" s="161">
        <v>11</v>
      </c>
      <c r="P25" s="154">
        <f t="shared" si="55"/>
        <v>7.1128030454818674E-3</v>
      </c>
      <c r="Q25" s="154">
        <f t="shared" si="56"/>
        <v>4.4279703466239231E-2</v>
      </c>
      <c r="R25" s="154">
        <f t="shared" si="57"/>
        <v>0.1471648968142657</v>
      </c>
      <c r="S25" s="154">
        <f t="shared" si="58"/>
        <v>0.33520336605890605</v>
      </c>
      <c r="T25" s="154">
        <f t="shared" si="59"/>
        <v>0.4853736726106993</v>
      </c>
      <c r="U25" s="154">
        <f t="shared" si="60"/>
        <v>0.59567220997796033</v>
      </c>
      <c r="V25" s="154">
        <f t="shared" si="61"/>
        <v>0.76547786014826691</v>
      </c>
      <c r="W25" s="158">
        <v>1</v>
      </c>
      <c r="X25" s="154"/>
      <c r="Y25" s="142">
        <f t="shared" si="62"/>
        <v>3.2273045741167052E-2</v>
      </c>
      <c r="Z25" s="142">
        <f t="shared" si="63"/>
        <v>5.5357822039835858E-2</v>
      </c>
      <c r="AA25" s="142">
        <f t="shared" si="64"/>
        <v>6.6551896707036359E-2</v>
      </c>
      <c r="AB25" s="142">
        <f t="shared" si="65"/>
        <v>6.4814332899609653E-2</v>
      </c>
      <c r="AC25" s="142">
        <f t="shared" si="66"/>
        <v>2.8014212791512363E-2</v>
      </c>
      <c r="AD25" s="142">
        <f t="shared" si="67"/>
        <v>1.1607696927234512E-2</v>
      </c>
      <c r="AE25" s="142">
        <f t="shared" si="68"/>
        <v>5.6494445000500491E-3</v>
      </c>
      <c r="AF25" s="142">
        <f t="shared" si="69"/>
        <v>0</v>
      </c>
      <c r="AG25" s="161">
        <v>11</v>
      </c>
      <c r="AH25" s="158">
        <f t="shared" si="70"/>
        <v>3.8634771294164746E-2</v>
      </c>
      <c r="AI25" s="158">
        <f t="shared" si="71"/>
        <v>0.12321088980082073</v>
      </c>
      <c r="AJ25" s="158">
        <f t="shared" si="72"/>
        <v>0.26724051646481833</v>
      </c>
      <c r="AK25" s="158">
        <f t="shared" si="73"/>
        <v>0.47592833550195179</v>
      </c>
      <c r="AL25" s="158">
        <f t="shared" si="74"/>
        <v>0.61985787208487642</v>
      </c>
      <c r="AM25" s="158">
        <f t="shared" si="75"/>
        <v>0.71784606145530983</v>
      </c>
      <c r="AN25" s="158">
        <f t="shared" si="76"/>
        <v>0.84876388749874887</v>
      </c>
      <c r="AO25" s="158">
        <v>1</v>
      </c>
      <c r="AP25" s="143"/>
      <c r="AQ25" s="143">
        <v>0.71</v>
      </c>
      <c r="AR25" s="143">
        <v>3.71</v>
      </c>
      <c r="AS25" s="143">
        <v>10.27</v>
      </c>
      <c r="AT25" s="143">
        <v>18.77</v>
      </c>
      <c r="AU25" s="143">
        <v>14.99</v>
      </c>
      <c r="AV25" s="143">
        <v>11.01</v>
      </c>
      <c r="AW25" s="143">
        <v>16.95</v>
      </c>
      <c r="AX25" s="143">
        <v>23.41</v>
      </c>
      <c r="AY25" s="46"/>
      <c r="AZ25" s="152">
        <v>3.86</v>
      </c>
      <c r="BA25" s="152">
        <v>8.4499999999999993</v>
      </c>
      <c r="BB25" s="152">
        <v>14.39</v>
      </c>
      <c r="BC25" s="152">
        <v>20.85</v>
      </c>
      <c r="BD25" s="152">
        <v>14.38</v>
      </c>
      <c r="BE25" s="152">
        <v>9.7899999999999991</v>
      </c>
      <c r="BF25" s="152">
        <v>13.08</v>
      </c>
      <c r="BG25" s="152">
        <v>15.11</v>
      </c>
    </row>
    <row r="26" spans="1:59">
      <c r="A26" s="199">
        <f t="shared" si="10"/>
        <v>2028</v>
      </c>
      <c r="B26" s="710">
        <f t="shared" si="44"/>
        <v>0.19366409562923637</v>
      </c>
      <c r="C26" s="199"/>
      <c r="D26" s="710">
        <f t="shared" si="45"/>
        <v>0.72053076229590307</v>
      </c>
      <c r="E26" s="710">
        <f t="shared" si="46"/>
        <v>0.52686666666666671</v>
      </c>
      <c r="F26" s="199"/>
      <c r="G26" s="711">
        <f t="shared" si="47"/>
        <v>3.8557547831313238E-2</v>
      </c>
      <c r="H26" s="711">
        <f t="shared" si="48"/>
        <v>7.1004708003606129E-2</v>
      </c>
      <c r="I26" s="711">
        <f t="shared" si="49"/>
        <v>9.0189321847140166E-2</v>
      </c>
      <c r="J26" s="711">
        <f t="shared" si="50"/>
        <v>9.2565361113893629E-2</v>
      </c>
      <c r="K26" s="711">
        <f t="shared" si="51"/>
        <v>4.1317239306821602E-2</v>
      </c>
      <c r="L26" s="711">
        <f t="shared" si="52"/>
        <v>1.7679304818190928E-2</v>
      </c>
      <c r="M26" s="711">
        <f t="shared" si="53"/>
        <v>8.9518982269858813E-3</v>
      </c>
      <c r="N26" s="711">
        <f t="shared" si="54"/>
        <v>0</v>
      </c>
      <c r="O26" s="712">
        <v>12</v>
      </c>
      <c r="P26" s="713">
        <f t="shared" si="55"/>
        <v>7.2122608434338374E-3</v>
      </c>
      <c r="Q26" s="713">
        <f t="shared" si="56"/>
        <v>4.4976459981969343E-2</v>
      </c>
      <c r="R26" s="713">
        <f t="shared" si="57"/>
        <v>0.1490533907642993</v>
      </c>
      <c r="S26" s="713">
        <f t="shared" si="58"/>
        <v>0.3371731944305319</v>
      </c>
      <c r="T26" s="713">
        <f t="shared" si="59"/>
        <v>0.48682760693178406</v>
      </c>
      <c r="U26" s="713">
        <f t="shared" si="60"/>
        <v>0.59641390363618152</v>
      </c>
      <c r="V26" s="713">
        <f t="shared" si="61"/>
        <v>0.76620254432535306</v>
      </c>
      <c r="W26" s="714">
        <v>1</v>
      </c>
      <c r="X26" s="713"/>
      <c r="Y26" s="715">
        <f t="shared" si="62"/>
        <v>3.2272272272272272E-2</v>
      </c>
      <c r="Z26" s="715">
        <f t="shared" si="63"/>
        <v>5.5255255255255258E-2</v>
      </c>
      <c r="AA26" s="715">
        <f t="shared" si="64"/>
        <v>6.6266266266266291E-2</v>
      </c>
      <c r="AB26" s="715">
        <f t="shared" si="65"/>
        <v>6.4504504504504512E-2</v>
      </c>
      <c r="AC26" s="715">
        <f t="shared" si="66"/>
        <v>2.7917917917917923E-2</v>
      </c>
      <c r="AD26" s="715">
        <f t="shared" si="67"/>
        <v>1.1579079079079086E-2</v>
      </c>
      <c r="AE26" s="715">
        <f t="shared" si="68"/>
        <v>5.6380380380380447E-3</v>
      </c>
      <c r="AF26" s="715">
        <f t="shared" si="69"/>
        <v>0</v>
      </c>
      <c r="AG26" s="712">
        <v>12</v>
      </c>
      <c r="AH26" s="714">
        <f t="shared" si="70"/>
        <v>3.8638638638638638E-2</v>
      </c>
      <c r="AI26" s="714">
        <f t="shared" si="71"/>
        <v>0.12372372372372373</v>
      </c>
      <c r="AJ26" s="714">
        <f t="shared" si="72"/>
        <v>0.26866866866866868</v>
      </c>
      <c r="AK26" s="714">
        <f t="shared" si="73"/>
        <v>0.47747747747747749</v>
      </c>
      <c r="AL26" s="714">
        <f t="shared" si="74"/>
        <v>0.6208208208208208</v>
      </c>
      <c r="AM26" s="714">
        <f t="shared" si="75"/>
        <v>0.71841841841841836</v>
      </c>
      <c r="AN26" s="714">
        <f t="shared" si="76"/>
        <v>0.84904904904904899</v>
      </c>
      <c r="AO26" s="714">
        <v>1</v>
      </c>
      <c r="AP26" s="240"/>
      <c r="AQ26" s="240">
        <v>0.72</v>
      </c>
      <c r="AR26" s="240">
        <v>3.77</v>
      </c>
      <c r="AS26" s="240">
        <v>10.39</v>
      </c>
      <c r="AT26" s="240">
        <v>18.78</v>
      </c>
      <c r="AU26" s="240">
        <v>14.94</v>
      </c>
      <c r="AV26" s="240">
        <v>10.94</v>
      </c>
      <c r="AW26" s="240">
        <v>16.95</v>
      </c>
      <c r="AX26" s="240">
        <v>23.34</v>
      </c>
      <c r="AY26" s="199"/>
      <c r="AZ26" s="716">
        <v>3.86</v>
      </c>
      <c r="BA26" s="716">
        <v>8.5</v>
      </c>
      <c r="BB26" s="716">
        <v>14.48</v>
      </c>
      <c r="BC26" s="716">
        <v>20.86</v>
      </c>
      <c r="BD26" s="716">
        <v>14.32</v>
      </c>
      <c r="BE26" s="716">
        <v>9.75</v>
      </c>
      <c r="BF26" s="716">
        <v>13.05</v>
      </c>
      <c r="BG26" s="716">
        <v>15.08</v>
      </c>
    </row>
    <row r="28" spans="1:59">
      <c r="A28" s="103" t="s">
        <v>1050</v>
      </c>
    </row>
    <row r="29" spans="1:59">
      <c r="A29" s="698" t="s">
        <v>1039</v>
      </c>
    </row>
    <row r="32" spans="1:59">
      <c r="A32" s="9" t="s">
        <v>1040</v>
      </c>
    </row>
    <row r="33" spans="1:4">
      <c r="A33" s="695"/>
    </row>
    <row r="34" spans="1:4">
      <c r="A34" s="144"/>
      <c r="B34" s="729" t="s">
        <v>1041</v>
      </c>
      <c r="D34" s="729" t="s">
        <v>1042</v>
      </c>
    </row>
    <row r="35" spans="1:4">
      <c r="A35" s="53"/>
      <c r="B35" s="730"/>
      <c r="D35" s="730"/>
    </row>
    <row r="36" spans="1:4">
      <c r="A36" s="46">
        <v>1979</v>
      </c>
      <c r="B36" s="141">
        <f>'4-Prog'!B33</f>
        <v>0.144776109915911</v>
      </c>
    </row>
    <row r="37" spans="1:4">
      <c r="A37" s="46">
        <f>A36+1</f>
        <v>1980</v>
      </c>
      <c r="B37" s="141">
        <f>'4-Prog'!B34</f>
        <v>0.14149268749371235</v>
      </c>
    </row>
    <row r="38" spans="1:4">
      <c r="A38" s="46">
        <f t="shared" ref="A38:A85" si="77">A37+1</f>
        <v>1981</v>
      </c>
      <c r="B38" s="141">
        <f>'4-Prog'!B35</f>
        <v>0.12679562212610018</v>
      </c>
    </row>
    <row r="39" spans="1:4">
      <c r="A39" s="46">
        <f t="shared" si="77"/>
        <v>1982</v>
      </c>
      <c r="B39" s="141">
        <f>'4-Prog'!B36</f>
        <v>0.11600197333747542</v>
      </c>
    </row>
    <row r="40" spans="1:4">
      <c r="A40" s="46">
        <f t="shared" si="77"/>
        <v>1983</v>
      </c>
      <c r="B40" s="141">
        <f>'4-Prog'!B37</f>
        <v>0.10804600274855319</v>
      </c>
    </row>
    <row r="41" spans="1:4">
      <c r="A41" s="46">
        <f t="shared" si="77"/>
        <v>1984</v>
      </c>
      <c r="B41" s="141">
        <f>'4-Prog'!B38</f>
        <v>9.9769132092976165E-2</v>
      </c>
    </row>
    <row r="42" spans="1:4">
      <c r="A42" s="46">
        <f t="shared" si="77"/>
        <v>1985</v>
      </c>
      <c r="B42" s="141">
        <f>'4-Prog'!B39</f>
        <v>0.10118863283840152</v>
      </c>
    </row>
    <row r="43" spans="1:4">
      <c r="A43" s="46">
        <f t="shared" si="77"/>
        <v>1986</v>
      </c>
      <c r="B43" s="141">
        <f>'4-Prog'!B40</f>
        <v>9.622197288316614E-2</v>
      </c>
    </row>
    <row r="44" spans="1:4">
      <c r="A44" s="46">
        <f t="shared" si="77"/>
        <v>1987</v>
      </c>
      <c r="B44" s="141">
        <f>'4-Prog'!B41</f>
        <v>0.12002843057260215</v>
      </c>
    </row>
    <row r="45" spans="1:4">
      <c r="A45" s="46">
        <f t="shared" si="77"/>
        <v>1988</v>
      </c>
      <c r="B45" s="141">
        <f>'4-Prog'!B42</f>
        <v>0.12308957361974787</v>
      </c>
    </row>
    <row r="46" spans="1:4">
      <c r="A46" s="46">
        <f t="shared" si="77"/>
        <v>1989</v>
      </c>
      <c r="B46" s="141">
        <f>'4-Prog'!B43</f>
        <v>0.12059219597802201</v>
      </c>
    </row>
    <row r="47" spans="1:4">
      <c r="A47" s="46">
        <f t="shared" si="77"/>
        <v>1990</v>
      </c>
      <c r="B47" s="141">
        <f>'4-Prog'!B44</f>
        <v>0.11166439983621468</v>
      </c>
    </row>
    <row r="48" spans="1:4">
      <c r="A48" s="46">
        <f t="shared" si="77"/>
        <v>1991</v>
      </c>
      <c r="B48" s="141">
        <f>'4-Prog'!B45</f>
        <v>0.12153529792592455</v>
      </c>
    </row>
    <row r="49" spans="1:2">
      <c r="A49" s="46">
        <f t="shared" si="77"/>
        <v>1992</v>
      </c>
      <c r="B49" s="141">
        <f>'4-Prog'!B46</f>
        <v>0.12762535557852822</v>
      </c>
    </row>
    <row r="50" spans="1:2">
      <c r="A50" s="46">
        <f t="shared" si="77"/>
        <v>1993</v>
      </c>
      <c r="B50" s="141">
        <f>'4-Prog'!B47</f>
        <v>0.13922773534757588</v>
      </c>
    </row>
    <row r="51" spans="1:2">
      <c r="A51" s="46">
        <f t="shared" si="77"/>
        <v>1994</v>
      </c>
      <c r="B51" s="141">
        <f>'4-Prog'!B48</f>
        <v>0.14742630099389781</v>
      </c>
    </row>
    <row r="52" spans="1:2">
      <c r="A52" s="46">
        <f t="shared" si="77"/>
        <v>1995</v>
      </c>
      <c r="B52" s="141">
        <f>'4-Prog'!B49</f>
        <v>0.1566994973413755</v>
      </c>
    </row>
    <row r="53" spans="1:2">
      <c r="A53" s="46">
        <f t="shared" si="77"/>
        <v>1996</v>
      </c>
      <c r="B53" s="141">
        <f>'4-Prog'!B50</f>
        <v>0.16277325691880884</v>
      </c>
    </row>
    <row r="54" spans="1:2">
      <c r="A54" s="46">
        <f t="shared" si="77"/>
        <v>1997</v>
      </c>
      <c r="B54" s="141">
        <f>'4-Prog'!B51</f>
        <v>0.15097482655788019</v>
      </c>
    </row>
    <row r="55" spans="1:2">
      <c r="A55" s="46">
        <f t="shared" si="77"/>
        <v>1998</v>
      </c>
      <c r="B55" s="141">
        <f>'4-Prog'!B52</f>
        <v>0.1533546451108535</v>
      </c>
    </row>
    <row r="56" spans="1:2">
      <c r="A56" s="46">
        <f t="shared" si="77"/>
        <v>1999</v>
      </c>
      <c r="B56" s="141">
        <f>'4-Prog'!B53</f>
        <v>0.159855797278603</v>
      </c>
    </row>
    <row r="57" spans="1:2">
      <c r="A57" s="46">
        <f t="shared" si="77"/>
        <v>2000</v>
      </c>
      <c r="B57" s="141">
        <f>'4-Prog'!B54</f>
        <v>0.15872355153514295</v>
      </c>
    </row>
    <row r="58" spans="1:2">
      <c r="A58" s="46">
        <f t="shared" si="77"/>
        <v>2001</v>
      </c>
      <c r="B58" s="141">
        <f>'4-Prog'!B55</f>
        <v>0.17420702507603447</v>
      </c>
    </row>
    <row r="59" spans="1:2">
      <c r="A59" s="46">
        <f t="shared" si="77"/>
        <v>2002</v>
      </c>
      <c r="B59" s="141">
        <f>'4-Prog'!B56</f>
        <v>0.17972427794353285</v>
      </c>
    </row>
    <row r="60" spans="1:2">
      <c r="A60" s="46">
        <f t="shared" si="77"/>
        <v>2003</v>
      </c>
      <c r="B60" s="141">
        <f>'4-Prog'!B57</f>
        <v>0.17688475127043002</v>
      </c>
    </row>
    <row r="61" spans="1:2">
      <c r="A61" s="46">
        <f t="shared" si="77"/>
        <v>2004</v>
      </c>
      <c r="B61" s="141">
        <f>'4-Prog'!B58</f>
        <v>0.1753293762279543</v>
      </c>
    </row>
    <row r="62" spans="1:2">
      <c r="A62" s="46">
        <f t="shared" si="77"/>
        <v>2005</v>
      </c>
      <c r="B62" s="141">
        <f>'4-Prog'!B59</f>
        <v>0.17509691743269029</v>
      </c>
    </row>
    <row r="63" spans="1:2">
      <c r="A63" s="46">
        <f t="shared" si="77"/>
        <v>2006</v>
      </c>
      <c r="B63" s="141">
        <f>'4-Prog'!B60</f>
        <v>0.16841486255969706</v>
      </c>
    </row>
    <row r="64" spans="1:2">
      <c r="A64" s="46">
        <f t="shared" si="77"/>
        <v>2007</v>
      </c>
      <c r="B64" s="141">
        <f>'4-Prog'!B61</f>
        <v>0.17462052606690648</v>
      </c>
    </row>
    <row r="65" spans="1:7">
      <c r="A65" s="46">
        <f t="shared" si="77"/>
        <v>2008</v>
      </c>
      <c r="B65" s="141">
        <f>'4-Prog'!B62</f>
        <v>0.21734212712030798</v>
      </c>
    </row>
    <row r="66" spans="1:7">
      <c r="A66" s="46">
        <f t="shared" si="77"/>
        <v>2009</v>
      </c>
      <c r="B66" s="141">
        <f>'4-Prog'!B63</f>
        <v>0.22528863785988273</v>
      </c>
    </row>
    <row r="67" spans="1:7">
      <c r="A67" s="46">
        <f t="shared" si="77"/>
        <v>2010</v>
      </c>
      <c r="B67" s="141">
        <f>'4-Prog'!B64</f>
        <v>0.22774320435924211</v>
      </c>
    </row>
    <row r="68" spans="1:7">
      <c r="A68" s="46">
        <f t="shared" si="77"/>
        <v>2011</v>
      </c>
      <c r="B68" s="141">
        <f>'4-Prog'!B65</f>
        <v>0.21759084912036042</v>
      </c>
      <c r="D68" s="141">
        <f>B9</f>
        <v>0.21213447825675635</v>
      </c>
    </row>
    <row r="69" spans="1:7">
      <c r="A69" s="46">
        <f t="shared" si="77"/>
        <v>2012</v>
      </c>
      <c r="B69" s="141">
        <f>'4-Prog'!B66</f>
        <v>0.21777168724923168</v>
      </c>
      <c r="D69" s="141">
        <f t="shared" ref="D69:D85" si="78">B10</f>
        <v>0.2081748375740311</v>
      </c>
      <c r="E69" s="113"/>
      <c r="G69" s="113"/>
    </row>
    <row r="70" spans="1:7">
      <c r="A70" s="46">
        <f t="shared" si="77"/>
        <v>2013</v>
      </c>
      <c r="B70" s="141">
        <f>'4-Prog'!B67</f>
        <v>0.21346384195179069</v>
      </c>
      <c r="D70" s="141">
        <f t="shared" si="78"/>
        <v>0.2081748375740311</v>
      </c>
    </row>
    <row r="71" spans="1:7">
      <c r="A71" s="46">
        <f t="shared" si="77"/>
        <v>2014</v>
      </c>
      <c r="B71" s="141">
        <f>'4-Prog'!B68</f>
        <v>0.20951340414220065</v>
      </c>
      <c r="D71" s="141">
        <f t="shared" si="78"/>
        <v>0.2024191770750533</v>
      </c>
    </row>
    <row r="72" spans="1:7">
      <c r="A72" s="46">
        <f t="shared" si="77"/>
        <v>2015</v>
      </c>
      <c r="B72" s="141">
        <f>'4-Prog'!B69</f>
        <v>0.21223535792582549</v>
      </c>
      <c r="D72" s="141">
        <f t="shared" si="78"/>
        <v>0.19959865870195759</v>
      </c>
    </row>
    <row r="73" spans="1:7">
      <c r="A73" s="46">
        <f t="shared" si="77"/>
        <v>2016</v>
      </c>
      <c r="B73" s="141">
        <f>'4-Prog'!B70</f>
        <v>0.21200505671314096</v>
      </c>
      <c r="D73" s="141">
        <f t="shared" si="78"/>
        <v>0.19597249482842694</v>
      </c>
    </row>
    <row r="74" spans="1:7">
      <c r="A74" s="46">
        <f t="shared" si="77"/>
        <v>2017</v>
      </c>
      <c r="B74" s="141"/>
      <c r="D74" s="699">
        <f t="shared" si="78"/>
        <v>0.19417707896622882</v>
      </c>
    </row>
    <row r="75" spans="1:7">
      <c r="A75" s="46">
        <f t="shared" si="77"/>
        <v>2018</v>
      </c>
      <c r="B75" s="141"/>
      <c r="D75" s="699">
        <f t="shared" si="78"/>
        <v>0.19504717730363008</v>
      </c>
      <c r="E75" s="695" t="s">
        <v>1060</v>
      </c>
    </row>
    <row r="76" spans="1:7">
      <c r="A76" s="46">
        <f t="shared" si="77"/>
        <v>2019</v>
      </c>
      <c r="B76" s="141"/>
      <c r="D76" s="141">
        <f t="shared" si="78"/>
        <v>0.19795839896677581</v>
      </c>
    </row>
    <row r="77" spans="1:7">
      <c r="A77" s="46">
        <f t="shared" si="77"/>
        <v>2020</v>
      </c>
      <c r="D77" s="141">
        <f t="shared" si="78"/>
        <v>0.19557910331054895</v>
      </c>
    </row>
    <row r="78" spans="1:7">
      <c r="A78" s="46">
        <f t="shared" si="77"/>
        <v>2021</v>
      </c>
      <c r="D78" s="141">
        <f t="shared" si="78"/>
        <v>0.19729831064286441</v>
      </c>
    </row>
    <row r="79" spans="1:7">
      <c r="A79" s="46">
        <f t="shared" si="77"/>
        <v>2022</v>
      </c>
      <c r="D79" s="141">
        <f t="shared" si="78"/>
        <v>0.19835878319875033</v>
      </c>
    </row>
    <row r="80" spans="1:7">
      <c r="A80" s="46">
        <f t="shared" si="77"/>
        <v>2023</v>
      </c>
      <c r="D80" s="141">
        <f t="shared" si="78"/>
        <v>0.19827431452191957</v>
      </c>
    </row>
    <row r="81" spans="1:21">
      <c r="A81" s="46">
        <f t="shared" si="77"/>
        <v>2024</v>
      </c>
      <c r="D81" s="141">
        <f t="shared" si="78"/>
        <v>0.19811810350536085</v>
      </c>
    </row>
    <row r="82" spans="1:21">
      <c r="A82" s="46">
        <f t="shared" si="77"/>
        <v>2025</v>
      </c>
      <c r="D82" s="164">
        <f t="shared" si="78"/>
        <v>0.19822820873556179</v>
      </c>
    </row>
    <row r="83" spans="1:21">
      <c r="A83" s="46">
        <f t="shared" si="77"/>
        <v>2026</v>
      </c>
      <c r="D83" s="164">
        <f t="shared" si="78"/>
        <v>0.1939980831935868</v>
      </c>
    </row>
    <row r="84" spans="1:21">
      <c r="A84" s="46">
        <f t="shared" si="77"/>
        <v>2027</v>
      </c>
      <c r="D84" s="141">
        <f t="shared" si="78"/>
        <v>0.19427860470135416</v>
      </c>
    </row>
    <row r="85" spans="1:21">
      <c r="A85" s="46">
        <f t="shared" si="77"/>
        <v>2028</v>
      </c>
      <c r="D85" s="141">
        <f t="shared" si="78"/>
        <v>0.19366409562923637</v>
      </c>
    </row>
    <row r="88" spans="1:21">
      <c r="A88" s="700" t="s">
        <v>1051</v>
      </c>
      <c r="B88" s="701"/>
      <c r="C88" s="701"/>
      <c r="D88" s="701"/>
      <c r="E88" s="701"/>
      <c r="F88" s="701"/>
      <c r="G88" s="701"/>
      <c r="H88" s="701"/>
      <c r="I88" s="701"/>
      <c r="J88" s="701"/>
      <c r="K88" s="701"/>
      <c r="L88" s="701"/>
      <c r="M88" s="701"/>
      <c r="N88" s="701"/>
      <c r="O88" s="701"/>
      <c r="P88" s="701"/>
      <c r="Q88" s="701"/>
      <c r="R88" s="701"/>
      <c r="S88" s="701"/>
      <c r="T88" s="701"/>
      <c r="U88" s="701"/>
    </row>
    <row r="89" spans="1:21">
      <c r="A89" s="702" t="s">
        <v>1043</v>
      </c>
      <c r="B89" s="702"/>
      <c r="C89" s="702"/>
      <c r="D89" s="702"/>
      <c r="E89" s="702"/>
      <c r="F89" s="702"/>
      <c r="G89" s="702"/>
      <c r="H89" s="702"/>
      <c r="I89" s="702"/>
      <c r="J89" s="702"/>
      <c r="K89" s="702"/>
      <c r="L89" s="702"/>
      <c r="M89" s="702"/>
      <c r="N89" s="702"/>
      <c r="O89" s="702"/>
      <c r="P89" s="702"/>
      <c r="Q89" s="702"/>
      <c r="R89" s="702"/>
      <c r="S89" s="702"/>
      <c r="T89" s="702"/>
      <c r="U89" s="702"/>
    </row>
    <row r="90" spans="1:21">
      <c r="A90" s="703" t="s">
        <v>1044</v>
      </c>
      <c r="B90" s="703"/>
      <c r="C90" s="703"/>
      <c r="D90" s="703"/>
      <c r="E90" s="703"/>
      <c r="F90" s="704"/>
      <c r="G90" s="704"/>
      <c r="H90" s="704"/>
      <c r="I90" s="704"/>
      <c r="J90" s="704"/>
      <c r="K90" s="704"/>
      <c r="L90" s="704"/>
      <c r="M90" s="704"/>
      <c r="N90" s="704"/>
      <c r="O90" s="704"/>
      <c r="P90" s="701"/>
      <c r="Q90" s="701"/>
      <c r="R90" s="701"/>
      <c r="S90" s="701"/>
      <c r="T90" s="701"/>
      <c r="U90" s="701"/>
    </row>
    <row r="91" spans="1:21">
      <c r="A91" s="766" t="s">
        <v>1045</v>
      </c>
      <c r="B91" s="766"/>
      <c r="C91" s="766"/>
      <c r="D91" s="766"/>
      <c r="E91" s="766"/>
      <c r="F91" s="766"/>
      <c r="G91" s="766"/>
      <c r="H91" s="766"/>
      <c r="I91" s="766"/>
      <c r="J91" s="766"/>
      <c r="K91" s="766"/>
      <c r="L91" s="766"/>
      <c r="M91" s="766"/>
      <c r="N91" s="766"/>
      <c r="O91" s="766"/>
      <c r="P91" s="766"/>
      <c r="Q91" s="766"/>
      <c r="R91" s="766"/>
      <c r="S91" s="766"/>
      <c r="T91" s="766"/>
      <c r="U91" s="766"/>
    </row>
    <row r="92" spans="1:21">
      <c r="A92" s="766"/>
      <c r="B92" s="766"/>
      <c r="C92" s="766"/>
      <c r="D92" s="766"/>
      <c r="E92" s="766"/>
      <c r="F92" s="766"/>
      <c r="G92" s="766"/>
      <c r="H92" s="766"/>
      <c r="I92" s="766"/>
      <c r="J92" s="766"/>
      <c r="K92" s="766"/>
      <c r="L92" s="766"/>
      <c r="M92" s="766"/>
      <c r="N92" s="766"/>
      <c r="O92" s="766"/>
      <c r="P92" s="766"/>
      <c r="Q92" s="766"/>
      <c r="R92" s="766"/>
      <c r="S92" s="766"/>
      <c r="T92" s="766"/>
      <c r="U92" s="766"/>
    </row>
    <row r="93" spans="1:21">
      <c r="A93" s="767" t="s">
        <v>1046</v>
      </c>
      <c r="B93" s="767"/>
      <c r="C93" s="767"/>
      <c r="D93" s="767"/>
      <c r="E93" s="767"/>
      <c r="F93" s="767"/>
      <c r="G93" s="767"/>
      <c r="H93" s="767"/>
      <c r="I93" s="767"/>
      <c r="J93" s="705"/>
      <c r="K93" s="705"/>
      <c r="L93" s="705"/>
      <c r="M93" s="705"/>
      <c r="N93" s="705"/>
      <c r="O93" s="705"/>
      <c r="P93" s="705"/>
      <c r="Q93" s="705"/>
      <c r="R93" s="705"/>
      <c r="S93" s="705"/>
      <c r="T93" s="705"/>
      <c r="U93" s="705"/>
    </row>
    <row r="94" spans="1:21">
      <c r="A94" s="768" t="s">
        <v>1047</v>
      </c>
      <c r="B94" s="768"/>
      <c r="C94" s="768"/>
      <c r="D94" s="768"/>
      <c r="E94" s="768"/>
      <c r="F94" s="768"/>
      <c r="G94" s="768"/>
      <c r="H94" s="768"/>
      <c r="I94" s="768"/>
      <c r="J94" s="768"/>
      <c r="K94" s="768"/>
      <c r="L94" s="768"/>
      <c r="M94" s="768"/>
      <c r="N94" s="768"/>
      <c r="O94" s="768"/>
      <c r="P94" s="768"/>
      <c r="Q94" s="768"/>
      <c r="R94" s="768"/>
      <c r="S94" s="768"/>
      <c r="T94" s="768"/>
      <c r="U94" s="768"/>
    </row>
    <row r="95" spans="1:21">
      <c r="A95" s="769"/>
      <c r="B95" s="769"/>
      <c r="C95" s="769"/>
      <c r="D95" s="769"/>
      <c r="E95" s="769"/>
      <c r="F95" s="769"/>
      <c r="G95" s="769"/>
      <c r="H95" s="769"/>
      <c r="I95" s="769"/>
      <c r="J95" s="769"/>
      <c r="K95" s="769"/>
      <c r="L95" s="769"/>
      <c r="M95" s="769"/>
      <c r="N95" s="769"/>
      <c r="O95" s="769"/>
      <c r="P95" s="769"/>
      <c r="Q95" s="769"/>
      <c r="R95" s="769"/>
      <c r="S95" s="769"/>
      <c r="T95" s="769"/>
      <c r="U95" s="769"/>
    </row>
    <row r="96" spans="1:21">
      <c r="A96" s="766" t="s">
        <v>1048</v>
      </c>
      <c r="B96" s="766"/>
      <c r="C96" s="766"/>
      <c r="D96" s="766"/>
      <c r="E96" s="766"/>
      <c r="F96" s="766"/>
      <c r="G96" s="766"/>
      <c r="H96" s="766"/>
      <c r="I96" s="766"/>
      <c r="J96" s="766"/>
      <c r="K96" s="766"/>
      <c r="L96" s="766"/>
      <c r="M96" s="766"/>
      <c r="N96" s="766"/>
      <c r="O96" s="766"/>
      <c r="P96" s="766"/>
      <c r="Q96" s="766"/>
      <c r="R96" s="766"/>
      <c r="S96" s="766"/>
      <c r="T96" s="766"/>
      <c r="U96" s="766"/>
    </row>
    <row r="97" spans="1:21">
      <c r="A97" s="766"/>
      <c r="B97" s="766"/>
      <c r="C97" s="766"/>
      <c r="D97" s="766"/>
      <c r="E97" s="766"/>
      <c r="F97" s="766"/>
      <c r="G97" s="766"/>
      <c r="H97" s="766"/>
      <c r="I97" s="766"/>
      <c r="J97" s="766"/>
      <c r="K97" s="766"/>
      <c r="L97" s="766"/>
      <c r="M97" s="766"/>
      <c r="N97" s="766"/>
      <c r="O97" s="766"/>
      <c r="P97" s="766"/>
      <c r="Q97" s="766"/>
      <c r="R97" s="766"/>
      <c r="S97" s="766"/>
      <c r="T97" s="766"/>
      <c r="U97" s="766"/>
    </row>
    <row r="98" spans="1:21">
      <c r="A98" s="766" t="s">
        <v>1049</v>
      </c>
      <c r="B98" s="766"/>
      <c r="C98" s="766"/>
      <c r="D98" s="766"/>
      <c r="E98" s="766"/>
      <c r="F98" s="766"/>
      <c r="G98" s="766"/>
      <c r="H98" s="766"/>
      <c r="I98" s="766"/>
      <c r="J98" s="766"/>
      <c r="K98" s="766"/>
      <c r="L98" s="766"/>
      <c r="M98" s="766"/>
      <c r="N98" s="766"/>
      <c r="O98" s="766"/>
      <c r="P98" s="766"/>
      <c r="Q98" s="766"/>
      <c r="R98" s="766"/>
      <c r="S98" s="766"/>
      <c r="T98" s="766"/>
      <c r="U98" s="766"/>
    </row>
    <row r="99" spans="1:21">
      <c r="A99" s="766"/>
      <c r="B99" s="766"/>
      <c r="C99" s="766"/>
      <c r="D99" s="766"/>
      <c r="E99" s="766"/>
      <c r="F99" s="766"/>
      <c r="G99" s="766"/>
      <c r="H99" s="766"/>
      <c r="I99" s="766"/>
      <c r="J99" s="766"/>
      <c r="K99" s="766"/>
      <c r="L99" s="766"/>
      <c r="M99" s="766"/>
      <c r="N99" s="766"/>
      <c r="O99" s="766"/>
      <c r="P99" s="766"/>
      <c r="Q99" s="766"/>
      <c r="R99" s="766"/>
      <c r="S99" s="766"/>
      <c r="T99" s="766"/>
      <c r="U99" s="766"/>
    </row>
  </sheetData>
  <mergeCells count="16">
    <mergeCell ref="A91:U92"/>
    <mergeCell ref="A93:I93"/>
    <mergeCell ref="A94:U95"/>
    <mergeCell ref="A96:U97"/>
    <mergeCell ref="A98:U99"/>
    <mergeCell ref="B34:B35"/>
    <mergeCell ref="D34:D35"/>
    <mergeCell ref="AH7:AO7"/>
    <mergeCell ref="AQ7:AX7"/>
    <mergeCell ref="AZ7:BG7"/>
    <mergeCell ref="B7:B8"/>
    <mergeCell ref="D7:D8"/>
    <mergeCell ref="E7:E8"/>
    <mergeCell ref="G7:N7"/>
    <mergeCell ref="P7:W7"/>
    <mergeCell ref="Y7:AF7"/>
  </mergeCells>
  <hyperlinks>
    <hyperlink ref="K1" location="Index!A1" display="index" xr:uid="{3109D762-FBC2-4A67-9E2E-5ED64196A411}"/>
    <hyperlink ref="A29" r:id="rId1" xr:uid="{33DBC90E-1B07-447A-AABE-8413FD567F37}"/>
    <hyperlink ref="A93:I93" r:id="rId2" display="http://www.taxpolicycenter.org/TaxModel/income.cfm" xr:uid="{1567C289-55EC-4D11-9C0B-DE072398A1A9}"/>
    <hyperlink ref="A90" r:id="rId3" xr:uid="{D873E476-931A-4ACE-A94A-F4F98C78D6EC}"/>
  </hyperlinks>
  <pageMargins left="0.7" right="0.7" top="0.75" bottom="0.75" header="0.3" footer="0.3"/>
  <pageSetup orientation="portrait" horizontalDpi="1200" verticalDpi="1200" r:id="rId4"/>
  <drawing r:id="rId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FB819-A96C-4F8C-9733-12EB3DCD0441}">
  <sheetPr>
    <tabColor theme="4" tint="0.79998168889431442"/>
  </sheetPr>
  <dimension ref="A1"/>
  <sheetViews>
    <sheetView workbookViewId="0">
      <selection activeCell="F37" sqref="F37"/>
    </sheetView>
  </sheetViews>
  <sheetFormatPr defaultRowHeight="15"/>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96C4DF-762A-429F-B667-988C6DC066EF}">
  <sheetPr codeName="Sheet17">
    <tabColor theme="4" tint="0.79998168889431442"/>
  </sheetPr>
  <dimension ref="A1:P419"/>
  <sheetViews>
    <sheetView topLeftCell="A211" zoomScale="85" zoomScaleNormal="85" workbookViewId="0">
      <selection activeCell="C238" sqref="C238:C240"/>
    </sheetView>
  </sheetViews>
  <sheetFormatPr defaultRowHeight="14.25" customHeight="1"/>
  <cols>
    <col min="1" max="1" width="8.28515625" style="116" customWidth="1"/>
    <col min="2" max="2" width="9.5703125" style="118" customWidth="1"/>
    <col min="3" max="3" width="11.140625" style="118" customWidth="1"/>
    <col min="4" max="4" width="9.85546875" style="118" customWidth="1"/>
    <col min="5" max="5" width="11.140625" style="118" customWidth="1"/>
    <col min="6" max="6" width="9.42578125" style="118" customWidth="1"/>
    <col min="7" max="7" width="6.140625" style="118" customWidth="1"/>
    <col min="8" max="8" width="8.42578125" style="118" customWidth="1"/>
    <col min="9" max="16384" width="9.140625" style="40"/>
  </cols>
  <sheetData>
    <row r="1" spans="1:13" ht="15">
      <c r="A1" s="770" t="s">
        <v>0</v>
      </c>
      <c r="B1" s="771"/>
      <c r="C1" s="771"/>
      <c r="D1" s="771"/>
      <c r="E1" s="771"/>
      <c r="F1" s="771"/>
      <c r="G1" s="771"/>
      <c r="H1" s="771"/>
      <c r="I1" s="771"/>
      <c r="J1" s="771"/>
      <c r="K1" s="771"/>
      <c r="M1" s="641" t="s">
        <v>762</v>
      </c>
    </row>
    <row r="2" spans="1:13" ht="15">
      <c r="A2" s="772" t="s">
        <v>1</v>
      </c>
      <c r="B2" s="773"/>
      <c r="C2" s="773"/>
      <c r="D2" s="773"/>
    </row>
    <row r="3" spans="1:13" ht="15"/>
    <row r="4" spans="1:13" ht="15">
      <c r="A4" s="1" t="s">
        <v>20</v>
      </c>
    </row>
    <row r="5" spans="1:13" ht="15">
      <c r="A5" s="1" t="s">
        <v>21</v>
      </c>
    </row>
    <row r="6" spans="1:13" ht="15">
      <c r="A6" s="117" t="s">
        <v>22</v>
      </c>
    </row>
    <row r="7" spans="1:13" ht="14.25" customHeight="1">
      <c r="G7" s="288"/>
      <c r="H7" s="288"/>
    </row>
    <row r="8" spans="1:13" ht="42.75">
      <c r="A8" s="128" t="s">
        <v>3</v>
      </c>
      <c r="B8" s="128" t="s">
        <v>15</v>
      </c>
      <c r="C8" s="128" t="s">
        <v>16</v>
      </c>
      <c r="D8" s="128" t="s">
        <v>17</v>
      </c>
      <c r="E8" s="128" t="s">
        <v>18</v>
      </c>
      <c r="F8" s="128" t="s">
        <v>19</v>
      </c>
      <c r="G8" s="289"/>
      <c r="H8" s="289"/>
      <c r="I8" s="431" t="s">
        <v>431</v>
      </c>
      <c r="J8" s="40">
        <v>-15</v>
      </c>
    </row>
    <row r="9" spans="1:13" ht="15">
      <c r="B9" s="774" t="s">
        <v>4</v>
      </c>
      <c r="C9" s="774"/>
      <c r="D9" s="774"/>
      <c r="E9" s="774"/>
      <c r="F9" s="774"/>
      <c r="G9" s="290"/>
      <c r="H9" s="290"/>
    </row>
    <row r="10" spans="1:13" ht="15">
      <c r="A10" s="116">
        <v>1979</v>
      </c>
      <c r="B10" s="118">
        <v>22.4</v>
      </c>
      <c r="C10" s="118">
        <v>11.1</v>
      </c>
      <c r="D10" s="118">
        <v>6.9</v>
      </c>
      <c r="E10" s="118">
        <v>3.4</v>
      </c>
      <c r="F10" s="118">
        <v>1</v>
      </c>
      <c r="G10" s="145"/>
      <c r="H10" s="145"/>
      <c r="I10" s="406">
        <v>0</v>
      </c>
      <c r="J10" s="406">
        <v>-15</v>
      </c>
    </row>
    <row r="11" spans="1:13" ht="15">
      <c r="A11" s="116">
        <v>1980</v>
      </c>
      <c r="B11" s="118">
        <v>22.4</v>
      </c>
      <c r="C11" s="118">
        <v>11.8</v>
      </c>
      <c r="D11" s="118">
        <v>7</v>
      </c>
      <c r="E11" s="118">
        <v>2.8</v>
      </c>
      <c r="F11" s="118">
        <v>0.8</v>
      </c>
      <c r="G11" s="145"/>
      <c r="H11" s="145"/>
      <c r="I11" s="406">
        <v>0</v>
      </c>
      <c r="J11" s="406">
        <v>-15</v>
      </c>
    </row>
    <row r="12" spans="1:13" ht="15">
      <c r="A12" s="116">
        <v>1981</v>
      </c>
      <c r="B12" s="118">
        <v>22.6</v>
      </c>
      <c r="C12" s="118">
        <v>12.1</v>
      </c>
      <c r="D12" s="118">
        <v>7.5</v>
      </c>
      <c r="E12" s="118">
        <v>2.2000000000000002</v>
      </c>
      <c r="F12" s="118">
        <v>0.8</v>
      </c>
      <c r="G12" s="145"/>
      <c r="H12" s="145"/>
      <c r="I12" s="406">
        <v>0</v>
      </c>
      <c r="J12" s="406">
        <v>-15</v>
      </c>
    </row>
    <row r="13" spans="1:13" ht="15">
      <c r="A13" s="116">
        <v>1982</v>
      </c>
      <c r="B13" s="118">
        <v>20.8</v>
      </c>
      <c r="C13" s="118">
        <v>11.1</v>
      </c>
      <c r="D13" s="118">
        <v>7.6</v>
      </c>
      <c r="E13" s="118">
        <v>1.4</v>
      </c>
      <c r="F13" s="118">
        <v>0.8</v>
      </c>
      <c r="G13" s="145"/>
      <c r="H13" s="145"/>
      <c r="I13" s="406">
        <v>0</v>
      </c>
      <c r="J13" s="406">
        <v>-15</v>
      </c>
    </row>
    <row r="14" spans="1:13" ht="15">
      <c r="A14" s="116">
        <v>1983</v>
      </c>
      <c r="B14" s="118">
        <v>20.5</v>
      </c>
      <c r="C14" s="118">
        <v>10.3</v>
      </c>
      <c r="D14" s="118">
        <v>7.5</v>
      </c>
      <c r="E14" s="118">
        <v>1.8</v>
      </c>
      <c r="F14" s="118">
        <v>0.9</v>
      </c>
      <c r="G14" s="145"/>
      <c r="H14" s="145"/>
      <c r="I14" s="406">
        <v>0</v>
      </c>
      <c r="J14" s="406">
        <v>-15</v>
      </c>
    </row>
    <row r="15" spans="1:13" ht="15">
      <c r="A15" s="116">
        <v>1984</v>
      </c>
      <c r="B15" s="118">
        <v>20.8</v>
      </c>
      <c r="C15" s="118">
        <v>10.1</v>
      </c>
      <c r="D15" s="118">
        <v>7.7</v>
      </c>
      <c r="E15" s="118">
        <v>2</v>
      </c>
      <c r="F15" s="118">
        <v>1</v>
      </c>
      <c r="G15" s="145"/>
      <c r="H15" s="145"/>
      <c r="I15" s="406">
        <v>0</v>
      </c>
      <c r="J15" s="406">
        <v>-15</v>
      </c>
    </row>
    <row r="16" spans="1:13" ht="15">
      <c r="A16" s="116">
        <v>1985</v>
      </c>
      <c r="B16" s="118">
        <v>20.9</v>
      </c>
      <c r="C16" s="118">
        <v>10.199999999999999</v>
      </c>
      <c r="D16" s="118">
        <v>7.9</v>
      </c>
      <c r="E16" s="118">
        <v>1.9</v>
      </c>
      <c r="F16" s="118">
        <v>0.9</v>
      </c>
      <c r="G16" s="145"/>
      <c r="H16" s="145"/>
      <c r="I16" s="406">
        <v>0</v>
      </c>
      <c r="J16" s="406">
        <v>-15</v>
      </c>
    </row>
    <row r="17" spans="1:10" ht="15">
      <c r="A17" s="116">
        <v>1986</v>
      </c>
      <c r="B17" s="118">
        <v>21</v>
      </c>
      <c r="C17" s="118">
        <v>10.4</v>
      </c>
      <c r="D17" s="118">
        <v>7.8</v>
      </c>
      <c r="E17" s="118">
        <v>1.9</v>
      </c>
      <c r="F17" s="118">
        <v>0.9</v>
      </c>
      <c r="G17" s="145"/>
      <c r="H17" s="145"/>
      <c r="I17" s="406">
        <v>0</v>
      </c>
      <c r="J17" s="406">
        <v>-15</v>
      </c>
    </row>
    <row r="18" spans="1:10" ht="15">
      <c r="A18" s="116">
        <v>1987</v>
      </c>
      <c r="B18" s="118">
        <v>21.8</v>
      </c>
      <c r="C18" s="118">
        <v>10.3</v>
      </c>
      <c r="D18" s="118">
        <v>8.1</v>
      </c>
      <c r="E18" s="118">
        <v>2.4</v>
      </c>
      <c r="F18" s="118">
        <v>0.9</v>
      </c>
      <c r="G18" s="145"/>
      <c r="H18" s="145"/>
      <c r="I18" s="406">
        <v>0</v>
      </c>
      <c r="J18" s="406">
        <v>-15</v>
      </c>
    </row>
    <row r="19" spans="1:10" ht="15">
      <c r="A19" s="116">
        <v>1988</v>
      </c>
      <c r="B19" s="118">
        <v>21.9</v>
      </c>
      <c r="C19" s="118">
        <v>10.5</v>
      </c>
      <c r="D19" s="118">
        <v>8.1999999999999993</v>
      </c>
      <c r="E19" s="118">
        <v>2.4</v>
      </c>
      <c r="F19" s="118">
        <v>0.9</v>
      </c>
      <c r="G19" s="145"/>
      <c r="H19" s="145"/>
      <c r="I19" s="406">
        <v>0</v>
      </c>
      <c r="J19" s="406">
        <v>-15</v>
      </c>
    </row>
    <row r="20" spans="1:10" ht="15">
      <c r="A20" s="116">
        <v>1989</v>
      </c>
      <c r="B20" s="118">
        <v>21.6</v>
      </c>
      <c r="C20" s="118">
        <v>10.3</v>
      </c>
      <c r="D20" s="118">
        <v>8.1999999999999993</v>
      </c>
      <c r="E20" s="118">
        <v>2.2999999999999998</v>
      </c>
      <c r="F20" s="118">
        <v>0.8</v>
      </c>
      <c r="G20" s="145"/>
      <c r="H20" s="145"/>
      <c r="I20" s="406">
        <v>0</v>
      </c>
      <c r="J20" s="406">
        <v>-15</v>
      </c>
    </row>
    <row r="21" spans="1:10" ht="15">
      <c r="A21" s="116">
        <v>1990</v>
      </c>
      <c r="B21" s="118">
        <v>21.7</v>
      </c>
      <c r="C21" s="118">
        <v>10.199999999999999</v>
      </c>
      <c r="D21" s="118">
        <v>8.4</v>
      </c>
      <c r="E21" s="118">
        <v>2.2000000000000002</v>
      </c>
      <c r="F21" s="118">
        <v>0.9</v>
      </c>
      <c r="G21" s="145"/>
      <c r="H21" s="145"/>
      <c r="I21" s="406">
        <v>0</v>
      </c>
      <c r="J21" s="406">
        <v>-15</v>
      </c>
    </row>
    <row r="22" spans="1:10" ht="15">
      <c r="A22" s="116">
        <v>1991</v>
      </c>
      <c r="B22" s="118">
        <v>21.6</v>
      </c>
      <c r="C22" s="118">
        <v>9.9</v>
      </c>
      <c r="D22" s="118">
        <v>8.6999999999999993</v>
      </c>
      <c r="E22" s="118">
        <v>2</v>
      </c>
      <c r="F22" s="118">
        <v>1</v>
      </c>
      <c r="G22" s="145"/>
      <c r="H22" s="145"/>
      <c r="I22" s="406">
        <v>0</v>
      </c>
      <c r="J22" s="406">
        <v>-15</v>
      </c>
    </row>
    <row r="23" spans="1:10" ht="15">
      <c r="A23" s="116">
        <v>1992</v>
      </c>
      <c r="B23" s="118">
        <v>21.6</v>
      </c>
      <c r="C23" s="118">
        <v>10</v>
      </c>
      <c r="D23" s="118">
        <v>8.5</v>
      </c>
      <c r="E23" s="118">
        <v>2.2000000000000002</v>
      </c>
      <c r="F23" s="118">
        <v>1</v>
      </c>
      <c r="G23" s="145"/>
      <c r="H23" s="145"/>
      <c r="I23" s="406">
        <v>0</v>
      </c>
      <c r="J23" s="406">
        <v>-15</v>
      </c>
    </row>
    <row r="24" spans="1:10" ht="15">
      <c r="A24" s="116">
        <v>1993</v>
      </c>
      <c r="B24" s="118">
        <v>22.1</v>
      </c>
      <c r="C24" s="118">
        <v>10.1</v>
      </c>
      <c r="D24" s="118">
        <v>8.5</v>
      </c>
      <c r="E24" s="118">
        <v>2.5</v>
      </c>
      <c r="F24" s="118">
        <v>1</v>
      </c>
      <c r="G24" s="145"/>
      <c r="H24" s="145"/>
      <c r="I24" s="406">
        <v>0</v>
      </c>
      <c r="J24" s="406">
        <v>-15</v>
      </c>
    </row>
    <row r="25" spans="1:10" ht="15">
      <c r="A25" s="116">
        <v>1994</v>
      </c>
      <c r="B25" s="118">
        <v>22.5</v>
      </c>
      <c r="C25" s="118">
        <v>10.1</v>
      </c>
      <c r="D25" s="118">
        <v>8.6</v>
      </c>
      <c r="E25" s="118">
        <v>2.7</v>
      </c>
      <c r="F25" s="118">
        <v>1.1000000000000001</v>
      </c>
      <c r="G25" s="145"/>
      <c r="H25" s="145"/>
      <c r="I25" s="406">
        <v>0</v>
      </c>
      <c r="J25" s="406">
        <v>-15</v>
      </c>
    </row>
    <row r="26" spans="1:10" ht="15">
      <c r="A26" s="116">
        <v>1995</v>
      </c>
      <c r="B26" s="118">
        <v>22.7</v>
      </c>
      <c r="C26" s="118">
        <v>10.3</v>
      </c>
      <c r="D26" s="118">
        <v>8.5</v>
      </c>
      <c r="E26" s="118">
        <v>2.8</v>
      </c>
      <c r="F26" s="118">
        <v>1</v>
      </c>
      <c r="G26" s="145"/>
      <c r="H26" s="145"/>
      <c r="I26" s="406">
        <v>0</v>
      </c>
      <c r="J26" s="406">
        <v>-15</v>
      </c>
    </row>
    <row r="27" spans="1:10" ht="15">
      <c r="A27" s="116">
        <v>1996</v>
      </c>
      <c r="B27" s="118">
        <v>22.9</v>
      </c>
      <c r="C27" s="118">
        <v>10.7</v>
      </c>
      <c r="D27" s="118">
        <v>8.3000000000000007</v>
      </c>
      <c r="E27" s="118">
        <v>2.9</v>
      </c>
      <c r="F27" s="118">
        <v>0.9</v>
      </c>
      <c r="G27" s="145"/>
      <c r="H27" s="145"/>
      <c r="I27" s="406">
        <v>0</v>
      </c>
      <c r="J27" s="406">
        <v>-15</v>
      </c>
    </row>
    <row r="28" spans="1:10" ht="15">
      <c r="A28" s="116">
        <v>1997</v>
      </c>
      <c r="B28" s="118">
        <v>23</v>
      </c>
      <c r="C28" s="118">
        <v>11.1</v>
      </c>
      <c r="D28" s="118">
        <v>8.1999999999999993</v>
      </c>
      <c r="E28" s="118">
        <v>2.9</v>
      </c>
      <c r="F28" s="118">
        <v>0.9</v>
      </c>
      <c r="G28" s="145"/>
      <c r="H28" s="145"/>
      <c r="I28" s="406">
        <v>0</v>
      </c>
      <c r="J28" s="406">
        <v>-15</v>
      </c>
    </row>
    <row r="29" spans="1:10" ht="15">
      <c r="A29" s="116">
        <v>1998</v>
      </c>
      <c r="B29" s="118">
        <v>22.7</v>
      </c>
      <c r="C29" s="118">
        <v>11</v>
      </c>
      <c r="D29" s="118">
        <v>8.1999999999999993</v>
      </c>
      <c r="E29" s="118">
        <v>2.6</v>
      </c>
      <c r="F29" s="118">
        <v>0.9</v>
      </c>
      <c r="G29" s="145"/>
      <c r="H29" s="145"/>
      <c r="I29" s="406">
        <v>0</v>
      </c>
      <c r="J29" s="406">
        <v>-15</v>
      </c>
    </row>
    <row r="30" spans="1:10" ht="15">
      <c r="A30" s="116">
        <v>1999</v>
      </c>
      <c r="B30" s="118">
        <v>23.1</v>
      </c>
      <c r="C30" s="118">
        <v>11.5</v>
      </c>
      <c r="D30" s="118">
        <v>8.1</v>
      </c>
      <c r="E30" s="118">
        <v>2.5</v>
      </c>
      <c r="F30" s="118">
        <v>1</v>
      </c>
      <c r="G30" s="145"/>
      <c r="H30" s="145"/>
      <c r="I30" s="406">
        <v>0</v>
      </c>
      <c r="J30" s="406">
        <v>-15</v>
      </c>
    </row>
    <row r="31" spans="1:10" ht="15">
      <c r="A31" s="116">
        <v>2000</v>
      </c>
      <c r="B31" s="118">
        <v>23.1</v>
      </c>
      <c r="C31" s="118">
        <v>11.8</v>
      </c>
      <c r="D31" s="118">
        <v>8</v>
      </c>
      <c r="E31" s="118">
        <v>2.4</v>
      </c>
      <c r="F31" s="118">
        <v>0.9</v>
      </c>
      <c r="G31" s="145"/>
      <c r="H31" s="145"/>
      <c r="I31" s="406">
        <v>0</v>
      </c>
      <c r="J31" s="406">
        <v>-15</v>
      </c>
    </row>
    <row r="32" spans="1:10" ht="15">
      <c r="A32" s="116">
        <v>2001</v>
      </c>
      <c r="B32" s="118">
        <v>21.6</v>
      </c>
      <c r="C32" s="118">
        <v>10.5</v>
      </c>
      <c r="D32" s="118">
        <v>8.5</v>
      </c>
      <c r="E32" s="118">
        <v>1.8</v>
      </c>
      <c r="F32" s="118">
        <v>0.9</v>
      </c>
      <c r="G32" s="145"/>
      <c r="H32" s="145"/>
      <c r="I32" s="406">
        <v>0</v>
      </c>
      <c r="J32" s="406">
        <v>-15</v>
      </c>
    </row>
    <row r="33" spans="1:10" ht="15">
      <c r="A33" s="116">
        <v>2002</v>
      </c>
      <c r="B33" s="118">
        <v>20.8</v>
      </c>
      <c r="C33" s="118">
        <v>9.6999999999999993</v>
      </c>
      <c r="D33" s="118">
        <v>8.5</v>
      </c>
      <c r="E33" s="118">
        <v>1.6</v>
      </c>
      <c r="F33" s="118">
        <v>0.9</v>
      </c>
      <c r="G33" s="145"/>
      <c r="H33" s="145"/>
      <c r="I33" s="406">
        <v>0</v>
      </c>
      <c r="J33" s="406">
        <v>-15</v>
      </c>
    </row>
    <row r="34" spans="1:10" ht="15">
      <c r="A34" s="116">
        <v>2003</v>
      </c>
      <c r="B34" s="118">
        <v>19.899999999999999</v>
      </c>
      <c r="C34" s="118">
        <v>8.5</v>
      </c>
      <c r="D34" s="118">
        <v>8.4</v>
      </c>
      <c r="E34" s="118">
        <v>2.2000000000000002</v>
      </c>
      <c r="F34" s="118">
        <v>0.8</v>
      </c>
      <c r="G34" s="145"/>
      <c r="H34" s="145"/>
      <c r="I34" s="406">
        <v>0</v>
      </c>
      <c r="J34" s="406">
        <v>-15</v>
      </c>
    </row>
    <row r="35" spans="1:10" ht="15">
      <c r="A35" s="116">
        <v>2004</v>
      </c>
      <c r="B35" s="118">
        <v>20.3</v>
      </c>
      <c r="C35" s="118">
        <v>8.8000000000000007</v>
      </c>
      <c r="D35" s="118">
        <v>8.1</v>
      </c>
      <c r="E35" s="118">
        <v>2.6</v>
      </c>
      <c r="F35" s="118">
        <v>0.8</v>
      </c>
      <c r="G35" s="145"/>
      <c r="H35" s="145"/>
      <c r="I35" s="406">
        <v>0</v>
      </c>
      <c r="J35" s="406">
        <v>-15</v>
      </c>
    </row>
    <row r="36" spans="1:10" ht="15">
      <c r="A36" s="116">
        <v>2005</v>
      </c>
      <c r="B36" s="118">
        <v>20.8</v>
      </c>
      <c r="C36" s="118">
        <v>9.1</v>
      </c>
      <c r="D36" s="118">
        <v>7.7</v>
      </c>
      <c r="E36" s="118">
        <v>3.3</v>
      </c>
      <c r="F36" s="118">
        <v>0.8</v>
      </c>
      <c r="G36" s="145"/>
      <c r="H36" s="145"/>
      <c r="I36" s="406">
        <v>0</v>
      </c>
      <c r="J36" s="406">
        <v>-15</v>
      </c>
    </row>
    <row r="37" spans="1:10" ht="15">
      <c r="A37" s="116">
        <v>2006</v>
      </c>
      <c r="B37" s="118">
        <v>20.9</v>
      </c>
      <c r="C37" s="118">
        <v>9.1999999999999993</v>
      </c>
      <c r="D37" s="118">
        <v>7.5</v>
      </c>
      <c r="E37" s="118">
        <v>3.5</v>
      </c>
      <c r="F37" s="118">
        <v>0.7</v>
      </c>
      <c r="G37" s="145"/>
      <c r="H37" s="145"/>
      <c r="I37" s="406">
        <v>0</v>
      </c>
      <c r="J37" s="406">
        <v>-15</v>
      </c>
    </row>
    <row r="38" spans="1:10" ht="15">
      <c r="A38" s="116">
        <v>2007</v>
      </c>
      <c r="B38" s="118">
        <v>20.5</v>
      </c>
      <c r="C38" s="118">
        <v>9.4</v>
      </c>
      <c r="D38" s="118">
        <v>7.5</v>
      </c>
      <c r="E38" s="118">
        <v>3</v>
      </c>
      <c r="F38" s="118">
        <v>0.6</v>
      </c>
      <c r="G38" s="145"/>
      <c r="H38" s="145"/>
      <c r="I38" s="406">
        <v>0</v>
      </c>
      <c r="J38" s="406">
        <v>-15</v>
      </c>
    </row>
    <row r="39" spans="1:10" ht="15">
      <c r="A39" s="116">
        <v>2008</v>
      </c>
      <c r="B39" s="118">
        <v>18.5</v>
      </c>
      <c r="C39" s="118">
        <v>8</v>
      </c>
      <c r="D39" s="118">
        <v>8</v>
      </c>
      <c r="E39" s="118">
        <v>1.9</v>
      </c>
      <c r="F39" s="118">
        <v>0.6</v>
      </c>
      <c r="G39" s="145"/>
      <c r="H39" s="145"/>
      <c r="I39" s="406">
        <v>0</v>
      </c>
      <c r="J39" s="406">
        <v>-15</v>
      </c>
    </row>
    <row r="40" spans="1:10" ht="15">
      <c r="A40" s="116">
        <v>2009</v>
      </c>
      <c r="B40" s="118">
        <v>17.899999999999999</v>
      </c>
      <c r="C40" s="118">
        <v>7.5</v>
      </c>
      <c r="D40" s="118">
        <v>8.3000000000000007</v>
      </c>
      <c r="E40" s="118">
        <v>1.5</v>
      </c>
      <c r="F40" s="118">
        <v>0.6</v>
      </c>
      <c r="G40" s="145"/>
      <c r="H40" s="145"/>
      <c r="I40" s="406">
        <v>0</v>
      </c>
      <c r="J40" s="406">
        <v>-15</v>
      </c>
    </row>
    <row r="41" spans="1:10" ht="15">
      <c r="A41" s="116">
        <v>2010</v>
      </c>
      <c r="B41" s="118">
        <v>18.600000000000001</v>
      </c>
      <c r="C41" s="118">
        <v>7.9</v>
      </c>
      <c r="D41" s="118">
        <v>7.9</v>
      </c>
      <c r="E41" s="118">
        <v>2.1</v>
      </c>
      <c r="F41" s="118">
        <v>0.6</v>
      </c>
      <c r="G41" s="145"/>
      <c r="H41" s="145"/>
      <c r="I41" s="406">
        <v>0</v>
      </c>
      <c r="J41" s="406">
        <v>-15</v>
      </c>
    </row>
    <row r="42" spans="1:10" ht="15">
      <c r="A42" s="116">
        <v>2011</v>
      </c>
      <c r="B42" s="118">
        <v>18.3</v>
      </c>
      <c r="C42" s="118">
        <v>8.6999999999999993</v>
      </c>
      <c r="D42" s="118">
        <v>6.9</v>
      </c>
      <c r="E42" s="118">
        <v>2</v>
      </c>
      <c r="F42" s="118">
        <v>0.7</v>
      </c>
      <c r="G42" s="145"/>
      <c r="H42" s="145"/>
      <c r="I42" s="406">
        <v>0</v>
      </c>
      <c r="J42" s="406">
        <v>-15</v>
      </c>
    </row>
    <row r="43" spans="1:10" ht="15">
      <c r="A43" s="116">
        <v>2012</v>
      </c>
      <c r="B43" s="118">
        <v>18.899999999999999</v>
      </c>
      <c r="C43" s="118">
        <v>9.1999999999999993</v>
      </c>
      <c r="D43" s="118">
        <v>6.7</v>
      </c>
      <c r="E43" s="118">
        <v>2.2999999999999998</v>
      </c>
      <c r="F43" s="118">
        <v>0.7</v>
      </c>
      <c r="G43" s="145"/>
      <c r="H43" s="145"/>
      <c r="I43" s="406">
        <v>0</v>
      </c>
      <c r="J43" s="406">
        <v>-15</v>
      </c>
    </row>
    <row r="44" spans="1:10" ht="15">
      <c r="A44" s="116">
        <v>2013</v>
      </c>
      <c r="B44" s="118">
        <v>20.7</v>
      </c>
      <c r="C44" s="118">
        <v>9.6</v>
      </c>
      <c r="D44" s="118">
        <v>7.9</v>
      </c>
      <c r="E44" s="118">
        <v>2.5</v>
      </c>
      <c r="F44" s="118">
        <v>0.7</v>
      </c>
      <c r="G44" s="145"/>
      <c r="H44" s="145"/>
      <c r="I44" s="406">
        <v>0</v>
      </c>
      <c r="J44" s="406">
        <v>-15</v>
      </c>
    </row>
    <row r="45" spans="1:10" ht="15">
      <c r="A45" s="116">
        <v>2014</v>
      </c>
      <c r="B45" s="118">
        <v>21.2</v>
      </c>
      <c r="C45" s="118">
        <v>10</v>
      </c>
      <c r="D45" s="118">
        <v>7.7</v>
      </c>
      <c r="E45" s="118">
        <v>2.7</v>
      </c>
      <c r="F45" s="118">
        <v>0.7</v>
      </c>
      <c r="G45" s="145"/>
      <c r="H45" s="145"/>
      <c r="I45" s="406">
        <v>0</v>
      </c>
      <c r="J45" s="406">
        <v>-15</v>
      </c>
    </row>
    <row r="46" spans="1:10" ht="15">
      <c r="A46" s="116">
        <v>2015</v>
      </c>
      <c r="B46" s="118">
        <v>21.1</v>
      </c>
      <c r="C46" s="118">
        <v>10.1</v>
      </c>
      <c r="D46" s="118">
        <v>7.8</v>
      </c>
      <c r="E46" s="118">
        <v>2.5</v>
      </c>
      <c r="F46" s="118">
        <v>0.7</v>
      </c>
      <c r="G46" s="145"/>
      <c r="H46" s="145"/>
      <c r="I46" s="406">
        <v>0</v>
      </c>
      <c r="J46" s="406">
        <v>-15</v>
      </c>
    </row>
    <row r="47" spans="1:10" ht="15">
      <c r="A47" s="116">
        <v>2016</v>
      </c>
      <c r="B47" s="118">
        <v>21</v>
      </c>
      <c r="C47" s="118">
        <v>10</v>
      </c>
      <c r="D47" s="118">
        <v>7.8</v>
      </c>
      <c r="E47" s="118">
        <v>2.5</v>
      </c>
      <c r="F47" s="118">
        <v>0.7</v>
      </c>
      <c r="G47" s="145"/>
      <c r="H47" s="145"/>
      <c r="I47" s="406">
        <v>0</v>
      </c>
      <c r="J47" s="406">
        <v>-15</v>
      </c>
    </row>
    <row r="48" spans="1:10" ht="15">
      <c r="A48" s="116">
        <v>2017</v>
      </c>
      <c r="G48" s="145"/>
    </row>
    <row r="49" spans="1:8" ht="15">
      <c r="A49" s="116">
        <v>2018</v>
      </c>
    </row>
    <row r="50" spans="1:8" ht="15">
      <c r="A50" s="116">
        <v>2019</v>
      </c>
    </row>
    <row r="51" spans="1:8" s="131" customFormat="1" ht="15">
      <c r="A51" s="132"/>
      <c r="B51" s="139"/>
      <c r="C51" s="139"/>
      <c r="D51" s="139"/>
      <c r="E51" s="139"/>
      <c r="F51" s="139"/>
      <c r="G51" s="159"/>
      <c r="H51" s="159"/>
    </row>
    <row r="52" spans="1:8" ht="48" customHeight="1">
      <c r="B52" s="774" t="s">
        <v>5</v>
      </c>
      <c r="C52" s="774"/>
      <c r="D52" s="774"/>
      <c r="E52" s="774"/>
      <c r="F52" s="774"/>
      <c r="G52" s="115"/>
      <c r="H52" s="115"/>
    </row>
    <row r="53" spans="1:8" ht="15">
      <c r="A53" s="116">
        <v>1979</v>
      </c>
      <c r="B53" s="118">
        <v>9.3000000000000007</v>
      </c>
      <c r="C53" s="118">
        <v>-0.2</v>
      </c>
      <c r="D53" s="118">
        <v>6</v>
      </c>
      <c r="E53" s="118">
        <v>1.5</v>
      </c>
      <c r="F53" s="118">
        <v>1.9</v>
      </c>
    </row>
    <row r="54" spans="1:8" ht="15">
      <c r="A54" s="116">
        <v>1980</v>
      </c>
      <c r="B54" s="118">
        <v>8.9</v>
      </c>
      <c r="C54" s="118">
        <v>0</v>
      </c>
      <c r="D54" s="118">
        <v>6</v>
      </c>
      <c r="E54" s="118">
        <v>1.2</v>
      </c>
      <c r="F54" s="118">
        <v>1.6</v>
      </c>
    </row>
    <row r="55" spans="1:8" ht="15">
      <c r="A55" s="116">
        <v>1981</v>
      </c>
      <c r="B55" s="118">
        <v>9.6</v>
      </c>
      <c r="C55" s="118">
        <v>0.4</v>
      </c>
      <c r="D55" s="118">
        <v>6.7</v>
      </c>
      <c r="E55" s="118">
        <v>1</v>
      </c>
      <c r="F55" s="118">
        <v>1.5</v>
      </c>
    </row>
    <row r="56" spans="1:8" ht="15">
      <c r="A56" s="116">
        <v>1982</v>
      </c>
      <c r="B56" s="118">
        <v>9.8000000000000007</v>
      </c>
      <c r="C56" s="118">
        <v>0.4</v>
      </c>
      <c r="D56" s="118">
        <v>7.1</v>
      </c>
      <c r="E56" s="118">
        <v>0.7</v>
      </c>
      <c r="F56" s="118">
        <v>1.7</v>
      </c>
    </row>
    <row r="57" spans="1:8" ht="15">
      <c r="A57" s="116">
        <v>1983</v>
      </c>
      <c r="B57" s="118">
        <v>11.1</v>
      </c>
      <c r="C57" s="118">
        <v>0.4</v>
      </c>
      <c r="D57" s="118">
        <v>7.4</v>
      </c>
      <c r="E57" s="118">
        <v>0.9</v>
      </c>
      <c r="F57" s="118">
        <v>2.4</v>
      </c>
    </row>
    <row r="58" spans="1:8" ht="15">
      <c r="A58" s="116">
        <v>1984</v>
      </c>
      <c r="B58" s="118">
        <v>12.1</v>
      </c>
      <c r="C58" s="118">
        <v>0.8</v>
      </c>
      <c r="D58" s="118">
        <v>7.6</v>
      </c>
      <c r="E58" s="118">
        <v>1</v>
      </c>
      <c r="F58" s="118">
        <v>2.6</v>
      </c>
    </row>
    <row r="59" spans="1:8" ht="15">
      <c r="A59" s="116">
        <v>1985</v>
      </c>
      <c r="B59" s="118">
        <v>11.8</v>
      </c>
      <c r="C59" s="118">
        <v>0.6</v>
      </c>
      <c r="D59" s="118">
        <v>7.8</v>
      </c>
      <c r="E59" s="118">
        <v>0.8</v>
      </c>
      <c r="F59" s="118">
        <v>2.6</v>
      </c>
    </row>
    <row r="60" spans="1:8" ht="15">
      <c r="A60" s="116">
        <v>1986</v>
      </c>
      <c r="B60" s="118">
        <v>11.7</v>
      </c>
      <c r="C60" s="118">
        <v>0.4</v>
      </c>
      <c r="D60" s="118">
        <v>8</v>
      </c>
      <c r="E60" s="118">
        <v>0.9</v>
      </c>
      <c r="F60" s="118">
        <v>2.4</v>
      </c>
    </row>
    <row r="61" spans="1:8" ht="15">
      <c r="A61" s="116">
        <v>1987</v>
      </c>
      <c r="B61" s="118">
        <v>10.7</v>
      </c>
      <c r="C61" s="118">
        <v>-0.7</v>
      </c>
      <c r="D61" s="118">
        <v>7.8</v>
      </c>
      <c r="E61" s="118">
        <v>1.1000000000000001</v>
      </c>
      <c r="F61" s="118">
        <v>2.6</v>
      </c>
    </row>
    <row r="62" spans="1:8" ht="15">
      <c r="A62" s="116">
        <v>1988</v>
      </c>
      <c r="B62" s="118">
        <v>10.199999999999999</v>
      </c>
      <c r="C62" s="118">
        <v>-1.4</v>
      </c>
      <c r="D62" s="118">
        <v>8.1</v>
      </c>
      <c r="E62" s="118">
        <v>1.1000000000000001</v>
      </c>
      <c r="F62" s="118">
        <v>2.4</v>
      </c>
    </row>
    <row r="63" spans="1:8" ht="15">
      <c r="A63" s="116">
        <v>1989</v>
      </c>
      <c r="B63" s="118">
        <v>9.6</v>
      </c>
      <c r="C63" s="118">
        <v>-1.9</v>
      </c>
      <c r="D63" s="118">
        <v>8.3000000000000007</v>
      </c>
      <c r="E63" s="118">
        <v>1</v>
      </c>
      <c r="F63" s="118">
        <v>2.2000000000000002</v>
      </c>
    </row>
    <row r="64" spans="1:8" ht="15">
      <c r="A64" s="116">
        <v>1990</v>
      </c>
      <c r="B64" s="118">
        <v>10.7</v>
      </c>
      <c r="C64" s="118">
        <v>-1.2</v>
      </c>
      <c r="D64" s="118">
        <v>8.6</v>
      </c>
      <c r="E64" s="118">
        <v>1</v>
      </c>
      <c r="F64" s="118">
        <v>2.2999999999999998</v>
      </c>
    </row>
    <row r="65" spans="1:6" ht="15">
      <c r="A65" s="116">
        <v>1991</v>
      </c>
      <c r="B65" s="118">
        <v>10.199999999999999</v>
      </c>
      <c r="C65" s="118">
        <v>-2.1</v>
      </c>
      <c r="D65" s="118">
        <v>8.8000000000000007</v>
      </c>
      <c r="E65" s="118">
        <v>0.9</v>
      </c>
      <c r="F65" s="118">
        <v>2.6</v>
      </c>
    </row>
    <row r="66" spans="1:6" ht="15">
      <c r="A66" s="116">
        <v>1992</v>
      </c>
      <c r="B66" s="118">
        <v>10</v>
      </c>
      <c r="C66" s="118">
        <v>-2.7</v>
      </c>
      <c r="D66" s="118">
        <v>9</v>
      </c>
      <c r="E66" s="118">
        <v>1</v>
      </c>
      <c r="F66" s="118">
        <v>2.7</v>
      </c>
    </row>
    <row r="67" spans="1:6" ht="15">
      <c r="A67" s="116">
        <v>1993</v>
      </c>
      <c r="B67" s="118">
        <v>10</v>
      </c>
      <c r="C67" s="118">
        <v>-3.2</v>
      </c>
      <c r="D67" s="118">
        <v>9.1</v>
      </c>
      <c r="E67" s="118">
        <v>1.1000000000000001</v>
      </c>
      <c r="F67" s="118">
        <v>3</v>
      </c>
    </row>
    <row r="68" spans="1:6" ht="15">
      <c r="A68" s="116">
        <v>1994</v>
      </c>
      <c r="B68" s="118">
        <v>8.1999999999999993</v>
      </c>
      <c r="C68" s="118">
        <v>-5.0999999999999996</v>
      </c>
      <c r="D68" s="118">
        <v>9</v>
      </c>
      <c r="E68" s="118">
        <v>1.2</v>
      </c>
      <c r="F68" s="118">
        <v>3.1</v>
      </c>
    </row>
    <row r="69" spans="1:6" ht="15">
      <c r="A69" s="116">
        <v>1995</v>
      </c>
      <c r="B69" s="118">
        <v>7.6</v>
      </c>
      <c r="C69" s="118">
        <v>-5.7</v>
      </c>
      <c r="D69" s="118">
        <v>9.1999999999999993</v>
      </c>
      <c r="E69" s="118">
        <v>1.2</v>
      </c>
      <c r="F69" s="118">
        <v>2.8</v>
      </c>
    </row>
    <row r="70" spans="1:6" ht="15">
      <c r="A70" s="116">
        <v>1996</v>
      </c>
      <c r="B70" s="118">
        <v>6.8</v>
      </c>
      <c r="C70" s="118">
        <v>-6.4</v>
      </c>
      <c r="D70" s="118">
        <v>9.4</v>
      </c>
      <c r="E70" s="118">
        <v>1.2</v>
      </c>
      <c r="F70" s="118">
        <v>2.7</v>
      </c>
    </row>
    <row r="71" spans="1:6" ht="15">
      <c r="A71" s="116">
        <v>1997</v>
      </c>
      <c r="B71" s="118">
        <v>7</v>
      </c>
      <c r="C71" s="118">
        <v>-6.2</v>
      </c>
      <c r="D71" s="118">
        <v>9.4</v>
      </c>
      <c r="E71" s="118">
        <v>1.1000000000000001</v>
      </c>
      <c r="F71" s="118">
        <v>2.6</v>
      </c>
    </row>
    <row r="72" spans="1:6" ht="15">
      <c r="A72" s="116">
        <v>1998</v>
      </c>
      <c r="B72" s="118">
        <v>6.9</v>
      </c>
      <c r="C72" s="118">
        <v>-6.1</v>
      </c>
      <c r="D72" s="118">
        <v>9.5</v>
      </c>
      <c r="E72" s="118">
        <v>1</v>
      </c>
      <c r="F72" s="118">
        <v>2.5</v>
      </c>
    </row>
    <row r="73" spans="1:6" ht="15">
      <c r="A73" s="116">
        <v>1999</v>
      </c>
      <c r="B73" s="118">
        <v>7.2</v>
      </c>
      <c r="C73" s="118">
        <v>-5.7</v>
      </c>
      <c r="D73" s="118">
        <v>9.1999999999999993</v>
      </c>
      <c r="E73" s="118">
        <v>1</v>
      </c>
      <c r="F73" s="118">
        <v>2.6</v>
      </c>
    </row>
    <row r="74" spans="1:6" ht="15">
      <c r="A74" s="116">
        <v>2000</v>
      </c>
      <c r="B74" s="118">
        <v>6.6</v>
      </c>
      <c r="C74" s="118">
        <v>-6.1</v>
      </c>
      <c r="D74" s="118">
        <v>9.3000000000000007</v>
      </c>
      <c r="E74" s="118">
        <v>1</v>
      </c>
      <c r="F74" s="118">
        <v>2.4</v>
      </c>
    </row>
    <row r="75" spans="1:6" ht="15">
      <c r="A75" s="116">
        <v>2001</v>
      </c>
      <c r="B75" s="118">
        <v>6.1</v>
      </c>
      <c r="C75" s="118">
        <v>-6.5</v>
      </c>
      <c r="D75" s="118">
        <v>9.4</v>
      </c>
      <c r="E75" s="118">
        <v>0.7</v>
      </c>
      <c r="F75" s="118">
        <v>2.5</v>
      </c>
    </row>
    <row r="76" spans="1:6" ht="15">
      <c r="A76" s="116">
        <v>2002</v>
      </c>
      <c r="B76" s="118">
        <v>5.6</v>
      </c>
      <c r="C76" s="118">
        <v>-7</v>
      </c>
      <c r="D76" s="118">
        <v>9.4</v>
      </c>
      <c r="E76" s="118">
        <v>0.6</v>
      </c>
      <c r="F76" s="118">
        <v>2.5</v>
      </c>
    </row>
    <row r="77" spans="1:6" ht="15">
      <c r="A77" s="116">
        <v>2003</v>
      </c>
      <c r="B77" s="118">
        <v>5.7</v>
      </c>
      <c r="C77" s="118">
        <v>-7</v>
      </c>
      <c r="D77" s="118">
        <v>9.3000000000000007</v>
      </c>
      <c r="E77" s="118">
        <v>0.8</v>
      </c>
      <c r="F77" s="118">
        <v>2.6</v>
      </c>
    </row>
    <row r="78" spans="1:6" ht="15">
      <c r="A78" s="116">
        <v>2004</v>
      </c>
      <c r="B78" s="118">
        <v>5.3</v>
      </c>
      <c r="C78" s="118">
        <v>-7.2</v>
      </c>
      <c r="D78" s="118">
        <v>9.3000000000000007</v>
      </c>
      <c r="E78" s="118">
        <v>1</v>
      </c>
      <c r="F78" s="118">
        <v>2.2000000000000002</v>
      </c>
    </row>
    <row r="79" spans="1:6" ht="15">
      <c r="A79" s="116">
        <v>2005</v>
      </c>
      <c r="B79" s="118">
        <v>5.5</v>
      </c>
      <c r="C79" s="118">
        <v>-7.5</v>
      </c>
      <c r="D79" s="118">
        <v>9.4</v>
      </c>
      <c r="E79" s="118">
        <v>1.2</v>
      </c>
      <c r="F79" s="118">
        <v>2.4</v>
      </c>
    </row>
    <row r="80" spans="1:6" ht="15">
      <c r="A80" s="116">
        <v>2006</v>
      </c>
      <c r="B80" s="118">
        <v>5.9</v>
      </c>
      <c r="C80" s="118">
        <v>-7.5</v>
      </c>
      <c r="D80" s="118">
        <v>9.6999999999999993</v>
      </c>
      <c r="E80" s="118">
        <v>1.3</v>
      </c>
      <c r="F80" s="118">
        <v>2.4</v>
      </c>
    </row>
    <row r="81" spans="1:8" ht="15">
      <c r="A81" s="116">
        <v>2007</v>
      </c>
      <c r="B81" s="118">
        <v>5.3</v>
      </c>
      <c r="C81" s="118">
        <v>-7.5</v>
      </c>
      <c r="D81" s="118">
        <v>9.8000000000000007</v>
      </c>
      <c r="E81" s="118">
        <v>1.1000000000000001</v>
      </c>
      <c r="F81" s="118">
        <v>1.8</v>
      </c>
    </row>
    <row r="82" spans="1:8" ht="15">
      <c r="A82" s="116">
        <v>2008</v>
      </c>
      <c r="B82" s="118">
        <v>0.9</v>
      </c>
      <c r="C82" s="118">
        <v>-11.6</v>
      </c>
      <c r="D82" s="118">
        <v>9.8000000000000007</v>
      </c>
      <c r="E82" s="118">
        <v>0.7</v>
      </c>
      <c r="F82" s="118">
        <v>2</v>
      </c>
    </row>
    <row r="83" spans="1:8" ht="15">
      <c r="A83" s="116">
        <v>2009</v>
      </c>
      <c r="B83" s="118">
        <v>-0.3</v>
      </c>
      <c r="C83" s="118">
        <v>-12.8</v>
      </c>
      <c r="D83" s="118">
        <v>9.8000000000000007</v>
      </c>
      <c r="E83" s="118">
        <v>0.6</v>
      </c>
      <c r="F83" s="118">
        <v>2.1</v>
      </c>
    </row>
    <row r="84" spans="1:8" ht="15">
      <c r="A84" s="116">
        <v>2010</v>
      </c>
      <c r="B84" s="118">
        <v>0</v>
      </c>
      <c r="C84" s="118">
        <v>-13</v>
      </c>
      <c r="D84" s="118">
        <v>9.8000000000000007</v>
      </c>
      <c r="E84" s="118">
        <v>0.8</v>
      </c>
      <c r="F84" s="118">
        <v>2.4</v>
      </c>
    </row>
    <row r="85" spans="1:8" ht="15">
      <c r="A85" s="116">
        <v>2011</v>
      </c>
      <c r="B85" s="118">
        <v>0.6</v>
      </c>
      <c r="C85" s="118">
        <v>-11.1</v>
      </c>
      <c r="D85" s="118">
        <v>8.5</v>
      </c>
      <c r="E85" s="118">
        <v>0.7</v>
      </c>
      <c r="F85" s="118">
        <v>2.4</v>
      </c>
    </row>
    <row r="86" spans="1:8" ht="15">
      <c r="A86" s="116">
        <v>2012</v>
      </c>
      <c r="B86" s="118">
        <v>0.9</v>
      </c>
      <c r="C86" s="118">
        <v>-10.9</v>
      </c>
      <c r="D86" s="118">
        <v>8.5</v>
      </c>
      <c r="E86" s="118">
        <v>0.8</v>
      </c>
      <c r="F86" s="118">
        <v>2.5</v>
      </c>
    </row>
    <row r="87" spans="1:8" ht="15">
      <c r="A87" s="116">
        <v>2013</v>
      </c>
      <c r="B87" s="118">
        <v>2.2999999999999998</v>
      </c>
      <c r="C87" s="118">
        <v>-11</v>
      </c>
      <c r="D87" s="118">
        <v>9.9</v>
      </c>
      <c r="E87" s="118">
        <v>0.9</v>
      </c>
      <c r="F87" s="118">
        <v>2.5</v>
      </c>
    </row>
    <row r="88" spans="1:8" ht="15">
      <c r="A88" s="116">
        <v>2014</v>
      </c>
      <c r="B88" s="118">
        <v>1.9</v>
      </c>
      <c r="C88" s="118">
        <v>-11.5</v>
      </c>
      <c r="D88" s="118">
        <v>9.8000000000000007</v>
      </c>
      <c r="E88" s="118">
        <v>1</v>
      </c>
      <c r="F88" s="118">
        <v>2.6</v>
      </c>
    </row>
    <row r="89" spans="1:8" ht="15">
      <c r="A89" s="116">
        <v>2015</v>
      </c>
      <c r="B89" s="118">
        <v>1.5</v>
      </c>
      <c r="C89" s="118">
        <v>-11.6</v>
      </c>
      <c r="D89" s="118">
        <v>9.8000000000000007</v>
      </c>
      <c r="E89" s="118">
        <v>0.9</v>
      </c>
      <c r="F89" s="118">
        <v>2.4</v>
      </c>
    </row>
    <row r="90" spans="1:8" ht="15">
      <c r="A90" s="116">
        <v>2016</v>
      </c>
      <c r="B90" s="118">
        <v>1.7</v>
      </c>
      <c r="C90" s="118">
        <v>-10.9</v>
      </c>
      <c r="D90" s="118">
        <v>9.5</v>
      </c>
      <c r="E90" s="118">
        <v>0.9</v>
      </c>
      <c r="F90" s="118">
        <v>2.2000000000000002</v>
      </c>
    </row>
    <row r="91" spans="1:8" ht="15"/>
    <row r="92" spans="1:8" ht="15"/>
    <row r="93" spans="1:8" ht="15"/>
    <row r="94" spans="1:8" ht="15"/>
    <row r="95" spans="1:8" ht="15">
      <c r="B95" s="774" t="s">
        <v>6</v>
      </c>
      <c r="C95" s="774"/>
      <c r="D95" s="774"/>
      <c r="E95" s="774"/>
      <c r="F95" s="774"/>
      <c r="G95" s="115"/>
      <c r="H95" s="115"/>
    </row>
    <row r="96" spans="1:8" ht="15">
      <c r="A96" s="116">
        <v>1979</v>
      </c>
      <c r="B96" s="118">
        <v>15</v>
      </c>
      <c r="C96" s="118">
        <v>4.0999999999999996</v>
      </c>
      <c r="D96" s="118">
        <v>7.7</v>
      </c>
      <c r="E96" s="118">
        <v>1.8</v>
      </c>
      <c r="F96" s="118">
        <v>1.3</v>
      </c>
    </row>
    <row r="97" spans="1:6" ht="15">
      <c r="A97" s="116">
        <v>1980</v>
      </c>
      <c r="B97" s="118">
        <v>14.7</v>
      </c>
      <c r="C97" s="118">
        <v>4.5</v>
      </c>
      <c r="D97" s="118">
        <v>7.6</v>
      </c>
      <c r="E97" s="118">
        <v>1.5</v>
      </c>
      <c r="F97" s="118">
        <v>1.1000000000000001</v>
      </c>
    </row>
    <row r="98" spans="1:6" ht="15">
      <c r="A98" s="116">
        <v>1981</v>
      </c>
      <c r="B98" s="118">
        <v>15.2</v>
      </c>
      <c r="C98" s="118">
        <v>4.9000000000000004</v>
      </c>
      <c r="D98" s="118">
        <v>8.1999999999999993</v>
      </c>
      <c r="E98" s="118">
        <v>1.1000000000000001</v>
      </c>
      <c r="F98" s="118">
        <v>1</v>
      </c>
    </row>
    <row r="99" spans="1:6" ht="15">
      <c r="A99" s="116">
        <v>1982</v>
      </c>
      <c r="B99" s="118">
        <v>14</v>
      </c>
      <c r="C99" s="118">
        <v>4.3</v>
      </c>
      <c r="D99" s="118">
        <v>8</v>
      </c>
      <c r="E99" s="118">
        <v>0.7</v>
      </c>
      <c r="F99" s="118">
        <v>1.1000000000000001</v>
      </c>
    </row>
    <row r="100" spans="1:6" ht="15">
      <c r="A100" s="116">
        <v>1983</v>
      </c>
      <c r="B100" s="118">
        <v>14</v>
      </c>
      <c r="C100" s="118">
        <v>3.9</v>
      </c>
      <c r="D100" s="118">
        <v>7.9</v>
      </c>
      <c r="E100" s="118">
        <v>0.9</v>
      </c>
      <c r="F100" s="118">
        <v>1.3</v>
      </c>
    </row>
    <row r="101" spans="1:6" ht="15">
      <c r="A101" s="116">
        <v>1984</v>
      </c>
      <c r="B101" s="118">
        <v>14.9</v>
      </c>
      <c r="C101" s="118">
        <v>4.0999999999999996</v>
      </c>
      <c r="D101" s="118">
        <v>8.4</v>
      </c>
      <c r="E101" s="118">
        <v>1</v>
      </c>
      <c r="F101" s="118">
        <v>1.4</v>
      </c>
    </row>
    <row r="102" spans="1:6" ht="15">
      <c r="A102" s="116">
        <v>1985</v>
      </c>
      <c r="B102" s="118">
        <v>15.1</v>
      </c>
      <c r="C102" s="118">
        <v>4.0999999999999996</v>
      </c>
      <c r="D102" s="118">
        <v>8.6999999999999993</v>
      </c>
      <c r="E102" s="118">
        <v>1</v>
      </c>
      <c r="F102" s="118">
        <v>1.4</v>
      </c>
    </row>
    <row r="103" spans="1:6" ht="15">
      <c r="A103" s="116">
        <v>1986</v>
      </c>
      <c r="B103" s="118">
        <v>15</v>
      </c>
      <c r="C103" s="118">
        <v>4</v>
      </c>
      <c r="D103" s="118">
        <v>8.6999999999999993</v>
      </c>
      <c r="E103" s="118">
        <v>0.9</v>
      </c>
      <c r="F103" s="118">
        <v>1.3</v>
      </c>
    </row>
    <row r="104" spans="1:6" ht="15">
      <c r="A104" s="116">
        <v>1987</v>
      </c>
      <c r="B104" s="118">
        <v>14.3</v>
      </c>
      <c r="C104" s="118">
        <v>3.2</v>
      </c>
      <c r="D104" s="118">
        <v>8.5</v>
      </c>
      <c r="E104" s="118">
        <v>1.3</v>
      </c>
      <c r="F104" s="118">
        <v>1.4</v>
      </c>
    </row>
    <row r="105" spans="1:6" ht="15">
      <c r="A105" s="116">
        <v>1988</v>
      </c>
      <c r="B105" s="118">
        <v>14.7</v>
      </c>
      <c r="C105" s="118">
        <v>3.2</v>
      </c>
      <c r="D105" s="118">
        <v>8.9</v>
      </c>
      <c r="E105" s="118">
        <v>1.2</v>
      </c>
      <c r="F105" s="118">
        <v>1.4</v>
      </c>
    </row>
    <row r="106" spans="1:6" ht="15">
      <c r="A106" s="116">
        <v>1989</v>
      </c>
      <c r="B106" s="118">
        <v>14.3</v>
      </c>
      <c r="C106" s="118">
        <v>3</v>
      </c>
      <c r="D106" s="118">
        <v>8.9</v>
      </c>
      <c r="E106" s="118">
        <v>1.2</v>
      </c>
      <c r="F106" s="118">
        <v>1.2</v>
      </c>
    </row>
    <row r="107" spans="1:6" ht="15">
      <c r="A107" s="116">
        <v>1990</v>
      </c>
      <c r="B107" s="118">
        <v>15</v>
      </c>
      <c r="C107" s="118">
        <v>3.4</v>
      </c>
      <c r="D107" s="118">
        <v>9.1999999999999993</v>
      </c>
      <c r="E107" s="118">
        <v>1.1000000000000001</v>
      </c>
      <c r="F107" s="118">
        <v>1.2</v>
      </c>
    </row>
    <row r="108" spans="1:6" ht="15">
      <c r="A108" s="116">
        <v>1991</v>
      </c>
      <c r="B108" s="118">
        <v>14.5</v>
      </c>
      <c r="C108" s="118">
        <v>3</v>
      </c>
      <c r="D108" s="118">
        <v>9</v>
      </c>
      <c r="E108" s="118">
        <v>1</v>
      </c>
      <c r="F108" s="118">
        <v>1.4</v>
      </c>
    </row>
    <row r="109" spans="1:6" ht="15">
      <c r="A109" s="116">
        <v>1992</v>
      </c>
      <c r="B109" s="118">
        <v>13.9</v>
      </c>
      <c r="C109" s="118">
        <v>2.6</v>
      </c>
      <c r="D109" s="118">
        <v>8.8000000000000007</v>
      </c>
      <c r="E109" s="118">
        <v>1</v>
      </c>
      <c r="F109" s="118">
        <v>1.5</v>
      </c>
    </row>
    <row r="110" spans="1:6" ht="15">
      <c r="A110" s="116">
        <v>1993</v>
      </c>
      <c r="B110" s="118">
        <v>13.8</v>
      </c>
      <c r="C110" s="118">
        <v>2.5</v>
      </c>
      <c r="D110" s="118">
        <v>8.6</v>
      </c>
      <c r="E110" s="118">
        <v>1.2</v>
      </c>
      <c r="F110" s="118">
        <v>1.5</v>
      </c>
    </row>
    <row r="111" spans="1:6" ht="15">
      <c r="A111" s="116">
        <v>1994</v>
      </c>
      <c r="B111" s="118">
        <v>13.5</v>
      </c>
      <c r="C111" s="118">
        <v>2</v>
      </c>
      <c r="D111" s="118">
        <v>8.6</v>
      </c>
      <c r="E111" s="118">
        <v>1.2</v>
      </c>
      <c r="F111" s="118">
        <v>1.7</v>
      </c>
    </row>
    <row r="112" spans="1:6" ht="15">
      <c r="A112" s="116">
        <v>1995</v>
      </c>
      <c r="B112" s="118">
        <v>13.8</v>
      </c>
      <c r="C112" s="118">
        <v>2.1</v>
      </c>
      <c r="D112" s="118">
        <v>8.8000000000000007</v>
      </c>
      <c r="E112" s="118">
        <v>1.3</v>
      </c>
      <c r="F112" s="118">
        <v>1.6</v>
      </c>
    </row>
    <row r="113" spans="1:6" ht="15">
      <c r="A113" s="116">
        <v>1996</v>
      </c>
      <c r="B113" s="118">
        <v>13.7</v>
      </c>
      <c r="C113" s="118">
        <v>2</v>
      </c>
      <c r="D113" s="118">
        <v>9</v>
      </c>
      <c r="E113" s="118">
        <v>1.3</v>
      </c>
      <c r="F113" s="118">
        <v>1.5</v>
      </c>
    </row>
    <row r="114" spans="1:6" ht="15">
      <c r="A114" s="116">
        <v>1997</v>
      </c>
      <c r="B114" s="118">
        <v>14</v>
      </c>
      <c r="C114" s="118">
        <v>2.2999999999999998</v>
      </c>
      <c r="D114" s="118">
        <v>9.1</v>
      </c>
      <c r="E114" s="118">
        <v>1.2</v>
      </c>
      <c r="F114" s="118">
        <v>1.5</v>
      </c>
    </row>
    <row r="115" spans="1:6" ht="15">
      <c r="A115" s="116">
        <v>1998</v>
      </c>
      <c r="B115" s="118">
        <v>13.4</v>
      </c>
      <c r="C115" s="118">
        <v>1.7</v>
      </c>
      <c r="D115" s="118">
        <v>9.1999999999999993</v>
      </c>
      <c r="E115" s="118">
        <v>1.1000000000000001</v>
      </c>
      <c r="F115" s="118">
        <v>1.4</v>
      </c>
    </row>
    <row r="116" spans="1:6" ht="15">
      <c r="A116" s="116">
        <v>1999</v>
      </c>
      <c r="B116" s="118">
        <v>13.7</v>
      </c>
      <c r="C116" s="118">
        <v>1.7</v>
      </c>
      <c r="D116" s="118">
        <v>9.3000000000000007</v>
      </c>
      <c r="E116" s="118">
        <v>1.1000000000000001</v>
      </c>
      <c r="F116" s="118">
        <v>1.6</v>
      </c>
    </row>
    <row r="117" spans="1:6" ht="15">
      <c r="A117" s="116">
        <v>2000</v>
      </c>
      <c r="B117" s="118">
        <v>13.6</v>
      </c>
      <c r="C117" s="118">
        <v>1.8</v>
      </c>
      <c r="D117" s="118">
        <v>9.1999999999999993</v>
      </c>
      <c r="E117" s="118">
        <v>1.1000000000000001</v>
      </c>
      <c r="F117" s="118">
        <v>1.4</v>
      </c>
    </row>
    <row r="118" spans="1:6" ht="15">
      <c r="A118" s="116">
        <v>2001</v>
      </c>
      <c r="B118" s="118">
        <v>11.7</v>
      </c>
      <c r="C118" s="118">
        <v>0.5</v>
      </c>
      <c r="D118" s="118">
        <v>9.1</v>
      </c>
      <c r="E118" s="118">
        <v>0.8</v>
      </c>
      <c r="F118" s="118">
        <v>1.4</v>
      </c>
    </row>
    <row r="119" spans="1:6" ht="15">
      <c r="A119" s="116">
        <v>2002</v>
      </c>
      <c r="B119" s="118">
        <v>11</v>
      </c>
      <c r="C119" s="118">
        <v>0</v>
      </c>
      <c r="D119" s="118">
        <v>8.9</v>
      </c>
      <c r="E119" s="118">
        <v>0.7</v>
      </c>
      <c r="F119" s="118">
        <v>1.4</v>
      </c>
    </row>
    <row r="120" spans="1:6" ht="15">
      <c r="A120" s="116">
        <v>2003</v>
      </c>
      <c r="B120" s="118">
        <v>10.1</v>
      </c>
      <c r="C120" s="118">
        <v>-0.9</v>
      </c>
      <c r="D120" s="118">
        <v>8.8000000000000007</v>
      </c>
      <c r="E120" s="118">
        <v>0.9</v>
      </c>
      <c r="F120" s="118">
        <v>1.4</v>
      </c>
    </row>
    <row r="121" spans="1:6" ht="15">
      <c r="A121" s="116">
        <v>2004</v>
      </c>
      <c r="B121" s="118">
        <v>10.3</v>
      </c>
      <c r="C121" s="118">
        <v>-0.7</v>
      </c>
      <c r="D121" s="118">
        <v>8.6</v>
      </c>
      <c r="E121" s="118">
        <v>1</v>
      </c>
      <c r="F121" s="118">
        <v>1.3</v>
      </c>
    </row>
    <row r="122" spans="1:6" ht="15">
      <c r="A122" s="116">
        <v>2005</v>
      </c>
      <c r="B122" s="118">
        <v>10.5</v>
      </c>
      <c r="C122" s="118">
        <v>-0.7</v>
      </c>
      <c r="D122" s="118">
        <v>8.6999999999999993</v>
      </c>
      <c r="E122" s="118">
        <v>1.3</v>
      </c>
      <c r="F122" s="118">
        <v>1.3</v>
      </c>
    </row>
    <row r="123" spans="1:6" ht="15">
      <c r="A123" s="116">
        <v>2006</v>
      </c>
      <c r="B123" s="118">
        <v>10.6</v>
      </c>
      <c r="C123" s="118">
        <v>-0.6</v>
      </c>
      <c r="D123" s="118">
        <v>8.6999999999999993</v>
      </c>
      <c r="E123" s="118">
        <v>1.3</v>
      </c>
      <c r="F123" s="118">
        <v>1.2</v>
      </c>
    </row>
    <row r="124" spans="1:6" ht="15">
      <c r="A124" s="116">
        <v>2007</v>
      </c>
      <c r="B124" s="118">
        <v>11</v>
      </c>
      <c r="C124" s="118">
        <v>-0.2</v>
      </c>
      <c r="D124" s="118">
        <v>9</v>
      </c>
      <c r="E124" s="118">
        <v>1.2</v>
      </c>
      <c r="F124" s="118">
        <v>1</v>
      </c>
    </row>
    <row r="125" spans="1:6" ht="15">
      <c r="A125" s="116">
        <v>2008</v>
      </c>
      <c r="B125" s="118">
        <v>7.8</v>
      </c>
      <c r="C125" s="118">
        <v>-2.7</v>
      </c>
      <c r="D125" s="118">
        <v>8.8000000000000007</v>
      </c>
      <c r="E125" s="118">
        <v>0.7</v>
      </c>
      <c r="F125" s="118">
        <v>1</v>
      </c>
    </row>
    <row r="126" spans="1:6" ht="15">
      <c r="A126" s="116">
        <v>2009</v>
      </c>
      <c r="B126" s="118">
        <v>7.2</v>
      </c>
      <c r="C126" s="118">
        <v>-2.8</v>
      </c>
      <c r="D126" s="118">
        <v>8.4</v>
      </c>
      <c r="E126" s="118">
        <v>0.6</v>
      </c>
      <c r="F126" s="118">
        <v>1</v>
      </c>
    </row>
    <row r="127" spans="1:6" ht="15">
      <c r="A127" s="116">
        <v>2010</v>
      </c>
      <c r="B127" s="118">
        <v>7.6</v>
      </c>
      <c r="C127" s="118">
        <v>-2.6</v>
      </c>
      <c r="D127" s="118">
        <v>8.3000000000000007</v>
      </c>
      <c r="E127" s="118">
        <v>0.7</v>
      </c>
      <c r="F127" s="118">
        <v>1.1000000000000001</v>
      </c>
    </row>
    <row r="128" spans="1:6" ht="15">
      <c r="A128" s="116">
        <v>2011</v>
      </c>
      <c r="B128" s="118">
        <v>7.7</v>
      </c>
      <c r="C128" s="118">
        <v>-1.5</v>
      </c>
      <c r="D128" s="118">
        <v>7.3</v>
      </c>
      <c r="E128" s="118">
        <v>0.7</v>
      </c>
      <c r="F128" s="118">
        <v>1.1000000000000001</v>
      </c>
    </row>
    <row r="129" spans="1:16" ht="15">
      <c r="A129" s="116">
        <v>2012</v>
      </c>
      <c r="B129" s="118">
        <v>7.7</v>
      </c>
      <c r="C129" s="118">
        <v>-1.5</v>
      </c>
      <c r="D129" s="118">
        <v>7.3</v>
      </c>
      <c r="E129" s="118">
        <v>0.8</v>
      </c>
      <c r="F129" s="118">
        <v>1.2</v>
      </c>
    </row>
    <row r="130" spans="1:16" ht="15">
      <c r="A130" s="116">
        <v>2013</v>
      </c>
      <c r="B130" s="118">
        <v>9.1</v>
      </c>
      <c r="C130" s="118">
        <v>-1.3</v>
      </c>
      <c r="D130" s="118">
        <v>8.4</v>
      </c>
      <c r="E130" s="118">
        <v>0.9</v>
      </c>
      <c r="F130" s="118">
        <v>1.2</v>
      </c>
    </row>
    <row r="131" spans="1:16" ht="15">
      <c r="A131" s="116">
        <v>2014</v>
      </c>
      <c r="B131" s="118">
        <v>9</v>
      </c>
      <c r="C131" s="118">
        <v>-1.6</v>
      </c>
      <c r="D131" s="118">
        <v>8.5</v>
      </c>
      <c r="E131" s="118">
        <v>0.9</v>
      </c>
      <c r="F131" s="118">
        <v>1.2</v>
      </c>
      <c r="K131" s="4"/>
      <c r="L131" s="4"/>
      <c r="M131" s="4"/>
      <c r="N131" s="4"/>
      <c r="O131" s="4"/>
    </row>
    <row r="132" spans="1:16" ht="15">
      <c r="A132" s="116">
        <v>2015</v>
      </c>
      <c r="B132" s="118">
        <v>9.1999999999999993</v>
      </c>
      <c r="C132" s="118">
        <v>-1.3</v>
      </c>
      <c r="D132" s="118">
        <v>8.5</v>
      </c>
      <c r="E132" s="118">
        <v>0.9</v>
      </c>
      <c r="F132" s="118">
        <v>1.2</v>
      </c>
      <c r="K132" s="4"/>
      <c r="L132" s="4"/>
      <c r="M132" s="4"/>
      <c r="N132" s="4"/>
      <c r="O132" s="4"/>
    </row>
    <row r="133" spans="1:16" ht="15">
      <c r="A133" s="116">
        <v>2016</v>
      </c>
      <c r="B133" s="118">
        <v>9.4</v>
      </c>
      <c r="C133" s="118">
        <v>-1.2</v>
      </c>
      <c r="D133" s="118">
        <v>8.6</v>
      </c>
      <c r="E133" s="118">
        <v>0.9</v>
      </c>
      <c r="F133" s="118">
        <v>1.1000000000000001</v>
      </c>
      <c r="K133" s="129"/>
      <c r="L133" s="129"/>
      <c r="M133" s="129"/>
      <c r="N133" s="129"/>
      <c r="O133" s="129"/>
    </row>
    <row r="134" spans="1:16" ht="15">
      <c r="K134" s="63"/>
      <c r="L134" s="63"/>
      <c r="M134" s="63"/>
      <c r="N134" s="63"/>
      <c r="O134" s="63"/>
    </row>
    <row r="135" spans="1:16" ht="15">
      <c r="B135" s="774" t="s">
        <v>7</v>
      </c>
      <c r="C135" s="774"/>
      <c r="D135" s="774"/>
      <c r="E135" s="774"/>
      <c r="F135" s="774"/>
      <c r="G135" s="115"/>
      <c r="H135" s="115"/>
      <c r="K135" s="9"/>
    </row>
    <row r="136" spans="1:16" ht="15">
      <c r="A136" s="116">
        <v>1979</v>
      </c>
      <c r="B136" s="118">
        <v>19.100000000000001</v>
      </c>
      <c r="C136" s="118">
        <v>7.4</v>
      </c>
      <c r="D136" s="118">
        <v>8.5</v>
      </c>
      <c r="E136" s="118">
        <v>2</v>
      </c>
      <c r="F136" s="118">
        <v>1.1000000000000001</v>
      </c>
      <c r="K136" s="44"/>
      <c r="L136" s="44"/>
      <c r="M136" s="44"/>
      <c r="N136" s="44"/>
      <c r="O136" s="44"/>
      <c r="P136" s="44"/>
    </row>
    <row r="137" spans="1:16" ht="15">
      <c r="A137" s="116">
        <v>1980</v>
      </c>
      <c r="B137" s="118">
        <v>19</v>
      </c>
      <c r="C137" s="118">
        <v>7.9</v>
      </c>
      <c r="D137" s="118">
        <v>8.5</v>
      </c>
      <c r="E137" s="118">
        <v>1.7</v>
      </c>
      <c r="F137" s="118">
        <v>0.9</v>
      </c>
      <c r="K137" s="44"/>
      <c r="L137" s="44"/>
      <c r="M137" s="44"/>
      <c r="N137" s="44"/>
      <c r="O137" s="44"/>
      <c r="P137" s="44"/>
    </row>
    <row r="138" spans="1:16" ht="15">
      <c r="A138" s="116">
        <v>1981</v>
      </c>
      <c r="B138" s="118">
        <v>19.399999999999999</v>
      </c>
      <c r="C138" s="118">
        <v>8.1999999999999993</v>
      </c>
      <c r="D138" s="118">
        <v>9</v>
      </c>
      <c r="E138" s="118">
        <v>1.4</v>
      </c>
      <c r="F138" s="118">
        <v>0.9</v>
      </c>
      <c r="K138" s="44"/>
      <c r="L138" s="44"/>
      <c r="M138" s="44"/>
      <c r="N138" s="44"/>
      <c r="O138" s="44"/>
      <c r="P138" s="44"/>
    </row>
    <row r="139" spans="1:16" ht="15">
      <c r="A139" s="116">
        <v>1982</v>
      </c>
      <c r="B139" s="118">
        <v>18.100000000000001</v>
      </c>
      <c r="C139" s="118">
        <v>7.4</v>
      </c>
      <c r="D139" s="118">
        <v>8.9</v>
      </c>
      <c r="E139" s="118">
        <v>0.9</v>
      </c>
      <c r="F139" s="118">
        <v>0.9</v>
      </c>
      <c r="K139" s="44"/>
      <c r="L139" s="44"/>
      <c r="M139" s="44"/>
      <c r="N139" s="44"/>
      <c r="O139" s="44"/>
      <c r="P139" s="44"/>
    </row>
    <row r="140" spans="1:16" ht="15">
      <c r="A140" s="116">
        <v>1983</v>
      </c>
      <c r="B140" s="118">
        <v>17.5</v>
      </c>
      <c r="C140" s="118">
        <v>6.7</v>
      </c>
      <c r="D140" s="118">
        <v>8.8000000000000007</v>
      </c>
      <c r="E140" s="118">
        <v>1.1000000000000001</v>
      </c>
      <c r="F140" s="118">
        <v>1</v>
      </c>
      <c r="K140" s="44"/>
      <c r="L140" s="44"/>
      <c r="M140" s="44"/>
      <c r="N140" s="44"/>
      <c r="O140" s="44"/>
      <c r="P140" s="44"/>
    </row>
    <row r="141" spans="1:16" ht="15">
      <c r="A141" s="116">
        <v>1984</v>
      </c>
      <c r="B141" s="118">
        <v>18</v>
      </c>
      <c r="C141" s="118">
        <v>6.6</v>
      </c>
      <c r="D141" s="118">
        <v>9.1</v>
      </c>
      <c r="E141" s="118">
        <v>1.3</v>
      </c>
      <c r="F141" s="118">
        <v>1.1000000000000001</v>
      </c>
      <c r="K141" s="44"/>
      <c r="L141" s="44"/>
      <c r="M141" s="44"/>
      <c r="N141" s="44"/>
      <c r="O141" s="44"/>
      <c r="P141" s="44"/>
    </row>
    <row r="142" spans="1:16" ht="15">
      <c r="A142" s="116">
        <v>1985</v>
      </c>
      <c r="B142" s="118">
        <v>18.2</v>
      </c>
      <c r="C142" s="118">
        <v>6.5</v>
      </c>
      <c r="D142" s="118">
        <v>9.4</v>
      </c>
      <c r="E142" s="118">
        <v>1.1000000000000001</v>
      </c>
      <c r="F142" s="118">
        <v>1.1000000000000001</v>
      </c>
      <c r="K142" s="44"/>
      <c r="L142" s="44"/>
      <c r="M142" s="44"/>
      <c r="N142" s="44"/>
      <c r="O142" s="44"/>
      <c r="P142" s="44"/>
    </row>
    <row r="143" spans="1:16" ht="15">
      <c r="A143" s="116">
        <v>1986</v>
      </c>
      <c r="B143" s="118">
        <v>18.2</v>
      </c>
      <c r="C143" s="118">
        <v>6.5</v>
      </c>
      <c r="D143" s="118">
        <v>9.4</v>
      </c>
      <c r="E143" s="118">
        <v>1.2</v>
      </c>
      <c r="F143" s="118">
        <v>1.1000000000000001</v>
      </c>
      <c r="K143" s="44"/>
      <c r="L143" s="44"/>
      <c r="M143" s="44"/>
      <c r="N143" s="44"/>
      <c r="O143" s="44"/>
      <c r="P143" s="44"/>
    </row>
    <row r="144" spans="1:16" ht="15">
      <c r="A144" s="116">
        <v>1987</v>
      </c>
      <c r="B144" s="118">
        <v>17.8</v>
      </c>
      <c r="C144" s="118">
        <v>5.8</v>
      </c>
      <c r="D144" s="118">
        <v>9.3000000000000007</v>
      </c>
      <c r="E144" s="118">
        <v>1.5</v>
      </c>
      <c r="F144" s="118">
        <v>1.1000000000000001</v>
      </c>
      <c r="K144" s="44"/>
      <c r="L144" s="44"/>
      <c r="M144" s="44"/>
      <c r="N144" s="44"/>
      <c r="O144" s="44"/>
      <c r="P144" s="44"/>
    </row>
    <row r="145" spans="1:16" ht="15">
      <c r="A145" s="116">
        <v>1988</v>
      </c>
      <c r="B145" s="118">
        <v>18.2</v>
      </c>
      <c r="C145" s="118">
        <v>5.9</v>
      </c>
      <c r="D145" s="118">
        <v>9.6999999999999993</v>
      </c>
      <c r="E145" s="118">
        <v>1.5</v>
      </c>
      <c r="F145" s="118">
        <v>1.1000000000000001</v>
      </c>
      <c r="K145" s="44"/>
      <c r="L145" s="44"/>
      <c r="M145" s="44"/>
      <c r="N145" s="44"/>
      <c r="O145" s="44"/>
      <c r="P145" s="44"/>
    </row>
    <row r="146" spans="1:16" ht="15">
      <c r="A146" s="116">
        <v>1989</v>
      </c>
      <c r="B146" s="118">
        <v>18.100000000000001</v>
      </c>
      <c r="C146" s="118">
        <v>5.9</v>
      </c>
      <c r="D146" s="118">
        <v>9.6999999999999993</v>
      </c>
      <c r="E146" s="118">
        <v>1.4</v>
      </c>
      <c r="F146" s="118">
        <v>1</v>
      </c>
      <c r="K146" s="44"/>
      <c r="L146" s="44"/>
      <c r="M146" s="44"/>
      <c r="N146" s="44"/>
      <c r="O146" s="44"/>
      <c r="P146" s="44"/>
    </row>
    <row r="147" spans="1:16" ht="15">
      <c r="A147" s="116">
        <v>1990</v>
      </c>
      <c r="B147" s="118">
        <v>18.2</v>
      </c>
      <c r="C147" s="118">
        <v>6</v>
      </c>
      <c r="D147" s="118">
        <v>9.8000000000000007</v>
      </c>
      <c r="E147" s="118">
        <v>1.3</v>
      </c>
      <c r="F147" s="118">
        <v>1</v>
      </c>
      <c r="K147" s="44"/>
      <c r="L147" s="44"/>
      <c r="M147" s="44"/>
      <c r="N147" s="44"/>
      <c r="O147" s="44"/>
      <c r="P147" s="44"/>
    </row>
    <row r="148" spans="1:16" ht="15">
      <c r="A148" s="116">
        <v>1991</v>
      </c>
      <c r="B148" s="118">
        <v>17.8</v>
      </c>
      <c r="C148" s="118">
        <v>5.8</v>
      </c>
      <c r="D148" s="118">
        <v>9.6</v>
      </c>
      <c r="E148" s="118">
        <v>1.3</v>
      </c>
      <c r="F148" s="118">
        <v>1.2</v>
      </c>
      <c r="K148" s="44"/>
      <c r="L148" s="44"/>
      <c r="M148" s="44"/>
      <c r="N148" s="44"/>
      <c r="O148" s="44"/>
      <c r="P148" s="44"/>
    </row>
    <row r="149" spans="1:16" ht="15">
      <c r="A149" s="116">
        <v>1992</v>
      </c>
      <c r="B149" s="118">
        <v>17.7</v>
      </c>
      <c r="C149" s="118">
        <v>5.5</v>
      </c>
      <c r="D149" s="118">
        <v>9.6</v>
      </c>
      <c r="E149" s="118">
        <v>1.3</v>
      </c>
      <c r="F149" s="118">
        <v>1.2</v>
      </c>
      <c r="K149" s="44"/>
      <c r="L149" s="44"/>
      <c r="M149" s="44"/>
      <c r="N149" s="44"/>
      <c r="O149" s="44"/>
      <c r="P149" s="44"/>
    </row>
    <row r="150" spans="1:16" ht="15">
      <c r="A150" s="116">
        <v>1993</v>
      </c>
      <c r="B150" s="118">
        <v>17.600000000000001</v>
      </c>
      <c r="C150" s="118">
        <v>5.4</v>
      </c>
      <c r="D150" s="118">
        <v>9.6</v>
      </c>
      <c r="E150" s="118">
        <v>1.4</v>
      </c>
      <c r="F150" s="118">
        <v>1.2</v>
      </c>
      <c r="K150" s="44"/>
      <c r="L150" s="44"/>
      <c r="M150" s="44"/>
      <c r="N150" s="44"/>
      <c r="O150" s="44"/>
      <c r="P150" s="44"/>
    </row>
    <row r="151" spans="1:16" ht="15">
      <c r="A151" s="116">
        <v>1994</v>
      </c>
      <c r="B151" s="118">
        <v>17.8</v>
      </c>
      <c r="C151" s="118">
        <v>5.4</v>
      </c>
      <c r="D151" s="118">
        <v>9.6</v>
      </c>
      <c r="E151" s="118">
        <v>1.6</v>
      </c>
      <c r="F151" s="118">
        <v>1.3</v>
      </c>
      <c r="K151" s="44"/>
      <c r="L151" s="44"/>
      <c r="M151" s="44"/>
      <c r="N151" s="44"/>
      <c r="O151" s="44"/>
      <c r="P151" s="44"/>
    </row>
    <row r="152" spans="1:16" ht="15">
      <c r="A152" s="116">
        <v>1995</v>
      </c>
      <c r="B152" s="118">
        <v>17.8</v>
      </c>
      <c r="C152" s="118">
        <v>5.4</v>
      </c>
      <c r="D152" s="118">
        <v>9.6</v>
      </c>
      <c r="E152" s="118">
        <v>1.6</v>
      </c>
      <c r="F152" s="118">
        <v>1.3</v>
      </c>
      <c r="K152" s="44"/>
      <c r="L152" s="44"/>
      <c r="M152" s="44"/>
      <c r="N152" s="44"/>
      <c r="O152" s="44"/>
      <c r="P152" s="44"/>
    </row>
    <row r="153" spans="1:16" ht="15">
      <c r="A153" s="116">
        <v>1996</v>
      </c>
      <c r="B153" s="118">
        <v>17.8</v>
      </c>
      <c r="C153" s="118">
        <v>5.4</v>
      </c>
      <c r="D153" s="118">
        <v>9.6</v>
      </c>
      <c r="E153" s="118">
        <v>1.6</v>
      </c>
      <c r="F153" s="118">
        <v>1.2</v>
      </c>
      <c r="K153" s="44"/>
      <c r="L153" s="44"/>
      <c r="M153" s="44"/>
      <c r="N153" s="44"/>
      <c r="O153" s="44"/>
      <c r="P153" s="44"/>
    </row>
    <row r="154" spans="1:16" ht="15">
      <c r="A154" s="116">
        <v>1997</v>
      </c>
      <c r="B154" s="118">
        <v>18.100000000000001</v>
      </c>
      <c r="C154" s="118">
        <v>5.6</v>
      </c>
      <c r="D154" s="118">
        <v>9.8000000000000007</v>
      </c>
      <c r="E154" s="118">
        <v>1.6</v>
      </c>
      <c r="F154" s="118">
        <v>1.1000000000000001</v>
      </c>
      <c r="K154" s="44"/>
      <c r="L154" s="44"/>
      <c r="M154" s="44"/>
      <c r="N154" s="44"/>
      <c r="O154" s="44"/>
      <c r="P154" s="44"/>
    </row>
    <row r="155" spans="1:16" ht="15">
      <c r="A155" s="116">
        <v>1998</v>
      </c>
      <c r="B155" s="118">
        <v>17.399999999999999</v>
      </c>
      <c r="C155" s="118">
        <v>5.0999999999999996</v>
      </c>
      <c r="D155" s="118">
        <v>9.6999999999999993</v>
      </c>
      <c r="E155" s="118">
        <v>1.4</v>
      </c>
      <c r="F155" s="118">
        <v>1.2</v>
      </c>
      <c r="K155" s="44"/>
      <c r="L155" s="44"/>
      <c r="M155" s="44"/>
      <c r="N155" s="44"/>
      <c r="O155" s="44"/>
      <c r="P155" s="44"/>
    </row>
    <row r="156" spans="1:16" ht="15">
      <c r="A156" s="116">
        <v>1999</v>
      </c>
      <c r="B156" s="118">
        <v>17.5</v>
      </c>
      <c r="C156" s="118">
        <v>5.0999999999999996</v>
      </c>
      <c r="D156" s="118">
        <v>9.8000000000000007</v>
      </c>
      <c r="E156" s="118">
        <v>1.4</v>
      </c>
      <c r="F156" s="118">
        <v>1.3</v>
      </c>
      <c r="K156" s="44"/>
      <c r="L156" s="44"/>
      <c r="M156" s="44"/>
      <c r="N156" s="44"/>
      <c r="O156" s="44"/>
      <c r="P156" s="44"/>
    </row>
    <row r="157" spans="1:16" ht="15">
      <c r="A157" s="116">
        <v>2000</v>
      </c>
      <c r="B157" s="118">
        <v>17.3</v>
      </c>
      <c r="C157" s="118">
        <v>5.0999999999999996</v>
      </c>
      <c r="D157" s="118">
        <v>9.6999999999999993</v>
      </c>
      <c r="E157" s="118">
        <v>1.4</v>
      </c>
      <c r="F157" s="118">
        <v>1.1000000000000001</v>
      </c>
      <c r="K157" s="44"/>
      <c r="L157" s="44"/>
      <c r="M157" s="44"/>
      <c r="N157" s="44"/>
      <c r="O157" s="44"/>
      <c r="P157" s="44"/>
    </row>
    <row r="158" spans="1:16" ht="15">
      <c r="A158" s="116">
        <v>2001</v>
      </c>
      <c r="B158" s="118">
        <v>15.7</v>
      </c>
      <c r="C158" s="118">
        <v>4</v>
      </c>
      <c r="D158" s="118">
        <v>9.6999999999999993</v>
      </c>
      <c r="E158" s="118">
        <v>1</v>
      </c>
      <c r="F158" s="118">
        <v>1.1000000000000001</v>
      </c>
      <c r="K158" s="44"/>
      <c r="L158" s="44"/>
      <c r="M158" s="44"/>
      <c r="N158" s="44"/>
      <c r="O158" s="44"/>
      <c r="P158" s="44"/>
    </row>
    <row r="159" spans="1:16" ht="15">
      <c r="A159" s="116">
        <v>2002</v>
      </c>
      <c r="B159" s="118">
        <v>15.1</v>
      </c>
      <c r="C159" s="118">
        <v>3.6</v>
      </c>
      <c r="D159" s="118">
        <v>9.5</v>
      </c>
      <c r="E159" s="118">
        <v>0.9</v>
      </c>
      <c r="F159" s="118">
        <v>1.1000000000000001</v>
      </c>
      <c r="K159" s="44"/>
      <c r="L159" s="44"/>
      <c r="M159" s="44"/>
      <c r="N159" s="44"/>
      <c r="O159" s="44"/>
      <c r="P159" s="44"/>
    </row>
    <row r="160" spans="1:16" ht="15">
      <c r="A160" s="116">
        <v>2003</v>
      </c>
      <c r="B160" s="118">
        <v>14.3</v>
      </c>
      <c r="C160" s="118">
        <v>2.8</v>
      </c>
      <c r="D160" s="118">
        <v>9.3000000000000007</v>
      </c>
      <c r="E160" s="118">
        <v>1.1000000000000001</v>
      </c>
      <c r="F160" s="118">
        <v>1.1000000000000001</v>
      </c>
      <c r="K160" s="44"/>
      <c r="L160" s="44"/>
      <c r="M160" s="44"/>
      <c r="N160" s="44"/>
      <c r="O160" s="44"/>
      <c r="P160" s="44"/>
    </row>
    <row r="161" spans="1:16" ht="15">
      <c r="A161" s="116">
        <v>2004</v>
      </c>
      <c r="B161" s="118">
        <v>14.6</v>
      </c>
      <c r="C161" s="118">
        <v>3</v>
      </c>
      <c r="D161" s="118">
        <v>9.3000000000000007</v>
      </c>
      <c r="E161" s="118">
        <v>1.2</v>
      </c>
      <c r="F161" s="118">
        <v>1</v>
      </c>
      <c r="K161" s="44"/>
      <c r="L161" s="44"/>
      <c r="M161" s="44"/>
      <c r="N161" s="44"/>
      <c r="O161" s="44"/>
      <c r="P161" s="44"/>
    </row>
    <row r="162" spans="1:16" ht="15">
      <c r="A162" s="116">
        <v>2005</v>
      </c>
      <c r="B162" s="118">
        <v>14.8</v>
      </c>
      <c r="C162" s="118">
        <v>3</v>
      </c>
      <c r="D162" s="118">
        <v>9.3000000000000007</v>
      </c>
      <c r="E162" s="118">
        <v>1.6</v>
      </c>
      <c r="F162" s="118">
        <v>1</v>
      </c>
      <c r="K162" s="44"/>
      <c r="L162" s="44"/>
      <c r="M162" s="44"/>
      <c r="N162" s="44"/>
      <c r="O162" s="44"/>
      <c r="P162" s="44"/>
    </row>
    <row r="163" spans="1:16" ht="15">
      <c r="A163" s="116">
        <v>2006</v>
      </c>
      <c r="B163" s="118">
        <v>14.9</v>
      </c>
      <c r="C163" s="118">
        <v>3</v>
      </c>
      <c r="D163" s="118">
        <v>9.1999999999999993</v>
      </c>
      <c r="E163" s="118">
        <v>1.7</v>
      </c>
      <c r="F163" s="118">
        <v>0.9</v>
      </c>
      <c r="K163" s="44"/>
      <c r="L163" s="44"/>
      <c r="M163" s="44"/>
      <c r="N163" s="44"/>
      <c r="O163" s="44"/>
      <c r="P163" s="44"/>
    </row>
    <row r="164" spans="1:16" ht="15">
      <c r="A164" s="116">
        <v>2007</v>
      </c>
      <c r="B164" s="118">
        <v>14.8</v>
      </c>
      <c r="C164" s="118">
        <v>3.3</v>
      </c>
      <c r="D164" s="118">
        <v>9.3000000000000007</v>
      </c>
      <c r="E164" s="118">
        <v>1.4</v>
      </c>
      <c r="F164" s="118">
        <v>0.8</v>
      </c>
      <c r="K164" s="44"/>
      <c r="L164" s="44"/>
      <c r="M164" s="44"/>
      <c r="N164" s="44"/>
      <c r="O164" s="44"/>
      <c r="P164" s="44"/>
    </row>
    <row r="165" spans="1:16" ht="15">
      <c r="A165" s="116">
        <v>2008</v>
      </c>
      <c r="B165" s="118">
        <v>12.2</v>
      </c>
      <c r="C165" s="118">
        <v>1.4</v>
      </c>
      <c r="D165" s="118">
        <v>9.1999999999999993</v>
      </c>
      <c r="E165" s="118">
        <v>0.9</v>
      </c>
      <c r="F165" s="118">
        <v>0.8</v>
      </c>
      <c r="K165" s="44"/>
      <c r="L165" s="44"/>
      <c r="M165" s="44"/>
      <c r="N165" s="44"/>
      <c r="O165" s="44"/>
      <c r="P165" s="44"/>
    </row>
    <row r="166" spans="1:16" ht="15">
      <c r="A166" s="116">
        <v>2009</v>
      </c>
      <c r="B166" s="118">
        <v>11.8</v>
      </c>
      <c r="C166" s="118">
        <v>1.4</v>
      </c>
      <c r="D166" s="118">
        <v>8.9</v>
      </c>
      <c r="E166" s="118">
        <v>0.7</v>
      </c>
      <c r="F166" s="118">
        <v>0.8</v>
      </c>
      <c r="K166" s="44"/>
      <c r="L166" s="44"/>
      <c r="M166" s="44"/>
      <c r="N166" s="44"/>
      <c r="O166" s="44"/>
      <c r="P166" s="44"/>
    </row>
    <row r="167" spans="1:16" ht="15">
      <c r="A167" s="116">
        <v>2010</v>
      </c>
      <c r="B167" s="118">
        <v>12.1</v>
      </c>
      <c r="C167" s="118">
        <v>1.7</v>
      </c>
      <c r="D167" s="118">
        <v>8.6999999999999993</v>
      </c>
      <c r="E167" s="118">
        <v>0.9</v>
      </c>
      <c r="F167" s="118">
        <v>0.8</v>
      </c>
      <c r="K167" s="44"/>
      <c r="L167" s="44"/>
      <c r="M167" s="44"/>
      <c r="N167" s="44"/>
      <c r="O167" s="44"/>
      <c r="P167" s="44"/>
    </row>
    <row r="168" spans="1:16" ht="15">
      <c r="A168" s="116">
        <v>2011</v>
      </c>
      <c r="B168" s="118">
        <v>12</v>
      </c>
      <c r="C168" s="118">
        <v>2.7</v>
      </c>
      <c r="D168" s="118">
        <v>7.6</v>
      </c>
      <c r="E168" s="118">
        <v>0.9</v>
      </c>
      <c r="F168" s="118">
        <v>0.9</v>
      </c>
      <c r="K168" s="44"/>
      <c r="L168" s="44"/>
      <c r="M168" s="44"/>
      <c r="N168" s="44"/>
      <c r="O168" s="44"/>
      <c r="P168" s="44"/>
    </row>
    <row r="169" spans="1:16" ht="15">
      <c r="A169" s="116">
        <v>2012</v>
      </c>
      <c r="B169" s="118">
        <v>12.2</v>
      </c>
      <c r="C169" s="118">
        <v>2.8</v>
      </c>
      <c r="D169" s="118">
        <v>7.6</v>
      </c>
      <c r="E169" s="118">
        <v>0.9</v>
      </c>
      <c r="F169" s="118">
        <v>0.9</v>
      </c>
      <c r="K169" s="44"/>
      <c r="L169" s="44"/>
      <c r="M169" s="44"/>
      <c r="N169" s="44"/>
      <c r="O169" s="44"/>
      <c r="P169" s="44"/>
    </row>
    <row r="170" spans="1:16" ht="15">
      <c r="A170" s="116">
        <v>2013</v>
      </c>
      <c r="B170" s="118">
        <v>13.7</v>
      </c>
      <c r="C170" s="118">
        <v>2.9</v>
      </c>
      <c r="D170" s="118">
        <v>8.8000000000000007</v>
      </c>
      <c r="E170" s="118">
        <v>1.1000000000000001</v>
      </c>
      <c r="F170" s="118">
        <v>0.9</v>
      </c>
      <c r="K170" s="44"/>
      <c r="L170" s="44"/>
      <c r="M170" s="44"/>
      <c r="N170" s="44"/>
      <c r="O170" s="44"/>
      <c r="P170" s="44"/>
    </row>
    <row r="171" spans="1:16" ht="15">
      <c r="A171" s="116">
        <v>2014</v>
      </c>
      <c r="B171" s="118">
        <v>14</v>
      </c>
      <c r="C171" s="118">
        <v>2.8</v>
      </c>
      <c r="D171" s="118">
        <v>9</v>
      </c>
      <c r="E171" s="118">
        <v>1.1000000000000001</v>
      </c>
      <c r="F171" s="118">
        <v>1</v>
      </c>
      <c r="K171" s="44"/>
      <c r="L171" s="44"/>
      <c r="M171" s="44"/>
      <c r="N171" s="44"/>
      <c r="O171" s="44"/>
      <c r="P171" s="44"/>
    </row>
    <row r="172" spans="1:16" ht="15">
      <c r="A172" s="116">
        <v>2015</v>
      </c>
      <c r="B172" s="118">
        <v>14</v>
      </c>
      <c r="C172" s="118">
        <v>3</v>
      </c>
      <c r="D172" s="118">
        <v>8.9</v>
      </c>
      <c r="E172" s="118">
        <v>1.1000000000000001</v>
      </c>
      <c r="F172" s="118">
        <v>1</v>
      </c>
      <c r="K172" s="44"/>
      <c r="L172" s="44"/>
      <c r="M172" s="44"/>
      <c r="N172" s="44"/>
      <c r="O172" s="44"/>
      <c r="P172" s="44"/>
    </row>
    <row r="173" spans="1:16" ht="15">
      <c r="A173" s="116">
        <v>2016</v>
      </c>
      <c r="B173" s="118">
        <v>13.9</v>
      </c>
      <c r="C173" s="118">
        <v>3.1</v>
      </c>
      <c r="D173" s="118">
        <v>8.9</v>
      </c>
      <c r="E173" s="118">
        <v>1</v>
      </c>
      <c r="F173" s="118">
        <v>0.9</v>
      </c>
      <c r="K173" s="44"/>
      <c r="L173" s="44"/>
      <c r="M173" s="44"/>
      <c r="N173" s="44"/>
      <c r="O173" s="44"/>
      <c r="P173" s="44"/>
    </row>
    <row r="174" spans="1:16" ht="15"/>
    <row r="175" spans="1:16" ht="15">
      <c r="B175" s="774" t="s">
        <v>8</v>
      </c>
      <c r="C175" s="774"/>
      <c r="D175" s="774"/>
      <c r="E175" s="774"/>
      <c r="F175" s="774"/>
      <c r="G175" s="115"/>
      <c r="H175" s="115"/>
      <c r="K175" s="127"/>
    </row>
    <row r="176" spans="1:16" ht="15">
      <c r="A176" s="116">
        <v>1979</v>
      </c>
      <c r="B176" s="118">
        <v>21.7</v>
      </c>
      <c r="C176" s="118">
        <v>10.1</v>
      </c>
      <c r="D176" s="118">
        <v>8.5</v>
      </c>
      <c r="E176" s="118">
        <v>2.2000000000000002</v>
      </c>
      <c r="F176" s="118">
        <v>0.9</v>
      </c>
    </row>
    <row r="177" spans="1:6" ht="15">
      <c r="A177" s="116">
        <v>1980</v>
      </c>
      <c r="B177" s="118">
        <v>21.8</v>
      </c>
      <c r="C177" s="118">
        <v>10.7</v>
      </c>
      <c r="D177" s="118">
        <v>8.5</v>
      </c>
      <c r="E177" s="118">
        <v>1.9</v>
      </c>
      <c r="F177" s="118">
        <v>0.8</v>
      </c>
    </row>
    <row r="178" spans="1:6" ht="15">
      <c r="A178" s="116">
        <v>1981</v>
      </c>
      <c r="B178" s="118">
        <v>22.3</v>
      </c>
      <c r="C178" s="118">
        <v>11</v>
      </c>
      <c r="D178" s="118">
        <v>9.1</v>
      </c>
      <c r="E178" s="118">
        <v>1.5</v>
      </c>
      <c r="F178" s="118">
        <v>0.7</v>
      </c>
    </row>
    <row r="179" spans="1:6" ht="15">
      <c r="A179" s="116">
        <v>1982</v>
      </c>
      <c r="B179" s="118">
        <v>20.6</v>
      </c>
      <c r="C179" s="118">
        <v>10</v>
      </c>
      <c r="D179" s="118">
        <v>9</v>
      </c>
      <c r="E179" s="118">
        <v>0.9</v>
      </c>
      <c r="F179" s="118">
        <v>0.8</v>
      </c>
    </row>
    <row r="180" spans="1:6" ht="15">
      <c r="A180" s="116">
        <v>1983</v>
      </c>
      <c r="B180" s="118">
        <v>20.100000000000001</v>
      </c>
      <c r="C180" s="118">
        <v>9</v>
      </c>
      <c r="D180" s="118">
        <v>9</v>
      </c>
      <c r="E180" s="118">
        <v>1.2</v>
      </c>
      <c r="F180" s="118">
        <v>0.9</v>
      </c>
    </row>
    <row r="181" spans="1:6" ht="15">
      <c r="A181" s="116">
        <v>1984</v>
      </c>
      <c r="B181" s="118">
        <v>20.3</v>
      </c>
      <c r="C181" s="118">
        <v>8.8000000000000007</v>
      </c>
      <c r="D181" s="118">
        <v>9.1999999999999993</v>
      </c>
      <c r="E181" s="118">
        <v>1.4</v>
      </c>
      <c r="F181" s="118">
        <v>1</v>
      </c>
    </row>
    <row r="182" spans="1:6" ht="15">
      <c r="A182" s="116">
        <v>1985</v>
      </c>
      <c r="B182" s="118">
        <v>20.5</v>
      </c>
      <c r="C182" s="118">
        <v>8.8000000000000007</v>
      </c>
      <c r="D182" s="118">
        <v>9.5</v>
      </c>
      <c r="E182" s="118">
        <v>1.3</v>
      </c>
      <c r="F182" s="118">
        <v>0.9</v>
      </c>
    </row>
    <row r="183" spans="1:6" ht="15">
      <c r="A183" s="116">
        <v>1986</v>
      </c>
      <c r="B183" s="118">
        <v>20.6</v>
      </c>
      <c r="C183" s="118">
        <v>8.8000000000000007</v>
      </c>
      <c r="D183" s="118">
        <v>9.6999999999999993</v>
      </c>
      <c r="E183" s="118">
        <v>1.3</v>
      </c>
      <c r="F183" s="118">
        <v>0.9</v>
      </c>
    </row>
    <row r="184" spans="1:6" ht="15">
      <c r="A184" s="116">
        <v>1987</v>
      </c>
      <c r="B184" s="118">
        <v>20.399999999999999</v>
      </c>
      <c r="C184" s="118">
        <v>8.1</v>
      </c>
      <c r="D184" s="118">
        <v>9.6999999999999993</v>
      </c>
      <c r="E184" s="118">
        <v>1.7</v>
      </c>
      <c r="F184" s="118">
        <v>0.9</v>
      </c>
    </row>
    <row r="185" spans="1:6" ht="15">
      <c r="A185" s="116">
        <v>1988</v>
      </c>
      <c r="B185" s="118">
        <v>20.8</v>
      </c>
      <c r="C185" s="118">
        <v>8.1999999999999993</v>
      </c>
      <c r="D185" s="118">
        <v>10.1</v>
      </c>
      <c r="E185" s="118">
        <v>1.6</v>
      </c>
      <c r="F185" s="118">
        <v>0.9</v>
      </c>
    </row>
    <row r="186" spans="1:6" ht="15">
      <c r="A186" s="116">
        <v>1989</v>
      </c>
      <c r="B186" s="118">
        <v>20.8</v>
      </c>
      <c r="C186" s="118">
        <v>8.3000000000000007</v>
      </c>
      <c r="D186" s="118">
        <v>10</v>
      </c>
      <c r="E186" s="118">
        <v>1.6</v>
      </c>
      <c r="F186" s="118">
        <v>0.9</v>
      </c>
    </row>
    <row r="187" spans="1:6" ht="15">
      <c r="A187" s="116">
        <v>1990</v>
      </c>
      <c r="B187" s="118">
        <v>20.8</v>
      </c>
      <c r="C187" s="118">
        <v>8.1999999999999993</v>
      </c>
      <c r="D187" s="118">
        <v>10.1</v>
      </c>
      <c r="E187" s="118">
        <v>1.5</v>
      </c>
      <c r="F187" s="118">
        <v>0.9</v>
      </c>
    </row>
    <row r="188" spans="1:6" ht="15">
      <c r="A188" s="116">
        <v>1991</v>
      </c>
      <c r="B188" s="118">
        <v>20.5</v>
      </c>
      <c r="C188" s="118">
        <v>8.1</v>
      </c>
      <c r="D188" s="118">
        <v>10.1</v>
      </c>
      <c r="E188" s="118">
        <v>1.4</v>
      </c>
      <c r="F188" s="118">
        <v>1</v>
      </c>
    </row>
    <row r="189" spans="1:6" ht="15">
      <c r="A189" s="116">
        <v>1992</v>
      </c>
      <c r="B189" s="118">
        <v>20.3</v>
      </c>
      <c r="C189" s="118">
        <v>7.8</v>
      </c>
      <c r="D189" s="118">
        <v>10</v>
      </c>
      <c r="E189" s="118">
        <v>1.5</v>
      </c>
      <c r="F189" s="118">
        <v>1</v>
      </c>
    </row>
    <row r="190" spans="1:6" ht="15">
      <c r="A190" s="116">
        <v>1993</v>
      </c>
      <c r="B190" s="118">
        <v>20.3</v>
      </c>
      <c r="C190" s="118">
        <v>7.7</v>
      </c>
      <c r="D190" s="118">
        <v>10</v>
      </c>
      <c r="E190" s="118">
        <v>1.6</v>
      </c>
      <c r="F190" s="118">
        <v>1</v>
      </c>
    </row>
    <row r="191" spans="1:6" ht="15">
      <c r="A191" s="116">
        <v>1994</v>
      </c>
      <c r="B191" s="118">
        <v>20.7</v>
      </c>
      <c r="C191" s="118">
        <v>7.8</v>
      </c>
      <c r="D191" s="118">
        <v>10.1</v>
      </c>
      <c r="E191" s="118">
        <v>1.7</v>
      </c>
      <c r="F191" s="118">
        <v>1.1000000000000001</v>
      </c>
    </row>
    <row r="192" spans="1:6" ht="15">
      <c r="A192" s="116">
        <v>1995</v>
      </c>
      <c r="B192" s="118">
        <v>20.7</v>
      </c>
      <c r="C192" s="118">
        <v>7.8</v>
      </c>
      <c r="D192" s="118">
        <v>10.1</v>
      </c>
      <c r="E192" s="118">
        <v>1.8</v>
      </c>
      <c r="F192" s="118">
        <v>1.1000000000000001</v>
      </c>
    </row>
    <row r="193" spans="1:6" ht="15">
      <c r="A193" s="116">
        <v>1996</v>
      </c>
      <c r="B193" s="118">
        <v>20.7</v>
      </c>
      <c r="C193" s="118">
        <v>7.9</v>
      </c>
      <c r="D193" s="118">
        <v>10</v>
      </c>
      <c r="E193" s="118">
        <v>1.8</v>
      </c>
      <c r="F193" s="118">
        <v>0.9</v>
      </c>
    </row>
    <row r="194" spans="1:6" ht="15">
      <c r="A194" s="116">
        <v>1997</v>
      </c>
      <c r="B194" s="118">
        <v>20.7</v>
      </c>
      <c r="C194" s="118">
        <v>8</v>
      </c>
      <c r="D194" s="118">
        <v>10</v>
      </c>
      <c r="E194" s="118">
        <v>1.8</v>
      </c>
      <c r="F194" s="118">
        <v>0.9</v>
      </c>
    </row>
    <row r="195" spans="1:6" ht="15">
      <c r="A195" s="116">
        <v>1998</v>
      </c>
      <c r="B195" s="118">
        <v>20.6</v>
      </c>
      <c r="C195" s="118">
        <v>7.9</v>
      </c>
      <c r="D195" s="118">
        <v>10.1</v>
      </c>
      <c r="E195" s="118">
        <v>1.6</v>
      </c>
      <c r="F195" s="118">
        <v>0.9</v>
      </c>
    </row>
    <row r="196" spans="1:6" ht="15">
      <c r="A196" s="116">
        <v>1999</v>
      </c>
      <c r="B196" s="118">
        <v>20.7</v>
      </c>
      <c r="C196" s="118">
        <v>8</v>
      </c>
      <c r="D196" s="118">
        <v>10.1</v>
      </c>
      <c r="E196" s="118">
        <v>1.6</v>
      </c>
      <c r="F196" s="118">
        <v>1</v>
      </c>
    </row>
    <row r="197" spans="1:6" ht="15">
      <c r="A197" s="116">
        <v>2000</v>
      </c>
      <c r="B197" s="118">
        <v>20.7</v>
      </c>
      <c r="C197" s="118">
        <v>8.1</v>
      </c>
      <c r="D197" s="118">
        <v>10.1</v>
      </c>
      <c r="E197" s="118">
        <v>1.5</v>
      </c>
      <c r="F197" s="118">
        <v>0.9</v>
      </c>
    </row>
    <row r="198" spans="1:6" ht="15">
      <c r="A198" s="116">
        <v>2001</v>
      </c>
      <c r="B198" s="118">
        <v>19.3</v>
      </c>
      <c r="C198" s="118">
        <v>7.1</v>
      </c>
      <c r="D198" s="118">
        <v>10.199999999999999</v>
      </c>
      <c r="E198" s="118">
        <v>1.1000000000000001</v>
      </c>
      <c r="F198" s="118">
        <v>0.9</v>
      </c>
    </row>
    <row r="199" spans="1:6" ht="15">
      <c r="A199" s="116">
        <v>2002</v>
      </c>
      <c r="B199" s="118">
        <v>18.5</v>
      </c>
      <c r="C199" s="118">
        <v>6.7</v>
      </c>
      <c r="D199" s="118">
        <v>9.9</v>
      </c>
      <c r="E199" s="118">
        <v>1</v>
      </c>
      <c r="F199" s="118">
        <v>0.9</v>
      </c>
    </row>
    <row r="200" spans="1:6" ht="15">
      <c r="A200" s="116">
        <v>2003</v>
      </c>
      <c r="B200" s="118">
        <v>17.8</v>
      </c>
      <c r="C200" s="118">
        <v>5.9</v>
      </c>
      <c r="D200" s="118">
        <v>9.9</v>
      </c>
      <c r="E200" s="118">
        <v>1.2</v>
      </c>
      <c r="F200" s="118">
        <v>0.9</v>
      </c>
    </row>
    <row r="201" spans="1:6" ht="15">
      <c r="A201" s="116">
        <v>2004</v>
      </c>
      <c r="B201" s="118">
        <v>18</v>
      </c>
      <c r="C201" s="118">
        <v>5.9</v>
      </c>
      <c r="D201" s="118">
        <v>9.8000000000000007</v>
      </c>
      <c r="E201" s="118">
        <v>1.4</v>
      </c>
      <c r="F201" s="118">
        <v>0.9</v>
      </c>
    </row>
    <row r="202" spans="1:6" ht="15">
      <c r="A202" s="116">
        <v>2005</v>
      </c>
      <c r="B202" s="118">
        <v>18.3</v>
      </c>
      <c r="C202" s="118">
        <v>6</v>
      </c>
      <c r="D202" s="118">
        <v>9.6999999999999993</v>
      </c>
      <c r="E202" s="118">
        <v>1.8</v>
      </c>
      <c r="F202" s="118">
        <v>0.8</v>
      </c>
    </row>
    <row r="203" spans="1:6" ht="15">
      <c r="A203" s="116">
        <v>2006</v>
      </c>
      <c r="B203" s="118">
        <v>18.3</v>
      </c>
      <c r="C203" s="118">
        <v>6</v>
      </c>
      <c r="D203" s="118">
        <v>9.6</v>
      </c>
      <c r="E203" s="118">
        <v>1.9</v>
      </c>
      <c r="F203" s="118">
        <v>0.7</v>
      </c>
    </row>
    <row r="204" spans="1:6" ht="15">
      <c r="A204" s="116">
        <v>2007</v>
      </c>
      <c r="B204" s="118">
        <v>18.100000000000001</v>
      </c>
      <c r="C204" s="118">
        <v>6.2</v>
      </c>
      <c r="D204" s="118">
        <v>9.6</v>
      </c>
      <c r="E204" s="118">
        <v>1.6</v>
      </c>
      <c r="F204" s="118">
        <v>0.7</v>
      </c>
    </row>
    <row r="205" spans="1:6" ht="15">
      <c r="A205" s="116">
        <v>2008</v>
      </c>
      <c r="B205" s="118">
        <v>16</v>
      </c>
      <c r="C205" s="118">
        <v>4.8</v>
      </c>
      <c r="D205" s="118">
        <v>9.6</v>
      </c>
      <c r="E205" s="118">
        <v>1</v>
      </c>
      <c r="F205" s="118">
        <v>0.6</v>
      </c>
    </row>
    <row r="206" spans="1:6" ht="15">
      <c r="A206" s="116">
        <v>2009</v>
      </c>
      <c r="B206" s="118">
        <v>15.5</v>
      </c>
      <c r="C206" s="118">
        <v>4.7</v>
      </c>
      <c r="D206" s="118">
        <v>9.3000000000000007</v>
      </c>
      <c r="E206" s="118">
        <v>0.8</v>
      </c>
      <c r="F206" s="118">
        <v>0.6</v>
      </c>
    </row>
    <row r="207" spans="1:6" ht="15">
      <c r="A207" s="116">
        <v>2010</v>
      </c>
      <c r="B207" s="118">
        <v>15.9</v>
      </c>
      <c r="C207" s="118">
        <v>5</v>
      </c>
      <c r="D207" s="118">
        <v>9.1999999999999993</v>
      </c>
      <c r="E207" s="118">
        <v>1</v>
      </c>
      <c r="F207" s="118">
        <v>0.6</v>
      </c>
    </row>
    <row r="208" spans="1:6" ht="15">
      <c r="A208" s="116">
        <v>2011</v>
      </c>
      <c r="B208" s="118">
        <v>15.7</v>
      </c>
      <c r="C208" s="118">
        <v>6</v>
      </c>
      <c r="D208" s="118">
        <v>8</v>
      </c>
      <c r="E208" s="118">
        <v>1</v>
      </c>
      <c r="F208" s="118">
        <v>0.7</v>
      </c>
    </row>
    <row r="209" spans="1:8" ht="15">
      <c r="A209" s="116">
        <v>2012</v>
      </c>
      <c r="B209" s="118">
        <v>15.9</v>
      </c>
      <c r="C209" s="118">
        <v>6.1</v>
      </c>
      <c r="D209" s="118">
        <v>8</v>
      </c>
      <c r="E209" s="118">
        <v>1.1000000000000001</v>
      </c>
      <c r="F209" s="118">
        <v>0.7</v>
      </c>
    </row>
    <row r="210" spans="1:8" ht="15">
      <c r="A210" s="116">
        <v>2013</v>
      </c>
      <c r="B210" s="118">
        <v>17.399999999999999</v>
      </c>
      <c r="C210" s="118">
        <v>6.2</v>
      </c>
      <c r="D210" s="118">
        <v>9.1999999999999993</v>
      </c>
      <c r="E210" s="118">
        <v>1.3</v>
      </c>
      <c r="F210" s="118">
        <v>0.7</v>
      </c>
    </row>
    <row r="211" spans="1:8" ht="15">
      <c r="A211" s="116">
        <v>2014</v>
      </c>
      <c r="B211" s="118">
        <v>17.8</v>
      </c>
      <c r="C211" s="118">
        <v>6.4</v>
      </c>
      <c r="D211" s="118">
        <v>9.3000000000000007</v>
      </c>
      <c r="E211" s="118">
        <v>1.3</v>
      </c>
      <c r="F211" s="118">
        <v>0.8</v>
      </c>
    </row>
    <row r="212" spans="1:8" ht="15">
      <c r="A212" s="116">
        <v>2015</v>
      </c>
      <c r="B212" s="118">
        <v>17.899999999999999</v>
      </c>
      <c r="C212" s="118">
        <v>6.6</v>
      </c>
      <c r="D212" s="118">
        <v>9.3000000000000007</v>
      </c>
      <c r="E212" s="118">
        <v>1.3</v>
      </c>
      <c r="F212" s="118">
        <v>0.8</v>
      </c>
    </row>
    <row r="213" spans="1:8" ht="15">
      <c r="A213" s="116">
        <v>2016</v>
      </c>
      <c r="B213" s="118">
        <v>17.899999999999999</v>
      </c>
      <c r="C213" s="118">
        <v>6.7</v>
      </c>
      <c r="D213" s="118">
        <v>9.3000000000000007</v>
      </c>
      <c r="E213" s="118">
        <v>1.2</v>
      </c>
      <c r="F213" s="118">
        <v>0.7</v>
      </c>
    </row>
    <row r="214" spans="1:8" ht="15"/>
    <row r="215" spans="1:8" ht="15">
      <c r="B215" s="774" t="s">
        <v>9</v>
      </c>
      <c r="C215" s="774"/>
      <c r="D215" s="774"/>
      <c r="E215" s="774"/>
      <c r="F215" s="774"/>
      <c r="G215" s="115"/>
      <c r="H215" s="115"/>
    </row>
    <row r="216" spans="1:8" ht="15">
      <c r="A216" s="116">
        <v>1979</v>
      </c>
      <c r="B216" s="118">
        <v>27.1</v>
      </c>
      <c r="C216" s="118">
        <v>15.9</v>
      </c>
      <c r="D216" s="118">
        <v>5.5</v>
      </c>
      <c r="E216" s="118">
        <v>5</v>
      </c>
      <c r="F216" s="118">
        <v>0.7</v>
      </c>
    </row>
    <row r="217" spans="1:8" ht="15">
      <c r="A217" s="116">
        <v>1980</v>
      </c>
      <c r="B217" s="118">
        <v>26.9</v>
      </c>
      <c r="C217" s="118">
        <v>16.600000000000001</v>
      </c>
      <c r="D217" s="118">
        <v>5.6</v>
      </c>
      <c r="E217" s="118">
        <v>4.0999999999999996</v>
      </c>
      <c r="F217" s="118">
        <v>0.6</v>
      </c>
    </row>
    <row r="218" spans="1:8" ht="15">
      <c r="A218" s="116">
        <v>1981</v>
      </c>
      <c r="B218" s="118">
        <v>26.6</v>
      </c>
      <c r="C218" s="118">
        <v>16.7</v>
      </c>
      <c r="D218" s="118">
        <v>6.1</v>
      </c>
      <c r="E218" s="118">
        <v>3.2</v>
      </c>
      <c r="F218" s="118">
        <v>0.6</v>
      </c>
    </row>
    <row r="219" spans="1:8" ht="15">
      <c r="A219" s="116">
        <v>1982</v>
      </c>
      <c r="B219" s="118">
        <v>24.2</v>
      </c>
      <c r="C219" s="118">
        <v>15.3</v>
      </c>
      <c r="D219" s="118">
        <v>6.3</v>
      </c>
      <c r="E219" s="118">
        <v>1.9</v>
      </c>
      <c r="F219" s="118">
        <v>0.6</v>
      </c>
    </row>
    <row r="220" spans="1:8" ht="15">
      <c r="A220" s="116">
        <v>1983</v>
      </c>
      <c r="B220" s="118">
        <v>23.6</v>
      </c>
      <c r="C220" s="118">
        <v>14.1</v>
      </c>
      <c r="D220" s="118">
        <v>6.3</v>
      </c>
      <c r="E220" s="118">
        <v>2.5</v>
      </c>
      <c r="F220" s="118">
        <v>0.7</v>
      </c>
    </row>
    <row r="221" spans="1:8" ht="15">
      <c r="A221" s="116">
        <v>1984</v>
      </c>
      <c r="B221" s="118">
        <v>23.7</v>
      </c>
      <c r="C221" s="118">
        <v>13.9</v>
      </c>
      <c r="D221" s="118">
        <v>6.4</v>
      </c>
      <c r="E221" s="118">
        <v>2.8</v>
      </c>
      <c r="F221" s="118">
        <v>0.7</v>
      </c>
    </row>
    <row r="222" spans="1:8" ht="15">
      <c r="A222" s="116">
        <v>1985</v>
      </c>
      <c r="B222" s="118">
        <v>23.7</v>
      </c>
      <c r="C222" s="118">
        <v>14</v>
      </c>
      <c r="D222" s="118">
        <v>6.5</v>
      </c>
      <c r="E222" s="118">
        <v>2.6</v>
      </c>
      <c r="F222" s="118">
        <v>0.7</v>
      </c>
    </row>
    <row r="223" spans="1:8" ht="15">
      <c r="A223" s="116">
        <v>1986</v>
      </c>
      <c r="B223" s="118">
        <v>23.5</v>
      </c>
      <c r="C223" s="118">
        <v>14.2</v>
      </c>
      <c r="D223" s="118">
        <v>6.1</v>
      </c>
      <c r="E223" s="118">
        <v>2.6</v>
      </c>
      <c r="F223" s="118">
        <v>0.6</v>
      </c>
    </row>
    <row r="224" spans="1:8" ht="15">
      <c r="A224" s="116">
        <v>1987</v>
      </c>
      <c r="B224" s="118">
        <v>25.6</v>
      </c>
      <c r="C224" s="118">
        <v>14.9</v>
      </c>
      <c r="D224" s="118">
        <v>6.7</v>
      </c>
      <c r="E224" s="118">
        <v>3.3</v>
      </c>
      <c r="F224" s="118">
        <v>0.7</v>
      </c>
    </row>
    <row r="225" spans="1:6" ht="15">
      <c r="A225" s="116">
        <v>1988</v>
      </c>
      <c r="B225" s="118">
        <v>25.4</v>
      </c>
      <c r="C225" s="118">
        <v>14.9</v>
      </c>
      <c r="D225" s="118">
        <v>6.6</v>
      </c>
      <c r="E225" s="118">
        <v>3.2</v>
      </c>
      <c r="F225" s="118">
        <v>0.6</v>
      </c>
    </row>
    <row r="226" spans="1:6" ht="15">
      <c r="A226" s="116">
        <v>1989</v>
      </c>
      <c r="B226" s="118">
        <v>25</v>
      </c>
      <c r="C226" s="118">
        <v>14.7</v>
      </c>
      <c r="D226" s="118">
        <v>6.6</v>
      </c>
      <c r="E226" s="118">
        <v>3.1</v>
      </c>
      <c r="F226" s="118">
        <v>0.6</v>
      </c>
    </row>
    <row r="227" spans="1:6" ht="15">
      <c r="A227" s="116">
        <v>1990</v>
      </c>
      <c r="B227" s="118">
        <v>24.9</v>
      </c>
      <c r="C227" s="118">
        <v>14.5</v>
      </c>
      <c r="D227" s="118">
        <v>6.9</v>
      </c>
      <c r="E227" s="118">
        <v>3</v>
      </c>
      <c r="F227" s="118">
        <v>0.6</v>
      </c>
    </row>
    <row r="228" spans="1:6" ht="15">
      <c r="A228" s="116">
        <v>1991</v>
      </c>
      <c r="B228" s="118">
        <v>25.2</v>
      </c>
      <c r="C228" s="118">
        <v>14.4</v>
      </c>
      <c r="D228" s="118">
        <v>7.4</v>
      </c>
      <c r="E228" s="118">
        <v>2.7</v>
      </c>
      <c r="F228" s="118">
        <v>0.7</v>
      </c>
    </row>
    <row r="229" spans="1:6" ht="15">
      <c r="A229" s="116">
        <v>1992</v>
      </c>
      <c r="B229" s="118">
        <v>25.4</v>
      </c>
      <c r="C229" s="118">
        <v>14.6</v>
      </c>
      <c r="D229" s="118">
        <v>7.2</v>
      </c>
      <c r="E229" s="118">
        <v>3</v>
      </c>
      <c r="F229" s="118">
        <v>0.7</v>
      </c>
    </row>
    <row r="230" spans="1:6" ht="15">
      <c r="A230" s="116">
        <v>1993</v>
      </c>
      <c r="B230" s="118">
        <v>26.5</v>
      </c>
      <c r="C230" s="118">
        <v>14.9</v>
      </c>
      <c r="D230" s="118">
        <v>7.3</v>
      </c>
      <c r="E230" s="118">
        <v>3.5</v>
      </c>
      <c r="F230" s="118">
        <v>0.7</v>
      </c>
    </row>
    <row r="231" spans="1:6" ht="15">
      <c r="A231" s="116">
        <v>1994</v>
      </c>
      <c r="B231" s="118">
        <v>27.1</v>
      </c>
      <c r="C231" s="118">
        <v>15.1</v>
      </c>
      <c r="D231" s="118">
        <v>7.5</v>
      </c>
      <c r="E231" s="118">
        <v>3.7</v>
      </c>
      <c r="F231" s="118">
        <v>0.7</v>
      </c>
    </row>
    <row r="232" spans="1:6" ht="15">
      <c r="A232" s="116">
        <v>1995</v>
      </c>
      <c r="B232" s="118">
        <v>27.5</v>
      </c>
      <c r="C232" s="118">
        <v>15.6</v>
      </c>
      <c r="D232" s="118">
        <v>7.3</v>
      </c>
      <c r="E232" s="118">
        <v>4</v>
      </c>
      <c r="F232" s="118">
        <v>0.7</v>
      </c>
    </row>
    <row r="233" spans="1:6" ht="15">
      <c r="A233" s="116">
        <v>1996</v>
      </c>
      <c r="B233" s="118">
        <v>27.7</v>
      </c>
      <c r="C233" s="118">
        <v>16.100000000000001</v>
      </c>
      <c r="D233" s="118">
        <v>6.9</v>
      </c>
      <c r="E233" s="118">
        <v>4</v>
      </c>
      <c r="F233" s="118">
        <v>0.6</v>
      </c>
    </row>
    <row r="234" spans="1:6" ht="15">
      <c r="A234" s="116">
        <v>1997</v>
      </c>
      <c r="B234" s="118">
        <v>27.7</v>
      </c>
      <c r="C234" s="118">
        <v>16.399999999999999</v>
      </c>
      <c r="D234" s="118">
        <v>6.7</v>
      </c>
      <c r="E234" s="118">
        <v>4</v>
      </c>
      <c r="F234" s="118">
        <v>0.6</v>
      </c>
    </row>
    <row r="235" spans="1:6" ht="15">
      <c r="A235" s="116">
        <v>1998</v>
      </c>
      <c r="B235" s="118">
        <v>27.4</v>
      </c>
      <c r="C235" s="118">
        <v>16.600000000000001</v>
      </c>
      <c r="D235" s="118">
        <v>6.6</v>
      </c>
      <c r="E235" s="118">
        <v>3.6</v>
      </c>
      <c r="F235" s="118">
        <v>0.6</v>
      </c>
    </row>
    <row r="236" spans="1:6" ht="15">
      <c r="A236" s="116">
        <v>1999</v>
      </c>
      <c r="B236" s="118">
        <v>27.8</v>
      </c>
      <c r="C236" s="118">
        <v>17.2</v>
      </c>
      <c r="D236" s="118">
        <v>6.5</v>
      </c>
      <c r="E236" s="118">
        <v>3.5</v>
      </c>
      <c r="F236" s="118">
        <v>0.6</v>
      </c>
    </row>
    <row r="237" spans="1:6" ht="15">
      <c r="A237" s="116">
        <v>2000</v>
      </c>
      <c r="B237" s="118">
        <v>27.8</v>
      </c>
      <c r="C237" s="118">
        <v>17.600000000000001</v>
      </c>
      <c r="D237" s="118">
        <v>6.3</v>
      </c>
      <c r="E237" s="118">
        <v>3.3</v>
      </c>
      <c r="F237" s="118">
        <v>0.5</v>
      </c>
    </row>
    <row r="238" spans="1:6" ht="15">
      <c r="A238" s="116">
        <v>2001</v>
      </c>
      <c r="B238" s="118">
        <v>26.6</v>
      </c>
      <c r="C238" s="118">
        <v>16.5</v>
      </c>
      <c r="D238" s="118">
        <v>7.2</v>
      </c>
      <c r="E238" s="118">
        <v>2.5</v>
      </c>
      <c r="F238" s="118">
        <v>0.5</v>
      </c>
    </row>
    <row r="239" spans="1:6" ht="15">
      <c r="A239" s="116">
        <v>2002</v>
      </c>
      <c r="B239" s="118">
        <v>25.9</v>
      </c>
      <c r="C239" s="118">
        <v>15.6</v>
      </c>
      <c r="D239" s="118">
        <v>7.4</v>
      </c>
      <c r="E239" s="118">
        <v>2.2999999999999998</v>
      </c>
      <c r="F239" s="118">
        <v>0.5</v>
      </c>
    </row>
    <row r="240" spans="1:6" ht="15">
      <c r="A240" s="116">
        <v>2003</v>
      </c>
      <c r="B240" s="118">
        <v>24.8</v>
      </c>
      <c r="C240" s="118">
        <v>13.8</v>
      </c>
      <c r="D240" s="118">
        <v>7.3</v>
      </c>
      <c r="E240" s="118">
        <v>3.1</v>
      </c>
      <c r="F240" s="118">
        <v>0.5</v>
      </c>
    </row>
    <row r="241" spans="1:8" ht="15">
      <c r="A241" s="116">
        <v>2004</v>
      </c>
      <c r="B241" s="118">
        <v>25.1</v>
      </c>
      <c r="C241" s="118">
        <v>14</v>
      </c>
      <c r="D241" s="118">
        <v>6.7</v>
      </c>
      <c r="E241" s="118">
        <v>3.8</v>
      </c>
      <c r="F241" s="118">
        <v>0.5</v>
      </c>
    </row>
    <row r="242" spans="1:8" ht="15">
      <c r="A242" s="116">
        <v>2005</v>
      </c>
      <c r="B242" s="118">
        <v>25.5</v>
      </c>
      <c r="C242" s="118">
        <v>14.2</v>
      </c>
      <c r="D242" s="118">
        <v>6.2</v>
      </c>
      <c r="E242" s="118">
        <v>4.7</v>
      </c>
      <c r="F242" s="118">
        <v>0.5</v>
      </c>
    </row>
    <row r="243" spans="1:8" ht="15">
      <c r="A243" s="116">
        <v>2006</v>
      </c>
      <c r="B243" s="118">
        <v>25.5</v>
      </c>
      <c r="C243" s="118">
        <v>14.3</v>
      </c>
      <c r="D243" s="118">
        <v>6</v>
      </c>
      <c r="E243" s="118">
        <v>4.9000000000000004</v>
      </c>
      <c r="F243" s="118">
        <v>0.4</v>
      </c>
    </row>
    <row r="244" spans="1:8" ht="15">
      <c r="A244" s="116">
        <v>2007</v>
      </c>
      <c r="B244" s="118">
        <v>24.8</v>
      </c>
      <c r="C244" s="118">
        <v>14.5</v>
      </c>
      <c r="D244" s="118">
        <v>5.8</v>
      </c>
      <c r="E244" s="118">
        <v>4.0999999999999996</v>
      </c>
      <c r="F244" s="118">
        <v>0.4</v>
      </c>
    </row>
    <row r="245" spans="1:8" ht="15">
      <c r="A245" s="116">
        <v>2008</v>
      </c>
      <c r="B245" s="118">
        <v>23.7</v>
      </c>
      <c r="C245" s="118">
        <v>14.1</v>
      </c>
      <c r="D245" s="118">
        <v>6.6</v>
      </c>
      <c r="E245" s="118">
        <v>2.7</v>
      </c>
      <c r="F245" s="118">
        <v>0.4</v>
      </c>
    </row>
    <row r="246" spans="1:8" ht="15">
      <c r="A246" s="116">
        <v>2009</v>
      </c>
      <c r="B246" s="118">
        <v>23.2</v>
      </c>
      <c r="C246" s="118">
        <v>13.4</v>
      </c>
      <c r="D246" s="118">
        <v>7.2</v>
      </c>
      <c r="E246" s="118">
        <v>2.2000000000000002</v>
      </c>
      <c r="F246" s="118">
        <v>0.4</v>
      </c>
    </row>
    <row r="247" spans="1:8" ht="15">
      <c r="A247" s="116">
        <v>2010</v>
      </c>
      <c r="B247" s="118">
        <v>24</v>
      </c>
      <c r="C247" s="118">
        <v>13.8</v>
      </c>
      <c r="D247" s="118">
        <v>6.8</v>
      </c>
      <c r="E247" s="118">
        <v>3</v>
      </c>
      <c r="F247" s="118">
        <v>0.4</v>
      </c>
    </row>
    <row r="248" spans="1:8" ht="15">
      <c r="A248" s="116">
        <v>2011</v>
      </c>
      <c r="B248" s="118">
        <v>23.5</v>
      </c>
      <c r="C248" s="118">
        <v>14.2</v>
      </c>
      <c r="D248" s="118">
        <v>5.9</v>
      </c>
      <c r="E248" s="118">
        <v>2.9</v>
      </c>
      <c r="F248" s="118">
        <v>0.4</v>
      </c>
    </row>
    <row r="249" spans="1:8" ht="15">
      <c r="A249" s="116">
        <v>2012</v>
      </c>
      <c r="B249" s="118">
        <v>24</v>
      </c>
      <c r="C249" s="118">
        <v>14.7</v>
      </c>
      <c r="D249" s="118">
        <v>5.6</v>
      </c>
      <c r="E249" s="118">
        <v>3.3</v>
      </c>
      <c r="F249" s="118">
        <v>0.4</v>
      </c>
    </row>
    <row r="250" spans="1:8" ht="15">
      <c r="A250" s="116">
        <v>2013</v>
      </c>
      <c r="B250" s="118">
        <v>26.3</v>
      </c>
      <c r="C250" s="118">
        <v>15.5</v>
      </c>
      <c r="D250" s="118">
        <v>6.7</v>
      </c>
      <c r="E250" s="118">
        <v>3.6</v>
      </c>
      <c r="F250" s="118">
        <v>0.4</v>
      </c>
    </row>
    <row r="251" spans="1:8" ht="15">
      <c r="A251" s="116">
        <v>2014</v>
      </c>
      <c r="B251" s="118">
        <v>26.7</v>
      </c>
      <c r="C251" s="118">
        <v>16</v>
      </c>
      <c r="D251" s="118">
        <v>6.4</v>
      </c>
      <c r="E251" s="118">
        <v>3.8</v>
      </c>
      <c r="F251" s="118">
        <v>0.5</v>
      </c>
    </row>
    <row r="252" spans="1:8" ht="15">
      <c r="A252" s="116">
        <v>2015</v>
      </c>
      <c r="B252" s="118">
        <v>26.7</v>
      </c>
      <c r="C252" s="118">
        <v>16.2</v>
      </c>
      <c r="D252" s="118">
        <v>6.5</v>
      </c>
      <c r="E252" s="118">
        <v>3.5</v>
      </c>
      <c r="F252" s="118">
        <v>0.4</v>
      </c>
    </row>
    <row r="253" spans="1:8" ht="15">
      <c r="A253" s="116">
        <v>2016</v>
      </c>
      <c r="B253" s="118">
        <v>26.5</v>
      </c>
      <c r="C253" s="118">
        <v>16</v>
      </c>
      <c r="D253" s="118">
        <v>6.6</v>
      </c>
      <c r="E253" s="118">
        <v>3.5</v>
      </c>
      <c r="F253" s="118">
        <v>0.4</v>
      </c>
    </row>
    <row r="254" spans="1:8" ht="15"/>
    <row r="255" spans="1:8" ht="15">
      <c r="B255" s="774" t="s">
        <v>10</v>
      </c>
      <c r="C255" s="774"/>
      <c r="D255" s="774"/>
      <c r="E255" s="774"/>
      <c r="F255" s="774"/>
      <c r="G255" s="115"/>
      <c r="H255" s="115"/>
    </row>
    <row r="256" spans="1:8" ht="15">
      <c r="A256" s="116">
        <v>1979</v>
      </c>
      <c r="B256" s="118">
        <v>23.6</v>
      </c>
      <c r="C256" s="118">
        <v>12.3</v>
      </c>
      <c r="D256" s="118">
        <v>7.9</v>
      </c>
      <c r="E256" s="118">
        <v>2.6</v>
      </c>
      <c r="F256" s="118">
        <v>0.9</v>
      </c>
    </row>
    <row r="257" spans="1:6" ht="15">
      <c r="A257" s="116">
        <v>1980</v>
      </c>
      <c r="B257" s="118">
        <v>24</v>
      </c>
      <c r="C257" s="118">
        <v>13.1</v>
      </c>
      <c r="D257" s="118">
        <v>7.9</v>
      </c>
      <c r="E257" s="118">
        <v>2.2000000000000002</v>
      </c>
      <c r="F257" s="118">
        <v>0.7</v>
      </c>
    </row>
    <row r="258" spans="1:6" ht="15">
      <c r="A258" s="116">
        <v>1981</v>
      </c>
      <c r="B258" s="118">
        <v>24.5</v>
      </c>
      <c r="C258" s="118">
        <v>13.5</v>
      </c>
      <c r="D258" s="118">
        <v>8.6</v>
      </c>
      <c r="E258" s="118">
        <v>1.7</v>
      </c>
      <c r="F258" s="118">
        <v>0.7</v>
      </c>
    </row>
    <row r="259" spans="1:6" ht="15">
      <c r="A259" s="116">
        <v>1982</v>
      </c>
      <c r="B259" s="118">
        <v>22.6</v>
      </c>
      <c r="C259" s="118">
        <v>12.2</v>
      </c>
      <c r="D259" s="118">
        <v>8.6</v>
      </c>
      <c r="E259" s="118">
        <v>1.1000000000000001</v>
      </c>
      <c r="F259" s="118">
        <v>0.7</v>
      </c>
    </row>
    <row r="260" spans="1:6" ht="15">
      <c r="A260" s="116">
        <v>1983</v>
      </c>
      <c r="B260" s="118">
        <v>22</v>
      </c>
      <c r="C260" s="118">
        <v>11.1</v>
      </c>
      <c r="D260" s="118">
        <v>8.8000000000000007</v>
      </c>
      <c r="E260" s="118">
        <v>1.4</v>
      </c>
      <c r="F260" s="118">
        <v>0.8</v>
      </c>
    </row>
    <row r="261" spans="1:6" ht="15">
      <c r="A261" s="116">
        <v>1984</v>
      </c>
      <c r="B261" s="118">
        <v>22.1</v>
      </c>
      <c r="C261" s="118">
        <v>10.7</v>
      </c>
      <c r="D261" s="118">
        <v>9</v>
      </c>
      <c r="E261" s="118">
        <v>1.6</v>
      </c>
      <c r="F261" s="118">
        <v>0.8</v>
      </c>
    </row>
    <row r="262" spans="1:6" ht="15">
      <c r="A262" s="116">
        <v>1985</v>
      </c>
      <c r="B262" s="118">
        <v>22.3</v>
      </c>
      <c r="C262" s="118">
        <v>10.8</v>
      </c>
      <c r="D262" s="118">
        <v>9.3000000000000007</v>
      </c>
      <c r="E262" s="118">
        <v>1.4</v>
      </c>
      <c r="F262" s="118">
        <v>0.8</v>
      </c>
    </row>
    <row r="263" spans="1:6" ht="15">
      <c r="A263" s="116">
        <v>1986</v>
      </c>
      <c r="B263" s="118">
        <v>22.5</v>
      </c>
      <c r="C263" s="118">
        <v>10.8</v>
      </c>
      <c r="D263" s="118">
        <v>9.5</v>
      </c>
      <c r="E263" s="118">
        <v>1.4</v>
      </c>
      <c r="F263" s="118">
        <v>0.8</v>
      </c>
    </row>
    <row r="264" spans="1:6" ht="15">
      <c r="A264" s="116">
        <v>1987</v>
      </c>
      <c r="B264" s="118">
        <v>22.8</v>
      </c>
      <c r="C264" s="118">
        <v>10.6</v>
      </c>
      <c r="D264" s="118">
        <v>9.6</v>
      </c>
      <c r="E264" s="118">
        <v>1.8</v>
      </c>
      <c r="F264" s="118">
        <v>0.8</v>
      </c>
    </row>
    <row r="265" spans="1:6" ht="15">
      <c r="A265" s="116">
        <v>1988</v>
      </c>
      <c r="B265" s="118">
        <v>23.1</v>
      </c>
      <c r="C265" s="118">
        <v>10.6</v>
      </c>
      <c r="D265" s="118">
        <v>9.9</v>
      </c>
      <c r="E265" s="118">
        <v>1.8</v>
      </c>
      <c r="F265" s="118">
        <v>0.8</v>
      </c>
    </row>
    <row r="266" spans="1:6" ht="15">
      <c r="A266" s="116">
        <v>1989</v>
      </c>
      <c r="B266" s="118">
        <v>23</v>
      </c>
      <c r="C266" s="118">
        <v>10.7</v>
      </c>
      <c r="D266" s="118">
        <v>9.6999999999999993</v>
      </c>
      <c r="E266" s="118">
        <v>1.8</v>
      </c>
      <c r="F266" s="118">
        <v>0.8</v>
      </c>
    </row>
    <row r="267" spans="1:6" ht="15">
      <c r="A267" s="116">
        <v>1990</v>
      </c>
      <c r="B267" s="118">
        <v>23</v>
      </c>
      <c r="C267" s="118">
        <v>10.6</v>
      </c>
      <c r="D267" s="118">
        <v>10</v>
      </c>
      <c r="E267" s="118">
        <v>1.7</v>
      </c>
      <c r="F267" s="118">
        <v>0.8</v>
      </c>
    </row>
    <row r="268" spans="1:6" ht="15">
      <c r="A268" s="116">
        <v>1991</v>
      </c>
      <c r="B268" s="118">
        <v>22.9</v>
      </c>
      <c r="C268" s="118">
        <v>10.4</v>
      </c>
      <c r="D268" s="118">
        <v>10</v>
      </c>
      <c r="E268" s="118">
        <v>1.5</v>
      </c>
      <c r="F268" s="118">
        <v>0.8</v>
      </c>
    </row>
    <row r="269" spans="1:6" ht="15">
      <c r="A269" s="116">
        <v>1992</v>
      </c>
      <c r="B269" s="118">
        <v>22.7</v>
      </c>
      <c r="C269" s="118">
        <v>10.199999999999999</v>
      </c>
      <c r="D269" s="118">
        <v>10.1</v>
      </c>
      <c r="E269" s="118">
        <v>1.6</v>
      </c>
      <c r="F269" s="118">
        <v>0.9</v>
      </c>
    </row>
    <row r="270" spans="1:6" ht="15">
      <c r="A270" s="116">
        <v>1993</v>
      </c>
      <c r="B270" s="118">
        <v>22.7</v>
      </c>
      <c r="C270" s="118">
        <v>10</v>
      </c>
      <c r="D270" s="118">
        <v>10</v>
      </c>
      <c r="E270" s="118">
        <v>1.8</v>
      </c>
      <c r="F270" s="118">
        <v>0.9</v>
      </c>
    </row>
    <row r="271" spans="1:6" ht="15">
      <c r="A271" s="116">
        <v>1994</v>
      </c>
      <c r="B271" s="118">
        <v>23.1</v>
      </c>
      <c r="C271" s="118">
        <v>10.199999999999999</v>
      </c>
      <c r="D271" s="118">
        <v>10.1</v>
      </c>
      <c r="E271" s="118">
        <v>1.9</v>
      </c>
      <c r="F271" s="118">
        <v>0.9</v>
      </c>
    </row>
    <row r="272" spans="1:6" ht="15">
      <c r="A272" s="116">
        <v>1995</v>
      </c>
      <c r="B272" s="118">
        <v>23.3</v>
      </c>
      <c r="C272" s="118">
        <v>10.4</v>
      </c>
      <c r="D272" s="118">
        <v>9.9</v>
      </c>
      <c r="E272" s="118">
        <v>2.1</v>
      </c>
      <c r="F272" s="118">
        <v>0.9</v>
      </c>
    </row>
    <row r="273" spans="1:6" ht="15">
      <c r="A273" s="116">
        <v>1996</v>
      </c>
      <c r="B273" s="118">
        <v>23.2</v>
      </c>
      <c r="C273" s="118">
        <v>10.4</v>
      </c>
      <c r="D273" s="118">
        <v>9.8000000000000007</v>
      </c>
      <c r="E273" s="118">
        <v>2.2000000000000002</v>
      </c>
      <c r="F273" s="118">
        <v>0.8</v>
      </c>
    </row>
    <row r="274" spans="1:6" ht="15">
      <c r="A274" s="116">
        <v>1997</v>
      </c>
      <c r="B274" s="118">
        <v>23.5</v>
      </c>
      <c r="C274" s="118">
        <v>10.7</v>
      </c>
      <c r="D274" s="118">
        <v>9.9</v>
      </c>
      <c r="E274" s="118">
        <v>2.1</v>
      </c>
      <c r="F274" s="118">
        <v>0.8</v>
      </c>
    </row>
    <row r="275" spans="1:6" ht="15">
      <c r="A275" s="116">
        <v>1998</v>
      </c>
      <c r="B275" s="118">
        <v>23.4</v>
      </c>
      <c r="C275" s="118">
        <v>10.8</v>
      </c>
      <c r="D275" s="118">
        <v>10</v>
      </c>
      <c r="E275" s="118">
        <v>1.8</v>
      </c>
      <c r="F275" s="118">
        <v>0.8</v>
      </c>
    </row>
    <row r="276" spans="1:6" ht="15">
      <c r="A276" s="116">
        <v>1999</v>
      </c>
      <c r="B276" s="118">
        <v>23.7</v>
      </c>
      <c r="C276" s="118">
        <v>11</v>
      </c>
      <c r="D276" s="118">
        <v>10</v>
      </c>
      <c r="E276" s="118">
        <v>1.8</v>
      </c>
      <c r="F276" s="118">
        <v>0.9</v>
      </c>
    </row>
    <row r="277" spans="1:6" ht="15">
      <c r="A277" s="116">
        <v>2000</v>
      </c>
      <c r="B277" s="118">
        <v>23.7</v>
      </c>
      <c r="C277" s="118">
        <v>11.3</v>
      </c>
      <c r="D277" s="118">
        <v>9.9</v>
      </c>
      <c r="E277" s="118">
        <v>1.8</v>
      </c>
      <c r="F277" s="118">
        <v>0.8</v>
      </c>
    </row>
    <row r="278" spans="1:6" ht="15">
      <c r="A278" s="116">
        <v>2001</v>
      </c>
      <c r="B278" s="118">
        <v>22.5</v>
      </c>
      <c r="C278" s="118">
        <v>10.3</v>
      </c>
      <c r="D278" s="118">
        <v>10.3</v>
      </c>
      <c r="E278" s="118">
        <v>1.2</v>
      </c>
      <c r="F278" s="118">
        <v>0.8</v>
      </c>
    </row>
    <row r="279" spans="1:6" ht="15">
      <c r="A279" s="116">
        <v>2002</v>
      </c>
      <c r="B279" s="118">
        <v>21.8</v>
      </c>
      <c r="C279" s="118">
        <v>9.8000000000000007</v>
      </c>
      <c r="D279" s="118">
        <v>10.199999999999999</v>
      </c>
      <c r="E279" s="118">
        <v>1.1000000000000001</v>
      </c>
      <c r="F279" s="118">
        <v>0.7</v>
      </c>
    </row>
    <row r="280" spans="1:6" ht="15">
      <c r="A280" s="116">
        <v>2003</v>
      </c>
      <c r="B280" s="118">
        <v>20.8</v>
      </c>
      <c r="C280" s="118">
        <v>8.5</v>
      </c>
      <c r="D280" s="118">
        <v>10.1</v>
      </c>
      <c r="E280" s="118">
        <v>1.4</v>
      </c>
      <c r="F280" s="118">
        <v>0.7</v>
      </c>
    </row>
    <row r="281" spans="1:6" ht="15">
      <c r="A281" s="116">
        <v>2004</v>
      </c>
      <c r="B281" s="118">
        <v>20.9</v>
      </c>
      <c r="C281" s="118">
        <v>8.6</v>
      </c>
      <c r="D281" s="118">
        <v>9.9</v>
      </c>
      <c r="E281" s="118">
        <v>1.6</v>
      </c>
      <c r="F281" s="118">
        <v>0.7</v>
      </c>
    </row>
    <row r="282" spans="1:6" ht="15">
      <c r="A282" s="116">
        <v>2005</v>
      </c>
      <c r="B282" s="118">
        <v>21</v>
      </c>
      <c r="C282" s="118">
        <v>8.6</v>
      </c>
      <c r="D282" s="118">
        <v>9.6999999999999993</v>
      </c>
      <c r="E282" s="118">
        <v>2.1</v>
      </c>
      <c r="F282" s="118">
        <v>0.7</v>
      </c>
    </row>
    <row r="283" spans="1:6" ht="15">
      <c r="A283" s="116">
        <v>2006</v>
      </c>
      <c r="B283" s="118">
        <v>21.2</v>
      </c>
      <c r="C283" s="118">
        <v>8.6999999999999993</v>
      </c>
      <c r="D283" s="118">
        <v>9.6</v>
      </c>
      <c r="E283" s="118">
        <v>2.2999999999999998</v>
      </c>
      <c r="F283" s="118">
        <v>0.6</v>
      </c>
    </row>
    <row r="284" spans="1:6" ht="15">
      <c r="A284" s="116">
        <v>2007</v>
      </c>
      <c r="B284" s="118">
        <v>20.9</v>
      </c>
      <c r="C284" s="118">
        <v>8.9</v>
      </c>
      <c r="D284" s="118">
        <v>9.5</v>
      </c>
      <c r="E284" s="118">
        <v>1.9</v>
      </c>
      <c r="F284" s="118">
        <v>0.6</v>
      </c>
    </row>
    <row r="285" spans="1:6" ht="15">
      <c r="A285" s="116">
        <v>2008</v>
      </c>
      <c r="B285" s="118">
        <v>19.3</v>
      </c>
      <c r="C285" s="118">
        <v>7.9</v>
      </c>
      <c r="D285" s="118">
        <v>9.6999999999999993</v>
      </c>
      <c r="E285" s="118">
        <v>1.1000000000000001</v>
      </c>
      <c r="F285" s="118">
        <v>0.5</v>
      </c>
    </row>
    <row r="286" spans="1:6" ht="15">
      <c r="A286" s="116">
        <v>2009</v>
      </c>
      <c r="B286" s="118">
        <v>18.899999999999999</v>
      </c>
      <c r="C286" s="118">
        <v>7.7</v>
      </c>
      <c r="D286" s="118">
        <v>9.6999999999999993</v>
      </c>
      <c r="E286" s="118">
        <v>0.9</v>
      </c>
      <c r="F286" s="118">
        <v>0.5</v>
      </c>
    </row>
    <row r="287" spans="1:6" ht="15">
      <c r="A287" s="116">
        <v>2010</v>
      </c>
      <c r="B287" s="118">
        <v>19.399999999999999</v>
      </c>
      <c r="C287" s="118">
        <v>8.1</v>
      </c>
      <c r="D287" s="118">
        <v>9.6</v>
      </c>
      <c r="E287" s="118">
        <v>1.2</v>
      </c>
      <c r="F287" s="118">
        <v>0.5</v>
      </c>
    </row>
    <row r="288" spans="1:6" ht="15">
      <c r="A288" s="116">
        <v>2011</v>
      </c>
      <c r="B288" s="118">
        <v>18.899999999999999</v>
      </c>
      <c r="C288" s="118">
        <v>8.9</v>
      </c>
      <c r="D288" s="118">
        <v>8.3000000000000007</v>
      </c>
      <c r="E288" s="118">
        <v>1.2</v>
      </c>
      <c r="F288" s="118">
        <v>0.5</v>
      </c>
    </row>
    <row r="289" spans="1:8" ht="15">
      <c r="A289" s="116">
        <v>2012</v>
      </c>
      <c r="B289" s="118">
        <v>19.2</v>
      </c>
      <c r="C289" s="118">
        <v>9.1</v>
      </c>
      <c r="D289" s="118">
        <v>8.3000000000000007</v>
      </c>
      <c r="E289" s="118">
        <v>1.3</v>
      </c>
      <c r="F289" s="118">
        <v>0.6</v>
      </c>
    </row>
    <row r="290" spans="1:8" ht="15">
      <c r="A290" s="116">
        <v>2013</v>
      </c>
      <c r="B290" s="118">
        <v>20.9</v>
      </c>
      <c r="C290" s="118">
        <v>9.3000000000000007</v>
      </c>
      <c r="D290" s="118">
        <v>9.4</v>
      </c>
      <c r="E290" s="118">
        <v>1.6</v>
      </c>
      <c r="F290" s="118">
        <v>0.6</v>
      </c>
    </row>
    <row r="291" spans="1:8" ht="15">
      <c r="A291" s="116">
        <v>2014</v>
      </c>
      <c r="B291" s="118">
        <v>21.2</v>
      </c>
      <c r="C291" s="118">
        <v>9.4</v>
      </c>
      <c r="D291" s="118">
        <v>9.4</v>
      </c>
      <c r="E291" s="118">
        <v>1.7</v>
      </c>
      <c r="F291" s="118">
        <v>0.7</v>
      </c>
    </row>
    <row r="292" spans="1:8" ht="15">
      <c r="A292" s="116">
        <v>2015</v>
      </c>
      <c r="B292" s="118">
        <v>21.3</v>
      </c>
      <c r="C292" s="118">
        <v>9.6999999999999993</v>
      </c>
      <c r="D292" s="118">
        <v>9.4</v>
      </c>
      <c r="E292" s="118">
        <v>1.5</v>
      </c>
      <c r="F292" s="118">
        <v>0.7</v>
      </c>
    </row>
    <row r="293" spans="1:8" ht="15">
      <c r="A293" s="116">
        <v>2016</v>
      </c>
      <c r="B293" s="118">
        <v>21.2</v>
      </c>
      <c r="C293" s="118">
        <v>9.6999999999999993</v>
      </c>
      <c r="D293" s="118">
        <v>9.4</v>
      </c>
      <c r="E293" s="118">
        <v>1.5</v>
      </c>
      <c r="F293" s="118">
        <v>0.6</v>
      </c>
    </row>
    <row r="294" spans="1:8" ht="15"/>
    <row r="295" spans="1:8" ht="15">
      <c r="B295" s="774" t="s">
        <v>11</v>
      </c>
      <c r="C295" s="774"/>
      <c r="D295" s="774"/>
      <c r="E295" s="774"/>
      <c r="F295" s="774"/>
      <c r="G295" s="115"/>
      <c r="H295" s="115"/>
    </row>
    <row r="296" spans="1:8" ht="15">
      <c r="A296" s="116">
        <v>1979</v>
      </c>
      <c r="B296" s="118">
        <v>25.2</v>
      </c>
      <c r="C296" s="118">
        <v>14.1</v>
      </c>
      <c r="D296" s="118">
        <v>7.1</v>
      </c>
      <c r="E296" s="118">
        <v>3.1</v>
      </c>
      <c r="F296" s="118">
        <v>0.8</v>
      </c>
    </row>
    <row r="297" spans="1:8" ht="15">
      <c r="A297" s="116">
        <v>1980</v>
      </c>
      <c r="B297" s="118">
        <v>25.5</v>
      </c>
      <c r="C297" s="118">
        <v>15.1</v>
      </c>
      <c r="D297" s="118">
        <v>7</v>
      </c>
      <c r="E297" s="118">
        <v>2.8</v>
      </c>
      <c r="F297" s="118">
        <v>0.7</v>
      </c>
    </row>
    <row r="298" spans="1:8" ht="15">
      <c r="A298" s="116">
        <v>1981</v>
      </c>
      <c r="B298" s="118">
        <v>25.8</v>
      </c>
      <c r="C298" s="118">
        <v>15.4</v>
      </c>
      <c r="D298" s="118">
        <v>7.7</v>
      </c>
      <c r="E298" s="118">
        <v>2.1</v>
      </c>
      <c r="F298" s="118">
        <v>0.6</v>
      </c>
    </row>
    <row r="299" spans="1:8" ht="15">
      <c r="A299" s="116">
        <v>1982</v>
      </c>
      <c r="B299" s="118">
        <v>23.7</v>
      </c>
      <c r="C299" s="118">
        <v>13.8</v>
      </c>
      <c r="D299" s="118">
        <v>8.1</v>
      </c>
      <c r="E299" s="118">
        <v>1.2</v>
      </c>
      <c r="F299" s="118">
        <v>0.6</v>
      </c>
    </row>
    <row r="300" spans="1:8" ht="15">
      <c r="A300" s="116">
        <v>1983</v>
      </c>
      <c r="B300" s="118">
        <v>22.9</v>
      </c>
      <c r="C300" s="118">
        <v>12.6</v>
      </c>
      <c r="D300" s="118">
        <v>7.9</v>
      </c>
      <c r="E300" s="118">
        <v>1.6</v>
      </c>
      <c r="F300" s="118">
        <v>0.7</v>
      </c>
    </row>
    <row r="301" spans="1:8" ht="15">
      <c r="A301" s="116">
        <v>1984</v>
      </c>
      <c r="B301" s="118">
        <v>23</v>
      </c>
      <c r="C301" s="118">
        <v>12.3</v>
      </c>
      <c r="D301" s="118">
        <v>8.1</v>
      </c>
      <c r="E301" s="118">
        <v>1.8</v>
      </c>
      <c r="F301" s="118">
        <v>0.8</v>
      </c>
    </row>
    <row r="302" spans="1:8" ht="15">
      <c r="A302" s="116">
        <v>1985</v>
      </c>
      <c r="B302" s="118">
        <v>23.2</v>
      </c>
      <c r="C302" s="118">
        <v>12.4</v>
      </c>
      <c r="D302" s="118">
        <v>8.4</v>
      </c>
      <c r="E302" s="118">
        <v>1.7</v>
      </c>
      <c r="F302" s="118">
        <v>0.7</v>
      </c>
    </row>
    <row r="303" spans="1:8" ht="15">
      <c r="A303" s="116">
        <v>1986</v>
      </c>
      <c r="B303" s="118">
        <v>23.4</v>
      </c>
      <c r="C303" s="118">
        <v>12.4</v>
      </c>
      <c r="D303" s="118">
        <v>8.6</v>
      </c>
      <c r="E303" s="118">
        <v>1.6</v>
      </c>
      <c r="F303" s="118">
        <v>0.7</v>
      </c>
    </row>
    <row r="304" spans="1:8" ht="15">
      <c r="A304" s="116">
        <v>1987</v>
      </c>
      <c r="B304" s="118">
        <v>24.5</v>
      </c>
      <c r="C304" s="118">
        <v>12.8</v>
      </c>
      <c r="D304" s="118">
        <v>8.6999999999999993</v>
      </c>
      <c r="E304" s="118">
        <v>2.2000000000000002</v>
      </c>
      <c r="F304" s="118">
        <v>0.8</v>
      </c>
    </row>
    <row r="305" spans="1:6" ht="15">
      <c r="A305" s="116">
        <v>1988</v>
      </c>
      <c r="B305" s="118">
        <v>24.4</v>
      </c>
      <c r="C305" s="118">
        <v>12.5</v>
      </c>
      <c r="D305" s="118">
        <v>9</v>
      </c>
      <c r="E305" s="118">
        <v>2.1</v>
      </c>
      <c r="F305" s="118">
        <v>0.7</v>
      </c>
    </row>
    <row r="306" spans="1:6" ht="15">
      <c r="A306" s="116">
        <v>1989</v>
      </c>
      <c r="B306" s="118">
        <v>24.2</v>
      </c>
      <c r="C306" s="118">
        <v>12.6</v>
      </c>
      <c r="D306" s="118">
        <v>8.8000000000000007</v>
      </c>
      <c r="E306" s="118">
        <v>2.1</v>
      </c>
      <c r="F306" s="118">
        <v>0.7</v>
      </c>
    </row>
    <row r="307" spans="1:6" ht="15">
      <c r="A307" s="116">
        <v>1990</v>
      </c>
      <c r="B307" s="118">
        <v>24.1</v>
      </c>
      <c r="C307" s="118">
        <v>12.3</v>
      </c>
      <c r="D307" s="118">
        <v>9.1</v>
      </c>
      <c r="E307" s="118">
        <v>2</v>
      </c>
      <c r="F307" s="118">
        <v>0.7</v>
      </c>
    </row>
    <row r="308" spans="1:6" ht="15">
      <c r="A308" s="116">
        <v>1991</v>
      </c>
      <c r="B308" s="118">
        <v>24.2</v>
      </c>
      <c r="C308" s="118">
        <v>12.2</v>
      </c>
      <c r="D308" s="118">
        <v>9.4</v>
      </c>
      <c r="E308" s="118">
        <v>1.8</v>
      </c>
      <c r="F308" s="118">
        <v>0.7</v>
      </c>
    </row>
    <row r="309" spans="1:6" ht="15">
      <c r="A309" s="116">
        <v>1992</v>
      </c>
      <c r="B309" s="118">
        <v>24.1</v>
      </c>
      <c r="C309" s="118">
        <v>12.1</v>
      </c>
      <c r="D309" s="118">
        <v>9.3000000000000007</v>
      </c>
      <c r="E309" s="118">
        <v>2</v>
      </c>
      <c r="F309" s="118">
        <v>0.8</v>
      </c>
    </row>
    <row r="310" spans="1:6" ht="15">
      <c r="A310" s="116">
        <v>1993</v>
      </c>
      <c r="B310" s="118">
        <v>24.4</v>
      </c>
      <c r="C310" s="118">
        <v>11.9</v>
      </c>
      <c r="D310" s="118">
        <v>9.3000000000000007</v>
      </c>
      <c r="E310" s="118">
        <v>2.2999999999999998</v>
      </c>
      <c r="F310" s="118">
        <v>0.8</v>
      </c>
    </row>
    <row r="311" spans="1:6" ht="15">
      <c r="A311" s="116">
        <v>1994</v>
      </c>
      <c r="B311" s="118">
        <v>24.8</v>
      </c>
      <c r="C311" s="118">
        <v>12.2</v>
      </c>
      <c r="D311" s="118">
        <v>9.5</v>
      </c>
      <c r="E311" s="118">
        <v>2.2999999999999998</v>
      </c>
      <c r="F311" s="118">
        <v>0.8</v>
      </c>
    </row>
    <row r="312" spans="1:6" ht="15">
      <c r="A312" s="116">
        <v>1995</v>
      </c>
      <c r="B312" s="118">
        <v>25.2</v>
      </c>
      <c r="C312" s="118">
        <v>12.4</v>
      </c>
      <c r="D312" s="118">
        <v>9.5</v>
      </c>
      <c r="E312" s="118">
        <v>2.5</v>
      </c>
      <c r="F312" s="118">
        <v>0.8</v>
      </c>
    </row>
    <row r="313" spans="1:6" ht="15">
      <c r="A313" s="116">
        <v>1996</v>
      </c>
      <c r="B313" s="118">
        <v>25.1</v>
      </c>
      <c r="C313" s="118">
        <v>12.6</v>
      </c>
      <c r="D313" s="118">
        <v>9.1</v>
      </c>
      <c r="E313" s="118">
        <v>2.6</v>
      </c>
      <c r="F313" s="118">
        <v>0.7</v>
      </c>
    </row>
    <row r="314" spans="1:6" ht="15">
      <c r="A314" s="116">
        <v>1997</v>
      </c>
      <c r="B314" s="118">
        <v>25.2</v>
      </c>
      <c r="C314" s="118">
        <v>12.9</v>
      </c>
      <c r="D314" s="118">
        <v>9</v>
      </c>
      <c r="E314" s="118">
        <v>2.6</v>
      </c>
      <c r="F314" s="118">
        <v>0.7</v>
      </c>
    </row>
    <row r="315" spans="1:6" ht="15">
      <c r="A315" s="116">
        <v>1998</v>
      </c>
      <c r="B315" s="118">
        <v>25.2</v>
      </c>
      <c r="C315" s="118">
        <v>13.2</v>
      </c>
      <c r="D315" s="118">
        <v>9</v>
      </c>
      <c r="E315" s="118">
        <v>2.2999999999999998</v>
      </c>
      <c r="F315" s="118">
        <v>0.7</v>
      </c>
    </row>
    <row r="316" spans="1:6" ht="15">
      <c r="A316" s="116">
        <v>1999</v>
      </c>
      <c r="B316" s="118">
        <v>25.5</v>
      </c>
      <c r="C316" s="118">
        <v>13.5</v>
      </c>
      <c r="D316" s="118">
        <v>8.9</v>
      </c>
      <c r="E316" s="118">
        <v>2.2999999999999998</v>
      </c>
      <c r="F316" s="118">
        <v>0.8</v>
      </c>
    </row>
    <row r="317" spans="1:6" ht="15">
      <c r="A317" s="116">
        <v>2000</v>
      </c>
      <c r="B317" s="118">
        <v>25.5</v>
      </c>
      <c r="C317" s="118">
        <v>13.7</v>
      </c>
      <c r="D317" s="118">
        <v>9</v>
      </c>
      <c r="E317" s="118">
        <v>2.1</v>
      </c>
      <c r="F317" s="118">
        <v>0.7</v>
      </c>
    </row>
    <row r="318" spans="1:6" ht="15">
      <c r="A318" s="116">
        <v>2001</v>
      </c>
      <c r="B318" s="118">
        <v>24.6</v>
      </c>
      <c r="C318" s="118">
        <v>12.9</v>
      </c>
      <c r="D318" s="118">
        <v>9.6</v>
      </c>
      <c r="E318" s="118">
        <v>1.4</v>
      </c>
      <c r="F318" s="118">
        <v>0.6</v>
      </c>
    </row>
    <row r="319" spans="1:6" ht="15">
      <c r="A319" s="116">
        <v>2002</v>
      </c>
      <c r="B319" s="118">
        <v>23.8</v>
      </c>
      <c r="C319" s="118">
        <v>12.3</v>
      </c>
      <c r="D319" s="118">
        <v>9.6</v>
      </c>
      <c r="E319" s="118">
        <v>1.3</v>
      </c>
      <c r="F319" s="118">
        <v>0.6</v>
      </c>
    </row>
    <row r="320" spans="1:6" ht="15">
      <c r="A320" s="116">
        <v>2003</v>
      </c>
      <c r="B320" s="118">
        <v>22.7</v>
      </c>
      <c r="C320" s="118">
        <v>10.9</v>
      </c>
      <c r="D320" s="118">
        <v>9.6</v>
      </c>
      <c r="E320" s="118">
        <v>1.6</v>
      </c>
      <c r="F320" s="118">
        <v>0.6</v>
      </c>
    </row>
    <row r="321" spans="1:8" ht="15">
      <c r="A321" s="116">
        <v>2004</v>
      </c>
      <c r="B321" s="118">
        <v>22.9</v>
      </c>
      <c r="C321" s="118">
        <v>10.9</v>
      </c>
      <c r="D321" s="118">
        <v>9.4</v>
      </c>
      <c r="E321" s="118">
        <v>2</v>
      </c>
      <c r="F321" s="118">
        <v>0.6</v>
      </c>
    </row>
    <row r="322" spans="1:8" ht="15">
      <c r="A322" s="116">
        <v>2005</v>
      </c>
      <c r="B322" s="118">
        <v>23</v>
      </c>
      <c r="C322" s="118">
        <v>10.9</v>
      </c>
      <c r="D322" s="118">
        <v>8.9</v>
      </c>
      <c r="E322" s="118">
        <v>2.6</v>
      </c>
      <c r="F322" s="118">
        <v>0.6</v>
      </c>
    </row>
    <row r="323" spans="1:8" ht="15">
      <c r="A323" s="116">
        <v>2006</v>
      </c>
      <c r="B323" s="118">
        <v>23.1</v>
      </c>
      <c r="C323" s="118">
        <v>11</v>
      </c>
      <c r="D323" s="118">
        <v>8.6999999999999993</v>
      </c>
      <c r="E323" s="118">
        <v>2.8</v>
      </c>
      <c r="F323" s="118">
        <v>0.5</v>
      </c>
    </row>
    <row r="324" spans="1:8" ht="15">
      <c r="A324" s="116">
        <v>2007</v>
      </c>
      <c r="B324" s="118">
        <v>22.7</v>
      </c>
      <c r="C324" s="118">
        <v>11.2</v>
      </c>
      <c r="D324" s="118">
        <v>8.6</v>
      </c>
      <c r="E324" s="118">
        <v>2.4</v>
      </c>
      <c r="F324" s="118">
        <v>0.5</v>
      </c>
    </row>
    <row r="325" spans="1:8" ht="15">
      <c r="A325" s="116">
        <v>2008</v>
      </c>
      <c r="B325" s="118">
        <v>21.8</v>
      </c>
      <c r="C325" s="118">
        <v>10.8</v>
      </c>
      <c r="D325" s="118">
        <v>9.1999999999999993</v>
      </c>
      <c r="E325" s="118">
        <v>1.4</v>
      </c>
      <c r="F325" s="118">
        <v>0.5</v>
      </c>
    </row>
    <row r="326" spans="1:8" ht="15">
      <c r="A326" s="116">
        <v>2009</v>
      </c>
      <c r="B326" s="118">
        <v>21.2</v>
      </c>
      <c r="C326" s="118">
        <v>10.3</v>
      </c>
      <c r="D326" s="118">
        <v>9.3000000000000007</v>
      </c>
      <c r="E326" s="118">
        <v>1.1000000000000001</v>
      </c>
      <c r="F326" s="118">
        <v>0.5</v>
      </c>
    </row>
    <row r="327" spans="1:8" ht="15">
      <c r="A327" s="116">
        <v>2010</v>
      </c>
      <c r="B327" s="118">
        <v>21.6</v>
      </c>
      <c r="C327" s="118">
        <v>10.7</v>
      </c>
      <c r="D327" s="118">
        <v>9</v>
      </c>
      <c r="E327" s="118">
        <v>1.4</v>
      </c>
      <c r="F327" s="118">
        <v>0.4</v>
      </c>
    </row>
    <row r="328" spans="1:8" ht="15">
      <c r="A328" s="116">
        <v>2011</v>
      </c>
      <c r="B328" s="118">
        <v>21.2</v>
      </c>
      <c r="C328" s="118">
        <v>11.3</v>
      </c>
      <c r="D328" s="118">
        <v>7.9</v>
      </c>
      <c r="E328" s="118">
        <v>1.4</v>
      </c>
      <c r="F328" s="118">
        <v>0.5</v>
      </c>
    </row>
    <row r="329" spans="1:8" ht="15">
      <c r="A329" s="116">
        <v>2012</v>
      </c>
      <c r="B329" s="118">
        <v>21.6</v>
      </c>
      <c r="C329" s="118">
        <v>11.6</v>
      </c>
      <c r="D329" s="118">
        <v>7.9</v>
      </c>
      <c r="E329" s="118">
        <v>1.6</v>
      </c>
      <c r="F329" s="118">
        <v>0.5</v>
      </c>
    </row>
    <row r="330" spans="1:8" ht="15">
      <c r="A330" s="116">
        <v>2013</v>
      </c>
      <c r="B330" s="118">
        <v>23.2</v>
      </c>
      <c r="C330" s="118">
        <v>11.6</v>
      </c>
      <c r="D330" s="118">
        <v>9.1</v>
      </c>
      <c r="E330" s="118">
        <v>1.9</v>
      </c>
      <c r="F330" s="118">
        <v>0.5</v>
      </c>
    </row>
    <row r="331" spans="1:8" ht="15">
      <c r="A331" s="116">
        <v>2014</v>
      </c>
      <c r="B331" s="118">
        <v>23.4</v>
      </c>
      <c r="C331" s="118">
        <v>11.9</v>
      </c>
      <c r="D331" s="118">
        <v>8.8000000000000007</v>
      </c>
      <c r="E331" s="118">
        <v>2.1</v>
      </c>
      <c r="F331" s="118">
        <v>0.6</v>
      </c>
    </row>
    <row r="332" spans="1:8" ht="15">
      <c r="A332" s="116">
        <v>2015</v>
      </c>
      <c r="B332" s="118">
        <v>23.6</v>
      </c>
      <c r="C332" s="118">
        <v>12.2</v>
      </c>
      <c r="D332" s="118">
        <v>8.9</v>
      </c>
      <c r="E332" s="118">
        <v>1.9</v>
      </c>
      <c r="F332" s="118">
        <v>0.6</v>
      </c>
    </row>
    <row r="333" spans="1:8" ht="15">
      <c r="A333" s="116">
        <v>2016</v>
      </c>
      <c r="B333" s="118">
        <v>23.6</v>
      </c>
      <c r="C333" s="118">
        <v>12.3</v>
      </c>
      <c r="D333" s="118">
        <v>8.9</v>
      </c>
      <c r="E333" s="118">
        <v>1.9</v>
      </c>
      <c r="F333" s="118">
        <v>0.5</v>
      </c>
    </row>
    <row r="334" spans="1:8" ht="15"/>
    <row r="335" spans="1:8" ht="15">
      <c r="B335" s="774" t="s">
        <v>12</v>
      </c>
      <c r="C335" s="774"/>
      <c r="D335" s="774"/>
      <c r="E335" s="774"/>
      <c r="F335" s="774"/>
      <c r="G335" s="115"/>
      <c r="H335" s="115"/>
    </row>
    <row r="336" spans="1:8" ht="15">
      <c r="A336" s="116">
        <v>1979</v>
      </c>
      <c r="B336" s="118">
        <v>27.1</v>
      </c>
      <c r="C336" s="118">
        <v>16.8</v>
      </c>
      <c r="D336" s="118">
        <v>4.4000000000000004</v>
      </c>
      <c r="E336" s="118">
        <v>5.2</v>
      </c>
      <c r="F336" s="118">
        <v>0.7</v>
      </c>
    </row>
    <row r="337" spans="1:6" ht="15">
      <c r="A337" s="116">
        <v>1980</v>
      </c>
      <c r="B337" s="118">
        <v>27.4</v>
      </c>
      <c r="C337" s="118">
        <v>17.899999999999999</v>
      </c>
      <c r="D337" s="118">
        <v>4.7</v>
      </c>
      <c r="E337" s="118">
        <v>4.2</v>
      </c>
      <c r="F337" s="118">
        <v>0.6</v>
      </c>
    </row>
    <row r="338" spans="1:6" ht="15">
      <c r="A338" s="116">
        <v>1981</v>
      </c>
      <c r="B338" s="118">
        <v>27.2</v>
      </c>
      <c r="C338" s="118">
        <v>18.2</v>
      </c>
      <c r="D338" s="118">
        <v>5.2</v>
      </c>
      <c r="E338" s="118">
        <v>3.3</v>
      </c>
      <c r="F338" s="118">
        <v>0.5</v>
      </c>
    </row>
    <row r="339" spans="1:6" ht="15">
      <c r="A339" s="116">
        <v>1982</v>
      </c>
      <c r="B339" s="118">
        <v>24.5</v>
      </c>
      <c r="C339" s="118">
        <v>16.600000000000001</v>
      </c>
      <c r="D339" s="118">
        <v>5.6</v>
      </c>
      <c r="E339" s="118">
        <v>1.8</v>
      </c>
      <c r="F339" s="118">
        <v>0.5</v>
      </c>
    </row>
    <row r="340" spans="1:6" ht="15">
      <c r="A340" s="116">
        <v>1983</v>
      </c>
      <c r="B340" s="118">
        <v>23.5</v>
      </c>
      <c r="C340" s="118">
        <v>14.8</v>
      </c>
      <c r="D340" s="118">
        <v>5.7</v>
      </c>
      <c r="E340" s="118">
        <v>2.4</v>
      </c>
      <c r="F340" s="118">
        <v>0.6</v>
      </c>
    </row>
    <row r="341" spans="1:6" ht="15">
      <c r="A341" s="116">
        <v>1984</v>
      </c>
      <c r="B341" s="118">
        <v>23.5</v>
      </c>
      <c r="C341" s="118">
        <v>14.5</v>
      </c>
      <c r="D341" s="118">
        <v>5.8</v>
      </c>
      <c r="E341" s="118">
        <v>2.6</v>
      </c>
      <c r="F341" s="118">
        <v>0.7</v>
      </c>
    </row>
    <row r="342" spans="1:6" ht="15">
      <c r="A342" s="116">
        <v>1985</v>
      </c>
      <c r="B342" s="118">
        <v>23.6</v>
      </c>
      <c r="C342" s="118">
        <v>14.6</v>
      </c>
      <c r="D342" s="118">
        <v>6</v>
      </c>
      <c r="E342" s="118">
        <v>2.4</v>
      </c>
      <c r="F342" s="118">
        <v>0.6</v>
      </c>
    </row>
    <row r="343" spans="1:6" ht="15">
      <c r="A343" s="116">
        <v>1986</v>
      </c>
      <c r="B343" s="118">
        <v>23.5</v>
      </c>
      <c r="C343" s="118">
        <v>14.8</v>
      </c>
      <c r="D343" s="118">
        <v>5.8</v>
      </c>
      <c r="E343" s="118">
        <v>2.4</v>
      </c>
      <c r="F343" s="118">
        <v>0.6</v>
      </c>
    </row>
    <row r="344" spans="1:6" ht="15">
      <c r="A344" s="116">
        <v>1987</v>
      </c>
      <c r="B344" s="118">
        <v>25.9</v>
      </c>
      <c r="C344" s="118">
        <v>15.9</v>
      </c>
      <c r="D344" s="118">
        <v>6.1</v>
      </c>
      <c r="E344" s="118">
        <v>3.3</v>
      </c>
      <c r="F344" s="118">
        <v>0.6</v>
      </c>
    </row>
    <row r="345" spans="1:6" ht="15">
      <c r="A345" s="116">
        <v>1988</v>
      </c>
      <c r="B345" s="118">
        <v>25.5</v>
      </c>
      <c r="C345" s="118">
        <v>15.6</v>
      </c>
      <c r="D345" s="118">
        <v>6.2</v>
      </c>
      <c r="E345" s="118">
        <v>3.1</v>
      </c>
      <c r="F345" s="118">
        <v>0.6</v>
      </c>
    </row>
    <row r="346" spans="1:6" ht="15">
      <c r="A346" s="116">
        <v>1989</v>
      </c>
      <c r="B346" s="118">
        <v>25.3</v>
      </c>
      <c r="C346" s="118">
        <v>15.6</v>
      </c>
      <c r="D346" s="118">
        <v>6.1</v>
      </c>
      <c r="E346" s="118">
        <v>3</v>
      </c>
      <c r="F346" s="118">
        <v>0.6</v>
      </c>
    </row>
    <row r="347" spans="1:6" ht="15">
      <c r="A347" s="116">
        <v>1990</v>
      </c>
      <c r="B347" s="118">
        <v>25.2</v>
      </c>
      <c r="C347" s="118">
        <v>15.3</v>
      </c>
      <c r="D347" s="118">
        <v>6.5</v>
      </c>
      <c r="E347" s="118">
        <v>2.9</v>
      </c>
      <c r="F347" s="118">
        <v>0.6</v>
      </c>
    </row>
    <row r="348" spans="1:6" ht="15">
      <c r="A348" s="116">
        <v>1991</v>
      </c>
      <c r="B348" s="118">
        <v>25.5</v>
      </c>
      <c r="C348" s="118">
        <v>15</v>
      </c>
      <c r="D348" s="118">
        <v>7.2</v>
      </c>
      <c r="E348" s="118">
        <v>2.6</v>
      </c>
      <c r="F348" s="118">
        <v>0.6</v>
      </c>
    </row>
    <row r="349" spans="1:6" ht="15">
      <c r="A349" s="116">
        <v>1992</v>
      </c>
      <c r="B349" s="118">
        <v>25.6</v>
      </c>
      <c r="C349" s="118">
        <v>15.1</v>
      </c>
      <c r="D349" s="118">
        <v>7.1</v>
      </c>
      <c r="E349" s="118">
        <v>2.8</v>
      </c>
      <c r="F349" s="118">
        <v>0.6</v>
      </c>
    </row>
    <row r="350" spans="1:6" ht="15">
      <c r="A350" s="116">
        <v>1993</v>
      </c>
      <c r="B350" s="118">
        <v>26.4</v>
      </c>
      <c r="C350" s="118">
        <v>15.2</v>
      </c>
      <c r="D350" s="118">
        <v>7.3</v>
      </c>
      <c r="E350" s="118">
        <v>3.3</v>
      </c>
      <c r="F350" s="118">
        <v>0.7</v>
      </c>
    </row>
    <row r="351" spans="1:6" ht="15">
      <c r="A351" s="116">
        <v>1994</v>
      </c>
      <c r="B351" s="118">
        <v>26.7</v>
      </c>
      <c r="C351" s="118">
        <v>15.4</v>
      </c>
      <c r="D351" s="118">
        <v>7.3</v>
      </c>
      <c r="E351" s="118">
        <v>3.4</v>
      </c>
      <c r="F351" s="118">
        <v>0.7</v>
      </c>
    </row>
    <row r="352" spans="1:6" ht="15">
      <c r="A352" s="116">
        <v>1995</v>
      </c>
      <c r="B352" s="118">
        <v>27.2</v>
      </c>
      <c r="C352" s="118">
        <v>15.9</v>
      </c>
      <c r="D352" s="118">
        <v>7</v>
      </c>
      <c r="E352" s="118">
        <v>3.7</v>
      </c>
      <c r="F352" s="118">
        <v>0.6</v>
      </c>
    </row>
    <row r="353" spans="1:6" ht="15">
      <c r="A353" s="116">
        <v>1996</v>
      </c>
      <c r="B353" s="118">
        <v>27.4</v>
      </c>
      <c r="C353" s="118">
        <v>16.399999999999999</v>
      </c>
      <c r="D353" s="118">
        <v>6.7</v>
      </c>
      <c r="E353" s="118">
        <v>3.7</v>
      </c>
      <c r="F353" s="118">
        <v>0.6</v>
      </c>
    </row>
    <row r="354" spans="1:6" ht="15">
      <c r="A354" s="116">
        <v>1997</v>
      </c>
      <c r="B354" s="118">
        <v>27.6</v>
      </c>
      <c r="C354" s="118">
        <v>16.8</v>
      </c>
      <c r="D354" s="118">
        <v>6.5</v>
      </c>
      <c r="E354" s="118">
        <v>3.7</v>
      </c>
      <c r="F354" s="118">
        <v>0.6</v>
      </c>
    </row>
    <row r="355" spans="1:6" ht="15">
      <c r="A355" s="116">
        <v>1998</v>
      </c>
      <c r="B355" s="118">
        <v>27.4</v>
      </c>
      <c r="C355" s="118">
        <v>17.2</v>
      </c>
      <c r="D355" s="118">
        <v>6.4</v>
      </c>
      <c r="E355" s="118">
        <v>3.2</v>
      </c>
      <c r="F355" s="118">
        <v>0.6</v>
      </c>
    </row>
    <row r="356" spans="1:6" ht="15">
      <c r="A356" s="116">
        <v>1999</v>
      </c>
      <c r="B356" s="118">
        <v>28</v>
      </c>
      <c r="C356" s="118">
        <v>17.7</v>
      </c>
      <c r="D356" s="118">
        <v>6.4</v>
      </c>
      <c r="E356" s="118">
        <v>3.2</v>
      </c>
      <c r="F356" s="118">
        <v>0.6</v>
      </c>
    </row>
    <row r="357" spans="1:6" ht="15">
      <c r="A357" s="116">
        <v>2000</v>
      </c>
      <c r="B357" s="118">
        <v>28</v>
      </c>
      <c r="C357" s="118">
        <v>18.100000000000001</v>
      </c>
      <c r="D357" s="118">
        <v>6.4</v>
      </c>
      <c r="E357" s="118">
        <v>3</v>
      </c>
      <c r="F357" s="118">
        <v>0.5</v>
      </c>
    </row>
    <row r="358" spans="1:6" ht="15">
      <c r="A358" s="116">
        <v>2001</v>
      </c>
      <c r="B358" s="118">
        <v>26.8</v>
      </c>
      <c r="C358" s="118">
        <v>17.100000000000001</v>
      </c>
      <c r="D358" s="118">
        <v>7.1</v>
      </c>
      <c r="E358" s="118">
        <v>2.1</v>
      </c>
      <c r="F358" s="118">
        <v>0.5</v>
      </c>
    </row>
    <row r="359" spans="1:6" ht="15">
      <c r="A359" s="116">
        <v>2002</v>
      </c>
      <c r="B359" s="118">
        <v>26.1</v>
      </c>
      <c r="C359" s="118">
        <v>16.3</v>
      </c>
      <c r="D359" s="118">
        <v>7.4</v>
      </c>
      <c r="E359" s="118">
        <v>1.9</v>
      </c>
      <c r="F359" s="118">
        <v>0.5</v>
      </c>
    </row>
    <row r="360" spans="1:6" ht="15">
      <c r="A360" s="116">
        <v>2003</v>
      </c>
      <c r="B360" s="118">
        <v>25.1</v>
      </c>
      <c r="C360" s="118">
        <v>14.6</v>
      </c>
      <c r="D360" s="118">
        <v>7.4</v>
      </c>
      <c r="E360" s="118">
        <v>2.5</v>
      </c>
      <c r="F360" s="118">
        <v>0.5</v>
      </c>
    </row>
    <row r="361" spans="1:6" ht="15">
      <c r="A361" s="116">
        <v>2004</v>
      </c>
      <c r="B361" s="118">
        <v>25.4</v>
      </c>
      <c r="C361" s="118">
        <v>15</v>
      </c>
      <c r="D361" s="118">
        <v>6.9</v>
      </c>
      <c r="E361" s="118">
        <v>3</v>
      </c>
      <c r="F361" s="118">
        <v>0.5</v>
      </c>
    </row>
    <row r="362" spans="1:6" ht="15">
      <c r="A362" s="116">
        <v>2005</v>
      </c>
      <c r="B362" s="118">
        <v>25.9</v>
      </c>
      <c r="C362" s="118">
        <v>15.3</v>
      </c>
      <c r="D362" s="118">
        <v>6.3</v>
      </c>
      <c r="E362" s="118">
        <v>3.9</v>
      </c>
      <c r="F362" s="118">
        <v>0.5</v>
      </c>
    </row>
    <row r="363" spans="1:6" ht="15">
      <c r="A363" s="116">
        <v>2006</v>
      </c>
      <c r="B363" s="118">
        <v>25.9</v>
      </c>
      <c r="C363" s="118">
        <v>15.3</v>
      </c>
      <c r="D363" s="118">
        <v>6.2</v>
      </c>
      <c r="E363" s="118">
        <v>4</v>
      </c>
      <c r="F363" s="118">
        <v>0.4</v>
      </c>
    </row>
    <row r="364" spans="1:6" ht="15">
      <c r="A364" s="116">
        <v>2007</v>
      </c>
      <c r="B364" s="118">
        <v>25.4</v>
      </c>
      <c r="C364" s="118">
        <v>15.6</v>
      </c>
      <c r="D364" s="118">
        <v>6</v>
      </c>
      <c r="E364" s="118">
        <v>3.4</v>
      </c>
      <c r="F364" s="118">
        <v>0.4</v>
      </c>
    </row>
    <row r="365" spans="1:6" ht="15">
      <c r="A365" s="116">
        <v>2008</v>
      </c>
      <c r="B365" s="118">
        <v>24.6</v>
      </c>
      <c r="C365" s="118">
        <v>15.4</v>
      </c>
      <c r="D365" s="118">
        <v>6.8</v>
      </c>
      <c r="E365" s="118">
        <v>2</v>
      </c>
      <c r="F365" s="118">
        <v>0.4</v>
      </c>
    </row>
    <row r="366" spans="1:6" ht="15">
      <c r="A366" s="116">
        <v>2009</v>
      </c>
      <c r="B366" s="118">
        <v>24.2</v>
      </c>
      <c r="C366" s="118">
        <v>14.7</v>
      </c>
      <c r="D366" s="118">
        <v>7.5</v>
      </c>
      <c r="E366" s="118">
        <v>1.6</v>
      </c>
      <c r="F366" s="118">
        <v>0.4</v>
      </c>
    </row>
    <row r="367" spans="1:6" ht="15">
      <c r="A367" s="116">
        <v>2010</v>
      </c>
      <c r="B367" s="118">
        <v>24.8</v>
      </c>
      <c r="C367" s="118">
        <v>15.2</v>
      </c>
      <c r="D367" s="118">
        <v>7.2</v>
      </c>
      <c r="E367" s="118">
        <v>2</v>
      </c>
      <c r="F367" s="118">
        <v>0.4</v>
      </c>
    </row>
    <row r="368" spans="1:6" ht="15">
      <c r="A368" s="116">
        <v>2011</v>
      </c>
      <c r="B368" s="118">
        <v>24.3</v>
      </c>
      <c r="C368" s="118">
        <v>15.7</v>
      </c>
      <c r="D368" s="118">
        <v>6.2</v>
      </c>
      <c r="E368" s="118">
        <v>2</v>
      </c>
      <c r="F368" s="118">
        <v>0.4</v>
      </c>
    </row>
    <row r="369" spans="1:10" ht="15">
      <c r="A369" s="116">
        <v>2012</v>
      </c>
      <c r="B369" s="118">
        <v>24.8</v>
      </c>
      <c r="C369" s="118">
        <v>16.100000000000001</v>
      </c>
      <c r="D369" s="118">
        <v>6</v>
      </c>
      <c r="E369" s="118">
        <v>2.2999999999999998</v>
      </c>
      <c r="F369" s="118">
        <v>0.4</v>
      </c>
    </row>
    <row r="370" spans="1:10" ht="15">
      <c r="A370" s="116">
        <v>2013</v>
      </c>
      <c r="B370" s="118">
        <v>26.3</v>
      </c>
      <c r="C370" s="118">
        <v>16.2</v>
      </c>
      <c r="D370" s="118">
        <v>6.9</v>
      </c>
      <c r="E370" s="118">
        <v>2.8</v>
      </c>
      <c r="F370" s="118">
        <v>0.4</v>
      </c>
    </row>
    <row r="371" spans="1:10" ht="15">
      <c r="A371" s="116">
        <v>2014</v>
      </c>
      <c r="B371" s="118">
        <v>26.7</v>
      </c>
      <c r="C371" s="118">
        <v>16.600000000000001</v>
      </c>
      <c r="D371" s="118">
        <v>6.7</v>
      </c>
      <c r="E371" s="118">
        <v>3</v>
      </c>
      <c r="F371" s="118">
        <v>0.4</v>
      </c>
    </row>
    <row r="372" spans="1:10" ht="15">
      <c r="A372" s="116">
        <v>2015</v>
      </c>
      <c r="B372" s="118">
        <v>26.7</v>
      </c>
      <c r="C372" s="118">
        <v>16.899999999999999</v>
      </c>
      <c r="D372" s="118">
        <v>6.6</v>
      </c>
      <c r="E372" s="118">
        <v>2.8</v>
      </c>
      <c r="F372" s="118">
        <v>0.4</v>
      </c>
    </row>
    <row r="373" spans="1:10" ht="15">
      <c r="A373" s="116">
        <v>2016</v>
      </c>
      <c r="B373" s="118">
        <v>26.8</v>
      </c>
      <c r="C373" s="118">
        <v>16.899999999999999</v>
      </c>
      <c r="D373" s="118">
        <v>6.7</v>
      </c>
      <c r="E373" s="118">
        <v>2.7</v>
      </c>
      <c r="F373" s="118">
        <v>0.4</v>
      </c>
    </row>
    <row r="374" spans="1:10" ht="15"/>
    <row r="375" spans="1:10" ht="15">
      <c r="B375" s="774" t="s">
        <v>13</v>
      </c>
      <c r="C375" s="774"/>
      <c r="D375" s="774"/>
      <c r="E375" s="774"/>
      <c r="F375" s="774"/>
      <c r="G375" s="115"/>
      <c r="H375" s="115"/>
    </row>
    <row r="376" spans="1:10" ht="15">
      <c r="A376" s="116">
        <v>1979</v>
      </c>
      <c r="B376" s="118">
        <v>35.1</v>
      </c>
      <c r="C376" s="118">
        <v>22.6</v>
      </c>
      <c r="D376" s="118">
        <v>1</v>
      </c>
      <c r="E376" s="118">
        <v>11</v>
      </c>
      <c r="F376" s="118">
        <v>0.5</v>
      </c>
      <c r="I376" s="127"/>
    </row>
    <row r="377" spans="1:10" ht="15">
      <c r="A377" s="116">
        <v>1980</v>
      </c>
      <c r="B377" s="118">
        <v>33.1</v>
      </c>
      <c r="C377" s="118">
        <v>22.9</v>
      </c>
      <c r="D377" s="118">
        <v>1.1000000000000001</v>
      </c>
      <c r="E377" s="118">
        <v>8.6</v>
      </c>
      <c r="F377" s="118">
        <v>0.4</v>
      </c>
      <c r="I377" s="127"/>
      <c r="J377" s="44"/>
    </row>
    <row r="378" spans="1:10" ht="15">
      <c r="A378" s="116">
        <v>1981</v>
      </c>
      <c r="B378" s="118">
        <v>30.5</v>
      </c>
      <c r="C378" s="118">
        <v>21.9</v>
      </c>
      <c r="D378" s="118">
        <v>1.3</v>
      </c>
      <c r="E378" s="118">
        <v>6.9</v>
      </c>
      <c r="F378" s="118">
        <v>0.4</v>
      </c>
      <c r="I378" s="127"/>
      <c r="J378" s="44"/>
    </row>
    <row r="379" spans="1:10" ht="15">
      <c r="A379" s="116">
        <v>1982</v>
      </c>
      <c r="B379" s="118">
        <v>26.8</v>
      </c>
      <c r="C379" s="118">
        <v>20.6</v>
      </c>
      <c r="D379" s="118">
        <v>1.6</v>
      </c>
      <c r="E379" s="118">
        <v>4.3</v>
      </c>
      <c r="F379" s="118">
        <v>0.3</v>
      </c>
      <c r="I379" s="127"/>
      <c r="J379" s="44"/>
    </row>
    <row r="380" spans="1:10" ht="15">
      <c r="A380" s="116">
        <v>1983</v>
      </c>
      <c r="B380" s="118">
        <v>26.8</v>
      </c>
      <c r="C380" s="118">
        <v>19.7</v>
      </c>
      <c r="D380" s="118">
        <v>1.5</v>
      </c>
      <c r="E380" s="118">
        <v>5.0999999999999996</v>
      </c>
      <c r="F380" s="118">
        <v>0.4</v>
      </c>
      <c r="I380" s="127"/>
      <c r="J380" s="44"/>
    </row>
    <row r="381" spans="1:10" ht="15">
      <c r="A381" s="116">
        <v>1984</v>
      </c>
      <c r="B381" s="118">
        <v>27</v>
      </c>
      <c r="C381" s="118">
        <v>19.5</v>
      </c>
      <c r="D381" s="118">
        <v>1.4</v>
      </c>
      <c r="E381" s="118">
        <v>5.6</v>
      </c>
      <c r="F381" s="118">
        <v>0.4</v>
      </c>
      <c r="I381" s="127"/>
      <c r="J381" s="44"/>
    </row>
    <row r="382" spans="1:10" ht="15">
      <c r="A382" s="116">
        <v>1985</v>
      </c>
      <c r="B382" s="118">
        <v>26.1</v>
      </c>
      <c r="C382" s="118">
        <v>19.100000000000001</v>
      </c>
      <c r="D382" s="118">
        <v>1.4</v>
      </c>
      <c r="E382" s="118">
        <v>5.0999999999999996</v>
      </c>
      <c r="F382" s="118">
        <v>0.4</v>
      </c>
      <c r="I382" s="127"/>
      <c r="J382" s="44"/>
    </row>
    <row r="383" spans="1:10" ht="15">
      <c r="A383" s="116">
        <v>1986</v>
      </c>
      <c r="B383" s="118">
        <v>24.7</v>
      </c>
      <c r="C383" s="118">
        <v>18.600000000000001</v>
      </c>
      <c r="D383" s="118">
        <v>1.1000000000000001</v>
      </c>
      <c r="E383" s="118">
        <v>4.5999999999999996</v>
      </c>
      <c r="F383" s="118">
        <v>0.4</v>
      </c>
      <c r="I383" s="127"/>
      <c r="J383" s="44"/>
    </row>
    <row r="384" spans="1:10" ht="15">
      <c r="A384" s="116">
        <v>1987</v>
      </c>
      <c r="B384" s="118">
        <v>30.1</v>
      </c>
      <c r="C384" s="118">
        <v>21.8</v>
      </c>
      <c r="D384" s="118">
        <v>1.6</v>
      </c>
      <c r="E384" s="118">
        <v>6.2</v>
      </c>
      <c r="F384" s="118">
        <v>0.4</v>
      </c>
      <c r="I384" s="127"/>
      <c r="J384" s="44"/>
    </row>
    <row r="385" spans="1:10" ht="15">
      <c r="A385" s="116">
        <v>1988</v>
      </c>
      <c r="B385" s="118">
        <v>28.6</v>
      </c>
      <c r="C385" s="118">
        <v>21.1</v>
      </c>
      <c r="D385" s="118">
        <v>1.3</v>
      </c>
      <c r="E385" s="118">
        <v>5.8</v>
      </c>
      <c r="F385" s="118">
        <v>0.4</v>
      </c>
      <c r="I385" s="127"/>
      <c r="J385" s="44"/>
    </row>
    <row r="386" spans="1:10" ht="15">
      <c r="A386" s="116">
        <v>1989</v>
      </c>
      <c r="B386" s="118">
        <v>27.9</v>
      </c>
      <c r="C386" s="118">
        <v>20.399999999999999</v>
      </c>
      <c r="D386" s="118">
        <v>1.5</v>
      </c>
      <c r="E386" s="118">
        <v>5.8</v>
      </c>
      <c r="F386" s="118">
        <v>0.3</v>
      </c>
      <c r="I386" s="127"/>
      <c r="J386" s="44"/>
    </row>
    <row r="387" spans="1:10" ht="15">
      <c r="A387" s="116">
        <v>1990</v>
      </c>
      <c r="B387" s="118">
        <v>27.7</v>
      </c>
      <c r="C387" s="118">
        <v>20.3</v>
      </c>
      <c r="D387" s="118">
        <v>1.6</v>
      </c>
      <c r="E387" s="118">
        <v>5.6</v>
      </c>
      <c r="F387" s="118">
        <v>0.3</v>
      </c>
      <c r="I387" s="127"/>
      <c r="J387" s="44"/>
    </row>
    <row r="388" spans="1:10" ht="15">
      <c r="A388" s="116">
        <v>1991</v>
      </c>
      <c r="B388" s="118">
        <v>28.9</v>
      </c>
      <c r="C388" s="118">
        <v>21</v>
      </c>
      <c r="D388" s="118">
        <v>2.2000000000000002</v>
      </c>
      <c r="E388" s="118">
        <v>5.4</v>
      </c>
      <c r="F388" s="118">
        <v>0.4</v>
      </c>
      <c r="I388" s="127"/>
      <c r="J388" s="44"/>
    </row>
    <row r="389" spans="1:10" ht="15">
      <c r="A389" s="116">
        <v>1992</v>
      </c>
      <c r="B389" s="118">
        <v>29.6</v>
      </c>
      <c r="C389" s="118">
        <v>21.6</v>
      </c>
      <c r="D389" s="118">
        <v>1.9</v>
      </c>
      <c r="E389" s="118">
        <v>5.7</v>
      </c>
      <c r="F389" s="118">
        <v>0.3</v>
      </c>
      <c r="I389" s="127"/>
      <c r="J389" s="44"/>
    </row>
    <row r="390" spans="1:10" ht="15">
      <c r="A390" s="116">
        <v>1993</v>
      </c>
      <c r="B390" s="118">
        <v>33.200000000000003</v>
      </c>
      <c r="C390" s="118">
        <v>23.7</v>
      </c>
      <c r="D390" s="118">
        <v>2.1</v>
      </c>
      <c r="E390" s="118">
        <v>7</v>
      </c>
      <c r="F390" s="118">
        <v>0.4</v>
      </c>
      <c r="I390" s="127"/>
      <c r="J390" s="44"/>
    </row>
    <row r="391" spans="1:10" ht="15">
      <c r="A391" s="116">
        <v>1994</v>
      </c>
      <c r="B391" s="118">
        <v>34.4</v>
      </c>
      <c r="C391" s="118">
        <v>23.7</v>
      </c>
      <c r="D391" s="118">
        <v>2.7</v>
      </c>
      <c r="E391" s="118">
        <v>7.7</v>
      </c>
      <c r="F391" s="118">
        <v>0.4</v>
      </c>
      <c r="I391" s="127"/>
      <c r="J391" s="44"/>
    </row>
    <row r="392" spans="1:10" ht="15">
      <c r="A392" s="116">
        <v>1995</v>
      </c>
      <c r="B392" s="118">
        <v>34.9</v>
      </c>
      <c r="C392" s="118">
        <v>24.4</v>
      </c>
      <c r="D392" s="118">
        <v>2.4</v>
      </c>
      <c r="E392" s="118">
        <v>7.7</v>
      </c>
      <c r="F392" s="118">
        <v>0.3</v>
      </c>
      <c r="I392" s="127"/>
      <c r="J392" s="44"/>
    </row>
    <row r="393" spans="1:10" ht="15">
      <c r="A393" s="116">
        <v>1996</v>
      </c>
      <c r="B393" s="118">
        <v>34.799999999999997</v>
      </c>
      <c r="C393" s="118">
        <v>24.8</v>
      </c>
      <c r="D393" s="118">
        <v>2.2999999999999998</v>
      </c>
      <c r="E393" s="118">
        <v>7.5</v>
      </c>
      <c r="F393" s="118">
        <v>0.3</v>
      </c>
      <c r="I393" s="127"/>
      <c r="J393" s="44"/>
    </row>
    <row r="394" spans="1:10" ht="15">
      <c r="A394" s="116">
        <v>1997</v>
      </c>
      <c r="B394" s="118">
        <v>33.799999999999997</v>
      </c>
      <c r="C394" s="118">
        <v>24.4</v>
      </c>
      <c r="D394" s="118">
        <v>2.1</v>
      </c>
      <c r="E394" s="118">
        <v>7</v>
      </c>
      <c r="F394" s="118">
        <v>0.3</v>
      </c>
      <c r="I394" s="127"/>
      <c r="J394" s="44"/>
    </row>
    <row r="395" spans="1:10" ht="15">
      <c r="A395" s="116">
        <v>1998</v>
      </c>
      <c r="B395" s="118">
        <v>32.4</v>
      </c>
      <c r="C395" s="118">
        <v>23.9</v>
      </c>
      <c r="D395" s="118">
        <v>2</v>
      </c>
      <c r="E395" s="118">
        <v>6.3</v>
      </c>
      <c r="F395" s="118">
        <v>0.3</v>
      </c>
      <c r="I395" s="127"/>
      <c r="J395" s="44"/>
    </row>
    <row r="396" spans="1:10" ht="15">
      <c r="A396" s="116">
        <v>1999</v>
      </c>
      <c r="B396" s="118">
        <v>32.6</v>
      </c>
      <c r="C396" s="118">
        <v>24.5</v>
      </c>
      <c r="D396" s="118">
        <v>2</v>
      </c>
      <c r="E396" s="118">
        <v>5.9</v>
      </c>
      <c r="F396" s="118">
        <v>0.3</v>
      </c>
      <c r="I396" s="127"/>
      <c r="J396" s="44"/>
    </row>
    <row r="397" spans="1:10" ht="15">
      <c r="A397" s="116">
        <v>2000</v>
      </c>
      <c r="B397" s="118">
        <v>32.299999999999997</v>
      </c>
      <c r="C397" s="118">
        <v>24.7</v>
      </c>
      <c r="D397" s="118">
        <v>2</v>
      </c>
      <c r="E397" s="118">
        <v>5.4</v>
      </c>
      <c r="F397" s="118">
        <v>0.2</v>
      </c>
      <c r="I397" s="127"/>
      <c r="J397" s="44"/>
    </row>
    <row r="398" spans="1:10" ht="15">
      <c r="A398" s="116">
        <v>2001</v>
      </c>
      <c r="B398" s="118">
        <v>32</v>
      </c>
      <c r="C398" s="118">
        <v>24.6</v>
      </c>
      <c r="D398" s="118">
        <v>2.4</v>
      </c>
      <c r="E398" s="118">
        <v>4.8</v>
      </c>
      <c r="F398" s="118">
        <v>0.2</v>
      </c>
      <c r="I398" s="127"/>
      <c r="J398" s="44"/>
    </row>
    <row r="399" spans="1:10" ht="15">
      <c r="A399" s="116">
        <v>2002</v>
      </c>
      <c r="B399" s="118">
        <v>31.9</v>
      </c>
      <c r="C399" s="118">
        <v>24.2</v>
      </c>
      <c r="D399" s="118">
        <v>2.5</v>
      </c>
      <c r="E399" s="118">
        <v>4.9000000000000004</v>
      </c>
      <c r="F399" s="118">
        <v>0.3</v>
      </c>
      <c r="I399" s="127"/>
      <c r="J399" s="44"/>
    </row>
    <row r="400" spans="1:10" ht="15">
      <c r="A400" s="116">
        <v>2003</v>
      </c>
      <c r="B400" s="118">
        <v>30.3</v>
      </c>
      <c r="C400" s="118">
        <v>21</v>
      </c>
      <c r="D400" s="118">
        <v>2.4</v>
      </c>
      <c r="E400" s="118">
        <v>6.7</v>
      </c>
      <c r="F400" s="118">
        <v>0.3</v>
      </c>
      <c r="I400" s="127"/>
      <c r="J400" s="44"/>
    </row>
    <row r="401" spans="1:10" ht="15">
      <c r="A401" s="116">
        <v>2004</v>
      </c>
      <c r="B401" s="118">
        <v>30</v>
      </c>
      <c r="C401" s="118">
        <v>20.2</v>
      </c>
      <c r="D401" s="118">
        <v>2</v>
      </c>
      <c r="E401" s="118">
        <v>7.5</v>
      </c>
      <c r="F401" s="118">
        <v>0.3</v>
      </c>
      <c r="I401" s="127"/>
      <c r="J401" s="44"/>
    </row>
    <row r="402" spans="1:10" ht="15">
      <c r="A402" s="116">
        <v>2005</v>
      </c>
      <c r="B402" s="118">
        <v>30.2</v>
      </c>
      <c r="C402" s="118">
        <v>19.8</v>
      </c>
      <c r="D402" s="118">
        <v>1.7</v>
      </c>
      <c r="E402" s="118">
        <v>8.4</v>
      </c>
      <c r="F402" s="118">
        <v>0.2</v>
      </c>
      <c r="I402" s="127"/>
      <c r="J402" s="44"/>
    </row>
    <row r="403" spans="1:10" ht="15">
      <c r="A403" s="116">
        <v>2006</v>
      </c>
      <c r="B403" s="118">
        <v>29.8</v>
      </c>
      <c r="C403" s="118">
        <v>19.5</v>
      </c>
      <c r="D403" s="118">
        <v>1.6</v>
      </c>
      <c r="E403" s="118">
        <v>8.5</v>
      </c>
      <c r="F403" s="118">
        <v>0.2</v>
      </c>
      <c r="I403" s="127"/>
      <c r="J403" s="44"/>
    </row>
    <row r="404" spans="1:10" ht="15">
      <c r="A404" s="116">
        <v>2007</v>
      </c>
      <c r="B404" s="118">
        <v>28.2</v>
      </c>
      <c r="C404" s="118">
        <v>19.5</v>
      </c>
      <c r="D404" s="118">
        <v>1.6</v>
      </c>
      <c r="E404" s="118">
        <v>7</v>
      </c>
      <c r="F404" s="118">
        <v>0.1</v>
      </c>
      <c r="I404" s="127"/>
      <c r="J404" s="44"/>
    </row>
    <row r="405" spans="1:10" ht="15">
      <c r="A405" s="116">
        <v>2008</v>
      </c>
      <c r="B405" s="118">
        <v>28.1</v>
      </c>
      <c r="C405" s="118">
        <v>20.5</v>
      </c>
      <c r="D405" s="118">
        <v>2</v>
      </c>
      <c r="E405" s="118">
        <v>5.3</v>
      </c>
      <c r="F405" s="118">
        <v>0.2</v>
      </c>
      <c r="I405" s="127"/>
      <c r="J405" s="44"/>
    </row>
    <row r="406" spans="1:10" ht="15">
      <c r="A406" s="116">
        <v>2009</v>
      </c>
      <c r="B406" s="118">
        <v>28.7</v>
      </c>
      <c r="C406" s="118">
        <v>21.1</v>
      </c>
      <c r="D406" s="118">
        <v>2.5</v>
      </c>
      <c r="E406" s="118">
        <v>5</v>
      </c>
      <c r="F406" s="118">
        <v>0.2</v>
      </c>
      <c r="I406" s="127"/>
      <c r="J406" s="44"/>
    </row>
    <row r="407" spans="1:10" ht="15">
      <c r="A407" s="116">
        <v>2010</v>
      </c>
      <c r="B407" s="118">
        <v>29.3</v>
      </c>
      <c r="C407" s="118">
        <v>20.2</v>
      </c>
      <c r="D407" s="118">
        <v>2.2000000000000002</v>
      </c>
      <c r="E407" s="118">
        <v>6.6</v>
      </c>
      <c r="F407" s="118">
        <v>0.2</v>
      </c>
      <c r="I407" s="127"/>
      <c r="J407" s="44"/>
    </row>
    <row r="408" spans="1:10" ht="15">
      <c r="A408" s="116">
        <v>2011</v>
      </c>
      <c r="B408" s="118">
        <v>29</v>
      </c>
      <c r="C408" s="118">
        <v>20.3</v>
      </c>
      <c r="D408" s="118">
        <v>2.1</v>
      </c>
      <c r="E408" s="118">
        <v>6.5</v>
      </c>
      <c r="F408" s="118">
        <v>0.2</v>
      </c>
      <c r="I408" s="127"/>
      <c r="J408" s="44"/>
    </row>
    <row r="409" spans="1:10" ht="15">
      <c r="A409" s="116">
        <v>2012</v>
      </c>
      <c r="B409" s="118">
        <v>28.6</v>
      </c>
      <c r="C409" s="118">
        <v>19.899999999999999</v>
      </c>
      <c r="D409" s="118">
        <v>1.7</v>
      </c>
      <c r="E409" s="118">
        <v>6.7</v>
      </c>
      <c r="F409" s="118">
        <v>0.2</v>
      </c>
      <c r="I409" s="127"/>
      <c r="J409" s="44"/>
    </row>
    <row r="410" spans="1:10" ht="15">
      <c r="A410" s="116">
        <v>2013</v>
      </c>
      <c r="B410" s="118">
        <v>33.6</v>
      </c>
      <c r="C410" s="118">
        <v>23.7</v>
      </c>
      <c r="D410" s="118">
        <v>2.4</v>
      </c>
      <c r="E410" s="118">
        <v>7.3</v>
      </c>
      <c r="F410" s="118">
        <v>0.2</v>
      </c>
      <c r="I410" s="127"/>
      <c r="J410" s="44"/>
    </row>
    <row r="411" spans="1:10" ht="15">
      <c r="A411" s="116">
        <v>2014</v>
      </c>
      <c r="B411" s="118">
        <v>33.6</v>
      </c>
      <c r="C411" s="118">
        <v>24</v>
      </c>
      <c r="D411" s="118">
        <v>2.1</v>
      </c>
      <c r="E411" s="118">
        <v>7.3</v>
      </c>
      <c r="F411" s="118">
        <v>0.2</v>
      </c>
      <c r="I411" s="127"/>
      <c r="J411" s="44"/>
    </row>
    <row r="412" spans="1:10" ht="15">
      <c r="A412" s="116">
        <v>2015</v>
      </c>
      <c r="B412" s="118">
        <v>33.299999999999997</v>
      </c>
      <c r="C412" s="118">
        <v>24</v>
      </c>
      <c r="D412" s="118">
        <v>2.2000000000000002</v>
      </c>
      <c r="E412" s="118">
        <v>6.9</v>
      </c>
      <c r="F412" s="118">
        <v>0.2</v>
      </c>
      <c r="I412" s="127"/>
      <c r="J412" s="44"/>
    </row>
    <row r="413" spans="1:10" ht="15">
      <c r="A413" s="116">
        <v>2016</v>
      </c>
      <c r="B413" s="118">
        <v>33.299999999999997</v>
      </c>
      <c r="C413" s="118">
        <v>23.7</v>
      </c>
      <c r="D413" s="118">
        <v>2.2999999999999998</v>
      </c>
      <c r="E413" s="118">
        <v>7.1</v>
      </c>
      <c r="F413" s="118">
        <v>0.2</v>
      </c>
      <c r="I413" s="127"/>
      <c r="J413" s="44"/>
    </row>
    <row r="414" spans="1:10" ht="14.25" customHeight="1">
      <c r="A414" s="2"/>
      <c r="B414" s="2"/>
      <c r="C414" s="2"/>
      <c r="D414" s="2"/>
      <c r="E414" s="2"/>
      <c r="F414" s="2"/>
      <c r="G414" s="4"/>
      <c r="H414" s="4"/>
    </row>
    <row r="415" spans="1:10" ht="15">
      <c r="A415" s="117" t="s">
        <v>14</v>
      </c>
    </row>
    <row r="416" spans="1:10" ht="15"/>
    <row r="417" spans="1:8" ht="14.25" customHeight="1">
      <c r="A417" s="2"/>
      <c r="B417" s="2"/>
      <c r="C417" s="2"/>
      <c r="D417" s="2"/>
      <c r="E417" s="2"/>
      <c r="F417" s="2"/>
      <c r="G417" s="4"/>
      <c r="H417" s="4"/>
    </row>
    <row r="418" spans="1:8" ht="15"/>
    <row r="419" spans="1:8" ht="15">
      <c r="A419" s="772" t="s">
        <v>2</v>
      </c>
      <c r="B419" s="772"/>
      <c r="C419" s="772"/>
    </row>
  </sheetData>
  <mergeCells count="13">
    <mergeCell ref="B375:F375"/>
    <mergeCell ref="A419:C419"/>
    <mergeCell ref="B135:F135"/>
    <mergeCell ref="B175:F175"/>
    <mergeCell ref="B215:F215"/>
    <mergeCell ref="B255:F255"/>
    <mergeCell ref="B295:F295"/>
    <mergeCell ref="B335:F335"/>
    <mergeCell ref="A1:K1"/>
    <mergeCell ref="A2:D2"/>
    <mergeCell ref="B9:F9"/>
    <mergeCell ref="B52:F52"/>
    <mergeCell ref="B95:F95"/>
  </mergeCells>
  <hyperlinks>
    <hyperlink ref="A2" r:id="rId1" xr:uid="{3DFF9400-175D-4F78-B467-EBDAE60B64DE}"/>
    <hyperlink ref="A419" location="'Contents and Notes'!A1" display="Return to Contents and Notes" xr:uid="{DAF84A76-EE4A-4D0A-933F-4C17A7DA0857}"/>
    <hyperlink ref="M1" location="Index!A1" display="index" xr:uid="{0C008F90-C61C-4450-B23B-86DC97F879DE}"/>
  </hyperlinks>
  <pageMargins left="0.7" right="0.7" top="0.75" bottom="0.75" header="0.3" footer="0.3"/>
  <pageSetup orientation="portrait" horizontalDpi="1200" verticalDpi="1200"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12AEA-E596-4032-BD66-CB9F1081A4C0}">
  <sheetPr>
    <tabColor theme="4" tint="0.79998168889431442"/>
  </sheetPr>
  <dimension ref="A1:L413"/>
  <sheetViews>
    <sheetView zoomScale="85" zoomScaleNormal="85" workbookViewId="0">
      <selection activeCell="L1" sqref="L1"/>
    </sheetView>
  </sheetViews>
  <sheetFormatPr defaultRowHeight="15"/>
  <cols>
    <col min="1" max="1" width="15.7109375" style="132" customWidth="1"/>
    <col min="2" max="2" width="15.7109375" style="274" customWidth="1"/>
    <col min="3" max="3" width="2.7109375" style="140" customWidth="1"/>
    <col min="4" max="4" width="15.7109375" style="274" customWidth="1"/>
    <col min="5" max="5" width="2.7109375" style="140" customWidth="1"/>
    <col min="6" max="8" width="15.7109375" style="274" customWidth="1"/>
    <col min="9" max="16384" width="9.140625" style="140"/>
  </cols>
  <sheetData>
    <row r="1" spans="1:12" ht="14.25" customHeight="1">
      <c r="A1" s="770" t="s">
        <v>0</v>
      </c>
      <c r="B1" s="771"/>
      <c r="C1" s="771"/>
      <c r="D1" s="771"/>
      <c r="E1" s="771"/>
      <c r="F1" s="771"/>
      <c r="G1" s="771"/>
      <c r="H1" s="771"/>
      <c r="I1" s="771"/>
      <c r="J1" s="771"/>
      <c r="K1" s="771"/>
      <c r="L1" s="641" t="s">
        <v>762</v>
      </c>
    </row>
    <row r="2" spans="1:12" ht="14.25" customHeight="1">
      <c r="A2" s="772" t="s">
        <v>1</v>
      </c>
      <c r="B2" s="775"/>
      <c r="C2" s="776"/>
      <c r="D2" s="775"/>
    </row>
    <row r="4" spans="1:12" ht="14.25" customHeight="1">
      <c r="A4" s="133" t="s">
        <v>284</v>
      </c>
    </row>
    <row r="5" spans="1:12" ht="14.25" customHeight="1">
      <c r="A5" s="133" t="s">
        <v>285</v>
      </c>
    </row>
    <row r="6" spans="1:12" ht="14.25" customHeight="1">
      <c r="A6" s="135" t="s">
        <v>286</v>
      </c>
    </row>
    <row r="8" spans="1:12" ht="30" customHeight="1">
      <c r="A8" s="136" t="s">
        <v>3</v>
      </c>
      <c r="B8" s="136" t="s">
        <v>287</v>
      </c>
      <c r="C8" s="136"/>
      <c r="D8" s="136" t="s">
        <v>288</v>
      </c>
      <c r="E8" s="136"/>
      <c r="F8" s="136" t="s">
        <v>289</v>
      </c>
      <c r="G8" s="136" t="s">
        <v>290</v>
      </c>
      <c r="H8" s="136" t="s">
        <v>291</v>
      </c>
    </row>
    <row r="9" spans="1:12" ht="14.25" customHeight="1">
      <c r="B9" s="774" t="s">
        <v>4</v>
      </c>
      <c r="C9" s="774"/>
      <c r="D9" s="774"/>
      <c r="E9" s="774"/>
      <c r="F9" s="774"/>
      <c r="G9" s="774"/>
      <c r="H9" s="774"/>
    </row>
    <row r="10" spans="1:12" ht="14.25" customHeight="1">
      <c r="A10" s="132">
        <v>1979</v>
      </c>
      <c r="B10" s="274">
        <v>81.099999999999994</v>
      </c>
      <c r="D10" s="274">
        <v>221.9</v>
      </c>
      <c r="F10" s="274">
        <v>64.8</v>
      </c>
      <c r="G10" s="274">
        <v>133</v>
      </c>
      <c r="H10" s="274">
        <v>24.2</v>
      </c>
    </row>
    <row r="11" spans="1:12" ht="14.25" customHeight="1">
      <c r="A11" s="132">
        <v>1980</v>
      </c>
      <c r="B11" s="274">
        <v>82.6</v>
      </c>
      <c r="D11" s="274">
        <v>224.5</v>
      </c>
      <c r="F11" s="274">
        <v>64.5</v>
      </c>
      <c r="G11" s="274">
        <v>135.19999999999999</v>
      </c>
      <c r="H11" s="274">
        <v>24.7</v>
      </c>
    </row>
    <row r="12" spans="1:12" ht="14.25" customHeight="1">
      <c r="A12" s="132">
        <v>1981</v>
      </c>
      <c r="B12" s="274">
        <v>83.8</v>
      </c>
      <c r="D12" s="274">
        <v>226</v>
      </c>
      <c r="F12" s="274">
        <v>63.9</v>
      </c>
      <c r="G12" s="274">
        <v>136.80000000000001</v>
      </c>
      <c r="H12" s="274">
        <v>25.3</v>
      </c>
    </row>
    <row r="13" spans="1:12" ht="14.25" customHeight="1">
      <c r="A13" s="132">
        <v>1982</v>
      </c>
      <c r="B13" s="274">
        <v>84.3</v>
      </c>
      <c r="D13" s="274">
        <v>227.6</v>
      </c>
      <c r="F13" s="274">
        <v>63.2</v>
      </c>
      <c r="G13" s="274">
        <v>138.5</v>
      </c>
      <c r="H13" s="274">
        <v>25.8</v>
      </c>
    </row>
    <row r="14" spans="1:12" ht="14.25" customHeight="1">
      <c r="A14" s="132">
        <v>1983</v>
      </c>
      <c r="B14" s="274">
        <v>85.8</v>
      </c>
      <c r="D14" s="274">
        <v>229.4</v>
      </c>
      <c r="F14" s="274">
        <v>63.3</v>
      </c>
      <c r="G14" s="274">
        <v>140</v>
      </c>
      <c r="H14" s="274">
        <v>26.1</v>
      </c>
    </row>
    <row r="15" spans="1:12" ht="14.25" customHeight="1">
      <c r="A15" s="132">
        <v>1984</v>
      </c>
      <c r="B15" s="274">
        <v>87.2</v>
      </c>
      <c r="D15" s="274">
        <v>231.3</v>
      </c>
      <c r="F15" s="274">
        <v>63.2</v>
      </c>
      <c r="G15" s="274">
        <v>141.4</v>
      </c>
      <c r="H15" s="274">
        <v>26.6</v>
      </c>
    </row>
    <row r="16" spans="1:12" ht="14.25" customHeight="1">
      <c r="A16" s="132">
        <v>1985</v>
      </c>
      <c r="B16" s="274">
        <v>88.8</v>
      </c>
      <c r="D16" s="274">
        <v>234.6</v>
      </c>
      <c r="F16" s="274">
        <v>64.2</v>
      </c>
      <c r="G16" s="274">
        <v>143.19999999999999</v>
      </c>
      <c r="H16" s="274">
        <v>27.2</v>
      </c>
    </row>
    <row r="17" spans="1:8" ht="14.25" customHeight="1">
      <c r="A17" s="132">
        <v>1986</v>
      </c>
      <c r="B17" s="274">
        <v>89.9</v>
      </c>
      <c r="D17" s="274">
        <v>237.1</v>
      </c>
      <c r="F17" s="274">
        <v>64.400000000000006</v>
      </c>
      <c r="G17" s="274">
        <v>144.80000000000001</v>
      </c>
      <c r="H17" s="274">
        <v>27.9</v>
      </c>
    </row>
    <row r="18" spans="1:8" ht="14.25" customHeight="1">
      <c r="A18" s="132">
        <v>1987</v>
      </c>
      <c r="B18" s="274">
        <v>91.4</v>
      </c>
      <c r="D18" s="274">
        <v>239.8</v>
      </c>
      <c r="F18" s="274">
        <v>65.2</v>
      </c>
      <c r="G18" s="274">
        <v>146.1</v>
      </c>
      <c r="H18" s="274">
        <v>28.5</v>
      </c>
    </row>
    <row r="19" spans="1:8" ht="14.25" customHeight="1">
      <c r="A19" s="132">
        <v>1988</v>
      </c>
      <c r="B19" s="274">
        <v>93.1</v>
      </c>
      <c r="D19" s="274">
        <v>241.7</v>
      </c>
      <c r="F19" s="274">
        <v>65.099999999999994</v>
      </c>
      <c r="G19" s="274">
        <v>147.69999999999999</v>
      </c>
      <c r="H19" s="274">
        <v>28.9</v>
      </c>
    </row>
    <row r="20" spans="1:8" ht="14.25" customHeight="1">
      <c r="A20" s="132">
        <v>1989</v>
      </c>
      <c r="B20" s="274">
        <v>93.6</v>
      </c>
      <c r="D20" s="274">
        <v>243.9</v>
      </c>
      <c r="F20" s="274">
        <v>65.7</v>
      </c>
      <c r="G20" s="274">
        <v>148.9</v>
      </c>
      <c r="H20" s="274">
        <v>29.2</v>
      </c>
    </row>
    <row r="21" spans="1:8" ht="14.25" customHeight="1">
      <c r="A21" s="132">
        <v>1990</v>
      </c>
      <c r="B21" s="274">
        <v>94.6</v>
      </c>
      <c r="D21" s="274">
        <v>246.7</v>
      </c>
      <c r="F21" s="274">
        <v>67.099999999999994</v>
      </c>
      <c r="G21" s="274">
        <v>149.80000000000001</v>
      </c>
      <c r="H21" s="274">
        <v>29.9</v>
      </c>
    </row>
    <row r="22" spans="1:8" ht="14.25" customHeight="1">
      <c r="A22" s="132">
        <v>1991</v>
      </c>
      <c r="B22" s="274">
        <v>96</v>
      </c>
      <c r="D22" s="274">
        <v>249</v>
      </c>
      <c r="F22" s="274">
        <v>67.2</v>
      </c>
      <c r="G22" s="274">
        <v>151.4</v>
      </c>
      <c r="H22" s="274">
        <v>30.4</v>
      </c>
    </row>
    <row r="23" spans="1:8" ht="14.25" customHeight="1">
      <c r="A23" s="132">
        <v>1992</v>
      </c>
      <c r="B23" s="274">
        <v>96.3</v>
      </c>
      <c r="D23" s="274">
        <v>250.4</v>
      </c>
      <c r="F23" s="274">
        <v>68.400000000000006</v>
      </c>
      <c r="G23" s="274">
        <v>151.69999999999999</v>
      </c>
      <c r="H23" s="274">
        <v>30.3</v>
      </c>
    </row>
    <row r="24" spans="1:8" ht="14.25" customHeight="1">
      <c r="A24" s="132">
        <v>1993</v>
      </c>
      <c r="B24" s="274">
        <v>97.3</v>
      </c>
      <c r="D24" s="274">
        <v>255</v>
      </c>
      <c r="F24" s="274">
        <v>71.099999999999994</v>
      </c>
      <c r="G24" s="274">
        <v>153.1</v>
      </c>
      <c r="H24" s="274">
        <v>30.7</v>
      </c>
    </row>
    <row r="25" spans="1:8" ht="14.25" customHeight="1">
      <c r="A25" s="132">
        <v>1994</v>
      </c>
      <c r="B25" s="274">
        <v>99.1</v>
      </c>
      <c r="D25" s="274">
        <v>257.8</v>
      </c>
      <c r="F25" s="274">
        <v>71.5</v>
      </c>
      <c r="G25" s="274">
        <v>155</v>
      </c>
      <c r="H25" s="274">
        <v>31.3</v>
      </c>
    </row>
    <row r="26" spans="1:8" ht="14.25" customHeight="1">
      <c r="A26" s="132">
        <v>1995</v>
      </c>
      <c r="B26" s="274">
        <v>99.7</v>
      </c>
      <c r="D26" s="274">
        <v>258.60000000000002</v>
      </c>
      <c r="F26" s="274">
        <v>71.3</v>
      </c>
      <c r="G26" s="274">
        <v>155.80000000000001</v>
      </c>
      <c r="H26" s="274">
        <v>31.5</v>
      </c>
    </row>
    <row r="27" spans="1:8" ht="14.25" customHeight="1">
      <c r="A27" s="132">
        <v>1996</v>
      </c>
      <c r="B27" s="274">
        <v>101.1</v>
      </c>
      <c r="D27" s="274">
        <v>261.89999999999998</v>
      </c>
      <c r="F27" s="274">
        <v>72</v>
      </c>
      <c r="G27" s="274">
        <v>158.4</v>
      </c>
      <c r="H27" s="274">
        <v>31.6</v>
      </c>
    </row>
    <row r="28" spans="1:8" ht="14.25" customHeight="1">
      <c r="A28" s="132">
        <v>1997</v>
      </c>
      <c r="B28" s="274">
        <v>102.6</v>
      </c>
      <c r="D28" s="274">
        <v>264.2</v>
      </c>
      <c r="F28" s="274">
        <v>72.400000000000006</v>
      </c>
      <c r="G28" s="274">
        <v>160</v>
      </c>
      <c r="H28" s="274">
        <v>31.8</v>
      </c>
    </row>
    <row r="29" spans="1:8" ht="14.25" customHeight="1">
      <c r="A29" s="132">
        <v>1998</v>
      </c>
      <c r="B29" s="274">
        <v>104</v>
      </c>
      <c r="D29" s="274">
        <v>266.3</v>
      </c>
      <c r="F29" s="274">
        <v>72</v>
      </c>
      <c r="G29" s="274">
        <v>162.19999999999999</v>
      </c>
      <c r="H29" s="274">
        <v>32.200000000000003</v>
      </c>
    </row>
    <row r="30" spans="1:8" ht="14.25" customHeight="1">
      <c r="A30" s="132">
        <v>1999</v>
      </c>
      <c r="B30" s="274">
        <v>104.8</v>
      </c>
      <c r="D30" s="274">
        <v>269.60000000000002</v>
      </c>
      <c r="F30" s="274">
        <v>72</v>
      </c>
      <c r="G30" s="274">
        <v>165.1</v>
      </c>
      <c r="H30" s="274">
        <v>32.4</v>
      </c>
    </row>
    <row r="31" spans="1:8" ht="14.25" customHeight="1">
      <c r="A31" s="132">
        <v>2000</v>
      </c>
      <c r="B31" s="274">
        <v>108.3</v>
      </c>
      <c r="D31" s="274">
        <v>276.5</v>
      </c>
      <c r="F31" s="274">
        <v>73.400000000000006</v>
      </c>
      <c r="G31" s="274">
        <v>169.5</v>
      </c>
      <c r="H31" s="274">
        <v>33.700000000000003</v>
      </c>
    </row>
    <row r="32" spans="1:8" ht="14.25" customHeight="1">
      <c r="A32" s="132">
        <v>2001</v>
      </c>
      <c r="B32" s="274">
        <v>109.4</v>
      </c>
      <c r="D32" s="274">
        <v>277.8</v>
      </c>
      <c r="F32" s="274">
        <v>73.5</v>
      </c>
      <c r="G32" s="274">
        <v>170.5</v>
      </c>
      <c r="H32" s="274">
        <v>33.799999999999997</v>
      </c>
    </row>
    <row r="33" spans="1:8" ht="14.25" customHeight="1">
      <c r="A33" s="132">
        <v>2002</v>
      </c>
      <c r="B33" s="274">
        <v>111.4</v>
      </c>
      <c r="D33" s="274">
        <v>282.10000000000002</v>
      </c>
      <c r="F33" s="274">
        <v>74.2</v>
      </c>
      <c r="G33" s="274">
        <v>173.9</v>
      </c>
      <c r="H33" s="274">
        <v>34</v>
      </c>
    </row>
    <row r="34" spans="1:8" ht="14.25" customHeight="1">
      <c r="A34" s="132">
        <v>2003</v>
      </c>
      <c r="B34" s="274">
        <v>112.1</v>
      </c>
      <c r="D34" s="274">
        <v>284</v>
      </c>
      <c r="F34" s="274">
        <v>74.7</v>
      </c>
      <c r="G34" s="274">
        <v>174.6</v>
      </c>
      <c r="H34" s="274">
        <v>34.700000000000003</v>
      </c>
    </row>
    <row r="35" spans="1:8" ht="14.25" customHeight="1">
      <c r="A35" s="132">
        <v>2004</v>
      </c>
      <c r="B35" s="274">
        <v>113.3</v>
      </c>
      <c r="D35" s="274">
        <v>288</v>
      </c>
      <c r="F35" s="274">
        <v>76.099999999999994</v>
      </c>
      <c r="G35" s="274">
        <v>176.6</v>
      </c>
      <c r="H35" s="274">
        <v>35.299999999999997</v>
      </c>
    </row>
    <row r="36" spans="1:8" ht="14.25" customHeight="1">
      <c r="A36" s="132">
        <v>2005</v>
      </c>
      <c r="B36" s="274">
        <v>114.5</v>
      </c>
      <c r="D36" s="274">
        <v>289.3</v>
      </c>
      <c r="F36" s="274">
        <v>75.099999999999994</v>
      </c>
      <c r="G36" s="274">
        <v>178.5</v>
      </c>
      <c r="H36" s="274">
        <v>35.700000000000003</v>
      </c>
    </row>
    <row r="37" spans="1:8" ht="14.25" customHeight="1">
      <c r="A37" s="132">
        <v>2006</v>
      </c>
      <c r="B37" s="274">
        <v>116.1</v>
      </c>
      <c r="D37" s="274">
        <v>292.7</v>
      </c>
      <c r="F37" s="274">
        <v>75.5</v>
      </c>
      <c r="G37" s="274">
        <v>181.1</v>
      </c>
      <c r="H37" s="274">
        <v>36.200000000000003</v>
      </c>
    </row>
    <row r="38" spans="1:8" ht="14.25" customHeight="1">
      <c r="A38" s="132">
        <v>2007</v>
      </c>
      <c r="B38" s="274">
        <v>116.9</v>
      </c>
      <c r="D38" s="274">
        <v>292.89999999999998</v>
      </c>
      <c r="F38" s="274">
        <v>74.400000000000006</v>
      </c>
      <c r="G38" s="274">
        <v>181.8</v>
      </c>
      <c r="H38" s="274">
        <v>36.700000000000003</v>
      </c>
    </row>
    <row r="39" spans="1:8" ht="14.25" customHeight="1">
      <c r="A39" s="132">
        <v>2008</v>
      </c>
      <c r="B39" s="274">
        <v>117.3</v>
      </c>
      <c r="D39" s="274">
        <v>295.10000000000002</v>
      </c>
      <c r="F39" s="274">
        <v>74.2</v>
      </c>
      <c r="G39" s="274">
        <v>183.2</v>
      </c>
      <c r="H39" s="274">
        <v>37.700000000000003</v>
      </c>
    </row>
    <row r="40" spans="1:8" ht="14.25" customHeight="1">
      <c r="A40" s="132">
        <v>2009</v>
      </c>
      <c r="B40" s="274">
        <v>117.6</v>
      </c>
      <c r="D40" s="274">
        <v>298</v>
      </c>
      <c r="F40" s="274">
        <v>73.900000000000006</v>
      </c>
      <c r="G40" s="274">
        <v>185.4</v>
      </c>
      <c r="H40" s="274">
        <v>38.6</v>
      </c>
    </row>
    <row r="41" spans="1:8" ht="14.25" customHeight="1">
      <c r="A41" s="132">
        <v>2010</v>
      </c>
      <c r="B41" s="274">
        <v>120</v>
      </c>
      <c r="D41" s="274">
        <v>301.39999999999998</v>
      </c>
      <c r="F41" s="274">
        <v>73.5</v>
      </c>
      <c r="G41" s="274">
        <v>188.3</v>
      </c>
      <c r="H41" s="274">
        <v>39.700000000000003</v>
      </c>
    </row>
    <row r="42" spans="1:8" ht="14.25" customHeight="1">
      <c r="A42" s="132">
        <v>2011</v>
      </c>
      <c r="B42" s="274">
        <v>121.2</v>
      </c>
      <c r="D42" s="274">
        <v>302.5</v>
      </c>
      <c r="F42" s="274">
        <v>72.900000000000006</v>
      </c>
      <c r="G42" s="274">
        <v>188</v>
      </c>
      <c r="H42" s="274">
        <v>41.6</v>
      </c>
    </row>
    <row r="43" spans="1:8" ht="14.25" customHeight="1">
      <c r="A43" s="132">
        <v>2012</v>
      </c>
      <c r="B43" s="274">
        <v>122.5</v>
      </c>
      <c r="D43" s="274">
        <v>305.8</v>
      </c>
      <c r="F43" s="274">
        <v>73.5</v>
      </c>
      <c r="G43" s="274">
        <v>188.9</v>
      </c>
      <c r="H43" s="274">
        <v>43.4</v>
      </c>
    </row>
    <row r="44" spans="1:8" ht="14.25" customHeight="1">
      <c r="A44" s="132">
        <v>2013</v>
      </c>
      <c r="B44" s="274">
        <v>123.1</v>
      </c>
      <c r="D44" s="274">
        <v>306</v>
      </c>
      <c r="F44" s="274">
        <v>72.400000000000006</v>
      </c>
      <c r="G44" s="274">
        <v>189</v>
      </c>
      <c r="H44" s="274">
        <v>44.6</v>
      </c>
    </row>
    <row r="45" spans="1:8" ht="14.25" customHeight="1">
      <c r="A45" s="132">
        <v>2014</v>
      </c>
      <c r="B45" s="274">
        <v>124.7</v>
      </c>
      <c r="D45" s="274">
        <v>310.39999999999998</v>
      </c>
      <c r="F45" s="274">
        <v>73.7</v>
      </c>
      <c r="G45" s="274">
        <v>190.7</v>
      </c>
      <c r="H45" s="274">
        <v>46.1</v>
      </c>
    </row>
    <row r="46" spans="1:8" ht="14.25" customHeight="1">
      <c r="A46" s="132">
        <v>2015</v>
      </c>
      <c r="B46" s="274">
        <v>126.1</v>
      </c>
      <c r="D46" s="274">
        <v>311.5</v>
      </c>
      <c r="F46" s="274">
        <v>72.7</v>
      </c>
      <c r="G46" s="274">
        <v>191.2</v>
      </c>
      <c r="H46" s="274">
        <v>47.6</v>
      </c>
    </row>
    <row r="47" spans="1:8" ht="14.25" customHeight="1">
      <c r="A47" s="132">
        <v>2016</v>
      </c>
      <c r="B47" s="274">
        <v>126.5</v>
      </c>
      <c r="D47" s="274">
        <v>311.89999999999998</v>
      </c>
      <c r="F47" s="274">
        <v>71.7</v>
      </c>
      <c r="G47" s="274">
        <v>190.7</v>
      </c>
      <c r="H47" s="274">
        <v>49.5</v>
      </c>
    </row>
    <row r="49" spans="1:8" ht="14.25" customHeight="1">
      <c r="B49" s="774" t="s">
        <v>5</v>
      </c>
      <c r="C49" s="774"/>
      <c r="D49" s="774"/>
      <c r="E49" s="774"/>
      <c r="F49" s="774"/>
      <c r="G49" s="774"/>
      <c r="H49" s="774"/>
    </row>
    <row r="50" spans="1:8" ht="14.25" customHeight="1">
      <c r="A50" s="132">
        <v>1979</v>
      </c>
      <c r="B50" s="274">
        <v>17.5</v>
      </c>
      <c r="D50" s="274">
        <v>43.4</v>
      </c>
      <c r="F50" s="274">
        <v>15.8</v>
      </c>
      <c r="G50" s="274">
        <v>20.100000000000001</v>
      </c>
      <c r="H50" s="274">
        <v>7.6</v>
      </c>
    </row>
    <row r="51" spans="1:8" ht="14.25" customHeight="1">
      <c r="A51" s="132">
        <v>1980</v>
      </c>
      <c r="B51" s="274">
        <v>17.600000000000001</v>
      </c>
      <c r="D51" s="274">
        <v>43.5</v>
      </c>
      <c r="F51" s="274">
        <v>15.7</v>
      </c>
      <c r="G51" s="274">
        <v>20.8</v>
      </c>
      <c r="H51" s="274">
        <v>7</v>
      </c>
    </row>
    <row r="52" spans="1:8" ht="14.25" customHeight="1">
      <c r="A52" s="132">
        <v>1981</v>
      </c>
      <c r="B52" s="274">
        <v>17.3</v>
      </c>
      <c r="D52" s="274">
        <v>43.6</v>
      </c>
      <c r="F52" s="274">
        <v>15.8</v>
      </c>
      <c r="G52" s="274">
        <v>21.4</v>
      </c>
      <c r="H52" s="274">
        <v>6.3</v>
      </c>
    </row>
    <row r="53" spans="1:8" ht="14.25" customHeight="1">
      <c r="A53" s="132">
        <v>1982</v>
      </c>
      <c r="B53" s="274">
        <v>16.899999999999999</v>
      </c>
      <c r="D53" s="274">
        <v>43.9</v>
      </c>
      <c r="F53" s="274">
        <v>16.2</v>
      </c>
      <c r="G53" s="274">
        <v>22.6</v>
      </c>
      <c r="H53" s="274">
        <v>5.2</v>
      </c>
    </row>
    <row r="54" spans="1:8" ht="14.25" customHeight="1">
      <c r="A54" s="132">
        <v>1983</v>
      </c>
      <c r="B54" s="274">
        <v>16.7</v>
      </c>
      <c r="D54" s="274">
        <v>44.2</v>
      </c>
      <c r="F54" s="274">
        <v>16.8</v>
      </c>
      <c r="G54" s="274">
        <v>22.9</v>
      </c>
      <c r="H54" s="274">
        <v>4.5</v>
      </c>
    </row>
    <row r="55" spans="1:8" ht="14.25" customHeight="1">
      <c r="A55" s="132">
        <v>1984</v>
      </c>
      <c r="B55" s="274">
        <v>17.8</v>
      </c>
      <c r="D55" s="274">
        <v>44.6</v>
      </c>
      <c r="F55" s="274">
        <v>16.100000000000001</v>
      </c>
      <c r="G55" s="274">
        <v>23.6</v>
      </c>
      <c r="H55" s="274">
        <v>4.9000000000000004</v>
      </c>
    </row>
    <row r="56" spans="1:8" ht="14.25" customHeight="1">
      <c r="A56" s="132">
        <v>1985</v>
      </c>
      <c r="B56" s="274">
        <v>17.7</v>
      </c>
      <c r="D56" s="274">
        <v>45.2</v>
      </c>
      <c r="F56" s="274">
        <v>16.7</v>
      </c>
      <c r="G56" s="274">
        <v>23.6</v>
      </c>
      <c r="H56" s="274">
        <v>4.9000000000000004</v>
      </c>
    </row>
    <row r="57" spans="1:8" ht="14.25" customHeight="1">
      <c r="A57" s="132">
        <v>1986</v>
      </c>
      <c r="B57" s="274">
        <v>18</v>
      </c>
      <c r="D57" s="274">
        <v>46.1</v>
      </c>
      <c r="F57" s="274">
        <v>17</v>
      </c>
      <c r="G57" s="274">
        <v>24.3</v>
      </c>
      <c r="H57" s="274">
        <v>4.7</v>
      </c>
    </row>
    <row r="58" spans="1:8" ht="14.25" customHeight="1">
      <c r="A58" s="132">
        <v>1987</v>
      </c>
      <c r="B58" s="274">
        <v>17.7</v>
      </c>
      <c r="D58" s="274">
        <v>46.7</v>
      </c>
      <c r="F58" s="274">
        <v>18.399999999999999</v>
      </c>
      <c r="G58" s="274">
        <v>23.5</v>
      </c>
      <c r="H58" s="274">
        <v>4.8</v>
      </c>
    </row>
    <row r="59" spans="1:8" ht="14.25" customHeight="1">
      <c r="A59" s="132">
        <v>1988</v>
      </c>
      <c r="B59" s="274">
        <v>17.899999999999999</v>
      </c>
      <c r="D59" s="274">
        <v>47.1</v>
      </c>
      <c r="F59" s="274">
        <v>18.399999999999999</v>
      </c>
      <c r="G59" s="274">
        <v>23.7</v>
      </c>
      <c r="H59" s="274">
        <v>5</v>
      </c>
    </row>
    <row r="60" spans="1:8" ht="14.25" customHeight="1">
      <c r="A60" s="132">
        <v>1989</v>
      </c>
      <c r="B60" s="274">
        <v>17.8</v>
      </c>
      <c r="D60" s="274">
        <v>47.6</v>
      </c>
      <c r="F60" s="274">
        <v>18.7</v>
      </c>
      <c r="G60" s="274">
        <v>23.9</v>
      </c>
      <c r="H60" s="274">
        <v>5</v>
      </c>
    </row>
    <row r="61" spans="1:8" ht="14.25" customHeight="1">
      <c r="A61" s="132">
        <v>1990</v>
      </c>
      <c r="B61" s="274">
        <v>18.2</v>
      </c>
      <c r="D61" s="274">
        <v>48.1</v>
      </c>
      <c r="F61" s="274">
        <v>18.899999999999999</v>
      </c>
      <c r="G61" s="274">
        <v>24.1</v>
      </c>
      <c r="H61" s="274">
        <v>5.0999999999999996</v>
      </c>
    </row>
    <row r="62" spans="1:8" ht="14.25" customHeight="1">
      <c r="A62" s="132">
        <v>1991</v>
      </c>
      <c r="B62" s="274">
        <v>18.2</v>
      </c>
      <c r="D62" s="274">
        <v>48.5</v>
      </c>
      <c r="F62" s="274">
        <v>19.100000000000001</v>
      </c>
      <c r="G62" s="274">
        <v>24.6</v>
      </c>
      <c r="H62" s="274">
        <v>4.8</v>
      </c>
    </row>
    <row r="63" spans="1:8" ht="14.25" customHeight="1">
      <c r="A63" s="132">
        <v>1992</v>
      </c>
      <c r="B63" s="274">
        <v>17.8</v>
      </c>
      <c r="D63" s="274">
        <v>48.9</v>
      </c>
      <c r="F63" s="274">
        <v>19.7</v>
      </c>
      <c r="G63" s="274">
        <v>25</v>
      </c>
      <c r="H63" s="274">
        <v>4.3</v>
      </c>
    </row>
    <row r="64" spans="1:8" ht="14.25" customHeight="1">
      <c r="A64" s="132">
        <v>1993</v>
      </c>
      <c r="B64" s="274">
        <v>17.8</v>
      </c>
      <c r="D64" s="274">
        <v>49.8</v>
      </c>
      <c r="F64" s="274">
        <v>20.399999999999999</v>
      </c>
      <c r="G64" s="274">
        <v>25.4</v>
      </c>
      <c r="H64" s="274">
        <v>3.9</v>
      </c>
    </row>
    <row r="65" spans="1:8" ht="14.25" customHeight="1">
      <c r="A65" s="132">
        <v>1994</v>
      </c>
      <c r="B65" s="274">
        <v>18.3</v>
      </c>
      <c r="D65" s="274">
        <v>50.4</v>
      </c>
      <c r="F65" s="274">
        <v>20.6</v>
      </c>
      <c r="G65" s="274">
        <v>25.7</v>
      </c>
      <c r="H65" s="274">
        <v>4.2</v>
      </c>
    </row>
    <row r="66" spans="1:8" ht="14.25" customHeight="1">
      <c r="A66" s="132">
        <v>1995</v>
      </c>
      <c r="B66" s="274">
        <v>18.899999999999999</v>
      </c>
      <c r="D66" s="274">
        <v>50.9</v>
      </c>
      <c r="F66" s="274">
        <v>19.899999999999999</v>
      </c>
      <c r="G66" s="274">
        <v>26.8</v>
      </c>
      <c r="H66" s="274">
        <v>4.0999999999999996</v>
      </c>
    </row>
    <row r="67" spans="1:8" ht="14.25" customHeight="1">
      <c r="A67" s="132">
        <v>1996</v>
      </c>
      <c r="B67" s="274">
        <v>18.899999999999999</v>
      </c>
      <c r="D67" s="274">
        <v>51.5</v>
      </c>
      <c r="F67" s="274">
        <v>20.100000000000001</v>
      </c>
      <c r="G67" s="274">
        <v>27.6</v>
      </c>
      <c r="H67" s="274">
        <v>3.7</v>
      </c>
    </row>
    <row r="68" spans="1:8" ht="14.25" customHeight="1">
      <c r="A68" s="132">
        <v>1997</v>
      </c>
      <c r="B68" s="274">
        <v>19.5</v>
      </c>
      <c r="D68" s="274">
        <v>51.7</v>
      </c>
      <c r="F68" s="274">
        <v>19.8</v>
      </c>
      <c r="G68" s="274">
        <v>28</v>
      </c>
      <c r="H68" s="274">
        <v>4</v>
      </c>
    </row>
    <row r="69" spans="1:8" ht="14.25" customHeight="1">
      <c r="A69" s="132">
        <v>1998</v>
      </c>
      <c r="B69" s="274">
        <v>20</v>
      </c>
      <c r="D69" s="274">
        <v>52.2</v>
      </c>
      <c r="F69" s="274">
        <v>19.7</v>
      </c>
      <c r="G69" s="274">
        <v>28.3</v>
      </c>
      <c r="H69" s="274">
        <v>4.2</v>
      </c>
    </row>
    <row r="70" spans="1:8" ht="14.25" customHeight="1">
      <c r="A70" s="132">
        <v>1999</v>
      </c>
      <c r="B70" s="274">
        <v>20.399999999999999</v>
      </c>
      <c r="D70" s="274">
        <v>52.9</v>
      </c>
      <c r="F70" s="274">
        <v>19.2</v>
      </c>
      <c r="G70" s="274">
        <v>29.1</v>
      </c>
      <c r="H70" s="274">
        <v>4.7</v>
      </c>
    </row>
    <row r="71" spans="1:8" ht="14.25" customHeight="1">
      <c r="A71" s="132">
        <v>2000</v>
      </c>
      <c r="B71" s="274">
        <v>21</v>
      </c>
      <c r="D71" s="274">
        <v>54.4</v>
      </c>
      <c r="F71" s="274">
        <v>19.899999999999999</v>
      </c>
      <c r="G71" s="274">
        <v>29.7</v>
      </c>
      <c r="H71" s="274">
        <v>4.8</v>
      </c>
    </row>
    <row r="72" spans="1:8" ht="14.25" customHeight="1">
      <c r="A72" s="132">
        <v>2001</v>
      </c>
      <c r="B72" s="274">
        <v>21.1</v>
      </c>
      <c r="D72" s="274">
        <v>54.5</v>
      </c>
      <c r="F72" s="274">
        <v>19.7</v>
      </c>
      <c r="G72" s="274">
        <v>30.2</v>
      </c>
      <c r="H72" s="274">
        <v>4.5999999999999996</v>
      </c>
    </row>
    <row r="73" spans="1:8" ht="14.25" customHeight="1">
      <c r="A73" s="132">
        <v>2002</v>
      </c>
      <c r="B73" s="274">
        <v>21.3</v>
      </c>
      <c r="D73" s="274">
        <v>55</v>
      </c>
      <c r="F73" s="274">
        <v>20.100000000000001</v>
      </c>
      <c r="G73" s="274">
        <v>30.8</v>
      </c>
      <c r="H73" s="274">
        <v>4.0999999999999996</v>
      </c>
    </row>
    <row r="74" spans="1:8" ht="14.25" customHeight="1">
      <c r="A74" s="132">
        <v>2003</v>
      </c>
      <c r="B74" s="274">
        <v>21.5</v>
      </c>
      <c r="D74" s="274">
        <v>55.5</v>
      </c>
      <c r="F74" s="274">
        <v>19.899999999999999</v>
      </c>
      <c r="G74" s="274">
        <v>31.3</v>
      </c>
      <c r="H74" s="274">
        <v>4.3</v>
      </c>
    </row>
    <row r="75" spans="1:8" ht="14.25" customHeight="1">
      <c r="A75" s="132">
        <v>2004</v>
      </c>
      <c r="B75" s="274">
        <v>21.8</v>
      </c>
      <c r="D75" s="274">
        <v>56.3</v>
      </c>
      <c r="F75" s="274">
        <v>20</v>
      </c>
      <c r="G75" s="274">
        <v>32.1</v>
      </c>
      <c r="H75" s="274">
        <v>4.3</v>
      </c>
    </row>
    <row r="76" spans="1:8" ht="14.25" customHeight="1">
      <c r="A76" s="132">
        <v>2005</v>
      </c>
      <c r="B76" s="274">
        <v>22.2</v>
      </c>
      <c r="D76" s="274">
        <v>56.6</v>
      </c>
      <c r="F76" s="274">
        <v>19.899999999999999</v>
      </c>
      <c r="G76" s="274">
        <v>32.4</v>
      </c>
      <c r="H76" s="274">
        <v>4.4000000000000004</v>
      </c>
    </row>
    <row r="77" spans="1:8" ht="14.25" customHeight="1">
      <c r="A77" s="132">
        <v>2006</v>
      </c>
      <c r="B77" s="274">
        <v>21.8</v>
      </c>
      <c r="D77" s="274">
        <v>57.3</v>
      </c>
      <c r="F77" s="274">
        <v>20.7</v>
      </c>
      <c r="G77" s="274">
        <v>32.9</v>
      </c>
      <c r="H77" s="274">
        <v>3.7</v>
      </c>
    </row>
    <row r="78" spans="1:8" ht="14.25" customHeight="1">
      <c r="A78" s="132">
        <v>2007</v>
      </c>
      <c r="B78" s="274">
        <v>22.7</v>
      </c>
      <c r="D78" s="274">
        <v>57.3</v>
      </c>
      <c r="F78" s="274">
        <v>20.2</v>
      </c>
      <c r="G78" s="274">
        <v>33</v>
      </c>
      <c r="H78" s="274">
        <v>4.0999999999999996</v>
      </c>
    </row>
    <row r="79" spans="1:8" ht="14.25" customHeight="1">
      <c r="A79" s="132">
        <v>2008</v>
      </c>
      <c r="B79" s="274">
        <v>22.5</v>
      </c>
      <c r="D79" s="274">
        <v>57.5</v>
      </c>
      <c r="F79" s="274">
        <v>20</v>
      </c>
      <c r="G79" s="274">
        <v>33.299999999999997</v>
      </c>
      <c r="H79" s="274">
        <v>4.2</v>
      </c>
    </row>
    <row r="80" spans="1:8" ht="14.25" customHeight="1">
      <c r="A80" s="132">
        <v>2009</v>
      </c>
      <c r="B80" s="274">
        <v>21.6</v>
      </c>
      <c r="D80" s="274">
        <v>57.9</v>
      </c>
      <c r="F80" s="274">
        <v>20.5</v>
      </c>
      <c r="G80" s="274">
        <v>34.1</v>
      </c>
      <c r="H80" s="274">
        <v>3.3</v>
      </c>
    </row>
    <row r="81" spans="1:8" ht="14.25" customHeight="1">
      <c r="A81" s="132">
        <v>2010</v>
      </c>
      <c r="B81" s="274">
        <v>22.3</v>
      </c>
      <c r="D81" s="274">
        <v>58.7</v>
      </c>
      <c r="F81" s="274">
        <v>20.7</v>
      </c>
      <c r="G81" s="274">
        <v>35</v>
      </c>
      <c r="H81" s="274">
        <v>3</v>
      </c>
    </row>
    <row r="82" spans="1:8" ht="14.25" customHeight="1">
      <c r="A82" s="132">
        <v>2011</v>
      </c>
      <c r="B82" s="274">
        <v>22.9</v>
      </c>
      <c r="D82" s="274">
        <v>59</v>
      </c>
      <c r="F82" s="274">
        <v>20.399999999999999</v>
      </c>
      <c r="G82" s="274">
        <v>34.9</v>
      </c>
      <c r="H82" s="274">
        <v>3.8</v>
      </c>
    </row>
    <row r="83" spans="1:8" ht="14.25" customHeight="1">
      <c r="A83" s="132">
        <v>2012</v>
      </c>
      <c r="B83" s="274">
        <v>23</v>
      </c>
      <c r="D83" s="274">
        <v>59.8</v>
      </c>
      <c r="F83" s="274">
        <v>20.5</v>
      </c>
      <c r="G83" s="274">
        <v>35.700000000000003</v>
      </c>
      <c r="H83" s="274">
        <v>3.6</v>
      </c>
    </row>
    <row r="84" spans="1:8" ht="14.25" customHeight="1">
      <c r="A84" s="132">
        <v>2013</v>
      </c>
      <c r="B84" s="274">
        <v>23.2</v>
      </c>
      <c r="D84" s="274">
        <v>59.9</v>
      </c>
      <c r="F84" s="274">
        <v>20.100000000000001</v>
      </c>
      <c r="G84" s="274">
        <v>35.9</v>
      </c>
      <c r="H84" s="274">
        <v>3.9</v>
      </c>
    </row>
    <row r="85" spans="1:8" ht="14.25" customHeight="1">
      <c r="A85" s="132">
        <v>2014</v>
      </c>
      <c r="B85" s="274">
        <v>23.7</v>
      </c>
      <c r="D85" s="274">
        <v>60.7</v>
      </c>
      <c r="F85" s="274">
        <v>20.9</v>
      </c>
      <c r="G85" s="274">
        <v>35.299999999999997</v>
      </c>
      <c r="H85" s="274">
        <v>4.5</v>
      </c>
    </row>
    <row r="86" spans="1:8" ht="14.25" customHeight="1">
      <c r="A86" s="132">
        <v>2015</v>
      </c>
      <c r="B86" s="274">
        <v>24.3</v>
      </c>
      <c r="D86" s="274">
        <v>61</v>
      </c>
      <c r="F86" s="274">
        <v>20.8</v>
      </c>
      <c r="G86" s="274">
        <v>35.6</v>
      </c>
      <c r="H86" s="274">
        <v>4.5999999999999996</v>
      </c>
    </row>
    <row r="87" spans="1:8" ht="14.25" customHeight="1">
      <c r="A87" s="132">
        <v>2016</v>
      </c>
      <c r="B87" s="274">
        <v>24.9</v>
      </c>
      <c r="D87" s="274">
        <v>61.2</v>
      </c>
      <c r="F87" s="274">
        <v>20.100000000000001</v>
      </c>
      <c r="G87" s="274">
        <v>35.5</v>
      </c>
      <c r="H87" s="274">
        <v>5.5</v>
      </c>
    </row>
    <row r="89" spans="1:8" ht="14.25" customHeight="1">
      <c r="B89" s="774" t="s">
        <v>6</v>
      </c>
      <c r="C89" s="774"/>
      <c r="D89" s="774"/>
      <c r="E89" s="774"/>
      <c r="F89" s="774"/>
      <c r="G89" s="774"/>
      <c r="H89" s="774"/>
    </row>
    <row r="90" spans="1:8" ht="14.25" customHeight="1">
      <c r="A90" s="132">
        <v>1979</v>
      </c>
      <c r="B90" s="274">
        <v>16.2</v>
      </c>
      <c r="D90" s="274">
        <v>44.4</v>
      </c>
      <c r="F90" s="274">
        <v>14.5</v>
      </c>
      <c r="G90" s="274">
        <v>23.8</v>
      </c>
      <c r="H90" s="274">
        <v>6.1</v>
      </c>
    </row>
    <row r="91" spans="1:8" ht="14.25" customHeight="1">
      <c r="A91" s="132">
        <v>1980</v>
      </c>
      <c r="B91" s="274">
        <v>16.399999999999999</v>
      </c>
      <c r="D91" s="274">
        <v>44.9</v>
      </c>
      <c r="F91" s="274">
        <v>14.4</v>
      </c>
      <c r="G91" s="274">
        <v>24.3</v>
      </c>
      <c r="H91" s="274">
        <v>6.2</v>
      </c>
    </row>
    <row r="92" spans="1:8" ht="14.25" customHeight="1">
      <c r="A92" s="132">
        <v>1981</v>
      </c>
      <c r="B92" s="274">
        <v>16.7</v>
      </c>
      <c r="D92" s="274">
        <v>45.2</v>
      </c>
      <c r="F92" s="274">
        <v>14.3</v>
      </c>
      <c r="G92" s="274">
        <v>24.6</v>
      </c>
      <c r="H92" s="274">
        <v>6.2</v>
      </c>
    </row>
    <row r="93" spans="1:8" ht="14.25" customHeight="1">
      <c r="A93" s="132">
        <v>1982</v>
      </c>
      <c r="B93" s="274">
        <v>16.8</v>
      </c>
      <c r="D93" s="274">
        <v>45.5</v>
      </c>
      <c r="F93" s="274">
        <v>14.1</v>
      </c>
      <c r="G93" s="274">
        <v>24.7</v>
      </c>
      <c r="H93" s="274">
        <v>6.7</v>
      </c>
    </row>
    <row r="94" spans="1:8" ht="14.25" customHeight="1">
      <c r="A94" s="132">
        <v>1983</v>
      </c>
      <c r="B94" s="274">
        <v>17.3</v>
      </c>
      <c r="D94" s="274">
        <v>45.9</v>
      </c>
      <c r="F94" s="274">
        <v>14.1</v>
      </c>
      <c r="G94" s="274">
        <v>25</v>
      </c>
      <c r="H94" s="274">
        <v>6.7</v>
      </c>
    </row>
    <row r="95" spans="1:8" ht="14.25" customHeight="1">
      <c r="A95" s="132">
        <v>1984</v>
      </c>
      <c r="B95" s="274">
        <v>17.399999999999999</v>
      </c>
      <c r="D95" s="274">
        <v>46.2</v>
      </c>
      <c r="F95" s="274">
        <v>14</v>
      </c>
      <c r="G95" s="274">
        <v>25.8</v>
      </c>
      <c r="H95" s="274">
        <v>6.5</v>
      </c>
    </row>
    <row r="96" spans="1:8" ht="14.25" customHeight="1">
      <c r="A96" s="132">
        <v>1985</v>
      </c>
      <c r="B96" s="274">
        <v>17.7</v>
      </c>
      <c r="D96" s="274">
        <v>46.9</v>
      </c>
      <c r="F96" s="274">
        <v>14.5</v>
      </c>
      <c r="G96" s="274">
        <v>26.1</v>
      </c>
      <c r="H96" s="274">
        <v>6.4</v>
      </c>
    </row>
    <row r="97" spans="1:8" ht="14.25" customHeight="1">
      <c r="A97" s="132">
        <v>1986</v>
      </c>
      <c r="B97" s="274">
        <v>18</v>
      </c>
      <c r="D97" s="274">
        <v>47.4</v>
      </c>
      <c r="F97" s="274">
        <v>14.5</v>
      </c>
      <c r="G97" s="274">
        <v>26.1</v>
      </c>
      <c r="H97" s="274">
        <v>6.9</v>
      </c>
    </row>
    <row r="98" spans="1:8" ht="14.25" customHeight="1">
      <c r="A98" s="132">
        <v>1987</v>
      </c>
      <c r="B98" s="274">
        <v>18.7</v>
      </c>
      <c r="D98" s="274">
        <v>48</v>
      </c>
      <c r="F98" s="274">
        <v>14</v>
      </c>
      <c r="G98" s="274">
        <v>26.4</v>
      </c>
      <c r="H98" s="274">
        <v>7.6</v>
      </c>
    </row>
    <row r="99" spans="1:8" ht="14.25" customHeight="1">
      <c r="A99" s="132">
        <v>1988</v>
      </c>
      <c r="B99" s="274">
        <v>19.100000000000001</v>
      </c>
      <c r="D99" s="274">
        <v>48.4</v>
      </c>
      <c r="F99" s="274">
        <v>13.9</v>
      </c>
      <c r="G99" s="274">
        <v>26.7</v>
      </c>
      <c r="H99" s="274">
        <v>7.7</v>
      </c>
    </row>
    <row r="100" spans="1:8" ht="14.25" customHeight="1">
      <c r="A100" s="132">
        <v>1989</v>
      </c>
      <c r="B100" s="274">
        <v>19.3</v>
      </c>
      <c r="D100" s="274">
        <v>48.8</v>
      </c>
      <c r="F100" s="274">
        <v>13.9</v>
      </c>
      <c r="G100" s="274">
        <v>27.3</v>
      </c>
      <c r="H100" s="274">
        <v>7.6</v>
      </c>
    </row>
    <row r="101" spans="1:8" ht="14.25" customHeight="1">
      <c r="A101" s="132">
        <v>1990</v>
      </c>
      <c r="B101" s="274">
        <v>19.2</v>
      </c>
      <c r="D101" s="274">
        <v>49.3</v>
      </c>
      <c r="F101" s="274">
        <v>14.4</v>
      </c>
      <c r="G101" s="274">
        <v>27.5</v>
      </c>
      <c r="H101" s="274">
        <v>7.4</v>
      </c>
    </row>
    <row r="102" spans="1:8" ht="14.25" customHeight="1">
      <c r="A102" s="132">
        <v>1991</v>
      </c>
      <c r="B102" s="274">
        <v>19.5</v>
      </c>
      <c r="D102" s="274">
        <v>49.8</v>
      </c>
      <c r="F102" s="274">
        <v>14.5</v>
      </c>
      <c r="G102" s="274">
        <v>27.9</v>
      </c>
      <c r="H102" s="274">
        <v>7.4</v>
      </c>
    </row>
    <row r="103" spans="1:8" ht="14.25" customHeight="1">
      <c r="A103" s="132">
        <v>1992</v>
      </c>
      <c r="B103" s="274">
        <v>19.899999999999999</v>
      </c>
      <c r="D103" s="274">
        <v>50.1</v>
      </c>
      <c r="F103" s="274">
        <v>14.5</v>
      </c>
      <c r="G103" s="274">
        <v>27.6</v>
      </c>
      <c r="H103" s="274">
        <v>7.9</v>
      </c>
    </row>
    <row r="104" spans="1:8" ht="14.25" customHeight="1">
      <c r="A104" s="132">
        <v>1993</v>
      </c>
      <c r="B104" s="274">
        <v>20.2</v>
      </c>
      <c r="D104" s="274">
        <v>51</v>
      </c>
      <c r="F104" s="274">
        <v>14.8</v>
      </c>
      <c r="G104" s="274">
        <v>27.8</v>
      </c>
      <c r="H104" s="274">
        <v>8.4</v>
      </c>
    </row>
    <row r="105" spans="1:8" ht="14.25" customHeight="1">
      <c r="A105" s="132">
        <v>1994</v>
      </c>
      <c r="B105" s="274">
        <v>20.5</v>
      </c>
      <c r="D105" s="274">
        <v>51.6</v>
      </c>
      <c r="F105" s="274">
        <v>15</v>
      </c>
      <c r="G105" s="274">
        <v>28.1</v>
      </c>
      <c r="H105" s="274">
        <v>8.5</v>
      </c>
    </row>
    <row r="106" spans="1:8" ht="14.25" customHeight="1">
      <c r="A106" s="132">
        <v>1995</v>
      </c>
      <c r="B106" s="274">
        <v>20.3</v>
      </c>
      <c r="D106" s="274">
        <v>51.7</v>
      </c>
      <c r="F106" s="274">
        <v>15.2</v>
      </c>
      <c r="G106" s="274">
        <v>28.4</v>
      </c>
      <c r="H106" s="274">
        <v>8.1</v>
      </c>
    </row>
    <row r="107" spans="1:8" ht="14.25" customHeight="1">
      <c r="A107" s="132">
        <v>1996</v>
      </c>
      <c r="B107" s="274">
        <v>20.8</v>
      </c>
      <c r="D107" s="274">
        <v>52.4</v>
      </c>
      <c r="F107" s="274">
        <v>15.6</v>
      </c>
      <c r="G107" s="274">
        <v>29</v>
      </c>
      <c r="H107" s="274">
        <v>7.8</v>
      </c>
    </row>
    <row r="108" spans="1:8" ht="14.25" customHeight="1">
      <c r="A108" s="132">
        <v>1997</v>
      </c>
      <c r="B108" s="274">
        <v>20.6</v>
      </c>
      <c r="D108" s="274">
        <v>52.8</v>
      </c>
      <c r="F108" s="274">
        <v>16.100000000000001</v>
      </c>
      <c r="G108" s="274">
        <v>29.2</v>
      </c>
      <c r="H108" s="274">
        <v>7.5</v>
      </c>
    </row>
    <row r="109" spans="1:8" ht="14.25" customHeight="1">
      <c r="A109" s="132">
        <v>1998</v>
      </c>
      <c r="B109" s="274">
        <v>20.7</v>
      </c>
      <c r="D109" s="274">
        <v>53.3</v>
      </c>
      <c r="F109" s="274">
        <v>16</v>
      </c>
      <c r="G109" s="274">
        <v>29.6</v>
      </c>
      <c r="H109" s="274">
        <v>7.7</v>
      </c>
    </row>
    <row r="110" spans="1:8" ht="14.25" customHeight="1">
      <c r="A110" s="132">
        <v>1999</v>
      </c>
      <c r="B110" s="274">
        <v>20.7</v>
      </c>
      <c r="D110" s="274">
        <v>53.9</v>
      </c>
      <c r="F110" s="274">
        <v>16</v>
      </c>
      <c r="G110" s="274">
        <v>30.5</v>
      </c>
      <c r="H110" s="274">
        <v>7.5</v>
      </c>
    </row>
    <row r="111" spans="1:8" ht="14.25" customHeight="1">
      <c r="A111" s="132">
        <v>2000</v>
      </c>
      <c r="B111" s="274">
        <v>21.6</v>
      </c>
      <c r="D111" s="274">
        <v>55.3</v>
      </c>
      <c r="F111" s="274">
        <v>16</v>
      </c>
      <c r="G111" s="274">
        <v>31.7</v>
      </c>
      <c r="H111" s="274">
        <v>7.6</v>
      </c>
    </row>
    <row r="112" spans="1:8" ht="14.25" customHeight="1">
      <c r="A112" s="132">
        <v>2001</v>
      </c>
      <c r="B112" s="274">
        <v>21.8</v>
      </c>
      <c r="D112" s="274">
        <v>55.6</v>
      </c>
      <c r="F112" s="274">
        <v>16.399999999999999</v>
      </c>
      <c r="G112" s="274">
        <v>31.2</v>
      </c>
      <c r="H112" s="274">
        <v>8</v>
      </c>
    </row>
    <row r="113" spans="1:8" ht="14.25" customHeight="1">
      <c r="A113" s="132">
        <v>2002</v>
      </c>
      <c r="B113" s="274">
        <v>22.5</v>
      </c>
      <c r="D113" s="274">
        <v>56.4</v>
      </c>
      <c r="F113" s="274">
        <v>16.100000000000001</v>
      </c>
      <c r="G113" s="274">
        <v>32.200000000000003</v>
      </c>
      <c r="H113" s="274">
        <v>8.1</v>
      </c>
    </row>
    <row r="114" spans="1:8" ht="14.25" customHeight="1">
      <c r="A114" s="132">
        <v>2003</v>
      </c>
      <c r="B114" s="274">
        <v>22.8</v>
      </c>
      <c r="D114" s="274">
        <v>56.8</v>
      </c>
      <c r="F114" s="274">
        <v>16.399999999999999</v>
      </c>
      <c r="G114" s="274">
        <v>31.9</v>
      </c>
      <c r="H114" s="274">
        <v>8.5</v>
      </c>
    </row>
    <row r="115" spans="1:8" ht="14.25" customHeight="1">
      <c r="A115" s="132">
        <v>2004</v>
      </c>
      <c r="B115" s="274">
        <v>23.2</v>
      </c>
      <c r="D115" s="274">
        <v>57.6</v>
      </c>
      <c r="F115" s="274">
        <v>16.600000000000001</v>
      </c>
      <c r="G115" s="274">
        <v>32.299999999999997</v>
      </c>
      <c r="H115" s="274">
        <v>8.6999999999999993</v>
      </c>
    </row>
    <row r="116" spans="1:8" ht="14.25" customHeight="1">
      <c r="A116" s="132">
        <v>2005</v>
      </c>
      <c r="B116" s="274">
        <v>23.4</v>
      </c>
      <c r="D116" s="274">
        <v>57.9</v>
      </c>
      <c r="F116" s="274">
        <v>16.5</v>
      </c>
      <c r="G116" s="274">
        <v>32.9</v>
      </c>
      <c r="H116" s="274">
        <v>8.4</v>
      </c>
    </row>
    <row r="117" spans="1:8" ht="14.25" customHeight="1">
      <c r="A117" s="132">
        <v>2006</v>
      </c>
      <c r="B117" s="274">
        <v>23.8</v>
      </c>
      <c r="D117" s="274">
        <v>58.5</v>
      </c>
      <c r="F117" s="274">
        <v>16.600000000000001</v>
      </c>
      <c r="G117" s="274">
        <v>33.6</v>
      </c>
      <c r="H117" s="274">
        <v>8.4</v>
      </c>
    </row>
    <row r="118" spans="1:8" ht="14.25" customHeight="1">
      <c r="A118" s="132">
        <v>2007</v>
      </c>
      <c r="B118" s="274">
        <v>23.8</v>
      </c>
      <c r="D118" s="274">
        <v>58.6</v>
      </c>
      <c r="F118" s="274">
        <v>16.7</v>
      </c>
      <c r="G118" s="274">
        <v>34.1</v>
      </c>
      <c r="H118" s="274">
        <v>7.8</v>
      </c>
    </row>
    <row r="119" spans="1:8" ht="14.25" customHeight="1">
      <c r="A119" s="132">
        <v>2008</v>
      </c>
      <c r="B119" s="274">
        <v>24.1</v>
      </c>
      <c r="D119" s="274">
        <v>59</v>
      </c>
      <c r="F119" s="274">
        <v>16.100000000000001</v>
      </c>
      <c r="G119" s="274">
        <v>34.700000000000003</v>
      </c>
      <c r="H119" s="274">
        <v>8.1999999999999993</v>
      </c>
    </row>
    <row r="120" spans="1:8" ht="14.25" customHeight="1">
      <c r="A120" s="132">
        <v>2009</v>
      </c>
      <c r="B120" s="274">
        <v>24.3</v>
      </c>
      <c r="D120" s="274">
        <v>59.6</v>
      </c>
      <c r="F120" s="274">
        <v>16</v>
      </c>
      <c r="G120" s="274">
        <v>35.200000000000003</v>
      </c>
      <c r="H120" s="274">
        <v>8.4</v>
      </c>
    </row>
    <row r="121" spans="1:8" ht="14.25" customHeight="1">
      <c r="A121" s="132">
        <v>2010</v>
      </c>
      <c r="B121" s="274">
        <v>24.9</v>
      </c>
      <c r="D121" s="274">
        <v>60.3</v>
      </c>
      <c r="F121" s="274">
        <v>15.7</v>
      </c>
      <c r="G121" s="274">
        <v>36</v>
      </c>
      <c r="H121" s="274">
        <v>8.5</v>
      </c>
    </row>
    <row r="122" spans="1:8" ht="14.25" customHeight="1">
      <c r="A122" s="132">
        <v>2011</v>
      </c>
      <c r="B122" s="274">
        <v>25.1</v>
      </c>
      <c r="D122" s="274">
        <v>60.5</v>
      </c>
      <c r="F122" s="274">
        <v>15.5</v>
      </c>
      <c r="G122" s="274">
        <v>36.1</v>
      </c>
      <c r="H122" s="274">
        <v>8.9</v>
      </c>
    </row>
    <row r="123" spans="1:8" ht="14.25" customHeight="1">
      <c r="A123" s="132">
        <v>2012</v>
      </c>
      <c r="B123" s="274">
        <v>25.2</v>
      </c>
      <c r="D123" s="274">
        <v>61.2</v>
      </c>
      <c r="F123" s="274">
        <v>16.100000000000001</v>
      </c>
      <c r="G123" s="274">
        <v>35.9</v>
      </c>
      <c r="H123" s="274">
        <v>9.1</v>
      </c>
    </row>
    <row r="124" spans="1:8" ht="14.25" customHeight="1">
      <c r="A124" s="132">
        <v>2013</v>
      </c>
      <c r="B124" s="274">
        <v>25.4</v>
      </c>
      <c r="D124" s="274">
        <v>61.2</v>
      </c>
      <c r="F124" s="274">
        <v>15.7</v>
      </c>
      <c r="G124" s="274">
        <v>36</v>
      </c>
      <c r="H124" s="274">
        <v>9.5</v>
      </c>
    </row>
    <row r="125" spans="1:8" ht="14.25" customHeight="1">
      <c r="A125" s="132">
        <v>2014</v>
      </c>
      <c r="B125" s="274">
        <v>26</v>
      </c>
      <c r="D125" s="274">
        <v>62.1</v>
      </c>
      <c r="F125" s="274">
        <v>15.8</v>
      </c>
      <c r="G125" s="274">
        <v>36.4</v>
      </c>
      <c r="H125" s="274">
        <v>9.8000000000000007</v>
      </c>
    </row>
    <row r="126" spans="1:8" ht="14.25" customHeight="1">
      <c r="A126" s="132">
        <v>2015</v>
      </c>
      <c r="B126" s="274">
        <v>26.1</v>
      </c>
      <c r="D126" s="274">
        <v>62.3</v>
      </c>
      <c r="F126" s="274">
        <v>15.6</v>
      </c>
      <c r="G126" s="274">
        <v>36.4</v>
      </c>
      <c r="H126" s="274">
        <v>10.4</v>
      </c>
    </row>
    <row r="127" spans="1:8" ht="14.25" customHeight="1">
      <c r="A127" s="132">
        <v>2016</v>
      </c>
      <c r="B127" s="274">
        <v>26.1</v>
      </c>
      <c r="D127" s="274">
        <v>62.4</v>
      </c>
      <c r="F127" s="274">
        <v>15.4</v>
      </c>
      <c r="G127" s="274">
        <v>36.5</v>
      </c>
      <c r="H127" s="274">
        <v>10.5</v>
      </c>
    </row>
    <row r="129" spans="1:8" ht="14.25" customHeight="1">
      <c r="B129" s="774" t="s">
        <v>7</v>
      </c>
      <c r="C129" s="774"/>
      <c r="D129" s="774"/>
      <c r="E129" s="774"/>
      <c r="F129" s="774"/>
      <c r="G129" s="774"/>
      <c r="H129" s="774"/>
    </row>
    <row r="130" spans="1:8" ht="14.25" customHeight="1">
      <c r="A130" s="132">
        <v>1979</v>
      </c>
      <c r="B130" s="274">
        <v>15.1</v>
      </c>
      <c r="D130" s="274">
        <v>44.4</v>
      </c>
      <c r="F130" s="274">
        <v>14.4</v>
      </c>
      <c r="G130" s="274">
        <v>26.3</v>
      </c>
      <c r="H130" s="274">
        <v>3.7</v>
      </c>
    </row>
    <row r="131" spans="1:8" ht="14.25" customHeight="1">
      <c r="A131" s="132">
        <v>1980</v>
      </c>
      <c r="B131" s="274">
        <v>15.4</v>
      </c>
      <c r="D131" s="274">
        <v>44.9</v>
      </c>
      <c r="F131" s="274">
        <v>14.4</v>
      </c>
      <c r="G131" s="274">
        <v>26.5</v>
      </c>
      <c r="H131" s="274">
        <v>3.9</v>
      </c>
    </row>
    <row r="132" spans="1:8" ht="14.25" customHeight="1">
      <c r="A132" s="132">
        <v>1981</v>
      </c>
      <c r="B132" s="274">
        <v>15.9</v>
      </c>
      <c r="D132" s="274">
        <v>45.2</v>
      </c>
      <c r="F132" s="274">
        <v>14</v>
      </c>
      <c r="G132" s="274">
        <v>26.9</v>
      </c>
      <c r="H132" s="274">
        <v>4.3</v>
      </c>
    </row>
    <row r="133" spans="1:8" ht="14.25" customHeight="1">
      <c r="A133" s="132">
        <v>1982</v>
      </c>
      <c r="B133" s="274">
        <v>16</v>
      </c>
      <c r="D133" s="274">
        <v>45.5</v>
      </c>
      <c r="F133" s="274">
        <v>13.8</v>
      </c>
      <c r="G133" s="274">
        <v>27.1</v>
      </c>
      <c r="H133" s="274">
        <v>4.7</v>
      </c>
    </row>
    <row r="134" spans="1:8" ht="14.25" customHeight="1">
      <c r="A134" s="132">
        <v>1983</v>
      </c>
      <c r="B134" s="274">
        <v>16.5</v>
      </c>
      <c r="D134" s="274">
        <v>45.9</v>
      </c>
      <c r="F134" s="274">
        <v>13.4</v>
      </c>
      <c r="G134" s="274">
        <v>27.4</v>
      </c>
      <c r="H134" s="274">
        <v>5</v>
      </c>
    </row>
    <row r="135" spans="1:8" ht="14.25" customHeight="1">
      <c r="A135" s="132">
        <v>1984</v>
      </c>
      <c r="B135" s="274">
        <v>16.600000000000001</v>
      </c>
      <c r="D135" s="274">
        <v>46.3</v>
      </c>
      <c r="F135" s="274">
        <v>13.6</v>
      </c>
      <c r="G135" s="274">
        <v>27.5</v>
      </c>
      <c r="H135" s="274">
        <v>5.0999999999999996</v>
      </c>
    </row>
    <row r="136" spans="1:8" ht="14.25" customHeight="1">
      <c r="A136" s="132">
        <v>1985</v>
      </c>
      <c r="B136" s="274">
        <v>17</v>
      </c>
      <c r="D136" s="274">
        <v>46.9</v>
      </c>
      <c r="F136" s="274">
        <v>13.5</v>
      </c>
      <c r="G136" s="274">
        <v>28</v>
      </c>
      <c r="H136" s="274">
        <v>5.5</v>
      </c>
    </row>
    <row r="137" spans="1:8" ht="14.25" customHeight="1">
      <c r="A137" s="132">
        <v>1986</v>
      </c>
      <c r="B137" s="274">
        <v>17.399999999999999</v>
      </c>
      <c r="D137" s="274">
        <v>47.4</v>
      </c>
      <c r="F137" s="274">
        <v>13.4</v>
      </c>
      <c r="G137" s="274">
        <v>28.1</v>
      </c>
      <c r="H137" s="274">
        <v>5.9</v>
      </c>
    </row>
    <row r="138" spans="1:8" ht="14.25" customHeight="1">
      <c r="A138" s="132">
        <v>1987</v>
      </c>
      <c r="B138" s="274">
        <v>18</v>
      </c>
      <c r="D138" s="274">
        <v>48</v>
      </c>
      <c r="F138" s="274">
        <v>13.4</v>
      </c>
      <c r="G138" s="274">
        <v>28.3</v>
      </c>
      <c r="H138" s="274">
        <v>6.3</v>
      </c>
    </row>
    <row r="139" spans="1:8" ht="14.25" customHeight="1">
      <c r="A139" s="132">
        <v>1988</v>
      </c>
      <c r="B139" s="274">
        <v>18.100000000000001</v>
      </c>
      <c r="D139" s="274">
        <v>48.3</v>
      </c>
      <c r="F139" s="274">
        <v>13.5</v>
      </c>
      <c r="G139" s="274">
        <v>28.8</v>
      </c>
      <c r="H139" s="274">
        <v>6.1</v>
      </c>
    </row>
    <row r="140" spans="1:8" ht="14.25" customHeight="1">
      <c r="A140" s="132">
        <v>1989</v>
      </c>
      <c r="B140" s="274">
        <v>18.399999999999999</v>
      </c>
      <c r="D140" s="274">
        <v>48.8</v>
      </c>
      <c r="F140" s="274">
        <v>13.4</v>
      </c>
      <c r="G140" s="274">
        <v>29.1</v>
      </c>
      <c r="H140" s="274">
        <v>6.3</v>
      </c>
    </row>
    <row r="141" spans="1:8" ht="14.25" customHeight="1">
      <c r="A141" s="132">
        <v>1990</v>
      </c>
      <c r="B141" s="274">
        <v>18.399999999999999</v>
      </c>
      <c r="D141" s="274">
        <v>49.3</v>
      </c>
      <c r="F141" s="274">
        <v>13.8</v>
      </c>
      <c r="G141" s="274">
        <v>29.2</v>
      </c>
      <c r="H141" s="274">
        <v>6.4</v>
      </c>
    </row>
    <row r="142" spans="1:8" ht="14.25" customHeight="1">
      <c r="A142" s="132">
        <v>1991</v>
      </c>
      <c r="B142" s="274">
        <v>19</v>
      </c>
      <c r="D142" s="274">
        <v>49.8</v>
      </c>
      <c r="F142" s="274">
        <v>13.4</v>
      </c>
      <c r="G142" s="274">
        <v>29.5</v>
      </c>
      <c r="H142" s="274">
        <v>6.9</v>
      </c>
    </row>
    <row r="143" spans="1:8" ht="14.25" customHeight="1">
      <c r="A143" s="132">
        <v>1992</v>
      </c>
      <c r="B143" s="274">
        <v>19.100000000000001</v>
      </c>
      <c r="D143" s="274">
        <v>50.1</v>
      </c>
      <c r="F143" s="274">
        <v>13.6</v>
      </c>
      <c r="G143" s="274">
        <v>29.7</v>
      </c>
      <c r="H143" s="274">
        <v>6.8</v>
      </c>
    </row>
    <row r="144" spans="1:8" ht="14.25" customHeight="1">
      <c r="A144" s="132">
        <v>1993</v>
      </c>
      <c r="B144" s="274">
        <v>19.3</v>
      </c>
      <c r="D144" s="274">
        <v>51</v>
      </c>
      <c r="F144" s="274">
        <v>14.1</v>
      </c>
      <c r="G144" s="274">
        <v>30.1</v>
      </c>
      <c r="H144" s="274">
        <v>6.8</v>
      </c>
    </row>
    <row r="145" spans="1:8" ht="14.25" customHeight="1">
      <c r="A145" s="132">
        <v>1994</v>
      </c>
      <c r="B145" s="274">
        <v>19.8</v>
      </c>
      <c r="D145" s="274">
        <v>51.6</v>
      </c>
      <c r="F145" s="274">
        <v>14.1</v>
      </c>
      <c r="G145" s="274">
        <v>30.2</v>
      </c>
      <c r="H145" s="274">
        <v>7.3</v>
      </c>
    </row>
    <row r="146" spans="1:8" ht="14.25" customHeight="1">
      <c r="A146" s="132">
        <v>1995</v>
      </c>
      <c r="B146" s="274">
        <v>19.7</v>
      </c>
      <c r="D146" s="274">
        <v>51.7</v>
      </c>
      <c r="F146" s="274">
        <v>14.2</v>
      </c>
      <c r="G146" s="274">
        <v>30.4</v>
      </c>
      <c r="H146" s="274">
        <v>7.2</v>
      </c>
    </row>
    <row r="147" spans="1:8" ht="14.25" customHeight="1">
      <c r="A147" s="132">
        <v>1996</v>
      </c>
      <c r="B147" s="274">
        <v>20</v>
      </c>
      <c r="D147" s="274">
        <v>52.4</v>
      </c>
      <c r="F147" s="274">
        <v>14.3</v>
      </c>
      <c r="G147" s="274">
        <v>31</v>
      </c>
      <c r="H147" s="274">
        <v>7.1</v>
      </c>
    </row>
    <row r="148" spans="1:8" ht="14.25" customHeight="1">
      <c r="A148" s="132">
        <v>1997</v>
      </c>
      <c r="B148" s="274">
        <v>20.3</v>
      </c>
      <c r="D148" s="274">
        <v>52.8</v>
      </c>
      <c r="F148" s="274">
        <v>14.3</v>
      </c>
      <c r="G148" s="274">
        <v>31.6</v>
      </c>
      <c r="H148" s="274">
        <v>6.9</v>
      </c>
    </row>
    <row r="149" spans="1:8" ht="14.25" customHeight="1">
      <c r="A149" s="132">
        <v>1998</v>
      </c>
      <c r="B149" s="274">
        <v>20.7</v>
      </c>
      <c r="D149" s="274">
        <v>53.3</v>
      </c>
      <c r="F149" s="274">
        <v>14.2</v>
      </c>
      <c r="G149" s="274">
        <v>31.7</v>
      </c>
      <c r="H149" s="274">
        <v>7.3</v>
      </c>
    </row>
    <row r="150" spans="1:8" ht="14.25" customHeight="1">
      <c r="A150" s="132">
        <v>1999</v>
      </c>
      <c r="B150" s="274">
        <v>20.7</v>
      </c>
      <c r="D150" s="274">
        <v>53.9</v>
      </c>
      <c r="F150" s="274">
        <v>14.5</v>
      </c>
      <c r="G150" s="274">
        <v>31.9</v>
      </c>
      <c r="H150" s="274">
        <v>7.5</v>
      </c>
    </row>
    <row r="151" spans="1:8" ht="14.25" customHeight="1">
      <c r="A151" s="132">
        <v>2000</v>
      </c>
      <c r="B151" s="274">
        <v>21.5</v>
      </c>
      <c r="D151" s="274">
        <v>55.3</v>
      </c>
      <c r="F151" s="274">
        <v>14.4</v>
      </c>
      <c r="G151" s="274">
        <v>33</v>
      </c>
      <c r="H151" s="274">
        <v>7.9</v>
      </c>
    </row>
    <row r="152" spans="1:8" ht="14.25" customHeight="1">
      <c r="A152" s="132">
        <v>2001</v>
      </c>
      <c r="B152" s="274">
        <v>21.7</v>
      </c>
      <c r="D152" s="274">
        <v>55.6</v>
      </c>
      <c r="F152" s="274">
        <v>14.4</v>
      </c>
      <c r="G152" s="274">
        <v>33.1</v>
      </c>
      <c r="H152" s="274">
        <v>8.1</v>
      </c>
    </row>
    <row r="153" spans="1:8" ht="14.25" customHeight="1">
      <c r="A153" s="132">
        <v>2002</v>
      </c>
      <c r="B153" s="274">
        <v>22.1</v>
      </c>
      <c r="D153" s="274">
        <v>56.4</v>
      </c>
      <c r="F153" s="274">
        <v>14.5</v>
      </c>
      <c r="G153" s="274">
        <v>33.4</v>
      </c>
      <c r="H153" s="274">
        <v>8.4</v>
      </c>
    </row>
    <row r="154" spans="1:8" ht="14.25" customHeight="1">
      <c r="A154" s="132">
        <v>2003</v>
      </c>
      <c r="B154" s="274">
        <v>22.4</v>
      </c>
      <c r="D154" s="274">
        <v>56.8</v>
      </c>
      <c r="F154" s="274">
        <v>14.5</v>
      </c>
      <c r="G154" s="274">
        <v>33.700000000000003</v>
      </c>
      <c r="H154" s="274">
        <v>8.6</v>
      </c>
    </row>
    <row r="155" spans="1:8" ht="14.25" customHeight="1">
      <c r="A155" s="132">
        <v>2004</v>
      </c>
      <c r="B155" s="274">
        <v>22.5</v>
      </c>
      <c r="D155" s="274">
        <v>57.6</v>
      </c>
      <c r="F155" s="274">
        <v>15.1</v>
      </c>
      <c r="G155" s="274">
        <v>34</v>
      </c>
      <c r="H155" s="274">
        <v>8.5</v>
      </c>
    </row>
    <row r="156" spans="1:8" ht="14.25" customHeight="1">
      <c r="A156" s="132">
        <v>2005</v>
      </c>
      <c r="B156" s="274">
        <v>22.6</v>
      </c>
      <c r="D156" s="274">
        <v>57.9</v>
      </c>
      <c r="F156" s="274">
        <v>14.7</v>
      </c>
      <c r="G156" s="274">
        <v>34.799999999999997</v>
      </c>
      <c r="H156" s="274">
        <v>8.4</v>
      </c>
    </row>
    <row r="157" spans="1:8" ht="14.25" customHeight="1">
      <c r="A157" s="132">
        <v>2006</v>
      </c>
      <c r="B157" s="274">
        <v>23.4</v>
      </c>
      <c r="D157" s="274">
        <v>58.5</v>
      </c>
      <c r="F157" s="274">
        <v>14.4</v>
      </c>
      <c r="G157" s="274">
        <v>35.299999999999997</v>
      </c>
      <c r="H157" s="274">
        <v>8.8000000000000007</v>
      </c>
    </row>
    <row r="158" spans="1:8" ht="14.25" customHeight="1">
      <c r="A158" s="132">
        <v>2007</v>
      </c>
      <c r="B158" s="274">
        <v>23.2</v>
      </c>
      <c r="D158" s="274">
        <v>58.6</v>
      </c>
      <c r="F158" s="274">
        <v>14.1</v>
      </c>
      <c r="G158" s="274">
        <v>35.9</v>
      </c>
      <c r="H158" s="274">
        <v>8.6</v>
      </c>
    </row>
    <row r="159" spans="1:8" ht="14.25" customHeight="1">
      <c r="A159" s="132">
        <v>2008</v>
      </c>
      <c r="B159" s="274">
        <v>23.4</v>
      </c>
      <c r="D159" s="274">
        <v>59</v>
      </c>
      <c r="F159" s="274">
        <v>14.1</v>
      </c>
      <c r="G159" s="274">
        <v>35.9</v>
      </c>
      <c r="H159" s="274">
        <v>9</v>
      </c>
    </row>
    <row r="160" spans="1:8" ht="14.25" customHeight="1">
      <c r="A160" s="132">
        <v>2009</v>
      </c>
      <c r="B160" s="274">
        <v>23.7</v>
      </c>
      <c r="D160" s="274">
        <v>59.6</v>
      </c>
      <c r="F160" s="274">
        <v>13.7</v>
      </c>
      <c r="G160" s="274">
        <v>36.299999999999997</v>
      </c>
      <c r="H160" s="274">
        <v>9.6</v>
      </c>
    </row>
    <row r="161" spans="1:8" ht="14.25" customHeight="1">
      <c r="A161" s="132">
        <v>2010</v>
      </c>
      <c r="B161" s="274">
        <v>24.3</v>
      </c>
      <c r="D161" s="274">
        <v>60.3</v>
      </c>
      <c r="F161" s="274">
        <v>13.6</v>
      </c>
      <c r="G161" s="274">
        <v>36.799999999999997</v>
      </c>
      <c r="H161" s="274">
        <v>9.9</v>
      </c>
    </row>
    <row r="162" spans="1:8" ht="14.25" customHeight="1">
      <c r="A162" s="132">
        <v>2011</v>
      </c>
      <c r="B162" s="274">
        <v>24.4</v>
      </c>
      <c r="D162" s="274">
        <v>60.5</v>
      </c>
      <c r="F162" s="274">
        <v>13.4</v>
      </c>
      <c r="G162" s="274">
        <v>36.700000000000003</v>
      </c>
      <c r="H162" s="274">
        <v>10.4</v>
      </c>
    </row>
    <row r="163" spans="1:8" ht="14.25" customHeight="1">
      <c r="A163" s="132">
        <v>2012</v>
      </c>
      <c r="B163" s="274">
        <v>24.8</v>
      </c>
      <c r="D163" s="274">
        <v>61.2</v>
      </c>
      <c r="F163" s="274">
        <v>13.5</v>
      </c>
      <c r="G163" s="274">
        <v>37</v>
      </c>
      <c r="H163" s="274">
        <v>10.7</v>
      </c>
    </row>
    <row r="164" spans="1:8" ht="14.25" customHeight="1">
      <c r="A164" s="132">
        <v>2013</v>
      </c>
      <c r="B164" s="274">
        <v>24.9</v>
      </c>
      <c r="D164" s="274">
        <v>61.2</v>
      </c>
      <c r="F164" s="274">
        <v>13.4</v>
      </c>
      <c r="G164" s="274">
        <v>37.4</v>
      </c>
      <c r="H164" s="274">
        <v>10.4</v>
      </c>
    </row>
    <row r="165" spans="1:8" ht="14.25" customHeight="1">
      <c r="A165" s="132">
        <v>2014</v>
      </c>
      <c r="B165" s="274">
        <v>24.8</v>
      </c>
      <c r="D165" s="274">
        <v>62.1</v>
      </c>
      <c r="F165" s="274">
        <v>13.8</v>
      </c>
      <c r="G165" s="274">
        <v>37.799999999999997</v>
      </c>
      <c r="H165" s="274">
        <v>10.5</v>
      </c>
    </row>
    <row r="166" spans="1:8" ht="14.25" customHeight="1">
      <c r="A166" s="132">
        <v>2015</v>
      </c>
      <c r="B166" s="274">
        <v>25.2</v>
      </c>
      <c r="D166" s="274">
        <v>62.3</v>
      </c>
      <c r="F166" s="274">
        <v>13.3</v>
      </c>
      <c r="G166" s="274">
        <v>38</v>
      </c>
      <c r="H166" s="274">
        <v>11</v>
      </c>
    </row>
    <row r="167" spans="1:8" ht="14.25" customHeight="1">
      <c r="A167" s="132">
        <v>2016</v>
      </c>
      <c r="B167" s="274">
        <v>25.1</v>
      </c>
      <c r="D167" s="274">
        <v>62.4</v>
      </c>
      <c r="F167" s="274">
        <v>13.3</v>
      </c>
      <c r="G167" s="274">
        <v>37.799999999999997</v>
      </c>
      <c r="H167" s="274">
        <v>11.3</v>
      </c>
    </row>
    <row r="169" spans="1:8" ht="14.25" customHeight="1">
      <c r="B169" s="774" t="s">
        <v>8</v>
      </c>
      <c r="C169" s="774"/>
      <c r="D169" s="774"/>
      <c r="E169" s="774"/>
      <c r="F169" s="774"/>
      <c r="G169" s="774"/>
      <c r="H169" s="774"/>
    </row>
    <row r="170" spans="1:8" ht="14.25" customHeight="1">
      <c r="A170" s="132">
        <v>1979</v>
      </c>
      <c r="B170" s="274">
        <v>15.5</v>
      </c>
      <c r="D170" s="274">
        <v>44.4</v>
      </c>
      <c r="F170" s="274">
        <v>12</v>
      </c>
      <c r="G170" s="274">
        <v>29.4</v>
      </c>
      <c r="H170" s="274">
        <v>3</v>
      </c>
    </row>
    <row r="171" spans="1:8" ht="14.25" customHeight="1">
      <c r="A171" s="132">
        <v>1980</v>
      </c>
      <c r="B171" s="274">
        <v>15.8</v>
      </c>
      <c r="D171" s="274">
        <v>44.9</v>
      </c>
      <c r="F171" s="274">
        <v>11.8</v>
      </c>
      <c r="G171" s="274">
        <v>29.8</v>
      </c>
      <c r="H171" s="274">
        <v>3.4</v>
      </c>
    </row>
    <row r="172" spans="1:8" ht="14.25" customHeight="1">
      <c r="A172" s="132">
        <v>1981</v>
      </c>
      <c r="B172" s="274">
        <v>15.9</v>
      </c>
      <c r="D172" s="274">
        <v>45.2</v>
      </c>
      <c r="F172" s="274">
        <v>11.7</v>
      </c>
      <c r="G172" s="274">
        <v>29.6</v>
      </c>
      <c r="H172" s="274">
        <v>3.8</v>
      </c>
    </row>
    <row r="173" spans="1:8" ht="14.25" customHeight="1">
      <c r="A173" s="132">
        <v>1982</v>
      </c>
      <c r="B173" s="274">
        <v>16.2</v>
      </c>
      <c r="D173" s="274">
        <v>45.5</v>
      </c>
      <c r="F173" s="274">
        <v>11.3</v>
      </c>
      <c r="G173" s="274">
        <v>29.9</v>
      </c>
      <c r="H173" s="274">
        <v>4.3</v>
      </c>
    </row>
    <row r="174" spans="1:8" ht="14.25" customHeight="1">
      <c r="A174" s="132">
        <v>1983</v>
      </c>
      <c r="B174" s="274">
        <v>16.8</v>
      </c>
      <c r="D174" s="274">
        <v>45.9</v>
      </c>
      <c r="F174" s="274">
        <v>11</v>
      </c>
      <c r="G174" s="274">
        <v>30.2</v>
      </c>
      <c r="H174" s="274">
        <v>4.7</v>
      </c>
    </row>
    <row r="175" spans="1:8" ht="14.25" customHeight="1">
      <c r="A175" s="132">
        <v>1984</v>
      </c>
      <c r="B175" s="274">
        <v>17</v>
      </c>
      <c r="D175" s="274">
        <v>46.3</v>
      </c>
      <c r="F175" s="274">
        <v>11.3</v>
      </c>
      <c r="G175" s="274">
        <v>30</v>
      </c>
      <c r="H175" s="274">
        <v>5</v>
      </c>
    </row>
    <row r="176" spans="1:8" ht="14.25" customHeight="1">
      <c r="A176" s="132">
        <v>1985</v>
      </c>
      <c r="B176" s="274">
        <v>17.3</v>
      </c>
      <c r="D176" s="274">
        <v>46.9</v>
      </c>
      <c r="F176" s="274">
        <v>11.2</v>
      </c>
      <c r="G176" s="274">
        <v>30.6</v>
      </c>
      <c r="H176" s="274">
        <v>5.0999999999999996</v>
      </c>
    </row>
    <row r="177" spans="1:8" ht="14.25" customHeight="1">
      <c r="A177" s="132">
        <v>1986</v>
      </c>
      <c r="B177" s="274">
        <v>17.5</v>
      </c>
      <c r="D177" s="274">
        <v>47.4</v>
      </c>
      <c r="F177" s="274">
        <v>11.2</v>
      </c>
      <c r="G177" s="274">
        <v>30.9</v>
      </c>
      <c r="H177" s="274">
        <v>5.3</v>
      </c>
    </row>
    <row r="178" spans="1:8" ht="14.25" customHeight="1">
      <c r="A178" s="132">
        <v>1987</v>
      </c>
      <c r="B178" s="274">
        <v>17.899999999999999</v>
      </c>
      <c r="D178" s="274">
        <v>48</v>
      </c>
      <c r="F178" s="274">
        <v>11.3</v>
      </c>
      <c r="G178" s="274">
        <v>31.6</v>
      </c>
      <c r="H178" s="274">
        <v>5.0999999999999996</v>
      </c>
    </row>
    <row r="179" spans="1:8" ht="14.25" customHeight="1">
      <c r="A179" s="132">
        <v>1988</v>
      </c>
      <c r="B179" s="274">
        <v>18.399999999999999</v>
      </c>
      <c r="D179" s="274">
        <v>48.3</v>
      </c>
      <c r="F179" s="274">
        <v>11.2</v>
      </c>
      <c r="G179" s="274">
        <v>32.1</v>
      </c>
      <c r="H179" s="274">
        <v>5.0999999999999996</v>
      </c>
    </row>
    <row r="180" spans="1:8" ht="14.25" customHeight="1">
      <c r="A180" s="132">
        <v>1989</v>
      </c>
      <c r="B180" s="274">
        <v>18.5</v>
      </c>
      <c r="D180" s="274">
        <v>48.8</v>
      </c>
      <c r="F180" s="274">
        <v>11.4</v>
      </c>
      <c r="G180" s="274">
        <v>32.1</v>
      </c>
      <c r="H180" s="274">
        <v>5.3</v>
      </c>
    </row>
    <row r="181" spans="1:8" ht="14.25" customHeight="1">
      <c r="A181" s="132">
        <v>1990</v>
      </c>
      <c r="B181" s="274">
        <v>18.8</v>
      </c>
      <c r="D181" s="274">
        <v>49.3</v>
      </c>
      <c r="F181" s="274">
        <v>11.4</v>
      </c>
      <c r="G181" s="274">
        <v>32.4</v>
      </c>
      <c r="H181" s="274">
        <v>5.6</v>
      </c>
    </row>
    <row r="182" spans="1:8" ht="14.25" customHeight="1">
      <c r="A182" s="132">
        <v>1991</v>
      </c>
      <c r="B182" s="274">
        <v>18.899999999999999</v>
      </c>
      <c r="D182" s="274">
        <v>49.8</v>
      </c>
      <c r="F182" s="274">
        <v>11.5</v>
      </c>
      <c r="G182" s="274">
        <v>32.5</v>
      </c>
      <c r="H182" s="274">
        <v>5.8</v>
      </c>
    </row>
    <row r="183" spans="1:8" ht="14.25" customHeight="1">
      <c r="A183" s="132">
        <v>1992</v>
      </c>
      <c r="B183" s="274">
        <v>19</v>
      </c>
      <c r="D183" s="274">
        <v>50.1</v>
      </c>
      <c r="F183" s="274">
        <v>11.7</v>
      </c>
      <c r="G183" s="274">
        <v>32.5</v>
      </c>
      <c r="H183" s="274">
        <v>5.9</v>
      </c>
    </row>
    <row r="184" spans="1:8" ht="14.25" customHeight="1">
      <c r="A184" s="132">
        <v>1993</v>
      </c>
      <c r="B184" s="274">
        <v>19.3</v>
      </c>
      <c r="D184" s="274">
        <v>51</v>
      </c>
      <c r="F184" s="274">
        <v>12.3</v>
      </c>
      <c r="G184" s="274">
        <v>32.700000000000003</v>
      </c>
      <c r="H184" s="274">
        <v>6.1</v>
      </c>
    </row>
    <row r="185" spans="1:8" ht="14.25" customHeight="1">
      <c r="A185" s="132">
        <v>1994</v>
      </c>
      <c r="B185" s="274">
        <v>19.600000000000001</v>
      </c>
      <c r="D185" s="274">
        <v>51.6</v>
      </c>
      <c r="F185" s="274">
        <v>12.2</v>
      </c>
      <c r="G185" s="274">
        <v>33.5</v>
      </c>
      <c r="H185" s="274">
        <v>5.9</v>
      </c>
    </row>
    <row r="186" spans="1:8" ht="14.25" customHeight="1">
      <c r="A186" s="132">
        <v>1995</v>
      </c>
      <c r="B186" s="274">
        <v>19.8</v>
      </c>
      <c r="D186" s="274">
        <v>51.7</v>
      </c>
      <c r="F186" s="274">
        <v>12.2</v>
      </c>
      <c r="G186" s="274">
        <v>33.299999999999997</v>
      </c>
      <c r="H186" s="274">
        <v>6.2</v>
      </c>
    </row>
    <row r="187" spans="1:8" ht="14.25" customHeight="1">
      <c r="A187" s="132">
        <v>1996</v>
      </c>
      <c r="B187" s="274">
        <v>20.100000000000001</v>
      </c>
      <c r="D187" s="274">
        <v>52.4</v>
      </c>
      <c r="F187" s="274">
        <v>12.3</v>
      </c>
      <c r="G187" s="274">
        <v>33.5</v>
      </c>
      <c r="H187" s="274">
        <v>6.5</v>
      </c>
    </row>
    <row r="188" spans="1:8" ht="14.25" customHeight="1">
      <c r="A188" s="132">
        <v>1997</v>
      </c>
      <c r="B188" s="274">
        <v>20.3</v>
      </c>
      <c r="D188" s="274">
        <v>52.8</v>
      </c>
      <c r="F188" s="274">
        <v>12.4</v>
      </c>
      <c r="G188" s="274">
        <v>33.6</v>
      </c>
      <c r="H188" s="274">
        <v>6.8</v>
      </c>
    </row>
    <row r="189" spans="1:8" ht="14.25" customHeight="1">
      <c r="A189" s="132">
        <v>1998</v>
      </c>
      <c r="B189" s="274">
        <v>20.6</v>
      </c>
      <c r="D189" s="274">
        <v>53.3</v>
      </c>
      <c r="F189" s="274">
        <v>12.1</v>
      </c>
      <c r="G189" s="274">
        <v>34.700000000000003</v>
      </c>
      <c r="H189" s="274">
        <v>6.5</v>
      </c>
    </row>
    <row r="190" spans="1:8" ht="14.25" customHeight="1">
      <c r="A190" s="132">
        <v>1999</v>
      </c>
      <c r="B190" s="274">
        <v>20.9</v>
      </c>
      <c r="D190" s="274">
        <v>53.9</v>
      </c>
      <c r="F190" s="274">
        <v>12.2</v>
      </c>
      <c r="G190" s="274">
        <v>35.200000000000003</v>
      </c>
      <c r="H190" s="274">
        <v>6.5</v>
      </c>
    </row>
    <row r="191" spans="1:8" ht="14.25" customHeight="1">
      <c r="A191" s="132">
        <v>2000</v>
      </c>
      <c r="B191" s="274">
        <v>21.5</v>
      </c>
      <c r="D191" s="274">
        <v>55.3</v>
      </c>
      <c r="F191" s="274">
        <v>12.4</v>
      </c>
      <c r="G191" s="274">
        <v>36.1</v>
      </c>
      <c r="H191" s="274">
        <v>6.8</v>
      </c>
    </row>
    <row r="192" spans="1:8" ht="14.25" customHeight="1">
      <c r="A192" s="132">
        <v>2001</v>
      </c>
      <c r="B192" s="274">
        <v>21.9</v>
      </c>
      <c r="D192" s="274">
        <v>55.6</v>
      </c>
      <c r="F192" s="274">
        <v>12.3</v>
      </c>
      <c r="G192" s="274">
        <v>36.200000000000003</v>
      </c>
      <c r="H192" s="274">
        <v>7.1</v>
      </c>
    </row>
    <row r="193" spans="1:8" ht="14.25" customHeight="1">
      <c r="A193" s="132">
        <v>2002</v>
      </c>
      <c r="B193" s="274">
        <v>22.2</v>
      </c>
      <c r="D193" s="274">
        <v>56.4</v>
      </c>
      <c r="F193" s="274">
        <v>12.4</v>
      </c>
      <c r="G193" s="274">
        <v>36.6</v>
      </c>
      <c r="H193" s="274">
        <v>7.4</v>
      </c>
    </row>
    <row r="194" spans="1:8" ht="14.25" customHeight="1">
      <c r="A194" s="132">
        <v>2003</v>
      </c>
      <c r="B194" s="274">
        <v>22.2</v>
      </c>
      <c r="D194" s="274">
        <v>56.8</v>
      </c>
      <c r="F194" s="274">
        <v>12.8</v>
      </c>
      <c r="G194" s="274">
        <v>36.6</v>
      </c>
      <c r="H194" s="274">
        <v>7.3</v>
      </c>
    </row>
    <row r="195" spans="1:8" ht="14.25" customHeight="1">
      <c r="A195" s="132">
        <v>2004</v>
      </c>
      <c r="B195" s="274">
        <v>22.3</v>
      </c>
      <c r="D195" s="274">
        <v>57.6</v>
      </c>
      <c r="F195" s="274">
        <v>13</v>
      </c>
      <c r="G195" s="274">
        <v>37.1</v>
      </c>
      <c r="H195" s="274">
        <v>7.5</v>
      </c>
    </row>
    <row r="196" spans="1:8" ht="14.25" customHeight="1">
      <c r="A196" s="132">
        <v>2005</v>
      </c>
      <c r="B196" s="274">
        <v>22.6</v>
      </c>
      <c r="D196" s="274">
        <v>57.9</v>
      </c>
      <c r="F196" s="274">
        <v>12.9</v>
      </c>
      <c r="G196" s="274">
        <v>37.5</v>
      </c>
      <c r="H196" s="274">
        <v>7.5</v>
      </c>
    </row>
    <row r="197" spans="1:8" ht="14.25" customHeight="1">
      <c r="A197" s="132">
        <v>2006</v>
      </c>
      <c r="B197" s="274">
        <v>23.1</v>
      </c>
      <c r="D197" s="274">
        <v>58.5</v>
      </c>
      <c r="F197" s="274">
        <v>12.6</v>
      </c>
      <c r="G197" s="274">
        <v>38.1</v>
      </c>
      <c r="H197" s="274">
        <v>7.9</v>
      </c>
    </row>
    <row r="198" spans="1:8" ht="14.25" customHeight="1">
      <c r="A198" s="132">
        <v>2007</v>
      </c>
      <c r="B198" s="274">
        <v>23</v>
      </c>
      <c r="D198" s="274">
        <v>58.6</v>
      </c>
      <c r="F198" s="274">
        <v>12.5</v>
      </c>
      <c r="G198" s="274">
        <v>37.799999999999997</v>
      </c>
      <c r="H198" s="274">
        <v>8.3000000000000007</v>
      </c>
    </row>
    <row r="199" spans="1:8" ht="14.25" customHeight="1">
      <c r="A199" s="132">
        <v>2008</v>
      </c>
      <c r="B199" s="274">
        <v>23.1</v>
      </c>
      <c r="D199" s="274">
        <v>59</v>
      </c>
      <c r="F199" s="274">
        <v>12.5</v>
      </c>
      <c r="G199" s="274">
        <v>37.9</v>
      </c>
      <c r="H199" s="274">
        <v>8.6</v>
      </c>
    </row>
    <row r="200" spans="1:8" ht="14.25" customHeight="1">
      <c r="A200" s="132">
        <v>2009</v>
      </c>
      <c r="B200" s="274">
        <v>23.5</v>
      </c>
      <c r="D200" s="274">
        <v>59.6</v>
      </c>
      <c r="F200" s="274">
        <v>12.3</v>
      </c>
      <c r="G200" s="274">
        <v>37.799999999999997</v>
      </c>
      <c r="H200" s="274">
        <v>9.4</v>
      </c>
    </row>
    <row r="201" spans="1:8" ht="14.25" customHeight="1">
      <c r="A201" s="132">
        <v>2010</v>
      </c>
      <c r="B201" s="274">
        <v>23.9</v>
      </c>
      <c r="D201" s="274">
        <v>60.3</v>
      </c>
      <c r="F201" s="274">
        <v>12.2</v>
      </c>
      <c r="G201" s="274">
        <v>38.299999999999997</v>
      </c>
      <c r="H201" s="274">
        <v>9.8000000000000007</v>
      </c>
    </row>
    <row r="202" spans="1:8" ht="14.25" customHeight="1">
      <c r="A202" s="132">
        <v>2011</v>
      </c>
      <c r="B202" s="274">
        <v>24.1</v>
      </c>
      <c r="D202" s="274">
        <v>60.5</v>
      </c>
      <c r="F202" s="274">
        <v>12.1</v>
      </c>
      <c r="G202" s="274">
        <v>38.4</v>
      </c>
      <c r="H202" s="274">
        <v>10</v>
      </c>
    </row>
    <row r="203" spans="1:8" ht="14.25" customHeight="1">
      <c r="A203" s="132">
        <v>2012</v>
      </c>
      <c r="B203" s="274">
        <v>24.4</v>
      </c>
      <c r="D203" s="274">
        <v>61.2</v>
      </c>
      <c r="F203" s="274">
        <v>12.2</v>
      </c>
      <c r="G203" s="274">
        <v>38.4</v>
      </c>
      <c r="H203" s="274">
        <v>10.6</v>
      </c>
    </row>
    <row r="204" spans="1:8" ht="14.25" customHeight="1">
      <c r="A204" s="132">
        <v>2013</v>
      </c>
      <c r="B204" s="274">
        <v>24.4</v>
      </c>
      <c r="D204" s="274">
        <v>61.2</v>
      </c>
      <c r="F204" s="274">
        <v>12</v>
      </c>
      <c r="G204" s="274">
        <v>38.200000000000003</v>
      </c>
      <c r="H204" s="274">
        <v>11</v>
      </c>
    </row>
    <row r="205" spans="1:8" ht="14.25" customHeight="1">
      <c r="A205" s="132">
        <v>2014</v>
      </c>
      <c r="B205" s="274">
        <v>24.7</v>
      </c>
      <c r="D205" s="274">
        <v>62.1</v>
      </c>
      <c r="F205" s="274">
        <v>11.9</v>
      </c>
      <c r="G205" s="274">
        <v>39.200000000000003</v>
      </c>
      <c r="H205" s="274">
        <v>11</v>
      </c>
    </row>
    <row r="206" spans="1:8" ht="14.25" customHeight="1">
      <c r="A206" s="132">
        <v>2015</v>
      </c>
      <c r="B206" s="274">
        <v>24.9</v>
      </c>
      <c r="D206" s="274">
        <v>62.3</v>
      </c>
      <c r="F206" s="274">
        <v>11.8</v>
      </c>
      <c r="G206" s="274">
        <v>39.4</v>
      </c>
      <c r="H206" s="274">
        <v>11.1</v>
      </c>
    </row>
    <row r="207" spans="1:8" ht="14.25" customHeight="1">
      <c r="A207" s="132">
        <v>2016</v>
      </c>
      <c r="B207" s="274">
        <v>25</v>
      </c>
      <c r="D207" s="274">
        <v>62.4</v>
      </c>
      <c r="F207" s="274">
        <v>11.7</v>
      </c>
      <c r="G207" s="274">
        <v>39.1</v>
      </c>
      <c r="H207" s="274">
        <v>11.6</v>
      </c>
    </row>
    <row r="209" spans="1:8" ht="14.25" customHeight="1">
      <c r="B209" s="774" t="s">
        <v>9</v>
      </c>
      <c r="C209" s="774"/>
      <c r="D209" s="774"/>
      <c r="E209" s="774"/>
      <c r="F209" s="774"/>
      <c r="G209" s="774"/>
      <c r="H209" s="774"/>
    </row>
    <row r="210" spans="1:8" ht="14.25" customHeight="1">
      <c r="A210" s="132">
        <v>1979</v>
      </c>
      <c r="B210" s="274">
        <v>16.600000000000001</v>
      </c>
      <c r="D210" s="274">
        <v>44.4</v>
      </c>
      <c r="F210" s="274">
        <v>7.8</v>
      </c>
      <c r="G210" s="274">
        <v>32.799999999999997</v>
      </c>
      <c r="H210" s="274">
        <v>3.8</v>
      </c>
    </row>
    <row r="211" spans="1:8" ht="14.25" customHeight="1">
      <c r="A211" s="132">
        <v>1980</v>
      </c>
      <c r="B211" s="274">
        <v>17</v>
      </c>
      <c r="D211" s="274">
        <v>44.9</v>
      </c>
      <c r="F211" s="274">
        <v>7.7</v>
      </c>
      <c r="G211" s="274">
        <v>33</v>
      </c>
      <c r="H211" s="274">
        <v>4.2</v>
      </c>
    </row>
    <row r="212" spans="1:8" ht="14.25" customHeight="1">
      <c r="A212" s="132">
        <v>1981</v>
      </c>
      <c r="B212" s="274">
        <v>17.5</v>
      </c>
      <c r="D212" s="274">
        <v>45.2</v>
      </c>
      <c r="F212" s="274">
        <v>7.4</v>
      </c>
      <c r="G212" s="274">
        <v>33.200000000000003</v>
      </c>
      <c r="H212" s="274">
        <v>4.5999999999999996</v>
      </c>
    </row>
    <row r="213" spans="1:8" ht="14.25" customHeight="1">
      <c r="A213" s="132">
        <v>1982</v>
      </c>
      <c r="B213" s="274">
        <v>17.8</v>
      </c>
      <c r="D213" s="274">
        <v>45.5</v>
      </c>
      <c r="F213" s="274">
        <v>7.2</v>
      </c>
      <c r="G213" s="274">
        <v>33.299999999999997</v>
      </c>
      <c r="H213" s="274">
        <v>4.9000000000000004</v>
      </c>
    </row>
    <row r="214" spans="1:8" ht="14.25" customHeight="1">
      <c r="A214" s="132">
        <v>1983</v>
      </c>
      <c r="B214" s="274">
        <v>18</v>
      </c>
      <c r="D214" s="274">
        <v>45.9</v>
      </c>
      <c r="F214" s="274">
        <v>7.3</v>
      </c>
      <c r="G214" s="274">
        <v>33.4</v>
      </c>
      <c r="H214" s="274">
        <v>5.0999999999999996</v>
      </c>
    </row>
    <row r="215" spans="1:8" ht="14.25" customHeight="1">
      <c r="A215" s="132">
        <v>1984</v>
      </c>
      <c r="B215" s="274">
        <v>17.899999999999999</v>
      </c>
      <c r="D215" s="274">
        <v>46.3</v>
      </c>
      <c r="F215" s="274">
        <v>7.7</v>
      </c>
      <c r="G215" s="274">
        <v>33.5</v>
      </c>
      <c r="H215" s="274">
        <v>5.0999999999999996</v>
      </c>
    </row>
    <row r="216" spans="1:8" ht="14.25" customHeight="1">
      <c r="A216" s="132">
        <v>1985</v>
      </c>
      <c r="B216" s="274">
        <v>18.600000000000001</v>
      </c>
      <c r="D216" s="274">
        <v>46.9</v>
      </c>
      <c r="F216" s="274">
        <v>7.7</v>
      </c>
      <c r="G216" s="274">
        <v>34</v>
      </c>
      <c r="H216" s="274">
        <v>5.3</v>
      </c>
    </row>
    <row r="217" spans="1:8" ht="14.25" customHeight="1">
      <c r="A217" s="132">
        <v>1986</v>
      </c>
      <c r="B217" s="274">
        <v>18.600000000000001</v>
      </c>
      <c r="D217" s="274">
        <v>47.4</v>
      </c>
      <c r="F217" s="274">
        <v>7.7</v>
      </c>
      <c r="G217" s="274">
        <v>34.5</v>
      </c>
      <c r="H217" s="274">
        <v>5.0999999999999996</v>
      </c>
    </row>
    <row r="218" spans="1:8" ht="14.25" customHeight="1">
      <c r="A218" s="132">
        <v>1987</v>
      </c>
      <c r="B218" s="274">
        <v>18.8</v>
      </c>
      <c r="D218" s="274">
        <v>48</v>
      </c>
      <c r="F218" s="274">
        <v>7.7</v>
      </c>
      <c r="G218" s="274">
        <v>35.5</v>
      </c>
      <c r="H218" s="274">
        <v>4.8</v>
      </c>
    </row>
    <row r="219" spans="1:8" ht="14.25" customHeight="1">
      <c r="A219" s="132">
        <v>1988</v>
      </c>
      <c r="B219" s="274">
        <v>19.100000000000001</v>
      </c>
      <c r="D219" s="274">
        <v>48.3</v>
      </c>
      <c r="F219" s="274">
        <v>7.8</v>
      </c>
      <c r="G219" s="274">
        <v>35.700000000000003</v>
      </c>
      <c r="H219" s="274">
        <v>4.9000000000000004</v>
      </c>
    </row>
    <row r="220" spans="1:8" ht="14.25" customHeight="1">
      <c r="A220" s="132">
        <v>1989</v>
      </c>
      <c r="B220" s="274">
        <v>19.2</v>
      </c>
      <c r="D220" s="274">
        <v>48.8</v>
      </c>
      <c r="F220" s="274">
        <v>8</v>
      </c>
      <c r="G220" s="274">
        <v>35.700000000000003</v>
      </c>
      <c r="H220" s="274">
        <v>5.0999999999999996</v>
      </c>
    </row>
    <row r="221" spans="1:8" ht="14.25" customHeight="1">
      <c r="A221" s="132">
        <v>1990</v>
      </c>
      <c r="B221" s="274">
        <v>19.7</v>
      </c>
      <c r="D221" s="274">
        <v>49.3</v>
      </c>
      <c r="F221" s="274">
        <v>8.1999999999999993</v>
      </c>
      <c r="G221" s="274">
        <v>35.799999999999997</v>
      </c>
      <c r="H221" s="274">
        <v>5.4</v>
      </c>
    </row>
    <row r="222" spans="1:8" ht="14.25" customHeight="1">
      <c r="A222" s="132">
        <v>1991</v>
      </c>
      <c r="B222" s="274">
        <v>19.899999999999999</v>
      </c>
      <c r="D222" s="274">
        <v>49.8</v>
      </c>
      <c r="F222" s="274">
        <v>8.4</v>
      </c>
      <c r="G222" s="274">
        <v>36.1</v>
      </c>
      <c r="H222" s="274">
        <v>5.3</v>
      </c>
    </row>
    <row r="223" spans="1:8" ht="14.25" customHeight="1">
      <c r="A223" s="132">
        <v>1992</v>
      </c>
      <c r="B223" s="274">
        <v>20.100000000000001</v>
      </c>
      <c r="D223" s="274">
        <v>50.1</v>
      </c>
      <c r="F223" s="274">
        <v>8.6</v>
      </c>
      <c r="G223" s="274">
        <v>36.1</v>
      </c>
      <c r="H223" s="274">
        <v>5.4</v>
      </c>
    </row>
    <row r="224" spans="1:8" ht="14.25" customHeight="1">
      <c r="A224" s="132">
        <v>1993</v>
      </c>
      <c r="B224" s="274">
        <v>20.3</v>
      </c>
      <c r="D224" s="274">
        <v>51</v>
      </c>
      <c r="F224" s="274">
        <v>9.1</v>
      </c>
      <c r="G224" s="274">
        <v>36.4</v>
      </c>
      <c r="H224" s="274">
        <v>5.5</v>
      </c>
    </row>
    <row r="225" spans="1:8" ht="14.25" customHeight="1">
      <c r="A225" s="132">
        <v>1994</v>
      </c>
      <c r="B225" s="274">
        <v>20.399999999999999</v>
      </c>
      <c r="D225" s="274">
        <v>51.6</v>
      </c>
      <c r="F225" s="274">
        <v>9.3000000000000007</v>
      </c>
      <c r="G225" s="274">
        <v>36.799999999999997</v>
      </c>
      <c r="H225" s="274">
        <v>5.5</v>
      </c>
    </row>
    <row r="226" spans="1:8" ht="14.25" customHeight="1">
      <c r="A226" s="132">
        <v>1995</v>
      </c>
      <c r="B226" s="274">
        <v>20.6</v>
      </c>
      <c r="D226" s="274">
        <v>51.7</v>
      </c>
      <c r="F226" s="274">
        <v>9.6</v>
      </c>
      <c r="G226" s="274">
        <v>36.299999999999997</v>
      </c>
      <c r="H226" s="274">
        <v>5.8</v>
      </c>
    </row>
    <row r="227" spans="1:8" ht="14.25" customHeight="1">
      <c r="A227" s="132">
        <v>1996</v>
      </c>
      <c r="B227" s="274">
        <v>21</v>
      </c>
      <c r="D227" s="274">
        <v>52.4</v>
      </c>
      <c r="F227" s="274">
        <v>9.3000000000000007</v>
      </c>
      <c r="G227" s="274">
        <v>36.700000000000003</v>
      </c>
      <c r="H227" s="274">
        <v>6.3</v>
      </c>
    </row>
    <row r="228" spans="1:8" ht="14.25" customHeight="1">
      <c r="A228" s="132">
        <v>1997</v>
      </c>
      <c r="B228" s="274">
        <v>21.4</v>
      </c>
      <c r="D228" s="274">
        <v>52.8</v>
      </c>
      <c r="F228" s="274">
        <v>9.5</v>
      </c>
      <c r="G228" s="274">
        <v>36.9</v>
      </c>
      <c r="H228" s="274">
        <v>6.5</v>
      </c>
    </row>
    <row r="229" spans="1:8" ht="14.25" customHeight="1">
      <c r="A229" s="132">
        <v>1998</v>
      </c>
      <c r="B229" s="274">
        <v>21.6</v>
      </c>
      <c r="D229" s="274">
        <v>53.3</v>
      </c>
      <c r="F229" s="274">
        <v>9.6999999999999993</v>
      </c>
      <c r="G229" s="274">
        <v>37.200000000000003</v>
      </c>
      <c r="H229" s="274">
        <v>6.4</v>
      </c>
    </row>
    <row r="230" spans="1:8" ht="14.25" customHeight="1">
      <c r="A230" s="132">
        <v>1999</v>
      </c>
      <c r="B230" s="274">
        <v>21.7</v>
      </c>
      <c r="D230" s="274">
        <v>53.9</v>
      </c>
      <c r="F230" s="274">
        <v>9.9</v>
      </c>
      <c r="G230" s="274">
        <v>37.799999999999997</v>
      </c>
      <c r="H230" s="274">
        <v>6.2</v>
      </c>
    </row>
    <row r="231" spans="1:8" ht="14.25" customHeight="1">
      <c r="A231" s="132">
        <v>2000</v>
      </c>
      <c r="B231" s="274">
        <v>22.3</v>
      </c>
      <c r="D231" s="274">
        <v>55.3</v>
      </c>
      <c r="F231" s="274">
        <v>10.4</v>
      </c>
      <c r="G231" s="274">
        <v>38.5</v>
      </c>
      <c r="H231" s="274">
        <v>6.5</v>
      </c>
    </row>
    <row r="232" spans="1:8" ht="14.25" customHeight="1">
      <c r="A232" s="132">
        <v>2001</v>
      </c>
      <c r="B232" s="274">
        <v>22.4</v>
      </c>
      <c r="D232" s="274">
        <v>55.6</v>
      </c>
      <c r="F232" s="274">
        <v>10.5</v>
      </c>
      <c r="G232" s="274">
        <v>39.1</v>
      </c>
      <c r="H232" s="274">
        <v>6</v>
      </c>
    </row>
    <row r="233" spans="1:8" ht="14.25" customHeight="1">
      <c r="A233" s="132">
        <v>2002</v>
      </c>
      <c r="B233" s="274">
        <v>22.7</v>
      </c>
      <c r="D233" s="274">
        <v>56.4</v>
      </c>
      <c r="F233" s="274">
        <v>10.6</v>
      </c>
      <c r="G233" s="274">
        <v>39.9</v>
      </c>
      <c r="H233" s="274">
        <v>5.9</v>
      </c>
    </row>
    <row r="234" spans="1:8" ht="14.25" customHeight="1">
      <c r="A234" s="132">
        <v>2003</v>
      </c>
      <c r="B234" s="274">
        <v>22.8</v>
      </c>
      <c r="D234" s="274">
        <v>56.8</v>
      </c>
      <c r="F234" s="274">
        <v>10.7</v>
      </c>
      <c r="G234" s="274">
        <v>40.200000000000003</v>
      </c>
      <c r="H234" s="274">
        <v>5.9</v>
      </c>
    </row>
    <row r="235" spans="1:8" ht="14.25" customHeight="1">
      <c r="A235" s="132">
        <v>2004</v>
      </c>
      <c r="B235" s="274">
        <v>22.9</v>
      </c>
      <c r="D235" s="274">
        <v>57.6</v>
      </c>
      <c r="F235" s="274">
        <v>11</v>
      </c>
      <c r="G235" s="274">
        <v>40.299999999999997</v>
      </c>
      <c r="H235" s="274">
        <v>6.2</v>
      </c>
    </row>
    <row r="236" spans="1:8" ht="14.25" customHeight="1">
      <c r="A236" s="132">
        <v>2005</v>
      </c>
      <c r="B236" s="274">
        <v>23.2</v>
      </c>
      <c r="D236" s="274">
        <v>57.9</v>
      </c>
      <c r="F236" s="274">
        <v>10.9</v>
      </c>
      <c r="G236" s="274">
        <v>40.200000000000003</v>
      </c>
      <c r="H236" s="274">
        <v>6.8</v>
      </c>
    </row>
    <row r="237" spans="1:8" ht="14.25" customHeight="1">
      <c r="A237" s="132">
        <v>2006</v>
      </c>
      <c r="B237" s="274">
        <v>23.6</v>
      </c>
      <c r="D237" s="274">
        <v>58.5</v>
      </c>
      <c r="F237" s="274">
        <v>10.9</v>
      </c>
      <c r="G237" s="274">
        <v>40.4</v>
      </c>
      <c r="H237" s="274">
        <v>7.3</v>
      </c>
    </row>
    <row r="238" spans="1:8" ht="14.25" customHeight="1">
      <c r="A238" s="132">
        <v>2007</v>
      </c>
      <c r="B238" s="274">
        <v>23.7</v>
      </c>
      <c r="D238" s="274">
        <v>58.6</v>
      </c>
      <c r="F238" s="274">
        <v>10.6</v>
      </c>
      <c r="G238" s="274">
        <v>40.1</v>
      </c>
      <c r="H238" s="274">
        <v>7.9</v>
      </c>
    </row>
    <row r="239" spans="1:8" ht="14.25" customHeight="1">
      <c r="A239" s="132">
        <v>2008</v>
      </c>
      <c r="B239" s="274">
        <v>23.5</v>
      </c>
      <c r="D239" s="274">
        <v>59</v>
      </c>
      <c r="F239" s="274">
        <v>11.2</v>
      </c>
      <c r="G239" s="274">
        <v>40.4</v>
      </c>
      <c r="H239" s="274">
        <v>7.5</v>
      </c>
    </row>
    <row r="240" spans="1:8" ht="14.25" customHeight="1">
      <c r="A240" s="132">
        <v>2009</v>
      </c>
      <c r="B240" s="274">
        <v>23.8</v>
      </c>
      <c r="D240" s="274">
        <v>59.6</v>
      </c>
      <c r="F240" s="274">
        <v>11</v>
      </c>
      <c r="G240" s="274">
        <v>40.799999999999997</v>
      </c>
      <c r="H240" s="274">
        <v>7.8</v>
      </c>
    </row>
    <row r="241" spans="1:8" ht="14.25" customHeight="1">
      <c r="A241" s="132">
        <v>2010</v>
      </c>
      <c r="B241" s="274">
        <v>24.1</v>
      </c>
      <c r="D241" s="274">
        <v>60.3</v>
      </c>
      <c r="F241" s="274">
        <v>11</v>
      </c>
      <c r="G241" s="274">
        <v>41.1</v>
      </c>
      <c r="H241" s="274">
        <v>8.1999999999999993</v>
      </c>
    </row>
    <row r="242" spans="1:8" ht="14.25" customHeight="1">
      <c r="A242" s="132">
        <v>2011</v>
      </c>
      <c r="B242" s="274">
        <v>24.1</v>
      </c>
      <c r="D242" s="274">
        <v>60.5</v>
      </c>
      <c r="F242" s="274">
        <v>11.1</v>
      </c>
      <c r="G242" s="274">
        <v>41</v>
      </c>
      <c r="H242" s="274">
        <v>8.4</v>
      </c>
    </row>
    <row r="243" spans="1:8" ht="14.25" customHeight="1">
      <c r="A243" s="132">
        <v>2012</v>
      </c>
      <c r="B243" s="274">
        <v>24.6</v>
      </c>
      <c r="D243" s="274">
        <v>61.2</v>
      </c>
      <c r="F243" s="274">
        <v>10.9</v>
      </c>
      <c r="G243" s="274">
        <v>41.2</v>
      </c>
      <c r="H243" s="274">
        <v>9.1</v>
      </c>
    </row>
    <row r="244" spans="1:8" ht="14.25" customHeight="1">
      <c r="A244" s="132">
        <v>2013</v>
      </c>
      <c r="B244" s="274">
        <v>24.6</v>
      </c>
      <c r="D244" s="274">
        <v>61.2</v>
      </c>
      <c r="F244" s="274">
        <v>10.9</v>
      </c>
      <c r="G244" s="274">
        <v>40.700000000000003</v>
      </c>
      <c r="H244" s="274">
        <v>9.6</v>
      </c>
    </row>
    <row r="245" spans="1:8" ht="14.25" customHeight="1">
      <c r="A245" s="132">
        <v>2014</v>
      </c>
      <c r="B245" s="274">
        <v>24.9</v>
      </c>
      <c r="D245" s="274">
        <v>62.1</v>
      </c>
      <c r="F245" s="274">
        <v>10.9</v>
      </c>
      <c r="G245" s="274">
        <v>41.1</v>
      </c>
      <c r="H245" s="274">
        <v>10.1</v>
      </c>
    </row>
    <row r="246" spans="1:8" ht="14.25" customHeight="1">
      <c r="A246" s="132">
        <v>2015</v>
      </c>
      <c r="B246" s="274">
        <v>25</v>
      </c>
      <c r="D246" s="274">
        <v>62.3</v>
      </c>
      <c r="F246" s="274">
        <v>11</v>
      </c>
      <c r="G246" s="274">
        <v>41.1</v>
      </c>
      <c r="H246" s="274">
        <v>10.3</v>
      </c>
    </row>
    <row r="247" spans="1:8" ht="14.25" customHeight="1">
      <c r="A247" s="132">
        <v>2016</v>
      </c>
      <c r="B247" s="274">
        <v>24.9</v>
      </c>
      <c r="D247" s="274">
        <v>62.4</v>
      </c>
      <c r="F247" s="274">
        <v>10.9</v>
      </c>
      <c r="G247" s="274">
        <v>41.1</v>
      </c>
      <c r="H247" s="274">
        <v>10.4</v>
      </c>
    </row>
    <row r="249" spans="1:8" ht="14.25" customHeight="1">
      <c r="B249" s="774" t="s">
        <v>10</v>
      </c>
      <c r="C249" s="774"/>
      <c r="D249" s="774"/>
      <c r="E249" s="774"/>
      <c r="F249" s="774"/>
      <c r="G249" s="774"/>
      <c r="H249" s="774"/>
    </row>
    <row r="250" spans="1:8" ht="14.25" customHeight="1">
      <c r="A250" s="132">
        <v>1979</v>
      </c>
      <c r="B250" s="274">
        <v>8.1</v>
      </c>
      <c r="D250" s="274">
        <v>22.2</v>
      </c>
      <c r="F250" s="274">
        <v>4.3</v>
      </c>
      <c r="G250" s="274">
        <v>16.3</v>
      </c>
      <c r="H250" s="274">
        <v>1.5</v>
      </c>
    </row>
    <row r="251" spans="1:8" ht="14.25" customHeight="1">
      <c r="A251" s="132">
        <v>1980</v>
      </c>
      <c r="B251" s="274">
        <v>8.3000000000000007</v>
      </c>
      <c r="D251" s="274">
        <v>22.5</v>
      </c>
      <c r="F251" s="274">
        <v>4.3</v>
      </c>
      <c r="G251" s="274">
        <v>16.5</v>
      </c>
      <c r="H251" s="274">
        <v>1.7</v>
      </c>
    </row>
    <row r="252" spans="1:8" ht="14.25" customHeight="1">
      <c r="A252" s="132">
        <v>1981</v>
      </c>
      <c r="B252" s="274">
        <v>8.5</v>
      </c>
      <c r="D252" s="274">
        <v>22.6</v>
      </c>
      <c r="F252" s="274">
        <v>4.2</v>
      </c>
      <c r="G252" s="274">
        <v>16.600000000000001</v>
      </c>
      <c r="H252" s="274">
        <v>1.8</v>
      </c>
    </row>
    <row r="253" spans="1:8" ht="14.25" customHeight="1">
      <c r="A253" s="132">
        <v>1982</v>
      </c>
      <c r="B253" s="274">
        <v>8.6999999999999993</v>
      </c>
      <c r="D253" s="274">
        <v>22.8</v>
      </c>
      <c r="F253" s="274">
        <v>4.0999999999999996</v>
      </c>
      <c r="G253" s="274">
        <v>16.600000000000001</v>
      </c>
      <c r="H253" s="274">
        <v>2.1</v>
      </c>
    </row>
    <row r="254" spans="1:8" ht="14.25" customHeight="1">
      <c r="A254" s="132">
        <v>1983</v>
      </c>
      <c r="B254" s="274">
        <v>8.8000000000000007</v>
      </c>
      <c r="D254" s="274">
        <v>22.9</v>
      </c>
      <c r="F254" s="274">
        <v>4</v>
      </c>
      <c r="G254" s="274">
        <v>16.600000000000001</v>
      </c>
      <c r="H254" s="274">
        <v>2.2000000000000002</v>
      </c>
    </row>
    <row r="255" spans="1:8" ht="14.25" customHeight="1">
      <c r="A255" s="132">
        <v>1984</v>
      </c>
      <c r="B255" s="274">
        <v>8.8000000000000007</v>
      </c>
      <c r="D255" s="274">
        <v>23.1</v>
      </c>
      <c r="F255" s="274">
        <v>4.2</v>
      </c>
      <c r="G255" s="274">
        <v>16.7</v>
      </c>
      <c r="H255" s="274">
        <v>2.2000000000000002</v>
      </c>
    </row>
    <row r="256" spans="1:8" ht="14.25" customHeight="1">
      <c r="A256" s="132">
        <v>1985</v>
      </c>
      <c r="B256" s="274">
        <v>9.1999999999999993</v>
      </c>
      <c r="D256" s="274">
        <v>23.5</v>
      </c>
      <c r="F256" s="274">
        <v>4.2</v>
      </c>
      <c r="G256" s="274">
        <v>16.899999999999999</v>
      </c>
      <c r="H256" s="274">
        <v>2.2999999999999998</v>
      </c>
    </row>
    <row r="257" spans="1:8" ht="14.25" customHeight="1">
      <c r="A257" s="132">
        <v>1986</v>
      </c>
      <c r="B257" s="274">
        <v>9.1</v>
      </c>
      <c r="D257" s="274">
        <v>23.7</v>
      </c>
      <c r="F257" s="274">
        <v>4.2</v>
      </c>
      <c r="G257" s="274">
        <v>17.2</v>
      </c>
      <c r="H257" s="274">
        <v>2.2999999999999998</v>
      </c>
    </row>
    <row r="258" spans="1:8" ht="14.25" customHeight="1">
      <c r="A258" s="132">
        <v>1987</v>
      </c>
      <c r="B258" s="274">
        <v>9.3000000000000007</v>
      </c>
      <c r="D258" s="274">
        <v>24</v>
      </c>
      <c r="F258" s="274">
        <v>4.2</v>
      </c>
      <c r="G258" s="274">
        <v>17.7</v>
      </c>
      <c r="H258" s="274">
        <v>2.1</v>
      </c>
    </row>
    <row r="259" spans="1:8" ht="14.25" customHeight="1">
      <c r="A259" s="132">
        <v>1988</v>
      </c>
      <c r="B259" s="274">
        <v>9.5</v>
      </c>
      <c r="D259" s="274">
        <v>24.2</v>
      </c>
      <c r="F259" s="274">
        <v>4.2</v>
      </c>
      <c r="G259" s="274">
        <v>17.8</v>
      </c>
      <c r="H259" s="274">
        <v>2.2000000000000002</v>
      </c>
    </row>
    <row r="260" spans="1:8" ht="14.25" customHeight="1">
      <c r="A260" s="132">
        <v>1989</v>
      </c>
      <c r="B260" s="274">
        <v>9.5</v>
      </c>
      <c r="D260" s="274">
        <v>24.4</v>
      </c>
      <c r="F260" s="274">
        <v>4.2</v>
      </c>
      <c r="G260" s="274">
        <v>17.899999999999999</v>
      </c>
      <c r="H260" s="274">
        <v>2.2999999999999998</v>
      </c>
    </row>
    <row r="261" spans="1:8" ht="14.25" customHeight="1">
      <c r="A261" s="132">
        <v>1990</v>
      </c>
      <c r="B261" s="274">
        <v>9.6999999999999993</v>
      </c>
      <c r="D261" s="274">
        <v>24.7</v>
      </c>
      <c r="F261" s="274">
        <v>4.4000000000000004</v>
      </c>
      <c r="G261" s="274">
        <v>17.899999999999999</v>
      </c>
      <c r="H261" s="274">
        <v>2.4</v>
      </c>
    </row>
    <row r="262" spans="1:8" ht="14.25" customHeight="1">
      <c r="A262" s="132">
        <v>1991</v>
      </c>
      <c r="B262" s="274">
        <v>9.8000000000000007</v>
      </c>
      <c r="D262" s="274">
        <v>24.9</v>
      </c>
      <c r="F262" s="274">
        <v>4.5</v>
      </c>
      <c r="G262" s="274">
        <v>17.899999999999999</v>
      </c>
      <c r="H262" s="274">
        <v>2.4</v>
      </c>
    </row>
    <row r="263" spans="1:8" ht="14.25" customHeight="1">
      <c r="A263" s="132">
        <v>1992</v>
      </c>
      <c r="B263" s="274">
        <v>9.9</v>
      </c>
      <c r="D263" s="274">
        <v>25</v>
      </c>
      <c r="F263" s="274">
        <v>4.7</v>
      </c>
      <c r="G263" s="274">
        <v>17.8</v>
      </c>
      <c r="H263" s="274">
        <v>2.5</v>
      </c>
    </row>
    <row r="264" spans="1:8" ht="14.25" customHeight="1">
      <c r="A264" s="132">
        <v>1993</v>
      </c>
      <c r="B264" s="274">
        <v>10</v>
      </c>
      <c r="D264" s="274">
        <v>25.5</v>
      </c>
      <c r="F264" s="274">
        <v>4.9000000000000004</v>
      </c>
      <c r="G264" s="274">
        <v>18.100000000000001</v>
      </c>
      <c r="H264" s="274">
        <v>2.6</v>
      </c>
    </row>
    <row r="265" spans="1:8" ht="14.25" customHeight="1">
      <c r="A265" s="132">
        <v>1994</v>
      </c>
      <c r="B265" s="274">
        <v>10</v>
      </c>
      <c r="D265" s="274">
        <v>25.8</v>
      </c>
      <c r="F265" s="274">
        <v>4.9000000000000004</v>
      </c>
      <c r="G265" s="274">
        <v>18.3</v>
      </c>
      <c r="H265" s="274">
        <v>2.5</v>
      </c>
    </row>
    <row r="266" spans="1:8" ht="14.25" customHeight="1">
      <c r="A266" s="132">
        <v>1995</v>
      </c>
      <c r="B266" s="274">
        <v>10.1</v>
      </c>
      <c r="D266" s="274">
        <v>25.9</v>
      </c>
      <c r="F266" s="274">
        <v>5</v>
      </c>
      <c r="G266" s="274">
        <v>18</v>
      </c>
      <c r="H266" s="274">
        <v>2.8</v>
      </c>
    </row>
    <row r="267" spans="1:8" ht="14.25" customHeight="1">
      <c r="A267" s="132">
        <v>1996</v>
      </c>
      <c r="B267" s="274">
        <v>10.3</v>
      </c>
      <c r="D267" s="274">
        <v>26.2</v>
      </c>
      <c r="F267" s="274">
        <v>4.9000000000000004</v>
      </c>
      <c r="G267" s="274">
        <v>18.399999999999999</v>
      </c>
      <c r="H267" s="274">
        <v>2.9</v>
      </c>
    </row>
    <row r="268" spans="1:8" ht="14.25" customHeight="1">
      <c r="A268" s="132">
        <v>1997</v>
      </c>
      <c r="B268" s="274">
        <v>10.6</v>
      </c>
      <c r="D268" s="274">
        <v>26.4</v>
      </c>
      <c r="F268" s="274">
        <v>4.9000000000000004</v>
      </c>
      <c r="G268" s="274">
        <v>18.5</v>
      </c>
      <c r="H268" s="274">
        <v>3</v>
      </c>
    </row>
    <row r="269" spans="1:8" ht="14.25" customHeight="1">
      <c r="A269" s="132">
        <v>1998</v>
      </c>
      <c r="B269" s="274">
        <v>10.7</v>
      </c>
      <c r="D269" s="274">
        <v>26.6</v>
      </c>
      <c r="F269" s="274">
        <v>5</v>
      </c>
      <c r="G269" s="274">
        <v>18.7</v>
      </c>
      <c r="H269" s="274">
        <v>3</v>
      </c>
    </row>
    <row r="270" spans="1:8" ht="14.25" customHeight="1">
      <c r="A270" s="132">
        <v>1999</v>
      </c>
      <c r="B270" s="274">
        <v>10.7</v>
      </c>
      <c r="D270" s="274">
        <v>27</v>
      </c>
      <c r="F270" s="274">
        <v>5.0999999999999996</v>
      </c>
      <c r="G270" s="274">
        <v>19.100000000000001</v>
      </c>
      <c r="H270" s="274">
        <v>2.8</v>
      </c>
    </row>
    <row r="271" spans="1:8" ht="14.25" customHeight="1">
      <c r="A271" s="132">
        <v>2000</v>
      </c>
      <c r="B271" s="274">
        <v>11</v>
      </c>
      <c r="D271" s="274">
        <v>27.7</v>
      </c>
      <c r="F271" s="274">
        <v>5.3</v>
      </c>
      <c r="G271" s="274">
        <v>19.2</v>
      </c>
      <c r="H271" s="274">
        <v>3.1</v>
      </c>
    </row>
    <row r="272" spans="1:8" ht="14.25" customHeight="1">
      <c r="A272" s="132">
        <v>2001</v>
      </c>
      <c r="B272" s="274">
        <v>11.1</v>
      </c>
      <c r="D272" s="274">
        <v>27.8</v>
      </c>
      <c r="F272" s="274">
        <v>5.4</v>
      </c>
      <c r="G272" s="274">
        <v>19.5</v>
      </c>
      <c r="H272" s="274">
        <v>2.9</v>
      </c>
    </row>
    <row r="273" spans="1:8" ht="14.25" customHeight="1">
      <c r="A273" s="132">
        <v>2002</v>
      </c>
      <c r="B273" s="274">
        <v>11.2</v>
      </c>
      <c r="D273" s="274">
        <v>28.2</v>
      </c>
      <c r="F273" s="274">
        <v>5.4</v>
      </c>
      <c r="G273" s="274">
        <v>19.899999999999999</v>
      </c>
      <c r="H273" s="274">
        <v>2.9</v>
      </c>
    </row>
    <row r="274" spans="1:8" ht="14.25" customHeight="1">
      <c r="A274" s="132">
        <v>2003</v>
      </c>
      <c r="B274" s="274">
        <v>11.3</v>
      </c>
      <c r="D274" s="274">
        <v>28.4</v>
      </c>
      <c r="F274" s="274">
        <v>5.4</v>
      </c>
      <c r="G274" s="274">
        <v>20.2</v>
      </c>
      <c r="H274" s="274">
        <v>2.9</v>
      </c>
    </row>
    <row r="275" spans="1:8" ht="14.25" customHeight="1">
      <c r="A275" s="132">
        <v>2004</v>
      </c>
      <c r="B275" s="274">
        <v>11.3</v>
      </c>
      <c r="D275" s="274">
        <v>28.8</v>
      </c>
      <c r="F275" s="274">
        <v>5.6</v>
      </c>
      <c r="G275" s="274">
        <v>20.2</v>
      </c>
      <c r="H275" s="274">
        <v>3</v>
      </c>
    </row>
    <row r="276" spans="1:8" ht="14.25" customHeight="1">
      <c r="A276" s="132">
        <v>2005</v>
      </c>
      <c r="B276" s="274">
        <v>11.5</v>
      </c>
      <c r="D276" s="274">
        <v>28.9</v>
      </c>
      <c r="F276" s="274">
        <v>5.5</v>
      </c>
      <c r="G276" s="274">
        <v>20.2</v>
      </c>
      <c r="H276" s="274">
        <v>3.2</v>
      </c>
    </row>
    <row r="277" spans="1:8" ht="14.25" customHeight="1">
      <c r="A277" s="132">
        <v>2006</v>
      </c>
      <c r="B277" s="274">
        <v>11.7</v>
      </c>
      <c r="D277" s="274">
        <v>29.3</v>
      </c>
      <c r="F277" s="274">
        <v>5.5</v>
      </c>
      <c r="G277" s="274">
        <v>20.3</v>
      </c>
      <c r="H277" s="274">
        <v>3.5</v>
      </c>
    </row>
    <row r="278" spans="1:8" ht="14.25" customHeight="1">
      <c r="A278" s="132">
        <v>2007</v>
      </c>
      <c r="B278" s="274">
        <v>11.8</v>
      </c>
      <c r="D278" s="274">
        <v>29.3</v>
      </c>
      <c r="F278" s="274">
        <v>5.3</v>
      </c>
      <c r="G278" s="274">
        <v>20.3</v>
      </c>
      <c r="H278" s="274">
        <v>3.8</v>
      </c>
    </row>
    <row r="279" spans="1:8" ht="14.25" customHeight="1">
      <c r="A279" s="132">
        <v>2008</v>
      </c>
      <c r="B279" s="274">
        <v>11.6</v>
      </c>
      <c r="D279" s="274">
        <v>29.5</v>
      </c>
      <c r="F279" s="274">
        <v>5.5</v>
      </c>
      <c r="G279" s="274">
        <v>20.3</v>
      </c>
      <c r="H279" s="274">
        <v>3.7</v>
      </c>
    </row>
    <row r="280" spans="1:8" ht="14.25" customHeight="1">
      <c r="A280" s="132">
        <v>2009</v>
      </c>
      <c r="B280" s="274">
        <v>11.9</v>
      </c>
      <c r="D280" s="274">
        <v>29.8</v>
      </c>
      <c r="F280" s="274">
        <v>5.5</v>
      </c>
      <c r="G280" s="274">
        <v>20.3</v>
      </c>
      <c r="H280" s="274">
        <v>4</v>
      </c>
    </row>
    <row r="281" spans="1:8" ht="14.25" customHeight="1">
      <c r="A281" s="132">
        <v>2010</v>
      </c>
      <c r="B281" s="274">
        <v>12</v>
      </c>
      <c r="D281" s="274">
        <v>30.1</v>
      </c>
      <c r="F281" s="274">
        <v>5.5</v>
      </c>
      <c r="G281" s="274">
        <v>20.5</v>
      </c>
      <c r="H281" s="274">
        <v>4.0999999999999996</v>
      </c>
    </row>
    <row r="282" spans="1:8" ht="14.25" customHeight="1">
      <c r="A282" s="132">
        <v>2011</v>
      </c>
      <c r="B282" s="274">
        <v>12</v>
      </c>
      <c r="D282" s="274">
        <v>30.3</v>
      </c>
      <c r="F282" s="274">
        <v>5.6</v>
      </c>
      <c r="G282" s="274">
        <v>20.399999999999999</v>
      </c>
      <c r="H282" s="274">
        <v>4.2</v>
      </c>
    </row>
    <row r="283" spans="1:8" ht="14.25" customHeight="1">
      <c r="A283" s="132">
        <v>2012</v>
      </c>
      <c r="B283" s="274">
        <v>12.3</v>
      </c>
      <c r="D283" s="274">
        <v>30.6</v>
      </c>
      <c r="F283" s="274">
        <v>5.4</v>
      </c>
      <c r="G283" s="274">
        <v>20.7</v>
      </c>
      <c r="H283" s="274">
        <v>4.5</v>
      </c>
    </row>
    <row r="284" spans="1:8" ht="14.25" customHeight="1">
      <c r="A284" s="132">
        <v>2013</v>
      </c>
      <c r="B284" s="274">
        <v>12.4</v>
      </c>
      <c r="D284" s="274">
        <v>30.6</v>
      </c>
      <c r="F284" s="274">
        <v>5.3</v>
      </c>
      <c r="G284" s="274">
        <v>20.3</v>
      </c>
      <c r="H284" s="274">
        <v>4.9000000000000004</v>
      </c>
    </row>
    <row r="285" spans="1:8" ht="14.25" customHeight="1">
      <c r="A285" s="132">
        <v>2014</v>
      </c>
      <c r="B285" s="274">
        <v>12.4</v>
      </c>
      <c r="D285" s="274">
        <v>31</v>
      </c>
      <c r="F285" s="274">
        <v>5.4</v>
      </c>
      <c r="G285" s="274">
        <v>20.7</v>
      </c>
      <c r="H285" s="274">
        <v>5</v>
      </c>
    </row>
    <row r="286" spans="1:8" ht="14.25" customHeight="1">
      <c r="A286" s="132">
        <v>2015</v>
      </c>
      <c r="B286" s="274">
        <v>12.5</v>
      </c>
      <c r="D286" s="274">
        <v>31.2</v>
      </c>
      <c r="F286" s="274">
        <v>5.3</v>
      </c>
      <c r="G286" s="274">
        <v>20.7</v>
      </c>
      <c r="H286" s="274">
        <v>5.2</v>
      </c>
    </row>
    <row r="287" spans="1:8" ht="14.25" customHeight="1">
      <c r="A287" s="132">
        <v>2016</v>
      </c>
      <c r="B287" s="274">
        <v>12.5</v>
      </c>
      <c r="D287" s="274">
        <v>31.2</v>
      </c>
      <c r="F287" s="274">
        <v>5.2</v>
      </c>
      <c r="G287" s="274">
        <v>20.7</v>
      </c>
      <c r="H287" s="274">
        <v>5.3</v>
      </c>
    </row>
    <row r="289" spans="1:8" ht="14.25" customHeight="1">
      <c r="B289" s="774" t="s">
        <v>11</v>
      </c>
      <c r="C289" s="774"/>
      <c r="D289" s="774"/>
      <c r="E289" s="774"/>
      <c r="F289" s="774"/>
      <c r="G289" s="774"/>
      <c r="H289" s="774"/>
    </row>
    <row r="290" spans="1:8" ht="14.25" customHeight="1">
      <c r="A290" s="132">
        <v>1979</v>
      </c>
      <c r="B290" s="274">
        <v>4.3</v>
      </c>
      <c r="D290" s="274">
        <v>11.1</v>
      </c>
      <c r="F290" s="274">
        <v>1.7</v>
      </c>
      <c r="G290" s="274">
        <v>8.6</v>
      </c>
      <c r="H290" s="274">
        <v>0.8</v>
      </c>
    </row>
    <row r="291" spans="1:8" ht="14.25" customHeight="1">
      <c r="A291" s="132">
        <v>1980</v>
      </c>
      <c r="B291" s="274">
        <v>4.3</v>
      </c>
      <c r="D291" s="274">
        <v>11.2</v>
      </c>
      <c r="F291" s="274">
        <v>1.7</v>
      </c>
      <c r="G291" s="274">
        <v>8.6</v>
      </c>
      <c r="H291" s="274">
        <v>1</v>
      </c>
    </row>
    <row r="292" spans="1:8" ht="14.25" customHeight="1">
      <c r="A292" s="132">
        <v>1981</v>
      </c>
      <c r="B292" s="274">
        <v>4.4000000000000004</v>
      </c>
      <c r="D292" s="274">
        <v>11.3</v>
      </c>
      <c r="F292" s="274">
        <v>1.6</v>
      </c>
      <c r="G292" s="274">
        <v>8.6</v>
      </c>
      <c r="H292" s="274">
        <v>1.1000000000000001</v>
      </c>
    </row>
    <row r="293" spans="1:8" ht="14.25" customHeight="1">
      <c r="A293" s="132">
        <v>1982</v>
      </c>
      <c r="B293" s="274">
        <v>4.5</v>
      </c>
      <c r="D293" s="274">
        <v>11.4</v>
      </c>
      <c r="F293" s="274">
        <v>1.6</v>
      </c>
      <c r="G293" s="274">
        <v>8.6999999999999993</v>
      </c>
      <c r="H293" s="274">
        <v>1.1000000000000001</v>
      </c>
    </row>
    <row r="294" spans="1:8" ht="14.25" customHeight="1">
      <c r="A294" s="132">
        <v>1983</v>
      </c>
      <c r="B294" s="274">
        <v>4.5999999999999996</v>
      </c>
      <c r="D294" s="274">
        <v>11.5</v>
      </c>
      <c r="F294" s="274">
        <v>1.6</v>
      </c>
      <c r="G294" s="274">
        <v>8.6</v>
      </c>
      <c r="H294" s="274">
        <v>1.3</v>
      </c>
    </row>
    <row r="295" spans="1:8" ht="14.25" customHeight="1">
      <c r="A295" s="132">
        <v>1984</v>
      </c>
      <c r="B295" s="274">
        <v>4.5</v>
      </c>
      <c r="D295" s="274">
        <v>11.6</v>
      </c>
      <c r="F295" s="274">
        <v>1.7</v>
      </c>
      <c r="G295" s="274">
        <v>8.6</v>
      </c>
      <c r="H295" s="274">
        <v>1.3</v>
      </c>
    </row>
    <row r="296" spans="1:8" ht="14.25" customHeight="1">
      <c r="A296" s="132">
        <v>1985</v>
      </c>
      <c r="B296" s="274">
        <v>4.7</v>
      </c>
      <c r="D296" s="274">
        <v>11.7</v>
      </c>
      <c r="F296" s="274">
        <v>1.8</v>
      </c>
      <c r="G296" s="274">
        <v>8.6999999999999993</v>
      </c>
      <c r="H296" s="274">
        <v>1.2</v>
      </c>
    </row>
    <row r="297" spans="1:8" ht="14.25" customHeight="1">
      <c r="A297" s="132">
        <v>1986</v>
      </c>
      <c r="B297" s="274">
        <v>4.7</v>
      </c>
      <c r="D297" s="274">
        <v>11.9</v>
      </c>
      <c r="F297" s="274">
        <v>1.7</v>
      </c>
      <c r="G297" s="274">
        <v>9</v>
      </c>
      <c r="H297" s="274">
        <v>1.2</v>
      </c>
    </row>
    <row r="298" spans="1:8" ht="14.25" customHeight="1">
      <c r="A298" s="132">
        <v>1987</v>
      </c>
      <c r="B298" s="274">
        <v>4.7</v>
      </c>
      <c r="D298" s="274">
        <v>12</v>
      </c>
      <c r="F298" s="274">
        <v>1.7</v>
      </c>
      <c r="G298" s="274">
        <v>9.1999999999999993</v>
      </c>
      <c r="H298" s="274">
        <v>1.1000000000000001</v>
      </c>
    </row>
    <row r="299" spans="1:8" ht="14.25" customHeight="1">
      <c r="A299" s="132">
        <v>1988</v>
      </c>
      <c r="B299" s="274">
        <v>4.8</v>
      </c>
      <c r="D299" s="274">
        <v>12.1</v>
      </c>
      <c r="F299" s="274">
        <v>1.7</v>
      </c>
      <c r="G299" s="274">
        <v>9.1999999999999993</v>
      </c>
      <c r="H299" s="274">
        <v>1.2</v>
      </c>
    </row>
    <row r="300" spans="1:8" ht="14.25" customHeight="1">
      <c r="A300" s="132">
        <v>1989</v>
      </c>
      <c r="B300" s="274">
        <v>4.8</v>
      </c>
      <c r="D300" s="274">
        <v>12.2</v>
      </c>
      <c r="F300" s="274">
        <v>1.8</v>
      </c>
      <c r="G300" s="274">
        <v>9.1999999999999993</v>
      </c>
      <c r="H300" s="274">
        <v>1.2</v>
      </c>
    </row>
    <row r="301" spans="1:8" ht="14.25" customHeight="1">
      <c r="A301" s="132">
        <v>1990</v>
      </c>
      <c r="B301" s="274">
        <v>5</v>
      </c>
      <c r="D301" s="274">
        <v>12.3</v>
      </c>
      <c r="F301" s="274">
        <v>1.8</v>
      </c>
      <c r="G301" s="274">
        <v>9.1</v>
      </c>
      <c r="H301" s="274">
        <v>1.4</v>
      </c>
    </row>
    <row r="302" spans="1:8" ht="14.25" customHeight="1">
      <c r="A302" s="132">
        <v>1991</v>
      </c>
      <c r="B302" s="274">
        <v>5</v>
      </c>
      <c r="D302" s="274">
        <v>12.4</v>
      </c>
      <c r="F302" s="274">
        <v>1.9</v>
      </c>
      <c r="G302" s="274">
        <v>9.1999999999999993</v>
      </c>
      <c r="H302" s="274">
        <v>1.3</v>
      </c>
    </row>
    <row r="303" spans="1:8" ht="14.25" customHeight="1">
      <c r="A303" s="132">
        <v>1992</v>
      </c>
      <c r="B303" s="274">
        <v>5.0999999999999996</v>
      </c>
      <c r="D303" s="274">
        <v>12.5</v>
      </c>
      <c r="F303" s="274">
        <v>1.9</v>
      </c>
      <c r="G303" s="274">
        <v>9.4</v>
      </c>
      <c r="H303" s="274">
        <v>1.2</v>
      </c>
    </row>
    <row r="304" spans="1:8" ht="14.25" customHeight="1">
      <c r="A304" s="132">
        <v>1993</v>
      </c>
      <c r="B304" s="274">
        <v>5.0999999999999996</v>
      </c>
      <c r="D304" s="274">
        <v>12.7</v>
      </c>
      <c r="F304" s="274">
        <v>2</v>
      </c>
      <c r="G304" s="274">
        <v>9.4</v>
      </c>
      <c r="H304" s="274">
        <v>1.4</v>
      </c>
    </row>
    <row r="305" spans="1:8" ht="14.25" customHeight="1">
      <c r="A305" s="132">
        <v>1994</v>
      </c>
      <c r="B305" s="274">
        <v>5.2</v>
      </c>
      <c r="D305" s="274">
        <v>12.9</v>
      </c>
      <c r="F305" s="274">
        <v>2.1</v>
      </c>
      <c r="G305" s="274">
        <v>9.5</v>
      </c>
      <c r="H305" s="274">
        <v>1.3</v>
      </c>
    </row>
    <row r="306" spans="1:8" ht="14.25" customHeight="1">
      <c r="A306" s="132">
        <v>1995</v>
      </c>
      <c r="B306" s="274">
        <v>5.3</v>
      </c>
      <c r="D306" s="274">
        <v>12.9</v>
      </c>
      <c r="F306" s="274">
        <v>2.1</v>
      </c>
      <c r="G306" s="274">
        <v>9.5</v>
      </c>
      <c r="H306" s="274">
        <v>1.3</v>
      </c>
    </row>
    <row r="307" spans="1:8" ht="14.25" customHeight="1">
      <c r="A307" s="132">
        <v>1996</v>
      </c>
      <c r="B307" s="274">
        <v>5.3</v>
      </c>
      <c r="D307" s="274">
        <v>13.1</v>
      </c>
      <c r="F307" s="274">
        <v>2.1</v>
      </c>
      <c r="G307" s="274">
        <v>9.4</v>
      </c>
      <c r="H307" s="274">
        <v>1.6</v>
      </c>
    </row>
    <row r="308" spans="1:8" ht="14.25" customHeight="1">
      <c r="A308" s="132">
        <v>1997</v>
      </c>
      <c r="B308" s="274">
        <v>5.4</v>
      </c>
      <c r="D308" s="274">
        <v>13.2</v>
      </c>
      <c r="F308" s="274">
        <v>2.1</v>
      </c>
      <c r="G308" s="274">
        <v>9.5</v>
      </c>
      <c r="H308" s="274">
        <v>1.6</v>
      </c>
    </row>
    <row r="309" spans="1:8" ht="14.25" customHeight="1">
      <c r="A309" s="132">
        <v>1998</v>
      </c>
      <c r="B309" s="274">
        <v>5.5</v>
      </c>
      <c r="D309" s="274">
        <v>13.3</v>
      </c>
      <c r="F309" s="274">
        <v>2.2000000000000002</v>
      </c>
      <c r="G309" s="274">
        <v>9.5</v>
      </c>
      <c r="H309" s="274">
        <v>1.6</v>
      </c>
    </row>
    <row r="310" spans="1:8" ht="14.25" customHeight="1">
      <c r="A310" s="132">
        <v>1999</v>
      </c>
      <c r="B310" s="274">
        <v>5.5</v>
      </c>
      <c r="D310" s="274">
        <v>13.5</v>
      </c>
      <c r="F310" s="274">
        <v>2.2999999999999998</v>
      </c>
      <c r="G310" s="274">
        <v>9.6</v>
      </c>
      <c r="H310" s="274">
        <v>1.6</v>
      </c>
    </row>
    <row r="311" spans="1:8" ht="14.25" customHeight="1">
      <c r="A311" s="132">
        <v>2000</v>
      </c>
      <c r="B311" s="274">
        <v>5.6</v>
      </c>
      <c r="D311" s="274">
        <v>13.8</v>
      </c>
      <c r="F311" s="274">
        <v>2.4</v>
      </c>
      <c r="G311" s="274">
        <v>9.9</v>
      </c>
      <c r="H311" s="274">
        <v>1.5</v>
      </c>
    </row>
    <row r="312" spans="1:8" ht="14.25" customHeight="1">
      <c r="A312" s="132">
        <v>2001</v>
      </c>
      <c r="B312" s="274">
        <v>5.7</v>
      </c>
      <c r="D312" s="274">
        <v>13.9</v>
      </c>
      <c r="F312" s="274">
        <v>2.4</v>
      </c>
      <c r="G312" s="274">
        <v>10</v>
      </c>
      <c r="H312" s="274">
        <v>1.5</v>
      </c>
    </row>
    <row r="313" spans="1:8" ht="14.25" customHeight="1">
      <c r="A313" s="132">
        <v>2002</v>
      </c>
      <c r="B313" s="274">
        <v>5.7</v>
      </c>
      <c r="D313" s="274">
        <v>14.1</v>
      </c>
      <c r="F313" s="274">
        <v>2.5</v>
      </c>
      <c r="G313" s="274">
        <v>10.199999999999999</v>
      </c>
      <c r="H313" s="274">
        <v>1.4</v>
      </c>
    </row>
    <row r="314" spans="1:8" ht="14.25" customHeight="1">
      <c r="A314" s="132">
        <v>2003</v>
      </c>
      <c r="B314" s="274">
        <v>5.7</v>
      </c>
      <c r="D314" s="274">
        <v>14.2</v>
      </c>
      <c r="F314" s="274">
        <v>2.6</v>
      </c>
      <c r="G314" s="274">
        <v>10.199999999999999</v>
      </c>
      <c r="H314" s="274">
        <v>1.5</v>
      </c>
    </row>
    <row r="315" spans="1:8" ht="14.25" customHeight="1">
      <c r="A315" s="132">
        <v>2004</v>
      </c>
      <c r="B315" s="274">
        <v>5.8</v>
      </c>
      <c r="D315" s="274">
        <v>14.4</v>
      </c>
      <c r="F315" s="274">
        <v>2.6</v>
      </c>
      <c r="G315" s="274">
        <v>10.3</v>
      </c>
      <c r="H315" s="274">
        <v>1.5</v>
      </c>
    </row>
    <row r="316" spans="1:8" ht="14.25" customHeight="1">
      <c r="A316" s="132">
        <v>2005</v>
      </c>
      <c r="B316" s="274">
        <v>5.9</v>
      </c>
      <c r="D316" s="274">
        <v>14.5</v>
      </c>
      <c r="F316" s="274">
        <v>2.5</v>
      </c>
      <c r="G316" s="274">
        <v>10.3</v>
      </c>
      <c r="H316" s="274">
        <v>1.7</v>
      </c>
    </row>
    <row r="317" spans="1:8" ht="14.25" customHeight="1">
      <c r="A317" s="132">
        <v>2006</v>
      </c>
      <c r="B317" s="274">
        <v>6</v>
      </c>
      <c r="D317" s="274">
        <v>14.6</v>
      </c>
      <c r="F317" s="274">
        <v>2.6</v>
      </c>
      <c r="G317" s="274">
        <v>10.3</v>
      </c>
      <c r="H317" s="274">
        <v>1.8</v>
      </c>
    </row>
    <row r="318" spans="1:8" ht="14.25" customHeight="1">
      <c r="A318" s="132">
        <v>2007</v>
      </c>
      <c r="B318" s="274">
        <v>6</v>
      </c>
      <c r="D318" s="274">
        <v>14.6</v>
      </c>
      <c r="F318" s="274">
        <v>2.5</v>
      </c>
      <c r="G318" s="274">
        <v>10.199999999999999</v>
      </c>
      <c r="H318" s="274">
        <v>2</v>
      </c>
    </row>
    <row r="319" spans="1:8" ht="14.25" customHeight="1">
      <c r="A319" s="132">
        <v>2008</v>
      </c>
      <c r="B319" s="274">
        <v>6</v>
      </c>
      <c r="D319" s="274">
        <v>14.8</v>
      </c>
      <c r="F319" s="274">
        <v>2.6</v>
      </c>
      <c r="G319" s="274">
        <v>10.3</v>
      </c>
      <c r="H319" s="274">
        <v>1.8</v>
      </c>
    </row>
    <row r="320" spans="1:8" ht="14.25" customHeight="1">
      <c r="A320" s="132">
        <v>2009</v>
      </c>
      <c r="B320" s="274">
        <v>6</v>
      </c>
      <c r="D320" s="274">
        <v>14.9</v>
      </c>
      <c r="F320" s="274">
        <v>2.5</v>
      </c>
      <c r="G320" s="274">
        <v>10.4</v>
      </c>
      <c r="H320" s="274">
        <v>1.9</v>
      </c>
    </row>
    <row r="321" spans="1:8" ht="14.25" customHeight="1">
      <c r="A321" s="132">
        <v>2010</v>
      </c>
      <c r="B321" s="274">
        <v>6.1</v>
      </c>
      <c r="D321" s="274">
        <v>15.1</v>
      </c>
      <c r="F321" s="274">
        <v>2.6</v>
      </c>
      <c r="G321" s="274">
        <v>10.4</v>
      </c>
      <c r="H321" s="274">
        <v>2.1</v>
      </c>
    </row>
    <row r="322" spans="1:8" ht="14.25" customHeight="1">
      <c r="A322" s="132">
        <v>2011</v>
      </c>
      <c r="B322" s="274">
        <v>6.1</v>
      </c>
      <c r="D322" s="274">
        <v>15.1</v>
      </c>
      <c r="F322" s="274">
        <v>2.5</v>
      </c>
      <c r="G322" s="274">
        <v>10.5</v>
      </c>
      <c r="H322" s="274">
        <v>2.1</v>
      </c>
    </row>
    <row r="323" spans="1:8" ht="14.25" customHeight="1">
      <c r="A323" s="132">
        <v>2012</v>
      </c>
      <c r="B323" s="274">
        <v>6.2</v>
      </c>
      <c r="D323" s="274">
        <v>15.3</v>
      </c>
      <c r="F323" s="274">
        <v>2.6</v>
      </c>
      <c r="G323" s="274">
        <v>10.4</v>
      </c>
      <c r="H323" s="274">
        <v>2.2999999999999998</v>
      </c>
    </row>
    <row r="324" spans="1:8" ht="14.25" customHeight="1">
      <c r="A324" s="132">
        <v>2013</v>
      </c>
      <c r="B324" s="274">
        <v>6.2</v>
      </c>
      <c r="D324" s="274">
        <v>15.3</v>
      </c>
      <c r="F324" s="274">
        <v>2.6</v>
      </c>
      <c r="G324" s="274">
        <v>10.4</v>
      </c>
      <c r="H324" s="274">
        <v>2.2999999999999998</v>
      </c>
    </row>
    <row r="325" spans="1:8" ht="14.25" customHeight="1">
      <c r="A325" s="132">
        <v>2014</v>
      </c>
      <c r="B325" s="274">
        <v>6.4</v>
      </c>
      <c r="D325" s="274">
        <v>15.5</v>
      </c>
      <c r="F325" s="274">
        <v>2.6</v>
      </c>
      <c r="G325" s="274">
        <v>10.4</v>
      </c>
      <c r="H325" s="274">
        <v>2.5</v>
      </c>
    </row>
    <row r="326" spans="1:8" ht="14.25" customHeight="1">
      <c r="A326" s="132">
        <v>2015</v>
      </c>
      <c r="B326" s="274">
        <v>6.3</v>
      </c>
      <c r="D326" s="274">
        <v>15.6</v>
      </c>
      <c r="F326" s="274">
        <v>2.6</v>
      </c>
      <c r="G326" s="274">
        <v>10.5</v>
      </c>
      <c r="H326" s="274">
        <v>2.5</v>
      </c>
    </row>
    <row r="327" spans="1:8" ht="14.25" customHeight="1">
      <c r="A327" s="132">
        <v>2016</v>
      </c>
      <c r="B327" s="274">
        <v>6.3</v>
      </c>
      <c r="D327" s="274">
        <v>15.6</v>
      </c>
      <c r="F327" s="274">
        <v>2.6</v>
      </c>
      <c r="G327" s="274">
        <v>10.5</v>
      </c>
      <c r="H327" s="274">
        <v>2.5</v>
      </c>
    </row>
    <row r="329" spans="1:8" ht="14.25" customHeight="1">
      <c r="B329" s="774" t="s">
        <v>12</v>
      </c>
      <c r="C329" s="774"/>
      <c r="D329" s="774"/>
      <c r="E329" s="774"/>
      <c r="F329" s="774"/>
      <c r="G329" s="774"/>
      <c r="H329" s="774"/>
    </row>
    <row r="330" spans="1:8" ht="14.25" customHeight="1">
      <c r="A330" s="132">
        <v>1979</v>
      </c>
      <c r="B330" s="274">
        <v>3.4</v>
      </c>
      <c r="D330" s="274">
        <v>8.9</v>
      </c>
      <c r="F330" s="274">
        <v>1.4</v>
      </c>
      <c r="G330" s="274">
        <v>6.5</v>
      </c>
      <c r="H330" s="274">
        <v>1</v>
      </c>
    </row>
    <row r="331" spans="1:8" ht="14.25" customHeight="1">
      <c r="A331" s="132">
        <v>1980</v>
      </c>
      <c r="B331" s="274">
        <v>3.5</v>
      </c>
      <c r="D331" s="274">
        <v>9</v>
      </c>
      <c r="F331" s="274">
        <v>1.4</v>
      </c>
      <c r="G331" s="274">
        <v>6.5</v>
      </c>
      <c r="H331" s="274">
        <v>1.1000000000000001</v>
      </c>
    </row>
    <row r="332" spans="1:8" ht="14.25" customHeight="1">
      <c r="A332" s="132">
        <v>1981</v>
      </c>
      <c r="B332" s="274">
        <v>3.7</v>
      </c>
      <c r="D332" s="274">
        <v>9</v>
      </c>
      <c r="F332" s="274">
        <v>1.2</v>
      </c>
      <c r="G332" s="274">
        <v>6.6</v>
      </c>
      <c r="H332" s="274">
        <v>1.2</v>
      </c>
    </row>
    <row r="333" spans="1:8" ht="14.25" customHeight="1">
      <c r="A333" s="132">
        <v>1982</v>
      </c>
      <c r="B333" s="274">
        <v>3.7</v>
      </c>
      <c r="D333" s="274">
        <v>9.1</v>
      </c>
      <c r="F333" s="274">
        <v>1.3</v>
      </c>
      <c r="G333" s="274">
        <v>6.6</v>
      </c>
      <c r="H333" s="274">
        <v>1.3</v>
      </c>
    </row>
    <row r="334" spans="1:8" ht="14.25" customHeight="1">
      <c r="A334" s="132">
        <v>1983</v>
      </c>
      <c r="B334" s="274">
        <v>3.7</v>
      </c>
      <c r="D334" s="274">
        <v>9.1999999999999993</v>
      </c>
      <c r="F334" s="274">
        <v>1.3</v>
      </c>
      <c r="G334" s="274">
        <v>6.7</v>
      </c>
      <c r="H334" s="274">
        <v>1.2</v>
      </c>
    </row>
    <row r="335" spans="1:8" ht="14.25" customHeight="1">
      <c r="A335" s="132">
        <v>1984</v>
      </c>
      <c r="B335" s="274">
        <v>3.7</v>
      </c>
      <c r="D335" s="274">
        <v>9.3000000000000007</v>
      </c>
      <c r="F335" s="274">
        <v>1.4</v>
      </c>
      <c r="G335" s="274">
        <v>6.7</v>
      </c>
      <c r="H335" s="274">
        <v>1.2</v>
      </c>
    </row>
    <row r="336" spans="1:8" ht="14.25" customHeight="1">
      <c r="A336" s="132">
        <v>1985</v>
      </c>
      <c r="B336" s="274">
        <v>3.8</v>
      </c>
      <c r="D336" s="274">
        <v>9.4</v>
      </c>
      <c r="F336" s="274">
        <v>1.3</v>
      </c>
      <c r="G336" s="274">
        <v>6.8</v>
      </c>
      <c r="H336" s="274">
        <v>1.2</v>
      </c>
    </row>
    <row r="337" spans="1:8" ht="14.25" customHeight="1">
      <c r="A337" s="132">
        <v>1986</v>
      </c>
      <c r="B337" s="274">
        <v>3.8</v>
      </c>
      <c r="D337" s="274">
        <v>9.5</v>
      </c>
      <c r="F337" s="274">
        <v>1.4</v>
      </c>
      <c r="G337" s="274">
        <v>6.9</v>
      </c>
      <c r="H337" s="274">
        <v>1.2</v>
      </c>
    </row>
    <row r="338" spans="1:8" ht="14.25" customHeight="1">
      <c r="A338" s="132">
        <v>1987</v>
      </c>
      <c r="B338" s="274">
        <v>3.8</v>
      </c>
      <c r="D338" s="274">
        <v>9.6</v>
      </c>
      <c r="F338" s="274">
        <v>1.4</v>
      </c>
      <c r="G338" s="274">
        <v>7</v>
      </c>
      <c r="H338" s="274">
        <v>1.2</v>
      </c>
    </row>
    <row r="339" spans="1:8" ht="14.25" customHeight="1">
      <c r="A339" s="132">
        <v>1988</v>
      </c>
      <c r="B339" s="274">
        <v>3.9</v>
      </c>
      <c r="D339" s="274">
        <v>9.6999999999999993</v>
      </c>
      <c r="F339" s="274">
        <v>1.4</v>
      </c>
      <c r="G339" s="274">
        <v>7</v>
      </c>
      <c r="H339" s="274">
        <v>1.2</v>
      </c>
    </row>
    <row r="340" spans="1:8" ht="14.25" customHeight="1">
      <c r="A340" s="132">
        <v>1989</v>
      </c>
      <c r="B340" s="274">
        <v>3.9</v>
      </c>
      <c r="D340" s="274">
        <v>9.8000000000000007</v>
      </c>
      <c r="F340" s="274">
        <v>1.5</v>
      </c>
      <c r="G340" s="274">
        <v>7</v>
      </c>
      <c r="H340" s="274">
        <v>1.2</v>
      </c>
    </row>
    <row r="341" spans="1:8" ht="14.25" customHeight="1">
      <c r="A341" s="132">
        <v>1990</v>
      </c>
      <c r="B341" s="274">
        <v>4</v>
      </c>
      <c r="D341" s="274">
        <v>9.9</v>
      </c>
      <c r="F341" s="274">
        <v>1.6</v>
      </c>
      <c r="G341" s="274">
        <v>7.1</v>
      </c>
      <c r="H341" s="274">
        <v>1.2</v>
      </c>
    </row>
    <row r="342" spans="1:8" ht="14.25" customHeight="1">
      <c r="A342" s="132">
        <v>1991</v>
      </c>
      <c r="B342" s="274">
        <v>4.0999999999999996</v>
      </c>
      <c r="D342" s="274">
        <v>10</v>
      </c>
      <c r="F342" s="274">
        <v>1.5</v>
      </c>
      <c r="G342" s="274">
        <v>7.3</v>
      </c>
      <c r="H342" s="274">
        <v>1.2</v>
      </c>
    </row>
    <row r="343" spans="1:8" ht="14.25" customHeight="1">
      <c r="A343" s="132">
        <v>1992</v>
      </c>
      <c r="B343" s="274">
        <v>4.0999999999999996</v>
      </c>
      <c r="D343" s="274">
        <v>10</v>
      </c>
      <c r="F343" s="274">
        <v>1.6</v>
      </c>
      <c r="G343" s="274">
        <v>7.2</v>
      </c>
      <c r="H343" s="274">
        <v>1.2</v>
      </c>
    </row>
    <row r="344" spans="1:8" ht="14.25" customHeight="1">
      <c r="A344" s="132">
        <v>1993</v>
      </c>
      <c r="B344" s="274">
        <v>4.0999999999999996</v>
      </c>
      <c r="D344" s="274">
        <v>10.199999999999999</v>
      </c>
      <c r="F344" s="274">
        <v>1.8</v>
      </c>
      <c r="G344" s="274">
        <v>7.2</v>
      </c>
      <c r="H344" s="274">
        <v>1.2</v>
      </c>
    </row>
    <row r="345" spans="1:8" ht="14.25" customHeight="1">
      <c r="A345" s="132">
        <v>1994</v>
      </c>
      <c r="B345" s="274">
        <v>4.2</v>
      </c>
      <c r="D345" s="274">
        <v>10.3</v>
      </c>
      <c r="F345" s="274">
        <v>1.7</v>
      </c>
      <c r="G345" s="274">
        <v>7.2</v>
      </c>
      <c r="H345" s="274">
        <v>1.3</v>
      </c>
    </row>
    <row r="346" spans="1:8" ht="14.25" customHeight="1">
      <c r="A346" s="132">
        <v>1995</v>
      </c>
      <c r="B346" s="274">
        <v>4.2</v>
      </c>
      <c r="D346" s="274">
        <v>10.3</v>
      </c>
      <c r="F346" s="274">
        <v>1.8</v>
      </c>
      <c r="G346" s="274">
        <v>7.2</v>
      </c>
      <c r="H346" s="274">
        <v>1.3</v>
      </c>
    </row>
    <row r="347" spans="1:8" ht="14.25" customHeight="1">
      <c r="A347" s="132">
        <v>1996</v>
      </c>
      <c r="B347" s="274">
        <v>4.3</v>
      </c>
      <c r="D347" s="274">
        <v>10.5</v>
      </c>
      <c r="F347" s="274">
        <v>1.8</v>
      </c>
      <c r="G347" s="274">
        <v>7.2</v>
      </c>
      <c r="H347" s="274">
        <v>1.4</v>
      </c>
    </row>
    <row r="348" spans="1:8" ht="14.25" customHeight="1">
      <c r="A348" s="132">
        <v>1997</v>
      </c>
      <c r="B348" s="274">
        <v>4.3</v>
      </c>
      <c r="D348" s="274">
        <v>10.6</v>
      </c>
      <c r="F348" s="274">
        <v>1.9</v>
      </c>
      <c r="G348" s="274">
        <v>7.2</v>
      </c>
      <c r="H348" s="274">
        <v>1.5</v>
      </c>
    </row>
    <row r="349" spans="1:8" ht="14.25" customHeight="1">
      <c r="A349" s="132">
        <v>1998</v>
      </c>
      <c r="B349" s="274">
        <v>4.3</v>
      </c>
      <c r="D349" s="274">
        <v>10.7</v>
      </c>
      <c r="F349" s="274">
        <v>2</v>
      </c>
      <c r="G349" s="274">
        <v>7.2</v>
      </c>
      <c r="H349" s="274">
        <v>1.4</v>
      </c>
    </row>
    <row r="350" spans="1:8" ht="14.25" customHeight="1">
      <c r="A350" s="132">
        <v>1999</v>
      </c>
      <c r="B350" s="274">
        <v>4.4000000000000004</v>
      </c>
      <c r="D350" s="274">
        <v>10.8</v>
      </c>
      <c r="F350" s="274">
        <v>2</v>
      </c>
      <c r="G350" s="274">
        <v>7.4</v>
      </c>
      <c r="H350" s="274">
        <v>1.4</v>
      </c>
    </row>
    <row r="351" spans="1:8" ht="14.25" customHeight="1">
      <c r="A351" s="132">
        <v>2000</v>
      </c>
      <c r="B351" s="274">
        <v>4.5999999999999996</v>
      </c>
      <c r="D351" s="274">
        <v>11.1</v>
      </c>
      <c r="F351" s="274">
        <v>2</v>
      </c>
      <c r="G351" s="274">
        <v>7.5</v>
      </c>
      <c r="H351" s="274">
        <v>1.5</v>
      </c>
    </row>
    <row r="352" spans="1:8" ht="14.25" customHeight="1">
      <c r="A352" s="132">
        <v>2001</v>
      </c>
      <c r="B352" s="274">
        <v>4.5999999999999996</v>
      </c>
      <c r="D352" s="274">
        <v>11.1</v>
      </c>
      <c r="F352" s="274">
        <v>2.1</v>
      </c>
      <c r="G352" s="274">
        <v>7.8</v>
      </c>
      <c r="H352" s="274">
        <v>1.3</v>
      </c>
    </row>
    <row r="353" spans="1:8" ht="14.25" customHeight="1">
      <c r="A353" s="132">
        <v>2002</v>
      </c>
      <c r="B353" s="274">
        <v>4.7</v>
      </c>
      <c r="D353" s="274">
        <v>11.3</v>
      </c>
      <c r="F353" s="274">
        <v>2.1</v>
      </c>
      <c r="G353" s="274">
        <v>8</v>
      </c>
      <c r="H353" s="274">
        <v>1.2</v>
      </c>
    </row>
    <row r="354" spans="1:8" ht="14.25" customHeight="1">
      <c r="A354" s="132">
        <v>2003</v>
      </c>
      <c r="B354" s="274">
        <v>4.5999999999999996</v>
      </c>
      <c r="D354" s="274">
        <v>11.4</v>
      </c>
      <c r="F354" s="274">
        <v>2.1</v>
      </c>
      <c r="G354" s="274">
        <v>8</v>
      </c>
      <c r="H354" s="274">
        <v>1.2</v>
      </c>
    </row>
    <row r="355" spans="1:8" ht="14.25" customHeight="1">
      <c r="A355" s="132">
        <v>2004</v>
      </c>
      <c r="B355" s="274">
        <v>4.5999999999999996</v>
      </c>
      <c r="D355" s="274">
        <v>11.5</v>
      </c>
      <c r="F355" s="274">
        <v>2.2000000000000002</v>
      </c>
      <c r="G355" s="274">
        <v>8</v>
      </c>
      <c r="H355" s="274">
        <v>1.3</v>
      </c>
    </row>
    <row r="356" spans="1:8" ht="14.25" customHeight="1">
      <c r="A356" s="132">
        <v>2005</v>
      </c>
      <c r="B356" s="274">
        <v>4.7</v>
      </c>
      <c r="D356" s="274">
        <v>11.6</v>
      </c>
      <c r="F356" s="274">
        <v>2.2999999999999998</v>
      </c>
      <c r="G356" s="274">
        <v>7.9</v>
      </c>
      <c r="H356" s="274">
        <v>1.4</v>
      </c>
    </row>
    <row r="357" spans="1:8" ht="14.25" customHeight="1">
      <c r="A357" s="132">
        <v>2006</v>
      </c>
      <c r="B357" s="274">
        <v>4.8</v>
      </c>
      <c r="D357" s="274">
        <v>11.7</v>
      </c>
      <c r="F357" s="274">
        <v>2.2000000000000002</v>
      </c>
      <c r="G357" s="274">
        <v>8</v>
      </c>
      <c r="H357" s="274">
        <v>1.6</v>
      </c>
    </row>
    <row r="358" spans="1:8" ht="14.25" customHeight="1">
      <c r="A358" s="132">
        <v>2007</v>
      </c>
      <c r="B358" s="274">
        <v>4.8</v>
      </c>
      <c r="D358" s="274">
        <v>11.7</v>
      </c>
      <c r="F358" s="274">
        <v>2.2000000000000002</v>
      </c>
      <c r="G358" s="274">
        <v>7.9</v>
      </c>
      <c r="H358" s="274">
        <v>1.7</v>
      </c>
    </row>
    <row r="359" spans="1:8" ht="14.25" customHeight="1">
      <c r="A359" s="132">
        <v>2008</v>
      </c>
      <c r="B359" s="274">
        <v>4.8</v>
      </c>
      <c r="D359" s="274">
        <v>11.8</v>
      </c>
      <c r="F359" s="274">
        <v>2.2999999999999998</v>
      </c>
      <c r="G359" s="274">
        <v>8</v>
      </c>
      <c r="H359" s="274">
        <v>1.5</v>
      </c>
    </row>
    <row r="360" spans="1:8" ht="14.25" customHeight="1">
      <c r="A360" s="132">
        <v>2009</v>
      </c>
      <c r="B360" s="274">
        <v>4.8</v>
      </c>
      <c r="D360" s="274">
        <v>11.9</v>
      </c>
      <c r="F360" s="274">
        <v>2.2000000000000002</v>
      </c>
      <c r="G360" s="274">
        <v>8.1999999999999993</v>
      </c>
      <c r="H360" s="274">
        <v>1.4</v>
      </c>
    </row>
    <row r="361" spans="1:8" ht="14.25" customHeight="1">
      <c r="A361" s="132">
        <v>2010</v>
      </c>
      <c r="B361" s="274">
        <v>4.8</v>
      </c>
      <c r="D361" s="274">
        <v>12.1</v>
      </c>
      <c r="F361" s="274">
        <v>2.2000000000000002</v>
      </c>
      <c r="G361" s="274">
        <v>8.3000000000000007</v>
      </c>
      <c r="H361" s="274">
        <v>1.5</v>
      </c>
    </row>
    <row r="362" spans="1:8" ht="14.25" customHeight="1">
      <c r="A362" s="132">
        <v>2011</v>
      </c>
      <c r="B362" s="274">
        <v>4.8</v>
      </c>
      <c r="D362" s="274">
        <v>12.1</v>
      </c>
      <c r="F362" s="274">
        <v>2.2000000000000002</v>
      </c>
      <c r="G362" s="274">
        <v>8.1999999999999993</v>
      </c>
      <c r="H362" s="274">
        <v>1.6</v>
      </c>
    </row>
    <row r="363" spans="1:8" ht="14.25" customHeight="1">
      <c r="A363" s="132">
        <v>2012</v>
      </c>
      <c r="B363" s="274">
        <v>4.9000000000000004</v>
      </c>
      <c r="D363" s="274">
        <v>12.2</v>
      </c>
      <c r="F363" s="274">
        <v>2.2999999999999998</v>
      </c>
      <c r="G363" s="274">
        <v>8.1999999999999993</v>
      </c>
      <c r="H363" s="274">
        <v>1.8</v>
      </c>
    </row>
    <row r="364" spans="1:8" ht="14.25" customHeight="1">
      <c r="A364" s="132">
        <v>2013</v>
      </c>
      <c r="B364" s="274">
        <v>4.9000000000000004</v>
      </c>
      <c r="D364" s="274">
        <v>12.2</v>
      </c>
      <c r="F364" s="274">
        <v>2.2999999999999998</v>
      </c>
      <c r="G364" s="274">
        <v>8.1</v>
      </c>
      <c r="H364" s="274">
        <v>1.9</v>
      </c>
    </row>
    <row r="365" spans="1:8" ht="14.25" customHeight="1">
      <c r="A365" s="132">
        <v>2014</v>
      </c>
      <c r="B365" s="274">
        <v>5</v>
      </c>
      <c r="D365" s="274">
        <v>12.4</v>
      </c>
      <c r="F365" s="274">
        <v>2.2999999999999998</v>
      </c>
      <c r="G365" s="274">
        <v>8.1</v>
      </c>
      <c r="H365" s="274">
        <v>2</v>
      </c>
    </row>
    <row r="366" spans="1:8" ht="14.25" customHeight="1">
      <c r="A366" s="132">
        <v>2015</v>
      </c>
      <c r="B366" s="274">
        <v>5</v>
      </c>
      <c r="D366" s="274">
        <v>12.5</v>
      </c>
      <c r="F366" s="274">
        <v>2.4</v>
      </c>
      <c r="G366" s="274">
        <v>8.1</v>
      </c>
      <c r="H366" s="274">
        <v>2</v>
      </c>
    </row>
    <row r="367" spans="1:8" ht="14.25" customHeight="1">
      <c r="A367" s="132">
        <v>2016</v>
      </c>
      <c r="B367" s="274">
        <v>4.9000000000000004</v>
      </c>
      <c r="D367" s="274">
        <v>12.5</v>
      </c>
      <c r="F367" s="274">
        <v>2.4</v>
      </c>
      <c r="G367" s="274">
        <v>8</v>
      </c>
      <c r="H367" s="274">
        <v>2</v>
      </c>
    </row>
    <row r="369" spans="1:8" ht="14.25" customHeight="1">
      <c r="B369" s="774" t="s">
        <v>13</v>
      </c>
      <c r="C369" s="774"/>
      <c r="D369" s="774"/>
      <c r="E369" s="774"/>
      <c r="F369" s="774"/>
      <c r="G369" s="774"/>
      <c r="H369" s="774"/>
    </row>
    <row r="370" spans="1:8" ht="14.25" customHeight="1">
      <c r="A370" s="132">
        <v>1979</v>
      </c>
      <c r="B370" s="274">
        <v>0.9</v>
      </c>
      <c r="D370" s="274">
        <v>2.2000000000000002</v>
      </c>
      <c r="F370" s="274">
        <v>0.4</v>
      </c>
      <c r="G370" s="274">
        <v>1.4</v>
      </c>
      <c r="H370" s="274">
        <v>0.4</v>
      </c>
    </row>
    <row r="371" spans="1:8" ht="14.25" customHeight="1">
      <c r="A371" s="132">
        <v>1980</v>
      </c>
      <c r="B371" s="274">
        <v>0.9</v>
      </c>
      <c r="D371" s="274">
        <v>2.2000000000000002</v>
      </c>
      <c r="F371" s="274">
        <v>0.4</v>
      </c>
      <c r="G371" s="274">
        <v>1.5</v>
      </c>
      <c r="H371" s="274">
        <v>0.4</v>
      </c>
    </row>
    <row r="372" spans="1:8" ht="14.25" customHeight="1">
      <c r="A372" s="132">
        <v>1981</v>
      </c>
      <c r="B372" s="274">
        <v>0.9</v>
      </c>
      <c r="D372" s="274">
        <v>2.2999999999999998</v>
      </c>
      <c r="F372" s="274">
        <v>0.4</v>
      </c>
      <c r="G372" s="274">
        <v>1.4</v>
      </c>
      <c r="H372" s="274">
        <v>0.4</v>
      </c>
    </row>
    <row r="373" spans="1:8" ht="14.25" customHeight="1">
      <c r="A373" s="132">
        <v>1982</v>
      </c>
      <c r="B373" s="274">
        <v>0.9</v>
      </c>
      <c r="D373" s="274">
        <v>2.2999999999999998</v>
      </c>
      <c r="F373" s="274">
        <v>0.4</v>
      </c>
      <c r="G373" s="274">
        <v>1.5</v>
      </c>
      <c r="H373" s="274">
        <v>0.5</v>
      </c>
    </row>
    <row r="374" spans="1:8" ht="14.25" customHeight="1">
      <c r="A374" s="132">
        <v>1983</v>
      </c>
      <c r="B374" s="274">
        <v>0.9</v>
      </c>
      <c r="D374" s="274">
        <v>2.2999999999999998</v>
      </c>
      <c r="F374" s="274">
        <v>0.4</v>
      </c>
      <c r="G374" s="274">
        <v>1.5</v>
      </c>
      <c r="H374" s="274">
        <v>0.4</v>
      </c>
    </row>
    <row r="375" spans="1:8" ht="14.25" customHeight="1">
      <c r="A375" s="132">
        <v>1984</v>
      </c>
      <c r="B375" s="274">
        <v>0.9</v>
      </c>
      <c r="D375" s="274">
        <v>2.2999999999999998</v>
      </c>
      <c r="F375" s="274">
        <v>0.4</v>
      </c>
      <c r="G375" s="274">
        <v>1.4</v>
      </c>
      <c r="H375" s="274">
        <v>0.5</v>
      </c>
    </row>
    <row r="376" spans="1:8" ht="14.25" customHeight="1">
      <c r="A376" s="132">
        <v>1985</v>
      </c>
      <c r="B376" s="274">
        <v>1</v>
      </c>
      <c r="D376" s="274">
        <v>2.2999999999999998</v>
      </c>
      <c r="F376" s="274">
        <v>0.4</v>
      </c>
      <c r="G376" s="274">
        <v>1.5</v>
      </c>
      <c r="H376" s="274">
        <v>0.5</v>
      </c>
    </row>
    <row r="377" spans="1:8" ht="14.25" customHeight="1">
      <c r="A377" s="132">
        <v>1986</v>
      </c>
      <c r="B377" s="274">
        <v>1</v>
      </c>
      <c r="D377" s="274">
        <v>2.4</v>
      </c>
      <c r="F377" s="274">
        <v>0.4</v>
      </c>
      <c r="G377" s="274">
        <v>1.5</v>
      </c>
      <c r="H377" s="274">
        <v>0.5</v>
      </c>
    </row>
    <row r="378" spans="1:8" ht="14.25" customHeight="1">
      <c r="A378" s="132">
        <v>1987</v>
      </c>
      <c r="B378" s="274">
        <v>0.9</v>
      </c>
      <c r="D378" s="274">
        <v>2.4</v>
      </c>
      <c r="F378" s="274">
        <v>0.4</v>
      </c>
      <c r="G378" s="274">
        <v>1.6</v>
      </c>
      <c r="H378" s="274">
        <v>0.4</v>
      </c>
    </row>
    <row r="379" spans="1:8" ht="14.25" customHeight="1">
      <c r="A379" s="132">
        <v>1988</v>
      </c>
      <c r="B379" s="274">
        <v>1</v>
      </c>
      <c r="D379" s="274">
        <v>2.4</v>
      </c>
      <c r="F379" s="274">
        <v>0.4</v>
      </c>
      <c r="G379" s="274">
        <v>1.6</v>
      </c>
      <c r="H379" s="274">
        <v>0.4</v>
      </c>
    </row>
    <row r="380" spans="1:8" ht="14.25" customHeight="1">
      <c r="A380" s="132">
        <v>1989</v>
      </c>
      <c r="B380" s="274">
        <v>1</v>
      </c>
      <c r="D380" s="274">
        <v>2.4</v>
      </c>
      <c r="F380" s="274">
        <v>0.4</v>
      </c>
      <c r="G380" s="274">
        <v>1.6</v>
      </c>
      <c r="H380" s="274">
        <v>0.4</v>
      </c>
    </row>
    <row r="381" spans="1:8" ht="14.25" customHeight="1">
      <c r="A381" s="132">
        <v>1990</v>
      </c>
      <c r="B381" s="274">
        <v>1</v>
      </c>
      <c r="D381" s="274">
        <v>2.5</v>
      </c>
      <c r="F381" s="274">
        <v>0.4</v>
      </c>
      <c r="G381" s="274">
        <v>1.7</v>
      </c>
      <c r="H381" s="274">
        <v>0.4</v>
      </c>
    </row>
    <row r="382" spans="1:8" ht="14.25" customHeight="1">
      <c r="A382" s="132">
        <v>1991</v>
      </c>
      <c r="B382" s="274">
        <v>1</v>
      </c>
      <c r="D382" s="274">
        <v>2.5</v>
      </c>
      <c r="F382" s="274">
        <v>0.5</v>
      </c>
      <c r="G382" s="274">
        <v>1.7</v>
      </c>
      <c r="H382" s="274">
        <v>0.4</v>
      </c>
    </row>
    <row r="383" spans="1:8" ht="14.25" customHeight="1">
      <c r="A383" s="132">
        <v>1992</v>
      </c>
      <c r="B383" s="274">
        <v>1</v>
      </c>
      <c r="D383" s="274">
        <v>2.5</v>
      </c>
      <c r="F383" s="274">
        <v>0.4</v>
      </c>
      <c r="G383" s="274">
        <v>1.7</v>
      </c>
      <c r="H383" s="274">
        <v>0.4</v>
      </c>
    </row>
    <row r="384" spans="1:8" ht="14.25" customHeight="1">
      <c r="A384" s="132">
        <v>1993</v>
      </c>
      <c r="B384" s="274">
        <v>1</v>
      </c>
      <c r="D384" s="274">
        <v>2.6</v>
      </c>
      <c r="F384" s="274">
        <v>0.5</v>
      </c>
      <c r="G384" s="274">
        <v>1.7</v>
      </c>
      <c r="H384" s="274">
        <v>0.4</v>
      </c>
    </row>
    <row r="385" spans="1:8" ht="14.25" customHeight="1">
      <c r="A385" s="132">
        <v>1994</v>
      </c>
      <c r="B385" s="274">
        <v>1</v>
      </c>
      <c r="D385" s="274">
        <v>2.6</v>
      </c>
      <c r="F385" s="274">
        <v>0.5</v>
      </c>
      <c r="G385" s="274">
        <v>1.7</v>
      </c>
      <c r="H385" s="274">
        <v>0.4</v>
      </c>
    </row>
    <row r="386" spans="1:8" ht="14.25" customHeight="1">
      <c r="A386" s="132">
        <v>1995</v>
      </c>
      <c r="B386" s="274">
        <v>1</v>
      </c>
      <c r="D386" s="274">
        <v>2.6</v>
      </c>
      <c r="F386" s="274">
        <v>0.6</v>
      </c>
      <c r="G386" s="274">
        <v>1.6</v>
      </c>
      <c r="H386" s="274">
        <v>0.4</v>
      </c>
    </row>
    <row r="387" spans="1:8" ht="14.25" customHeight="1">
      <c r="A387" s="132">
        <v>1996</v>
      </c>
      <c r="B387" s="274">
        <v>1.1000000000000001</v>
      </c>
      <c r="D387" s="274">
        <v>2.6</v>
      </c>
      <c r="F387" s="274">
        <v>0.5</v>
      </c>
      <c r="G387" s="274">
        <v>1.7</v>
      </c>
      <c r="H387" s="274">
        <v>0.4</v>
      </c>
    </row>
    <row r="388" spans="1:8" ht="14.25" customHeight="1">
      <c r="A388" s="132">
        <v>1997</v>
      </c>
      <c r="B388" s="274">
        <v>1</v>
      </c>
      <c r="D388" s="274">
        <v>2.6</v>
      </c>
      <c r="F388" s="274">
        <v>0.5</v>
      </c>
      <c r="G388" s="274">
        <v>1.7</v>
      </c>
      <c r="H388" s="274">
        <v>0.4</v>
      </c>
    </row>
    <row r="389" spans="1:8" ht="14.25" customHeight="1">
      <c r="A389" s="132">
        <v>1998</v>
      </c>
      <c r="B389" s="274">
        <v>1</v>
      </c>
      <c r="D389" s="274">
        <v>2.7</v>
      </c>
      <c r="F389" s="274">
        <v>0.5</v>
      </c>
      <c r="G389" s="274">
        <v>1.7</v>
      </c>
      <c r="H389" s="274">
        <v>0.4</v>
      </c>
    </row>
    <row r="390" spans="1:8" ht="14.25" customHeight="1">
      <c r="A390" s="132">
        <v>1999</v>
      </c>
      <c r="B390" s="274">
        <v>1.1000000000000001</v>
      </c>
      <c r="D390" s="274">
        <v>2.7</v>
      </c>
      <c r="F390" s="274">
        <v>0.6</v>
      </c>
      <c r="G390" s="274">
        <v>1.7</v>
      </c>
      <c r="H390" s="274">
        <v>0.4</v>
      </c>
    </row>
    <row r="391" spans="1:8" ht="14.25" customHeight="1">
      <c r="A391" s="132">
        <v>2000</v>
      </c>
      <c r="B391" s="274">
        <v>1.1000000000000001</v>
      </c>
      <c r="D391" s="274">
        <v>2.8</v>
      </c>
      <c r="F391" s="274">
        <v>0.6</v>
      </c>
      <c r="G391" s="274">
        <v>1.8</v>
      </c>
      <c r="H391" s="274">
        <v>0.4</v>
      </c>
    </row>
    <row r="392" spans="1:8" ht="14.25" customHeight="1">
      <c r="A392" s="132">
        <v>2001</v>
      </c>
      <c r="B392" s="274">
        <v>1.1000000000000001</v>
      </c>
      <c r="D392" s="274">
        <v>2.8</v>
      </c>
      <c r="F392" s="274">
        <v>0.6</v>
      </c>
      <c r="G392" s="274">
        <v>1.8</v>
      </c>
      <c r="H392" s="274">
        <v>0.4</v>
      </c>
    </row>
    <row r="393" spans="1:8" ht="14.25" customHeight="1">
      <c r="A393" s="132">
        <v>2002</v>
      </c>
      <c r="B393" s="274">
        <v>1.1000000000000001</v>
      </c>
      <c r="D393" s="274">
        <v>2.8</v>
      </c>
      <c r="F393" s="274">
        <v>0.6</v>
      </c>
      <c r="G393" s="274">
        <v>1.8</v>
      </c>
      <c r="H393" s="274">
        <v>0.4</v>
      </c>
    </row>
    <row r="394" spans="1:8" ht="14.25" customHeight="1">
      <c r="A394" s="132">
        <v>2003</v>
      </c>
      <c r="B394" s="274">
        <v>1.1000000000000001</v>
      </c>
      <c r="D394" s="274">
        <v>2.8</v>
      </c>
      <c r="F394" s="274">
        <v>0.6</v>
      </c>
      <c r="G394" s="274">
        <v>1.8</v>
      </c>
      <c r="H394" s="274">
        <v>0.4</v>
      </c>
    </row>
    <row r="395" spans="1:8" ht="14.25" customHeight="1">
      <c r="A395" s="132">
        <v>2004</v>
      </c>
      <c r="B395" s="274">
        <v>1.1000000000000001</v>
      </c>
      <c r="D395" s="274">
        <v>2.9</v>
      </c>
      <c r="F395" s="274">
        <v>0.6</v>
      </c>
      <c r="G395" s="274">
        <v>1.8</v>
      </c>
      <c r="H395" s="274">
        <v>0.4</v>
      </c>
    </row>
    <row r="396" spans="1:8" ht="14.25" customHeight="1">
      <c r="A396" s="132">
        <v>2005</v>
      </c>
      <c r="B396" s="274">
        <v>1.1000000000000001</v>
      </c>
      <c r="D396" s="274">
        <v>2.9</v>
      </c>
      <c r="F396" s="274">
        <v>0.6</v>
      </c>
      <c r="G396" s="274">
        <v>1.8</v>
      </c>
      <c r="H396" s="274">
        <v>0.4</v>
      </c>
    </row>
    <row r="397" spans="1:8" ht="14.25" customHeight="1">
      <c r="A397" s="132">
        <v>2006</v>
      </c>
      <c r="B397" s="274">
        <v>1.1000000000000001</v>
      </c>
      <c r="D397" s="274">
        <v>2.9</v>
      </c>
      <c r="F397" s="274">
        <v>0.7</v>
      </c>
      <c r="G397" s="274">
        <v>1.8</v>
      </c>
      <c r="H397" s="274">
        <v>0.4</v>
      </c>
    </row>
    <row r="398" spans="1:8" ht="14.25" customHeight="1">
      <c r="A398" s="132">
        <v>2007</v>
      </c>
      <c r="B398" s="274">
        <v>1.2</v>
      </c>
      <c r="D398" s="274">
        <v>2.9</v>
      </c>
      <c r="F398" s="274">
        <v>0.7</v>
      </c>
      <c r="G398" s="274">
        <v>1.8</v>
      </c>
      <c r="H398" s="274">
        <v>0.5</v>
      </c>
    </row>
    <row r="399" spans="1:8" ht="14.25" customHeight="1">
      <c r="A399" s="132">
        <v>2008</v>
      </c>
      <c r="B399" s="274">
        <v>1.1000000000000001</v>
      </c>
      <c r="D399" s="274">
        <v>3</v>
      </c>
      <c r="F399" s="274">
        <v>0.7</v>
      </c>
      <c r="G399" s="274">
        <v>1.8</v>
      </c>
      <c r="H399" s="274">
        <v>0.4</v>
      </c>
    </row>
    <row r="400" spans="1:8" ht="14.25" customHeight="1">
      <c r="A400" s="132">
        <v>2009</v>
      </c>
      <c r="B400" s="274">
        <v>1.1000000000000001</v>
      </c>
      <c r="D400" s="274">
        <v>3</v>
      </c>
      <c r="F400" s="274">
        <v>0.7</v>
      </c>
      <c r="G400" s="274">
        <v>1.9</v>
      </c>
      <c r="H400" s="274">
        <v>0.4</v>
      </c>
    </row>
    <row r="401" spans="1:8" ht="14.25" customHeight="1">
      <c r="A401" s="132">
        <v>2010</v>
      </c>
      <c r="B401" s="274">
        <v>1.2</v>
      </c>
      <c r="D401" s="274">
        <v>3</v>
      </c>
      <c r="F401" s="274">
        <v>0.7</v>
      </c>
      <c r="G401" s="274">
        <v>1.9</v>
      </c>
      <c r="H401" s="274">
        <v>0.4</v>
      </c>
    </row>
    <row r="402" spans="1:8" ht="14.25" customHeight="1">
      <c r="A402" s="132">
        <v>2011</v>
      </c>
      <c r="B402" s="274">
        <v>1.1000000000000001</v>
      </c>
      <c r="D402" s="274">
        <v>3</v>
      </c>
      <c r="F402" s="274">
        <v>0.7</v>
      </c>
      <c r="G402" s="274">
        <v>1.9</v>
      </c>
      <c r="H402" s="274">
        <v>0.4</v>
      </c>
    </row>
    <row r="403" spans="1:8" ht="14.25" customHeight="1">
      <c r="A403" s="132">
        <v>2012</v>
      </c>
      <c r="B403" s="274">
        <v>1.2</v>
      </c>
      <c r="D403" s="274">
        <v>3.1</v>
      </c>
      <c r="F403" s="274">
        <v>0.7</v>
      </c>
      <c r="G403" s="274">
        <v>1.8</v>
      </c>
      <c r="H403" s="274">
        <v>0.5</v>
      </c>
    </row>
    <row r="404" spans="1:8" ht="14.25" customHeight="1">
      <c r="A404" s="132">
        <v>2013</v>
      </c>
      <c r="B404" s="274">
        <v>1.2</v>
      </c>
      <c r="D404" s="274">
        <v>3.1</v>
      </c>
      <c r="F404" s="274">
        <v>0.7</v>
      </c>
      <c r="G404" s="274">
        <v>1.9</v>
      </c>
      <c r="H404" s="274">
        <v>0.5</v>
      </c>
    </row>
    <row r="405" spans="1:8" ht="14.25" customHeight="1">
      <c r="A405" s="132">
        <v>2014</v>
      </c>
      <c r="B405" s="274">
        <v>1.2</v>
      </c>
      <c r="D405" s="274">
        <v>3.1</v>
      </c>
      <c r="F405" s="274">
        <v>0.7</v>
      </c>
      <c r="G405" s="274">
        <v>1.9</v>
      </c>
      <c r="H405" s="274">
        <v>0.5</v>
      </c>
    </row>
    <row r="406" spans="1:8" ht="14.25" customHeight="1">
      <c r="A406" s="132">
        <v>2015</v>
      </c>
      <c r="B406" s="274">
        <v>1.2</v>
      </c>
      <c r="D406" s="274">
        <v>3.1</v>
      </c>
      <c r="F406" s="274">
        <v>0.7</v>
      </c>
      <c r="G406" s="274">
        <v>1.9</v>
      </c>
      <c r="H406" s="274">
        <v>0.6</v>
      </c>
    </row>
    <row r="407" spans="1:8" ht="14.25" customHeight="1">
      <c r="A407" s="132">
        <v>2016</v>
      </c>
      <c r="B407" s="274">
        <v>1.2</v>
      </c>
      <c r="D407" s="274">
        <v>3.1</v>
      </c>
      <c r="F407" s="274">
        <v>0.7</v>
      </c>
      <c r="G407" s="274">
        <v>1.9</v>
      </c>
      <c r="H407" s="274">
        <v>0.5</v>
      </c>
    </row>
    <row r="408" spans="1:8" ht="14.25" customHeight="1">
      <c r="A408" s="134"/>
      <c r="B408" s="134"/>
      <c r="C408" s="134"/>
      <c r="D408" s="134"/>
      <c r="E408" s="134"/>
      <c r="F408" s="134"/>
      <c r="G408" s="134"/>
      <c r="H408" s="134"/>
    </row>
    <row r="409" spans="1:8" ht="14.25" customHeight="1">
      <c r="A409" s="135" t="s">
        <v>14</v>
      </c>
    </row>
    <row r="411" spans="1:8" ht="14.25" customHeight="1">
      <c r="A411" s="134"/>
      <c r="B411" s="134"/>
      <c r="C411" s="134"/>
      <c r="D411" s="134"/>
      <c r="E411" s="134"/>
      <c r="F411" s="134"/>
      <c r="G411" s="134"/>
      <c r="H411" s="134"/>
    </row>
    <row r="413" spans="1:8" ht="14.25" customHeight="1">
      <c r="A413" s="772" t="s">
        <v>2</v>
      </c>
      <c r="B413" s="772"/>
      <c r="C413" s="772"/>
    </row>
  </sheetData>
  <mergeCells count="13">
    <mergeCell ref="B369:H369"/>
    <mergeCell ref="A413:C413"/>
    <mergeCell ref="B129:H129"/>
    <mergeCell ref="B169:H169"/>
    <mergeCell ref="B209:H209"/>
    <mergeCell ref="B249:H249"/>
    <mergeCell ref="B289:H289"/>
    <mergeCell ref="B329:H329"/>
    <mergeCell ref="B89:H89"/>
    <mergeCell ref="A1:K1"/>
    <mergeCell ref="A2:D2"/>
    <mergeCell ref="B9:H9"/>
    <mergeCell ref="B49:H49"/>
  </mergeCells>
  <hyperlinks>
    <hyperlink ref="A2" r:id="rId1" xr:uid="{20EB03D2-699E-4025-9C34-BB655C7306E6}"/>
    <hyperlink ref="A413" location="'Contents and Notes'!A1" display="Return to Contents and Notes" xr:uid="{C198ADCB-64EB-4E3F-A64F-40D3A6A48422}"/>
    <hyperlink ref="L1" location="Index!A1" display="index" xr:uid="{2C47FF77-6F0A-4CD5-9226-153F1FA7573F}"/>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DFE43-41B0-4C44-9493-CD6701453BED}">
  <sheetPr codeName="Sheet24">
    <tabColor theme="4" tint="0.79998168889431442"/>
  </sheetPr>
  <dimension ref="A1:X413"/>
  <sheetViews>
    <sheetView zoomScale="85" zoomScaleNormal="85" workbookViewId="0">
      <selection activeCell="L1" sqref="L1"/>
    </sheetView>
  </sheetViews>
  <sheetFormatPr defaultRowHeight="15"/>
  <cols>
    <col min="2" max="2" width="15.140625" customWidth="1"/>
    <col min="6" max="6" width="22.140625" customWidth="1"/>
    <col min="7" max="7" width="15.5703125" customWidth="1"/>
    <col min="8" max="8" width="18.28515625" customWidth="1"/>
    <col min="9" max="9" width="16.7109375" customWidth="1"/>
    <col min="10" max="10" width="16.140625" customWidth="1"/>
    <col min="11" max="11" width="11.85546875" customWidth="1"/>
    <col min="13" max="13" width="11" customWidth="1"/>
    <col min="15" max="15" width="11" customWidth="1"/>
    <col min="17" max="17" width="13.7109375" customWidth="1"/>
    <col min="19" max="19" width="5" customWidth="1"/>
    <col min="20" max="20" width="11.7109375" customWidth="1"/>
    <col min="23" max="23" width="18" customWidth="1"/>
    <col min="24" max="24" width="17.42578125" customWidth="1"/>
  </cols>
  <sheetData>
    <row r="1" spans="1:24">
      <c r="A1" s="770" t="s">
        <v>0</v>
      </c>
      <c r="B1" s="771"/>
      <c r="C1" s="771"/>
      <c r="D1" s="771"/>
      <c r="E1" s="771"/>
      <c r="F1" s="771"/>
      <c r="G1" s="771"/>
      <c r="H1" s="771"/>
      <c r="I1" s="771"/>
      <c r="J1" s="771"/>
      <c r="K1" s="771"/>
      <c r="L1" s="641" t="s">
        <v>762</v>
      </c>
      <c r="M1" s="131"/>
      <c r="N1" s="131"/>
      <c r="O1" s="131"/>
      <c r="P1" s="131"/>
      <c r="Q1" s="131"/>
      <c r="R1" s="131"/>
      <c r="S1" s="131"/>
      <c r="T1" s="131"/>
      <c r="U1" s="131"/>
      <c r="V1" s="131"/>
      <c r="W1" s="131"/>
      <c r="X1" s="131"/>
    </row>
    <row r="2" spans="1:24">
      <c r="A2" s="772" t="s">
        <v>1</v>
      </c>
      <c r="B2" s="777"/>
      <c r="C2" s="776"/>
      <c r="D2" s="777"/>
      <c r="E2" s="131"/>
      <c r="F2" s="131"/>
      <c r="G2" s="131"/>
      <c r="H2" s="131"/>
      <c r="I2" s="131"/>
      <c r="J2" s="131"/>
      <c r="K2" s="131"/>
      <c r="L2" s="131"/>
      <c r="M2" s="131"/>
      <c r="N2" s="131"/>
      <c r="O2" s="131"/>
      <c r="P2" s="131"/>
      <c r="Q2" s="131"/>
      <c r="R2" s="131"/>
      <c r="S2" s="131"/>
      <c r="T2" s="131"/>
      <c r="U2" s="131"/>
      <c r="V2" s="131"/>
      <c r="W2" s="131"/>
      <c r="X2" s="131"/>
    </row>
    <row r="4" spans="1:24">
      <c r="A4" s="133" t="s">
        <v>163</v>
      </c>
      <c r="B4" s="131"/>
      <c r="C4" s="131"/>
      <c r="D4" s="131"/>
      <c r="E4" s="131"/>
      <c r="F4" s="131"/>
      <c r="G4" s="131"/>
      <c r="H4" s="131"/>
      <c r="I4" s="131"/>
      <c r="J4" s="131"/>
      <c r="K4" s="131"/>
      <c r="L4" s="131"/>
      <c r="M4" s="131"/>
      <c r="N4" s="131"/>
      <c r="O4" s="131"/>
      <c r="P4" s="131"/>
      <c r="Q4" s="131"/>
      <c r="R4" s="131"/>
      <c r="S4" s="131"/>
      <c r="T4" s="131"/>
      <c r="U4" s="131"/>
      <c r="V4" s="131"/>
      <c r="W4" s="131"/>
      <c r="X4" s="131"/>
    </row>
    <row r="5" spans="1:24">
      <c r="A5" s="133" t="s">
        <v>164</v>
      </c>
      <c r="B5" s="131"/>
      <c r="C5" s="131"/>
      <c r="D5" s="131"/>
      <c r="E5" s="131"/>
      <c r="F5" s="131"/>
      <c r="G5" s="131"/>
      <c r="H5" s="131"/>
      <c r="I5" s="131"/>
      <c r="J5" s="131"/>
      <c r="K5" s="131"/>
      <c r="L5" s="131"/>
      <c r="M5" s="131"/>
      <c r="N5" s="131"/>
      <c r="O5" s="131"/>
      <c r="P5" s="131"/>
      <c r="Q5" s="131"/>
      <c r="R5" s="131"/>
      <c r="S5" s="131"/>
      <c r="T5" s="131"/>
      <c r="U5" s="131"/>
      <c r="V5" s="131"/>
      <c r="W5" s="131"/>
      <c r="X5" s="131"/>
    </row>
    <row r="6" spans="1:24">
      <c r="A6" s="135" t="s">
        <v>165</v>
      </c>
      <c r="B6" s="131"/>
      <c r="C6" s="131"/>
      <c r="D6" s="131"/>
      <c r="E6" s="131"/>
      <c r="F6" s="131"/>
      <c r="G6" s="131"/>
      <c r="H6" s="131"/>
      <c r="I6" s="131"/>
      <c r="J6" s="131"/>
      <c r="K6" s="131"/>
      <c r="L6" s="131"/>
      <c r="M6" s="131"/>
      <c r="N6" s="131"/>
      <c r="O6" s="131"/>
      <c r="P6" s="131"/>
      <c r="Q6" s="131"/>
      <c r="R6" s="131"/>
      <c r="S6" s="131"/>
      <c r="T6" s="131"/>
      <c r="U6" s="131"/>
      <c r="V6" s="131"/>
      <c r="W6" s="131"/>
      <c r="X6" s="131"/>
    </row>
    <row r="8" spans="1:24" ht="63" customHeight="1">
      <c r="A8" s="136" t="s">
        <v>3</v>
      </c>
      <c r="B8" s="136" t="s">
        <v>166</v>
      </c>
      <c r="C8" s="136"/>
      <c r="D8" s="136" t="s">
        <v>167</v>
      </c>
      <c r="E8" s="136" t="s">
        <v>168</v>
      </c>
      <c r="F8" s="136" t="s">
        <v>169</v>
      </c>
      <c r="G8" s="136" t="s">
        <v>170</v>
      </c>
      <c r="H8" s="136" t="s">
        <v>171</v>
      </c>
      <c r="I8" s="136" t="s">
        <v>172</v>
      </c>
      <c r="J8" s="136" t="s">
        <v>173</v>
      </c>
      <c r="K8" s="136" t="s">
        <v>174</v>
      </c>
      <c r="L8" s="136" t="s">
        <v>175</v>
      </c>
      <c r="M8" s="136" t="s">
        <v>176</v>
      </c>
      <c r="N8" s="136" t="s">
        <v>177</v>
      </c>
      <c r="O8" s="136" t="s">
        <v>178</v>
      </c>
      <c r="P8" s="136" t="s">
        <v>179</v>
      </c>
      <c r="Q8" s="136" t="s">
        <v>180</v>
      </c>
      <c r="R8" s="136" t="s">
        <v>181</v>
      </c>
      <c r="S8" s="136"/>
      <c r="T8" s="136" t="s">
        <v>182</v>
      </c>
      <c r="U8" s="136" t="s">
        <v>183</v>
      </c>
      <c r="V8" s="136" t="s">
        <v>184</v>
      </c>
      <c r="W8" s="136" t="s">
        <v>185</v>
      </c>
      <c r="X8" s="136" t="s">
        <v>186</v>
      </c>
    </row>
    <row r="9" spans="1:24">
      <c r="A9" s="131"/>
      <c r="B9" s="774" t="s">
        <v>4</v>
      </c>
      <c r="C9" s="774"/>
      <c r="D9" s="774"/>
      <c r="E9" s="774"/>
      <c r="F9" s="774"/>
      <c r="G9" s="774"/>
      <c r="H9" s="774"/>
      <c r="I9" s="774"/>
      <c r="J9" s="774"/>
      <c r="K9" s="774"/>
      <c r="L9" s="774"/>
      <c r="M9" s="774"/>
      <c r="N9" s="774"/>
      <c r="O9" s="774"/>
      <c r="P9" s="774"/>
      <c r="Q9" s="774"/>
      <c r="R9" s="774"/>
      <c r="S9" s="774"/>
      <c r="T9" s="774"/>
      <c r="U9" s="774"/>
      <c r="V9" s="774"/>
      <c r="W9" s="774"/>
      <c r="X9" s="774"/>
    </row>
    <row r="10" spans="1:24">
      <c r="A10" s="132">
        <v>1979</v>
      </c>
      <c r="B10" s="137">
        <v>66000</v>
      </c>
      <c r="C10" s="131"/>
      <c r="D10" s="137">
        <v>61400</v>
      </c>
      <c r="E10" s="137">
        <v>42600</v>
      </c>
      <c r="F10" s="137">
        <v>0</v>
      </c>
      <c r="G10" s="137">
        <v>1900</v>
      </c>
      <c r="H10" s="137">
        <v>2100</v>
      </c>
      <c r="I10" s="137">
        <v>100</v>
      </c>
      <c r="J10" s="137">
        <v>600</v>
      </c>
      <c r="K10" s="137">
        <v>3000</v>
      </c>
      <c r="L10" s="137">
        <v>2400</v>
      </c>
      <c r="M10" s="137">
        <v>200</v>
      </c>
      <c r="N10" s="137">
        <v>2600</v>
      </c>
      <c r="O10" s="137">
        <v>1200</v>
      </c>
      <c r="P10" s="137">
        <v>500</v>
      </c>
      <c r="Q10" s="137">
        <v>1700</v>
      </c>
      <c r="R10" s="137">
        <v>2400</v>
      </c>
      <c r="S10" s="131"/>
      <c r="T10" s="137">
        <v>4600</v>
      </c>
      <c r="U10" s="137">
        <v>3300</v>
      </c>
      <c r="V10" s="137">
        <v>900</v>
      </c>
      <c r="W10" s="137">
        <v>300</v>
      </c>
      <c r="X10" s="137">
        <v>100</v>
      </c>
    </row>
    <row r="11" spans="1:24">
      <c r="A11" s="132">
        <v>1980</v>
      </c>
      <c r="B11" s="137">
        <v>64100</v>
      </c>
      <c r="C11" s="131"/>
      <c r="D11" s="137">
        <v>59100</v>
      </c>
      <c r="E11" s="137">
        <v>41400</v>
      </c>
      <c r="F11" s="137">
        <v>0</v>
      </c>
      <c r="G11" s="137">
        <v>1600</v>
      </c>
      <c r="H11" s="137">
        <v>2100</v>
      </c>
      <c r="I11" s="137">
        <v>100</v>
      </c>
      <c r="J11" s="137">
        <v>400</v>
      </c>
      <c r="K11" s="137">
        <v>2400</v>
      </c>
      <c r="L11" s="137">
        <v>2200</v>
      </c>
      <c r="M11" s="137">
        <v>200</v>
      </c>
      <c r="N11" s="137">
        <v>3200</v>
      </c>
      <c r="O11" s="137">
        <v>1200</v>
      </c>
      <c r="P11" s="137">
        <v>600</v>
      </c>
      <c r="Q11" s="137">
        <v>1300</v>
      </c>
      <c r="R11" s="137">
        <v>2400</v>
      </c>
      <c r="S11" s="131"/>
      <c r="T11" s="137">
        <v>4900</v>
      </c>
      <c r="U11" s="137">
        <v>3400</v>
      </c>
      <c r="V11" s="137">
        <v>1000</v>
      </c>
      <c r="W11" s="137">
        <v>400</v>
      </c>
      <c r="X11" s="137">
        <v>100</v>
      </c>
    </row>
    <row r="12" spans="1:24">
      <c r="A12" s="132">
        <v>1981</v>
      </c>
      <c r="B12" s="137">
        <v>64300</v>
      </c>
      <c r="C12" s="131"/>
      <c r="D12" s="137">
        <v>59100</v>
      </c>
      <c r="E12" s="137">
        <v>41200</v>
      </c>
      <c r="F12" s="137">
        <v>0</v>
      </c>
      <c r="G12" s="137">
        <v>1600</v>
      </c>
      <c r="H12" s="137">
        <v>2300</v>
      </c>
      <c r="I12" s="137">
        <v>100</v>
      </c>
      <c r="J12" s="137">
        <v>400</v>
      </c>
      <c r="K12" s="137">
        <v>1900</v>
      </c>
      <c r="L12" s="137">
        <v>2100</v>
      </c>
      <c r="M12" s="137">
        <v>200</v>
      </c>
      <c r="N12" s="137">
        <v>4000</v>
      </c>
      <c r="O12" s="137">
        <v>1300</v>
      </c>
      <c r="P12" s="137">
        <v>600</v>
      </c>
      <c r="Q12" s="137">
        <v>1100</v>
      </c>
      <c r="R12" s="137">
        <v>2400</v>
      </c>
      <c r="S12" s="131"/>
      <c r="T12" s="137">
        <v>5200</v>
      </c>
      <c r="U12" s="137">
        <v>3600</v>
      </c>
      <c r="V12" s="137">
        <v>1100</v>
      </c>
      <c r="W12" s="137">
        <v>300</v>
      </c>
      <c r="X12" s="137">
        <v>100</v>
      </c>
    </row>
    <row r="13" spans="1:24">
      <c r="A13" s="132">
        <v>1982</v>
      </c>
      <c r="B13" s="137">
        <v>64400</v>
      </c>
      <c r="C13" s="131"/>
      <c r="D13" s="137">
        <v>58700</v>
      </c>
      <c r="E13" s="137">
        <v>40900</v>
      </c>
      <c r="F13" s="137">
        <v>0</v>
      </c>
      <c r="G13" s="137">
        <v>1800</v>
      </c>
      <c r="H13" s="137">
        <v>2300</v>
      </c>
      <c r="I13" s="137">
        <v>100</v>
      </c>
      <c r="J13" s="137">
        <v>200</v>
      </c>
      <c r="K13" s="137">
        <v>1700</v>
      </c>
      <c r="L13" s="137">
        <v>2200</v>
      </c>
      <c r="M13" s="137">
        <v>200</v>
      </c>
      <c r="N13" s="137">
        <v>4200</v>
      </c>
      <c r="O13" s="137">
        <v>1400</v>
      </c>
      <c r="P13" s="137">
        <v>600</v>
      </c>
      <c r="Q13" s="137">
        <v>700</v>
      </c>
      <c r="R13" s="137">
        <v>2400</v>
      </c>
      <c r="S13" s="131"/>
      <c r="T13" s="137">
        <v>5700</v>
      </c>
      <c r="U13" s="137">
        <v>3800</v>
      </c>
      <c r="V13" s="137">
        <v>1200</v>
      </c>
      <c r="W13" s="137">
        <v>500</v>
      </c>
      <c r="X13" s="137">
        <v>200</v>
      </c>
    </row>
    <row r="14" spans="1:24">
      <c r="A14" s="132">
        <v>1983</v>
      </c>
      <c r="B14" s="137">
        <v>65100</v>
      </c>
      <c r="C14" s="131"/>
      <c r="D14" s="137">
        <v>59300</v>
      </c>
      <c r="E14" s="137">
        <v>40500</v>
      </c>
      <c r="F14" s="137">
        <v>0</v>
      </c>
      <c r="G14" s="137">
        <v>1900</v>
      </c>
      <c r="H14" s="137">
        <v>2300</v>
      </c>
      <c r="I14" s="137">
        <v>100</v>
      </c>
      <c r="J14" s="137">
        <v>300</v>
      </c>
      <c r="K14" s="137">
        <v>2000</v>
      </c>
      <c r="L14" s="137">
        <v>2900</v>
      </c>
      <c r="M14" s="137">
        <v>300</v>
      </c>
      <c r="N14" s="137">
        <v>3800</v>
      </c>
      <c r="O14" s="137">
        <v>1200</v>
      </c>
      <c r="P14" s="137">
        <v>600</v>
      </c>
      <c r="Q14" s="137">
        <v>900</v>
      </c>
      <c r="R14" s="137">
        <v>2500</v>
      </c>
      <c r="S14" s="131"/>
      <c r="T14" s="137">
        <v>5800</v>
      </c>
      <c r="U14" s="137">
        <v>3800</v>
      </c>
      <c r="V14" s="137">
        <v>1300</v>
      </c>
      <c r="W14" s="137">
        <v>500</v>
      </c>
      <c r="X14" s="137">
        <v>200</v>
      </c>
    </row>
    <row r="15" spans="1:24">
      <c r="A15" s="132">
        <v>1984</v>
      </c>
      <c r="B15" s="137">
        <v>68700</v>
      </c>
      <c r="C15" s="131"/>
      <c r="D15" s="137">
        <v>63100</v>
      </c>
      <c r="E15" s="137">
        <v>42200</v>
      </c>
      <c r="F15" s="137">
        <v>200</v>
      </c>
      <c r="G15" s="137">
        <v>1800</v>
      </c>
      <c r="H15" s="137">
        <v>2500</v>
      </c>
      <c r="I15" s="137">
        <v>100</v>
      </c>
      <c r="J15" s="137">
        <v>300</v>
      </c>
      <c r="K15" s="137">
        <v>2700</v>
      </c>
      <c r="L15" s="137">
        <v>3100</v>
      </c>
      <c r="M15" s="137">
        <v>400</v>
      </c>
      <c r="N15" s="137">
        <v>4200</v>
      </c>
      <c r="O15" s="137">
        <v>1200</v>
      </c>
      <c r="P15" s="137">
        <v>600</v>
      </c>
      <c r="Q15" s="137">
        <v>1000</v>
      </c>
      <c r="R15" s="137">
        <v>2700</v>
      </c>
      <c r="S15" s="131"/>
      <c r="T15" s="137">
        <v>5600</v>
      </c>
      <c r="U15" s="137">
        <v>3800</v>
      </c>
      <c r="V15" s="137">
        <v>1300</v>
      </c>
      <c r="W15" s="137">
        <v>300</v>
      </c>
      <c r="X15" s="137">
        <v>200</v>
      </c>
    </row>
    <row r="16" spans="1:24">
      <c r="A16" s="132">
        <v>1985</v>
      </c>
      <c r="B16" s="137">
        <v>69800</v>
      </c>
      <c r="C16" s="131"/>
      <c r="D16" s="137">
        <v>64100</v>
      </c>
      <c r="E16" s="137">
        <v>42700</v>
      </c>
      <c r="F16" s="137">
        <v>300</v>
      </c>
      <c r="G16" s="137">
        <v>1900</v>
      </c>
      <c r="H16" s="137">
        <v>2600</v>
      </c>
      <c r="I16" s="137">
        <v>100</v>
      </c>
      <c r="J16" s="137">
        <v>300</v>
      </c>
      <c r="K16" s="137">
        <v>2300</v>
      </c>
      <c r="L16" s="137">
        <v>3700</v>
      </c>
      <c r="M16" s="137">
        <v>400</v>
      </c>
      <c r="N16" s="137">
        <v>4100</v>
      </c>
      <c r="O16" s="137">
        <v>1300</v>
      </c>
      <c r="P16" s="137">
        <v>600</v>
      </c>
      <c r="Q16" s="137">
        <v>1000</v>
      </c>
      <c r="R16" s="137">
        <v>2800</v>
      </c>
      <c r="S16" s="131"/>
      <c r="T16" s="137">
        <v>5700</v>
      </c>
      <c r="U16" s="137">
        <v>3800</v>
      </c>
      <c r="V16" s="137">
        <v>1400</v>
      </c>
      <c r="W16" s="137">
        <v>300</v>
      </c>
      <c r="X16" s="137">
        <v>200</v>
      </c>
    </row>
    <row r="17" spans="1:24">
      <c r="A17" s="132">
        <v>1986</v>
      </c>
      <c r="B17" s="137">
        <v>74500</v>
      </c>
      <c r="C17" s="131"/>
      <c r="D17" s="137">
        <v>68700</v>
      </c>
      <c r="E17" s="137">
        <v>43600</v>
      </c>
      <c r="F17" s="137">
        <v>400</v>
      </c>
      <c r="G17" s="137">
        <v>1900</v>
      </c>
      <c r="H17" s="137">
        <v>2700</v>
      </c>
      <c r="I17" s="137">
        <v>100</v>
      </c>
      <c r="J17" s="137">
        <v>400</v>
      </c>
      <c r="K17" s="137">
        <v>2700</v>
      </c>
      <c r="L17" s="137">
        <v>6900</v>
      </c>
      <c r="M17" s="137">
        <v>500</v>
      </c>
      <c r="N17" s="137">
        <v>3600</v>
      </c>
      <c r="O17" s="137">
        <v>1400</v>
      </c>
      <c r="P17" s="137">
        <v>500</v>
      </c>
      <c r="Q17" s="137">
        <v>1100</v>
      </c>
      <c r="R17" s="137">
        <v>2900</v>
      </c>
      <c r="S17" s="131"/>
      <c r="T17" s="137">
        <v>5900</v>
      </c>
      <c r="U17" s="137">
        <v>3900</v>
      </c>
      <c r="V17" s="137">
        <v>1500</v>
      </c>
      <c r="W17" s="137">
        <v>300</v>
      </c>
      <c r="X17" s="137">
        <v>200</v>
      </c>
    </row>
    <row r="18" spans="1:24">
      <c r="A18" s="132">
        <v>1987</v>
      </c>
      <c r="B18" s="137">
        <v>72100</v>
      </c>
      <c r="C18" s="131"/>
      <c r="D18" s="137">
        <v>66400</v>
      </c>
      <c r="E18" s="137">
        <v>44200</v>
      </c>
      <c r="F18" s="137">
        <v>500</v>
      </c>
      <c r="G18" s="137">
        <v>2200</v>
      </c>
      <c r="H18" s="137">
        <v>2700</v>
      </c>
      <c r="I18" s="137">
        <v>100</v>
      </c>
      <c r="J18" s="137">
        <v>400</v>
      </c>
      <c r="K18" s="137">
        <v>3200</v>
      </c>
      <c r="L18" s="137">
        <v>2800</v>
      </c>
      <c r="M18" s="137">
        <v>600</v>
      </c>
      <c r="N18" s="137">
        <v>3500</v>
      </c>
      <c r="O18" s="137">
        <v>1400</v>
      </c>
      <c r="P18" s="137">
        <v>500</v>
      </c>
      <c r="Q18" s="137">
        <v>1300</v>
      </c>
      <c r="R18" s="137">
        <v>2900</v>
      </c>
      <c r="S18" s="131"/>
      <c r="T18" s="137">
        <v>5800</v>
      </c>
      <c r="U18" s="137">
        <v>3900</v>
      </c>
      <c r="V18" s="137">
        <v>1500</v>
      </c>
      <c r="W18" s="137">
        <v>300</v>
      </c>
      <c r="X18" s="137">
        <v>200</v>
      </c>
    </row>
    <row r="19" spans="1:24">
      <c r="A19" s="132">
        <v>1988</v>
      </c>
      <c r="B19" s="137">
        <v>75200</v>
      </c>
      <c r="C19" s="131"/>
      <c r="D19" s="137">
        <v>69400</v>
      </c>
      <c r="E19" s="137">
        <v>45100</v>
      </c>
      <c r="F19" s="137">
        <v>500</v>
      </c>
      <c r="G19" s="137">
        <v>2300</v>
      </c>
      <c r="H19" s="137">
        <v>2900</v>
      </c>
      <c r="I19" s="137">
        <v>100</v>
      </c>
      <c r="J19" s="137">
        <v>400</v>
      </c>
      <c r="K19" s="137">
        <v>3900</v>
      </c>
      <c r="L19" s="137">
        <v>3000</v>
      </c>
      <c r="M19" s="137">
        <v>600</v>
      </c>
      <c r="N19" s="137">
        <v>3600</v>
      </c>
      <c r="O19" s="137">
        <v>1500</v>
      </c>
      <c r="P19" s="137">
        <v>500</v>
      </c>
      <c r="Q19" s="137">
        <v>1400</v>
      </c>
      <c r="R19" s="137">
        <v>3500</v>
      </c>
      <c r="S19" s="131"/>
      <c r="T19" s="137">
        <v>5800</v>
      </c>
      <c r="U19" s="137">
        <v>3900</v>
      </c>
      <c r="V19" s="137">
        <v>1500</v>
      </c>
      <c r="W19" s="137">
        <v>200</v>
      </c>
      <c r="X19" s="137">
        <v>200</v>
      </c>
    </row>
    <row r="20" spans="1:24">
      <c r="A20" s="132">
        <v>1989</v>
      </c>
      <c r="B20" s="137">
        <v>75700</v>
      </c>
      <c r="C20" s="131"/>
      <c r="D20" s="137">
        <v>69800</v>
      </c>
      <c r="E20" s="137">
        <v>45100</v>
      </c>
      <c r="F20" s="137">
        <v>600</v>
      </c>
      <c r="G20" s="137">
        <v>2300</v>
      </c>
      <c r="H20" s="137">
        <v>2900</v>
      </c>
      <c r="I20" s="137">
        <v>100</v>
      </c>
      <c r="J20" s="137">
        <v>400</v>
      </c>
      <c r="K20" s="137">
        <v>3900</v>
      </c>
      <c r="L20" s="137">
        <v>2700</v>
      </c>
      <c r="M20" s="137">
        <v>700</v>
      </c>
      <c r="N20" s="137">
        <v>4100</v>
      </c>
      <c r="O20" s="137">
        <v>1500</v>
      </c>
      <c r="P20" s="137">
        <v>600</v>
      </c>
      <c r="Q20" s="137">
        <v>1300</v>
      </c>
      <c r="R20" s="137">
        <v>3700</v>
      </c>
      <c r="S20" s="131"/>
      <c r="T20" s="137">
        <v>5900</v>
      </c>
      <c r="U20" s="137">
        <v>3900</v>
      </c>
      <c r="V20" s="137">
        <v>1500</v>
      </c>
      <c r="W20" s="137">
        <v>200</v>
      </c>
      <c r="X20" s="137">
        <v>200</v>
      </c>
    </row>
    <row r="21" spans="1:24">
      <c r="A21" s="132">
        <v>1990</v>
      </c>
      <c r="B21" s="137">
        <v>75300</v>
      </c>
      <c r="C21" s="131"/>
      <c r="D21" s="137">
        <v>69200</v>
      </c>
      <c r="E21" s="137">
        <v>45300</v>
      </c>
      <c r="F21" s="137">
        <v>600</v>
      </c>
      <c r="G21" s="137">
        <v>2300</v>
      </c>
      <c r="H21" s="137">
        <v>3000</v>
      </c>
      <c r="I21" s="137">
        <v>100</v>
      </c>
      <c r="J21" s="137">
        <v>400</v>
      </c>
      <c r="K21" s="137">
        <v>3900</v>
      </c>
      <c r="L21" s="137">
        <v>2000</v>
      </c>
      <c r="M21" s="137">
        <v>700</v>
      </c>
      <c r="N21" s="137">
        <v>4000</v>
      </c>
      <c r="O21" s="137">
        <v>1400</v>
      </c>
      <c r="P21" s="137">
        <v>600</v>
      </c>
      <c r="Q21" s="137">
        <v>1200</v>
      </c>
      <c r="R21" s="137">
        <v>3700</v>
      </c>
      <c r="S21" s="131"/>
      <c r="T21" s="137">
        <v>6100</v>
      </c>
      <c r="U21" s="137">
        <v>4000</v>
      </c>
      <c r="V21" s="137">
        <v>1700</v>
      </c>
      <c r="W21" s="137">
        <v>300</v>
      </c>
      <c r="X21" s="137">
        <v>200</v>
      </c>
    </row>
    <row r="22" spans="1:24">
      <c r="A22" s="132">
        <v>1991</v>
      </c>
      <c r="B22" s="137">
        <v>73500</v>
      </c>
      <c r="C22" s="131"/>
      <c r="D22" s="137">
        <v>67100</v>
      </c>
      <c r="E22" s="137">
        <v>44400</v>
      </c>
      <c r="F22" s="137">
        <v>600</v>
      </c>
      <c r="G22" s="137">
        <v>2300</v>
      </c>
      <c r="H22" s="137">
        <v>2900</v>
      </c>
      <c r="I22" s="137">
        <v>100</v>
      </c>
      <c r="J22" s="137">
        <v>400</v>
      </c>
      <c r="K22" s="137">
        <v>3500</v>
      </c>
      <c r="L22" s="137">
        <v>1700</v>
      </c>
      <c r="M22" s="137">
        <v>700</v>
      </c>
      <c r="N22" s="137">
        <v>3500</v>
      </c>
      <c r="O22" s="137">
        <v>1300</v>
      </c>
      <c r="P22" s="137">
        <v>600</v>
      </c>
      <c r="Q22" s="137">
        <v>1100</v>
      </c>
      <c r="R22" s="137">
        <v>3900</v>
      </c>
      <c r="S22" s="131"/>
      <c r="T22" s="137">
        <v>6500</v>
      </c>
      <c r="U22" s="137">
        <v>4100</v>
      </c>
      <c r="V22" s="137">
        <v>1700</v>
      </c>
      <c r="W22" s="137">
        <v>400</v>
      </c>
      <c r="X22" s="137">
        <v>200</v>
      </c>
    </row>
    <row r="23" spans="1:24">
      <c r="A23" s="132">
        <v>1992</v>
      </c>
      <c r="B23" s="137">
        <v>75500</v>
      </c>
      <c r="C23" s="131"/>
      <c r="D23" s="137">
        <v>68700</v>
      </c>
      <c r="E23" s="137">
        <v>45300</v>
      </c>
      <c r="F23" s="137">
        <v>800</v>
      </c>
      <c r="G23" s="137">
        <v>2600</v>
      </c>
      <c r="H23" s="137">
        <v>3000</v>
      </c>
      <c r="I23" s="137">
        <v>100</v>
      </c>
      <c r="J23" s="137">
        <v>400</v>
      </c>
      <c r="K23" s="137">
        <v>4000</v>
      </c>
      <c r="L23" s="137">
        <v>1900</v>
      </c>
      <c r="M23" s="137">
        <v>700</v>
      </c>
      <c r="N23" s="137">
        <v>2700</v>
      </c>
      <c r="O23" s="137">
        <v>1300</v>
      </c>
      <c r="P23" s="137">
        <v>600</v>
      </c>
      <c r="Q23" s="137">
        <v>1200</v>
      </c>
      <c r="R23" s="137">
        <v>4100</v>
      </c>
      <c r="S23" s="131"/>
      <c r="T23" s="137">
        <v>6800</v>
      </c>
      <c r="U23" s="137">
        <v>4200</v>
      </c>
      <c r="V23" s="137">
        <v>1800</v>
      </c>
      <c r="W23" s="137">
        <v>500</v>
      </c>
      <c r="X23" s="137">
        <v>200</v>
      </c>
    </row>
    <row r="24" spans="1:24">
      <c r="A24" s="132">
        <v>1993</v>
      </c>
      <c r="B24" s="137">
        <v>75800</v>
      </c>
      <c r="C24" s="131"/>
      <c r="D24" s="137">
        <v>68800</v>
      </c>
      <c r="E24" s="137">
        <v>45100</v>
      </c>
      <c r="F24" s="137">
        <v>800</v>
      </c>
      <c r="G24" s="137">
        <v>2900</v>
      </c>
      <c r="H24" s="137">
        <v>3000</v>
      </c>
      <c r="I24" s="137">
        <v>100</v>
      </c>
      <c r="J24" s="137">
        <v>500</v>
      </c>
      <c r="K24" s="137">
        <v>4000</v>
      </c>
      <c r="L24" s="137">
        <v>2200</v>
      </c>
      <c r="M24" s="137">
        <v>700</v>
      </c>
      <c r="N24" s="137">
        <v>2100</v>
      </c>
      <c r="O24" s="137">
        <v>1200</v>
      </c>
      <c r="P24" s="137">
        <v>700</v>
      </c>
      <c r="Q24" s="137">
        <v>1400</v>
      </c>
      <c r="R24" s="137">
        <v>4100</v>
      </c>
      <c r="S24" s="131"/>
      <c r="T24" s="137">
        <v>7000</v>
      </c>
      <c r="U24" s="137">
        <v>4400</v>
      </c>
      <c r="V24" s="137">
        <v>2000</v>
      </c>
      <c r="W24" s="137">
        <v>400</v>
      </c>
      <c r="X24" s="137">
        <v>200</v>
      </c>
    </row>
    <row r="25" spans="1:24">
      <c r="A25" s="132">
        <v>1994</v>
      </c>
      <c r="B25" s="137">
        <v>76600</v>
      </c>
      <c r="C25" s="131"/>
      <c r="D25" s="137">
        <v>69700</v>
      </c>
      <c r="E25" s="137">
        <v>45400</v>
      </c>
      <c r="F25" s="137">
        <v>900</v>
      </c>
      <c r="G25" s="137">
        <v>3100</v>
      </c>
      <c r="H25" s="137">
        <v>3100</v>
      </c>
      <c r="I25" s="137">
        <v>100</v>
      </c>
      <c r="J25" s="137">
        <v>500</v>
      </c>
      <c r="K25" s="137">
        <v>4200</v>
      </c>
      <c r="L25" s="137">
        <v>2100</v>
      </c>
      <c r="M25" s="137">
        <v>700</v>
      </c>
      <c r="N25" s="137">
        <v>1900</v>
      </c>
      <c r="O25" s="137">
        <v>1200</v>
      </c>
      <c r="P25" s="137">
        <v>700</v>
      </c>
      <c r="Q25" s="137">
        <v>1500</v>
      </c>
      <c r="R25" s="137">
        <v>4300</v>
      </c>
      <c r="S25" s="131"/>
      <c r="T25" s="137">
        <v>6900</v>
      </c>
      <c r="U25" s="137">
        <v>4400</v>
      </c>
      <c r="V25" s="137">
        <v>2000</v>
      </c>
      <c r="W25" s="137">
        <v>300</v>
      </c>
      <c r="X25" s="137">
        <v>200</v>
      </c>
    </row>
    <row r="26" spans="1:24">
      <c r="A26" s="132">
        <v>1995</v>
      </c>
      <c r="B26" s="137">
        <v>79900</v>
      </c>
      <c r="C26" s="131"/>
      <c r="D26" s="137">
        <v>72800</v>
      </c>
      <c r="E26" s="137">
        <v>46800</v>
      </c>
      <c r="F26" s="137">
        <v>1100</v>
      </c>
      <c r="G26" s="137">
        <v>3100</v>
      </c>
      <c r="H26" s="137">
        <v>3200</v>
      </c>
      <c r="I26" s="137">
        <v>100</v>
      </c>
      <c r="J26" s="137">
        <v>600</v>
      </c>
      <c r="K26" s="137">
        <v>4300</v>
      </c>
      <c r="L26" s="137">
        <v>2500</v>
      </c>
      <c r="M26" s="137">
        <v>700</v>
      </c>
      <c r="N26" s="137">
        <v>2300</v>
      </c>
      <c r="O26" s="137">
        <v>1400</v>
      </c>
      <c r="P26" s="137">
        <v>700</v>
      </c>
      <c r="Q26" s="137">
        <v>1700</v>
      </c>
      <c r="R26" s="137">
        <v>4500</v>
      </c>
      <c r="S26" s="131"/>
      <c r="T26" s="137">
        <v>7100</v>
      </c>
      <c r="U26" s="137">
        <v>4500</v>
      </c>
      <c r="V26" s="137">
        <v>2200</v>
      </c>
      <c r="W26" s="137">
        <v>300</v>
      </c>
      <c r="X26" s="137">
        <v>200</v>
      </c>
    </row>
    <row r="27" spans="1:24">
      <c r="A27" s="132">
        <v>1996</v>
      </c>
      <c r="B27" s="137">
        <v>83000</v>
      </c>
      <c r="C27" s="131"/>
      <c r="D27" s="137">
        <v>75700</v>
      </c>
      <c r="E27" s="137">
        <v>47700</v>
      </c>
      <c r="F27" s="137">
        <v>1200</v>
      </c>
      <c r="G27" s="137">
        <v>3000</v>
      </c>
      <c r="H27" s="137">
        <v>3200</v>
      </c>
      <c r="I27" s="137">
        <v>100</v>
      </c>
      <c r="J27" s="137">
        <v>600</v>
      </c>
      <c r="K27" s="137">
        <v>4600</v>
      </c>
      <c r="L27" s="137">
        <v>3500</v>
      </c>
      <c r="M27" s="137">
        <v>700</v>
      </c>
      <c r="N27" s="137">
        <v>2400</v>
      </c>
      <c r="O27" s="137">
        <v>1500</v>
      </c>
      <c r="P27" s="137">
        <v>700</v>
      </c>
      <c r="Q27" s="137">
        <v>1800</v>
      </c>
      <c r="R27" s="137">
        <v>4800</v>
      </c>
      <c r="S27" s="131"/>
      <c r="T27" s="137">
        <v>7200</v>
      </c>
      <c r="U27" s="137">
        <v>4500</v>
      </c>
      <c r="V27" s="137">
        <v>2300</v>
      </c>
      <c r="W27" s="137">
        <v>300</v>
      </c>
      <c r="X27" s="137">
        <v>100</v>
      </c>
    </row>
    <row r="28" spans="1:24">
      <c r="A28" s="132">
        <v>1997</v>
      </c>
      <c r="B28" s="137">
        <v>86800</v>
      </c>
      <c r="C28" s="131"/>
      <c r="D28" s="137">
        <v>79500</v>
      </c>
      <c r="E28" s="137">
        <v>49400</v>
      </c>
      <c r="F28" s="137">
        <v>1200</v>
      </c>
      <c r="G28" s="137">
        <v>2800</v>
      </c>
      <c r="H28" s="137">
        <v>3300</v>
      </c>
      <c r="I28" s="137">
        <v>100</v>
      </c>
      <c r="J28" s="137">
        <v>600</v>
      </c>
      <c r="K28" s="137">
        <v>4900</v>
      </c>
      <c r="L28" s="137">
        <v>4800</v>
      </c>
      <c r="M28" s="137">
        <v>700</v>
      </c>
      <c r="N28" s="137">
        <v>2400</v>
      </c>
      <c r="O28" s="137">
        <v>1600</v>
      </c>
      <c r="P28" s="137">
        <v>700</v>
      </c>
      <c r="Q28" s="137">
        <v>1900</v>
      </c>
      <c r="R28" s="137">
        <v>5100</v>
      </c>
      <c r="S28" s="131"/>
      <c r="T28" s="137">
        <v>7300</v>
      </c>
      <c r="U28" s="137">
        <v>4500</v>
      </c>
      <c r="V28" s="137">
        <v>2400</v>
      </c>
      <c r="W28" s="137">
        <v>200</v>
      </c>
      <c r="X28" s="137">
        <v>200</v>
      </c>
    </row>
    <row r="29" spans="1:24">
      <c r="A29" s="132">
        <v>1998</v>
      </c>
      <c r="B29" s="137">
        <v>91500</v>
      </c>
      <c r="C29" s="131"/>
      <c r="D29" s="137">
        <v>84200</v>
      </c>
      <c r="E29" s="137">
        <v>51900</v>
      </c>
      <c r="F29" s="137">
        <v>1400</v>
      </c>
      <c r="G29" s="137">
        <v>2700</v>
      </c>
      <c r="H29" s="137">
        <v>3500</v>
      </c>
      <c r="I29" s="137">
        <v>100</v>
      </c>
      <c r="J29" s="137">
        <v>600</v>
      </c>
      <c r="K29" s="137">
        <v>5200</v>
      </c>
      <c r="L29" s="137">
        <v>5900</v>
      </c>
      <c r="M29" s="137">
        <v>700</v>
      </c>
      <c r="N29" s="137">
        <v>2400</v>
      </c>
      <c r="O29" s="137">
        <v>1600</v>
      </c>
      <c r="P29" s="137">
        <v>700</v>
      </c>
      <c r="Q29" s="137">
        <v>1800</v>
      </c>
      <c r="R29" s="137">
        <v>5700</v>
      </c>
      <c r="S29" s="131"/>
      <c r="T29" s="137">
        <v>7300</v>
      </c>
      <c r="U29" s="137">
        <v>4600</v>
      </c>
      <c r="V29" s="137">
        <v>2300</v>
      </c>
      <c r="W29" s="137">
        <v>200</v>
      </c>
      <c r="X29" s="137">
        <v>100</v>
      </c>
    </row>
    <row r="30" spans="1:24">
      <c r="A30" s="132">
        <v>1999</v>
      </c>
      <c r="B30" s="137">
        <v>95900</v>
      </c>
      <c r="C30" s="131"/>
      <c r="D30" s="137">
        <v>88800</v>
      </c>
      <c r="E30" s="137">
        <v>54200</v>
      </c>
      <c r="F30" s="137">
        <v>1500</v>
      </c>
      <c r="G30" s="137">
        <v>2700</v>
      </c>
      <c r="H30" s="137">
        <v>3600</v>
      </c>
      <c r="I30" s="137">
        <v>100</v>
      </c>
      <c r="J30" s="137">
        <v>600</v>
      </c>
      <c r="K30" s="137">
        <v>5600</v>
      </c>
      <c r="L30" s="137">
        <v>7100</v>
      </c>
      <c r="M30" s="137">
        <v>700</v>
      </c>
      <c r="N30" s="137">
        <v>2300</v>
      </c>
      <c r="O30" s="137">
        <v>1700</v>
      </c>
      <c r="P30" s="137">
        <v>700</v>
      </c>
      <c r="Q30" s="137">
        <v>1800</v>
      </c>
      <c r="R30" s="137">
        <v>6100</v>
      </c>
      <c r="S30" s="131"/>
      <c r="T30" s="137">
        <v>7100</v>
      </c>
      <c r="U30" s="137">
        <v>4500</v>
      </c>
      <c r="V30" s="137">
        <v>2200</v>
      </c>
      <c r="W30" s="137">
        <v>200</v>
      </c>
      <c r="X30" s="137">
        <v>100</v>
      </c>
    </row>
    <row r="31" spans="1:24">
      <c r="A31" s="132">
        <v>2000</v>
      </c>
      <c r="B31" s="137">
        <v>98500</v>
      </c>
      <c r="C31" s="131"/>
      <c r="D31" s="137">
        <v>91300</v>
      </c>
      <c r="E31" s="137">
        <v>55300</v>
      </c>
      <c r="F31" s="137">
        <v>1600</v>
      </c>
      <c r="G31" s="137">
        <v>2800</v>
      </c>
      <c r="H31" s="137">
        <v>3700</v>
      </c>
      <c r="I31" s="137">
        <v>100</v>
      </c>
      <c r="J31" s="137">
        <v>600</v>
      </c>
      <c r="K31" s="137">
        <v>5400</v>
      </c>
      <c r="L31" s="137">
        <v>7700</v>
      </c>
      <c r="M31" s="137">
        <v>700</v>
      </c>
      <c r="N31" s="137">
        <v>2500</v>
      </c>
      <c r="O31" s="137">
        <v>1800</v>
      </c>
      <c r="P31" s="137">
        <v>700</v>
      </c>
      <c r="Q31" s="137">
        <v>1800</v>
      </c>
      <c r="R31" s="137">
        <v>6700</v>
      </c>
      <c r="S31" s="131"/>
      <c r="T31" s="137">
        <v>7200</v>
      </c>
      <c r="U31" s="137">
        <v>4600</v>
      </c>
      <c r="V31" s="137">
        <v>2200</v>
      </c>
      <c r="W31" s="137">
        <v>200</v>
      </c>
      <c r="X31" s="137">
        <v>200</v>
      </c>
    </row>
    <row r="32" spans="1:24">
      <c r="A32" s="132">
        <v>2001</v>
      </c>
      <c r="B32" s="137">
        <v>93100</v>
      </c>
      <c r="C32" s="131"/>
      <c r="D32" s="137">
        <v>85500</v>
      </c>
      <c r="E32" s="137">
        <v>54900</v>
      </c>
      <c r="F32" s="137">
        <v>1600</v>
      </c>
      <c r="G32" s="137">
        <v>3000</v>
      </c>
      <c r="H32" s="137">
        <v>3700</v>
      </c>
      <c r="I32" s="137">
        <v>100</v>
      </c>
      <c r="J32" s="137">
        <v>400</v>
      </c>
      <c r="K32" s="137">
        <v>5300</v>
      </c>
      <c r="L32" s="137">
        <v>3900</v>
      </c>
      <c r="M32" s="137">
        <v>700</v>
      </c>
      <c r="N32" s="137">
        <v>2400</v>
      </c>
      <c r="O32" s="137">
        <v>1400</v>
      </c>
      <c r="P32" s="137">
        <v>700</v>
      </c>
      <c r="Q32" s="137">
        <v>1200</v>
      </c>
      <c r="R32" s="137">
        <v>6200</v>
      </c>
      <c r="S32" s="131"/>
      <c r="T32" s="137">
        <v>7600</v>
      </c>
      <c r="U32" s="137">
        <v>4700</v>
      </c>
      <c r="V32" s="137">
        <v>2400</v>
      </c>
      <c r="W32" s="137">
        <v>300</v>
      </c>
      <c r="X32" s="137">
        <v>100</v>
      </c>
    </row>
    <row r="33" spans="1:24">
      <c r="A33" s="132">
        <v>2002</v>
      </c>
      <c r="B33" s="137">
        <v>89500</v>
      </c>
      <c r="C33" s="131"/>
      <c r="D33" s="137">
        <v>81500</v>
      </c>
      <c r="E33" s="137">
        <v>53200</v>
      </c>
      <c r="F33" s="137">
        <v>1500</v>
      </c>
      <c r="G33" s="137">
        <v>3200</v>
      </c>
      <c r="H33" s="137">
        <v>3600</v>
      </c>
      <c r="I33" s="137">
        <v>100</v>
      </c>
      <c r="J33" s="137">
        <v>400</v>
      </c>
      <c r="K33" s="137">
        <v>5300</v>
      </c>
      <c r="L33" s="137">
        <v>2800</v>
      </c>
      <c r="M33" s="137">
        <v>600</v>
      </c>
      <c r="N33" s="137">
        <v>1700</v>
      </c>
      <c r="O33" s="137">
        <v>1200</v>
      </c>
      <c r="P33" s="137">
        <v>700</v>
      </c>
      <c r="Q33" s="137">
        <v>1100</v>
      </c>
      <c r="R33" s="137">
        <v>6200</v>
      </c>
      <c r="S33" s="131"/>
      <c r="T33" s="137">
        <v>8000</v>
      </c>
      <c r="U33" s="137">
        <v>4800</v>
      </c>
      <c r="V33" s="137">
        <v>2500</v>
      </c>
      <c r="W33" s="137">
        <v>500</v>
      </c>
      <c r="X33" s="137">
        <v>100</v>
      </c>
    </row>
    <row r="34" spans="1:24">
      <c r="A34" s="132">
        <v>2003</v>
      </c>
      <c r="B34" s="137">
        <v>91000</v>
      </c>
      <c r="C34" s="131"/>
      <c r="D34" s="137">
        <v>82900</v>
      </c>
      <c r="E34" s="137">
        <v>52800</v>
      </c>
      <c r="F34" s="137">
        <v>1800</v>
      </c>
      <c r="G34" s="137">
        <v>3500</v>
      </c>
      <c r="H34" s="137">
        <v>3600</v>
      </c>
      <c r="I34" s="137">
        <v>100</v>
      </c>
      <c r="J34" s="137">
        <v>500</v>
      </c>
      <c r="K34" s="137">
        <v>5500</v>
      </c>
      <c r="L34" s="137">
        <v>3300</v>
      </c>
      <c r="M34" s="137">
        <v>600</v>
      </c>
      <c r="N34" s="137">
        <v>1500</v>
      </c>
      <c r="O34" s="137">
        <v>1300</v>
      </c>
      <c r="P34" s="137">
        <v>700</v>
      </c>
      <c r="Q34" s="137">
        <v>1500</v>
      </c>
      <c r="R34" s="137">
        <v>6200</v>
      </c>
      <c r="S34" s="131"/>
      <c r="T34" s="137">
        <v>8100</v>
      </c>
      <c r="U34" s="137">
        <v>4900</v>
      </c>
      <c r="V34" s="137">
        <v>2600</v>
      </c>
      <c r="W34" s="137">
        <v>500</v>
      </c>
      <c r="X34" s="137">
        <v>200</v>
      </c>
    </row>
    <row r="35" spans="1:24">
      <c r="A35" s="132">
        <v>2004</v>
      </c>
      <c r="B35" s="137">
        <v>96100</v>
      </c>
      <c r="C35" s="131"/>
      <c r="D35" s="137">
        <v>88000</v>
      </c>
      <c r="E35" s="137">
        <v>53900</v>
      </c>
      <c r="F35" s="137">
        <v>1900</v>
      </c>
      <c r="G35" s="137">
        <v>4000</v>
      </c>
      <c r="H35" s="137">
        <v>3600</v>
      </c>
      <c r="I35" s="137">
        <v>100</v>
      </c>
      <c r="J35" s="137">
        <v>600</v>
      </c>
      <c r="K35" s="137">
        <v>6200</v>
      </c>
      <c r="L35" s="137">
        <v>5200</v>
      </c>
      <c r="M35" s="137">
        <v>600</v>
      </c>
      <c r="N35" s="137">
        <v>1400</v>
      </c>
      <c r="O35" s="137">
        <v>1600</v>
      </c>
      <c r="P35" s="137">
        <v>700</v>
      </c>
      <c r="Q35" s="137">
        <v>1900</v>
      </c>
      <c r="R35" s="137">
        <v>6400</v>
      </c>
      <c r="S35" s="131"/>
      <c r="T35" s="137">
        <v>8100</v>
      </c>
      <c r="U35" s="137">
        <v>4900</v>
      </c>
      <c r="V35" s="137">
        <v>2700</v>
      </c>
      <c r="W35" s="137">
        <v>400</v>
      </c>
      <c r="X35" s="137">
        <v>100</v>
      </c>
    </row>
    <row r="36" spans="1:24">
      <c r="A36" s="132">
        <v>2005</v>
      </c>
      <c r="B36" s="137">
        <v>101300</v>
      </c>
      <c r="C36" s="131"/>
      <c r="D36" s="137">
        <v>93000</v>
      </c>
      <c r="E36" s="137">
        <v>54400</v>
      </c>
      <c r="F36" s="137">
        <v>2000</v>
      </c>
      <c r="G36" s="137">
        <v>4100</v>
      </c>
      <c r="H36" s="137">
        <v>3600</v>
      </c>
      <c r="I36" s="137">
        <v>100</v>
      </c>
      <c r="J36" s="137">
        <v>800</v>
      </c>
      <c r="K36" s="137">
        <v>7100</v>
      </c>
      <c r="L36" s="137">
        <v>7000</v>
      </c>
      <c r="M36" s="137">
        <v>600</v>
      </c>
      <c r="N36" s="137">
        <v>1700</v>
      </c>
      <c r="O36" s="137">
        <v>1700</v>
      </c>
      <c r="P36" s="137">
        <v>800</v>
      </c>
      <c r="Q36" s="137">
        <v>2500</v>
      </c>
      <c r="R36" s="137">
        <v>6600</v>
      </c>
      <c r="S36" s="131"/>
      <c r="T36" s="137">
        <v>8200</v>
      </c>
      <c r="U36" s="137">
        <v>5000</v>
      </c>
      <c r="V36" s="137">
        <v>2800</v>
      </c>
      <c r="W36" s="137">
        <v>300</v>
      </c>
      <c r="X36" s="137">
        <v>200</v>
      </c>
    </row>
    <row r="37" spans="1:24">
      <c r="A37" s="132">
        <v>2006</v>
      </c>
      <c r="B37" s="137">
        <v>105200</v>
      </c>
      <c r="C37" s="131"/>
      <c r="D37" s="137">
        <v>96600</v>
      </c>
      <c r="E37" s="137">
        <v>55500</v>
      </c>
      <c r="F37" s="137">
        <v>2000</v>
      </c>
      <c r="G37" s="137">
        <v>4100</v>
      </c>
      <c r="H37" s="137">
        <v>3700</v>
      </c>
      <c r="I37" s="137">
        <v>100</v>
      </c>
      <c r="J37" s="137">
        <v>900</v>
      </c>
      <c r="K37" s="137">
        <v>7200</v>
      </c>
      <c r="L37" s="137">
        <v>7800</v>
      </c>
      <c r="M37" s="137">
        <v>700</v>
      </c>
      <c r="N37" s="137">
        <v>2300</v>
      </c>
      <c r="O37" s="137">
        <v>2000</v>
      </c>
      <c r="P37" s="137">
        <v>700</v>
      </c>
      <c r="Q37" s="137">
        <v>2800</v>
      </c>
      <c r="R37" s="137">
        <v>6700</v>
      </c>
      <c r="S37" s="131"/>
      <c r="T37" s="137">
        <v>8600</v>
      </c>
      <c r="U37" s="137">
        <v>5100</v>
      </c>
      <c r="V37" s="137">
        <v>3100</v>
      </c>
      <c r="W37" s="137">
        <v>300</v>
      </c>
      <c r="X37" s="137">
        <v>100</v>
      </c>
    </row>
    <row r="38" spans="1:24">
      <c r="A38" s="132">
        <v>2007</v>
      </c>
      <c r="B38" s="137">
        <v>108500</v>
      </c>
      <c r="C38" s="131"/>
      <c r="D38" s="137">
        <v>99700</v>
      </c>
      <c r="E38" s="137">
        <v>57300</v>
      </c>
      <c r="F38" s="137">
        <v>2100</v>
      </c>
      <c r="G38" s="137">
        <v>3800</v>
      </c>
      <c r="H38" s="137">
        <v>3800</v>
      </c>
      <c r="I38" s="137">
        <v>100</v>
      </c>
      <c r="J38" s="137">
        <v>800</v>
      </c>
      <c r="K38" s="137">
        <v>6800</v>
      </c>
      <c r="L38" s="137">
        <v>8900</v>
      </c>
      <c r="M38" s="137">
        <v>800</v>
      </c>
      <c r="N38" s="137">
        <v>2600</v>
      </c>
      <c r="O38" s="137">
        <v>2300</v>
      </c>
      <c r="P38" s="137">
        <v>800</v>
      </c>
      <c r="Q38" s="137">
        <v>2400</v>
      </c>
      <c r="R38" s="137">
        <v>7300</v>
      </c>
      <c r="S38" s="131"/>
      <c r="T38" s="137">
        <v>8800</v>
      </c>
      <c r="U38" s="137">
        <v>5200</v>
      </c>
      <c r="V38" s="137">
        <v>3200</v>
      </c>
      <c r="W38" s="137">
        <v>300</v>
      </c>
      <c r="X38" s="137">
        <v>100</v>
      </c>
    </row>
    <row r="39" spans="1:24">
      <c r="A39" s="132">
        <v>2008</v>
      </c>
      <c r="B39" s="137">
        <v>100800</v>
      </c>
      <c r="C39" s="131"/>
      <c r="D39" s="137">
        <v>91600</v>
      </c>
      <c r="E39" s="137">
        <v>56500</v>
      </c>
      <c r="F39" s="137">
        <v>2100</v>
      </c>
      <c r="G39" s="137">
        <v>3800</v>
      </c>
      <c r="H39" s="137">
        <v>3800</v>
      </c>
      <c r="I39" s="137">
        <v>100</v>
      </c>
      <c r="J39" s="137">
        <v>500</v>
      </c>
      <c r="K39" s="137">
        <v>6000</v>
      </c>
      <c r="L39" s="137">
        <v>4400</v>
      </c>
      <c r="M39" s="137">
        <v>800</v>
      </c>
      <c r="N39" s="137">
        <v>2100</v>
      </c>
      <c r="O39" s="137">
        <v>2100</v>
      </c>
      <c r="P39" s="137">
        <v>900</v>
      </c>
      <c r="Q39" s="137">
        <v>1400</v>
      </c>
      <c r="R39" s="137">
        <v>7200</v>
      </c>
      <c r="S39" s="131"/>
      <c r="T39" s="137">
        <v>9200</v>
      </c>
      <c r="U39" s="137">
        <v>5300</v>
      </c>
      <c r="V39" s="137">
        <v>3300</v>
      </c>
      <c r="W39" s="137">
        <v>400</v>
      </c>
      <c r="X39" s="137">
        <v>100</v>
      </c>
    </row>
    <row r="40" spans="1:24">
      <c r="A40" s="132">
        <v>2009</v>
      </c>
      <c r="B40" s="137">
        <v>94800</v>
      </c>
      <c r="C40" s="131"/>
      <c r="D40" s="137">
        <v>84200</v>
      </c>
      <c r="E40" s="137">
        <v>54000</v>
      </c>
      <c r="F40" s="137">
        <v>2000</v>
      </c>
      <c r="G40" s="137">
        <v>3800</v>
      </c>
      <c r="H40" s="137">
        <v>3700</v>
      </c>
      <c r="I40" s="137">
        <v>100</v>
      </c>
      <c r="J40" s="137">
        <v>400</v>
      </c>
      <c r="K40" s="137">
        <v>5600</v>
      </c>
      <c r="L40" s="137">
        <v>2200</v>
      </c>
      <c r="M40" s="137">
        <v>700</v>
      </c>
      <c r="N40" s="137">
        <v>1600</v>
      </c>
      <c r="O40" s="137">
        <v>1500</v>
      </c>
      <c r="P40" s="137">
        <v>700</v>
      </c>
      <c r="Q40" s="137">
        <v>1100</v>
      </c>
      <c r="R40" s="137">
        <v>6900</v>
      </c>
      <c r="S40" s="131"/>
      <c r="T40" s="137">
        <v>10600</v>
      </c>
      <c r="U40" s="137">
        <v>5800</v>
      </c>
      <c r="V40" s="137">
        <v>3600</v>
      </c>
      <c r="W40" s="137">
        <v>1100</v>
      </c>
      <c r="X40" s="137">
        <v>100</v>
      </c>
    </row>
    <row r="41" spans="1:24">
      <c r="A41" s="132">
        <v>2010</v>
      </c>
      <c r="B41" s="137">
        <v>96400</v>
      </c>
      <c r="C41" s="131"/>
      <c r="D41" s="137">
        <v>85800</v>
      </c>
      <c r="E41" s="137">
        <v>53300</v>
      </c>
      <c r="F41" s="137">
        <v>1900</v>
      </c>
      <c r="G41" s="137">
        <v>3700</v>
      </c>
      <c r="H41" s="137">
        <v>3600</v>
      </c>
      <c r="I41" s="137">
        <v>100</v>
      </c>
      <c r="J41" s="137">
        <v>500</v>
      </c>
      <c r="K41" s="137">
        <v>6100</v>
      </c>
      <c r="L41" s="137">
        <v>3300</v>
      </c>
      <c r="M41" s="137">
        <v>700</v>
      </c>
      <c r="N41" s="137">
        <v>1300</v>
      </c>
      <c r="O41" s="137">
        <v>1700</v>
      </c>
      <c r="P41" s="137">
        <v>800</v>
      </c>
      <c r="Q41" s="137">
        <v>1500</v>
      </c>
      <c r="R41" s="137">
        <v>7500</v>
      </c>
      <c r="S41" s="131"/>
      <c r="T41" s="137">
        <v>10600</v>
      </c>
      <c r="U41" s="137">
        <v>5800</v>
      </c>
      <c r="V41" s="137">
        <v>3600</v>
      </c>
      <c r="W41" s="137">
        <v>1100</v>
      </c>
      <c r="X41" s="137">
        <v>100</v>
      </c>
    </row>
    <row r="42" spans="1:24">
      <c r="A42" s="132">
        <v>2011</v>
      </c>
      <c r="B42" s="137">
        <v>96300</v>
      </c>
      <c r="C42" s="131"/>
      <c r="D42" s="137">
        <v>86000</v>
      </c>
      <c r="E42" s="137">
        <v>53400</v>
      </c>
      <c r="F42" s="137">
        <v>1900</v>
      </c>
      <c r="G42" s="137">
        <v>3700</v>
      </c>
      <c r="H42" s="137">
        <v>3600</v>
      </c>
      <c r="I42" s="137">
        <v>100</v>
      </c>
      <c r="J42" s="137">
        <v>500</v>
      </c>
      <c r="K42" s="137">
        <v>6400</v>
      </c>
      <c r="L42" s="137">
        <v>3300</v>
      </c>
      <c r="M42" s="137">
        <v>600</v>
      </c>
      <c r="N42" s="137">
        <v>1100</v>
      </c>
      <c r="O42" s="137">
        <v>1700</v>
      </c>
      <c r="P42" s="137">
        <v>800</v>
      </c>
      <c r="Q42" s="137">
        <v>1500</v>
      </c>
      <c r="R42" s="137">
        <v>7500</v>
      </c>
      <c r="S42" s="131"/>
      <c r="T42" s="137">
        <v>10300</v>
      </c>
      <c r="U42" s="137">
        <v>5800</v>
      </c>
      <c r="V42" s="137">
        <v>3600</v>
      </c>
      <c r="W42" s="137">
        <v>800</v>
      </c>
      <c r="X42" s="137">
        <v>100</v>
      </c>
    </row>
    <row r="43" spans="1:24">
      <c r="A43" s="132">
        <v>2012</v>
      </c>
      <c r="B43" s="137">
        <v>100800</v>
      </c>
      <c r="C43" s="131"/>
      <c r="D43" s="137">
        <v>90400</v>
      </c>
      <c r="E43" s="137">
        <v>54000</v>
      </c>
      <c r="F43" s="137">
        <v>2000</v>
      </c>
      <c r="G43" s="137">
        <v>3600</v>
      </c>
      <c r="H43" s="137">
        <v>3600</v>
      </c>
      <c r="I43" s="137">
        <v>0</v>
      </c>
      <c r="J43" s="137">
        <v>600</v>
      </c>
      <c r="K43" s="137">
        <v>7400</v>
      </c>
      <c r="L43" s="137">
        <v>5300</v>
      </c>
      <c r="M43" s="137">
        <v>600</v>
      </c>
      <c r="N43" s="137">
        <v>1000</v>
      </c>
      <c r="O43" s="137">
        <v>2200</v>
      </c>
      <c r="P43" s="137">
        <v>900</v>
      </c>
      <c r="Q43" s="137">
        <v>1800</v>
      </c>
      <c r="R43" s="137">
        <v>7600</v>
      </c>
      <c r="S43" s="131"/>
      <c r="T43" s="137">
        <v>10400</v>
      </c>
      <c r="U43" s="137">
        <v>6000</v>
      </c>
      <c r="V43" s="137">
        <v>3700</v>
      </c>
      <c r="W43" s="137">
        <v>600</v>
      </c>
      <c r="X43" s="137">
        <v>100</v>
      </c>
    </row>
    <row r="44" spans="1:24">
      <c r="A44" s="132">
        <v>2013</v>
      </c>
      <c r="B44" s="137">
        <v>99600</v>
      </c>
      <c r="C44" s="131"/>
      <c r="D44" s="137">
        <v>89200</v>
      </c>
      <c r="E44" s="137">
        <v>54400</v>
      </c>
      <c r="F44" s="137">
        <v>2100</v>
      </c>
      <c r="G44" s="137">
        <v>3600</v>
      </c>
      <c r="H44" s="137">
        <v>3700</v>
      </c>
      <c r="I44" s="137">
        <v>0</v>
      </c>
      <c r="J44" s="137">
        <v>600</v>
      </c>
      <c r="K44" s="137">
        <v>7100</v>
      </c>
      <c r="L44" s="137">
        <v>4100</v>
      </c>
      <c r="M44" s="137">
        <v>600</v>
      </c>
      <c r="N44" s="137">
        <v>800</v>
      </c>
      <c r="O44" s="137">
        <v>1800</v>
      </c>
      <c r="P44" s="137">
        <v>900</v>
      </c>
      <c r="Q44" s="137">
        <v>1900</v>
      </c>
      <c r="R44" s="137">
        <v>7600</v>
      </c>
      <c r="S44" s="131"/>
      <c r="T44" s="137">
        <v>10400</v>
      </c>
      <c r="U44" s="137">
        <v>6200</v>
      </c>
      <c r="V44" s="137">
        <v>3600</v>
      </c>
      <c r="W44" s="137">
        <v>400</v>
      </c>
      <c r="X44" s="137">
        <v>100</v>
      </c>
    </row>
    <row r="45" spans="1:24">
      <c r="A45" s="132">
        <v>2014</v>
      </c>
      <c r="B45" s="137">
        <v>103100</v>
      </c>
      <c r="C45" s="131"/>
      <c r="D45" s="137">
        <v>92700</v>
      </c>
      <c r="E45" s="137">
        <v>55500</v>
      </c>
      <c r="F45" s="137">
        <v>2100</v>
      </c>
      <c r="G45" s="137">
        <v>3500</v>
      </c>
      <c r="H45" s="137">
        <v>3700</v>
      </c>
      <c r="I45" s="137">
        <v>0</v>
      </c>
      <c r="J45" s="137">
        <v>700</v>
      </c>
      <c r="K45" s="137">
        <v>7500</v>
      </c>
      <c r="L45" s="137">
        <v>5700</v>
      </c>
      <c r="M45" s="137">
        <v>500</v>
      </c>
      <c r="N45" s="137">
        <v>800</v>
      </c>
      <c r="O45" s="137">
        <v>2100</v>
      </c>
      <c r="P45" s="137">
        <v>900</v>
      </c>
      <c r="Q45" s="137">
        <v>2100</v>
      </c>
      <c r="R45" s="137">
        <v>7700</v>
      </c>
      <c r="S45" s="131"/>
      <c r="T45" s="137">
        <v>10400</v>
      </c>
      <c r="U45" s="137">
        <v>6300</v>
      </c>
      <c r="V45" s="137">
        <v>3700</v>
      </c>
      <c r="W45" s="137">
        <v>300</v>
      </c>
      <c r="X45" s="137">
        <v>100</v>
      </c>
    </row>
    <row r="46" spans="1:24">
      <c r="A46" s="132">
        <v>2015</v>
      </c>
      <c r="B46" s="137">
        <v>106200</v>
      </c>
      <c r="C46" s="131"/>
      <c r="D46" s="137">
        <v>95600</v>
      </c>
      <c r="E46" s="137">
        <v>57400</v>
      </c>
      <c r="F46" s="137">
        <v>2200</v>
      </c>
      <c r="G46" s="137">
        <v>3600</v>
      </c>
      <c r="H46" s="137">
        <v>3800</v>
      </c>
      <c r="I46" s="137">
        <v>0</v>
      </c>
      <c r="J46" s="137">
        <v>700</v>
      </c>
      <c r="K46" s="137">
        <v>7800</v>
      </c>
      <c r="L46" s="137">
        <v>5700</v>
      </c>
      <c r="M46" s="137">
        <v>500</v>
      </c>
      <c r="N46" s="137">
        <v>800</v>
      </c>
      <c r="O46" s="137">
        <v>2100</v>
      </c>
      <c r="P46" s="137">
        <v>800</v>
      </c>
      <c r="Q46" s="137">
        <v>2000</v>
      </c>
      <c r="R46" s="137">
        <v>8100</v>
      </c>
      <c r="S46" s="131"/>
      <c r="T46" s="137">
        <v>10700</v>
      </c>
      <c r="U46" s="137">
        <v>6500</v>
      </c>
      <c r="V46" s="137">
        <v>3800</v>
      </c>
      <c r="W46" s="137">
        <v>200</v>
      </c>
      <c r="X46" s="137">
        <v>100</v>
      </c>
    </row>
    <row r="47" spans="1:24">
      <c r="A47" s="132">
        <v>2016</v>
      </c>
      <c r="B47" s="137">
        <v>105500</v>
      </c>
      <c r="C47" s="131"/>
      <c r="D47" s="137">
        <v>94600</v>
      </c>
      <c r="E47" s="137">
        <v>57600</v>
      </c>
      <c r="F47" s="137">
        <v>2200</v>
      </c>
      <c r="G47" s="137">
        <v>3700</v>
      </c>
      <c r="H47" s="137">
        <v>3800</v>
      </c>
      <c r="I47" s="137">
        <v>0</v>
      </c>
      <c r="J47" s="137">
        <v>600</v>
      </c>
      <c r="K47" s="137">
        <v>7700</v>
      </c>
      <c r="L47" s="137">
        <v>4900</v>
      </c>
      <c r="M47" s="137">
        <v>500</v>
      </c>
      <c r="N47" s="137">
        <v>800</v>
      </c>
      <c r="O47" s="137">
        <v>2000</v>
      </c>
      <c r="P47" s="137">
        <v>800</v>
      </c>
      <c r="Q47" s="137">
        <v>1900</v>
      </c>
      <c r="R47" s="137">
        <v>8100</v>
      </c>
      <c r="S47" s="131"/>
      <c r="T47" s="137">
        <v>10900</v>
      </c>
      <c r="U47" s="137">
        <v>6600</v>
      </c>
      <c r="V47" s="137">
        <v>3900</v>
      </c>
      <c r="W47" s="137">
        <v>200</v>
      </c>
      <c r="X47" s="137">
        <v>100</v>
      </c>
    </row>
    <row r="49" spans="1:24">
      <c r="A49" s="131"/>
      <c r="B49" s="774" t="s">
        <v>5</v>
      </c>
      <c r="C49" s="774"/>
      <c r="D49" s="774"/>
      <c r="E49" s="774"/>
      <c r="F49" s="774"/>
      <c r="G49" s="774"/>
      <c r="H49" s="774"/>
      <c r="I49" s="774"/>
      <c r="J49" s="774"/>
      <c r="K49" s="774"/>
      <c r="L49" s="774"/>
      <c r="M49" s="774"/>
      <c r="N49" s="774"/>
      <c r="O49" s="774"/>
      <c r="P49" s="774"/>
      <c r="Q49" s="774"/>
      <c r="R49" s="774"/>
      <c r="S49" s="774"/>
      <c r="T49" s="774"/>
      <c r="U49" s="774"/>
      <c r="V49" s="774"/>
      <c r="W49" s="774"/>
      <c r="X49" s="774"/>
    </row>
    <row r="50" spans="1:24">
      <c r="A50" s="132">
        <v>1979</v>
      </c>
      <c r="B50" s="137">
        <v>15500</v>
      </c>
      <c r="C50" s="131"/>
      <c r="D50" s="137">
        <v>10000</v>
      </c>
      <c r="E50" s="137">
        <v>7000</v>
      </c>
      <c r="F50" s="137">
        <v>0</v>
      </c>
      <c r="G50" s="137">
        <v>400</v>
      </c>
      <c r="H50" s="137">
        <v>400</v>
      </c>
      <c r="I50" s="137">
        <v>0</v>
      </c>
      <c r="J50" s="137">
        <v>100</v>
      </c>
      <c r="K50" s="137">
        <v>400</v>
      </c>
      <c r="L50" s="137">
        <v>100</v>
      </c>
      <c r="M50" s="137">
        <v>0</v>
      </c>
      <c r="N50" s="137">
        <v>400</v>
      </c>
      <c r="O50" s="137">
        <v>0</v>
      </c>
      <c r="P50" s="137">
        <v>100</v>
      </c>
      <c r="Q50" s="137">
        <v>100</v>
      </c>
      <c r="R50" s="137">
        <v>900</v>
      </c>
      <c r="S50" s="131"/>
      <c r="T50" s="137">
        <v>5500</v>
      </c>
      <c r="U50" s="137">
        <v>3900</v>
      </c>
      <c r="V50" s="137">
        <v>1300</v>
      </c>
      <c r="W50" s="137">
        <v>100</v>
      </c>
      <c r="X50" s="137">
        <v>100</v>
      </c>
    </row>
    <row r="51" spans="1:24">
      <c r="A51" s="132">
        <v>1980</v>
      </c>
      <c r="B51" s="137">
        <v>14900</v>
      </c>
      <c r="C51" s="131"/>
      <c r="D51" s="137">
        <v>9500</v>
      </c>
      <c r="E51" s="137">
        <v>6800</v>
      </c>
      <c r="F51" s="137">
        <v>0</v>
      </c>
      <c r="G51" s="137">
        <v>300</v>
      </c>
      <c r="H51" s="137">
        <v>400</v>
      </c>
      <c r="I51" s="137">
        <v>0</v>
      </c>
      <c r="J51" s="137">
        <v>100</v>
      </c>
      <c r="K51" s="137">
        <v>300</v>
      </c>
      <c r="L51" s="137">
        <v>100</v>
      </c>
      <c r="M51" s="137">
        <v>0</v>
      </c>
      <c r="N51" s="137">
        <v>400</v>
      </c>
      <c r="O51" s="137">
        <v>0</v>
      </c>
      <c r="P51" s="137">
        <v>100</v>
      </c>
      <c r="Q51" s="137">
        <v>100</v>
      </c>
      <c r="R51" s="137">
        <v>900</v>
      </c>
      <c r="S51" s="131"/>
      <c r="T51" s="137">
        <v>5300</v>
      </c>
      <c r="U51" s="137">
        <v>3600</v>
      </c>
      <c r="V51" s="137">
        <v>1400</v>
      </c>
      <c r="W51" s="137">
        <v>200</v>
      </c>
      <c r="X51" s="137">
        <v>100</v>
      </c>
    </row>
    <row r="52" spans="1:24">
      <c r="A52" s="132">
        <v>1981</v>
      </c>
      <c r="B52" s="137">
        <v>14700</v>
      </c>
      <c r="C52" s="131"/>
      <c r="D52" s="137">
        <v>9600</v>
      </c>
      <c r="E52" s="137">
        <v>6900</v>
      </c>
      <c r="F52" s="137">
        <v>0</v>
      </c>
      <c r="G52" s="137">
        <v>300</v>
      </c>
      <c r="H52" s="137">
        <v>400</v>
      </c>
      <c r="I52" s="137">
        <v>0</v>
      </c>
      <c r="J52" s="137">
        <v>100</v>
      </c>
      <c r="K52" s="137">
        <v>200</v>
      </c>
      <c r="L52" s="137">
        <v>100</v>
      </c>
      <c r="M52" s="137">
        <v>0</v>
      </c>
      <c r="N52" s="137">
        <v>400</v>
      </c>
      <c r="O52" s="137">
        <v>100</v>
      </c>
      <c r="P52" s="137">
        <v>100</v>
      </c>
      <c r="Q52" s="137">
        <v>100</v>
      </c>
      <c r="R52" s="137">
        <v>900</v>
      </c>
      <c r="S52" s="131"/>
      <c r="T52" s="137">
        <v>5200</v>
      </c>
      <c r="U52" s="137">
        <v>3500</v>
      </c>
      <c r="V52" s="137">
        <v>1400</v>
      </c>
      <c r="W52" s="137">
        <v>200</v>
      </c>
      <c r="X52" s="137">
        <v>100</v>
      </c>
    </row>
    <row r="53" spans="1:24">
      <c r="A53" s="132">
        <v>1982</v>
      </c>
      <c r="B53" s="137">
        <v>14200</v>
      </c>
      <c r="C53" s="131"/>
      <c r="D53" s="137">
        <v>9500</v>
      </c>
      <c r="E53" s="137">
        <v>7000</v>
      </c>
      <c r="F53" s="137">
        <v>0</v>
      </c>
      <c r="G53" s="137">
        <v>400</v>
      </c>
      <c r="H53" s="137">
        <v>400</v>
      </c>
      <c r="I53" s="137">
        <v>0</v>
      </c>
      <c r="J53" s="137">
        <v>0</v>
      </c>
      <c r="K53" s="137">
        <v>100</v>
      </c>
      <c r="L53" s="137">
        <v>100</v>
      </c>
      <c r="M53" s="137">
        <v>0</v>
      </c>
      <c r="N53" s="137">
        <v>500</v>
      </c>
      <c r="O53" s="137">
        <v>100</v>
      </c>
      <c r="P53" s="137">
        <v>100</v>
      </c>
      <c r="Q53" s="137">
        <v>100</v>
      </c>
      <c r="R53" s="137">
        <v>700</v>
      </c>
      <c r="S53" s="131"/>
      <c r="T53" s="137">
        <v>4700</v>
      </c>
      <c r="U53" s="137">
        <v>2900</v>
      </c>
      <c r="V53" s="137">
        <v>1300</v>
      </c>
      <c r="W53" s="137">
        <v>400</v>
      </c>
      <c r="X53" s="137">
        <v>100</v>
      </c>
    </row>
    <row r="54" spans="1:24">
      <c r="A54" s="132">
        <v>1983</v>
      </c>
      <c r="B54" s="137">
        <v>13600</v>
      </c>
      <c r="C54" s="131"/>
      <c r="D54" s="137">
        <v>9400</v>
      </c>
      <c r="E54" s="137">
        <v>6900</v>
      </c>
      <c r="F54" s="137">
        <v>0</v>
      </c>
      <c r="G54" s="137">
        <v>400</v>
      </c>
      <c r="H54" s="137">
        <v>400</v>
      </c>
      <c r="I54" s="137">
        <v>0</v>
      </c>
      <c r="J54" s="137">
        <v>100</v>
      </c>
      <c r="K54" s="137">
        <v>200</v>
      </c>
      <c r="L54" s="137">
        <v>100</v>
      </c>
      <c r="M54" s="137">
        <v>0</v>
      </c>
      <c r="N54" s="137">
        <v>400</v>
      </c>
      <c r="O54" s="137">
        <v>100</v>
      </c>
      <c r="P54" s="137">
        <v>100</v>
      </c>
      <c r="Q54" s="137">
        <v>100</v>
      </c>
      <c r="R54" s="137">
        <v>700</v>
      </c>
      <c r="S54" s="131"/>
      <c r="T54" s="137">
        <v>4200</v>
      </c>
      <c r="U54" s="137">
        <v>2500</v>
      </c>
      <c r="V54" s="137">
        <v>1200</v>
      </c>
      <c r="W54" s="137">
        <v>400</v>
      </c>
      <c r="X54" s="137">
        <v>100</v>
      </c>
    </row>
    <row r="55" spans="1:24">
      <c r="A55" s="132">
        <v>1984</v>
      </c>
      <c r="B55" s="137">
        <v>14600</v>
      </c>
      <c r="C55" s="131"/>
      <c r="D55" s="137">
        <v>10300</v>
      </c>
      <c r="E55" s="137">
        <v>7300</v>
      </c>
      <c r="F55" s="137">
        <v>0</v>
      </c>
      <c r="G55" s="137">
        <v>400</v>
      </c>
      <c r="H55" s="137">
        <v>500</v>
      </c>
      <c r="I55" s="137">
        <v>0</v>
      </c>
      <c r="J55" s="137">
        <v>100</v>
      </c>
      <c r="K55" s="137">
        <v>200</v>
      </c>
      <c r="L55" s="137">
        <v>100</v>
      </c>
      <c r="M55" s="137">
        <v>0</v>
      </c>
      <c r="N55" s="137">
        <v>500</v>
      </c>
      <c r="O55" s="137">
        <v>100</v>
      </c>
      <c r="P55" s="137">
        <v>100</v>
      </c>
      <c r="Q55" s="137">
        <v>100</v>
      </c>
      <c r="R55" s="137">
        <v>800</v>
      </c>
      <c r="S55" s="131"/>
      <c r="T55" s="137">
        <v>4300</v>
      </c>
      <c r="U55" s="137">
        <v>2700</v>
      </c>
      <c r="V55" s="137">
        <v>1300</v>
      </c>
      <c r="W55" s="137">
        <v>200</v>
      </c>
      <c r="X55" s="137">
        <v>100</v>
      </c>
    </row>
    <row r="56" spans="1:24">
      <c r="A56" s="132">
        <v>1985</v>
      </c>
      <c r="B56" s="137">
        <v>14500</v>
      </c>
      <c r="C56" s="131"/>
      <c r="D56" s="137">
        <v>10000</v>
      </c>
      <c r="E56" s="137">
        <v>7300</v>
      </c>
      <c r="F56" s="137">
        <v>0</v>
      </c>
      <c r="G56" s="137">
        <v>400</v>
      </c>
      <c r="H56" s="137">
        <v>500</v>
      </c>
      <c r="I56" s="137">
        <v>0</v>
      </c>
      <c r="J56" s="137">
        <v>100</v>
      </c>
      <c r="K56" s="137">
        <v>300</v>
      </c>
      <c r="L56" s="137">
        <v>100</v>
      </c>
      <c r="M56" s="137">
        <v>0</v>
      </c>
      <c r="N56" s="137">
        <v>400</v>
      </c>
      <c r="O56" s="137">
        <v>100</v>
      </c>
      <c r="P56" s="137">
        <v>100</v>
      </c>
      <c r="Q56" s="137">
        <v>100</v>
      </c>
      <c r="R56" s="137">
        <v>700</v>
      </c>
      <c r="S56" s="131"/>
      <c r="T56" s="137">
        <v>4500</v>
      </c>
      <c r="U56" s="137">
        <v>2800</v>
      </c>
      <c r="V56" s="137">
        <v>1400</v>
      </c>
      <c r="W56" s="137">
        <v>200</v>
      </c>
      <c r="X56" s="137">
        <v>100</v>
      </c>
    </row>
    <row r="57" spans="1:24">
      <c r="A57" s="132">
        <v>1986</v>
      </c>
      <c r="B57" s="137">
        <v>14400</v>
      </c>
      <c r="C57" s="131"/>
      <c r="D57" s="137">
        <v>10100</v>
      </c>
      <c r="E57" s="137">
        <v>7300</v>
      </c>
      <c r="F57" s="137">
        <v>0</v>
      </c>
      <c r="G57" s="137">
        <v>400</v>
      </c>
      <c r="H57" s="137">
        <v>500</v>
      </c>
      <c r="I57" s="137">
        <v>0</v>
      </c>
      <c r="J57" s="137">
        <v>100</v>
      </c>
      <c r="K57" s="137">
        <v>400</v>
      </c>
      <c r="L57" s="137">
        <v>100</v>
      </c>
      <c r="M57" s="137">
        <v>0</v>
      </c>
      <c r="N57" s="137">
        <v>400</v>
      </c>
      <c r="O57" s="137">
        <v>100</v>
      </c>
      <c r="P57" s="137">
        <v>100</v>
      </c>
      <c r="Q57" s="137">
        <v>100</v>
      </c>
      <c r="R57" s="137">
        <v>700</v>
      </c>
      <c r="S57" s="131"/>
      <c r="T57" s="137">
        <v>4300</v>
      </c>
      <c r="U57" s="137">
        <v>2600</v>
      </c>
      <c r="V57" s="137">
        <v>1300</v>
      </c>
      <c r="W57" s="137">
        <v>200</v>
      </c>
      <c r="X57" s="137">
        <v>100</v>
      </c>
    </row>
    <row r="58" spans="1:24">
      <c r="A58" s="132">
        <v>1987</v>
      </c>
      <c r="B58" s="137">
        <v>13800</v>
      </c>
      <c r="C58" s="131"/>
      <c r="D58" s="137">
        <v>9500</v>
      </c>
      <c r="E58" s="137">
        <v>6600</v>
      </c>
      <c r="F58" s="137">
        <v>0</v>
      </c>
      <c r="G58" s="137">
        <v>400</v>
      </c>
      <c r="H58" s="137">
        <v>500</v>
      </c>
      <c r="I58" s="137">
        <v>0</v>
      </c>
      <c r="J58" s="137">
        <v>100</v>
      </c>
      <c r="K58" s="137">
        <v>500</v>
      </c>
      <c r="L58" s="137">
        <v>100</v>
      </c>
      <c r="M58" s="137">
        <v>0</v>
      </c>
      <c r="N58" s="137">
        <v>400</v>
      </c>
      <c r="O58" s="137">
        <v>100</v>
      </c>
      <c r="P58" s="137">
        <v>100</v>
      </c>
      <c r="Q58" s="137">
        <v>100</v>
      </c>
      <c r="R58" s="137">
        <v>700</v>
      </c>
      <c r="S58" s="131"/>
      <c r="T58" s="137">
        <v>4300</v>
      </c>
      <c r="U58" s="137">
        <v>2700</v>
      </c>
      <c r="V58" s="137">
        <v>1400</v>
      </c>
      <c r="W58" s="137">
        <v>200</v>
      </c>
      <c r="X58" s="137">
        <v>100</v>
      </c>
    </row>
    <row r="59" spans="1:24">
      <c r="A59" s="132">
        <v>1988</v>
      </c>
      <c r="B59" s="137">
        <v>14300</v>
      </c>
      <c r="C59" s="131"/>
      <c r="D59" s="137">
        <v>9700</v>
      </c>
      <c r="E59" s="137">
        <v>6800</v>
      </c>
      <c r="F59" s="137">
        <v>0</v>
      </c>
      <c r="G59" s="137">
        <v>400</v>
      </c>
      <c r="H59" s="137">
        <v>500</v>
      </c>
      <c r="I59" s="137">
        <v>0</v>
      </c>
      <c r="J59" s="137">
        <v>100</v>
      </c>
      <c r="K59" s="137">
        <v>500</v>
      </c>
      <c r="L59" s="137">
        <v>0</v>
      </c>
      <c r="M59" s="137">
        <v>0</v>
      </c>
      <c r="N59" s="137">
        <v>400</v>
      </c>
      <c r="O59" s="137">
        <v>100</v>
      </c>
      <c r="P59" s="137">
        <v>100</v>
      </c>
      <c r="Q59" s="137">
        <v>100</v>
      </c>
      <c r="R59" s="137">
        <v>800</v>
      </c>
      <c r="S59" s="131"/>
      <c r="T59" s="137">
        <v>4600</v>
      </c>
      <c r="U59" s="137">
        <v>2800</v>
      </c>
      <c r="V59" s="137">
        <v>1500</v>
      </c>
      <c r="W59" s="137">
        <v>200</v>
      </c>
      <c r="X59" s="137">
        <v>100</v>
      </c>
    </row>
    <row r="60" spans="1:24">
      <c r="A60" s="132">
        <v>1989</v>
      </c>
      <c r="B60" s="137">
        <v>15000</v>
      </c>
      <c r="C60" s="131"/>
      <c r="D60" s="137">
        <v>10500</v>
      </c>
      <c r="E60" s="137">
        <v>7300</v>
      </c>
      <c r="F60" s="137">
        <v>0</v>
      </c>
      <c r="G60" s="137">
        <v>400</v>
      </c>
      <c r="H60" s="137">
        <v>500</v>
      </c>
      <c r="I60" s="137">
        <v>0</v>
      </c>
      <c r="J60" s="137">
        <v>100</v>
      </c>
      <c r="K60" s="137">
        <v>500</v>
      </c>
      <c r="L60" s="137">
        <v>100</v>
      </c>
      <c r="M60" s="137">
        <v>0</v>
      </c>
      <c r="N60" s="137">
        <v>400</v>
      </c>
      <c r="O60" s="137">
        <v>100</v>
      </c>
      <c r="P60" s="137">
        <v>100</v>
      </c>
      <c r="Q60" s="137">
        <v>100</v>
      </c>
      <c r="R60" s="137">
        <v>900</v>
      </c>
      <c r="S60" s="131"/>
      <c r="T60" s="137">
        <v>4500</v>
      </c>
      <c r="U60" s="137">
        <v>2700</v>
      </c>
      <c r="V60" s="137">
        <v>1500</v>
      </c>
      <c r="W60" s="137">
        <v>200</v>
      </c>
      <c r="X60" s="137">
        <v>100</v>
      </c>
    </row>
    <row r="61" spans="1:24">
      <c r="A61" s="132">
        <v>1990</v>
      </c>
      <c r="B61" s="137">
        <v>15400</v>
      </c>
      <c r="C61" s="131"/>
      <c r="D61" s="137">
        <v>10800</v>
      </c>
      <c r="E61" s="137">
        <v>7700</v>
      </c>
      <c r="F61" s="137">
        <v>0</v>
      </c>
      <c r="G61" s="137">
        <v>400</v>
      </c>
      <c r="H61" s="137">
        <v>600</v>
      </c>
      <c r="I61" s="137">
        <v>0</v>
      </c>
      <c r="J61" s="137">
        <v>100</v>
      </c>
      <c r="K61" s="137">
        <v>600</v>
      </c>
      <c r="L61" s="137">
        <v>0</v>
      </c>
      <c r="M61" s="137">
        <v>0</v>
      </c>
      <c r="N61" s="137">
        <v>400</v>
      </c>
      <c r="O61" s="137">
        <v>100</v>
      </c>
      <c r="P61" s="137">
        <v>100</v>
      </c>
      <c r="Q61" s="137">
        <v>100</v>
      </c>
      <c r="R61" s="137">
        <v>800</v>
      </c>
      <c r="S61" s="131"/>
      <c r="T61" s="137">
        <v>4600</v>
      </c>
      <c r="U61" s="137">
        <v>2700</v>
      </c>
      <c r="V61" s="137">
        <v>1600</v>
      </c>
      <c r="W61" s="137">
        <v>200</v>
      </c>
      <c r="X61" s="137">
        <v>100</v>
      </c>
    </row>
    <row r="62" spans="1:24">
      <c r="A62" s="132">
        <v>1991</v>
      </c>
      <c r="B62" s="137">
        <v>15500</v>
      </c>
      <c r="C62" s="131"/>
      <c r="D62" s="137">
        <v>11100</v>
      </c>
      <c r="E62" s="137">
        <v>8000</v>
      </c>
      <c r="F62" s="137">
        <v>0</v>
      </c>
      <c r="G62" s="137">
        <v>400</v>
      </c>
      <c r="H62" s="137">
        <v>600</v>
      </c>
      <c r="I62" s="137">
        <v>0</v>
      </c>
      <c r="J62" s="137">
        <v>100</v>
      </c>
      <c r="K62" s="137">
        <v>500</v>
      </c>
      <c r="L62" s="137">
        <v>0</v>
      </c>
      <c r="M62" s="137">
        <v>0</v>
      </c>
      <c r="N62" s="137">
        <v>400</v>
      </c>
      <c r="O62" s="137">
        <v>100</v>
      </c>
      <c r="P62" s="137">
        <v>100</v>
      </c>
      <c r="Q62" s="137">
        <v>100</v>
      </c>
      <c r="R62" s="137">
        <v>800</v>
      </c>
      <c r="S62" s="131"/>
      <c r="T62" s="137">
        <v>4400</v>
      </c>
      <c r="U62" s="137">
        <v>2400</v>
      </c>
      <c r="V62" s="137">
        <v>1500</v>
      </c>
      <c r="W62" s="137">
        <v>300</v>
      </c>
      <c r="X62" s="137">
        <v>100</v>
      </c>
    </row>
    <row r="63" spans="1:24">
      <c r="A63" s="132">
        <v>1992</v>
      </c>
      <c r="B63" s="137">
        <v>15600</v>
      </c>
      <c r="C63" s="131"/>
      <c r="D63" s="137">
        <v>11200</v>
      </c>
      <c r="E63" s="137">
        <v>8200</v>
      </c>
      <c r="F63" s="137">
        <v>0</v>
      </c>
      <c r="G63" s="137">
        <v>500</v>
      </c>
      <c r="H63" s="137">
        <v>600</v>
      </c>
      <c r="I63" s="137">
        <v>0</v>
      </c>
      <c r="J63" s="137">
        <v>100</v>
      </c>
      <c r="K63" s="137">
        <v>500</v>
      </c>
      <c r="L63" s="137">
        <v>0</v>
      </c>
      <c r="M63" s="137">
        <v>0</v>
      </c>
      <c r="N63" s="137">
        <v>300</v>
      </c>
      <c r="O63" s="137">
        <v>100</v>
      </c>
      <c r="P63" s="137">
        <v>100</v>
      </c>
      <c r="Q63" s="137">
        <v>100</v>
      </c>
      <c r="R63" s="137">
        <v>700</v>
      </c>
      <c r="S63" s="131"/>
      <c r="T63" s="137">
        <v>4300</v>
      </c>
      <c r="U63" s="137">
        <v>2300</v>
      </c>
      <c r="V63" s="137">
        <v>1500</v>
      </c>
      <c r="W63" s="137">
        <v>500</v>
      </c>
      <c r="X63" s="137">
        <v>100</v>
      </c>
    </row>
    <row r="64" spans="1:24">
      <c r="A64" s="132">
        <v>1993</v>
      </c>
      <c r="B64" s="137">
        <v>15600</v>
      </c>
      <c r="C64" s="131"/>
      <c r="D64" s="137">
        <v>11500</v>
      </c>
      <c r="E64" s="137">
        <v>8200</v>
      </c>
      <c r="F64" s="137">
        <v>0</v>
      </c>
      <c r="G64" s="137">
        <v>500</v>
      </c>
      <c r="H64" s="137">
        <v>600</v>
      </c>
      <c r="I64" s="137">
        <v>0</v>
      </c>
      <c r="J64" s="137">
        <v>100</v>
      </c>
      <c r="K64" s="137">
        <v>700</v>
      </c>
      <c r="L64" s="137">
        <v>100</v>
      </c>
      <c r="M64" s="137">
        <v>0</v>
      </c>
      <c r="N64" s="137">
        <v>200</v>
      </c>
      <c r="O64" s="137">
        <v>100</v>
      </c>
      <c r="P64" s="137">
        <v>100</v>
      </c>
      <c r="Q64" s="137">
        <v>100</v>
      </c>
      <c r="R64" s="137">
        <v>800</v>
      </c>
      <c r="S64" s="131"/>
      <c r="T64" s="137">
        <v>4100</v>
      </c>
      <c r="U64" s="137">
        <v>2100</v>
      </c>
      <c r="V64" s="137">
        <v>1500</v>
      </c>
      <c r="W64" s="137">
        <v>300</v>
      </c>
      <c r="X64" s="137">
        <v>100</v>
      </c>
    </row>
    <row r="65" spans="1:24">
      <c r="A65" s="132">
        <v>1994</v>
      </c>
      <c r="B65" s="137">
        <v>15500</v>
      </c>
      <c r="C65" s="131"/>
      <c r="D65" s="137">
        <v>11300</v>
      </c>
      <c r="E65" s="137">
        <v>8000</v>
      </c>
      <c r="F65" s="137">
        <v>0</v>
      </c>
      <c r="G65" s="137">
        <v>600</v>
      </c>
      <c r="H65" s="137">
        <v>600</v>
      </c>
      <c r="I65" s="137">
        <v>0</v>
      </c>
      <c r="J65" s="137">
        <v>100</v>
      </c>
      <c r="K65" s="137">
        <v>700</v>
      </c>
      <c r="L65" s="137">
        <v>0</v>
      </c>
      <c r="M65" s="137">
        <v>0</v>
      </c>
      <c r="N65" s="137">
        <v>200</v>
      </c>
      <c r="O65" s="137">
        <v>100</v>
      </c>
      <c r="P65" s="137">
        <v>100</v>
      </c>
      <c r="Q65" s="137">
        <v>100</v>
      </c>
      <c r="R65" s="137">
        <v>800</v>
      </c>
      <c r="S65" s="131"/>
      <c r="T65" s="137">
        <v>4200</v>
      </c>
      <c r="U65" s="137">
        <v>2200</v>
      </c>
      <c r="V65" s="137">
        <v>1600</v>
      </c>
      <c r="W65" s="137">
        <v>200</v>
      </c>
      <c r="X65" s="137">
        <v>100</v>
      </c>
    </row>
    <row r="66" spans="1:24">
      <c r="A66" s="132">
        <v>1995</v>
      </c>
      <c r="B66" s="137">
        <v>16700</v>
      </c>
      <c r="C66" s="131"/>
      <c r="D66" s="137">
        <v>12300</v>
      </c>
      <c r="E66" s="137">
        <v>8800</v>
      </c>
      <c r="F66" s="137">
        <v>100</v>
      </c>
      <c r="G66" s="137">
        <v>600</v>
      </c>
      <c r="H66" s="137">
        <v>700</v>
      </c>
      <c r="I66" s="137">
        <v>0</v>
      </c>
      <c r="J66" s="137">
        <v>100</v>
      </c>
      <c r="K66" s="137">
        <v>800</v>
      </c>
      <c r="L66" s="137">
        <v>0</v>
      </c>
      <c r="M66" s="137">
        <v>0</v>
      </c>
      <c r="N66" s="137">
        <v>200</v>
      </c>
      <c r="O66" s="137">
        <v>100</v>
      </c>
      <c r="P66" s="137">
        <v>100</v>
      </c>
      <c r="Q66" s="137">
        <v>100</v>
      </c>
      <c r="R66" s="137">
        <v>800</v>
      </c>
      <c r="S66" s="131"/>
      <c r="T66" s="137">
        <v>4400</v>
      </c>
      <c r="U66" s="137">
        <v>2400</v>
      </c>
      <c r="V66" s="137">
        <v>1700</v>
      </c>
      <c r="W66" s="137">
        <v>200</v>
      </c>
      <c r="X66" s="137">
        <v>100</v>
      </c>
    </row>
    <row r="67" spans="1:24">
      <c r="A67" s="132">
        <v>1996</v>
      </c>
      <c r="B67" s="137">
        <v>16700</v>
      </c>
      <c r="C67" s="131"/>
      <c r="D67" s="137">
        <v>12500</v>
      </c>
      <c r="E67" s="137">
        <v>8900</v>
      </c>
      <c r="F67" s="137">
        <v>100</v>
      </c>
      <c r="G67" s="137">
        <v>600</v>
      </c>
      <c r="H67" s="137">
        <v>700</v>
      </c>
      <c r="I67" s="137">
        <v>0</v>
      </c>
      <c r="J67" s="137">
        <v>100</v>
      </c>
      <c r="K67" s="137">
        <v>800</v>
      </c>
      <c r="L67" s="137">
        <v>100</v>
      </c>
      <c r="M67" s="137">
        <v>0</v>
      </c>
      <c r="N67" s="137">
        <v>200</v>
      </c>
      <c r="O67" s="137">
        <v>100</v>
      </c>
      <c r="P67" s="137">
        <v>100</v>
      </c>
      <c r="Q67" s="137">
        <v>100</v>
      </c>
      <c r="R67" s="137">
        <v>800</v>
      </c>
      <c r="S67" s="131"/>
      <c r="T67" s="137">
        <v>4200</v>
      </c>
      <c r="U67" s="137">
        <v>2200</v>
      </c>
      <c r="V67" s="137">
        <v>1700</v>
      </c>
      <c r="W67" s="137">
        <v>200</v>
      </c>
      <c r="X67" s="137">
        <v>100</v>
      </c>
    </row>
    <row r="68" spans="1:24">
      <c r="A68" s="132">
        <v>1997</v>
      </c>
      <c r="B68" s="137">
        <v>17600</v>
      </c>
      <c r="C68" s="131"/>
      <c r="D68" s="137">
        <v>13200</v>
      </c>
      <c r="E68" s="137">
        <v>9500</v>
      </c>
      <c r="F68" s="137">
        <v>100</v>
      </c>
      <c r="G68" s="137">
        <v>600</v>
      </c>
      <c r="H68" s="137">
        <v>700</v>
      </c>
      <c r="I68" s="137">
        <v>0</v>
      </c>
      <c r="J68" s="137">
        <v>100</v>
      </c>
      <c r="K68" s="137">
        <v>900</v>
      </c>
      <c r="L68" s="137">
        <v>100</v>
      </c>
      <c r="M68" s="137">
        <v>0</v>
      </c>
      <c r="N68" s="137">
        <v>200</v>
      </c>
      <c r="O68" s="137">
        <v>100</v>
      </c>
      <c r="P68" s="137">
        <v>100</v>
      </c>
      <c r="Q68" s="137">
        <v>100</v>
      </c>
      <c r="R68" s="137">
        <v>800</v>
      </c>
      <c r="S68" s="131"/>
      <c r="T68" s="137">
        <v>4500</v>
      </c>
      <c r="U68" s="137">
        <v>2400</v>
      </c>
      <c r="V68" s="137">
        <v>1800</v>
      </c>
      <c r="W68" s="137">
        <v>200</v>
      </c>
      <c r="X68" s="137">
        <v>100</v>
      </c>
    </row>
    <row r="69" spans="1:24">
      <c r="A69" s="132">
        <v>1998</v>
      </c>
      <c r="B69" s="137">
        <v>18800</v>
      </c>
      <c r="C69" s="131"/>
      <c r="D69" s="137">
        <v>14300</v>
      </c>
      <c r="E69" s="137">
        <v>10300</v>
      </c>
      <c r="F69" s="137">
        <v>100</v>
      </c>
      <c r="G69" s="137">
        <v>700</v>
      </c>
      <c r="H69" s="137">
        <v>800</v>
      </c>
      <c r="I69" s="137">
        <v>0</v>
      </c>
      <c r="J69" s="137">
        <v>100</v>
      </c>
      <c r="K69" s="137">
        <v>900</v>
      </c>
      <c r="L69" s="137">
        <v>100</v>
      </c>
      <c r="M69" s="137">
        <v>0</v>
      </c>
      <c r="N69" s="137">
        <v>200</v>
      </c>
      <c r="O69" s="137">
        <v>100</v>
      </c>
      <c r="P69" s="137">
        <v>100</v>
      </c>
      <c r="Q69" s="137">
        <v>100</v>
      </c>
      <c r="R69" s="137">
        <v>900</v>
      </c>
      <c r="S69" s="131"/>
      <c r="T69" s="137">
        <v>4500</v>
      </c>
      <c r="U69" s="137">
        <v>2500</v>
      </c>
      <c r="V69" s="137">
        <v>1800</v>
      </c>
      <c r="W69" s="137">
        <v>200</v>
      </c>
      <c r="X69" s="137">
        <v>100</v>
      </c>
    </row>
    <row r="70" spans="1:24">
      <c r="A70" s="132">
        <v>1999</v>
      </c>
      <c r="B70" s="137">
        <v>19500</v>
      </c>
      <c r="C70" s="131"/>
      <c r="D70" s="137">
        <v>14600</v>
      </c>
      <c r="E70" s="137">
        <v>10300</v>
      </c>
      <c r="F70" s="137">
        <v>100</v>
      </c>
      <c r="G70" s="137">
        <v>700</v>
      </c>
      <c r="H70" s="137">
        <v>800</v>
      </c>
      <c r="I70" s="137">
        <v>0</v>
      </c>
      <c r="J70" s="137">
        <v>100</v>
      </c>
      <c r="K70" s="137">
        <v>1200</v>
      </c>
      <c r="L70" s="137">
        <v>100</v>
      </c>
      <c r="M70" s="137">
        <v>0</v>
      </c>
      <c r="N70" s="137">
        <v>200</v>
      </c>
      <c r="O70" s="137">
        <v>100</v>
      </c>
      <c r="P70" s="137">
        <v>100</v>
      </c>
      <c r="Q70" s="137">
        <v>100</v>
      </c>
      <c r="R70" s="137">
        <v>900</v>
      </c>
      <c r="S70" s="131"/>
      <c r="T70" s="137">
        <v>4900</v>
      </c>
      <c r="U70" s="137">
        <v>2700</v>
      </c>
      <c r="V70" s="137">
        <v>1900</v>
      </c>
      <c r="W70" s="137">
        <v>200</v>
      </c>
      <c r="X70" s="137">
        <v>100</v>
      </c>
    </row>
    <row r="71" spans="1:24">
      <c r="A71" s="132">
        <v>2000</v>
      </c>
      <c r="B71" s="137">
        <v>19300</v>
      </c>
      <c r="C71" s="131"/>
      <c r="D71" s="137">
        <v>14400</v>
      </c>
      <c r="E71" s="137">
        <v>10200</v>
      </c>
      <c r="F71" s="137">
        <v>100</v>
      </c>
      <c r="G71" s="137">
        <v>700</v>
      </c>
      <c r="H71" s="137">
        <v>800</v>
      </c>
      <c r="I71" s="137">
        <v>0</v>
      </c>
      <c r="J71" s="137">
        <v>100</v>
      </c>
      <c r="K71" s="137">
        <v>1000</v>
      </c>
      <c r="L71" s="137">
        <v>100</v>
      </c>
      <c r="M71" s="137">
        <v>0</v>
      </c>
      <c r="N71" s="137">
        <v>200</v>
      </c>
      <c r="O71" s="137">
        <v>100</v>
      </c>
      <c r="P71" s="137">
        <v>100</v>
      </c>
      <c r="Q71" s="137">
        <v>100</v>
      </c>
      <c r="R71" s="137">
        <v>1000</v>
      </c>
      <c r="S71" s="131"/>
      <c r="T71" s="137">
        <v>4900</v>
      </c>
      <c r="U71" s="137">
        <v>2700</v>
      </c>
      <c r="V71" s="137">
        <v>1900</v>
      </c>
      <c r="W71" s="137">
        <v>200</v>
      </c>
      <c r="X71" s="137">
        <v>100</v>
      </c>
    </row>
    <row r="72" spans="1:24">
      <c r="A72" s="132">
        <v>2001</v>
      </c>
      <c r="B72" s="137">
        <v>19000</v>
      </c>
      <c r="C72" s="131"/>
      <c r="D72" s="137">
        <v>14000</v>
      </c>
      <c r="E72" s="137">
        <v>10200</v>
      </c>
      <c r="F72" s="137">
        <v>100</v>
      </c>
      <c r="G72" s="137">
        <v>700</v>
      </c>
      <c r="H72" s="137">
        <v>800</v>
      </c>
      <c r="I72" s="137">
        <v>0</v>
      </c>
      <c r="J72" s="137">
        <v>100</v>
      </c>
      <c r="K72" s="137">
        <v>1000</v>
      </c>
      <c r="L72" s="137">
        <v>0</v>
      </c>
      <c r="M72" s="137">
        <v>0</v>
      </c>
      <c r="N72" s="137">
        <v>200</v>
      </c>
      <c r="O72" s="137">
        <v>100</v>
      </c>
      <c r="P72" s="137">
        <v>100</v>
      </c>
      <c r="Q72" s="137">
        <v>100</v>
      </c>
      <c r="R72" s="137">
        <v>700</v>
      </c>
      <c r="S72" s="131"/>
      <c r="T72" s="137">
        <v>5000</v>
      </c>
      <c r="U72" s="137">
        <v>2700</v>
      </c>
      <c r="V72" s="137">
        <v>2000</v>
      </c>
      <c r="W72" s="137">
        <v>300</v>
      </c>
      <c r="X72" s="137">
        <v>100</v>
      </c>
    </row>
    <row r="73" spans="1:24">
      <c r="A73" s="132">
        <v>2002</v>
      </c>
      <c r="B73" s="137">
        <v>18800</v>
      </c>
      <c r="C73" s="131"/>
      <c r="D73" s="137">
        <v>14000</v>
      </c>
      <c r="E73" s="137">
        <v>10100</v>
      </c>
      <c r="F73" s="137">
        <v>0</v>
      </c>
      <c r="G73" s="137">
        <v>700</v>
      </c>
      <c r="H73" s="137">
        <v>800</v>
      </c>
      <c r="I73" s="137">
        <v>0</v>
      </c>
      <c r="J73" s="137">
        <v>100</v>
      </c>
      <c r="K73" s="137">
        <v>1000</v>
      </c>
      <c r="L73" s="137">
        <v>0</v>
      </c>
      <c r="M73" s="137">
        <v>0</v>
      </c>
      <c r="N73" s="137">
        <v>200</v>
      </c>
      <c r="O73" s="137">
        <v>100</v>
      </c>
      <c r="P73" s="137">
        <v>100</v>
      </c>
      <c r="Q73" s="137">
        <v>100</v>
      </c>
      <c r="R73" s="137">
        <v>900</v>
      </c>
      <c r="S73" s="131"/>
      <c r="T73" s="137">
        <v>4800</v>
      </c>
      <c r="U73" s="137">
        <v>2400</v>
      </c>
      <c r="V73" s="137">
        <v>1800</v>
      </c>
      <c r="W73" s="137">
        <v>400</v>
      </c>
      <c r="X73" s="137">
        <v>100</v>
      </c>
    </row>
    <row r="74" spans="1:24">
      <c r="A74" s="132">
        <v>2003</v>
      </c>
      <c r="B74" s="137">
        <v>18500</v>
      </c>
      <c r="C74" s="131"/>
      <c r="D74" s="137">
        <v>13800</v>
      </c>
      <c r="E74" s="137">
        <v>9900</v>
      </c>
      <c r="F74" s="137">
        <v>0</v>
      </c>
      <c r="G74" s="137">
        <v>700</v>
      </c>
      <c r="H74" s="137">
        <v>700</v>
      </c>
      <c r="I74" s="137">
        <v>0</v>
      </c>
      <c r="J74" s="137">
        <v>100</v>
      </c>
      <c r="K74" s="137">
        <v>1100</v>
      </c>
      <c r="L74" s="137">
        <v>0</v>
      </c>
      <c r="M74" s="137">
        <v>0</v>
      </c>
      <c r="N74" s="137">
        <v>100</v>
      </c>
      <c r="O74" s="137">
        <v>100</v>
      </c>
      <c r="P74" s="137">
        <v>100</v>
      </c>
      <c r="Q74" s="137">
        <v>100</v>
      </c>
      <c r="R74" s="137">
        <v>900</v>
      </c>
      <c r="S74" s="131"/>
      <c r="T74" s="137">
        <v>4700</v>
      </c>
      <c r="U74" s="137">
        <v>2300</v>
      </c>
      <c r="V74" s="137">
        <v>1900</v>
      </c>
      <c r="W74" s="137">
        <v>400</v>
      </c>
      <c r="X74" s="137">
        <v>100</v>
      </c>
    </row>
    <row r="75" spans="1:24">
      <c r="A75" s="132">
        <v>2004</v>
      </c>
      <c r="B75" s="137">
        <v>18800</v>
      </c>
      <c r="C75" s="131"/>
      <c r="D75" s="137">
        <v>14100</v>
      </c>
      <c r="E75" s="137">
        <v>10100</v>
      </c>
      <c r="F75" s="137">
        <v>0</v>
      </c>
      <c r="G75" s="137">
        <v>800</v>
      </c>
      <c r="H75" s="137">
        <v>700</v>
      </c>
      <c r="I75" s="137">
        <v>0</v>
      </c>
      <c r="J75" s="137">
        <v>100</v>
      </c>
      <c r="K75" s="137">
        <v>1100</v>
      </c>
      <c r="L75" s="137">
        <v>0</v>
      </c>
      <c r="M75" s="137">
        <v>0</v>
      </c>
      <c r="N75" s="137">
        <v>100</v>
      </c>
      <c r="O75" s="137">
        <v>100</v>
      </c>
      <c r="P75" s="137">
        <v>100</v>
      </c>
      <c r="Q75" s="137">
        <v>100</v>
      </c>
      <c r="R75" s="137">
        <v>800</v>
      </c>
      <c r="S75" s="131"/>
      <c r="T75" s="137">
        <v>4700</v>
      </c>
      <c r="U75" s="137">
        <v>2300</v>
      </c>
      <c r="V75" s="137">
        <v>1900</v>
      </c>
      <c r="W75" s="137">
        <v>300</v>
      </c>
      <c r="X75" s="137">
        <v>100</v>
      </c>
    </row>
    <row r="76" spans="1:24">
      <c r="A76" s="132">
        <v>2005</v>
      </c>
      <c r="B76" s="137">
        <v>19300</v>
      </c>
      <c r="C76" s="131"/>
      <c r="D76" s="137">
        <v>14600</v>
      </c>
      <c r="E76" s="137">
        <v>10500</v>
      </c>
      <c r="F76" s="137">
        <v>100</v>
      </c>
      <c r="G76" s="137">
        <v>800</v>
      </c>
      <c r="H76" s="137">
        <v>800</v>
      </c>
      <c r="I76" s="137">
        <v>0</v>
      </c>
      <c r="J76" s="137">
        <v>200</v>
      </c>
      <c r="K76" s="137">
        <v>1100</v>
      </c>
      <c r="L76" s="137">
        <v>0</v>
      </c>
      <c r="M76" s="137">
        <v>0</v>
      </c>
      <c r="N76" s="137">
        <v>100</v>
      </c>
      <c r="O76" s="137">
        <v>100</v>
      </c>
      <c r="P76" s="137">
        <v>100</v>
      </c>
      <c r="Q76" s="137">
        <v>100</v>
      </c>
      <c r="R76" s="137">
        <v>800</v>
      </c>
      <c r="S76" s="131"/>
      <c r="T76" s="137">
        <v>4700</v>
      </c>
      <c r="U76" s="137">
        <v>2400</v>
      </c>
      <c r="V76" s="137">
        <v>2000</v>
      </c>
      <c r="W76" s="137">
        <v>200</v>
      </c>
      <c r="X76" s="137">
        <v>100</v>
      </c>
    </row>
    <row r="77" spans="1:24">
      <c r="A77" s="132">
        <v>2006</v>
      </c>
      <c r="B77" s="137">
        <v>20300</v>
      </c>
      <c r="C77" s="131"/>
      <c r="D77" s="137">
        <v>15900</v>
      </c>
      <c r="E77" s="137">
        <v>11400</v>
      </c>
      <c r="F77" s="137">
        <v>100</v>
      </c>
      <c r="G77" s="137">
        <v>900</v>
      </c>
      <c r="H77" s="137">
        <v>800</v>
      </c>
      <c r="I77" s="137">
        <v>0</v>
      </c>
      <c r="J77" s="137">
        <v>200</v>
      </c>
      <c r="K77" s="137">
        <v>1300</v>
      </c>
      <c r="L77" s="137">
        <v>0</v>
      </c>
      <c r="M77" s="137">
        <v>0</v>
      </c>
      <c r="N77" s="137">
        <v>200</v>
      </c>
      <c r="O77" s="137">
        <v>100</v>
      </c>
      <c r="P77" s="137">
        <v>100</v>
      </c>
      <c r="Q77" s="137">
        <v>100</v>
      </c>
      <c r="R77" s="137">
        <v>800</v>
      </c>
      <c r="S77" s="131"/>
      <c r="T77" s="137">
        <v>4300</v>
      </c>
      <c r="U77" s="137">
        <v>2100</v>
      </c>
      <c r="V77" s="137">
        <v>2000</v>
      </c>
      <c r="W77" s="137">
        <v>200</v>
      </c>
      <c r="X77" s="137">
        <v>100</v>
      </c>
    </row>
    <row r="78" spans="1:24">
      <c r="A78" s="132">
        <v>2007</v>
      </c>
      <c r="B78" s="137">
        <v>21600</v>
      </c>
      <c r="C78" s="131"/>
      <c r="D78" s="137">
        <v>17000</v>
      </c>
      <c r="E78" s="137">
        <v>12200</v>
      </c>
      <c r="F78" s="137">
        <v>100</v>
      </c>
      <c r="G78" s="137">
        <v>800</v>
      </c>
      <c r="H78" s="137">
        <v>900</v>
      </c>
      <c r="I78" s="137">
        <v>0</v>
      </c>
      <c r="J78" s="137">
        <v>200</v>
      </c>
      <c r="K78" s="137">
        <v>1300</v>
      </c>
      <c r="L78" s="137">
        <v>100</v>
      </c>
      <c r="M78" s="137">
        <v>0</v>
      </c>
      <c r="N78" s="137">
        <v>200</v>
      </c>
      <c r="O78" s="137">
        <v>100</v>
      </c>
      <c r="P78" s="137">
        <v>100</v>
      </c>
      <c r="Q78" s="137">
        <v>100</v>
      </c>
      <c r="R78" s="137">
        <v>1000</v>
      </c>
      <c r="S78" s="131"/>
      <c r="T78" s="137">
        <v>4700</v>
      </c>
      <c r="U78" s="137">
        <v>2300</v>
      </c>
      <c r="V78" s="137">
        <v>2100</v>
      </c>
      <c r="W78" s="137">
        <v>200</v>
      </c>
      <c r="X78" s="137">
        <v>100</v>
      </c>
    </row>
    <row r="79" spans="1:24">
      <c r="A79" s="132">
        <v>2008</v>
      </c>
      <c r="B79" s="137">
        <v>21200</v>
      </c>
      <c r="C79" s="131"/>
      <c r="D79" s="137">
        <v>16400</v>
      </c>
      <c r="E79" s="137">
        <v>12000</v>
      </c>
      <c r="F79" s="137">
        <v>100</v>
      </c>
      <c r="G79" s="137">
        <v>800</v>
      </c>
      <c r="H79" s="137">
        <v>900</v>
      </c>
      <c r="I79" s="137">
        <v>0</v>
      </c>
      <c r="J79" s="137">
        <v>100</v>
      </c>
      <c r="K79" s="137">
        <v>1200</v>
      </c>
      <c r="L79" s="137">
        <v>0</v>
      </c>
      <c r="M79" s="137">
        <v>0</v>
      </c>
      <c r="N79" s="137">
        <v>200</v>
      </c>
      <c r="O79" s="137">
        <v>100</v>
      </c>
      <c r="P79" s="137">
        <v>100</v>
      </c>
      <c r="Q79" s="137">
        <v>100</v>
      </c>
      <c r="R79" s="137">
        <v>900</v>
      </c>
      <c r="S79" s="131"/>
      <c r="T79" s="137">
        <v>4800</v>
      </c>
      <c r="U79" s="137">
        <v>2200</v>
      </c>
      <c r="V79" s="137">
        <v>2200</v>
      </c>
      <c r="W79" s="137">
        <v>400</v>
      </c>
      <c r="X79" s="137">
        <v>100</v>
      </c>
    </row>
    <row r="80" spans="1:24">
      <c r="A80" s="132">
        <v>2009</v>
      </c>
      <c r="B80" s="137">
        <v>20300</v>
      </c>
      <c r="C80" s="131"/>
      <c r="D80" s="137">
        <v>15500</v>
      </c>
      <c r="E80" s="137">
        <v>11300</v>
      </c>
      <c r="F80" s="137">
        <v>100</v>
      </c>
      <c r="G80" s="137">
        <v>700</v>
      </c>
      <c r="H80" s="137">
        <v>800</v>
      </c>
      <c r="I80" s="137">
        <v>0</v>
      </c>
      <c r="J80" s="137">
        <v>100</v>
      </c>
      <c r="K80" s="137">
        <v>1300</v>
      </c>
      <c r="L80" s="137">
        <v>0</v>
      </c>
      <c r="M80" s="137">
        <v>0</v>
      </c>
      <c r="N80" s="137">
        <v>100</v>
      </c>
      <c r="O80" s="137">
        <v>100</v>
      </c>
      <c r="P80" s="137">
        <v>100</v>
      </c>
      <c r="Q80" s="137">
        <v>100</v>
      </c>
      <c r="R80" s="137">
        <v>900</v>
      </c>
      <c r="S80" s="131"/>
      <c r="T80" s="137">
        <v>4800</v>
      </c>
      <c r="U80" s="137">
        <v>1800</v>
      </c>
      <c r="V80" s="137">
        <v>1900</v>
      </c>
      <c r="W80" s="137">
        <v>900</v>
      </c>
      <c r="X80" s="137">
        <v>100</v>
      </c>
    </row>
    <row r="81" spans="1:24">
      <c r="A81" s="132">
        <v>2010</v>
      </c>
      <c r="B81" s="137">
        <v>19800</v>
      </c>
      <c r="C81" s="131"/>
      <c r="D81" s="137">
        <v>15200</v>
      </c>
      <c r="E81" s="137">
        <v>10900</v>
      </c>
      <c r="F81" s="137">
        <v>100</v>
      </c>
      <c r="G81" s="137">
        <v>600</v>
      </c>
      <c r="H81" s="137">
        <v>800</v>
      </c>
      <c r="I81" s="137">
        <v>0</v>
      </c>
      <c r="J81" s="137">
        <v>100</v>
      </c>
      <c r="K81" s="137">
        <v>1500</v>
      </c>
      <c r="L81" s="137">
        <v>0</v>
      </c>
      <c r="M81" s="137">
        <v>0</v>
      </c>
      <c r="N81" s="137">
        <v>100</v>
      </c>
      <c r="O81" s="137">
        <v>100</v>
      </c>
      <c r="P81" s="137">
        <v>100</v>
      </c>
      <c r="Q81" s="137">
        <v>100</v>
      </c>
      <c r="R81" s="137">
        <v>900</v>
      </c>
      <c r="S81" s="131"/>
      <c r="T81" s="137">
        <v>4500</v>
      </c>
      <c r="U81" s="137">
        <v>1700</v>
      </c>
      <c r="V81" s="137">
        <v>1800</v>
      </c>
      <c r="W81" s="137">
        <v>1000</v>
      </c>
      <c r="X81" s="137">
        <v>100</v>
      </c>
    </row>
    <row r="82" spans="1:24">
      <c r="A82" s="132">
        <v>2011</v>
      </c>
      <c r="B82" s="137">
        <v>20100</v>
      </c>
      <c r="C82" s="131"/>
      <c r="D82" s="137">
        <v>15400</v>
      </c>
      <c r="E82" s="137">
        <v>11000</v>
      </c>
      <c r="F82" s="137">
        <v>100</v>
      </c>
      <c r="G82" s="137">
        <v>600</v>
      </c>
      <c r="H82" s="137">
        <v>800</v>
      </c>
      <c r="I82" s="137">
        <v>0</v>
      </c>
      <c r="J82" s="137">
        <v>100</v>
      </c>
      <c r="K82" s="137">
        <v>1500</v>
      </c>
      <c r="L82" s="137">
        <v>0</v>
      </c>
      <c r="M82" s="137">
        <v>0</v>
      </c>
      <c r="N82" s="137">
        <v>100</v>
      </c>
      <c r="O82" s="137">
        <v>100</v>
      </c>
      <c r="P82" s="137">
        <v>100</v>
      </c>
      <c r="Q82" s="137">
        <v>100</v>
      </c>
      <c r="R82" s="137">
        <v>900</v>
      </c>
      <c r="S82" s="131"/>
      <c r="T82" s="137">
        <v>4700</v>
      </c>
      <c r="U82" s="137">
        <v>1900</v>
      </c>
      <c r="V82" s="137">
        <v>2000</v>
      </c>
      <c r="W82" s="137">
        <v>700</v>
      </c>
      <c r="X82" s="137">
        <v>100</v>
      </c>
    </row>
    <row r="83" spans="1:24">
      <c r="A83" s="132">
        <v>2012</v>
      </c>
      <c r="B83" s="137">
        <v>19200</v>
      </c>
      <c r="C83" s="131"/>
      <c r="D83" s="137">
        <v>14800</v>
      </c>
      <c r="E83" s="137">
        <v>10500</v>
      </c>
      <c r="F83" s="137">
        <v>100</v>
      </c>
      <c r="G83" s="137">
        <v>600</v>
      </c>
      <c r="H83" s="137">
        <v>800</v>
      </c>
      <c r="I83" s="137">
        <v>0</v>
      </c>
      <c r="J83" s="137">
        <v>100</v>
      </c>
      <c r="K83" s="137">
        <v>1600</v>
      </c>
      <c r="L83" s="137">
        <v>0</v>
      </c>
      <c r="M83" s="137">
        <v>0</v>
      </c>
      <c r="N83" s="137">
        <v>100</v>
      </c>
      <c r="O83" s="137">
        <v>100</v>
      </c>
      <c r="P83" s="137">
        <v>100</v>
      </c>
      <c r="Q83" s="137">
        <v>100</v>
      </c>
      <c r="R83" s="137">
        <v>800</v>
      </c>
      <c r="S83" s="131"/>
      <c r="T83" s="137">
        <v>4400</v>
      </c>
      <c r="U83" s="137">
        <v>1800</v>
      </c>
      <c r="V83" s="137">
        <v>2000</v>
      </c>
      <c r="W83" s="137">
        <v>600</v>
      </c>
      <c r="X83" s="137">
        <v>100</v>
      </c>
    </row>
    <row r="84" spans="1:24">
      <c r="A84" s="132">
        <v>2013</v>
      </c>
      <c r="B84" s="137">
        <v>19900</v>
      </c>
      <c r="C84" s="131"/>
      <c r="D84" s="137">
        <v>15700</v>
      </c>
      <c r="E84" s="137">
        <v>11100</v>
      </c>
      <c r="F84" s="137">
        <v>100</v>
      </c>
      <c r="G84" s="137">
        <v>700</v>
      </c>
      <c r="H84" s="137">
        <v>800</v>
      </c>
      <c r="I84" s="137">
        <v>0</v>
      </c>
      <c r="J84" s="137">
        <v>100</v>
      </c>
      <c r="K84" s="137">
        <v>1700</v>
      </c>
      <c r="L84" s="137">
        <v>0</v>
      </c>
      <c r="M84" s="137">
        <v>0</v>
      </c>
      <c r="N84" s="137">
        <v>100</v>
      </c>
      <c r="O84" s="137">
        <v>100</v>
      </c>
      <c r="P84" s="137">
        <v>100</v>
      </c>
      <c r="Q84" s="137">
        <v>100</v>
      </c>
      <c r="R84" s="137">
        <v>900</v>
      </c>
      <c r="S84" s="131"/>
      <c r="T84" s="137">
        <v>4200</v>
      </c>
      <c r="U84" s="137">
        <v>1900</v>
      </c>
      <c r="V84" s="137">
        <v>1900</v>
      </c>
      <c r="W84" s="137">
        <v>400</v>
      </c>
      <c r="X84" s="137">
        <v>0</v>
      </c>
    </row>
    <row r="85" spans="1:24">
      <c r="A85" s="132">
        <v>2014</v>
      </c>
      <c r="B85" s="137">
        <v>19400</v>
      </c>
      <c r="C85" s="131"/>
      <c r="D85" s="137">
        <v>15000</v>
      </c>
      <c r="E85" s="137">
        <v>10600</v>
      </c>
      <c r="F85" s="137">
        <v>100</v>
      </c>
      <c r="G85" s="137">
        <v>600</v>
      </c>
      <c r="H85" s="137">
        <v>800</v>
      </c>
      <c r="I85" s="137">
        <v>0</v>
      </c>
      <c r="J85" s="137">
        <v>100</v>
      </c>
      <c r="K85" s="137">
        <v>1700</v>
      </c>
      <c r="L85" s="137">
        <v>0</v>
      </c>
      <c r="M85" s="137">
        <v>0</v>
      </c>
      <c r="N85" s="137">
        <v>100</v>
      </c>
      <c r="O85" s="137">
        <v>100</v>
      </c>
      <c r="P85" s="137">
        <v>100</v>
      </c>
      <c r="Q85" s="137">
        <v>100</v>
      </c>
      <c r="R85" s="137">
        <v>800</v>
      </c>
      <c r="S85" s="131"/>
      <c r="T85" s="137">
        <v>4400</v>
      </c>
      <c r="U85" s="137">
        <v>2100</v>
      </c>
      <c r="V85" s="137">
        <v>2100</v>
      </c>
      <c r="W85" s="137">
        <v>200</v>
      </c>
      <c r="X85" s="137">
        <v>0</v>
      </c>
    </row>
    <row r="86" spans="1:24">
      <c r="A86" s="132">
        <v>2015</v>
      </c>
      <c r="B86" s="137">
        <v>20500</v>
      </c>
      <c r="C86" s="131"/>
      <c r="D86" s="137">
        <v>15800</v>
      </c>
      <c r="E86" s="137">
        <v>11200</v>
      </c>
      <c r="F86" s="137">
        <v>100</v>
      </c>
      <c r="G86" s="137">
        <v>700</v>
      </c>
      <c r="H86" s="137">
        <v>800</v>
      </c>
      <c r="I86" s="137">
        <v>0</v>
      </c>
      <c r="J86" s="137">
        <v>100</v>
      </c>
      <c r="K86" s="137">
        <v>1700</v>
      </c>
      <c r="L86" s="137">
        <v>0</v>
      </c>
      <c r="M86" s="137">
        <v>0</v>
      </c>
      <c r="N86" s="137">
        <v>100</v>
      </c>
      <c r="O86" s="137">
        <v>100</v>
      </c>
      <c r="P86" s="137">
        <v>100</v>
      </c>
      <c r="Q86" s="137">
        <v>100</v>
      </c>
      <c r="R86" s="137">
        <v>900</v>
      </c>
      <c r="S86" s="131"/>
      <c r="T86" s="137">
        <v>4600</v>
      </c>
      <c r="U86" s="137">
        <v>2200</v>
      </c>
      <c r="V86" s="137">
        <v>2200</v>
      </c>
      <c r="W86" s="137">
        <v>200</v>
      </c>
      <c r="X86" s="137">
        <v>100</v>
      </c>
    </row>
    <row r="87" spans="1:24">
      <c r="A87" s="132">
        <v>2016</v>
      </c>
      <c r="B87" s="137">
        <v>20600</v>
      </c>
      <c r="C87" s="131"/>
      <c r="D87" s="137">
        <v>15600</v>
      </c>
      <c r="E87" s="137">
        <v>11100</v>
      </c>
      <c r="F87" s="137">
        <v>100</v>
      </c>
      <c r="G87" s="137">
        <v>700</v>
      </c>
      <c r="H87" s="137">
        <v>800</v>
      </c>
      <c r="I87" s="137">
        <v>0</v>
      </c>
      <c r="J87" s="137">
        <v>100</v>
      </c>
      <c r="K87" s="137">
        <v>1700</v>
      </c>
      <c r="L87" s="137">
        <v>0</v>
      </c>
      <c r="M87" s="137">
        <v>0</v>
      </c>
      <c r="N87" s="137">
        <v>100</v>
      </c>
      <c r="O87" s="137">
        <v>100</v>
      </c>
      <c r="P87" s="137">
        <v>100</v>
      </c>
      <c r="Q87" s="137">
        <v>100</v>
      </c>
      <c r="R87" s="137">
        <v>800</v>
      </c>
      <c r="S87" s="131"/>
      <c r="T87" s="137">
        <v>5000</v>
      </c>
      <c r="U87" s="137">
        <v>2400</v>
      </c>
      <c r="V87" s="137">
        <v>2400</v>
      </c>
      <c r="W87" s="137">
        <v>100</v>
      </c>
      <c r="X87" s="137">
        <v>0</v>
      </c>
    </row>
    <row r="89" spans="1:24">
      <c r="A89" s="131"/>
      <c r="B89" s="774" t="s">
        <v>6</v>
      </c>
      <c r="C89" s="774"/>
      <c r="D89" s="774"/>
      <c r="E89" s="774"/>
      <c r="F89" s="774"/>
      <c r="G89" s="774"/>
      <c r="H89" s="774"/>
      <c r="I89" s="774"/>
      <c r="J89" s="774"/>
      <c r="K89" s="774"/>
      <c r="L89" s="774"/>
      <c r="M89" s="774"/>
      <c r="N89" s="774"/>
      <c r="O89" s="774"/>
      <c r="P89" s="774"/>
      <c r="Q89" s="774"/>
      <c r="R89" s="774"/>
      <c r="S89" s="774"/>
      <c r="T89" s="774"/>
      <c r="U89" s="774"/>
      <c r="V89" s="774"/>
      <c r="W89" s="774"/>
      <c r="X89" s="774"/>
    </row>
    <row r="90" spans="1:24">
      <c r="A90" s="132">
        <v>1979</v>
      </c>
      <c r="B90" s="137">
        <v>37100</v>
      </c>
      <c r="C90" s="131"/>
      <c r="D90" s="137">
        <v>30800</v>
      </c>
      <c r="E90" s="137">
        <v>22700</v>
      </c>
      <c r="F90" s="137">
        <v>0</v>
      </c>
      <c r="G90" s="137">
        <v>1300</v>
      </c>
      <c r="H90" s="137">
        <v>1300</v>
      </c>
      <c r="I90" s="137">
        <v>100</v>
      </c>
      <c r="J90" s="137">
        <v>300</v>
      </c>
      <c r="K90" s="137">
        <v>1100</v>
      </c>
      <c r="L90" s="137">
        <v>100</v>
      </c>
      <c r="M90" s="137">
        <v>0</v>
      </c>
      <c r="N90" s="137">
        <v>1000</v>
      </c>
      <c r="O90" s="137">
        <v>100</v>
      </c>
      <c r="P90" s="137">
        <v>200</v>
      </c>
      <c r="Q90" s="137">
        <v>400</v>
      </c>
      <c r="R90" s="137">
        <v>2100</v>
      </c>
      <c r="S90" s="131"/>
      <c r="T90" s="137">
        <v>6300</v>
      </c>
      <c r="U90" s="137">
        <v>4700</v>
      </c>
      <c r="V90" s="137">
        <v>1200</v>
      </c>
      <c r="W90" s="137">
        <v>300</v>
      </c>
      <c r="X90" s="137">
        <v>200</v>
      </c>
    </row>
    <row r="91" spans="1:24">
      <c r="A91" s="132">
        <v>1980</v>
      </c>
      <c r="B91" s="137">
        <v>35600</v>
      </c>
      <c r="C91" s="131"/>
      <c r="D91" s="137">
        <v>28800</v>
      </c>
      <c r="E91" s="137">
        <v>21500</v>
      </c>
      <c r="F91" s="137">
        <v>0</v>
      </c>
      <c r="G91" s="137">
        <v>1000</v>
      </c>
      <c r="H91" s="137">
        <v>1200</v>
      </c>
      <c r="I91" s="137">
        <v>100</v>
      </c>
      <c r="J91" s="137">
        <v>200</v>
      </c>
      <c r="K91" s="137">
        <v>1000</v>
      </c>
      <c r="L91" s="137">
        <v>100</v>
      </c>
      <c r="M91" s="137">
        <v>0</v>
      </c>
      <c r="N91" s="137">
        <v>1100</v>
      </c>
      <c r="O91" s="137">
        <v>100</v>
      </c>
      <c r="P91" s="137">
        <v>200</v>
      </c>
      <c r="Q91" s="137">
        <v>300</v>
      </c>
      <c r="R91" s="137">
        <v>1900</v>
      </c>
      <c r="S91" s="131"/>
      <c r="T91" s="137">
        <v>6700</v>
      </c>
      <c r="U91" s="137">
        <v>4800</v>
      </c>
      <c r="V91" s="137">
        <v>1300</v>
      </c>
      <c r="W91" s="137">
        <v>500</v>
      </c>
      <c r="X91" s="137">
        <v>200</v>
      </c>
    </row>
    <row r="92" spans="1:24">
      <c r="A92" s="132">
        <v>1981</v>
      </c>
      <c r="B92" s="137">
        <v>35300</v>
      </c>
      <c r="C92" s="131"/>
      <c r="D92" s="137">
        <v>28400</v>
      </c>
      <c r="E92" s="137">
        <v>21200</v>
      </c>
      <c r="F92" s="137">
        <v>0</v>
      </c>
      <c r="G92" s="137">
        <v>1000</v>
      </c>
      <c r="H92" s="137">
        <v>1300</v>
      </c>
      <c r="I92" s="137">
        <v>100</v>
      </c>
      <c r="J92" s="137">
        <v>200</v>
      </c>
      <c r="K92" s="137">
        <v>900</v>
      </c>
      <c r="L92" s="137">
        <v>100</v>
      </c>
      <c r="M92" s="137">
        <v>0</v>
      </c>
      <c r="N92" s="137">
        <v>1200</v>
      </c>
      <c r="O92" s="137">
        <v>200</v>
      </c>
      <c r="P92" s="137">
        <v>200</v>
      </c>
      <c r="Q92" s="137">
        <v>200</v>
      </c>
      <c r="R92" s="137">
        <v>1900</v>
      </c>
      <c r="S92" s="131"/>
      <c r="T92" s="137">
        <v>6900</v>
      </c>
      <c r="U92" s="137">
        <v>4900</v>
      </c>
      <c r="V92" s="137">
        <v>1400</v>
      </c>
      <c r="W92" s="137">
        <v>400</v>
      </c>
      <c r="X92" s="137">
        <v>100</v>
      </c>
    </row>
    <row r="93" spans="1:24">
      <c r="A93" s="132">
        <v>1982</v>
      </c>
      <c r="B93" s="137">
        <v>34500</v>
      </c>
      <c r="C93" s="131"/>
      <c r="D93" s="137">
        <v>26900</v>
      </c>
      <c r="E93" s="137">
        <v>20000</v>
      </c>
      <c r="F93" s="137">
        <v>0</v>
      </c>
      <c r="G93" s="137">
        <v>1100</v>
      </c>
      <c r="H93" s="137">
        <v>1300</v>
      </c>
      <c r="I93" s="137">
        <v>100</v>
      </c>
      <c r="J93" s="137">
        <v>100</v>
      </c>
      <c r="K93" s="137">
        <v>800</v>
      </c>
      <c r="L93" s="137">
        <v>100</v>
      </c>
      <c r="M93" s="137">
        <v>0</v>
      </c>
      <c r="N93" s="137">
        <v>1300</v>
      </c>
      <c r="O93" s="137">
        <v>200</v>
      </c>
      <c r="P93" s="137">
        <v>200</v>
      </c>
      <c r="Q93" s="137">
        <v>100</v>
      </c>
      <c r="R93" s="137">
        <v>1600</v>
      </c>
      <c r="S93" s="131"/>
      <c r="T93" s="137">
        <v>7600</v>
      </c>
      <c r="U93" s="137">
        <v>5100</v>
      </c>
      <c r="V93" s="137">
        <v>1600</v>
      </c>
      <c r="W93" s="137">
        <v>700</v>
      </c>
      <c r="X93" s="137">
        <v>200</v>
      </c>
    </row>
    <row r="94" spans="1:24">
      <c r="A94" s="132">
        <v>1983</v>
      </c>
      <c r="B94" s="137">
        <v>33700</v>
      </c>
      <c r="C94" s="131"/>
      <c r="D94" s="137">
        <v>26100</v>
      </c>
      <c r="E94" s="137">
        <v>19200</v>
      </c>
      <c r="F94" s="137">
        <v>0</v>
      </c>
      <c r="G94" s="137">
        <v>1200</v>
      </c>
      <c r="H94" s="137">
        <v>1200</v>
      </c>
      <c r="I94" s="137">
        <v>100</v>
      </c>
      <c r="J94" s="137">
        <v>100</v>
      </c>
      <c r="K94" s="137">
        <v>900</v>
      </c>
      <c r="L94" s="137">
        <v>200</v>
      </c>
      <c r="M94" s="137">
        <v>0</v>
      </c>
      <c r="N94" s="137">
        <v>1200</v>
      </c>
      <c r="O94" s="137">
        <v>100</v>
      </c>
      <c r="P94" s="137">
        <v>100</v>
      </c>
      <c r="Q94" s="137">
        <v>200</v>
      </c>
      <c r="R94" s="137">
        <v>1500</v>
      </c>
      <c r="S94" s="131"/>
      <c r="T94" s="137">
        <v>7700</v>
      </c>
      <c r="U94" s="137">
        <v>5100</v>
      </c>
      <c r="V94" s="137">
        <v>1700</v>
      </c>
      <c r="W94" s="137">
        <v>600</v>
      </c>
      <c r="X94" s="137">
        <v>200</v>
      </c>
    </row>
    <row r="95" spans="1:24">
      <c r="A95" s="132">
        <v>1984</v>
      </c>
      <c r="B95" s="137">
        <v>35800</v>
      </c>
      <c r="C95" s="131"/>
      <c r="D95" s="137">
        <v>28700</v>
      </c>
      <c r="E95" s="137">
        <v>20900</v>
      </c>
      <c r="F95" s="137">
        <v>100</v>
      </c>
      <c r="G95" s="137">
        <v>1200</v>
      </c>
      <c r="H95" s="137">
        <v>1400</v>
      </c>
      <c r="I95" s="137">
        <v>100</v>
      </c>
      <c r="J95" s="137">
        <v>200</v>
      </c>
      <c r="K95" s="137">
        <v>900</v>
      </c>
      <c r="L95" s="137">
        <v>200</v>
      </c>
      <c r="M95" s="137">
        <v>0</v>
      </c>
      <c r="N95" s="137">
        <v>1300</v>
      </c>
      <c r="O95" s="137">
        <v>200</v>
      </c>
      <c r="P95" s="137">
        <v>200</v>
      </c>
      <c r="Q95" s="137">
        <v>200</v>
      </c>
      <c r="R95" s="137">
        <v>2000</v>
      </c>
      <c r="S95" s="131"/>
      <c r="T95" s="137">
        <v>7100</v>
      </c>
      <c r="U95" s="137">
        <v>4900</v>
      </c>
      <c r="V95" s="137">
        <v>1700</v>
      </c>
      <c r="W95" s="137">
        <v>400</v>
      </c>
      <c r="X95" s="137">
        <v>200</v>
      </c>
    </row>
    <row r="96" spans="1:24">
      <c r="A96" s="132">
        <v>1985</v>
      </c>
      <c r="B96" s="137">
        <v>35800</v>
      </c>
      <c r="C96" s="131"/>
      <c r="D96" s="137">
        <v>28700</v>
      </c>
      <c r="E96" s="137">
        <v>20900</v>
      </c>
      <c r="F96" s="137">
        <v>100</v>
      </c>
      <c r="G96" s="137">
        <v>1200</v>
      </c>
      <c r="H96" s="137">
        <v>1400</v>
      </c>
      <c r="I96" s="137">
        <v>100</v>
      </c>
      <c r="J96" s="137">
        <v>200</v>
      </c>
      <c r="K96" s="137">
        <v>900</v>
      </c>
      <c r="L96" s="137">
        <v>200</v>
      </c>
      <c r="M96" s="137">
        <v>0</v>
      </c>
      <c r="N96" s="137">
        <v>1300</v>
      </c>
      <c r="O96" s="137">
        <v>200</v>
      </c>
      <c r="P96" s="137">
        <v>200</v>
      </c>
      <c r="Q96" s="137">
        <v>200</v>
      </c>
      <c r="R96" s="137">
        <v>1900</v>
      </c>
      <c r="S96" s="131"/>
      <c r="T96" s="137">
        <v>7100</v>
      </c>
      <c r="U96" s="137">
        <v>4800</v>
      </c>
      <c r="V96" s="137">
        <v>1700</v>
      </c>
      <c r="W96" s="137">
        <v>400</v>
      </c>
      <c r="X96" s="137">
        <v>200</v>
      </c>
    </row>
    <row r="97" spans="1:24">
      <c r="A97" s="132">
        <v>1986</v>
      </c>
      <c r="B97" s="137">
        <v>36300</v>
      </c>
      <c r="C97" s="131"/>
      <c r="D97" s="137">
        <v>28700</v>
      </c>
      <c r="E97" s="137">
        <v>20700</v>
      </c>
      <c r="F97" s="137">
        <v>100</v>
      </c>
      <c r="G97" s="137">
        <v>1200</v>
      </c>
      <c r="H97" s="137">
        <v>1400</v>
      </c>
      <c r="I97" s="137">
        <v>100</v>
      </c>
      <c r="J97" s="137">
        <v>200</v>
      </c>
      <c r="K97" s="137">
        <v>1100</v>
      </c>
      <c r="L97" s="137">
        <v>200</v>
      </c>
      <c r="M97" s="137">
        <v>0</v>
      </c>
      <c r="N97" s="137">
        <v>1100</v>
      </c>
      <c r="O97" s="137">
        <v>200</v>
      </c>
      <c r="P97" s="137">
        <v>200</v>
      </c>
      <c r="Q97" s="137">
        <v>200</v>
      </c>
      <c r="R97" s="137">
        <v>2100</v>
      </c>
      <c r="S97" s="131"/>
      <c r="T97" s="137">
        <v>7600</v>
      </c>
      <c r="U97" s="137">
        <v>5100</v>
      </c>
      <c r="V97" s="137">
        <v>1900</v>
      </c>
      <c r="W97" s="137">
        <v>400</v>
      </c>
      <c r="X97" s="137">
        <v>200</v>
      </c>
    </row>
    <row r="98" spans="1:24">
      <c r="A98" s="132">
        <v>1987</v>
      </c>
      <c r="B98" s="137">
        <v>35400</v>
      </c>
      <c r="C98" s="131"/>
      <c r="D98" s="137">
        <v>27600</v>
      </c>
      <c r="E98" s="137">
        <v>19700</v>
      </c>
      <c r="F98" s="137">
        <v>100</v>
      </c>
      <c r="G98" s="137">
        <v>1300</v>
      </c>
      <c r="H98" s="137">
        <v>1400</v>
      </c>
      <c r="I98" s="137">
        <v>100</v>
      </c>
      <c r="J98" s="137">
        <v>200</v>
      </c>
      <c r="K98" s="137">
        <v>1200</v>
      </c>
      <c r="L98" s="137">
        <v>100</v>
      </c>
      <c r="M98" s="137">
        <v>0</v>
      </c>
      <c r="N98" s="137">
        <v>1100</v>
      </c>
      <c r="O98" s="137">
        <v>200</v>
      </c>
      <c r="P98" s="137">
        <v>100</v>
      </c>
      <c r="Q98" s="137">
        <v>200</v>
      </c>
      <c r="R98" s="137">
        <v>1900</v>
      </c>
      <c r="S98" s="131"/>
      <c r="T98" s="137">
        <v>7800</v>
      </c>
      <c r="U98" s="137">
        <v>5300</v>
      </c>
      <c r="V98" s="137">
        <v>2000</v>
      </c>
      <c r="W98" s="137">
        <v>300</v>
      </c>
      <c r="X98" s="137">
        <v>200</v>
      </c>
    </row>
    <row r="99" spans="1:24">
      <c r="A99" s="132">
        <v>1988</v>
      </c>
      <c r="B99" s="137">
        <v>36000</v>
      </c>
      <c r="C99" s="131"/>
      <c r="D99" s="137">
        <v>28300</v>
      </c>
      <c r="E99" s="137">
        <v>19900</v>
      </c>
      <c r="F99" s="137">
        <v>100</v>
      </c>
      <c r="G99" s="137">
        <v>1300</v>
      </c>
      <c r="H99" s="137">
        <v>1500</v>
      </c>
      <c r="I99" s="137">
        <v>100</v>
      </c>
      <c r="J99" s="137">
        <v>200</v>
      </c>
      <c r="K99" s="137">
        <v>1200</v>
      </c>
      <c r="L99" s="137">
        <v>100</v>
      </c>
      <c r="M99" s="137">
        <v>0</v>
      </c>
      <c r="N99" s="137">
        <v>1100</v>
      </c>
      <c r="O99" s="137">
        <v>200</v>
      </c>
      <c r="P99" s="137">
        <v>200</v>
      </c>
      <c r="Q99" s="137">
        <v>200</v>
      </c>
      <c r="R99" s="137">
        <v>2200</v>
      </c>
      <c r="S99" s="131"/>
      <c r="T99" s="137">
        <v>7700</v>
      </c>
      <c r="U99" s="137">
        <v>5300</v>
      </c>
      <c r="V99" s="137">
        <v>2000</v>
      </c>
      <c r="W99" s="137">
        <v>200</v>
      </c>
      <c r="X99" s="137">
        <v>200</v>
      </c>
    </row>
    <row r="100" spans="1:24">
      <c r="A100" s="132">
        <v>1989</v>
      </c>
      <c r="B100" s="137">
        <v>36300</v>
      </c>
      <c r="C100" s="131"/>
      <c r="D100" s="137">
        <v>28700</v>
      </c>
      <c r="E100" s="137">
        <v>20100</v>
      </c>
      <c r="F100" s="137">
        <v>100</v>
      </c>
      <c r="G100" s="137">
        <v>1300</v>
      </c>
      <c r="H100" s="137">
        <v>1500</v>
      </c>
      <c r="I100" s="137">
        <v>100</v>
      </c>
      <c r="J100" s="137">
        <v>200</v>
      </c>
      <c r="K100" s="137">
        <v>1300</v>
      </c>
      <c r="L100" s="137">
        <v>100</v>
      </c>
      <c r="M100" s="137">
        <v>0</v>
      </c>
      <c r="N100" s="137">
        <v>1100</v>
      </c>
      <c r="O100" s="137">
        <v>200</v>
      </c>
      <c r="P100" s="137">
        <v>200</v>
      </c>
      <c r="Q100" s="137">
        <v>200</v>
      </c>
      <c r="R100" s="137">
        <v>2300</v>
      </c>
      <c r="S100" s="131"/>
      <c r="T100" s="137">
        <v>7700</v>
      </c>
      <c r="U100" s="137">
        <v>5200</v>
      </c>
      <c r="V100" s="137">
        <v>2000</v>
      </c>
      <c r="W100" s="137">
        <v>300</v>
      </c>
      <c r="X100" s="137">
        <v>200</v>
      </c>
    </row>
    <row r="101" spans="1:24">
      <c r="A101" s="132">
        <v>1990</v>
      </c>
      <c r="B101" s="137">
        <v>37500</v>
      </c>
      <c r="C101" s="131"/>
      <c r="D101" s="137">
        <v>29700</v>
      </c>
      <c r="E101" s="137">
        <v>21100</v>
      </c>
      <c r="F101" s="137">
        <v>100</v>
      </c>
      <c r="G101" s="137">
        <v>1300</v>
      </c>
      <c r="H101" s="137">
        <v>1600</v>
      </c>
      <c r="I101" s="137">
        <v>100</v>
      </c>
      <c r="J101" s="137">
        <v>200</v>
      </c>
      <c r="K101" s="137">
        <v>1200</v>
      </c>
      <c r="L101" s="137">
        <v>0</v>
      </c>
      <c r="M101" s="137">
        <v>0</v>
      </c>
      <c r="N101" s="137">
        <v>1100</v>
      </c>
      <c r="O101" s="137">
        <v>200</v>
      </c>
      <c r="P101" s="137">
        <v>200</v>
      </c>
      <c r="Q101" s="137">
        <v>200</v>
      </c>
      <c r="R101" s="137">
        <v>2300</v>
      </c>
      <c r="S101" s="131"/>
      <c r="T101" s="137">
        <v>7800</v>
      </c>
      <c r="U101" s="137">
        <v>5200</v>
      </c>
      <c r="V101" s="137">
        <v>2100</v>
      </c>
      <c r="W101" s="137">
        <v>300</v>
      </c>
      <c r="X101" s="137">
        <v>200</v>
      </c>
    </row>
    <row r="102" spans="1:24">
      <c r="A102" s="132">
        <v>1991</v>
      </c>
      <c r="B102" s="137">
        <v>36600</v>
      </c>
      <c r="C102" s="131"/>
      <c r="D102" s="137">
        <v>28400</v>
      </c>
      <c r="E102" s="137">
        <v>20200</v>
      </c>
      <c r="F102" s="137">
        <v>100</v>
      </c>
      <c r="G102" s="137">
        <v>1300</v>
      </c>
      <c r="H102" s="137">
        <v>1500</v>
      </c>
      <c r="I102" s="137">
        <v>100</v>
      </c>
      <c r="J102" s="137">
        <v>200</v>
      </c>
      <c r="K102" s="137">
        <v>1200</v>
      </c>
      <c r="L102" s="137">
        <v>100</v>
      </c>
      <c r="M102" s="137">
        <v>0</v>
      </c>
      <c r="N102" s="137">
        <v>1000</v>
      </c>
      <c r="O102" s="137">
        <v>200</v>
      </c>
      <c r="P102" s="137">
        <v>100</v>
      </c>
      <c r="Q102" s="137">
        <v>200</v>
      </c>
      <c r="R102" s="137">
        <v>2200</v>
      </c>
      <c r="S102" s="131"/>
      <c r="T102" s="137">
        <v>8300</v>
      </c>
      <c r="U102" s="137">
        <v>5400</v>
      </c>
      <c r="V102" s="137">
        <v>2200</v>
      </c>
      <c r="W102" s="137">
        <v>500</v>
      </c>
      <c r="X102" s="137">
        <v>200</v>
      </c>
    </row>
    <row r="103" spans="1:24">
      <c r="A103" s="132">
        <v>1992</v>
      </c>
      <c r="B103" s="137">
        <v>36300</v>
      </c>
      <c r="C103" s="131"/>
      <c r="D103" s="137">
        <v>27500</v>
      </c>
      <c r="E103" s="137">
        <v>19400</v>
      </c>
      <c r="F103" s="137">
        <v>200</v>
      </c>
      <c r="G103" s="137">
        <v>1400</v>
      </c>
      <c r="H103" s="137">
        <v>1400</v>
      </c>
      <c r="I103" s="137">
        <v>100</v>
      </c>
      <c r="J103" s="137">
        <v>200</v>
      </c>
      <c r="K103" s="137">
        <v>1100</v>
      </c>
      <c r="L103" s="137">
        <v>100</v>
      </c>
      <c r="M103" s="137">
        <v>0</v>
      </c>
      <c r="N103" s="137">
        <v>800</v>
      </c>
      <c r="O103" s="137">
        <v>200</v>
      </c>
      <c r="P103" s="137">
        <v>100</v>
      </c>
      <c r="Q103" s="137">
        <v>200</v>
      </c>
      <c r="R103" s="137">
        <v>2300</v>
      </c>
      <c r="S103" s="131"/>
      <c r="T103" s="137">
        <v>8800</v>
      </c>
      <c r="U103" s="137">
        <v>5600</v>
      </c>
      <c r="V103" s="137">
        <v>2400</v>
      </c>
      <c r="W103" s="137">
        <v>600</v>
      </c>
      <c r="X103" s="137">
        <v>200</v>
      </c>
    </row>
    <row r="104" spans="1:24">
      <c r="A104" s="132">
        <v>1993</v>
      </c>
      <c r="B104" s="137">
        <v>36400</v>
      </c>
      <c r="C104" s="131"/>
      <c r="D104" s="137">
        <v>27200</v>
      </c>
      <c r="E104" s="137">
        <v>19200</v>
      </c>
      <c r="F104" s="137">
        <v>200</v>
      </c>
      <c r="G104" s="137">
        <v>1500</v>
      </c>
      <c r="H104" s="137">
        <v>1400</v>
      </c>
      <c r="I104" s="137">
        <v>100</v>
      </c>
      <c r="J104" s="137">
        <v>200</v>
      </c>
      <c r="K104" s="137">
        <v>1100</v>
      </c>
      <c r="L104" s="137">
        <v>100</v>
      </c>
      <c r="M104" s="137">
        <v>0</v>
      </c>
      <c r="N104" s="137">
        <v>600</v>
      </c>
      <c r="O104" s="137">
        <v>200</v>
      </c>
      <c r="P104" s="137">
        <v>200</v>
      </c>
      <c r="Q104" s="137">
        <v>200</v>
      </c>
      <c r="R104" s="137">
        <v>2300</v>
      </c>
      <c r="S104" s="131"/>
      <c r="T104" s="137">
        <v>9200</v>
      </c>
      <c r="U104" s="137">
        <v>5800</v>
      </c>
      <c r="V104" s="137">
        <v>2700</v>
      </c>
      <c r="W104" s="137">
        <v>500</v>
      </c>
      <c r="X104" s="137">
        <v>200</v>
      </c>
    </row>
    <row r="105" spans="1:24">
      <c r="A105" s="132">
        <v>1994</v>
      </c>
      <c r="B105" s="137">
        <v>36700</v>
      </c>
      <c r="C105" s="131"/>
      <c r="D105" s="137">
        <v>27400</v>
      </c>
      <c r="E105" s="137">
        <v>19300</v>
      </c>
      <c r="F105" s="137">
        <v>200</v>
      </c>
      <c r="G105" s="137">
        <v>1600</v>
      </c>
      <c r="H105" s="137">
        <v>1400</v>
      </c>
      <c r="I105" s="137">
        <v>100</v>
      </c>
      <c r="J105" s="137">
        <v>200</v>
      </c>
      <c r="K105" s="137">
        <v>1000</v>
      </c>
      <c r="L105" s="137">
        <v>100</v>
      </c>
      <c r="M105" s="137">
        <v>0</v>
      </c>
      <c r="N105" s="137">
        <v>500</v>
      </c>
      <c r="O105" s="137">
        <v>200</v>
      </c>
      <c r="P105" s="137">
        <v>200</v>
      </c>
      <c r="Q105" s="137">
        <v>200</v>
      </c>
      <c r="R105" s="137">
        <v>2300</v>
      </c>
      <c r="S105" s="131"/>
      <c r="T105" s="137">
        <v>9300</v>
      </c>
      <c r="U105" s="137">
        <v>6000</v>
      </c>
      <c r="V105" s="137">
        <v>2800</v>
      </c>
      <c r="W105" s="137">
        <v>300</v>
      </c>
      <c r="X105" s="137">
        <v>200</v>
      </c>
    </row>
    <row r="106" spans="1:24">
      <c r="A106" s="132">
        <v>1995</v>
      </c>
      <c r="B106" s="137">
        <v>38600</v>
      </c>
      <c r="C106" s="131"/>
      <c r="D106" s="137">
        <v>29300</v>
      </c>
      <c r="E106" s="137">
        <v>20800</v>
      </c>
      <c r="F106" s="137">
        <v>200</v>
      </c>
      <c r="G106" s="137">
        <v>1800</v>
      </c>
      <c r="H106" s="137">
        <v>1600</v>
      </c>
      <c r="I106" s="137">
        <v>100</v>
      </c>
      <c r="J106" s="137">
        <v>300</v>
      </c>
      <c r="K106" s="137">
        <v>1100</v>
      </c>
      <c r="L106" s="137">
        <v>100</v>
      </c>
      <c r="M106" s="137">
        <v>0</v>
      </c>
      <c r="N106" s="137">
        <v>600</v>
      </c>
      <c r="O106" s="137">
        <v>200</v>
      </c>
      <c r="P106" s="137">
        <v>200</v>
      </c>
      <c r="Q106" s="137">
        <v>200</v>
      </c>
      <c r="R106" s="137">
        <v>2300</v>
      </c>
      <c r="S106" s="131"/>
      <c r="T106" s="137">
        <v>9300</v>
      </c>
      <c r="U106" s="137">
        <v>5900</v>
      </c>
      <c r="V106" s="137">
        <v>2900</v>
      </c>
      <c r="W106" s="137">
        <v>300</v>
      </c>
      <c r="X106" s="137">
        <v>200</v>
      </c>
    </row>
    <row r="107" spans="1:24">
      <c r="A107" s="132">
        <v>1996</v>
      </c>
      <c r="B107" s="137">
        <v>38600</v>
      </c>
      <c r="C107" s="131"/>
      <c r="D107" s="137">
        <v>29600</v>
      </c>
      <c r="E107" s="137">
        <v>21000</v>
      </c>
      <c r="F107" s="137">
        <v>300</v>
      </c>
      <c r="G107" s="137">
        <v>1800</v>
      </c>
      <c r="H107" s="137">
        <v>1600</v>
      </c>
      <c r="I107" s="137">
        <v>100</v>
      </c>
      <c r="J107" s="137">
        <v>300</v>
      </c>
      <c r="K107" s="137">
        <v>1100</v>
      </c>
      <c r="L107" s="137">
        <v>100</v>
      </c>
      <c r="M107" s="137">
        <v>0</v>
      </c>
      <c r="N107" s="137">
        <v>500</v>
      </c>
      <c r="O107" s="137">
        <v>200</v>
      </c>
      <c r="P107" s="137">
        <v>100</v>
      </c>
      <c r="Q107" s="137">
        <v>200</v>
      </c>
      <c r="R107" s="137">
        <v>2300</v>
      </c>
      <c r="S107" s="131"/>
      <c r="T107" s="137">
        <v>9000</v>
      </c>
      <c r="U107" s="137">
        <v>5600</v>
      </c>
      <c r="V107" s="137">
        <v>3000</v>
      </c>
      <c r="W107" s="137">
        <v>300</v>
      </c>
      <c r="X107" s="137">
        <v>100</v>
      </c>
    </row>
    <row r="108" spans="1:24">
      <c r="A108" s="132">
        <v>1997</v>
      </c>
      <c r="B108" s="137">
        <v>40000</v>
      </c>
      <c r="C108" s="131"/>
      <c r="D108" s="137">
        <v>30900</v>
      </c>
      <c r="E108" s="137">
        <v>22000</v>
      </c>
      <c r="F108" s="137">
        <v>300</v>
      </c>
      <c r="G108" s="137">
        <v>1700</v>
      </c>
      <c r="H108" s="137">
        <v>1700</v>
      </c>
      <c r="I108" s="137">
        <v>100</v>
      </c>
      <c r="J108" s="137">
        <v>300</v>
      </c>
      <c r="K108" s="137">
        <v>1200</v>
      </c>
      <c r="L108" s="137">
        <v>200</v>
      </c>
      <c r="M108" s="137">
        <v>0</v>
      </c>
      <c r="N108" s="137">
        <v>500</v>
      </c>
      <c r="O108" s="137">
        <v>200</v>
      </c>
      <c r="P108" s="137">
        <v>200</v>
      </c>
      <c r="Q108" s="137">
        <v>200</v>
      </c>
      <c r="R108" s="137">
        <v>2400</v>
      </c>
      <c r="S108" s="131"/>
      <c r="T108" s="137">
        <v>9100</v>
      </c>
      <c r="U108" s="137">
        <v>5700</v>
      </c>
      <c r="V108" s="137">
        <v>3000</v>
      </c>
      <c r="W108" s="137">
        <v>300</v>
      </c>
      <c r="X108" s="137">
        <v>200</v>
      </c>
    </row>
    <row r="109" spans="1:24">
      <c r="A109" s="132">
        <v>1998</v>
      </c>
      <c r="B109" s="137">
        <v>41900</v>
      </c>
      <c r="C109" s="131"/>
      <c r="D109" s="137">
        <v>32800</v>
      </c>
      <c r="E109" s="137">
        <v>23300</v>
      </c>
      <c r="F109" s="137">
        <v>400</v>
      </c>
      <c r="G109" s="137">
        <v>1700</v>
      </c>
      <c r="H109" s="137">
        <v>1800</v>
      </c>
      <c r="I109" s="137">
        <v>100</v>
      </c>
      <c r="J109" s="137">
        <v>300</v>
      </c>
      <c r="K109" s="137">
        <v>1300</v>
      </c>
      <c r="L109" s="137">
        <v>200</v>
      </c>
      <c r="M109" s="137">
        <v>0</v>
      </c>
      <c r="N109" s="137">
        <v>500</v>
      </c>
      <c r="O109" s="137">
        <v>200</v>
      </c>
      <c r="P109" s="137">
        <v>100</v>
      </c>
      <c r="Q109" s="137">
        <v>200</v>
      </c>
      <c r="R109" s="137">
        <v>2700</v>
      </c>
      <c r="S109" s="131"/>
      <c r="T109" s="137">
        <v>9200</v>
      </c>
      <c r="U109" s="137">
        <v>5800</v>
      </c>
      <c r="V109" s="137">
        <v>3000</v>
      </c>
      <c r="W109" s="137">
        <v>300</v>
      </c>
      <c r="X109" s="137">
        <v>200</v>
      </c>
    </row>
    <row r="110" spans="1:24">
      <c r="A110" s="132">
        <v>1999</v>
      </c>
      <c r="B110" s="137">
        <v>43400</v>
      </c>
      <c r="C110" s="131"/>
      <c r="D110" s="137">
        <v>34600</v>
      </c>
      <c r="E110" s="137">
        <v>24500</v>
      </c>
      <c r="F110" s="137">
        <v>400</v>
      </c>
      <c r="G110" s="137">
        <v>1700</v>
      </c>
      <c r="H110" s="137">
        <v>1900</v>
      </c>
      <c r="I110" s="137">
        <v>100</v>
      </c>
      <c r="J110" s="137">
        <v>300</v>
      </c>
      <c r="K110" s="137">
        <v>1400</v>
      </c>
      <c r="L110" s="137">
        <v>300</v>
      </c>
      <c r="M110" s="137">
        <v>0</v>
      </c>
      <c r="N110" s="137">
        <v>500</v>
      </c>
      <c r="O110" s="137">
        <v>200</v>
      </c>
      <c r="P110" s="137">
        <v>200</v>
      </c>
      <c r="Q110" s="137">
        <v>200</v>
      </c>
      <c r="R110" s="137">
        <v>3000</v>
      </c>
      <c r="S110" s="131"/>
      <c r="T110" s="137">
        <v>8800</v>
      </c>
      <c r="U110" s="137">
        <v>5600</v>
      </c>
      <c r="V110" s="137">
        <v>2800</v>
      </c>
      <c r="W110" s="137">
        <v>300</v>
      </c>
      <c r="X110" s="137">
        <v>100</v>
      </c>
    </row>
    <row r="111" spans="1:24">
      <c r="A111" s="132">
        <v>2000</v>
      </c>
      <c r="B111" s="137">
        <v>43500</v>
      </c>
      <c r="C111" s="131"/>
      <c r="D111" s="137">
        <v>34900</v>
      </c>
      <c r="E111" s="137">
        <v>24400</v>
      </c>
      <c r="F111" s="137">
        <v>400</v>
      </c>
      <c r="G111" s="137">
        <v>1800</v>
      </c>
      <c r="H111" s="137">
        <v>1900</v>
      </c>
      <c r="I111" s="137">
        <v>100</v>
      </c>
      <c r="J111" s="137">
        <v>300</v>
      </c>
      <c r="K111" s="137">
        <v>1300</v>
      </c>
      <c r="L111" s="137">
        <v>300</v>
      </c>
      <c r="M111" s="137">
        <v>0</v>
      </c>
      <c r="N111" s="137">
        <v>600</v>
      </c>
      <c r="O111" s="137">
        <v>200</v>
      </c>
      <c r="P111" s="137">
        <v>200</v>
      </c>
      <c r="Q111" s="137">
        <v>200</v>
      </c>
      <c r="R111" s="137">
        <v>3300</v>
      </c>
      <c r="S111" s="131"/>
      <c r="T111" s="137">
        <v>8600</v>
      </c>
      <c r="U111" s="137">
        <v>5500</v>
      </c>
      <c r="V111" s="137">
        <v>2700</v>
      </c>
      <c r="W111" s="137">
        <v>200</v>
      </c>
      <c r="X111" s="137">
        <v>200</v>
      </c>
    </row>
    <row r="112" spans="1:24">
      <c r="A112" s="132">
        <v>2001</v>
      </c>
      <c r="B112" s="137">
        <v>42900</v>
      </c>
      <c r="C112" s="131"/>
      <c r="D112" s="137">
        <v>33400</v>
      </c>
      <c r="E112" s="137">
        <v>23900</v>
      </c>
      <c r="F112" s="137">
        <v>400</v>
      </c>
      <c r="G112" s="137">
        <v>1800</v>
      </c>
      <c r="H112" s="137">
        <v>1800</v>
      </c>
      <c r="I112" s="137">
        <v>100</v>
      </c>
      <c r="J112" s="137">
        <v>200</v>
      </c>
      <c r="K112" s="137">
        <v>1200</v>
      </c>
      <c r="L112" s="137">
        <v>100</v>
      </c>
      <c r="M112" s="137">
        <v>0</v>
      </c>
      <c r="N112" s="137">
        <v>500</v>
      </c>
      <c r="O112" s="137">
        <v>200</v>
      </c>
      <c r="P112" s="137">
        <v>200</v>
      </c>
      <c r="Q112" s="137">
        <v>100</v>
      </c>
      <c r="R112" s="137">
        <v>2900</v>
      </c>
      <c r="S112" s="131"/>
      <c r="T112" s="137">
        <v>9500</v>
      </c>
      <c r="U112" s="137">
        <v>6000</v>
      </c>
      <c r="V112" s="137">
        <v>3000</v>
      </c>
      <c r="W112" s="137">
        <v>400</v>
      </c>
      <c r="X112" s="137">
        <v>200</v>
      </c>
    </row>
    <row r="113" spans="1:24">
      <c r="A113" s="132">
        <v>2002</v>
      </c>
      <c r="B113" s="137">
        <v>41800</v>
      </c>
      <c r="C113" s="131"/>
      <c r="D113" s="137">
        <v>32000</v>
      </c>
      <c r="E113" s="137">
        <v>22900</v>
      </c>
      <c r="F113" s="137">
        <v>200</v>
      </c>
      <c r="G113" s="137">
        <v>1900</v>
      </c>
      <c r="H113" s="137">
        <v>1700</v>
      </c>
      <c r="I113" s="137">
        <v>100</v>
      </c>
      <c r="J113" s="137">
        <v>200</v>
      </c>
      <c r="K113" s="137">
        <v>1300</v>
      </c>
      <c r="L113" s="137">
        <v>0</v>
      </c>
      <c r="M113" s="137">
        <v>0</v>
      </c>
      <c r="N113" s="137">
        <v>400</v>
      </c>
      <c r="O113" s="137">
        <v>200</v>
      </c>
      <c r="P113" s="137">
        <v>100</v>
      </c>
      <c r="Q113" s="137">
        <v>100</v>
      </c>
      <c r="R113" s="137">
        <v>2900</v>
      </c>
      <c r="S113" s="131"/>
      <c r="T113" s="137">
        <v>9800</v>
      </c>
      <c r="U113" s="137">
        <v>5900</v>
      </c>
      <c r="V113" s="137">
        <v>3200</v>
      </c>
      <c r="W113" s="137">
        <v>500</v>
      </c>
      <c r="X113" s="137">
        <v>100</v>
      </c>
    </row>
    <row r="114" spans="1:24">
      <c r="A114" s="132">
        <v>2003</v>
      </c>
      <c r="B114" s="137">
        <v>41400</v>
      </c>
      <c r="C114" s="131"/>
      <c r="D114" s="137">
        <v>31000</v>
      </c>
      <c r="E114" s="137">
        <v>22200</v>
      </c>
      <c r="F114" s="137">
        <v>200</v>
      </c>
      <c r="G114" s="137">
        <v>2000</v>
      </c>
      <c r="H114" s="137">
        <v>1700</v>
      </c>
      <c r="I114" s="137">
        <v>100</v>
      </c>
      <c r="J114" s="137">
        <v>200</v>
      </c>
      <c r="K114" s="137">
        <v>1100</v>
      </c>
      <c r="L114" s="137">
        <v>0</v>
      </c>
      <c r="M114" s="137">
        <v>0</v>
      </c>
      <c r="N114" s="137">
        <v>400</v>
      </c>
      <c r="O114" s="137">
        <v>200</v>
      </c>
      <c r="P114" s="137">
        <v>200</v>
      </c>
      <c r="Q114" s="137">
        <v>100</v>
      </c>
      <c r="R114" s="137">
        <v>2700</v>
      </c>
      <c r="S114" s="131"/>
      <c r="T114" s="137">
        <v>10400</v>
      </c>
      <c r="U114" s="137">
        <v>6300</v>
      </c>
      <c r="V114" s="137">
        <v>3300</v>
      </c>
      <c r="W114" s="137">
        <v>600</v>
      </c>
      <c r="X114" s="137">
        <v>200</v>
      </c>
    </row>
    <row r="115" spans="1:24">
      <c r="A115" s="132">
        <v>2004</v>
      </c>
      <c r="B115" s="137">
        <v>42400</v>
      </c>
      <c r="C115" s="131"/>
      <c r="D115" s="137">
        <v>32000</v>
      </c>
      <c r="E115" s="137">
        <v>22500</v>
      </c>
      <c r="F115" s="137">
        <v>200</v>
      </c>
      <c r="G115" s="137">
        <v>2200</v>
      </c>
      <c r="H115" s="137">
        <v>1700</v>
      </c>
      <c r="I115" s="137">
        <v>100</v>
      </c>
      <c r="J115" s="137">
        <v>300</v>
      </c>
      <c r="K115" s="137">
        <v>1200</v>
      </c>
      <c r="L115" s="137">
        <v>0</v>
      </c>
      <c r="M115" s="137">
        <v>0</v>
      </c>
      <c r="N115" s="137">
        <v>300</v>
      </c>
      <c r="O115" s="137">
        <v>200</v>
      </c>
      <c r="P115" s="137">
        <v>200</v>
      </c>
      <c r="Q115" s="137">
        <v>200</v>
      </c>
      <c r="R115" s="137">
        <v>3000</v>
      </c>
      <c r="S115" s="131"/>
      <c r="T115" s="137">
        <v>10300</v>
      </c>
      <c r="U115" s="137">
        <v>6300</v>
      </c>
      <c r="V115" s="137">
        <v>3500</v>
      </c>
      <c r="W115" s="137">
        <v>400</v>
      </c>
      <c r="X115" s="137">
        <v>200</v>
      </c>
    </row>
    <row r="116" spans="1:24">
      <c r="A116" s="132">
        <v>2005</v>
      </c>
      <c r="B116" s="137">
        <v>42800</v>
      </c>
      <c r="C116" s="131"/>
      <c r="D116" s="137">
        <v>32600</v>
      </c>
      <c r="E116" s="137">
        <v>22900</v>
      </c>
      <c r="F116" s="137">
        <v>200</v>
      </c>
      <c r="G116" s="137">
        <v>2300</v>
      </c>
      <c r="H116" s="137">
        <v>1700</v>
      </c>
      <c r="I116" s="137">
        <v>100</v>
      </c>
      <c r="J116" s="137">
        <v>400</v>
      </c>
      <c r="K116" s="137">
        <v>1200</v>
      </c>
      <c r="L116" s="137">
        <v>100</v>
      </c>
      <c r="M116" s="137">
        <v>0</v>
      </c>
      <c r="N116" s="137">
        <v>300</v>
      </c>
      <c r="O116" s="137">
        <v>200</v>
      </c>
      <c r="P116" s="137">
        <v>100</v>
      </c>
      <c r="Q116" s="137">
        <v>200</v>
      </c>
      <c r="R116" s="137">
        <v>2900</v>
      </c>
      <c r="S116" s="131"/>
      <c r="T116" s="137">
        <v>10200</v>
      </c>
      <c r="U116" s="137">
        <v>6200</v>
      </c>
      <c r="V116" s="137">
        <v>3500</v>
      </c>
      <c r="W116" s="137">
        <v>300</v>
      </c>
      <c r="X116" s="137">
        <v>100</v>
      </c>
    </row>
    <row r="117" spans="1:24">
      <c r="A117" s="132">
        <v>2006</v>
      </c>
      <c r="B117" s="137">
        <v>43800</v>
      </c>
      <c r="C117" s="131"/>
      <c r="D117" s="137">
        <v>33300</v>
      </c>
      <c r="E117" s="137">
        <v>23400</v>
      </c>
      <c r="F117" s="137">
        <v>300</v>
      </c>
      <c r="G117" s="137">
        <v>2400</v>
      </c>
      <c r="H117" s="137">
        <v>1800</v>
      </c>
      <c r="I117" s="137">
        <v>100</v>
      </c>
      <c r="J117" s="137">
        <v>400</v>
      </c>
      <c r="K117" s="137">
        <v>1300</v>
      </c>
      <c r="L117" s="137">
        <v>100</v>
      </c>
      <c r="M117" s="137">
        <v>0</v>
      </c>
      <c r="N117" s="137">
        <v>400</v>
      </c>
      <c r="O117" s="137">
        <v>200</v>
      </c>
      <c r="P117" s="137">
        <v>100</v>
      </c>
      <c r="Q117" s="137">
        <v>200</v>
      </c>
      <c r="R117" s="137">
        <v>2700</v>
      </c>
      <c r="S117" s="131"/>
      <c r="T117" s="137">
        <v>10500</v>
      </c>
      <c r="U117" s="137">
        <v>6200</v>
      </c>
      <c r="V117" s="137">
        <v>3900</v>
      </c>
      <c r="W117" s="137">
        <v>300</v>
      </c>
      <c r="X117" s="137">
        <v>100</v>
      </c>
    </row>
    <row r="118" spans="1:24">
      <c r="A118" s="132">
        <v>2007</v>
      </c>
      <c r="B118" s="137">
        <v>45900</v>
      </c>
      <c r="C118" s="131"/>
      <c r="D118" s="137">
        <v>35800</v>
      </c>
      <c r="E118" s="137">
        <v>25400</v>
      </c>
      <c r="F118" s="137">
        <v>300</v>
      </c>
      <c r="G118" s="137">
        <v>2300</v>
      </c>
      <c r="H118" s="137">
        <v>1900</v>
      </c>
      <c r="I118" s="137">
        <v>100</v>
      </c>
      <c r="J118" s="137">
        <v>400</v>
      </c>
      <c r="K118" s="137">
        <v>1300</v>
      </c>
      <c r="L118" s="137">
        <v>200</v>
      </c>
      <c r="M118" s="137">
        <v>0</v>
      </c>
      <c r="N118" s="137">
        <v>400</v>
      </c>
      <c r="O118" s="137">
        <v>200</v>
      </c>
      <c r="P118" s="137">
        <v>200</v>
      </c>
      <c r="Q118" s="137">
        <v>200</v>
      </c>
      <c r="R118" s="137">
        <v>3000</v>
      </c>
      <c r="S118" s="131"/>
      <c r="T118" s="137">
        <v>10100</v>
      </c>
      <c r="U118" s="137">
        <v>6000</v>
      </c>
      <c r="V118" s="137">
        <v>3700</v>
      </c>
      <c r="W118" s="137">
        <v>300</v>
      </c>
      <c r="X118" s="137">
        <v>100</v>
      </c>
    </row>
    <row r="119" spans="1:24">
      <c r="A119" s="132">
        <v>2008</v>
      </c>
      <c r="B119" s="137">
        <v>44200</v>
      </c>
      <c r="C119" s="131"/>
      <c r="D119" s="137">
        <v>33500</v>
      </c>
      <c r="E119" s="137">
        <v>24000</v>
      </c>
      <c r="F119" s="137">
        <v>300</v>
      </c>
      <c r="G119" s="137">
        <v>2100</v>
      </c>
      <c r="H119" s="137">
        <v>1800</v>
      </c>
      <c r="I119" s="137">
        <v>100</v>
      </c>
      <c r="J119" s="137">
        <v>200</v>
      </c>
      <c r="K119" s="137">
        <v>1100</v>
      </c>
      <c r="L119" s="137">
        <v>0</v>
      </c>
      <c r="M119" s="137">
        <v>0</v>
      </c>
      <c r="N119" s="137">
        <v>400</v>
      </c>
      <c r="O119" s="137">
        <v>200</v>
      </c>
      <c r="P119" s="137">
        <v>200</v>
      </c>
      <c r="Q119" s="137">
        <v>100</v>
      </c>
      <c r="R119" s="137">
        <v>2900</v>
      </c>
      <c r="S119" s="131"/>
      <c r="T119" s="137">
        <v>10800</v>
      </c>
      <c r="U119" s="137">
        <v>6200</v>
      </c>
      <c r="V119" s="137">
        <v>4000</v>
      </c>
      <c r="W119" s="137">
        <v>400</v>
      </c>
      <c r="X119" s="137">
        <v>100</v>
      </c>
    </row>
    <row r="120" spans="1:24">
      <c r="A120" s="132">
        <v>2009</v>
      </c>
      <c r="B120" s="137">
        <v>42900</v>
      </c>
      <c r="C120" s="131"/>
      <c r="D120" s="137">
        <v>31000</v>
      </c>
      <c r="E120" s="137">
        <v>22100</v>
      </c>
      <c r="F120" s="137">
        <v>200</v>
      </c>
      <c r="G120" s="137">
        <v>2000</v>
      </c>
      <c r="H120" s="137">
        <v>1700</v>
      </c>
      <c r="I120" s="137">
        <v>100</v>
      </c>
      <c r="J120" s="137">
        <v>100</v>
      </c>
      <c r="K120" s="137">
        <v>1200</v>
      </c>
      <c r="L120" s="137">
        <v>-100</v>
      </c>
      <c r="M120" s="137">
        <v>0</v>
      </c>
      <c r="N120" s="137">
        <v>300</v>
      </c>
      <c r="O120" s="137">
        <v>200</v>
      </c>
      <c r="P120" s="137">
        <v>200</v>
      </c>
      <c r="Q120" s="137">
        <v>100</v>
      </c>
      <c r="R120" s="137">
        <v>2800</v>
      </c>
      <c r="S120" s="131"/>
      <c r="T120" s="137">
        <v>11900</v>
      </c>
      <c r="U120" s="137">
        <v>6300</v>
      </c>
      <c r="V120" s="137">
        <v>4300</v>
      </c>
      <c r="W120" s="137">
        <v>1300</v>
      </c>
      <c r="X120" s="137">
        <v>100</v>
      </c>
    </row>
    <row r="121" spans="1:24">
      <c r="A121" s="132">
        <v>2010</v>
      </c>
      <c r="B121" s="137">
        <v>42300</v>
      </c>
      <c r="C121" s="131"/>
      <c r="D121" s="137">
        <v>30400</v>
      </c>
      <c r="E121" s="137">
        <v>21700</v>
      </c>
      <c r="F121" s="137">
        <v>200</v>
      </c>
      <c r="G121" s="137">
        <v>1900</v>
      </c>
      <c r="H121" s="137">
        <v>1600</v>
      </c>
      <c r="I121" s="137">
        <v>100</v>
      </c>
      <c r="J121" s="137">
        <v>200</v>
      </c>
      <c r="K121" s="137">
        <v>1200</v>
      </c>
      <c r="L121" s="137">
        <v>0</v>
      </c>
      <c r="M121" s="137">
        <v>0</v>
      </c>
      <c r="N121" s="137">
        <v>200</v>
      </c>
      <c r="O121" s="137">
        <v>200</v>
      </c>
      <c r="P121" s="137">
        <v>200</v>
      </c>
      <c r="Q121" s="137">
        <v>100</v>
      </c>
      <c r="R121" s="137">
        <v>2800</v>
      </c>
      <c r="S121" s="131"/>
      <c r="T121" s="137">
        <v>11900</v>
      </c>
      <c r="U121" s="137">
        <v>6300</v>
      </c>
      <c r="V121" s="137">
        <v>4200</v>
      </c>
      <c r="W121" s="137">
        <v>1300</v>
      </c>
      <c r="X121" s="137">
        <v>100</v>
      </c>
    </row>
    <row r="122" spans="1:24">
      <c r="A122" s="132">
        <v>2011</v>
      </c>
      <c r="B122" s="137">
        <v>42100</v>
      </c>
      <c r="C122" s="131"/>
      <c r="D122" s="137">
        <v>30300</v>
      </c>
      <c r="E122" s="137">
        <v>21700</v>
      </c>
      <c r="F122" s="137">
        <v>200</v>
      </c>
      <c r="G122" s="137">
        <v>1900</v>
      </c>
      <c r="H122" s="137">
        <v>1600</v>
      </c>
      <c r="I122" s="137">
        <v>100</v>
      </c>
      <c r="J122" s="137">
        <v>200</v>
      </c>
      <c r="K122" s="137">
        <v>1300</v>
      </c>
      <c r="L122" s="137">
        <v>0</v>
      </c>
      <c r="M122" s="137">
        <v>0</v>
      </c>
      <c r="N122" s="137">
        <v>200</v>
      </c>
      <c r="O122" s="137">
        <v>200</v>
      </c>
      <c r="P122" s="137">
        <v>100</v>
      </c>
      <c r="Q122" s="137">
        <v>100</v>
      </c>
      <c r="R122" s="137">
        <v>2700</v>
      </c>
      <c r="S122" s="131"/>
      <c r="T122" s="137">
        <v>11800</v>
      </c>
      <c r="U122" s="137">
        <v>6500</v>
      </c>
      <c r="V122" s="137">
        <v>4200</v>
      </c>
      <c r="W122" s="137">
        <v>1000</v>
      </c>
      <c r="X122" s="137">
        <v>100</v>
      </c>
    </row>
    <row r="123" spans="1:24">
      <c r="A123" s="132">
        <v>2012</v>
      </c>
      <c r="B123" s="137">
        <v>41800</v>
      </c>
      <c r="C123" s="131"/>
      <c r="D123" s="137">
        <v>30100</v>
      </c>
      <c r="E123" s="137">
        <v>21400</v>
      </c>
      <c r="F123" s="137">
        <v>300</v>
      </c>
      <c r="G123" s="137">
        <v>1900</v>
      </c>
      <c r="H123" s="137">
        <v>1600</v>
      </c>
      <c r="I123" s="137">
        <v>0</v>
      </c>
      <c r="J123" s="137">
        <v>200</v>
      </c>
      <c r="K123" s="137">
        <v>1400</v>
      </c>
      <c r="L123" s="137">
        <v>0</v>
      </c>
      <c r="M123" s="137">
        <v>0</v>
      </c>
      <c r="N123" s="137">
        <v>100</v>
      </c>
      <c r="O123" s="137">
        <v>200</v>
      </c>
      <c r="P123" s="137">
        <v>100</v>
      </c>
      <c r="Q123" s="137">
        <v>100</v>
      </c>
      <c r="R123" s="137">
        <v>2700</v>
      </c>
      <c r="S123" s="131"/>
      <c r="T123" s="137">
        <v>11700</v>
      </c>
      <c r="U123" s="137">
        <v>6600</v>
      </c>
      <c r="V123" s="137">
        <v>4300</v>
      </c>
      <c r="W123" s="137">
        <v>700</v>
      </c>
      <c r="X123" s="137">
        <v>100</v>
      </c>
    </row>
    <row r="124" spans="1:24">
      <c r="A124" s="132">
        <v>2013</v>
      </c>
      <c r="B124" s="137">
        <v>42600</v>
      </c>
      <c r="C124" s="131"/>
      <c r="D124" s="137">
        <v>30700</v>
      </c>
      <c r="E124" s="137">
        <v>21800</v>
      </c>
      <c r="F124" s="137">
        <v>300</v>
      </c>
      <c r="G124" s="137">
        <v>1900</v>
      </c>
      <c r="H124" s="137">
        <v>1600</v>
      </c>
      <c r="I124" s="137">
        <v>0</v>
      </c>
      <c r="J124" s="137">
        <v>300</v>
      </c>
      <c r="K124" s="137">
        <v>1300</v>
      </c>
      <c r="L124" s="137">
        <v>100</v>
      </c>
      <c r="M124" s="137">
        <v>0</v>
      </c>
      <c r="N124" s="137">
        <v>100</v>
      </c>
      <c r="O124" s="137">
        <v>200</v>
      </c>
      <c r="P124" s="137">
        <v>200</v>
      </c>
      <c r="Q124" s="137">
        <v>100</v>
      </c>
      <c r="R124" s="137">
        <v>2900</v>
      </c>
      <c r="S124" s="131"/>
      <c r="T124" s="137">
        <v>11900</v>
      </c>
      <c r="U124" s="137">
        <v>7000</v>
      </c>
      <c r="V124" s="137">
        <v>4300</v>
      </c>
      <c r="W124" s="137">
        <v>500</v>
      </c>
      <c r="X124" s="137">
        <v>100</v>
      </c>
    </row>
    <row r="125" spans="1:24">
      <c r="A125" s="132">
        <v>2014</v>
      </c>
      <c r="B125" s="137">
        <v>42700</v>
      </c>
      <c r="C125" s="131"/>
      <c r="D125" s="137">
        <v>31100</v>
      </c>
      <c r="E125" s="137">
        <v>22200</v>
      </c>
      <c r="F125" s="137">
        <v>300</v>
      </c>
      <c r="G125" s="137">
        <v>1900</v>
      </c>
      <c r="H125" s="137">
        <v>1700</v>
      </c>
      <c r="I125" s="137">
        <v>0</v>
      </c>
      <c r="J125" s="137">
        <v>300</v>
      </c>
      <c r="K125" s="137">
        <v>1400</v>
      </c>
      <c r="L125" s="137">
        <v>100</v>
      </c>
      <c r="M125" s="137">
        <v>0</v>
      </c>
      <c r="N125" s="137">
        <v>100</v>
      </c>
      <c r="O125" s="137">
        <v>100</v>
      </c>
      <c r="P125" s="137">
        <v>100</v>
      </c>
      <c r="Q125" s="137">
        <v>100</v>
      </c>
      <c r="R125" s="137">
        <v>2700</v>
      </c>
      <c r="S125" s="131"/>
      <c r="T125" s="137">
        <v>11600</v>
      </c>
      <c r="U125" s="137">
        <v>6900</v>
      </c>
      <c r="V125" s="137">
        <v>4300</v>
      </c>
      <c r="W125" s="137">
        <v>300</v>
      </c>
      <c r="X125" s="137">
        <v>100</v>
      </c>
    </row>
    <row r="126" spans="1:24">
      <c r="A126" s="132">
        <v>2015</v>
      </c>
      <c r="B126" s="137">
        <v>44600</v>
      </c>
      <c r="C126" s="131"/>
      <c r="D126" s="137">
        <v>32500</v>
      </c>
      <c r="E126" s="137">
        <v>23100</v>
      </c>
      <c r="F126" s="137">
        <v>300</v>
      </c>
      <c r="G126" s="137">
        <v>2000</v>
      </c>
      <c r="H126" s="137">
        <v>1700</v>
      </c>
      <c r="I126" s="137">
        <v>0</v>
      </c>
      <c r="J126" s="137">
        <v>300</v>
      </c>
      <c r="K126" s="137">
        <v>1400</v>
      </c>
      <c r="L126" s="137">
        <v>100</v>
      </c>
      <c r="M126" s="137">
        <v>0</v>
      </c>
      <c r="N126" s="137">
        <v>100</v>
      </c>
      <c r="O126" s="137">
        <v>100</v>
      </c>
      <c r="P126" s="137">
        <v>100</v>
      </c>
      <c r="Q126" s="137">
        <v>100</v>
      </c>
      <c r="R126" s="137">
        <v>3100</v>
      </c>
      <c r="S126" s="131"/>
      <c r="T126" s="137">
        <v>12100</v>
      </c>
      <c r="U126" s="137">
        <v>7300</v>
      </c>
      <c r="V126" s="137">
        <v>4400</v>
      </c>
      <c r="W126" s="137">
        <v>200</v>
      </c>
      <c r="X126" s="137">
        <v>100</v>
      </c>
    </row>
    <row r="127" spans="1:24">
      <c r="A127" s="132">
        <v>2016</v>
      </c>
      <c r="B127" s="137">
        <v>45300</v>
      </c>
      <c r="C127" s="131"/>
      <c r="D127" s="137">
        <v>33300</v>
      </c>
      <c r="E127" s="137">
        <v>23900</v>
      </c>
      <c r="F127" s="137">
        <v>300</v>
      </c>
      <c r="G127" s="137">
        <v>2100</v>
      </c>
      <c r="H127" s="137">
        <v>1800</v>
      </c>
      <c r="I127" s="137">
        <v>0</v>
      </c>
      <c r="J127" s="137">
        <v>300</v>
      </c>
      <c r="K127" s="137">
        <v>1400</v>
      </c>
      <c r="L127" s="137">
        <v>100</v>
      </c>
      <c r="M127" s="137">
        <v>0</v>
      </c>
      <c r="N127" s="137">
        <v>100</v>
      </c>
      <c r="O127" s="137">
        <v>200</v>
      </c>
      <c r="P127" s="137">
        <v>200</v>
      </c>
      <c r="Q127" s="137">
        <v>100</v>
      </c>
      <c r="R127" s="137">
        <v>2900</v>
      </c>
      <c r="S127" s="131"/>
      <c r="T127" s="137">
        <v>12100</v>
      </c>
      <c r="U127" s="137">
        <v>7300</v>
      </c>
      <c r="V127" s="137">
        <v>4500</v>
      </c>
      <c r="W127" s="137">
        <v>200</v>
      </c>
      <c r="X127" s="137">
        <v>100</v>
      </c>
    </row>
    <row r="129" spans="1:24">
      <c r="A129" s="131"/>
      <c r="B129" s="774" t="s">
        <v>7</v>
      </c>
      <c r="C129" s="774"/>
      <c r="D129" s="774"/>
      <c r="E129" s="774"/>
      <c r="F129" s="774"/>
      <c r="G129" s="774"/>
      <c r="H129" s="774"/>
      <c r="I129" s="774"/>
      <c r="J129" s="774"/>
      <c r="K129" s="774"/>
      <c r="L129" s="774"/>
      <c r="M129" s="774"/>
      <c r="N129" s="774"/>
      <c r="O129" s="774"/>
      <c r="P129" s="774"/>
      <c r="Q129" s="774"/>
      <c r="R129" s="774"/>
      <c r="S129" s="774"/>
      <c r="T129" s="774"/>
      <c r="U129" s="774"/>
      <c r="V129" s="774"/>
      <c r="W129" s="774"/>
      <c r="X129" s="774"/>
    </row>
    <row r="130" spans="1:24">
      <c r="A130" s="132">
        <v>1979</v>
      </c>
      <c r="B130" s="137">
        <v>56900</v>
      </c>
      <c r="C130" s="131"/>
      <c r="D130" s="137">
        <v>52600</v>
      </c>
      <c r="E130" s="137">
        <v>40300</v>
      </c>
      <c r="F130" s="137">
        <v>0</v>
      </c>
      <c r="G130" s="137">
        <v>2100</v>
      </c>
      <c r="H130" s="137">
        <v>2300</v>
      </c>
      <c r="I130" s="137">
        <v>100</v>
      </c>
      <c r="J130" s="137">
        <v>500</v>
      </c>
      <c r="K130" s="137">
        <v>1600</v>
      </c>
      <c r="L130" s="137">
        <v>300</v>
      </c>
      <c r="M130" s="137">
        <v>0</v>
      </c>
      <c r="N130" s="137">
        <v>1700</v>
      </c>
      <c r="O130" s="137">
        <v>300</v>
      </c>
      <c r="P130" s="137">
        <v>200</v>
      </c>
      <c r="Q130" s="137">
        <v>600</v>
      </c>
      <c r="R130" s="137">
        <v>2600</v>
      </c>
      <c r="S130" s="131"/>
      <c r="T130" s="137">
        <v>4300</v>
      </c>
      <c r="U130" s="137">
        <v>3100</v>
      </c>
      <c r="V130" s="137">
        <v>700</v>
      </c>
      <c r="W130" s="137">
        <v>300</v>
      </c>
      <c r="X130" s="137">
        <v>200</v>
      </c>
    </row>
    <row r="131" spans="1:24">
      <c r="A131" s="132">
        <v>1980</v>
      </c>
      <c r="B131" s="137">
        <v>55000</v>
      </c>
      <c r="C131" s="131"/>
      <c r="D131" s="137">
        <v>50200</v>
      </c>
      <c r="E131" s="137">
        <v>38500</v>
      </c>
      <c r="F131" s="137">
        <v>0</v>
      </c>
      <c r="G131" s="137">
        <v>1700</v>
      </c>
      <c r="H131" s="137">
        <v>2200</v>
      </c>
      <c r="I131" s="137">
        <v>100</v>
      </c>
      <c r="J131" s="137">
        <v>400</v>
      </c>
      <c r="K131" s="137">
        <v>1400</v>
      </c>
      <c r="L131" s="137">
        <v>300</v>
      </c>
      <c r="M131" s="137">
        <v>0</v>
      </c>
      <c r="N131" s="137">
        <v>2000</v>
      </c>
      <c r="O131" s="137">
        <v>300</v>
      </c>
      <c r="P131" s="137">
        <v>200</v>
      </c>
      <c r="Q131" s="137">
        <v>500</v>
      </c>
      <c r="R131" s="137">
        <v>2500</v>
      </c>
      <c r="S131" s="131"/>
      <c r="T131" s="137">
        <v>4800</v>
      </c>
      <c r="U131" s="137">
        <v>3300</v>
      </c>
      <c r="V131" s="137">
        <v>800</v>
      </c>
      <c r="W131" s="137">
        <v>500</v>
      </c>
      <c r="X131" s="137">
        <v>100</v>
      </c>
    </row>
    <row r="132" spans="1:24">
      <c r="A132" s="132">
        <v>1981</v>
      </c>
      <c r="B132" s="137">
        <v>54700</v>
      </c>
      <c r="C132" s="131"/>
      <c r="D132" s="137">
        <v>49500</v>
      </c>
      <c r="E132" s="137">
        <v>37600</v>
      </c>
      <c r="F132" s="137">
        <v>0</v>
      </c>
      <c r="G132" s="137">
        <v>1700</v>
      </c>
      <c r="H132" s="137">
        <v>2300</v>
      </c>
      <c r="I132" s="137">
        <v>100</v>
      </c>
      <c r="J132" s="137">
        <v>300</v>
      </c>
      <c r="K132" s="137">
        <v>1200</v>
      </c>
      <c r="L132" s="137">
        <v>200</v>
      </c>
      <c r="M132" s="137">
        <v>0</v>
      </c>
      <c r="N132" s="137">
        <v>2400</v>
      </c>
      <c r="O132" s="137">
        <v>400</v>
      </c>
      <c r="P132" s="137">
        <v>200</v>
      </c>
      <c r="Q132" s="137">
        <v>400</v>
      </c>
      <c r="R132" s="137">
        <v>2500</v>
      </c>
      <c r="S132" s="131"/>
      <c r="T132" s="137">
        <v>5200</v>
      </c>
      <c r="U132" s="137">
        <v>3600</v>
      </c>
      <c r="V132" s="137">
        <v>1000</v>
      </c>
      <c r="W132" s="137">
        <v>400</v>
      </c>
      <c r="X132" s="137">
        <v>200</v>
      </c>
    </row>
    <row r="133" spans="1:24">
      <c r="A133" s="132">
        <v>1982</v>
      </c>
      <c r="B133" s="137">
        <v>53900</v>
      </c>
      <c r="C133" s="131"/>
      <c r="D133" s="137">
        <v>48100</v>
      </c>
      <c r="E133" s="137">
        <v>36300</v>
      </c>
      <c r="F133" s="137">
        <v>0</v>
      </c>
      <c r="G133" s="137">
        <v>1900</v>
      </c>
      <c r="H133" s="137">
        <v>2300</v>
      </c>
      <c r="I133" s="137">
        <v>100</v>
      </c>
      <c r="J133" s="137">
        <v>200</v>
      </c>
      <c r="K133" s="137">
        <v>1000</v>
      </c>
      <c r="L133" s="137">
        <v>200</v>
      </c>
      <c r="M133" s="137">
        <v>0</v>
      </c>
      <c r="N133" s="137">
        <v>2700</v>
      </c>
      <c r="O133" s="137">
        <v>400</v>
      </c>
      <c r="P133" s="137">
        <v>200</v>
      </c>
      <c r="Q133" s="137">
        <v>300</v>
      </c>
      <c r="R133" s="137">
        <v>2400</v>
      </c>
      <c r="S133" s="131"/>
      <c r="T133" s="137">
        <v>5900</v>
      </c>
      <c r="U133" s="137">
        <v>3800</v>
      </c>
      <c r="V133" s="137">
        <v>1200</v>
      </c>
      <c r="W133" s="137">
        <v>700</v>
      </c>
      <c r="X133" s="137">
        <v>200</v>
      </c>
    </row>
    <row r="134" spans="1:24">
      <c r="A134" s="132">
        <v>1983</v>
      </c>
      <c r="B134" s="137">
        <v>53200</v>
      </c>
      <c r="C134" s="131"/>
      <c r="D134" s="137">
        <v>46900</v>
      </c>
      <c r="E134" s="137">
        <v>34900</v>
      </c>
      <c r="F134" s="137">
        <v>0</v>
      </c>
      <c r="G134" s="137">
        <v>1900</v>
      </c>
      <c r="H134" s="137">
        <v>2200</v>
      </c>
      <c r="I134" s="137">
        <v>100</v>
      </c>
      <c r="J134" s="137">
        <v>300</v>
      </c>
      <c r="K134" s="137">
        <v>1200</v>
      </c>
      <c r="L134" s="137">
        <v>300</v>
      </c>
      <c r="M134" s="137">
        <v>0</v>
      </c>
      <c r="N134" s="137">
        <v>2500</v>
      </c>
      <c r="O134" s="137">
        <v>300</v>
      </c>
      <c r="P134" s="137">
        <v>200</v>
      </c>
      <c r="Q134" s="137">
        <v>300</v>
      </c>
      <c r="R134" s="137">
        <v>2600</v>
      </c>
      <c r="S134" s="131"/>
      <c r="T134" s="137">
        <v>6300</v>
      </c>
      <c r="U134" s="137">
        <v>4200</v>
      </c>
      <c r="V134" s="137">
        <v>1300</v>
      </c>
      <c r="W134" s="137">
        <v>600</v>
      </c>
      <c r="X134" s="137">
        <v>200</v>
      </c>
    </row>
    <row r="135" spans="1:24">
      <c r="A135" s="132">
        <v>1984</v>
      </c>
      <c r="B135" s="137">
        <v>56300</v>
      </c>
      <c r="C135" s="131"/>
      <c r="D135" s="137">
        <v>50300</v>
      </c>
      <c r="E135" s="137">
        <v>36600</v>
      </c>
      <c r="F135" s="137">
        <v>200</v>
      </c>
      <c r="G135" s="137">
        <v>2000</v>
      </c>
      <c r="H135" s="137">
        <v>2400</v>
      </c>
      <c r="I135" s="137">
        <v>100</v>
      </c>
      <c r="J135" s="137">
        <v>300</v>
      </c>
      <c r="K135" s="137">
        <v>1700</v>
      </c>
      <c r="L135" s="137">
        <v>300</v>
      </c>
      <c r="M135" s="137">
        <v>0</v>
      </c>
      <c r="N135" s="137">
        <v>2800</v>
      </c>
      <c r="O135" s="137">
        <v>400</v>
      </c>
      <c r="P135" s="137">
        <v>300</v>
      </c>
      <c r="Q135" s="137">
        <v>400</v>
      </c>
      <c r="R135" s="137">
        <v>2900</v>
      </c>
      <c r="S135" s="131"/>
      <c r="T135" s="137">
        <v>5900</v>
      </c>
      <c r="U135" s="137">
        <v>4000</v>
      </c>
      <c r="V135" s="137">
        <v>1300</v>
      </c>
      <c r="W135" s="137">
        <v>400</v>
      </c>
      <c r="X135" s="137">
        <v>200</v>
      </c>
    </row>
    <row r="136" spans="1:24">
      <c r="A136" s="132">
        <v>1985</v>
      </c>
      <c r="B136" s="137">
        <v>56400</v>
      </c>
      <c r="C136" s="131"/>
      <c r="D136" s="137">
        <v>50200</v>
      </c>
      <c r="E136" s="137">
        <v>36700</v>
      </c>
      <c r="F136" s="137">
        <v>200</v>
      </c>
      <c r="G136" s="137">
        <v>2000</v>
      </c>
      <c r="H136" s="137">
        <v>2500</v>
      </c>
      <c r="I136" s="137">
        <v>100</v>
      </c>
      <c r="J136" s="137">
        <v>300</v>
      </c>
      <c r="K136" s="137">
        <v>1300</v>
      </c>
      <c r="L136" s="137">
        <v>300</v>
      </c>
      <c r="M136" s="137">
        <v>0</v>
      </c>
      <c r="N136" s="137">
        <v>2700</v>
      </c>
      <c r="O136" s="137">
        <v>400</v>
      </c>
      <c r="P136" s="137">
        <v>300</v>
      </c>
      <c r="Q136" s="137">
        <v>400</v>
      </c>
      <c r="R136" s="137">
        <v>3100</v>
      </c>
      <c r="S136" s="131"/>
      <c r="T136" s="137">
        <v>6200</v>
      </c>
      <c r="U136" s="137">
        <v>4100</v>
      </c>
      <c r="V136" s="137">
        <v>1500</v>
      </c>
      <c r="W136" s="137">
        <v>400</v>
      </c>
      <c r="X136" s="137">
        <v>200</v>
      </c>
    </row>
    <row r="137" spans="1:24">
      <c r="A137" s="132">
        <v>1986</v>
      </c>
      <c r="B137" s="137">
        <v>57500</v>
      </c>
      <c r="C137" s="131"/>
      <c r="D137" s="137">
        <v>50900</v>
      </c>
      <c r="E137" s="137">
        <v>36800</v>
      </c>
      <c r="F137" s="137">
        <v>300</v>
      </c>
      <c r="G137" s="137">
        <v>2000</v>
      </c>
      <c r="H137" s="137">
        <v>2500</v>
      </c>
      <c r="I137" s="137">
        <v>100</v>
      </c>
      <c r="J137" s="137">
        <v>300</v>
      </c>
      <c r="K137" s="137">
        <v>1500</v>
      </c>
      <c r="L137" s="137">
        <v>400</v>
      </c>
      <c r="M137" s="137">
        <v>0</v>
      </c>
      <c r="N137" s="137">
        <v>2600</v>
      </c>
      <c r="O137" s="137">
        <v>400</v>
      </c>
      <c r="P137" s="137">
        <v>200</v>
      </c>
      <c r="Q137" s="137">
        <v>400</v>
      </c>
      <c r="R137" s="137">
        <v>3200</v>
      </c>
      <c r="S137" s="131"/>
      <c r="T137" s="137">
        <v>6700</v>
      </c>
      <c r="U137" s="137">
        <v>4400</v>
      </c>
      <c r="V137" s="137">
        <v>1600</v>
      </c>
      <c r="W137" s="137">
        <v>400</v>
      </c>
      <c r="X137" s="137">
        <v>200</v>
      </c>
    </row>
    <row r="138" spans="1:24">
      <c r="A138" s="132">
        <v>1987</v>
      </c>
      <c r="B138" s="137">
        <v>57200</v>
      </c>
      <c r="C138" s="131"/>
      <c r="D138" s="137">
        <v>50500</v>
      </c>
      <c r="E138" s="137">
        <v>36100</v>
      </c>
      <c r="F138" s="137">
        <v>300</v>
      </c>
      <c r="G138" s="137">
        <v>2100</v>
      </c>
      <c r="H138" s="137">
        <v>2500</v>
      </c>
      <c r="I138" s="137">
        <v>100</v>
      </c>
      <c r="J138" s="137">
        <v>400</v>
      </c>
      <c r="K138" s="137">
        <v>1500</v>
      </c>
      <c r="L138" s="137">
        <v>300</v>
      </c>
      <c r="M138" s="137">
        <v>0</v>
      </c>
      <c r="N138" s="137">
        <v>2400</v>
      </c>
      <c r="O138" s="137">
        <v>500</v>
      </c>
      <c r="P138" s="137">
        <v>300</v>
      </c>
      <c r="Q138" s="137">
        <v>500</v>
      </c>
      <c r="R138" s="137">
        <v>3400</v>
      </c>
      <c r="S138" s="131"/>
      <c r="T138" s="137">
        <v>6700</v>
      </c>
      <c r="U138" s="137">
        <v>4600</v>
      </c>
      <c r="V138" s="137">
        <v>1600</v>
      </c>
      <c r="W138" s="137">
        <v>300</v>
      </c>
      <c r="X138" s="137">
        <v>200</v>
      </c>
    </row>
    <row r="139" spans="1:24">
      <c r="A139" s="132">
        <v>1988</v>
      </c>
      <c r="B139" s="137">
        <v>58100</v>
      </c>
      <c r="C139" s="131"/>
      <c r="D139" s="137">
        <v>51600</v>
      </c>
      <c r="E139" s="137">
        <v>36400</v>
      </c>
      <c r="F139" s="137">
        <v>300</v>
      </c>
      <c r="G139" s="137">
        <v>2200</v>
      </c>
      <c r="H139" s="137">
        <v>2600</v>
      </c>
      <c r="I139" s="137">
        <v>100</v>
      </c>
      <c r="J139" s="137">
        <v>400</v>
      </c>
      <c r="K139" s="137">
        <v>1600</v>
      </c>
      <c r="L139" s="137">
        <v>300</v>
      </c>
      <c r="M139" s="137">
        <v>0</v>
      </c>
      <c r="N139" s="137">
        <v>2400</v>
      </c>
      <c r="O139" s="137">
        <v>500</v>
      </c>
      <c r="P139" s="137">
        <v>300</v>
      </c>
      <c r="Q139" s="137">
        <v>500</v>
      </c>
      <c r="R139" s="137">
        <v>3900</v>
      </c>
      <c r="S139" s="131"/>
      <c r="T139" s="137">
        <v>6500</v>
      </c>
      <c r="U139" s="137">
        <v>4400</v>
      </c>
      <c r="V139" s="137">
        <v>1600</v>
      </c>
      <c r="W139" s="137">
        <v>300</v>
      </c>
      <c r="X139" s="137">
        <v>300</v>
      </c>
    </row>
    <row r="140" spans="1:24">
      <c r="A140" s="132">
        <v>1989</v>
      </c>
      <c r="B140" s="137">
        <v>58700</v>
      </c>
      <c r="C140" s="131"/>
      <c r="D140" s="137">
        <v>52000</v>
      </c>
      <c r="E140" s="137">
        <v>36600</v>
      </c>
      <c r="F140" s="137">
        <v>400</v>
      </c>
      <c r="G140" s="137">
        <v>2300</v>
      </c>
      <c r="H140" s="137">
        <v>2700</v>
      </c>
      <c r="I140" s="137">
        <v>100</v>
      </c>
      <c r="J140" s="137">
        <v>400</v>
      </c>
      <c r="K140" s="137">
        <v>1700</v>
      </c>
      <c r="L140" s="137">
        <v>300</v>
      </c>
      <c r="M140" s="137">
        <v>0</v>
      </c>
      <c r="N140" s="137">
        <v>2500</v>
      </c>
      <c r="O140" s="137">
        <v>500</v>
      </c>
      <c r="P140" s="137">
        <v>300</v>
      </c>
      <c r="Q140" s="137">
        <v>500</v>
      </c>
      <c r="R140" s="137">
        <v>3900</v>
      </c>
      <c r="S140" s="131"/>
      <c r="T140" s="137">
        <v>6700</v>
      </c>
      <c r="U140" s="137">
        <v>4500</v>
      </c>
      <c r="V140" s="137">
        <v>1600</v>
      </c>
      <c r="W140" s="137">
        <v>300</v>
      </c>
      <c r="X140" s="137">
        <v>200</v>
      </c>
    </row>
    <row r="141" spans="1:24">
      <c r="A141" s="132">
        <v>1990</v>
      </c>
      <c r="B141" s="137">
        <v>59100</v>
      </c>
      <c r="C141" s="131"/>
      <c r="D141" s="137">
        <v>52100</v>
      </c>
      <c r="E141" s="137">
        <v>36800</v>
      </c>
      <c r="F141" s="137">
        <v>400</v>
      </c>
      <c r="G141" s="137">
        <v>2300</v>
      </c>
      <c r="H141" s="137">
        <v>2700</v>
      </c>
      <c r="I141" s="137">
        <v>100</v>
      </c>
      <c r="J141" s="137">
        <v>300</v>
      </c>
      <c r="K141" s="137">
        <v>1600</v>
      </c>
      <c r="L141" s="137">
        <v>100</v>
      </c>
      <c r="M141" s="137">
        <v>100</v>
      </c>
      <c r="N141" s="137">
        <v>2400</v>
      </c>
      <c r="O141" s="137">
        <v>400</v>
      </c>
      <c r="P141" s="137">
        <v>300</v>
      </c>
      <c r="Q141" s="137">
        <v>400</v>
      </c>
      <c r="R141" s="137">
        <v>4100</v>
      </c>
      <c r="S141" s="131"/>
      <c r="T141" s="137">
        <v>7000</v>
      </c>
      <c r="U141" s="137">
        <v>4600</v>
      </c>
      <c r="V141" s="137">
        <v>1800</v>
      </c>
      <c r="W141" s="137">
        <v>300</v>
      </c>
      <c r="X141" s="137">
        <v>200</v>
      </c>
    </row>
    <row r="142" spans="1:24">
      <c r="A142" s="132">
        <v>1991</v>
      </c>
      <c r="B142" s="137">
        <v>58000</v>
      </c>
      <c r="C142" s="131"/>
      <c r="D142" s="137">
        <v>50300</v>
      </c>
      <c r="E142" s="137">
        <v>35300</v>
      </c>
      <c r="F142" s="137">
        <v>400</v>
      </c>
      <c r="G142" s="137">
        <v>2200</v>
      </c>
      <c r="H142" s="137">
        <v>2600</v>
      </c>
      <c r="I142" s="137">
        <v>100</v>
      </c>
      <c r="J142" s="137">
        <v>300</v>
      </c>
      <c r="K142" s="137">
        <v>1400</v>
      </c>
      <c r="L142" s="137">
        <v>200</v>
      </c>
      <c r="M142" s="137">
        <v>100</v>
      </c>
      <c r="N142" s="137">
        <v>2300</v>
      </c>
      <c r="O142" s="137">
        <v>400</v>
      </c>
      <c r="P142" s="137">
        <v>300</v>
      </c>
      <c r="Q142" s="137">
        <v>400</v>
      </c>
      <c r="R142" s="137">
        <v>4300</v>
      </c>
      <c r="S142" s="131"/>
      <c r="T142" s="137">
        <v>7700</v>
      </c>
      <c r="U142" s="137">
        <v>5000</v>
      </c>
      <c r="V142" s="137">
        <v>2000</v>
      </c>
      <c r="W142" s="137">
        <v>500</v>
      </c>
      <c r="X142" s="137">
        <v>300</v>
      </c>
    </row>
    <row r="143" spans="1:24">
      <c r="A143" s="132">
        <v>1992</v>
      </c>
      <c r="B143" s="137">
        <v>58300</v>
      </c>
      <c r="C143" s="131"/>
      <c r="D143" s="137">
        <v>50300</v>
      </c>
      <c r="E143" s="137">
        <v>35200</v>
      </c>
      <c r="F143" s="137">
        <v>500</v>
      </c>
      <c r="G143" s="137">
        <v>2500</v>
      </c>
      <c r="H143" s="137">
        <v>2600</v>
      </c>
      <c r="I143" s="137">
        <v>100</v>
      </c>
      <c r="J143" s="137">
        <v>300</v>
      </c>
      <c r="K143" s="137">
        <v>1600</v>
      </c>
      <c r="L143" s="137">
        <v>200</v>
      </c>
      <c r="M143" s="137">
        <v>100</v>
      </c>
      <c r="N143" s="137">
        <v>1700</v>
      </c>
      <c r="O143" s="137">
        <v>400</v>
      </c>
      <c r="P143" s="137">
        <v>300</v>
      </c>
      <c r="Q143" s="137">
        <v>400</v>
      </c>
      <c r="R143" s="137">
        <v>4300</v>
      </c>
      <c r="S143" s="131"/>
      <c r="T143" s="137">
        <v>8000</v>
      </c>
      <c r="U143" s="137">
        <v>5100</v>
      </c>
      <c r="V143" s="137">
        <v>2100</v>
      </c>
      <c r="W143" s="137">
        <v>600</v>
      </c>
      <c r="X143" s="137">
        <v>200</v>
      </c>
    </row>
    <row r="144" spans="1:24">
      <c r="A144" s="132">
        <v>1993</v>
      </c>
      <c r="B144" s="137">
        <v>58500</v>
      </c>
      <c r="C144" s="131"/>
      <c r="D144" s="137">
        <v>50200</v>
      </c>
      <c r="E144" s="137">
        <v>35300</v>
      </c>
      <c r="F144" s="137">
        <v>500</v>
      </c>
      <c r="G144" s="137">
        <v>2800</v>
      </c>
      <c r="H144" s="137">
        <v>2600</v>
      </c>
      <c r="I144" s="137">
        <v>100</v>
      </c>
      <c r="J144" s="137">
        <v>400</v>
      </c>
      <c r="K144" s="137">
        <v>1500</v>
      </c>
      <c r="L144" s="137">
        <v>300</v>
      </c>
      <c r="M144" s="137">
        <v>100</v>
      </c>
      <c r="N144" s="137">
        <v>1300</v>
      </c>
      <c r="O144" s="137">
        <v>400</v>
      </c>
      <c r="P144" s="137">
        <v>300</v>
      </c>
      <c r="Q144" s="137">
        <v>500</v>
      </c>
      <c r="R144" s="137">
        <v>4300</v>
      </c>
      <c r="S144" s="131"/>
      <c r="T144" s="137">
        <v>8200</v>
      </c>
      <c r="U144" s="137">
        <v>5200</v>
      </c>
      <c r="V144" s="137">
        <v>2200</v>
      </c>
      <c r="W144" s="137">
        <v>500</v>
      </c>
      <c r="X144" s="137">
        <v>200</v>
      </c>
    </row>
    <row r="145" spans="1:24">
      <c r="A145" s="132">
        <v>1994</v>
      </c>
      <c r="B145" s="137">
        <v>58700</v>
      </c>
      <c r="C145" s="131"/>
      <c r="D145" s="137">
        <v>50700</v>
      </c>
      <c r="E145" s="137">
        <v>35200</v>
      </c>
      <c r="F145" s="137">
        <v>500</v>
      </c>
      <c r="G145" s="137">
        <v>2800</v>
      </c>
      <c r="H145" s="137">
        <v>2600</v>
      </c>
      <c r="I145" s="137">
        <v>100</v>
      </c>
      <c r="J145" s="137">
        <v>400</v>
      </c>
      <c r="K145" s="137">
        <v>1500</v>
      </c>
      <c r="L145" s="137">
        <v>200</v>
      </c>
      <c r="M145" s="137">
        <v>100</v>
      </c>
      <c r="N145" s="137">
        <v>1300</v>
      </c>
      <c r="O145" s="137">
        <v>500</v>
      </c>
      <c r="P145" s="137">
        <v>300</v>
      </c>
      <c r="Q145" s="137">
        <v>500</v>
      </c>
      <c r="R145" s="137">
        <v>4700</v>
      </c>
      <c r="S145" s="131"/>
      <c r="T145" s="137">
        <v>8000</v>
      </c>
      <c r="U145" s="137">
        <v>5100</v>
      </c>
      <c r="V145" s="137">
        <v>2300</v>
      </c>
      <c r="W145" s="137">
        <v>400</v>
      </c>
      <c r="X145" s="137">
        <v>200</v>
      </c>
    </row>
    <row r="146" spans="1:24">
      <c r="A146" s="132">
        <v>1995</v>
      </c>
      <c r="B146" s="137">
        <v>60800</v>
      </c>
      <c r="C146" s="131"/>
      <c r="D146" s="137">
        <v>52600</v>
      </c>
      <c r="E146" s="137">
        <v>36400</v>
      </c>
      <c r="F146" s="137">
        <v>700</v>
      </c>
      <c r="G146" s="137">
        <v>3000</v>
      </c>
      <c r="H146" s="137">
        <v>2700</v>
      </c>
      <c r="I146" s="137">
        <v>100</v>
      </c>
      <c r="J146" s="137">
        <v>400</v>
      </c>
      <c r="K146" s="137">
        <v>1500</v>
      </c>
      <c r="L146" s="137">
        <v>300</v>
      </c>
      <c r="M146" s="137">
        <v>100</v>
      </c>
      <c r="N146" s="137">
        <v>1400</v>
      </c>
      <c r="O146" s="137">
        <v>500</v>
      </c>
      <c r="P146" s="137">
        <v>300</v>
      </c>
      <c r="Q146" s="137">
        <v>600</v>
      </c>
      <c r="R146" s="137">
        <v>4800</v>
      </c>
      <c r="S146" s="131"/>
      <c r="T146" s="137">
        <v>8200</v>
      </c>
      <c r="U146" s="137">
        <v>5200</v>
      </c>
      <c r="V146" s="137">
        <v>2500</v>
      </c>
      <c r="W146" s="137">
        <v>300</v>
      </c>
      <c r="X146" s="137">
        <v>200</v>
      </c>
    </row>
    <row r="147" spans="1:24">
      <c r="A147" s="132">
        <v>1996</v>
      </c>
      <c r="B147" s="137">
        <v>61700</v>
      </c>
      <c r="C147" s="131"/>
      <c r="D147" s="137">
        <v>53400</v>
      </c>
      <c r="E147" s="137">
        <v>36900</v>
      </c>
      <c r="F147" s="137">
        <v>800</v>
      </c>
      <c r="G147" s="137">
        <v>3000</v>
      </c>
      <c r="H147" s="137">
        <v>2800</v>
      </c>
      <c r="I147" s="137">
        <v>100</v>
      </c>
      <c r="J147" s="137">
        <v>500</v>
      </c>
      <c r="K147" s="137">
        <v>1500</v>
      </c>
      <c r="L147" s="137">
        <v>300</v>
      </c>
      <c r="M147" s="137">
        <v>100</v>
      </c>
      <c r="N147" s="137">
        <v>1300</v>
      </c>
      <c r="O147" s="137">
        <v>500</v>
      </c>
      <c r="P147" s="137">
        <v>300</v>
      </c>
      <c r="Q147" s="137">
        <v>500</v>
      </c>
      <c r="R147" s="137">
        <v>4900</v>
      </c>
      <c r="S147" s="131"/>
      <c r="T147" s="137">
        <v>8400</v>
      </c>
      <c r="U147" s="137">
        <v>5200</v>
      </c>
      <c r="V147" s="137">
        <v>2600</v>
      </c>
      <c r="W147" s="137">
        <v>300</v>
      </c>
      <c r="X147" s="137">
        <v>200</v>
      </c>
    </row>
    <row r="148" spans="1:24">
      <c r="A148" s="132">
        <v>1997</v>
      </c>
      <c r="B148" s="137">
        <v>63000</v>
      </c>
      <c r="C148" s="131"/>
      <c r="D148" s="137">
        <v>54900</v>
      </c>
      <c r="E148" s="137">
        <v>38300</v>
      </c>
      <c r="F148" s="137">
        <v>800</v>
      </c>
      <c r="G148" s="137">
        <v>2700</v>
      </c>
      <c r="H148" s="137">
        <v>2900</v>
      </c>
      <c r="I148" s="137">
        <v>100</v>
      </c>
      <c r="J148" s="137">
        <v>500</v>
      </c>
      <c r="K148" s="137">
        <v>1500</v>
      </c>
      <c r="L148" s="137">
        <v>500</v>
      </c>
      <c r="M148" s="137">
        <v>100</v>
      </c>
      <c r="N148" s="137">
        <v>1300</v>
      </c>
      <c r="O148" s="137">
        <v>500</v>
      </c>
      <c r="P148" s="137">
        <v>300</v>
      </c>
      <c r="Q148" s="137">
        <v>500</v>
      </c>
      <c r="R148" s="137">
        <v>5000</v>
      </c>
      <c r="S148" s="131"/>
      <c r="T148" s="137">
        <v>8100</v>
      </c>
      <c r="U148" s="137">
        <v>5000</v>
      </c>
      <c r="V148" s="137">
        <v>2600</v>
      </c>
      <c r="W148" s="137">
        <v>300</v>
      </c>
      <c r="X148" s="137">
        <v>200</v>
      </c>
    </row>
    <row r="149" spans="1:24">
      <c r="A149" s="132">
        <v>1998</v>
      </c>
      <c r="B149" s="137">
        <v>65200</v>
      </c>
      <c r="C149" s="131"/>
      <c r="D149" s="137">
        <v>56800</v>
      </c>
      <c r="E149" s="137">
        <v>39400</v>
      </c>
      <c r="F149" s="137">
        <v>900</v>
      </c>
      <c r="G149" s="137">
        <v>2700</v>
      </c>
      <c r="H149" s="137">
        <v>3000</v>
      </c>
      <c r="I149" s="137">
        <v>100</v>
      </c>
      <c r="J149" s="137">
        <v>500</v>
      </c>
      <c r="K149" s="137">
        <v>1600</v>
      </c>
      <c r="L149" s="137">
        <v>500</v>
      </c>
      <c r="M149" s="137">
        <v>0</v>
      </c>
      <c r="N149" s="137">
        <v>1400</v>
      </c>
      <c r="O149" s="137">
        <v>500</v>
      </c>
      <c r="P149" s="137">
        <v>300</v>
      </c>
      <c r="Q149" s="137">
        <v>500</v>
      </c>
      <c r="R149" s="137">
        <v>5500</v>
      </c>
      <c r="S149" s="131"/>
      <c r="T149" s="137">
        <v>8300</v>
      </c>
      <c r="U149" s="137">
        <v>5300</v>
      </c>
      <c r="V149" s="137">
        <v>2600</v>
      </c>
      <c r="W149" s="137">
        <v>300</v>
      </c>
      <c r="X149" s="137">
        <v>200</v>
      </c>
    </row>
    <row r="150" spans="1:24">
      <c r="A150" s="132">
        <v>1999</v>
      </c>
      <c r="B150" s="137">
        <v>67100</v>
      </c>
      <c r="C150" s="131"/>
      <c r="D150" s="137">
        <v>58800</v>
      </c>
      <c r="E150" s="137">
        <v>40800</v>
      </c>
      <c r="F150" s="137">
        <v>1000</v>
      </c>
      <c r="G150" s="137">
        <v>2700</v>
      </c>
      <c r="H150" s="137">
        <v>3100</v>
      </c>
      <c r="I150" s="137">
        <v>100</v>
      </c>
      <c r="J150" s="137">
        <v>500</v>
      </c>
      <c r="K150" s="137">
        <v>1600</v>
      </c>
      <c r="L150" s="137">
        <v>600</v>
      </c>
      <c r="M150" s="137">
        <v>100</v>
      </c>
      <c r="N150" s="137">
        <v>1300</v>
      </c>
      <c r="O150" s="137">
        <v>500</v>
      </c>
      <c r="P150" s="137">
        <v>300</v>
      </c>
      <c r="Q150" s="137">
        <v>500</v>
      </c>
      <c r="R150" s="137">
        <v>5700</v>
      </c>
      <c r="S150" s="131"/>
      <c r="T150" s="137">
        <v>8300</v>
      </c>
      <c r="U150" s="137">
        <v>5300</v>
      </c>
      <c r="V150" s="137">
        <v>2500</v>
      </c>
      <c r="W150" s="137">
        <v>300</v>
      </c>
      <c r="X150" s="137">
        <v>100</v>
      </c>
    </row>
    <row r="151" spans="1:24">
      <c r="A151" s="132">
        <v>2000</v>
      </c>
      <c r="B151" s="137">
        <v>67500</v>
      </c>
      <c r="C151" s="131"/>
      <c r="D151" s="137">
        <v>59000</v>
      </c>
      <c r="E151" s="137">
        <v>40400</v>
      </c>
      <c r="F151" s="137">
        <v>1100</v>
      </c>
      <c r="G151" s="137">
        <v>2700</v>
      </c>
      <c r="H151" s="137">
        <v>3100</v>
      </c>
      <c r="I151" s="137">
        <v>100</v>
      </c>
      <c r="J151" s="137">
        <v>400</v>
      </c>
      <c r="K151" s="137">
        <v>1500</v>
      </c>
      <c r="L151" s="137">
        <v>600</v>
      </c>
      <c r="M151" s="137">
        <v>100</v>
      </c>
      <c r="N151" s="137">
        <v>1300</v>
      </c>
      <c r="O151" s="137">
        <v>500</v>
      </c>
      <c r="P151" s="137">
        <v>300</v>
      </c>
      <c r="Q151" s="137">
        <v>500</v>
      </c>
      <c r="R151" s="137">
        <v>6300</v>
      </c>
      <c r="S151" s="131"/>
      <c r="T151" s="137">
        <v>8500</v>
      </c>
      <c r="U151" s="137">
        <v>5500</v>
      </c>
      <c r="V151" s="137">
        <v>2600</v>
      </c>
      <c r="W151" s="137">
        <v>300</v>
      </c>
      <c r="X151" s="137">
        <v>200</v>
      </c>
    </row>
    <row r="152" spans="1:24">
      <c r="A152" s="132">
        <v>2001</v>
      </c>
      <c r="B152" s="137">
        <v>67200</v>
      </c>
      <c r="C152" s="131"/>
      <c r="D152" s="137">
        <v>58200</v>
      </c>
      <c r="E152" s="137">
        <v>40400</v>
      </c>
      <c r="F152" s="137">
        <v>1100</v>
      </c>
      <c r="G152" s="137">
        <v>2800</v>
      </c>
      <c r="H152" s="137">
        <v>3100</v>
      </c>
      <c r="I152" s="137">
        <v>100</v>
      </c>
      <c r="J152" s="137">
        <v>300</v>
      </c>
      <c r="K152" s="137">
        <v>1600</v>
      </c>
      <c r="L152" s="137">
        <v>200</v>
      </c>
      <c r="M152" s="137">
        <v>100</v>
      </c>
      <c r="N152" s="137">
        <v>1400</v>
      </c>
      <c r="O152" s="137">
        <v>500</v>
      </c>
      <c r="P152" s="137">
        <v>300</v>
      </c>
      <c r="Q152" s="137">
        <v>300</v>
      </c>
      <c r="R152" s="137">
        <v>6100</v>
      </c>
      <c r="S152" s="131"/>
      <c r="T152" s="137">
        <v>9000</v>
      </c>
      <c r="U152" s="137">
        <v>5700</v>
      </c>
      <c r="V152" s="137">
        <v>2800</v>
      </c>
      <c r="W152" s="137">
        <v>400</v>
      </c>
      <c r="X152" s="137">
        <v>200</v>
      </c>
    </row>
    <row r="153" spans="1:24">
      <c r="A153" s="132">
        <v>2002</v>
      </c>
      <c r="B153" s="137">
        <v>65800</v>
      </c>
      <c r="C153" s="131"/>
      <c r="D153" s="137">
        <v>55900</v>
      </c>
      <c r="E153" s="137">
        <v>39200</v>
      </c>
      <c r="F153" s="137">
        <v>700</v>
      </c>
      <c r="G153" s="137">
        <v>3000</v>
      </c>
      <c r="H153" s="137">
        <v>2900</v>
      </c>
      <c r="I153" s="137">
        <v>100</v>
      </c>
      <c r="J153" s="137">
        <v>300</v>
      </c>
      <c r="K153" s="137">
        <v>1500</v>
      </c>
      <c r="L153" s="137">
        <v>0</v>
      </c>
      <c r="M153" s="137">
        <v>100</v>
      </c>
      <c r="N153" s="137">
        <v>1000</v>
      </c>
      <c r="O153" s="137">
        <v>400</v>
      </c>
      <c r="P153" s="137">
        <v>300</v>
      </c>
      <c r="Q153" s="137">
        <v>300</v>
      </c>
      <c r="R153" s="137">
        <v>6000</v>
      </c>
      <c r="S153" s="131"/>
      <c r="T153" s="137">
        <v>9900</v>
      </c>
      <c r="U153" s="137">
        <v>6100</v>
      </c>
      <c r="V153" s="137">
        <v>3000</v>
      </c>
      <c r="W153" s="137">
        <v>600</v>
      </c>
      <c r="X153" s="137">
        <v>200</v>
      </c>
    </row>
    <row r="154" spans="1:24">
      <c r="A154" s="132">
        <v>2003</v>
      </c>
      <c r="B154" s="137">
        <v>65700</v>
      </c>
      <c r="C154" s="131"/>
      <c r="D154" s="137">
        <v>55700</v>
      </c>
      <c r="E154" s="137">
        <v>38400</v>
      </c>
      <c r="F154" s="137">
        <v>700</v>
      </c>
      <c r="G154" s="137">
        <v>3300</v>
      </c>
      <c r="H154" s="137">
        <v>2900</v>
      </c>
      <c r="I154" s="137">
        <v>100</v>
      </c>
      <c r="J154" s="137">
        <v>400</v>
      </c>
      <c r="K154" s="137">
        <v>1600</v>
      </c>
      <c r="L154" s="137">
        <v>0</v>
      </c>
      <c r="M154" s="137">
        <v>100</v>
      </c>
      <c r="N154" s="137">
        <v>800</v>
      </c>
      <c r="O154" s="137">
        <v>400</v>
      </c>
      <c r="P154" s="137">
        <v>300</v>
      </c>
      <c r="Q154" s="137">
        <v>300</v>
      </c>
      <c r="R154" s="137">
        <v>6400</v>
      </c>
      <c r="S154" s="131"/>
      <c r="T154" s="137">
        <v>10000</v>
      </c>
      <c r="U154" s="137">
        <v>6100</v>
      </c>
      <c r="V154" s="137">
        <v>3100</v>
      </c>
      <c r="W154" s="137">
        <v>600</v>
      </c>
      <c r="X154" s="137">
        <v>200</v>
      </c>
    </row>
    <row r="155" spans="1:24">
      <c r="A155" s="132">
        <v>2004</v>
      </c>
      <c r="B155" s="137">
        <v>67800</v>
      </c>
      <c r="C155" s="131"/>
      <c r="D155" s="137">
        <v>57900</v>
      </c>
      <c r="E155" s="137">
        <v>39600</v>
      </c>
      <c r="F155" s="137">
        <v>700</v>
      </c>
      <c r="G155" s="137">
        <v>3800</v>
      </c>
      <c r="H155" s="137">
        <v>3000</v>
      </c>
      <c r="I155" s="137">
        <v>100</v>
      </c>
      <c r="J155" s="137">
        <v>500</v>
      </c>
      <c r="K155" s="137">
        <v>1800</v>
      </c>
      <c r="L155" s="137">
        <v>100</v>
      </c>
      <c r="M155" s="137">
        <v>100</v>
      </c>
      <c r="N155" s="137">
        <v>700</v>
      </c>
      <c r="O155" s="137">
        <v>400</v>
      </c>
      <c r="P155" s="137">
        <v>300</v>
      </c>
      <c r="Q155" s="137">
        <v>400</v>
      </c>
      <c r="R155" s="137">
        <v>6500</v>
      </c>
      <c r="S155" s="131"/>
      <c r="T155" s="137">
        <v>9800</v>
      </c>
      <c r="U155" s="137">
        <v>6100</v>
      </c>
      <c r="V155" s="137">
        <v>3200</v>
      </c>
      <c r="W155" s="137">
        <v>400</v>
      </c>
      <c r="X155" s="137">
        <v>200</v>
      </c>
    </row>
    <row r="156" spans="1:24">
      <c r="A156" s="132">
        <v>2005</v>
      </c>
      <c r="B156" s="137">
        <v>69000</v>
      </c>
      <c r="C156" s="131"/>
      <c r="D156" s="137">
        <v>59200</v>
      </c>
      <c r="E156" s="137">
        <v>40300</v>
      </c>
      <c r="F156" s="137">
        <v>800</v>
      </c>
      <c r="G156" s="137">
        <v>4000</v>
      </c>
      <c r="H156" s="137">
        <v>3000</v>
      </c>
      <c r="I156" s="137">
        <v>100</v>
      </c>
      <c r="J156" s="137">
        <v>600</v>
      </c>
      <c r="K156" s="137">
        <v>1700</v>
      </c>
      <c r="L156" s="137">
        <v>300</v>
      </c>
      <c r="M156" s="137">
        <v>100</v>
      </c>
      <c r="N156" s="137">
        <v>700</v>
      </c>
      <c r="O156" s="137">
        <v>400</v>
      </c>
      <c r="P156" s="137">
        <v>300</v>
      </c>
      <c r="Q156" s="137">
        <v>400</v>
      </c>
      <c r="R156" s="137">
        <v>6400</v>
      </c>
      <c r="S156" s="131"/>
      <c r="T156" s="137">
        <v>9800</v>
      </c>
      <c r="U156" s="137">
        <v>6100</v>
      </c>
      <c r="V156" s="137">
        <v>3300</v>
      </c>
      <c r="W156" s="137">
        <v>300</v>
      </c>
      <c r="X156" s="137">
        <v>100</v>
      </c>
    </row>
    <row r="157" spans="1:24">
      <c r="A157" s="132">
        <v>2006</v>
      </c>
      <c r="B157" s="137">
        <v>69700</v>
      </c>
      <c r="C157" s="131"/>
      <c r="D157" s="137">
        <v>59300</v>
      </c>
      <c r="E157" s="137">
        <v>40400</v>
      </c>
      <c r="F157" s="137">
        <v>800</v>
      </c>
      <c r="G157" s="137">
        <v>3900</v>
      </c>
      <c r="H157" s="137">
        <v>3000</v>
      </c>
      <c r="I157" s="137">
        <v>100</v>
      </c>
      <c r="J157" s="137">
        <v>700</v>
      </c>
      <c r="K157" s="137">
        <v>1700</v>
      </c>
      <c r="L157" s="137">
        <v>400</v>
      </c>
      <c r="M157" s="137">
        <v>100</v>
      </c>
      <c r="N157" s="137">
        <v>900</v>
      </c>
      <c r="O157" s="137">
        <v>400</v>
      </c>
      <c r="P157" s="137">
        <v>300</v>
      </c>
      <c r="Q157" s="137">
        <v>500</v>
      </c>
      <c r="R157" s="137">
        <v>6300</v>
      </c>
      <c r="S157" s="131"/>
      <c r="T157" s="137">
        <v>10400</v>
      </c>
      <c r="U157" s="137">
        <v>6200</v>
      </c>
      <c r="V157" s="137">
        <v>3700</v>
      </c>
      <c r="W157" s="137">
        <v>300</v>
      </c>
      <c r="X157" s="137">
        <v>100</v>
      </c>
    </row>
    <row r="158" spans="1:24">
      <c r="A158" s="132">
        <v>2007</v>
      </c>
      <c r="B158" s="137">
        <v>72200</v>
      </c>
      <c r="C158" s="131"/>
      <c r="D158" s="137">
        <v>61800</v>
      </c>
      <c r="E158" s="137">
        <v>42200</v>
      </c>
      <c r="F158" s="137">
        <v>900</v>
      </c>
      <c r="G158" s="137">
        <v>3700</v>
      </c>
      <c r="H158" s="137">
        <v>3200</v>
      </c>
      <c r="I158" s="137">
        <v>100</v>
      </c>
      <c r="J158" s="137">
        <v>600</v>
      </c>
      <c r="K158" s="137">
        <v>1700</v>
      </c>
      <c r="L158" s="137">
        <v>500</v>
      </c>
      <c r="M158" s="137">
        <v>100</v>
      </c>
      <c r="N158" s="137">
        <v>1000</v>
      </c>
      <c r="O158" s="137">
        <v>500</v>
      </c>
      <c r="P158" s="137">
        <v>300</v>
      </c>
      <c r="Q158" s="137">
        <v>400</v>
      </c>
      <c r="R158" s="137">
        <v>6700</v>
      </c>
      <c r="S158" s="131"/>
      <c r="T158" s="137">
        <v>10400</v>
      </c>
      <c r="U158" s="137">
        <v>6200</v>
      </c>
      <c r="V158" s="137">
        <v>3700</v>
      </c>
      <c r="W158" s="137">
        <v>400</v>
      </c>
      <c r="X158" s="137">
        <v>100</v>
      </c>
    </row>
    <row r="159" spans="1:24">
      <c r="A159" s="132">
        <v>2008</v>
      </c>
      <c r="B159" s="137">
        <v>70000</v>
      </c>
      <c r="C159" s="131"/>
      <c r="D159" s="137">
        <v>58800</v>
      </c>
      <c r="E159" s="137">
        <v>40600</v>
      </c>
      <c r="F159" s="137">
        <v>800</v>
      </c>
      <c r="G159" s="137">
        <v>3600</v>
      </c>
      <c r="H159" s="137">
        <v>3000</v>
      </c>
      <c r="I159" s="137">
        <v>100</v>
      </c>
      <c r="J159" s="137">
        <v>300</v>
      </c>
      <c r="K159" s="137">
        <v>1500</v>
      </c>
      <c r="L159" s="137">
        <v>100</v>
      </c>
      <c r="M159" s="137">
        <v>100</v>
      </c>
      <c r="N159" s="137">
        <v>900</v>
      </c>
      <c r="O159" s="137">
        <v>500</v>
      </c>
      <c r="P159" s="137">
        <v>300</v>
      </c>
      <c r="Q159" s="137">
        <v>300</v>
      </c>
      <c r="R159" s="137">
        <v>6600</v>
      </c>
      <c r="S159" s="131"/>
      <c r="T159" s="137">
        <v>11200</v>
      </c>
      <c r="U159" s="137">
        <v>6500</v>
      </c>
      <c r="V159" s="137">
        <v>4000</v>
      </c>
      <c r="W159" s="137">
        <v>500</v>
      </c>
      <c r="X159" s="137">
        <v>100</v>
      </c>
    </row>
    <row r="160" spans="1:24">
      <c r="A160" s="132">
        <v>2009</v>
      </c>
      <c r="B160" s="137">
        <v>68400</v>
      </c>
      <c r="C160" s="131"/>
      <c r="D160" s="137">
        <v>55400</v>
      </c>
      <c r="E160" s="137">
        <v>38300</v>
      </c>
      <c r="F160" s="137">
        <v>700</v>
      </c>
      <c r="G160" s="137">
        <v>3500</v>
      </c>
      <c r="H160" s="137">
        <v>2900</v>
      </c>
      <c r="I160" s="137">
        <v>100</v>
      </c>
      <c r="J160" s="137">
        <v>300</v>
      </c>
      <c r="K160" s="137">
        <v>1500</v>
      </c>
      <c r="L160" s="137">
        <v>-100</v>
      </c>
      <c r="M160" s="137">
        <v>100</v>
      </c>
      <c r="N160" s="137">
        <v>700</v>
      </c>
      <c r="O160" s="137">
        <v>400</v>
      </c>
      <c r="P160" s="137">
        <v>300</v>
      </c>
      <c r="Q160" s="137">
        <v>200</v>
      </c>
      <c r="R160" s="137">
        <v>6500</v>
      </c>
      <c r="S160" s="131"/>
      <c r="T160" s="137">
        <v>13100</v>
      </c>
      <c r="U160" s="137">
        <v>7200</v>
      </c>
      <c r="V160" s="137">
        <v>4400</v>
      </c>
      <c r="W160" s="137">
        <v>1300</v>
      </c>
      <c r="X160" s="137">
        <v>200</v>
      </c>
    </row>
    <row r="161" spans="1:24">
      <c r="A161" s="132">
        <v>2010</v>
      </c>
      <c r="B161" s="137">
        <v>67700</v>
      </c>
      <c r="C161" s="131"/>
      <c r="D161" s="137">
        <v>54000</v>
      </c>
      <c r="E161" s="137">
        <v>37100</v>
      </c>
      <c r="F161" s="137">
        <v>700</v>
      </c>
      <c r="G161" s="137">
        <v>3400</v>
      </c>
      <c r="H161" s="137">
        <v>2800</v>
      </c>
      <c r="I161" s="137">
        <v>100</v>
      </c>
      <c r="J161" s="137">
        <v>400</v>
      </c>
      <c r="K161" s="137">
        <v>1500</v>
      </c>
      <c r="L161" s="137">
        <v>0</v>
      </c>
      <c r="M161" s="137">
        <v>100</v>
      </c>
      <c r="N161" s="137">
        <v>500</v>
      </c>
      <c r="O161" s="137">
        <v>400</v>
      </c>
      <c r="P161" s="137">
        <v>300</v>
      </c>
      <c r="Q161" s="137">
        <v>200</v>
      </c>
      <c r="R161" s="137">
        <v>6600</v>
      </c>
      <c r="S161" s="131"/>
      <c r="T161" s="137">
        <v>13700</v>
      </c>
      <c r="U161" s="137">
        <v>7700</v>
      </c>
      <c r="V161" s="137">
        <v>4500</v>
      </c>
      <c r="W161" s="137">
        <v>1300</v>
      </c>
      <c r="X161" s="137">
        <v>100</v>
      </c>
    </row>
    <row r="162" spans="1:24">
      <c r="A162" s="132">
        <v>2011</v>
      </c>
      <c r="B162" s="137">
        <v>67100</v>
      </c>
      <c r="C162" s="131"/>
      <c r="D162" s="137">
        <v>54100</v>
      </c>
      <c r="E162" s="137">
        <v>36900</v>
      </c>
      <c r="F162" s="137">
        <v>700</v>
      </c>
      <c r="G162" s="137">
        <v>3400</v>
      </c>
      <c r="H162" s="137">
        <v>2700</v>
      </c>
      <c r="I162" s="137">
        <v>100</v>
      </c>
      <c r="J162" s="137">
        <v>300</v>
      </c>
      <c r="K162" s="137">
        <v>1600</v>
      </c>
      <c r="L162" s="137">
        <v>100</v>
      </c>
      <c r="M162" s="137">
        <v>100</v>
      </c>
      <c r="N162" s="137">
        <v>400</v>
      </c>
      <c r="O162" s="137">
        <v>500</v>
      </c>
      <c r="P162" s="137">
        <v>300</v>
      </c>
      <c r="Q162" s="137">
        <v>200</v>
      </c>
      <c r="R162" s="137">
        <v>6800</v>
      </c>
      <c r="S162" s="131"/>
      <c r="T162" s="137">
        <v>13000</v>
      </c>
      <c r="U162" s="137">
        <v>7500</v>
      </c>
      <c r="V162" s="137">
        <v>4400</v>
      </c>
      <c r="W162" s="137">
        <v>1000</v>
      </c>
      <c r="X162" s="137">
        <v>100</v>
      </c>
    </row>
    <row r="163" spans="1:24">
      <c r="A163" s="132">
        <v>2012</v>
      </c>
      <c r="B163" s="137">
        <v>67100</v>
      </c>
      <c r="C163" s="131"/>
      <c r="D163" s="137">
        <v>54100</v>
      </c>
      <c r="E163" s="137">
        <v>36900</v>
      </c>
      <c r="F163" s="137">
        <v>700</v>
      </c>
      <c r="G163" s="137">
        <v>3400</v>
      </c>
      <c r="H163" s="137">
        <v>2800</v>
      </c>
      <c r="I163" s="137">
        <v>100</v>
      </c>
      <c r="J163" s="137">
        <v>400</v>
      </c>
      <c r="K163" s="137">
        <v>1700</v>
      </c>
      <c r="L163" s="137">
        <v>100</v>
      </c>
      <c r="M163" s="137">
        <v>100</v>
      </c>
      <c r="N163" s="137">
        <v>300</v>
      </c>
      <c r="O163" s="137">
        <v>400</v>
      </c>
      <c r="P163" s="137">
        <v>300</v>
      </c>
      <c r="Q163" s="137">
        <v>200</v>
      </c>
      <c r="R163" s="137">
        <v>6700</v>
      </c>
      <c r="S163" s="131"/>
      <c r="T163" s="137">
        <v>13100</v>
      </c>
      <c r="U163" s="137">
        <v>7700</v>
      </c>
      <c r="V163" s="137">
        <v>4500</v>
      </c>
      <c r="W163" s="137">
        <v>700</v>
      </c>
      <c r="X163" s="137">
        <v>100</v>
      </c>
    </row>
    <row r="164" spans="1:24">
      <c r="A164" s="132">
        <v>2013</v>
      </c>
      <c r="B164" s="137">
        <v>68300</v>
      </c>
      <c r="C164" s="131"/>
      <c r="D164" s="137">
        <v>55700</v>
      </c>
      <c r="E164" s="137">
        <v>38100</v>
      </c>
      <c r="F164" s="137">
        <v>800</v>
      </c>
      <c r="G164" s="137">
        <v>3300</v>
      </c>
      <c r="H164" s="137">
        <v>2900</v>
      </c>
      <c r="I164" s="137">
        <v>100</v>
      </c>
      <c r="J164" s="137">
        <v>400</v>
      </c>
      <c r="K164" s="137">
        <v>1700</v>
      </c>
      <c r="L164" s="137">
        <v>200</v>
      </c>
      <c r="M164" s="137">
        <v>100</v>
      </c>
      <c r="N164" s="137">
        <v>200</v>
      </c>
      <c r="O164" s="137">
        <v>400</v>
      </c>
      <c r="P164" s="137">
        <v>300</v>
      </c>
      <c r="Q164" s="137">
        <v>300</v>
      </c>
      <c r="R164" s="137">
        <v>7000</v>
      </c>
      <c r="S164" s="131"/>
      <c r="T164" s="137">
        <v>12600</v>
      </c>
      <c r="U164" s="137">
        <v>7700</v>
      </c>
      <c r="V164" s="137">
        <v>4300</v>
      </c>
      <c r="W164" s="137">
        <v>500</v>
      </c>
      <c r="X164" s="137">
        <v>100</v>
      </c>
    </row>
    <row r="165" spans="1:24">
      <c r="A165" s="132">
        <v>2014</v>
      </c>
      <c r="B165" s="137">
        <v>69600</v>
      </c>
      <c r="C165" s="131"/>
      <c r="D165" s="137">
        <v>57200</v>
      </c>
      <c r="E165" s="137">
        <v>39300</v>
      </c>
      <c r="F165" s="137">
        <v>800</v>
      </c>
      <c r="G165" s="137">
        <v>3300</v>
      </c>
      <c r="H165" s="137">
        <v>3000</v>
      </c>
      <c r="I165" s="137">
        <v>100</v>
      </c>
      <c r="J165" s="137">
        <v>500</v>
      </c>
      <c r="K165" s="137">
        <v>1800</v>
      </c>
      <c r="L165" s="137">
        <v>300</v>
      </c>
      <c r="M165" s="137">
        <v>0</v>
      </c>
      <c r="N165" s="137">
        <v>200</v>
      </c>
      <c r="O165" s="137">
        <v>400</v>
      </c>
      <c r="P165" s="137">
        <v>300</v>
      </c>
      <c r="Q165" s="137">
        <v>300</v>
      </c>
      <c r="R165" s="137">
        <v>6900</v>
      </c>
      <c r="S165" s="131"/>
      <c r="T165" s="137">
        <v>12400</v>
      </c>
      <c r="U165" s="137">
        <v>7700</v>
      </c>
      <c r="V165" s="137">
        <v>4300</v>
      </c>
      <c r="W165" s="137">
        <v>300</v>
      </c>
      <c r="X165" s="137">
        <v>100</v>
      </c>
    </row>
    <row r="166" spans="1:24">
      <c r="A166" s="132">
        <v>2015</v>
      </c>
      <c r="B166" s="137">
        <v>72000</v>
      </c>
      <c r="C166" s="131"/>
      <c r="D166" s="137">
        <v>59200</v>
      </c>
      <c r="E166" s="137">
        <v>40300</v>
      </c>
      <c r="F166" s="137">
        <v>900</v>
      </c>
      <c r="G166" s="137">
        <v>3500</v>
      </c>
      <c r="H166" s="137">
        <v>3000</v>
      </c>
      <c r="I166" s="137">
        <v>100</v>
      </c>
      <c r="J166" s="137">
        <v>500</v>
      </c>
      <c r="K166" s="137">
        <v>1800</v>
      </c>
      <c r="L166" s="137">
        <v>300</v>
      </c>
      <c r="M166" s="137">
        <v>100</v>
      </c>
      <c r="N166" s="137">
        <v>200</v>
      </c>
      <c r="O166" s="137">
        <v>400</v>
      </c>
      <c r="P166" s="137">
        <v>300</v>
      </c>
      <c r="Q166" s="137">
        <v>300</v>
      </c>
      <c r="R166" s="137">
        <v>7500</v>
      </c>
      <c r="S166" s="131"/>
      <c r="T166" s="137">
        <v>12800</v>
      </c>
      <c r="U166" s="137">
        <v>7900</v>
      </c>
      <c r="V166" s="137">
        <v>4500</v>
      </c>
      <c r="W166" s="137">
        <v>300</v>
      </c>
      <c r="X166" s="137">
        <v>200</v>
      </c>
    </row>
    <row r="167" spans="1:24">
      <c r="A167" s="132">
        <v>2016</v>
      </c>
      <c r="B167" s="137">
        <v>72500</v>
      </c>
      <c r="C167" s="131"/>
      <c r="D167" s="137">
        <v>59300</v>
      </c>
      <c r="E167" s="137">
        <v>40600</v>
      </c>
      <c r="F167" s="137">
        <v>900</v>
      </c>
      <c r="G167" s="137">
        <v>3500</v>
      </c>
      <c r="H167" s="137">
        <v>3000</v>
      </c>
      <c r="I167" s="137">
        <v>0</v>
      </c>
      <c r="J167" s="137">
        <v>500</v>
      </c>
      <c r="K167" s="137">
        <v>1900</v>
      </c>
      <c r="L167" s="137">
        <v>200</v>
      </c>
      <c r="M167" s="137">
        <v>0</v>
      </c>
      <c r="N167" s="137">
        <v>200</v>
      </c>
      <c r="O167" s="137">
        <v>400</v>
      </c>
      <c r="P167" s="137">
        <v>300</v>
      </c>
      <c r="Q167" s="137">
        <v>300</v>
      </c>
      <c r="R167" s="137">
        <v>7400</v>
      </c>
      <c r="S167" s="131"/>
      <c r="T167" s="137">
        <v>13200</v>
      </c>
      <c r="U167" s="137">
        <v>8200</v>
      </c>
      <c r="V167" s="137">
        <v>4600</v>
      </c>
      <c r="W167" s="137">
        <v>200</v>
      </c>
      <c r="X167" s="137">
        <v>100</v>
      </c>
    </row>
    <row r="169" spans="1:24">
      <c r="A169" s="131"/>
      <c r="B169" s="774" t="s">
        <v>8</v>
      </c>
      <c r="C169" s="774"/>
      <c r="D169" s="774"/>
      <c r="E169" s="774"/>
      <c r="F169" s="774"/>
      <c r="G169" s="774"/>
      <c r="H169" s="774"/>
      <c r="I169" s="774"/>
      <c r="J169" s="774"/>
      <c r="K169" s="774"/>
      <c r="L169" s="774"/>
      <c r="M169" s="774"/>
      <c r="N169" s="774"/>
      <c r="O169" s="774"/>
      <c r="P169" s="774"/>
      <c r="Q169" s="774"/>
      <c r="R169" s="774"/>
      <c r="S169" s="774"/>
      <c r="T169" s="774"/>
      <c r="U169" s="774"/>
      <c r="V169" s="774"/>
      <c r="W169" s="774"/>
      <c r="X169" s="774"/>
    </row>
    <row r="170" spans="1:24">
      <c r="A170" s="132">
        <v>1979</v>
      </c>
      <c r="B170" s="137">
        <v>77300</v>
      </c>
      <c r="C170" s="131"/>
      <c r="D170" s="137">
        <v>73800</v>
      </c>
      <c r="E170" s="137">
        <v>57200</v>
      </c>
      <c r="F170" s="137">
        <v>0</v>
      </c>
      <c r="G170" s="137">
        <v>2600</v>
      </c>
      <c r="H170" s="137">
        <v>3100</v>
      </c>
      <c r="I170" s="137">
        <v>200</v>
      </c>
      <c r="J170" s="137">
        <v>800</v>
      </c>
      <c r="K170" s="137">
        <v>2200</v>
      </c>
      <c r="L170" s="137">
        <v>600</v>
      </c>
      <c r="M170" s="137">
        <v>0</v>
      </c>
      <c r="N170" s="137">
        <v>2400</v>
      </c>
      <c r="O170" s="137">
        <v>500</v>
      </c>
      <c r="P170" s="137">
        <v>300</v>
      </c>
      <c r="Q170" s="137">
        <v>1000</v>
      </c>
      <c r="R170" s="137">
        <v>2900</v>
      </c>
      <c r="S170" s="131"/>
      <c r="T170" s="137">
        <v>3500</v>
      </c>
      <c r="U170" s="137">
        <v>2400</v>
      </c>
      <c r="V170" s="137">
        <v>600</v>
      </c>
      <c r="W170" s="137">
        <v>300</v>
      </c>
      <c r="X170" s="137">
        <v>200</v>
      </c>
    </row>
    <row r="171" spans="1:24">
      <c r="A171" s="132">
        <v>1980</v>
      </c>
      <c r="B171" s="137">
        <v>75100</v>
      </c>
      <c r="C171" s="131"/>
      <c r="D171" s="137">
        <v>71100</v>
      </c>
      <c r="E171" s="137">
        <v>55100</v>
      </c>
      <c r="F171" s="137">
        <v>0</v>
      </c>
      <c r="G171" s="137">
        <v>2200</v>
      </c>
      <c r="H171" s="137">
        <v>3000</v>
      </c>
      <c r="I171" s="137">
        <v>200</v>
      </c>
      <c r="J171" s="137">
        <v>600</v>
      </c>
      <c r="K171" s="137">
        <v>1900</v>
      </c>
      <c r="L171" s="137">
        <v>500</v>
      </c>
      <c r="M171" s="137">
        <v>0</v>
      </c>
      <c r="N171" s="137">
        <v>3000</v>
      </c>
      <c r="O171" s="137">
        <v>500</v>
      </c>
      <c r="P171" s="137">
        <v>400</v>
      </c>
      <c r="Q171" s="137">
        <v>800</v>
      </c>
      <c r="R171" s="137">
        <v>2900</v>
      </c>
      <c r="S171" s="131"/>
      <c r="T171" s="137">
        <v>4000</v>
      </c>
      <c r="U171" s="137">
        <v>2700</v>
      </c>
      <c r="V171" s="137">
        <v>700</v>
      </c>
      <c r="W171" s="137">
        <v>500</v>
      </c>
      <c r="X171" s="137">
        <v>100</v>
      </c>
    </row>
    <row r="172" spans="1:24">
      <c r="A172" s="132">
        <v>1981</v>
      </c>
      <c r="B172" s="137">
        <v>76000</v>
      </c>
      <c r="C172" s="131"/>
      <c r="D172" s="137">
        <v>71500</v>
      </c>
      <c r="E172" s="137">
        <v>54800</v>
      </c>
      <c r="F172" s="137">
        <v>0</v>
      </c>
      <c r="G172" s="137">
        <v>2300</v>
      </c>
      <c r="H172" s="137">
        <v>3300</v>
      </c>
      <c r="I172" s="137">
        <v>100</v>
      </c>
      <c r="J172" s="137">
        <v>500</v>
      </c>
      <c r="K172" s="137">
        <v>1600</v>
      </c>
      <c r="L172" s="137">
        <v>500</v>
      </c>
      <c r="M172" s="137">
        <v>0</v>
      </c>
      <c r="N172" s="137">
        <v>3800</v>
      </c>
      <c r="O172" s="137">
        <v>700</v>
      </c>
      <c r="P172" s="137">
        <v>400</v>
      </c>
      <c r="Q172" s="137">
        <v>700</v>
      </c>
      <c r="R172" s="137">
        <v>3000</v>
      </c>
      <c r="S172" s="131"/>
      <c r="T172" s="137">
        <v>4500</v>
      </c>
      <c r="U172" s="137">
        <v>3100</v>
      </c>
      <c r="V172" s="137">
        <v>800</v>
      </c>
      <c r="W172" s="137">
        <v>400</v>
      </c>
      <c r="X172" s="137">
        <v>200</v>
      </c>
    </row>
    <row r="173" spans="1:24">
      <c r="A173" s="132">
        <v>1982</v>
      </c>
      <c r="B173" s="137">
        <v>75200</v>
      </c>
      <c r="C173" s="131"/>
      <c r="D173" s="137">
        <v>69900</v>
      </c>
      <c r="E173" s="137">
        <v>53000</v>
      </c>
      <c r="F173" s="137">
        <v>0</v>
      </c>
      <c r="G173" s="137">
        <v>2500</v>
      </c>
      <c r="H173" s="137">
        <v>3200</v>
      </c>
      <c r="I173" s="137">
        <v>100</v>
      </c>
      <c r="J173" s="137">
        <v>300</v>
      </c>
      <c r="K173" s="137">
        <v>1400</v>
      </c>
      <c r="L173" s="137">
        <v>400</v>
      </c>
      <c r="M173" s="137">
        <v>0</v>
      </c>
      <c r="N173" s="137">
        <v>4300</v>
      </c>
      <c r="O173" s="137">
        <v>700</v>
      </c>
      <c r="P173" s="137">
        <v>300</v>
      </c>
      <c r="Q173" s="137">
        <v>400</v>
      </c>
      <c r="R173" s="137">
        <v>3200</v>
      </c>
      <c r="S173" s="131"/>
      <c r="T173" s="137">
        <v>5300</v>
      </c>
      <c r="U173" s="137">
        <v>3600</v>
      </c>
      <c r="V173" s="137">
        <v>1000</v>
      </c>
      <c r="W173" s="137">
        <v>600</v>
      </c>
      <c r="X173" s="137">
        <v>200</v>
      </c>
    </row>
    <row r="174" spans="1:24">
      <c r="A174" s="132">
        <v>1983</v>
      </c>
      <c r="B174" s="137">
        <v>74900</v>
      </c>
      <c r="C174" s="131"/>
      <c r="D174" s="137">
        <v>69300</v>
      </c>
      <c r="E174" s="137">
        <v>51900</v>
      </c>
      <c r="F174" s="137">
        <v>0</v>
      </c>
      <c r="G174" s="137">
        <v>2600</v>
      </c>
      <c r="H174" s="137">
        <v>3200</v>
      </c>
      <c r="I174" s="137">
        <v>200</v>
      </c>
      <c r="J174" s="137">
        <v>400</v>
      </c>
      <c r="K174" s="137">
        <v>1600</v>
      </c>
      <c r="L174" s="137">
        <v>600</v>
      </c>
      <c r="M174" s="137">
        <v>100</v>
      </c>
      <c r="N174" s="137">
        <v>4000</v>
      </c>
      <c r="O174" s="137">
        <v>700</v>
      </c>
      <c r="P174" s="137">
        <v>400</v>
      </c>
      <c r="Q174" s="137">
        <v>500</v>
      </c>
      <c r="R174" s="137">
        <v>3400</v>
      </c>
      <c r="S174" s="131"/>
      <c r="T174" s="137">
        <v>5600</v>
      </c>
      <c r="U174" s="137">
        <v>3800</v>
      </c>
      <c r="V174" s="137">
        <v>1200</v>
      </c>
      <c r="W174" s="137">
        <v>500</v>
      </c>
      <c r="X174" s="137">
        <v>100</v>
      </c>
    </row>
    <row r="175" spans="1:24">
      <c r="A175" s="132">
        <v>1984</v>
      </c>
      <c r="B175" s="137">
        <v>78900</v>
      </c>
      <c r="C175" s="131"/>
      <c r="D175" s="137">
        <v>73400</v>
      </c>
      <c r="E175" s="137">
        <v>54000</v>
      </c>
      <c r="F175" s="137">
        <v>300</v>
      </c>
      <c r="G175" s="137">
        <v>2500</v>
      </c>
      <c r="H175" s="137">
        <v>3400</v>
      </c>
      <c r="I175" s="137">
        <v>200</v>
      </c>
      <c r="J175" s="137">
        <v>400</v>
      </c>
      <c r="K175" s="137">
        <v>2100</v>
      </c>
      <c r="L175" s="137">
        <v>600</v>
      </c>
      <c r="M175" s="137">
        <v>100</v>
      </c>
      <c r="N175" s="137">
        <v>4300</v>
      </c>
      <c r="O175" s="137">
        <v>700</v>
      </c>
      <c r="P175" s="137">
        <v>400</v>
      </c>
      <c r="Q175" s="137">
        <v>700</v>
      </c>
      <c r="R175" s="137">
        <v>3600</v>
      </c>
      <c r="S175" s="131"/>
      <c r="T175" s="137">
        <v>5500</v>
      </c>
      <c r="U175" s="137">
        <v>3700</v>
      </c>
      <c r="V175" s="137">
        <v>1200</v>
      </c>
      <c r="W175" s="137">
        <v>300</v>
      </c>
      <c r="X175" s="137">
        <v>100</v>
      </c>
    </row>
    <row r="176" spans="1:24">
      <c r="A176" s="132">
        <v>1985</v>
      </c>
      <c r="B176" s="137">
        <v>79200</v>
      </c>
      <c r="C176" s="131"/>
      <c r="D176" s="137">
        <v>73700</v>
      </c>
      <c r="E176" s="137">
        <v>54200</v>
      </c>
      <c r="F176" s="137">
        <v>500</v>
      </c>
      <c r="G176" s="137">
        <v>2700</v>
      </c>
      <c r="H176" s="137">
        <v>3600</v>
      </c>
      <c r="I176" s="137">
        <v>200</v>
      </c>
      <c r="J176" s="137">
        <v>400</v>
      </c>
      <c r="K176" s="137">
        <v>1700</v>
      </c>
      <c r="L176" s="137">
        <v>600</v>
      </c>
      <c r="M176" s="137">
        <v>100</v>
      </c>
      <c r="N176" s="137">
        <v>4200</v>
      </c>
      <c r="O176" s="137">
        <v>700</v>
      </c>
      <c r="P176" s="137">
        <v>400</v>
      </c>
      <c r="Q176" s="137">
        <v>600</v>
      </c>
      <c r="R176" s="137">
        <v>3800</v>
      </c>
      <c r="S176" s="131"/>
      <c r="T176" s="137">
        <v>5600</v>
      </c>
      <c r="U176" s="137">
        <v>3800</v>
      </c>
      <c r="V176" s="137">
        <v>1300</v>
      </c>
      <c r="W176" s="137">
        <v>300</v>
      </c>
      <c r="X176" s="137">
        <v>100</v>
      </c>
    </row>
    <row r="177" spans="1:24">
      <c r="A177" s="132">
        <v>1986</v>
      </c>
      <c r="B177" s="137">
        <v>82000</v>
      </c>
      <c r="C177" s="131"/>
      <c r="D177" s="137">
        <v>76100</v>
      </c>
      <c r="E177" s="137">
        <v>55900</v>
      </c>
      <c r="F177" s="137">
        <v>600</v>
      </c>
      <c r="G177" s="137">
        <v>2700</v>
      </c>
      <c r="H177" s="137">
        <v>3800</v>
      </c>
      <c r="I177" s="137">
        <v>200</v>
      </c>
      <c r="J177" s="137">
        <v>500</v>
      </c>
      <c r="K177" s="137">
        <v>1800</v>
      </c>
      <c r="L177" s="137">
        <v>1000</v>
      </c>
      <c r="M177" s="137">
        <v>100</v>
      </c>
      <c r="N177" s="137">
        <v>3900</v>
      </c>
      <c r="O177" s="137">
        <v>800</v>
      </c>
      <c r="P177" s="137">
        <v>300</v>
      </c>
      <c r="Q177" s="137">
        <v>600</v>
      </c>
      <c r="R177" s="137">
        <v>4200</v>
      </c>
      <c r="S177" s="131"/>
      <c r="T177" s="137">
        <v>5900</v>
      </c>
      <c r="U177" s="137">
        <v>4000</v>
      </c>
      <c r="V177" s="137">
        <v>1400</v>
      </c>
      <c r="W177" s="137">
        <v>300</v>
      </c>
      <c r="X177" s="137">
        <v>200</v>
      </c>
    </row>
    <row r="178" spans="1:24">
      <c r="A178" s="132">
        <v>1987</v>
      </c>
      <c r="B178" s="137">
        <v>82500</v>
      </c>
      <c r="C178" s="131"/>
      <c r="D178" s="137">
        <v>77100</v>
      </c>
      <c r="E178" s="137">
        <v>56000</v>
      </c>
      <c r="F178" s="137">
        <v>600</v>
      </c>
      <c r="G178" s="137">
        <v>3000</v>
      </c>
      <c r="H178" s="137">
        <v>3800</v>
      </c>
      <c r="I178" s="137">
        <v>100</v>
      </c>
      <c r="J178" s="137">
        <v>600</v>
      </c>
      <c r="K178" s="137">
        <v>2200</v>
      </c>
      <c r="L178" s="137">
        <v>700</v>
      </c>
      <c r="M178" s="137">
        <v>100</v>
      </c>
      <c r="N178" s="137">
        <v>3500</v>
      </c>
      <c r="O178" s="137">
        <v>900</v>
      </c>
      <c r="P178" s="137">
        <v>400</v>
      </c>
      <c r="Q178" s="137">
        <v>800</v>
      </c>
      <c r="R178" s="137">
        <v>4400</v>
      </c>
      <c r="S178" s="131"/>
      <c r="T178" s="137">
        <v>5400</v>
      </c>
      <c r="U178" s="137">
        <v>3700</v>
      </c>
      <c r="V178" s="137">
        <v>1300</v>
      </c>
      <c r="W178" s="137">
        <v>300</v>
      </c>
      <c r="X178" s="137">
        <v>200</v>
      </c>
    </row>
    <row r="179" spans="1:24">
      <c r="A179" s="132">
        <v>1988</v>
      </c>
      <c r="B179" s="137">
        <v>83100</v>
      </c>
      <c r="C179" s="131"/>
      <c r="D179" s="137">
        <v>77700</v>
      </c>
      <c r="E179" s="137">
        <v>55900</v>
      </c>
      <c r="F179" s="137">
        <v>700</v>
      </c>
      <c r="G179" s="137">
        <v>3100</v>
      </c>
      <c r="H179" s="137">
        <v>3900</v>
      </c>
      <c r="I179" s="137">
        <v>100</v>
      </c>
      <c r="J179" s="137">
        <v>600</v>
      </c>
      <c r="K179" s="137">
        <v>2300</v>
      </c>
      <c r="L179" s="137">
        <v>500</v>
      </c>
      <c r="M179" s="137">
        <v>100</v>
      </c>
      <c r="N179" s="137">
        <v>3400</v>
      </c>
      <c r="O179" s="137">
        <v>900</v>
      </c>
      <c r="P179" s="137">
        <v>400</v>
      </c>
      <c r="Q179" s="137">
        <v>800</v>
      </c>
      <c r="R179" s="137">
        <v>4900</v>
      </c>
      <c r="S179" s="131"/>
      <c r="T179" s="137">
        <v>5400</v>
      </c>
      <c r="U179" s="137">
        <v>3700</v>
      </c>
      <c r="V179" s="137">
        <v>1300</v>
      </c>
      <c r="W179" s="137">
        <v>300</v>
      </c>
      <c r="X179" s="137">
        <v>200</v>
      </c>
    </row>
    <row r="180" spans="1:24">
      <c r="A180" s="132">
        <v>1989</v>
      </c>
      <c r="B180" s="137">
        <v>84100</v>
      </c>
      <c r="C180" s="131"/>
      <c r="D180" s="137">
        <v>78500</v>
      </c>
      <c r="E180" s="137">
        <v>55900</v>
      </c>
      <c r="F180" s="137">
        <v>800</v>
      </c>
      <c r="G180" s="137">
        <v>3200</v>
      </c>
      <c r="H180" s="137">
        <v>4000</v>
      </c>
      <c r="I180" s="137">
        <v>100</v>
      </c>
      <c r="J180" s="137">
        <v>500</v>
      </c>
      <c r="K180" s="137">
        <v>2300</v>
      </c>
      <c r="L180" s="137">
        <v>500</v>
      </c>
      <c r="M180" s="137">
        <v>100</v>
      </c>
      <c r="N180" s="137">
        <v>3800</v>
      </c>
      <c r="O180" s="137">
        <v>900</v>
      </c>
      <c r="P180" s="137">
        <v>400</v>
      </c>
      <c r="Q180" s="137">
        <v>800</v>
      </c>
      <c r="R180" s="137">
        <v>5100</v>
      </c>
      <c r="S180" s="131"/>
      <c r="T180" s="137">
        <v>5600</v>
      </c>
      <c r="U180" s="137">
        <v>3800</v>
      </c>
      <c r="V180" s="137">
        <v>1300</v>
      </c>
      <c r="W180" s="137">
        <v>200</v>
      </c>
      <c r="X180" s="137">
        <v>300</v>
      </c>
    </row>
    <row r="181" spans="1:24">
      <c r="A181" s="132">
        <v>1990</v>
      </c>
      <c r="B181" s="137">
        <v>83500</v>
      </c>
      <c r="C181" s="131"/>
      <c r="D181" s="137">
        <v>77400</v>
      </c>
      <c r="E181" s="137">
        <v>55100</v>
      </c>
      <c r="F181" s="137">
        <v>800</v>
      </c>
      <c r="G181" s="137">
        <v>3300</v>
      </c>
      <c r="H181" s="137">
        <v>4000</v>
      </c>
      <c r="I181" s="137">
        <v>100</v>
      </c>
      <c r="J181" s="137">
        <v>500</v>
      </c>
      <c r="K181" s="137">
        <v>2200</v>
      </c>
      <c r="L181" s="137">
        <v>300</v>
      </c>
      <c r="M181" s="137">
        <v>200</v>
      </c>
      <c r="N181" s="137">
        <v>3700</v>
      </c>
      <c r="O181" s="137">
        <v>900</v>
      </c>
      <c r="P181" s="137">
        <v>400</v>
      </c>
      <c r="Q181" s="137">
        <v>700</v>
      </c>
      <c r="R181" s="137">
        <v>5200</v>
      </c>
      <c r="S181" s="131"/>
      <c r="T181" s="137">
        <v>6100</v>
      </c>
      <c r="U181" s="137">
        <v>4000</v>
      </c>
      <c r="V181" s="137">
        <v>1500</v>
      </c>
      <c r="W181" s="137">
        <v>300</v>
      </c>
      <c r="X181" s="137">
        <v>200</v>
      </c>
    </row>
    <row r="182" spans="1:24">
      <c r="A182" s="132">
        <v>1991</v>
      </c>
      <c r="B182" s="137">
        <v>82700</v>
      </c>
      <c r="C182" s="131"/>
      <c r="D182" s="137">
        <v>76200</v>
      </c>
      <c r="E182" s="137">
        <v>54400</v>
      </c>
      <c r="F182" s="137">
        <v>800</v>
      </c>
      <c r="G182" s="137">
        <v>3200</v>
      </c>
      <c r="H182" s="137">
        <v>4000</v>
      </c>
      <c r="I182" s="137">
        <v>100</v>
      </c>
      <c r="J182" s="137">
        <v>500</v>
      </c>
      <c r="K182" s="137">
        <v>2000</v>
      </c>
      <c r="L182" s="137">
        <v>400</v>
      </c>
      <c r="M182" s="137">
        <v>200</v>
      </c>
      <c r="N182" s="137">
        <v>3300</v>
      </c>
      <c r="O182" s="137">
        <v>800</v>
      </c>
      <c r="P182" s="137">
        <v>400</v>
      </c>
      <c r="Q182" s="137">
        <v>700</v>
      </c>
      <c r="R182" s="137">
        <v>5600</v>
      </c>
      <c r="S182" s="131"/>
      <c r="T182" s="137">
        <v>6500</v>
      </c>
      <c r="U182" s="137">
        <v>4200</v>
      </c>
      <c r="V182" s="137">
        <v>1600</v>
      </c>
      <c r="W182" s="137">
        <v>400</v>
      </c>
      <c r="X182" s="137">
        <v>200</v>
      </c>
    </row>
    <row r="183" spans="1:24">
      <c r="A183" s="132">
        <v>1992</v>
      </c>
      <c r="B183" s="137">
        <v>83500</v>
      </c>
      <c r="C183" s="131"/>
      <c r="D183" s="137">
        <v>76500</v>
      </c>
      <c r="E183" s="137">
        <v>54300</v>
      </c>
      <c r="F183" s="137">
        <v>1000</v>
      </c>
      <c r="G183" s="137">
        <v>3500</v>
      </c>
      <c r="H183" s="137">
        <v>4000</v>
      </c>
      <c r="I183" s="137">
        <v>100</v>
      </c>
      <c r="J183" s="137">
        <v>500</v>
      </c>
      <c r="K183" s="137">
        <v>2100</v>
      </c>
      <c r="L183" s="137">
        <v>400</v>
      </c>
      <c r="M183" s="137">
        <v>200</v>
      </c>
      <c r="N183" s="137">
        <v>2600</v>
      </c>
      <c r="O183" s="137">
        <v>800</v>
      </c>
      <c r="P183" s="137">
        <v>400</v>
      </c>
      <c r="Q183" s="137">
        <v>700</v>
      </c>
      <c r="R183" s="137">
        <v>5900</v>
      </c>
      <c r="S183" s="131"/>
      <c r="T183" s="137">
        <v>7000</v>
      </c>
      <c r="U183" s="137">
        <v>4500</v>
      </c>
      <c r="V183" s="137">
        <v>1700</v>
      </c>
      <c r="W183" s="137">
        <v>500</v>
      </c>
      <c r="X183" s="137">
        <v>300</v>
      </c>
    </row>
    <row r="184" spans="1:24">
      <c r="A184" s="132">
        <v>1993</v>
      </c>
      <c r="B184" s="137">
        <v>84200</v>
      </c>
      <c r="C184" s="131"/>
      <c r="D184" s="137">
        <v>77100</v>
      </c>
      <c r="E184" s="137">
        <v>54500</v>
      </c>
      <c r="F184" s="137">
        <v>1100</v>
      </c>
      <c r="G184" s="137">
        <v>3900</v>
      </c>
      <c r="H184" s="137">
        <v>4000</v>
      </c>
      <c r="I184" s="137">
        <v>100</v>
      </c>
      <c r="J184" s="137">
        <v>600</v>
      </c>
      <c r="K184" s="137">
        <v>2100</v>
      </c>
      <c r="L184" s="137">
        <v>600</v>
      </c>
      <c r="M184" s="137">
        <v>200</v>
      </c>
      <c r="N184" s="137">
        <v>1900</v>
      </c>
      <c r="O184" s="137">
        <v>800</v>
      </c>
      <c r="P184" s="137">
        <v>400</v>
      </c>
      <c r="Q184" s="137">
        <v>800</v>
      </c>
      <c r="R184" s="137">
        <v>6200</v>
      </c>
      <c r="S184" s="131"/>
      <c r="T184" s="137">
        <v>7100</v>
      </c>
      <c r="U184" s="137">
        <v>4500</v>
      </c>
      <c r="V184" s="137">
        <v>1900</v>
      </c>
      <c r="W184" s="137">
        <v>500</v>
      </c>
      <c r="X184" s="137">
        <v>200</v>
      </c>
    </row>
    <row r="185" spans="1:24">
      <c r="A185" s="132">
        <v>1994</v>
      </c>
      <c r="B185" s="137">
        <v>85300</v>
      </c>
      <c r="C185" s="131"/>
      <c r="D185" s="137">
        <v>78600</v>
      </c>
      <c r="E185" s="137">
        <v>55800</v>
      </c>
      <c r="F185" s="137">
        <v>1200</v>
      </c>
      <c r="G185" s="137">
        <v>4200</v>
      </c>
      <c r="H185" s="137">
        <v>4100</v>
      </c>
      <c r="I185" s="137">
        <v>100</v>
      </c>
      <c r="J185" s="137">
        <v>600</v>
      </c>
      <c r="K185" s="137">
        <v>2100</v>
      </c>
      <c r="L185" s="137">
        <v>500</v>
      </c>
      <c r="M185" s="137">
        <v>200</v>
      </c>
      <c r="N185" s="137">
        <v>1700</v>
      </c>
      <c r="O185" s="137">
        <v>800</v>
      </c>
      <c r="P185" s="137">
        <v>400</v>
      </c>
      <c r="Q185" s="137">
        <v>800</v>
      </c>
      <c r="R185" s="137">
        <v>6000</v>
      </c>
      <c r="S185" s="131"/>
      <c r="T185" s="137">
        <v>6600</v>
      </c>
      <c r="U185" s="137">
        <v>4200</v>
      </c>
      <c r="V185" s="137">
        <v>1900</v>
      </c>
      <c r="W185" s="137">
        <v>300</v>
      </c>
      <c r="X185" s="137">
        <v>200</v>
      </c>
    </row>
    <row r="186" spans="1:24">
      <c r="A186" s="132">
        <v>1995</v>
      </c>
      <c r="B186" s="137">
        <v>87100</v>
      </c>
      <c r="C186" s="131"/>
      <c r="D186" s="137">
        <v>80000</v>
      </c>
      <c r="E186" s="137">
        <v>55900</v>
      </c>
      <c r="F186" s="137">
        <v>1400</v>
      </c>
      <c r="G186" s="137">
        <v>4200</v>
      </c>
      <c r="H186" s="137">
        <v>4200</v>
      </c>
      <c r="I186" s="137">
        <v>100</v>
      </c>
      <c r="J186" s="137">
        <v>700</v>
      </c>
      <c r="K186" s="137">
        <v>2100</v>
      </c>
      <c r="L186" s="137">
        <v>600</v>
      </c>
      <c r="M186" s="137">
        <v>200</v>
      </c>
      <c r="N186" s="137">
        <v>2000</v>
      </c>
      <c r="O186" s="137">
        <v>800</v>
      </c>
      <c r="P186" s="137">
        <v>400</v>
      </c>
      <c r="Q186" s="137">
        <v>900</v>
      </c>
      <c r="R186" s="137">
        <v>6400</v>
      </c>
      <c r="S186" s="131"/>
      <c r="T186" s="137">
        <v>7100</v>
      </c>
      <c r="U186" s="137">
        <v>4500</v>
      </c>
      <c r="V186" s="137">
        <v>2100</v>
      </c>
      <c r="W186" s="137">
        <v>300</v>
      </c>
      <c r="X186" s="137">
        <v>200</v>
      </c>
    </row>
    <row r="187" spans="1:24">
      <c r="A187" s="132">
        <v>1996</v>
      </c>
      <c r="B187" s="137">
        <v>88900</v>
      </c>
      <c r="C187" s="131"/>
      <c r="D187" s="137">
        <v>81400</v>
      </c>
      <c r="E187" s="137">
        <v>56600</v>
      </c>
      <c r="F187" s="137">
        <v>1700</v>
      </c>
      <c r="G187" s="137">
        <v>4000</v>
      </c>
      <c r="H187" s="137">
        <v>4200</v>
      </c>
      <c r="I187" s="137">
        <v>100</v>
      </c>
      <c r="J187" s="137">
        <v>700</v>
      </c>
      <c r="K187" s="137">
        <v>2100</v>
      </c>
      <c r="L187" s="137">
        <v>800</v>
      </c>
      <c r="M187" s="137">
        <v>200</v>
      </c>
      <c r="N187" s="137">
        <v>2100</v>
      </c>
      <c r="O187" s="137">
        <v>900</v>
      </c>
      <c r="P187" s="137">
        <v>400</v>
      </c>
      <c r="Q187" s="137">
        <v>900</v>
      </c>
      <c r="R187" s="137">
        <v>6800</v>
      </c>
      <c r="S187" s="131"/>
      <c r="T187" s="137">
        <v>7500</v>
      </c>
      <c r="U187" s="137">
        <v>4800</v>
      </c>
      <c r="V187" s="137">
        <v>2300</v>
      </c>
      <c r="W187" s="137">
        <v>300</v>
      </c>
      <c r="X187" s="137">
        <v>100</v>
      </c>
    </row>
    <row r="188" spans="1:24">
      <c r="A188" s="132">
        <v>1997</v>
      </c>
      <c r="B188" s="137">
        <v>91000</v>
      </c>
      <c r="C188" s="131"/>
      <c r="D188" s="137">
        <v>83300</v>
      </c>
      <c r="E188" s="137">
        <v>57600</v>
      </c>
      <c r="F188" s="137">
        <v>1700</v>
      </c>
      <c r="G188" s="137">
        <v>3700</v>
      </c>
      <c r="H188" s="137">
        <v>4300</v>
      </c>
      <c r="I188" s="137">
        <v>100</v>
      </c>
      <c r="J188" s="137">
        <v>700</v>
      </c>
      <c r="K188" s="137">
        <v>2300</v>
      </c>
      <c r="L188" s="137">
        <v>1000</v>
      </c>
      <c r="M188" s="137">
        <v>200</v>
      </c>
      <c r="N188" s="137">
        <v>2100</v>
      </c>
      <c r="O188" s="137">
        <v>900</v>
      </c>
      <c r="P188" s="137">
        <v>400</v>
      </c>
      <c r="Q188" s="137">
        <v>900</v>
      </c>
      <c r="R188" s="137">
        <v>7300</v>
      </c>
      <c r="S188" s="131"/>
      <c r="T188" s="137">
        <v>7700</v>
      </c>
      <c r="U188" s="137">
        <v>4900</v>
      </c>
      <c r="V188" s="137">
        <v>2400</v>
      </c>
      <c r="W188" s="137">
        <v>300</v>
      </c>
      <c r="X188" s="137">
        <v>200</v>
      </c>
    </row>
    <row r="189" spans="1:24">
      <c r="A189" s="132">
        <v>1998</v>
      </c>
      <c r="B189" s="137">
        <v>94500</v>
      </c>
      <c r="C189" s="131"/>
      <c r="D189" s="137">
        <v>87100</v>
      </c>
      <c r="E189" s="137">
        <v>60500</v>
      </c>
      <c r="F189" s="137">
        <v>1900</v>
      </c>
      <c r="G189" s="137">
        <v>3700</v>
      </c>
      <c r="H189" s="137">
        <v>4600</v>
      </c>
      <c r="I189" s="137">
        <v>100</v>
      </c>
      <c r="J189" s="137">
        <v>700</v>
      </c>
      <c r="K189" s="137">
        <v>2400</v>
      </c>
      <c r="L189" s="137">
        <v>1200</v>
      </c>
      <c r="M189" s="137">
        <v>200</v>
      </c>
      <c r="N189" s="137">
        <v>2200</v>
      </c>
      <c r="O189" s="137">
        <v>900</v>
      </c>
      <c r="P189" s="137">
        <v>400</v>
      </c>
      <c r="Q189" s="137">
        <v>800</v>
      </c>
      <c r="R189" s="137">
        <v>7600</v>
      </c>
      <c r="S189" s="131"/>
      <c r="T189" s="137">
        <v>7400</v>
      </c>
      <c r="U189" s="137">
        <v>4800</v>
      </c>
      <c r="V189" s="137">
        <v>2200</v>
      </c>
      <c r="W189" s="137">
        <v>300</v>
      </c>
      <c r="X189" s="137">
        <v>200</v>
      </c>
    </row>
    <row r="190" spans="1:24">
      <c r="A190" s="132">
        <v>1999</v>
      </c>
      <c r="B190" s="137">
        <v>97000</v>
      </c>
      <c r="C190" s="131"/>
      <c r="D190" s="137">
        <v>89900</v>
      </c>
      <c r="E190" s="137">
        <v>62000</v>
      </c>
      <c r="F190" s="137">
        <v>2100</v>
      </c>
      <c r="G190" s="137">
        <v>3600</v>
      </c>
      <c r="H190" s="137">
        <v>4700</v>
      </c>
      <c r="I190" s="137">
        <v>100</v>
      </c>
      <c r="J190" s="137">
        <v>700</v>
      </c>
      <c r="K190" s="137">
        <v>2500</v>
      </c>
      <c r="L190" s="137">
        <v>1400</v>
      </c>
      <c r="M190" s="137">
        <v>200</v>
      </c>
      <c r="N190" s="137">
        <v>1900</v>
      </c>
      <c r="O190" s="137">
        <v>1000</v>
      </c>
      <c r="P190" s="137">
        <v>500</v>
      </c>
      <c r="Q190" s="137">
        <v>800</v>
      </c>
      <c r="R190" s="137">
        <v>8400</v>
      </c>
      <c r="S190" s="131"/>
      <c r="T190" s="137">
        <v>7100</v>
      </c>
      <c r="U190" s="137">
        <v>4600</v>
      </c>
      <c r="V190" s="137">
        <v>2100</v>
      </c>
      <c r="W190" s="137">
        <v>300</v>
      </c>
      <c r="X190" s="137">
        <v>200</v>
      </c>
    </row>
    <row r="191" spans="1:24">
      <c r="A191" s="132">
        <v>2000</v>
      </c>
      <c r="B191" s="137">
        <v>98700</v>
      </c>
      <c r="C191" s="131"/>
      <c r="D191" s="137">
        <v>91500</v>
      </c>
      <c r="E191" s="137">
        <v>62700</v>
      </c>
      <c r="F191" s="137">
        <v>2300</v>
      </c>
      <c r="G191" s="137">
        <v>3700</v>
      </c>
      <c r="H191" s="137">
        <v>4700</v>
      </c>
      <c r="I191" s="137">
        <v>100</v>
      </c>
      <c r="J191" s="137">
        <v>700</v>
      </c>
      <c r="K191" s="137">
        <v>2400</v>
      </c>
      <c r="L191" s="137">
        <v>1400</v>
      </c>
      <c r="M191" s="137">
        <v>200</v>
      </c>
      <c r="N191" s="137">
        <v>2000</v>
      </c>
      <c r="O191" s="137">
        <v>1000</v>
      </c>
      <c r="P191" s="137">
        <v>500</v>
      </c>
      <c r="Q191" s="137">
        <v>800</v>
      </c>
      <c r="R191" s="137">
        <v>8800</v>
      </c>
      <c r="S191" s="131"/>
      <c r="T191" s="137">
        <v>7200</v>
      </c>
      <c r="U191" s="137">
        <v>4700</v>
      </c>
      <c r="V191" s="137">
        <v>2100</v>
      </c>
      <c r="W191" s="137">
        <v>200</v>
      </c>
      <c r="X191" s="137">
        <v>200</v>
      </c>
    </row>
    <row r="192" spans="1:24">
      <c r="A192" s="132">
        <v>2001</v>
      </c>
      <c r="B192" s="137">
        <v>97500</v>
      </c>
      <c r="C192" s="131"/>
      <c r="D192" s="137">
        <v>89800</v>
      </c>
      <c r="E192" s="137">
        <v>62200</v>
      </c>
      <c r="F192" s="137">
        <v>2300</v>
      </c>
      <c r="G192" s="137">
        <v>3900</v>
      </c>
      <c r="H192" s="137">
        <v>4700</v>
      </c>
      <c r="I192" s="137">
        <v>100</v>
      </c>
      <c r="J192" s="137">
        <v>500</v>
      </c>
      <c r="K192" s="137">
        <v>2300</v>
      </c>
      <c r="L192" s="137">
        <v>500</v>
      </c>
      <c r="M192" s="137">
        <v>200</v>
      </c>
      <c r="N192" s="137">
        <v>2100</v>
      </c>
      <c r="O192" s="137">
        <v>900</v>
      </c>
      <c r="P192" s="137">
        <v>500</v>
      </c>
      <c r="Q192" s="137">
        <v>600</v>
      </c>
      <c r="R192" s="137">
        <v>9000</v>
      </c>
      <c r="S192" s="131"/>
      <c r="T192" s="137">
        <v>7800</v>
      </c>
      <c r="U192" s="137">
        <v>5000</v>
      </c>
      <c r="V192" s="137">
        <v>2300</v>
      </c>
      <c r="W192" s="137">
        <v>400</v>
      </c>
      <c r="X192" s="137">
        <v>100</v>
      </c>
    </row>
    <row r="193" spans="1:24">
      <c r="A193" s="132">
        <v>2002</v>
      </c>
      <c r="B193" s="137">
        <v>95800</v>
      </c>
      <c r="C193" s="131"/>
      <c r="D193" s="137">
        <v>87200</v>
      </c>
      <c r="E193" s="137">
        <v>61300</v>
      </c>
      <c r="F193" s="137">
        <v>1600</v>
      </c>
      <c r="G193" s="137">
        <v>4200</v>
      </c>
      <c r="H193" s="137">
        <v>4500</v>
      </c>
      <c r="I193" s="137">
        <v>100</v>
      </c>
      <c r="J193" s="137">
        <v>400</v>
      </c>
      <c r="K193" s="137">
        <v>2100</v>
      </c>
      <c r="L193" s="137">
        <v>300</v>
      </c>
      <c r="M193" s="137">
        <v>200</v>
      </c>
      <c r="N193" s="137">
        <v>1500</v>
      </c>
      <c r="O193" s="137">
        <v>800</v>
      </c>
      <c r="P193" s="137">
        <v>500</v>
      </c>
      <c r="Q193" s="137">
        <v>500</v>
      </c>
      <c r="R193" s="137">
        <v>9200</v>
      </c>
      <c r="S193" s="131"/>
      <c r="T193" s="137">
        <v>8600</v>
      </c>
      <c r="U193" s="137">
        <v>5300</v>
      </c>
      <c r="V193" s="137">
        <v>2500</v>
      </c>
      <c r="W193" s="137">
        <v>600</v>
      </c>
      <c r="X193" s="137">
        <v>200</v>
      </c>
    </row>
    <row r="194" spans="1:24">
      <c r="A194" s="132">
        <v>2003</v>
      </c>
      <c r="B194" s="137">
        <v>97100</v>
      </c>
      <c r="C194" s="131"/>
      <c r="D194" s="137">
        <v>88600</v>
      </c>
      <c r="E194" s="137">
        <v>61500</v>
      </c>
      <c r="F194" s="137">
        <v>1900</v>
      </c>
      <c r="G194" s="137">
        <v>4700</v>
      </c>
      <c r="H194" s="137">
        <v>4600</v>
      </c>
      <c r="I194" s="137">
        <v>100</v>
      </c>
      <c r="J194" s="137">
        <v>600</v>
      </c>
      <c r="K194" s="137">
        <v>2300</v>
      </c>
      <c r="L194" s="137">
        <v>200</v>
      </c>
      <c r="M194" s="137">
        <v>200</v>
      </c>
      <c r="N194" s="137">
        <v>1200</v>
      </c>
      <c r="O194" s="137">
        <v>800</v>
      </c>
      <c r="P194" s="137">
        <v>500</v>
      </c>
      <c r="Q194" s="137">
        <v>600</v>
      </c>
      <c r="R194" s="137">
        <v>9500</v>
      </c>
      <c r="S194" s="131"/>
      <c r="T194" s="137">
        <v>8500</v>
      </c>
      <c r="U194" s="137">
        <v>5200</v>
      </c>
      <c r="V194" s="137">
        <v>2500</v>
      </c>
      <c r="W194" s="137">
        <v>600</v>
      </c>
      <c r="X194" s="137">
        <v>200</v>
      </c>
    </row>
    <row r="195" spans="1:24">
      <c r="A195" s="132">
        <v>2004</v>
      </c>
      <c r="B195" s="137">
        <v>100200</v>
      </c>
      <c r="C195" s="131"/>
      <c r="D195" s="137">
        <v>91500</v>
      </c>
      <c r="E195" s="137">
        <v>62700</v>
      </c>
      <c r="F195" s="137">
        <v>2000</v>
      </c>
      <c r="G195" s="137">
        <v>5400</v>
      </c>
      <c r="H195" s="137">
        <v>4700</v>
      </c>
      <c r="I195" s="137">
        <v>100</v>
      </c>
      <c r="J195" s="137">
        <v>700</v>
      </c>
      <c r="K195" s="137">
        <v>2600</v>
      </c>
      <c r="L195" s="137">
        <v>600</v>
      </c>
      <c r="M195" s="137">
        <v>200</v>
      </c>
      <c r="N195" s="137">
        <v>1000</v>
      </c>
      <c r="O195" s="137">
        <v>800</v>
      </c>
      <c r="P195" s="137">
        <v>500</v>
      </c>
      <c r="Q195" s="137">
        <v>700</v>
      </c>
      <c r="R195" s="137">
        <v>9600</v>
      </c>
      <c r="S195" s="131"/>
      <c r="T195" s="137">
        <v>8700</v>
      </c>
      <c r="U195" s="137">
        <v>5400</v>
      </c>
      <c r="V195" s="137">
        <v>2700</v>
      </c>
      <c r="W195" s="137">
        <v>400</v>
      </c>
      <c r="X195" s="137">
        <v>200</v>
      </c>
    </row>
    <row r="196" spans="1:24">
      <c r="A196" s="132">
        <v>2005</v>
      </c>
      <c r="B196" s="137">
        <v>101900</v>
      </c>
      <c r="C196" s="131"/>
      <c r="D196" s="137">
        <v>93200</v>
      </c>
      <c r="E196" s="137">
        <v>63000</v>
      </c>
      <c r="F196" s="137">
        <v>2100</v>
      </c>
      <c r="G196" s="137">
        <v>5600</v>
      </c>
      <c r="H196" s="137">
        <v>4700</v>
      </c>
      <c r="I196" s="137">
        <v>100</v>
      </c>
      <c r="J196" s="137">
        <v>1000</v>
      </c>
      <c r="K196" s="137">
        <v>2600</v>
      </c>
      <c r="L196" s="137">
        <v>800</v>
      </c>
      <c r="M196" s="137">
        <v>200</v>
      </c>
      <c r="N196" s="137">
        <v>1200</v>
      </c>
      <c r="O196" s="137">
        <v>800</v>
      </c>
      <c r="P196" s="137">
        <v>500</v>
      </c>
      <c r="Q196" s="137">
        <v>800</v>
      </c>
      <c r="R196" s="137">
        <v>9600</v>
      </c>
      <c r="S196" s="131"/>
      <c r="T196" s="137">
        <v>8700</v>
      </c>
      <c r="U196" s="137">
        <v>5400</v>
      </c>
      <c r="V196" s="137">
        <v>2800</v>
      </c>
      <c r="W196" s="137">
        <v>300</v>
      </c>
      <c r="X196" s="137">
        <v>200</v>
      </c>
    </row>
    <row r="197" spans="1:24">
      <c r="A197" s="132">
        <v>2006</v>
      </c>
      <c r="B197" s="137">
        <v>103900</v>
      </c>
      <c r="C197" s="131"/>
      <c r="D197" s="137">
        <v>94500</v>
      </c>
      <c r="E197" s="137">
        <v>63600</v>
      </c>
      <c r="F197" s="137">
        <v>2100</v>
      </c>
      <c r="G197" s="137">
        <v>5600</v>
      </c>
      <c r="H197" s="137">
        <v>4800</v>
      </c>
      <c r="I197" s="137">
        <v>100</v>
      </c>
      <c r="J197" s="137">
        <v>1100</v>
      </c>
      <c r="K197" s="137">
        <v>2700</v>
      </c>
      <c r="L197" s="137">
        <v>1000</v>
      </c>
      <c r="M197" s="137">
        <v>200</v>
      </c>
      <c r="N197" s="137">
        <v>1500</v>
      </c>
      <c r="O197" s="137">
        <v>900</v>
      </c>
      <c r="P197" s="137">
        <v>500</v>
      </c>
      <c r="Q197" s="137">
        <v>900</v>
      </c>
      <c r="R197" s="137">
        <v>9600</v>
      </c>
      <c r="S197" s="131"/>
      <c r="T197" s="137">
        <v>9400</v>
      </c>
      <c r="U197" s="137">
        <v>5700</v>
      </c>
      <c r="V197" s="137">
        <v>3200</v>
      </c>
      <c r="W197" s="137">
        <v>300</v>
      </c>
      <c r="X197" s="137">
        <v>200</v>
      </c>
    </row>
    <row r="198" spans="1:24">
      <c r="A198" s="132">
        <v>2007</v>
      </c>
      <c r="B198" s="137">
        <v>106700</v>
      </c>
      <c r="C198" s="131"/>
      <c r="D198" s="137">
        <v>96700</v>
      </c>
      <c r="E198" s="137">
        <v>65200</v>
      </c>
      <c r="F198" s="137">
        <v>2300</v>
      </c>
      <c r="G198" s="137">
        <v>5200</v>
      </c>
      <c r="H198" s="137">
        <v>4900</v>
      </c>
      <c r="I198" s="137">
        <v>100</v>
      </c>
      <c r="J198" s="137">
        <v>900</v>
      </c>
      <c r="K198" s="137">
        <v>2500</v>
      </c>
      <c r="L198" s="137">
        <v>1200</v>
      </c>
      <c r="M198" s="137">
        <v>200</v>
      </c>
      <c r="N198" s="137">
        <v>1700</v>
      </c>
      <c r="O198" s="137">
        <v>1000</v>
      </c>
      <c r="P198" s="137">
        <v>500</v>
      </c>
      <c r="Q198" s="137">
        <v>800</v>
      </c>
      <c r="R198" s="137">
        <v>10300</v>
      </c>
      <c r="S198" s="131"/>
      <c r="T198" s="137">
        <v>9900</v>
      </c>
      <c r="U198" s="137">
        <v>6100</v>
      </c>
      <c r="V198" s="137">
        <v>3400</v>
      </c>
      <c r="W198" s="137">
        <v>300</v>
      </c>
      <c r="X198" s="137">
        <v>100</v>
      </c>
    </row>
    <row r="199" spans="1:24">
      <c r="A199" s="132">
        <v>2008</v>
      </c>
      <c r="B199" s="137">
        <v>104100</v>
      </c>
      <c r="C199" s="131"/>
      <c r="D199" s="137">
        <v>93700</v>
      </c>
      <c r="E199" s="137">
        <v>64000</v>
      </c>
      <c r="F199" s="137">
        <v>2200</v>
      </c>
      <c r="G199" s="137">
        <v>5200</v>
      </c>
      <c r="H199" s="137">
        <v>4800</v>
      </c>
      <c r="I199" s="137">
        <v>100</v>
      </c>
      <c r="J199" s="137">
        <v>500</v>
      </c>
      <c r="K199" s="137">
        <v>2300</v>
      </c>
      <c r="L199" s="137">
        <v>300</v>
      </c>
      <c r="M199" s="137">
        <v>200</v>
      </c>
      <c r="N199" s="137">
        <v>1500</v>
      </c>
      <c r="O199" s="137">
        <v>900</v>
      </c>
      <c r="P199" s="137">
        <v>500</v>
      </c>
      <c r="Q199" s="137">
        <v>500</v>
      </c>
      <c r="R199" s="137">
        <v>10800</v>
      </c>
      <c r="S199" s="131"/>
      <c r="T199" s="137">
        <v>10400</v>
      </c>
      <c r="U199" s="137">
        <v>6300</v>
      </c>
      <c r="V199" s="137">
        <v>3500</v>
      </c>
      <c r="W199" s="137">
        <v>500</v>
      </c>
      <c r="X199" s="137">
        <v>200</v>
      </c>
    </row>
    <row r="200" spans="1:24">
      <c r="A200" s="132">
        <v>2009</v>
      </c>
      <c r="B200" s="137">
        <v>101700</v>
      </c>
      <c r="C200" s="131"/>
      <c r="D200" s="137">
        <v>89000</v>
      </c>
      <c r="E200" s="137">
        <v>60700</v>
      </c>
      <c r="F200" s="137">
        <v>1900</v>
      </c>
      <c r="G200" s="137">
        <v>5100</v>
      </c>
      <c r="H200" s="137">
        <v>4500</v>
      </c>
      <c r="I200" s="137">
        <v>100</v>
      </c>
      <c r="J200" s="137">
        <v>400</v>
      </c>
      <c r="K200" s="137">
        <v>2200</v>
      </c>
      <c r="L200" s="137">
        <v>100</v>
      </c>
      <c r="M200" s="137">
        <v>200</v>
      </c>
      <c r="N200" s="137">
        <v>1200</v>
      </c>
      <c r="O200" s="137">
        <v>800</v>
      </c>
      <c r="P200" s="137">
        <v>500</v>
      </c>
      <c r="Q200" s="137">
        <v>400</v>
      </c>
      <c r="R200" s="137">
        <v>10700</v>
      </c>
      <c r="S200" s="131"/>
      <c r="T200" s="137">
        <v>12700</v>
      </c>
      <c r="U200" s="137">
        <v>7300</v>
      </c>
      <c r="V200" s="137">
        <v>4100</v>
      </c>
      <c r="W200" s="137">
        <v>1200</v>
      </c>
      <c r="X200" s="137">
        <v>200</v>
      </c>
    </row>
    <row r="201" spans="1:24">
      <c r="A201" s="132">
        <v>2010</v>
      </c>
      <c r="B201" s="137">
        <v>101200</v>
      </c>
      <c r="C201" s="131"/>
      <c r="D201" s="137">
        <v>88600</v>
      </c>
      <c r="E201" s="137">
        <v>59700</v>
      </c>
      <c r="F201" s="137">
        <v>1900</v>
      </c>
      <c r="G201" s="137">
        <v>5000</v>
      </c>
      <c r="H201" s="137">
        <v>4400</v>
      </c>
      <c r="I201" s="137">
        <v>100</v>
      </c>
      <c r="J201" s="137">
        <v>600</v>
      </c>
      <c r="K201" s="137">
        <v>2400</v>
      </c>
      <c r="L201" s="137">
        <v>200</v>
      </c>
      <c r="M201" s="137">
        <v>200</v>
      </c>
      <c r="N201" s="137">
        <v>800</v>
      </c>
      <c r="O201" s="137">
        <v>800</v>
      </c>
      <c r="P201" s="137">
        <v>500</v>
      </c>
      <c r="Q201" s="137">
        <v>500</v>
      </c>
      <c r="R201" s="137">
        <v>11500</v>
      </c>
      <c r="S201" s="131"/>
      <c r="T201" s="137">
        <v>12600</v>
      </c>
      <c r="U201" s="137">
        <v>7200</v>
      </c>
      <c r="V201" s="137">
        <v>4100</v>
      </c>
      <c r="W201" s="137">
        <v>1100</v>
      </c>
      <c r="X201" s="137">
        <v>100</v>
      </c>
    </row>
    <row r="202" spans="1:24">
      <c r="A202" s="132">
        <v>2011</v>
      </c>
      <c r="B202" s="137">
        <v>101100</v>
      </c>
      <c r="C202" s="131"/>
      <c r="D202" s="137">
        <v>89200</v>
      </c>
      <c r="E202" s="137">
        <v>59800</v>
      </c>
      <c r="F202" s="137">
        <v>1900</v>
      </c>
      <c r="G202" s="137">
        <v>5100</v>
      </c>
      <c r="H202" s="137">
        <v>4400</v>
      </c>
      <c r="I202" s="137">
        <v>100</v>
      </c>
      <c r="J202" s="137">
        <v>600</v>
      </c>
      <c r="K202" s="137">
        <v>2500</v>
      </c>
      <c r="L202" s="137">
        <v>300</v>
      </c>
      <c r="M202" s="137">
        <v>200</v>
      </c>
      <c r="N202" s="137">
        <v>700</v>
      </c>
      <c r="O202" s="137">
        <v>900</v>
      </c>
      <c r="P202" s="137">
        <v>500</v>
      </c>
      <c r="Q202" s="137">
        <v>500</v>
      </c>
      <c r="R202" s="137">
        <v>11800</v>
      </c>
      <c r="S202" s="131"/>
      <c r="T202" s="137">
        <v>12000</v>
      </c>
      <c r="U202" s="137">
        <v>7000</v>
      </c>
      <c r="V202" s="137">
        <v>4000</v>
      </c>
      <c r="W202" s="137">
        <v>900</v>
      </c>
      <c r="X202" s="137">
        <v>100</v>
      </c>
    </row>
    <row r="203" spans="1:24">
      <c r="A203" s="132">
        <v>2012</v>
      </c>
      <c r="B203" s="137">
        <v>101800</v>
      </c>
      <c r="C203" s="131"/>
      <c r="D203" s="137">
        <v>89400</v>
      </c>
      <c r="E203" s="137">
        <v>59800</v>
      </c>
      <c r="F203" s="137">
        <v>1900</v>
      </c>
      <c r="G203" s="137">
        <v>5000</v>
      </c>
      <c r="H203" s="137">
        <v>4500</v>
      </c>
      <c r="I203" s="137">
        <v>100</v>
      </c>
      <c r="J203" s="137">
        <v>700</v>
      </c>
      <c r="K203" s="137">
        <v>2600</v>
      </c>
      <c r="L203" s="137">
        <v>400</v>
      </c>
      <c r="M203" s="137">
        <v>200</v>
      </c>
      <c r="N203" s="137">
        <v>500</v>
      </c>
      <c r="O203" s="137">
        <v>900</v>
      </c>
      <c r="P203" s="137">
        <v>600</v>
      </c>
      <c r="Q203" s="137">
        <v>500</v>
      </c>
      <c r="R203" s="137">
        <v>11900</v>
      </c>
      <c r="S203" s="131"/>
      <c r="T203" s="137">
        <v>12400</v>
      </c>
      <c r="U203" s="137">
        <v>7500</v>
      </c>
      <c r="V203" s="137">
        <v>4100</v>
      </c>
      <c r="W203" s="137">
        <v>700</v>
      </c>
      <c r="X203" s="137">
        <v>100</v>
      </c>
    </row>
    <row r="204" spans="1:24">
      <c r="A204" s="132">
        <v>2013</v>
      </c>
      <c r="B204" s="137">
        <v>104100</v>
      </c>
      <c r="C204" s="131"/>
      <c r="D204" s="137">
        <v>91600</v>
      </c>
      <c r="E204" s="137">
        <v>61000</v>
      </c>
      <c r="F204" s="137">
        <v>2000</v>
      </c>
      <c r="G204" s="137">
        <v>4900</v>
      </c>
      <c r="H204" s="137">
        <v>4600</v>
      </c>
      <c r="I204" s="137">
        <v>100</v>
      </c>
      <c r="J204" s="137">
        <v>700</v>
      </c>
      <c r="K204" s="137">
        <v>2600</v>
      </c>
      <c r="L204" s="137">
        <v>600</v>
      </c>
      <c r="M204" s="137">
        <v>200</v>
      </c>
      <c r="N204" s="137">
        <v>400</v>
      </c>
      <c r="O204" s="137">
        <v>800</v>
      </c>
      <c r="P204" s="137">
        <v>600</v>
      </c>
      <c r="Q204" s="137">
        <v>600</v>
      </c>
      <c r="R204" s="137">
        <v>12400</v>
      </c>
      <c r="S204" s="131"/>
      <c r="T204" s="137">
        <v>12600</v>
      </c>
      <c r="U204" s="137">
        <v>7700</v>
      </c>
      <c r="V204" s="137">
        <v>4200</v>
      </c>
      <c r="W204" s="137">
        <v>500</v>
      </c>
      <c r="X204" s="137">
        <v>200</v>
      </c>
    </row>
    <row r="205" spans="1:24">
      <c r="A205" s="132">
        <v>2014</v>
      </c>
      <c r="B205" s="137">
        <v>105800</v>
      </c>
      <c r="C205" s="131"/>
      <c r="D205" s="137">
        <v>93400</v>
      </c>
      <c r="E205" s="137">
        <v>62400</v>
      </c>
      <c r="F205" s="137">
        <v>2000</v>
      </c>
      <c r="G205" s="137">
        <v>4900</v>
      </c>
      <c r="H205" s="137">
        <v>4700</v>
      </c>
      <c r="I205" s="137">
        <v>100</v>
      </c>
      <c r="J205" s="137">
        <v>800</v>
      </c>
      <c r="K205" s="137">
        <v>2800</v>
      </c>
      <c r="L205" s="137">
        <v>900</v>
      </c>
      <c r="M205" s="137">
        <v>100</v>
      </c>
      <c r="N205" s="137">
        <v>400</v>
      </c>
      <c r="O205" s="137">
        <v>800</v>
      </c>
      <c r="P205" s="137">
        <v>600</v>
      </c>
      <c r="Q205" s="137">
        <v>600</v>
      </c>
      <c r="R205" s="137">
        <v>12400</v>
      </c>
      <c r="S205" s="131"/>
      <c r="T205" s="137">
        <v>12400</v>
      </c>
      <c r="U205" s="137">
        <v>7800</v>
      </c>
      <c r="V205" s="137">
        <v>4100</v>
      </c>
      <c r="W205" s="137">
        <v>300</v>
      </c>
      <c r="X205" s="137">
        <v>200</v>
      </c>
    </row>
    <row r="206" spans="1:24">
      <c r="A206" s="132">
        <v>2015</v>
      </c>
      <c r="B206" s="137">
        <v>109300</v>
      </c>
      <c r="C206" s="131"/>
      <c r="D206" s="137">
        <v>96600</v>
      </c>
      <c r="E206" s="137">
        <v>64600</v>
      </c>
      <c r="F206" s="137">
        <v>2200</v>
      </c>
      <c r="G206" s="137">
        <v>5000</v>
      </c>
      <c r="H206" s="137">
        <v>4900</v>
      </c>
      <c r="I206" s="137">
        <v>100</v>
      </c>
      <c r="J206" s="137">
        <v>800</v>
      </c>
      <c r="K206" s="137">
        <v>2800</v>
      </c>
      <c r="L206" s="137">
        <v>800</v>
      </c>
      <c r="M206" s="137">
        <v>100</v>
      </c>
      <c r="N206" s="137">
        <v>400</v>
      </c>
      <c r="O206" s="137">
        <v>900</v>
      </c>
      <c r="P206" s="137">
        <v>600</v>
      </c>
      <c r="Q206" s="137">
        <v>600</v>
      </c>
      <c r="R206" s="137">
        <v>12800</v>
      </c>
      <c r="S206" s="131"/>
      <c r="T206" s="137">
        <v>12800</v>
      </c>
      <c r="U206" s="137">
        <v>8100</v>
      </c>
      <c r="V206" s="137">
        <v>4300</v>
      </c>
      <c r="W206" s="137">
        <v>300</v>
      </c>
      <c r="X206" s="137">
        <v>100</v>
      </c>
    </row>
    <row r="207" spans="1:24">
      <c r="A207" s="132">
        <v>2016</v>
      </c>
      <c r="B207" s="137">
        <v>109600</v>
      </c>
      <c r="C207" s="131"/>
      <c r="D207" s="137">
        <v>96500</v>
      </c>
      <c r="E207" s="137">
        <v>64700</v>
      </c>
      <c r="F207" s="137">
        <v>2200</v>
      </c>
      <c r="G207" s="137">
        <v>5000</v>
      </c>
      <c r="H207" s="137">
        <v>4900</v>
      </c>
      <c r="I207" s="137">
        <v>100</v>
      </c>
      <c r="J207" s="137">
        <v>700</v>
      </c>
      <c r="K207" s="137">
        <v>2800</v>
      </c>
      <c r="L207" s="137">
        <v>600</v>
      </c>
      <c r="M207" s="137">
        <v>200</v>
      </c>
      <c r="N207" s="137">
        <v>400</v>
      </c>
      <c r="O207" s="137">
        <v>900</v>
      </c>
      <c r="P207" s="137">
        <v>500</v>
      </c>
      <c r="Q207" s="137">
        <v>600</v>
      </c>
      <c r="R207" s="137">
        <v>13100</v>
      </c>
      <c r="S207" s="131"/>
      <c r="T207" s="137">
        <v>13100</v>
      </c>
      <c r="U207" s="137">
        <v>8200</v>
      </c>
      <c r="V207" s="137">
        <v>4400</v>
      </c>
      <c r="W207" s="137">
        <v>200</v>
      </c>
      <c r="X207" s="137">
        <v>200</v>
      </c>
    </row>
    <row r="209" spans="1:24">
      <c r="A209" s="131"/>
      <c r="B209" s="774" t="s">
        <v>9</v>
      </c>
      <c r="C209" s="774"/>
      <c r="D209" s="774"/>
      <c r="E209" s="774"/>
      <c r="F209" s="774"/>
      <c r="G209" s="774"/>
      <c r="H209" s="774"/>
      <c r="I209" s="774"/>
      <c r="J209" s="774"/>
      <c r="K209" s="774"/>
      <c r="L209" s="774"/>
      <c r="M209" s="774"/>
      <c r="N209" s="774"/>
      <c r="O209" s="774"/>
      <c r="P209" s="774"/>
      <c r="Q209" s="774"/>
      <c r="R209" s="774"/>
      <c r="S209" s="774"/>
      <c r="T209" s="774"/>
      <c r="U209" s="774"/>
      <c r="V209" s="774"/>
      <c r="W209" s="774"/>
      <c r="X209" s="774"/>
    </row>
    <row r="210" spans="1:24">
      <c r="A210" s="132">
        <v>1979</v>
      </c>
      <c r="B210" s="137">
        <v>146600</v>
      </c>
      <c r="C210" s="131"/>
      <c r="D210" s="137">
        <v>143200</v>
      </c>
      <c r="E210" s="137">
        <v>88100</v>
      </c>
      <c r="F210" s="137">
        <v>0</v>
      </c>
      <c r="G210" s="137">
        <v>3100</v>
      </c>
      <c r="H210" s="137">
        <v>3700</v>
      </c>
      <c r="I210" s="137">
        <v>200</v>
      </c>
      <c r="J210" s="137">
        <v>1100</v>
      </c>
      <c r="K210" s="137">
        <v>10500</v>
      </c>
      <c r="L210" s="137">
        <v>10700</v>
      </c>
      <c r="M210" s="137">
        <v>800</v>
      </c>
      <c r="N210" s="137">
        <v>7500</v>
      </c>
      <c r="O210" s="137">
        <v>5000</v>
      </c>
      <c r="P210" s="137">
        <v>1800</v>
      </c>
      <c r="Q210" s="137">
        <v>6200</v>
      </c>
      <c r="R210" s="137">
        <v>4400</v>
      </c>
      <c r="S210" s="131"/>
      <c r="T210" s="137">
        <v>3400</v>
      </c>
      <c r="U210" s="137">
        <v>2400</v>
      </c>
      <c r="V210" s="137">
        <v>600</v>
      </c>
      <c r="W210" s="137">
        <v>200</v>
      </c>
      <c r="X210" s="137">
        <v>100</v>
      </c>
    </row>
    <row r="211" spans="1:24">
      <c r="A211" s="132">
        <v>1980</v>
      </c>
      <c r="B211" s="137">
        <v>142700</v>
      </c>
      <c r="C211" s="131"/>
      <c r="D211" s="137">
        <v>138800</v>
      </c>
      <c r="E211" s="137">
        <v>86800</v>
      </c>
      <c r="F211" s="137">
        <v>0</v>
      </c>
      <c r="G211" s="137">
        <v>2700</v>
      </c>
      <c r="H211" s="137">
        <v>3700</v>
      </c>
      <c r="I211" s="137">
        <v>200</v>
      </c>
      <c r="J211" s="137">
        <v>900</v>
      </c>
      <c r="K211" s="137">
        <v>8500</v>
      </c>
      <c r="L211" s="137">
        <v>9500</v>
      </c>
      <c r="M211" s="137">
        <v>700</v>
      </c>
      <c r="N211" s="137">
        <v>9400</v>
      </c>
      <c r="O211" s="137">
        <v>5000</v>
      </c>
      <c r="P211" s="137">
        <v>1900</v>
      </c>
      <c r="Q211" s="137">
        <v>4900</v>
      </c>
      <c r="R211" s="137">
        <v>4600</v>
      </c>
      <c r="S211" s="131"/>
      <c r="T211" s="137">
        <v>3900</v>
      </c>
      <c r="U211" s="137">
        <v>2700</v>
      </c>
      <c r="V211" s="137">
        <v>700</v>
      </c>
      <c r="W211" s="137">
        <v>400</v>
      </c>
      <c r="X211" s="137">
        <v>100</v>
      </c>
    </row>
    <row r="212" spans="1:24">
      <c r="A212" s="132">
        <v>1981</v>
      </c>
      <c r="B212" s="137">
        <v>142200</v>
      </c>
      <c r="C212" s="131"/>
      <c r="D212" s="137">
        <v>138000</v>
      </c>
      <c r="E212" s="137">
        <v>86000</v>
      </c>
      <c r="F212" s="137">
        <v>0</v>
      </c>
      <c r="G212" s="137">
        <v>2800</v>
      </c>
      <c r="H212" s="137">
        <v>4100</v>
      </c>
      <c r="I212" s="137">
        <v>100</v>
      </c>
      <c r="J212" s="137">
        <v>700</v>
      </c>
      <c r="K212" s="137">
        <v>6900</v>
      </c>
      <c r="L212" s="137">
        <v>9000</v>
      </c>
      <c r="M212" s="137">
        <v>800</v>
      </c>
      <c r="N212" s="137">
        <v>11700</v>
      </c>
      <c r="O212" s="137">
        <v>5200</v>
      </c>
      <c r="P212" s="137">
        <v>2000</v>
      </c>
      <c r="Q212" s="137">
        <v>3800</v>
      </c>
      <c r="R212" s="137">
        <v>4700</v>
      </c>
      <c r="S212" s="131"/>
      <c r="T212" s="137">
        <v>4300</v>
      </c>
      <c r="U212" s="137">
        <v>3000</v>
      </c>
      <c r="V212" s="137">
        <v>900</v>
      </c>
      <c r="W212" s="137">
        <v>300</v>
      </c>
      <c r="X212" s="137">
        <v>100</v>
      </c>
    </row>
    <row r="213" spans="1:24">
      <c r="A213" s="132">
        <v>1982</v>
      </c>
      <c r="B213" s="137">
        <v>143200</v>
      </c>
      <c r="C213" s="131"/>
      <c r="D213" s="137">
        <v>138200</v>
      </c>
      <c r="E213" s="137">
        <v>86800</v>
      </c>
      <c r="F213" s="137">
        <v>0</v>
      </c>
      <c r="G213" s="137">
        <v>3000</v>
      </c>
      <c r="H213" s="137">
        <v>4300</v>
      </c>
      <c r="I213" s="137">
        <v>200</v>
      </c>
      <c r="J213" s="137">
        <v>500</v>
      </c>
      <c r="K213" s="137">
        <v>6400</v>
      </c>
      <c r="L213" s="137">
        <v>9500</v>
      </c>
      <c r="M213" s="137">
        <v>1100</v>
      </c>
      <c r="N213" s="137">
        <v>11600</v>
      </c>
      <c r="O213" s="137">
        <v>5400</v>
      </c>
      <c r="P213" s="137">
        <v>2000</v>
      </c>
      <c r="Q213" s="137">
        <v>2300</v>
      </c>
      <c r="R213" s="137">
        <v>5200</v>
      </c>
      <c r="S213" s="131"/>
      <c r="T213" s="137">
        <v>5000</v>
      </c>
      <c r="U213" s="137">
        <v>3500</v>
      </c>
      <c r="V213" s="137">
        <v>1000</v>
      </c>
      <c r="W213" s="137">
        <v>300</v>
      </c>
      <c r="X213" s="137">
        <v>100</v>
      </c>
    </row>
    <row r="214" spans="1:24">
      <c r="A214" s="132">
        <v>1983</v>
      </c>
      <c r="B214" s="137">
        <v>148400</v>
      </c>
      <c r="C214" s="131"/>
      <c r="D214" s="137">
        <v>143200</v>
      </c>
      <c r="E214" s="137">
        <v>87600</v>
      </c>
      <c r="F214" s="137">
        <v>0</v>
      </c>
      <c r="G214" s="137">
        <v>3200</v>
      </c>
      <c r="H214" s="137">
        <v>4400</v>
      </c>
      <c r="I214" s="137">
        <v>200</v>
      </c>
      <c r="J214" s="137">
        <v>600</v>
      </c>
      <c r="K214" s="137">
        <v>7300</v>
      </c>
      <c r="L214" s="137">
        <v>12600</v>
      </c>
      <c r="M214" s="137">
        <v>1400</v>
      </c>
      <c r="N214" s="137">
        <v>10600</v>
      </c>
      <c r="O214" s="137">
        <v>4700</v>
      </c>
      <c r="P214" s="137">
        <v>1900</v>
      </c>
      <c r="Q214" s="137">
        <v>3100</v>
      </c>
      <c r="R214" s="137">
        <v>5600</v>
      </c>
      <c r="S214" s="131"/>
      <c r="T214" s="137">
        <v>5200</v>
      </c>
      <c r="U214" s="137">
        <v>3600</v>
      </c>
      <c r="V214" s="137">
        <v>1100</v>
      </c>
      <c r="W214" s="137">
        <v>300</v>
      </c>
      <c r="X214" s="137">
        <v>100</v>
      </c>
    </row>
    <row r="215" spans="1:24">
      <c r="A215" s="132">
        <v>1984</v>
      </c>
      <c r="B215" s="137">
        <v>161000</v>
      </c>
      <c r="C215" s="131"/>
      <c r="D215" s="137">
        <v>155700</v>
      </c>
      <c r="E215" s="137">
        <v>92900</v>
      </c>
      <c r="F215" s="137">
        <v>600</v>
      </c>
      <c r="G215" s="137">
        <v>3100</v>
      </c>
      <c r="H215" s="137">
        <v>4800</v>
      </c>
      <c r="I215" s="137">
        <v>200</v>
      </c>
      <c r="J215" s="137">
        <v>700</v>
      </c>
      <c r="K215" s="137">
        <v>9800</v>
      </c>
      <c r="L215" s="137">
        <v>13800</v>
      </c>
      <c r="M215" s="137">
        <v>1700</v>
      </c>
      <c r="N215" s="137">
        <v>11700</v>
      </c>
      <c r="O215" s="137">
        <v>4500</v>
      </c>
      <c r="P215" s="137">
        <v>2000</v>
      </c>
      <c r="Q215" s="137">
        <v>3700</v>
      </c>
      <c r="R215" s="137">
        <v>6200</v>
      </c>
      <c r="S215" s="131"/>
      <c r="T215" s="137">
        <v>5300</v>
      </c>
      <c r="U215" s="137">
        <v>3700</v>
      </c>
      <c r="V215" s="137">
        <v>1200</v>
      </c>
      <c r="W215" s="137">
        <v>200</v>
      </c>
      <c r="X215" s="137">
        <v>100</v>
      </c>
    </row>
    <row r="216" spans="1:24">
      <c r="A216" s="132">
        <v>1985</v>
      </c>
      <c r="B216" s="137">
        <v>162700</v>
      </c>
      <c r="C216" s="131"/>
      <c r="D216" s="137">
        <v>157400</v>
      </c>
      <c r="E216" s="137">
        <v>92900</v>
      </c>
      <c r="F216" s="137">
        <v>900</v>
      </c>
      <c r="G216" s="137">
        <v>3300</v>
      </c>
      <c r="H216" s="137">
        <v>4900</v>
      </c>
      <c r="I216" s="137">
        <v>200</v>
      </c>
      <c r="J216" s="137">
        <v>700</v>
      </c>
      <c r="K216" s="137">
        <v>8600</v>
      </c>
      <c r="L216" s="137">
        <v>16300</v>
      </c>
      <c r="M216" s="137">
        <v>1900</v>
      </c>
      <c r="N216" s="137">
        <v>11200</v>
      </c>
      <c r="O216" s="137">
        <v>4700</v>
      </c>
      <c r="P216" s="137">
        <v>1900</v>
      </c>
      <c r="Q216" s="137">
        <v>3500</v>
      </c>
      <c r="R216" s="137">
        <v>6400</v>
      </c>
      <c r="S216" s="131"/>
      <c r="T216" s="137">
        <v>5300</v>
      </c>
      <c r="U216" s="137">
        <v>3700</v>
      </c>
      <c r="V216" s="137">
        <v>1200</v>
      </c>
      <c r="W216" s="137">
        <v>200</v>
      </c>
      <c r="X216" s="137">
        <v>200</v>
      </c>
    </row>
    <row r="217" spans="1:24">
      <c r="A217" s="132">
        <v>1986</v>
      </c>
      <c r="B217" s="137">
        <v>182400</v>
      </c>
      <c r="C217" s="131"/>
      <c r="D217" s="137">
        <v>177200</v>
      </c>
      <c r="E217" s="137">
        <v>96300</v>
      </c>
      <c r="F217" s="137">
        <v>1100</v>
      </c>
      <c r="G217" s="137">
        <v>3400</v>
      </c>
      <c r="H217" s="137">
        <v>5200</v>
      </c>
      <c r="I217" s="137">
        <v>200</v>
      </c>
      <c r="J217" s="137">
        <v>800</v>
      </c>
      <c r="K217" s="137">
        <v>9700</v>
      </c>
      <c r="L217" s="137">
        <v>31300</v>
      </c>
      <c r="M217" s="137">
        <v>2400</v>
      </c>
      <c r="N217" s="137">
        <v>9800</v>
      </c>
      <c r="O217" s="137">
        <v>5200</v>
      </c>
      <c r="P217" s="137">
        <v>1800</v>
      </c>
      <c r="Q217" s="137">
        <v>3900</v>
      </c>
      <c r="R217" s="137">
        <v>6300</v>
      </c>
      <c r="S217" s="131"/>
      <c r="T217" s="137">
        <v>5200</v>
      </c>
      <c r="U217" s="137">
        <v>3500</v>
      </c>
      <c r="V217" s="137">
        <v>1200</v>
      </c>
      <c r="W217" s="137">
        <v>200</v>
      </c>
      <c r="X217" s="137">
        <v>200</v>
      </c>
    </row>
    <row r="218" spans="1:24">
      <c r="A218" s="132">
        <v>1987</v>
      </c>
      <c r="B218" s="137">
        <v>172300</v>
      </c>
      <c r="C218" s="131"/>
      <c r="D218" s="137">
        <v>167700</v>
      </c>
      <c r="E218" s="137">
        <v>101400</v>
      </c>
      <c r="F218" s="137">
        <v>1200</v>
      </c>
      <c r="G218" s="137">
        <v>3900</v>
      </c>
      <c r="H218" s="137">
        <v>5400</v>
      </c>
      <c r="I218" s="137">
        <v>200</v>
      </c>
      <c r="J218" s="137">
        <v>1000</v>
      </c>
      <c r="K218" s="137">
        <v>11600</v>
      </c>
      <c r="L218" s="137">
        <v>12200</v>
      </c>
      <c r="M218" s="137">
        <v>2900</v>
      </c>
      <c r="N218" s="137">
        <v>9800</v>
      </c>
      <c r="O218" s="137">
        <v>5000</v>
      </c>
      <c r="P218" s="137">
        <v>1700</v>
      </c>
      <c r="Q218" s="137">
        <v>4600</v>
      </c>
      <c r="R218" s="137">
        <v>6800</v>
      </c>
      <c r="S218" s="131"/>
      <c r="T218" s="137">
        <v>4600</v>
      </c>
      <c r="U218" s="137">
        <v>3100</v>
      </c>
      <c r="V218" s="137">
        <v>1100</v>
      </c>
      <c r="W218" s="137">
        <v>200</v>
      </c>
      <c r="X218" s="137">
        <v>100</v>
      </c>
    </row>
    <row r="219" spans="1:24">
      <c r="A219" s="132">
        <v>1988</v>
      </c>
      <c r="B219" s="137">
        <v>184400</v>
      </c>
      <c r="C219" s="131"/>
      <c r="D219" s="137">
        <v>179600</v>
      </c>
      <c r="E219" s="137">
        <v>104800</v>
      </c>
      <c r="F219" s="137">
        <v>1400</v>
      </c>
      <c r="G219" s="137">
        <v>4200</v>
      </c>
      <c r="H219" s="137">
        <v>5700</v>
      </c>
      <c r="I219" s="137">
        <v>200</v>
      </c>
      <c r="J219" s="137">
        <v>1000</v>
      </c>
      <c r="K219" s="137">
        <v>14900</v>
      </c>
      <c r="L219" s="137">
        <v>13300</v>
      </c>
      <c r="M219" s="137">
        <v>2900</v>
      </c>
      <c r="N219" s="137">
        <v>10500</v>
      </c>
      <c r="O219" s="137">
        <v>5600</v>
      </c>
      <c r="P219" s="137">
        <v>1700</v>
      </c>
      <c r="Q219" s="137">
        <v>4900</v>
      </c>
      <c r="R219" s="137">
        <v>8500</v>
      </c>
      <c r="S219" s="131"/>
      <c r="T219" s="137">
        <v>4800</v>
      </c>
      <c r="U219" s="137">
        <v>3300</v>
      </c>
      <c r="V219" s="137">
        <v>1100</v>
      </c>
      <c r="W219" s="137">
        <v>200</v>
      </c>
      <c r="X219" s="137">
        <v>200</v>
      </c>
    </row>
    <row r="220" spans="1:24">
      <c r="A220" s="132">
        <v>1989</v>
      </c>
      <c r="B220" s="137">
        <v>184000</v>
      </c>
      <c r="C220" s="131"/>
      <c r="D220" s="137">
        <v>179000</v>
      </c>
      <c r="E220" s="137">
        <v>103400</v>
      </c>
      <c r="F220" s="137">
        <v>1600</v>
      </c>
      <c r="G220" s="137">
        <v>4300</v>
      </c>
      <c r="H220" s="137">
        <v>5700</v>
      </c>
      <c r="I220" s="137">
        <v>100</v>
      </c>
      <c r="J220" s="137">
        <v>1000</v>
      </c>
      <c r="K220" s="137">
        <v>14800</v>
      </c>
      <c r="L220" s="137">
        <v>11800</v>
      </c>
      <c r="M220" s="137">
        <v>3100</v>
      </c>
      <c r="N220" s="137">
        <v>12100</v>
      </c>
      <c r="O220" s="137">
        <v>5700</v>
      </c>
      <c r="P220" s="137">
        <v>1900</v>
      </c>
      <c r="Q220" s="137">
        <v>4800</v>
      </c>
      <c r="R220" s="137">
        <v>8700</v>
      </c>
      <c r="S220" s="131"/>
      <c r="T220" s="137">
        <v>5000</v>
      </c>
      <c r="U220" s="137">
        <v>3400</v>
      </c>
      <c r="V220" s="137">
        <v>1200</v>
      </c>
      <c r="W220" s="137">
        <v>200</v>
      </c>
      <c r="X220" s="137">
        <v>300</v>
      </c>
    </row>
    <row r="221" spans="1:24">
      <c r="A221" s="132">
        <v>1990</v>
      </c>
      <c r="B221" s="137">
        <v>179500</v>
      </c>
      <c r="C221" s="131"/>
      <c r="D221" s="137">
        <v>174300</v>
      </c>
      <c r="E221" s="137">
        <v>102800</v>
      </c>
      <c r="F221" s="137">
        <v>1600</v>
      </c>
      <c r="G221" s="137">
        <v>4300</v>
      </c>
      <c r="H221" s="137">
        <v>5800</v>
      </c>
      <c r="I221" s="137">
        <v>100</v>
      </c>
      <c r="J221" s="137">
        <v>900</v>
      </c>
      <c r="K221" s="137">
        <v>14700</v>
      </c>
      <c r="L221" s="137">
        <v>8700</v>
      </c>
      <c r="M221" s="137">
        <v>3100</v>
      </c>
      <c r="N221" s="137">
        <v>11800</v>
      </c>
      <c r="O221" s="137">
        <v>5200</v>
      </c>
      <c r="P221" s="137">
        <v>1900</v>
      </c>
      <c r="Q221" s="137">
        <v>4400</v>
      </c>
      <c r="R221" s="137">
        <v>8900</v>
      </c>
      <c r="S221" s="131"/>
      <c r="T221" s="137">
        <v>5300</v>
      </c>
      <c r="U221" s="137">
        <v>3500</v>
      </c>
      <c r="V221" s="137">
        <v>1300</v>
      </c>
      <c r="W221" s="137">
        <v>200</v>
      </c>
      <c r="X221" s="137">
        <v>300</v>
      </c>
    </row>
    <row r="222" spans="1:24">
      <c r="A222" s="132">
        <v>1991</v>
      </c>
      <c r="B222" s="137">
        <v>173600</v>
      </c>
      <c r="C222" s="131"/>
      <c r="D222" s="137">
        <v>168100</v>
      </c>
      <c r="E222" s="137">
        <v>101300</v>
      </c>
      <c r="F222" s="137">
        <v>1600</v>
      </c>
      <c r="G222" s="137">
        <v>4300</v>
      </c>
      <c r="H222" s="137">
        <v>5800</v>
      </c>
      <c r="I222" s="137">
        <v>100</v>
      </c>
      <c r="J222" s="137">
        <v>800</v>
      </c>
      <c r="K222" s="137">
        <v>13800</v>
      </c>
      <c r="L222" s="137">
        <v>7300</v>
      </c>
      <c r="M222" s="137">
        <v>3200</v>
      </c>
      <c r="N222" s="137">
        <v>10100</v>
      </c>
      <c r="O222" s="137">
        <v>4700</v>
      </c>
      <c r="P222" s="137">
        <v>1900</v>
      </c>
      <c r="Q222" s="137">
        <v>3900</v>
      </c>
      <c r="R222" s="137">
        <v>9200</v>
      </c>
      <c r="S222" s="131"/>
      <c r="T222" s="137">
        <v>5500</v>
      </c>
      <c r="U222" s="137">
        <v>3600</v>
      </c>
      <c r="V222" s="137">
        <v>1300</v>
      </c>
      <c r="W222" s="137">
        <v>300</v>
      </c>
      <c r="X222" s="137">
        <v>300</v>
      </c>
    </row>
    <row r="223" spans="1:24">
      <c r="A223" s="132">
        <v>1992</v>
      </c>
      <c r="B223" s="137">
        <v>180900</v>
      </c>
      <c r="C223" s="131"/>
      <c r="D223" s="137">
        <v>175300</v>
      </c>
      <c r="E223" s="137">
        <v>105800</v>
      </c>
      <c r="F223" s="137">
        <v>2000</v>
      </c>
      <c r="G223" s="137">
        <v>4900</v>
      </c>
      <c r="H223" s="137">
        <v>6100</v>
      </c>
      <c r="I223" s="137">
        <v>100</v>
      </c>
      <c r="J223" s="137">
        <v>900</v>
      </c>
      <c r="K223" s="137">
        <v>15500</v>
      </c>
      <c r="L223" s="137">
        <v>8200</v>
      </c>
      <c r="M223" s="137">
        <v>3300</v>
      </c>
      <c r="N223" s="137">
        <v>7500</v>
      </c>
      <c r="O223" s="137">
        <v>4600</v>
      </c>
      <c r="P223" s="137">
        <v>2000</v>
      </c>
      <c r="Q223" s="137">
        <v>4500</v>
      </c>
      <c r="R223" s="137">
        <v>9900</v>
      </c>
      <c r="S223" s="131"/>
      <c r="T223" s="137">
        <v>5600</v>
      </c>
      <c r="U223" s="137">
        <v>3600</v>
      </c>
      <c r="V223" s="137">
        <v>1400</v>
      </c>
      <c r="W223" s="137">
        <v>400</v>
      </c>
      <c r="X223" s="137">
        <v>300</v>
      </c>
    </row>
    <row r="224" spans="1:24">
      <c r="A224" s="132">
        <v>1993</v>
      </c>
      <c r="B224" s="137">
        <v>181100</v>
      </c>
      <c r="C224" s="131"/>
      <c r="D224" s="137">
        <v>175000</v>
      </c>
      <c r="E224" s="137">
        <v>104500</v>
      </c>
      <c r="F224" s="137">
        <v>2200</v>
      </c>
      <c r="G224" s="137">
        <v>5400</v>
      </c>
      <c r="H224" s="137">
        <v>6000</v>
      </c>
      <c r="I224" s="137">
        <v>100</v>
      </c>
      <c r="J224" s="137">
        <v>1100</v>
      </c>
      <c r="K224" s="137">
        <v>15200</v>
      </c>
      <c r="L224" s="137">
        <v>9600</v>
      </c>
      <c r="M224" s="137">
        <v>3200</v>
      </c>
      <c r="N224" s="137">
        <v>6000</v>
      </c>
      <c r="O224" s="137">
        <v>4600</v>
      </c>
      <c r="P224" s="137">
        <v>2200</v>
      </c>
      <c r="Q224" s="137">
        <v>5300</v>
      </c>
      <c r="R224" s="137">
        <v>9700</v>
      </c>
      <c r="S224" s="131"/>
      <c r="T224" s="137">
        <v>6100</v>
      </c>
      <c r="U224" s="137">
        <v>3900</v>
      </c>
      <c r="V224" s="137">
        <v>1600</v>
      </c>
      <c r="W224" s="137">
        <v>300</v>
      </c>
      <c r="X224" s="137">
        <v>300</v>
      </c>
    </row>
    <row r="225" spans="1:24">
      <c r="A225" s="132">
        <v>1994</v>
      </c>
      <c r="B225" s="137">
        <v>185400</v>
      </c>
      <c r="C225" s="131"/>
      <c r="D225" s="137">
        <v>179100</v>
      </c>
      <c r="E225" s="137">
        <v>105900</v>
      </c>
      <c r="F225" s="137">
        <v>2400</v>
      </c>
      <c r="G225" s="137">
        <v>5900</v>
      </c>
      <c r="H225" s="137">
        <v>6300</v>
      </c>
      <c r="I225" s="137">
        <v>100</v>
      </c>
      <c r="J225" s="137">
        <v>1200</v>
      </c>
      <c r="K225" s="137">
        <v>16500</v>
      </c>
      <c r="L225" s="137">
        <v>9300</v>
      </c>
      <c r="M225" s="137">
        <v>3200</v>
      </c>
      <c r="N225" s="137">
        <v>5600</v>
      </c>
      <c r="O225" s="137">
        <v>4500</v>
      </c>
      <c r="P225" s="137">
        <v>2200</v>
      </c>
      <c r="Q225" s="137">
        <v>5700</v>
      </c>
      <c r="R225" s="137">
        <v>10300</v>
      </c>
      <c r="S225" s="131"/>
      <c r="T225" s="137">
        <v>6300</v>
      </c>
      <c r="U225" s="137">
        <v>4200</v>
      </c>
      <c r="V225" s="137">
        <v>1600</v>
      </c>
      <c r="W225" s="137">
        <v>300</v>
      </c>
      <c r="X225" s="137">
        <v>300</v>
      </c>
    </row>
    <row r="226" spans="1:24">
      <c r="A226" s="132">
        <v>1995</v>
      </c>
      <c r="B226" s="137">
        <v>194200</v>
      </c>
      <c r="C226" s="131"/>
      <c r="D226" s="137">
        <v>187700</v>
      </c>
      <c r="E226" s="137">
        <v>108900</v>
      </c>
      <c r="F226" s="137">
        <v>2800</v>
      </c>
      <c r="G226" s="137">
        <v>5800</v>
      </c>
      <c r="H226" s="137">
        <v>6500</v>
      </c>
      <c r="I226" s="137">
        <v>100</v>
      </c>
      <c r="J226" s="137">
        <v>1300</v>
      </c>
      <c r="K226" s="137">
        <v>16800</v>
      </c>
      <c r="L226" s="137">
        <v>10800</v>
      </c>
      <c r="M226" s="137">
        <v>3100</v>
      </c>
      <c r="N226" s="137">
        <v>6900</v>
      </c>
      <c r="O226" s="137">
        <v>5100</v>
      </c>
      <c r="P226" s="137">
        <v>2300</v>
      </c>
      <c r="Q226" s="137">
        <v>6400</v>
      </c>
      <c r="R226" s="137">
        <v>10800</v>
      </c>
      <c r="S226" s="131"/>
      <c r="T226" s="137">
        <v>6400</v>
      </c>
      <c r="U226" s="137">
        <v>4200</v>
      </c>
      <c r="V226" s="137">
        <v>1800</v>
      </c>
      <c r="W226" s="137">
        <v>200</v>
      </c>
      <c r="X226" s="137">
        <v>200</v>
      </c>
    </row>
    <row r="227" spans="1:24">
      <c r="A227" s="132">
        <v>1996</v>
      </c>
      <c r="B227" s="137">
        <v>205400</v>
      </c>
      <c r="C227" s="131"/>
      <c r="D227" s="137">
        <v>198500</v>
      </c>
      <c r="E227" s="137">
        <v>111300</v>
      </c>
      <c r="F227" s="137">
        <v>3200</v>
      </c>
      <c r="G227" s="137">
        <v>5600</v>
      </c>
      <c r="H227" s="137">
        <v>6600</v>
      </c>
      <c r="I227" s="137">
        <v>100</v>
      </c>
      <c r="J227" s="137">
        <v>1400</v>
      </c>
      <c r="K227" s="137">
        <v>17800</v>
      </c>
      <c r="L227" s="137">
        <v>15600</v>
      </c>
      <c r="M227" s="137">
        <v>3000</v>
      </c>
      <c r="N227" s="137">
        <v>7200</v>
      </c>
      <c r="O227" s="137">
        <v>5500</v>
      </c>
      <c r="P227" s="137">
        <v>2300</v>
      </c>
      <c r="Q227" s="137">
        <v>6900</v>
      </c>
      <c r="R227" s="137">
        <v>11900</v>
      </c>
      <c r="S227" s="131"/>
      <c r="T227" s="137">
        <v>6900</v>
      </c>
      <c r="U227" s="137">
        <v>4600</v>
      </c>
      <c r="V227" s="137">
        <v>2000</v>
      </c>
      <c r="W227" s="137">
        <v>200</v>
      </c>
      <c r="X227" s="137">
        <v>100</v>
      </c>
    </row>
    <row r="228" spans="1:24">
      <c r="A228" s="132">
        <v>1997</v>
      </c>
      <c r="B228" s="137">
        <v>218200</v>
      </c>
      <c r="C228" s="131"/>
      <c r="D228" s="137">
        <v>211000</v>
      </c>
      <c r="E228" s="137">
        <v>115700</v>
      </c>
      <c r="F228" s="137">
        <v>3200</v>
      </c>
      <c r="G228" s="137">
        <v>5000</v>
      </c>
      <c r="H228" s="137">
        <v>6800</v>
      </c>
      <c r="I228" s="137">
        <v>100</v>
      </c>
      <c r="J228" s="137">
        <v>1400</v>
      </c>
      <c r="K228" s="137">
        <v>18700</v>
      </c>
      <c r="L228" s="137">
        <v>21300</v>
      </c>
      <c r="M228" s="137">
        <v>3000</v>
      </c>
      <c r="N228" s="137">
        <v>7300</v>
      </c>
      <c r="O228" s="137">
        <v>6300</v>
      </c>
      <c r="P228" s="137">
        <v>2400</v>
      </c>
      <c r="Q228" s="137">
        <v>7200</v>
      </c>
      <c r="R228" s="137">
        <v>12600</v>
      </c>
      <c r="S228" s="131"/>
      <c r="T228" s="137">
        <v>7200</v>
      </c>
      <c r="U228" s="137">
        <v>4600</v>
      </c>
      <c r="V228" s="137">
        <v>2100</v>
      </c>
      <c r="W228" s="137">
        <v>200</v>
      </c>
      <c r="X228" s="137">
        <v>200</v>
      </c>
    </row>
    <row r="229" spans="1:24">
      <c r="A229" s="132">
        <v>1998</v>
      </c>
      <c r="B229" s="137">
        <v>233000</v>
      </c>
      <c r="C229" s="131"/>
      <c r="D229" s="137">
        <v>226100</v>
      </c>
      <c r="E229" s="137">
        <v>122500</v>
      </c>
      <c r="F229" s="137">
        <v>3600</v>
      </c>
      <c r="G229" s="137">
        <v>4900</v>
      </c>
      <c r="H229" s="137">
        <v>7100</v>
      </c>
      <c r="I229" s="137">
        <v>100</v>
      </c>
      <c r="J229" s="137">
        <v>1400</v>
      </c>
      <c r="K229" s="137">
        <v>20500</v>
      </c>
      <c r="L229" s="137">
        <v>26500</v>
      </c>
      <c r="M229" s="137">
        <v>3000</v>
      </c>
      <c r="N229" s="137">
        <v>7300</v>
      </c>
      <c r="O229" s="137">
        <v>6100</v>
      </c>
      <c r="P229" s="137">
        <v>2300</v>
      </c>
      <c r="Q229" s="137">
        <v>7000</v>
      </c>
      <c r="R229" s="137">
        <v>13900</v>
      </c>
      <c r="S229" s="131"/>
      <c r="T229" s="137">
        <v>6900</v>
      </c>
      <c r="U229" s="137">
        <v>4600</v>
      </c>
      <c r="V229" s="137">
        <v>2000</v>
      </c>
      <c r="W229" s="137">
        <v>200</v>
      </c>
      <c r="X229" s="137">
        <v>100</v>
      </c>
    </row>
    <row r="230" spans="1:24">
      <c r="A230" s="132">
        <v>1999</v>
      </c>
      <c r="B230" s="137">
        <v>248200</v>
      </c>
      <c r="C230" s="131"/>
      <c r="D230" s="137">
        <v>241800</v>
      </c>
      <c r="E230" s="137">
        <v>129300</v>
      </c>
      <c r="F230" s="137">
        <v>3900</v>
      </c>
      <c r="G230" s="137">
        <v>5000</v>
      </c>
      <c r="H230" s="137">
        <v>7500</v>
      </c>
      <c r="I230" s="137">
        <v>100</v>
      </c>
      <c r="J230" s="137">
        <v>1400</v>
      </c>
      <c r="K230" s="137">
        <v>21800</v>
      </c>
      <c r="L230" s="137">
        <v>31500</v>
      </c>
      <c r="M230" s="137">
        <v>3100</v>
      </c>
      <c r="N230" s="137">
        <v>7200</v>
      </c>
      <c r="O230" s="137">
        <v>6600</v>
      </c>
      <c r="P230" s="137">
        <v>2400</v>
      </c>
      <c r="Q230" s="137">
        <v>7200</v>
      </c>
      <c r="R230" s="137">
        <v>14900</v>
      </c>
      <c r="S230" s="131"/>
      <c r="T230" s="137">
        <v>6400</v>
      </c>
      <c r="U230" s="137">
        <v>4200</v>
      </c>
      <c r="V230" s="137">
        <v>1800</v>
      </c>
      <c r="W230" s="137">
        <v>200</v>
      </c>
      <c r="X230" s="137">
        <v>200</v>
      </c>
    </row>
    <row r="231" spans="1:24">
      <c r="A231" s="132">
        <v>2000</v>
      </c>
      <c r="B231" s="137">
        <v>260300</v>
      </c>
      <c r="C231" s="131"/>
      <c r="D231" s="137">
        <v>253400</v>
      </c>
      <c r="E231" s="137">
        <v>135300</v>
      </c>
      <c r="F231" s="137">
        <v>4100</v>
      </c>
      <c r="G231" s="137">
        <v>5100</v>
      </c>
      <c r="H231" s="137">
        <v>7700</v>
      </c>
      <c r="I231" s="137">
        <v>100</v>
      </c>
      <c r="J231" s="137">
        <v>1400</v>
      </c>
      <c r="K231" s="137">
        <v>21500</v>
      </c>
      <c r="L231" s="137">
        <v>34700</v>
      </c>
      <c r="M231" s="137">
        <v>3000</v>
      </c>
      <c r="N231" s="137">
        <v>7900</v>
      </c>
      <c r="O231" s="137">
        <v>7000</v>
      </c>
      <c r="P231" s="137">
        <v>2500</v>
      </c>
      <c r="Q231" s="137">
        <v>7100</v>
      </c>
      <c r="R231" s="137">
        <v>15900</v>
      </c>
      <c r="S231" s="131"/>
      <c r="T231" s="137">
        <v>6800</v>
      </c>
      <c r="U231" s="137">
        <v>4600</v>
      </c>
      <c r="V231" s="137">
        <v>1900</v>
      </c>
      <c r="W231" s="137">
        <v>200</v>
      </c>
      <c r="X231" s="137">
        <v>200</v>
      </c>
    </row>
    <row r="232" spans="1:24">
      <c r="A232" s="132">
        <v>2001</v>
      </c>
      <c r="B232" s="137">
        <v>237400</v>
      </c>
      <c r="C232" s="131"/>
      <c r="D232" s="137">
        <v>230800</v>
      </c>
      <c r="E232" s="137">
        <v>134500</v>
      </c>
      <c r="F232" s="137">
        <v>4200</v>
      </c>
      <c r="G232" s="137">
        <v>5500</v>
      </c>
      <c r="H232" s="137">
        <v>7900</v>
      </c>
      <c r="I232" s="137">
        <v>100</v>
      </c>
      <c r="J232" s="137">
        <v>1000</v>
      </c>
      <c r="K232" s="137">
        <v>21800</v>
      </c>
      <c r="L232" s="137">
        <v>18000</v>
      </c>
      <c r="M232" s="137">
        <v>2900</v>
      </c>
      <c r="N232" s="137">
        <v>7400</v>
      </c>
      <c r="O232" s="137">
        <v>5300</v>
      </c>
      <c r="P232" s="137">
        <v>2500</v>
      </c>
      <c r="Q232" s="137">
        <v>4900</v>
      </c>
      <c r="R232" s="137">
        <v>14700</v>
      </c>
      <c r="S232" s="131"/>
      <c r="T232" s="137">
        <v>6700</v>
      </c>
      <c r="U232" s="137">
        <v>4400</v>
      </c>
      <c r="V232" s="137">
        <v>1800</v>
      </c>
      <c r="W232" s="137">
        <v>300</v>
      </c>
      <c r="X232" s="137">
        <v>100</v>
      </c>
    </row>
    <row r="233" spans="1:24">
      <c r="A233" s="132">
        <v>2002</v>
      </c>
      <c r="B233" s="137">
        <v>225800</v>
      </c>
      <c r="C233" s="131"/>
      <c r="D233" s="137">
        <v>219000</v>
      </c>
      <c r="E233" s="137">
        <v>130300</v>
      </c>
      <c r="F233" s="137">
        <v>4800</v>
      </c>
      <c r="G233" s="137">
        <v>6100</v>
      </c>
      <c r="H233" s="137">
        <v>7800</v>
      </c>
      <c r="I233" s="137">
        <v>100</v>
      </c>
      <c r="J233" s="137">
        <v>900</v>
      </c>
      <c r="K233" s="137">
        <v>22200</v>
      </c>
      <c r="L233" s="137">
        <v>12900</v>
      </c>
      <c r="M233" s="137">
        <v>2800</v>
      </c>
      <c r="N233" s="137">
        <v>5300</v>
      </c>
      <c r="O233" s="137">
        <v>4400</v>
      </c>
      <c r="P233" s="137">
        <v>2400</v>
      </c>
      <c r="Q233" s="137">
        <v>4300</v>
      </c>
      <c r="R233" s="137">
        <v>14700</v>
      </c>
      <c r="S233" s="131"/>
      <c r="T233" s="137">
        <v>6800</v>
      </c>
      <c r="U233" s="137">
        <v>4300</v>
      </c>
      <c r="V233" s="137">
        <v>1900</v>
      </c>
      <c r="W233" s="137">
        <v>500</v>
      </c>
      <c r="X233" s="137">
        <v>200</v>
      </c>
    </row>
    <row r="234" spans="1:24">
      <c r="A234" s="132">
        <v>2003</v>
      </c>
      <c r="B234" s="137">
        <v>233600</v>
      </c>
      <c r="C234" s="131"/>
      <c r="D234" s="137">
        <v>226700</v>
      </c>
      <c r="E234" s="137">
        <v>130500</v>
      </c>
      <c r="F234" s="137">
        <v>6100</v>
      </c>
      <c r="G234" s="137">
        <v>6900</v>
      </c>
      <c r="H234" s="137">
        <v>7900</v>
      </c>
      <c r="I234" s="137">
        <v>100</v>
      </c>
      <c r="J234" s="137">
        <v>1200</v>
      </c>
      <c r="K234" s="137">
        <v>22900</v>
      </c>
      <c r="L234" s="137">
        <v>15900</v>
      </c>
      <c r="M234" s="137">
        <v>2700</v>
      </c>
      <c r="N234" s="137">
        <v>4500</v>
      </c>
      <c r="O234" s="137">
        <v>4900</v>
      </c>
      <c r="P234" s="137">
        <v>2400</v>
      </c>
      <c r="Q234" s="137">
        <v>6100</v>
      </c>
      <c r="R234" s="137">
        <v>14500</v>
      </c>
      <c r="S234" s="131"/>
      <c r="T234" s="137">
        <v>6900</v>
      </c>
      <c r="U234" s="137">
        <v>4400</v>
      </c>
      <c r="V234" s="137">
        <v>1900</v>
      </c>
      <c r="W234" s="137">
        <v>400</v>
      </c>
      <c r="X234" s="137">
        <v>100</v>
      </c>
    </row>
    <row r="235" spans="1:24">
      <c r="A235" s="132">
        <v>2004</v>
      </c>
      <c r="B235" s="137">
        <v>254100</v>
      </c>
      <c r="C235" s="131"/>
      <c r="D235" s="137">
        <v>247100</v>
      </c>
      <c r="E235" s="137">
        <v>134000</v>
      </c>
      <c r="F235" s="137">
        <v>6400</v>
      </c>
      <c r="G235" s="137">
        <v>7600</v>
      </c>
      <c r="H235" s="137">
        <v>7900</v>
      </c>
      <c r="I235" s="137">
        <v>100</v>
      </c>
      <c r="J235" s="137">
        <v>1600</v>
      </c>
      <c r="K235" s="137">
        <v>25700</v>
      </c>
      <c r="L235" s="137">
        <v>24500</v>
      </c>
      <c r="M235" s="137">
        <v>2500</v>
      </c>
      <c r="N235" s="137">
        <v>4600</v>
      </c>
      <c r="O235" s="137">
        <v>6400</v>
      </c>
      <c r="P235" s="137">
        <v>2600</v>
      </c>
      <c r="Q235" s="137">
        <v>8000</v>
      </c>
      <c r="R235" s="137">
        <v>15300</v>
      </c>
      <c r="S235" s="131"/>
      <c r="T235" s="137">
        <v>7000</v>
      </c>
      <c r="U235" s="137">
        <v>4500</v>
      </c>
      <c r="V235" s="137">
        <v>2100</v>
      </c>
      <c r="W235" s="137">
        <v>300</v>
      </c>
      <c r="X235" s="137">
        <v>100</v>
      </c>
    </row>
    <row r="236" spans="1:24">
      <c r="A236" s="132">
        <v>2005</v>
      </c>
      <c r="B236" s="137">
        <v>275600</v>
      </c>
      <c r="C236" s="131"/>
      <c r="D236" s="137">
        <v>267900</v>
      </c>
      <c r="E236" s="137">
        <v>134300</v>
      </c>
      <c r="F236" s="137">
        <v>6600</v>
      </c>
      <c r="G236" s="137">
        <v>7800</v>
      </c>
      <c r="H236" s="137">
        <v>7800</v>
      </c>
      <c r="I236" s="137">
        <v>100</v>
      </c>
      <c r="J236" s="137">
        <v>2000</v>
      </c>
      <c r="K236" s="137">
        <v>30100</v>
      </c>
      <c r="L236" s="137">
        <v>33100</v>
      </c>
      <c r="M236" s="137">
        <v>2800</v>
      </c>
      <c r="N236" s="137">
        <v>6000</v>
      </c>
      <c r="O236" s="137">
        <v>7100</v>
      </c>
      <c r="P236" s="137">
        <v>2800</v>
      </c>
      <c r="Q236" s="137">
        <v>10800</v>
      </c>
      <c r="R236" s="137">
        <v>16500</v>
      </c>
      <c r="S236" s="131"/>
      <c r="T236" s="137">
        <v>7600</v>
      </c>
      <c r="U236" s="137">
        <v>4800</v>
      </c>
      <c r="V236" s="137">
        <v>2300</v>
      </c>
      <c r="W236" s="137">
        <v>200</v>
      </c>
      <c r="X236" s="137">
        <v>200</v>
      </c>
    </row>
    <row r="237" spans="1:24">
      <c r="A237" s="132">
        <v>2006</v>
      </c>
      <c r="B237" s="137">
        <v>287500</v>
      </c>
      <c r="C237" s="131"/>
      <c r="D237" s="137">
        <v>279200</v>
      </c>
      <c r="E237" s="137">
        <v>136200</v>
      </c>
      <c r="F237" s="137">
        <v>6800</v>
      </c>
      <c r="G237" s="137">
        <v>7500</v>
      </c>
      <c r="H237" s="137">
        <v>7900</v>
      </c>
      <c r="I237" s="137">
        <v>100</v>
      </c>
      <c r="J237" s="137">
        <v>2200</v>
      </c>
      <c r="K237" s="137">
        <v>30200</v>
      </c>
      <c r="L237" s="137">
        <v>36800</v>
      </c>
      <c r="M237" s="137">
        <v>3300</v>
      </c>
      <c r="N237" s="137">
        <v>8100</v>
      </c>
      <c r="O237" s="137">
        <v>8300</v>
      </c>
      <c r="P237" s="137">
        <v>2700</v>
      </c>
      <c r="Q237" s="137">
        <v>11800</v>
      </c>
      <c r="R237" s="137">
        <v>17100</v>
      </c>
      <c r="S237" s="131"/>
      <c r="T237" s="137">
        <v>8300</v>
      </c>
      <c r="U237" s="137">
        <v>5200</v>
      </c>
      <c r="V237" s="137">
        <v>2700</v>
      </c>
      <c r="W237" s="137">
        <v>200</v>
      </c>
      <c r="X237" s="137">
        <v>200</v>
      </c>
    </row>
    <row r="238" spans="1:24">
      <c r="A238" s="132">
        <v>2007</v>
      </c>
      <c r="B238" s="137">
        <v>298600</v>
      </c>
      <c r="C238" s="131"/>
      <c r="D238" s="137">
        <v>289800</v>
      </c>
      <c r="E238" s="137">
        <v>140400</v>
      </c>
      <c r="F238" s="137">
        <v>7000</v>
      </c>
      <c r="G238" s="137">
        <v>7100</v>
      </c>
      <c r="H238" s="137">
        <v>8100</v>
      </c>
      <c r="I238" s="137">
        <v>100</v>
      </c>
      <c r="J238" s="137">
        <v>1900</v>
      </c>
      <c r="K238" s="137">
        <v>29600</v>
      </c>
      <c r="L238" s="137">
        <v>41400</v>
      </c>
      <c r="M238" s="137">
        <v>3600</v>
      </c>
      <c r="N238" s="137">
        <v>9400</v>
      </c>
      <c r="O238" s="137">
        <v>9700</v>
      </c>
      <c r="P238" s="137">
        <v>2700</v>
      </c>
      <c r="Q238" s="137">
        <v>10200</v>
      </c>
      <c r="R238" s="137">
        <v>18500</v>
      </c>
      <c r="S238" s="131"/>
      <c r="T238" s="137">
        <v>8800</v>
      </c>
      <c r="U238" s="137">
        <v>5600</v>
      </c>
      <c r="V238" s="137">
        <v>2900</v>
      </c>
      <c r="W238" s="137">
        <v>200</v>
      </c>
      <c r="X238" s="137">
        <v>100</v>
      </c>
    </row>
    <row r="239" spans="1:24">
      <c r="A239" s="132">
        <v>2008</v>
      </c>
      <c r="B239" s="137">
        <v>270600</v>
      </c>
      <c r="C239" s="131"/>
      <c r="D239" s="137">
        <v>262000</v>
      </c>
      <c r="E239" s="137">
        <v>141400</v>
      </c>
      <c r="F239" s="137">
        <v>7200</v>
      </c>
      <c r="G239" s="137">
        <v>7400</v>
      </c>
      <c r="H239" s="137">
        <v>8300</v>
      </c>
      <c r="I239" s="137">
        <v>100</v>
      </c>
      <c r="J239" s="137">
        <v>1200</v>
      </c>
      <c r="K239" s="137">
        <v>28600</v>
      </c>
      <c r="L239" s="137">
        <v>21100</v>
      </c>
      <c r="M239" s="137">
        <v>3400</v>
      </c>
      <c r="N239" s="137">
        <v>7200</v>
      </c>
      <c r="O239" s="137">
        <v>8400</v>
      </c>
      <c r="P239" s="137">
        <v>3200</v>
      </c>
      <c r="Q239" s="137">
        <v>6000</v>
      </c>
      <c r="R239" s="137">
        <v>18500</v>
      </c>
      <c r="S239" s="131"/>
      <c r="T239" s="137">
        <v>8600</v>
      </c>
      <c r="U239" s="137">
        <v>5300</v>
      </c>
      <c r="V239" s="137">
        <v>2800</v>
      </c>
      <c r="W239" s="137">
        <v>300</v>
      </c>
      <c r="X239" s="137">
        <v>100</v>
      </c>
    </row>
    <row r="240" spans="1:24">
      <c r="A240" s="132">
        <v>2009</v>
      </c>
      <c r="B240" s="137">
        <v>245100</v>
      </c>
      <c r="C240" s="131"/>
      <c r="D240" s="137">
        <v>235000</v>
      </c>
      <c r="E240" s="137">
        <v>135400</v>
      </c>
      <c r="F240" s="137">
        <v>6900</v>
      </c>
      <c r="G240" s="137">
        <v>7600</v>
      </c>
      <c r="H240" s="137">
        <v>8200</v>
      </c>
      <c r="I240" s="137">
        <v>100</v>
      </c>
      <c r="J240" s="137">
        <v>900</v>
      </c>
      <c r="K240" s="137">
        <v>26300</v>
      </c>
      <c r="L240" s="137">
        <v>10500</v>
      </c>
      <c r="M240" s="137">
        <v>3000</v>
      </c>
      <c r="N240" s="137">
        <v>5200</v>
      </c>
      <c r="O240" s="137">
        <v>6000</v>
      </c>
      <c r="P240" s="137">
        <v>2600</v>
      </c>
      <c r="Q240" s="137">
        <v>4500</v>
      </c>
      <c r="R240" s="137">
        <v>17900</v>
      </c>
      <c r="S240" s="131"/>
      <c r="T240" s="137">
        <v>10100</v>
      </c>
      <c r="U240" s="137">
        <v>6100</v>
      </c>
      <c r="V240" s="137">
        <v>3100</v>
      </c>
      <c r="W240" s="137">
        <v>800</v>
      </c>
      <c r="X240" s="137">
        <v>100</v>
      </c>
    </row>
    <row r="241" spans="1:24">
      <c r="A241" s="132">
        <v>2010</v>
      </c>
      <c r="B241" s="137">
        <v>256400</v>
      </c>
      <c r="C241" s="131"/>
      <c r="D241" s="137">
        <v>246500</v>
      </c>
      <c r="E241" s="137">
        <v>135900</v>
      </c>
      <c r="F241" s="137">
        <v>6800</v>
      </c>
      <c r="G241" s="137">
        <v>7400</v>
      </c>
      <c r="H241" s="137">
        <v>8100</v>
      </c>
      <c r="I241" s="137">
        <v>100</v>
      </c>
      <c r="J241" s="137">
        <v>1300</v>
      </c>
      <c r="K241" s="137">
        <v>26700</v>
      </c>
      <c r="L241" s="137">
        <v>16000</v>
      </c>
      <c r="M241" s="137">
        <v>3000</v>
      </c>
      <c r="N241" s="137">
        <v>4400</v>
      </c>
      <c r="O241" s="137">
        <v>6800</v>
      </c>
      <c r="P241" s="137">
        <v>2700</v>
      </c>
      <c r="Q241" s="137">
        <v>6400</v>
      </c>
      <c r="R241" s="137">
        <v>20900</v>
      </c>
      <c r="S241" s="131"/>
      <c r="T241" s="137">
        <v>9900</v>
      </c>
      <c r="U241" s="137">
        <v>5900</v>
      </c>
      <c r="V241" s="137">
        <v>3100</v>
      </c>
      <c r="W241" s="137">
        <v>800</v>
      </c>
      <c r="X241" s="137">
        <v>100</v>
      </c>
    </row>
    <row r="242" spans="1:24">
      <c r="A242" s="132">
        <v>2011</v>
      </c>
      <c r="B242" s="137">
        <v>259000</v>
      </c>
      <c r="C242" s="131"/>
      <c r="D242" s="137">
        <v>249300</v>
      </c>
      <c r="E242" s="137">
        <v>138100</v>
      </c>
      <c r="F242" s="137">
        <v>6900</v>
      </c>
      <c r="G242" s="137">
        <v>7400</v>
      </c>
      <c r="H242" s="137">
        <v>8100</v>
      </c>
      <c r="I242" s="137">
        <v>100</v>
      </c>
      <c r="J242" s="137">
        <v>1300</v>
      </c>
      <c r="K242" s="137">
        <v>27500</v>
      </c>
      <c r="L242" s="137">
        <v>15800</v>
      </c>
      <c r="M242" s="137">
        <v>2900</v>
      </c>
      <c r="N242" s="137">
        <v>3700</v>
      </c>
      <c r="O242" s="137">
        <v>6800</v>
      </c>
      <c r="P242" s="137">
        <v>2900</v>
      </c>
      <c r="Q242" s="137">
        <v>6300</v>
      </c>
      <c r="R242" s="137">
        <v>21500</v>
      </c>
      <c r="S242" s="131"/>
      <c r="T242" s="137">
        <v>9600</v>
      </c>
      <c r="U242" s="137">
        <v>5900</v>
      </c>
      <c r="V242" s="137">
        <v>3000</v>
      </c>
      <c r="W242" s="137">
        <v>600</v>
      </c>
      <c r="X242" s="137">
        <v>100</v>
      </c>
    </row>
    <row r="243" spans="1:24">
      <c r="A243" s="132">
        <v>2012</v>
      </c>
      <c r="B243" s="137">
        <v>279600</v>
      </c>
      <c r="C243" s="131"/>
      <c r="D243" s="137">
        <v>269600</v>
      </c>
      <c r="E243" s="137">
        <v>140300</v>
      </c>
      <c r="F243" s="137">
        <v>7000</v>
      </c>
      <c r="G243" s="137">
        <v>7100</v>
      </c>
      <c r="H243" s="137">
        <v>8200</v>
      </c>
      <c r="I243" s="137">
        <v>100</v>
      </c>
      <c r="J243" s="137">
        <v>1500</v>
      </c>
      <c r="K243" s="137">
        <v>31200</v>
      </c>
      <c r="L243" s="137">
        <v>25600</v>
      </c>
      <c r="M243" s="137">
        <v>2700</v>
      </c>
      <c r="N243" s="137">
        <v>3600</v>
      </c>
      <c r="O243" s="137">
        <v>9400</v>
      </c>
      <c r="P243" s="137">
        <v>3200</v>
      </c>
      <c r="Q243" s="137">
        <v>7800</v>
      </c>
      <c r="R243" s="137">
        <v>22100</v>
      </c>
      <c r="S243" s="131"/>
      <c r="T243" s="137">
        <v>10000</v>
      </c>
      <c r="U243" s="137">
        <v>6200</v>
      </c>
      <c r="V243" s="137">
        <v>3300</v>
      </c>
      <c r="W243" s="137">
        <v>500</v>
      </c>
      <c r="X243" s="137">
        <v>100</v>
      </c>
    </row>
    <row r="244" spans="1:24">
      <c r="A244" s="132">
        <v>2013</v>
      </c>
      <c r="B244" s="137">
        <v>269700</v>
      </c>
      <c r="C244" s="131"/>
      <c r="D244" s="137">
        <v>259400</v>
      </c>
      <c r="E244" s="137">
        <v>139900</v>
      </c>
      <c r="F244" s="137">
        <v>7200</v>
      </c>
      <c r="G244" s="137">
        <v>7000</v>
      </c>
      <c r="H244" s="137">
        <v>8300</v>
      </c>
      <c r="I244" s="137">
        <v>100</v>
      </c>
      <c r="J244" s="137">
        <v>1600</v>
      </c>
      <c r="K244" s="137">
        <v>30300</v>
      </c>
      <c r="L244" s="137">
        <v>19200</v>
      </c>
      <c r="M244" s="137">
        <v>2600</v>
      </c>
      <c r="N244" s="137">
        <v>3200</v>
      </c>
      <c r="O244" s="137">
        <v>7500</v>
      </c>
      <c r="P244" s="137">
        <v>3300</v>
      </c>
      <c r="Q244" s="137">
        <v>8100</v>
      </c>
      <c r="R244" s="137">
        <v>21400</v>
      </c>
      <c r="S244" s="131"/>
      <c r="T244" s="137">
        <v>10300</v>
      </c>
      <c r="U244" s="137">
        <v>6500</v>
      </c>
      <c r="V244" s="137">
        <v>3300</v>
      </c>
      <c r="W244" s="137">
        <v>300</v>
      </c>
      <c r="X244" s="137">
        <v>200</v>
      </c>
    </row>
    <row r="245" spans="1:24">
      <c r="A245" s="132">
        <v>2014</v>
      </c>
      <c r="B245" s="137">
        <v>285100</v>
      </c>
      <c r="C245" s="131"/>
      <c r="D245" s="137">
        <v>274400</v>
      </c>
      <c r="E245" s="137">
        <v>143000</v>
      </c>
      <c r="F245" s="137">
        <v>7300</v>
      </c>
      <c r="G245" s="137">
        <v>6800</v>
      </c>
      <c r="H245" s="137">
        <v>8400</v>
      </c>
      <c r="I245" s="137">
        <v>100</v>
      </c>
      <c r="J245" s="137">
        <v>1800</v>
      </c>
      <c r="K245" s="137">
        <v>31600</v>
      </c>
      <c r="L245" s="137">
        <v>26500</v>
      </c>
      <c r="M245" s="137">
        <v>2300</v>
      </c>
      <c r="N245" s="137">
        <v>3000</v>
      </c>
      <c r="O245" s="137">
        <v>8800</v>
      </c>
      <c r="P245" s="137">
        <v>3500</v>
      </c>
      <c r="Q245" s="137">
        <v>9000</v>
      </c>
      <c r="R245" s="137">
        <v>22400</v>
      </c>
      <c r="S245" s="131"/>
      <c r="T245" s="137">
        <v>10700</v>
      </c>
      <c r="U245" s="137">
        <v>6800</v>
      </c>
      <c r="V245" s="137">
        <v>3500</v>
      </c>
      <c r="W245" s="137">
        <v>200</v>
      </c>
      <c r="X245" s="137">
        <v>100</v>
      </c>
    </row>
    <row r="246" spans="1:24">
      <c r="A246" s="132">
        <v>2015</v>
      </c>
      <c r="B246" s="137">
        <v>295100</v>
      </c>
      <c r="C246" s="131"/>
      <c r="D246" s="137">
        <v>284300</v>
      </c>
      <c r="E246" s="137">
        <v>149400</v>
      </c>
      <c r="F246" s="137">
        <v>7700</v>
      </c>
      <c r="G246" s="137">
        <v>7000</v>
      </c>
      <c r="H246" s="137">
        <v>8800</v>
      </c>
      <c r="I246" s="137">
        <v>100</v>
      </c>
      <c r="J246" s="137">
        <v>1700</v>
      </c>
      <c r="K246" s="137">
        <v>33700</v>
      </c>
      <c r="L246" s="137">
        <v>26900</v>
      </c>
      <c r="M246" s="137">
        <v>2200</v>
      </c>
      <c r="N246" s="137">
        <v>3000</v>
      </c>
      <c r="O246" s="137">
        <v>8900</v>
      </c>
      <c r="P246" s="137">
        <v>3100</v>
      </c>
      <c r="Q246" s="137">
        <v>8700</v>
      </c>
      <c r="R246" s="137">
        <v>23200</v>
      </c>
      <c r="S246" s="131"/>
      <c r="T246" s="137">
        <v>10700</v>
      </c>
      <c r="U246" s="137">
        <v>6800</v>
      </c>
      <c r="V246" s="137">
        <v>3600</v>
      </c>
      <c r="W246" s="137">
        <v>200</v>
      </c>
      <c r="X246" s="137">
        <v>200</v>
      </c>
    </row>
    <row r="247" spans="1:24">
      <c r="A247" s="132">
        <v>2016</v>
      </c>
      <c r="B247" s="137">
        <v>291200</v>
      </c>
      <c r="C247" s="131"/>
      <c r="D247" s="137">
        <v>280300</v>
      </c>
      <c r="E247" s="137">
        <v>150000</v>
      </c>
      <c r="F247" s="137">
        <v>7800</v>
      </c>
      <c r="G247" s="137">
        <v>7200</v>
      </c>
      <c r="H247" s="137">
        <v>8800</v>
      </c>
      <c r="I247" s="137">
        <v>100</v>
      </c>
      <c r="J247" s="137">
        <v>1700</v>
      </c>
      <c r="K247" s="137">
        <v>33100</v>
      </c>
      <c r="L247" s="137">
        <v>23600</v>
      </c>
      <c r="M247" s="137">
        <v>2200</v>
      </c>
      <c r="N247" s="137">
        <v>3000</v>
      </c>
      <c r="O247" s="137">
        <v>8500</v>
      </c>
      <c r="P247" s="137">
        <v>2900</v>
      </c>
      <c r="Q247" s="137">
        <v>8600</v>
      </c>
      <c r="R247" s="137">
        <v>22900</v>
      </c>
      <c r="S247" s="131"/>
      <c r="T247" s="137">
        <v>10900</v>
      </c>
      <c r="U247" s="137">
        <v>6900</v>
      </c>
      <c r="V247" s="137">
        <v>3600</v>
      </c>
      <c r="W247" s="137">
        <v>200</v>
      </c>
      <c r="X247" s="137">
        <v>200</v>
      </c>
    </row>
    <row r="249" spans="1:24">
      <c r="A249" s="131"/>
      <c r="B249" s="774" t="s">
        <v>10</v>
      </c>
      <c r="C249" s="774"/>
      <c r="D249" s="774"/>
      <c r="E249" s="774"/>
      <c r="F249" s="774"/>
      <c r="G249" s="774"/>
      <c r="H249" s="774"/>
      <c r="I249" s="774"/>
      <c r="J249" s="774"/>
      <c r="K249" s="774"/>
      <c r="L249" s="774"/>
      <c r="M249" s="774"/>
      <c r="N249" s="774"/>
      <c r="O249" s="774"/>
      <c r="P249" s="774"/>
      <c r="Q249" s="774"/>
      <c r="R249" s="774"/>
      <c r="S249" s="774"/>
      <c r="T249" s="774"/>
      <c r="U249" s="774"/>
      <c r="V249" s="774"/>
      <c r="W249" s="774"/>
      <c r="X249" s="774"/>
    </row>
    <row r="250" spans="1:24">
      <c r="A250" s="132">
        <v>1979</v>
      </c>
      <c r="B250" s="137">
        <v>100500</v>
      </c>
      <c r="C250" s="131"/>
      <c r="D250" s="137">
        <v>97300</v>
      </c>
      <c r="E250" s="137">
        <v>73500</v>
      </c>
      <c r="F250" s="137">
        <v>0</v>
      </c>
      <c r="G250" s="137">
        <v>3100</v>
      </c>
      <c r="H250" s="137">
        <v>3700</v>
      </c>
      <c r="I250" s="137">
        <v>200</v>
      </c>
      <c r="J250" s="137">
        <v>1000</v>
      </c>
      <c r="K250" s="137">
        <v>3800</v>
      </c>
      <c r="L250" s="137">
        <v>1500</v>
      </c>
      <c r="M250" s="137">
        <v>100</v>
      </c>
      <c r="N250" s="137">
        <v>3900</v>
      </c>
      <c r="O250" s="137">
        <v>1000</v>
      </c>
      <c r="P250" s="137">
        <v>600</v>
      </c>
      <c r="Q250" s="137">
        <v>1700</v>
      </c>
      <c r="R250" s="137">
        <v>3300</v>
      </c>
      <c r="S250" s="131"/>
      <c r="T250" s="137">
        <v>3200</v>
      </c>
      <c r="U250" s="137">
        <v>2200</v>
      </c>
      <c r="V250" s="137">
        <v>500</v>
      </c>
      <c r="W250" s="137">
        <v>300</v>
      </c>
      <c r="X250" s="137">
        <v>100</v>
      </c>
    </row>
    <row r="251" spans="1:24">
      <c r="A251" s="132">
        <v>1980</v>
      </c>
      <c r="B251" s="137">
        <v>98300</v>
      </c>
      <c r="C251" s="131"/>
      <c r="D251" s="137">
        <v>94700</v>
      </c>
      <c r="E251" s="137">
        <v>71500</v>
      </c>
      <c r="F251" s="137">
        <v>0</v>
      </c>
      <c r="G251" s="137">
        <v>2600</v>
      </c>
      <c r="H251" s="137">
        <v>3700</v>
      </c>
      <c r="I251" s="137">
        <v>200</v>
      </c>
      <c r="J251" s="137">
        <v>800</v>
      </c>
      <c r="K251" s="137">
        <v>3300</v>
      </c>
      <c r="L251" s="137">
        <v>1300</v>
      </c>
      <c r="M251" s="137">
        <v>100</v>
      </c>
      <c r="N251" s="137">
        <v>4700</v>
      </c>
      <c r="O251" s="137">
        <v>1000</v>
      </c>
      <c r="P251" s="137">
        <v>600</v>
      </c>
      <c r="Q251" s="137">
        <v>1400</v>
      </c>
      <c r="R251" s="137">
        <v>3500</v>
      </c>
      <c r="S251" s="131"/>
      <c r="T251" s="137">
        <v>3600</v>
      </c>
      <c r="U251" s="137">
        <v>2300</v>
      </c>
      <c r="V251" s="137">
        <v>600</v>
      </c>
      <c r="W251" s="137">
        <v>500</v>
      </c>
      <c r="X251" s="137">
        <v>100</v>
      </c>
    </row>
    <row r="252" spans="1:24">
      <c r="A252" s="132">
        <v>1981</v>
      </c>
      <c r="B252" s="137">
        <v>98100</v>
      </c>
      <c r="C252" s="131"/>
      <c r="D252" s="137">
        <v>94300</v>
      </c>
      <c r="E252" s="137">
        <v>70800</v>
      </c>
      <c r="F252" s="137">
        <v>0</v>
      </c>
      <c r="G252" s="137">
        <v>2700</v>
      </c>
      <c r="H252" s="137">
        <v>4000</v>
      </c>
      <c r="I252" s="137">
        <v>200</v>
      </c>
      <c r="J252" s="137">
        <v>600</v>
      </c>
      <c r="K252" s="137">
        <v>2700</v>
      </c>
      <c r="L252" s="137">
        <v>1000</v>
      </c>
      <c r="M252" s="137">
        <v>100</v>
      </c>
      <c r="N252" s="137">
        <v>5700</v>
      </c>
      <c r="O252" s="137">
        <v>1200</v>
      </c>
      <c r="P252" s="137">
        <v>600</v>
      </c>
      <c r="Q252" s="137">
        <v>1100</v>
      </c>
      <c r="R252" s="137">
        <v>3700</v>
      </c>
      <c r="S252" s="131"/>
      <c r="T252" s="137">
        <v>3900</v>
      </c>
      <c r="U252" s="137">
        <v>2700</v>
      </c>
      <c r="V252" s="137">
        <v>700</v>
      </c>
      <c r="W252" s="137">
        <v>300</v>
      </c>
      <c r="X252" s="137">
        <v>100</v>
      </c>
    </row>
    <row r="253" spans="1:24">
      <c r="A253" s="132">
        <v>1982</v>
      </c>
      <c r="B253" s="137">
        <v>98000</v>
      </c>
      <c r="C253" s="131"/>
      <c r="D253" s="137">
        <v>93400</v>
      </c>
      <c r="E253" s="137">
        <v>69800</v>
      </c>
      <c r="F253" s="137">
        <v>0</v>
      </c>
      <c r="G253" s="137">
        <v>2900</v>
      </c>
      <c r="H253" s="137">
        <v>4000</v>
      </c>
      <c r="I253" s="137">
        <v>200</v>
      </c>
      <c r="J253" s="137">
        <v>400</v>
      </c>
      <c r="K253" s="137">
        <v>2200</v>
      </c>
      <c r="L253" s="137">
        <v>1000</v>
      </c>
      <c r="M253" s="137">
        <v>100</v>
      </c>
      <c r="N253" s="137">
        <v>6100</v>
      </c>
      <c r="O253" s="137">
        <v>1400</v>
      </c>
      <c r="P253" s="137">
        <v>800</v>
      </c>
      <c r="Q253" s="137">
        <v>700</v>
      </c>
      <c r="R253" s="137">
        <v>3800</v>
      </c>
      <c r="S253" s="131"/>
      <c r="T253" s="137">
        <v>4700</v>
      </c>
      <c r="U253" s="137">
        <v>3100</v>
      </c>
      <c r="V253" s="137">
        <v>900</v>
      </c>
      <c r="W253" s="137">
        <v>500</v>
      </c>
      <c r="X253" s="137">
        <v>200</v>
      </c>
    </row>
    <row r="254" spans="1:24">
      <c r="A254" s="132">
        <v>1983</v>
      </c>
      <c r="B254" s="137">
        <v>99200</v>
      </c>
      <c r="C254" s="131"/>
      <c r="D254" s="137">
        <v>94200</v>
      </c>
      <c r="E254" s="137">
        <v>70000</v>
      </c>
      <c r="F254" s="137">
        <v>0</v>
      </c>
      <c r="G254" s="137">
        <v>3000</v>
      </c>
      <c r="H254" s="137">
        <v>4100</v>
      </c>
      <c r="I254" s="137">
        <v>200</v>
      </c>
      <c r="J254" s="137">
        <v>500</v>
      </c>
      <c r="K254" s="137">
        <v>2500</v>
      </c>
      <c r="L254" s="137">
        <v>1200</v>
      </c>
      <c r="M254" s="137">
        <v>100</v>
      </c>
      <c r="N254" s="137">
        <v>5800</v>
      </c>
      <c r="O254" s="137">
        <v>1200</v>
      </c>
      <c r="P254" s="137">
        <v>600</v>
      </c>
      <c r="Q254" s="137">
        <v>900</v>
      </c>
      <c r="R254" s="137">
        <v>4100</v>
      </c>
      <c r="S254" s="131"/>
      <c r="T254" s="137">
        <v>5000</v>
      </c>
      <c r="U254" s="137">
        <v>3400</v>
      </c>
      <c r="V254" s="137">
        <v>1000</v>
      </c>
      <c r="W254" s="137">
        <v>400</v>
      </c>
      <c r="X254" s="137">
        <v>100</v>
      </c>
    </row>
    <row r="255" spans="1:24">
      <c r="A255" s="132">
        <v>1984</v>
      </c>
      <c r="B255" s="137">
        <v>106000</v>
      </c>
      <c r="C255" s="131"/>
      <c r="D255" s="137">
        <v>101100</v>
      </c>
      <c r="E255" s="137">
        <v>73900</v>
      </c>
      <c r="F255" s="137">
        <v>500</v>
      </c>
      <c r="G255" s="137">
        <v>3000</v>
      </c>
      <c r="H255" s="137">
        <v>4500</v>
      </c>
      <c r="I255" s="137">
        <v>200</v>
      </c>
      <c r="J255" s="137">
        <v>600</v>
      </c>
      <c r="K255" s="137">
        <v>3400</v>
      </c>
      <c r="L255" s="137">
        <v>1300</v>
      </c>
      <c r="M255" s="137">
        <v>200</v>
      </c>
      <c r="N255" s="137">
        <v>6300</v>
      </c>
      <c r="O255" s="137">
        <v>1200</v>
      </c>
      <c r="P255" s="137">
        <v>600</v>
      </c>
      <c r="Q255" s="137">
        <v>1000</v>
      </c>
      <c r="R255" s="137">
        <v>4400</v>
      </c>
      <c r="S255" s="131"/>
      <c r="T255" s="137">
        <v>4900</v>
      </c>
      <c r="U255" s="137">
        <v>3400</v>
      </c>
      <c r="V255" s="137">
        <v>1100</v>
      </c>
      <c r="W255" s="137">
        <v>300</v>
      </c>
      <c r="X255" s="137">
        <v>100</v>
      </c>
    </row>
    <row r="256" spans="1:24">
      <c r="A256" s="132">
        <v>1985</v>
      </c>
      <c r="B256" s="137">
        <v>104900</v>
      </c>
      <c r="C256" s="131"/>
      <c r="D256" s="137">
        <v>100000</v>
      </c>
      <c r="E256" s="137">
        <v>73200</v>
      </c>
      <c r="F256" s="137">
        <v>800</v>
      </c>
      <c r="G256" s="137">
        <v>3100</v>
      </c>
      <c r="H256" s="137">
        <v>4600</v>
      </c>
      <c r="I256" s="137">
        <v>200</v>
      </c>
      <c r="J256" s="137">
        <v>600</v>
      </c>
      <c r="K256" s="137">
        <v>2700</v>
      </c>
      <c r="L256" s="137">
        <v>1400</v>
      </c>
      <c r="M256" s="137">
        <v>200</v>
      </c>
      <c r="N256" s="137">
        <v>5600</v>
      </c>
      <c r="O256" s="137">
        <v>1300</v>
      </c>
      <c r="P256" s="137">
        <v>600</v>
      </c>
      <c r="Q256" s="137">
        <v>900</v>
      </c>
      <c r="R256" s="137">
        <v>4800</v>
      </c>
      <c r="S256" s="131"/>
      <c r="T256" s="137">
        <v>4900</v>
      </c>
      <c r="U256" s="137">
        <v>3400</v>
      </c>
      <c r="V256" s="137">
        <v>1100</v>
      </c>
      <c r="W256" s="137">
        <v>300</v>
      </c>
      <c r="X256" s="137">
        <v>200</v>
      </c>
    </row>
    <row r="257" spans="1:24">
      <c r="A257" s="132">
        <v>1986</v>
      </c>
      <c r="B257" s="137">
        <v>109900</v>
      </c>
      <c r="C257" s="131"/>
      <c r="D257" s="137">
        <v>105000</v>
      </c>
      <c r="E257" s="137">
        <v>76100</v>
      </c>
      <c r="F257" s="137">
        <v>900</v>
      </c>
      <c r="G257" s="137">
        <v>3200</v>
      </c>
      <c r="H257" s="137">
        <v>4900</v>
      </c>
      <c r="I257" s="137">
        <v>200</v>
      </c>
      <c r="J257" s="137">
        <v>600</v>
      </c>
      <c r="K257" s="137">
        <v>3500</v>
      </c>
      <c r="L257" s="137">
        <v>2400</v>
      </c>
      <c r="M257" s="137">
        <v>200</v>
      </c>
      <c r="N257" s="137">
        <v>5200</v>
      </c>
      <c r="O257" s="137">
        <v>1300</v>
      </c>
      <c r="P257" s="137">
        <v>500</v>
      </c>
      <c r="Q257" s="137">
        <v>900</v>
      </c>
      <c r="R257" s="137">
        <v>4900</v>
      </c>
      <c r="S257" s="131"/>
      <c r="T257" s="137">
        <v>4900</v>
      </c>
      <c r="U257" s="137">
        <v>3200</v>
      </c>
      <c r="V257" s="137">
        <v>1100</v>
      </c>
      <c r="W257" s="137">
        <v>300</v>
      </c>
      <c r="X257" s="137">
        <v>200</v>
      </c>
    </row>
    <row r="258" spans="1:24">
      <c r="A258" s="132">
        <v>1987</v>
      </c>
      <c r="B258" s="137">
        <v>110900</v>
      </c>
      <c r="C258" s="131"/>
      <c r="D258" s="137">
        <v>106600</v>
      </c>
      <c r="E258" s="137">
        <v>77400</v>
      </c>
      <c r="F258" s="137">
        <v>1100</v>
      </c>
      <c r="G258" s="137">
        <v>3600</v>
      </c>
      <c r="H258" s="137">
        <v>5000</v>
      </c>
      <c r="I258" s="137">
        <v>200</v>
      </c>
      <c r="J258" s="137">
        <v>800</v>
      </c>
      <c r="K258" s="137">
        <v>3500</v>
      </c>
      <c r="L258" s="137">
        <v>1400</v>
      </c>
      <c r="M258" s="137">
        <v>300</v>
      </c>
      <c r="N258" s="137">
        <v>4700</v>
      </c>
      <c r="O258" s="137">
        <v>1600</v>
      </c>
      <c r="P258" s="137">
        <v>500</v>
      </c>
      <c r="Q258" s="137">
        <v>1300</v>
      </c>
      <c r="R258" s="137">
        <v>5200</v>
      </c>
      <c r="S258" s="131"/>
      <c r="T258" s="137">
        <v>4300</v>
      </c>
      <c r="U258" s="137">
        <v>2900</v>
      </c>
      <c r="V258" s="137">
        <v>1000</v>
      </c>
      <c r="W258" s="137">
        <v>200</v>
      </c>
      <c r="X258" s="137">
        <v>200</v>
      </c>
    </row>
    <row r="259" spans="1:24">
      <c r="A259" s="132">
        <v>1988</v>
      </c>
      <c r="B259" s="137">
        <v>112400</v>
      </c>
      <c r="C259" s="131"/>
      <c r="D259" s="137">
        <v>107700</v>
      </c>
      <c r="E259" s="137">
        <v>77400</v>
      </c>
      <c r="F259" s="137">
        <v>1200</v>
      </c>
      <c r="G259" s="137">
        <v>3900</v>
      </c>
      <c r="H259" s="137">
        <v>5200</v>
      </c>
      <c r="I259" s="137">
        <v>200</v>
      </c>
      <c r="J259" s="137">
        <v>800</v>
      </c>
      <c r="K259" s="137">
        <v>3500</v>
      </c>
      <c r="L259" s="137">
        <v>1100</v>
      </c>
      <c r="M259" s="137">
        <v>400</v>
      </c>
      <c r="N259" s="137">
        <v>4800</v>
      </c>
      <c r="O259" s="137">
        <v>1500</v>
      </c>
      <c r="P259" s="137">
        <v>500</v>
      </c>
      <c r="Q259" s="137">
        <v>1200</v>
      </c>
      <c r="R259" s="137">
        <v>6000</v>
      </c>
      <c r="S259" s="131"/>
      <c r="T259" s="137">
        <v>4600</v>
      </c>
      <c r="U259" s="137">
        <v>3100</v>
      </c>
      <c r="V259" s="137">
        <v>1000</v>
      </c>
      <c r="W259" s="137">
        <v>200</v>
      </c>
      <c r="X259" s="137">
        <v>300</v>
      </c>
    </row>
    <row r="260" spans="1:24">
      <c r="A260" s="132">
        <v>1989</v>
      </c>
      <c r="B260" s="137">
        <v>114100</v>
      </c>
      <c r="C260" s="131"/>
      <c r="D260" s="137">
        <v>109300</v>
      </c>
      <c r="E260" s="137">
        <v>77200</v>
      </c>
      <c r="F260" s="137">
        <v>1400</v>
      </c>
      <c r="G260" s="137">
        <v>3900</v>
      </c>
      <c r="H260" s="137">
        <v>5200</v>
      </c>
      <c r="I260" s="137">
        <v>200</v>
      </c>
      <c r="J260" s="137">
        <v>800</v>
      </c>
      <c r="K260" s="137">
        <v>3900</v>
      </c>
      <c r="L260" s="137">
        <v>1300</v>
      </c>
      <c r="M260" s="137">
        <v>400</v>
      </c>
      <c r="N260" s="137">
        <v>5500</v>
      </c>
      <c r="O260" s="137">
        <v>1500</v>
      </c>
      <c r="P260" s="137">
        <v>600</v>
      </c>
      <c r="Q260" s="137">
        <v>1300</v>
      </c>
      <c r="R260" s="137">
        <v>6300</v>
      </c>
      <c r="S260" s="131"/>
      <c r="T260" s="137">
        <v>4900</v>
      </c>
      <c r="U260" s="137">
        <v>3300</v>
      </c>
      <c r="V260" s="137">
        <v>1100</v>
      </c>
      <c r="W260" s="137">
        <v>200</v>
      </c>
      <c r="X260" s="137">
        <v>300</v>
      </c>
    </row>
    <row r="261" spans="1:24">
      <c r="A261" s="132">
        <v>1990</v>
      </c>
      <c r="B261" s="137">
        <v>112700</v>
      </c>
      <c r="C261" s="131"/>
      <c r="D261" s="137">
        <v>107800</v>
      </c>
      <c r="E261" s="137">
        <v>76600</v>
      </c>
      <c r="F261" s="137">
        <v>1400</v>
      </c>
      <c r="G261" s="137">
        <v>4000</v>
      </c>
      <c r="H261" s="137">
        <v>5300</v>
      </c>
      <c r="I261" s="137">
        <v>100</v>
      </c>
      <c r="J261" s="137">
        <v>700</v>
      </c>
      <c r="K261" s="137">
        <v>3500</v>
      </c>
      <c r="L261" s="137">
        <v>900</v>
      </c>
      <c r="M261" s="137">
        <v>400</v>
      </c>
      <c r="N261" s="137">
        <v>5200</v>
      </c>
      <c r="O261" s="137">
        <v>1400</v>
      </c>
      <c r="P261" s="137">
        <v>500</v>
      </c>
      <c r="Q261" s="137">
        <v>1200</v>
      </c>
      <c r="R261" s="137">
        <v>6500</v>
      </c>
      <c r="S261" s="131"/>
      <c r="T261" s="137">
        <v>4900</v>
      </c>
      <c r="U261" s="137">
        <v>3200</v>
      </c>
      <c r="V261" s="137">
        <v>1200</v>
      </c>
      <c r="W261" s="137">
        <v>300</v>
      </c>
      <c r="X261" s="137">
        <v>200</v>
      </c>
    </row>
    <row r="262" spans="1:24">
      <c r="A262" s="132">
        <v>1991</v>
      </c>
      <c r="B262" s="137">
        <v>111000</v>
      </c>
      <c r="C262" s="131"/>
      <c r="D262" s="137">
        <v>105600</v>
      </c>
      <c r="E262" s="137">
        <v>75000</v>
      </c>
      <c r="F262" s="137">
        <v>1400</v>
      </c>
      <c r="G262" s="137">
        <v>3900</v>
      </c>
      <c r="H262" s="137">
        <v>5300</v>
      </c>
      <c r="I262" s="137">
        <v>100</v>
      </c>
      <c r="J262" s="137">
        <v>600</v>
      </c>
      <c r="K262" s="137">
        <v>3500</v>
      </c>
      <c r="L262" s="137">
        <v>900</v>
      </c>
      <c r="M262" s="137">
        <v>500</v>
      </c>
      <c r="N262" s="137">
        <v>4600</v>
      </c>
      <c r="O262" s="137">
        <v>1300</v>
      </c>
      <c r="P262" s="137">
        <v>600</v>
      </c>
      <c r="Q262" s="137">
        <v>1100</v>
      </c>
      <c r="R262" s="137">
        <v>7000</v>
      </c>
      <c r="S262" s="131"/>
      <c r="T262" s="137">
        <v>5400</v>
      </c>
      <c r="U262" s="137">
        <v>3500</v>
      </c>
      <c r="V262" s="137">
        <v>1300</v>
      </c>
      <c r="W262" s="137">
        <v>400</v>
      </c>
      <c r="X262" s="137">
        <v>300</v>
      </c>
    </row>
    <row r="263" spans="1:24">
      <c r="A263" s="132">
        <v>1992</v>
      </c>
      <c r="B263" s="137">
        <v>112300</v>
      </c>
      <c r="C263" s="131"/>
      <c r="D263" s="137">
        <v>106700</v>
      </c>
      <c r="E263" s="137">
        <v>75700</v>
      </c>
      <c r="F263" s="137">
        <v>1700</v>
      </c>
      <c r="G263" s="137">
        <v>4400</v>
      </c>
      <c r="H263" s="137">
        <v>5400</v>
      </c>
      <c r="I263" s="137">
        <v>100</v>
      </c>
      <c r="J263" s="137">
        <v>700</v>
      </c>
      <c r="K263" s="137">
        <v>3500</v>
      </c>
      <c r="L263" s="137">
        <v>1000</v>
      </c>
      <c r="M263" s="137">
        <v>500</v>
      </c>
      <c r="N263" s="137">
        <v>3200</v>
      </c>
      <c r="O263" s="137">
        <v>1300</v>
      </c>
      <c r="P263" s="137">
        <v>600</v>
      </c>
      <c r="Q263" s="137">
        <v>1100</v>
      </c>
      <c r="R263" s="137">
        <v>7400</v>
      </c>
      <c r="S263" s="131"/>
      <c r="T263" s="137">
        <v>5700</v>
      </c>
      <c r="U263" s="137">
        <v>3600</v>
      </c>
      <c r="V263" s="137">
        <v>1400</v>
      </c>
      <c r="W263" s="137">
        <v>500</v>
      </c>
      <c r="X263" s="137">
        <v>200</v>
      </c>
    </row>
    <row r="264" spans="1:24">
      <c r="A264" s="132">
        <v>1993</v>
      </c>
      <c r="B264" s="137">
        <v>113800</v>
      </c>
      <c r="C264" s="131"/>
      <c r="D264" s="137">
        <v>107800</v>
      </c>
      <c r="E264" s="137">
        <v>76200</v>
      </c>
      <c r="F264" s="137">
        <v>1800</v>
      </c>
      <c r="G264" s="137">
        <v>5000</v>
      </c>
      <c r="H264" s="137">
        <v>5400</v>
      </c>
      <c r="I264" s="137">
        <v>100</v>
      </c>
      <c r="J264" s="137">
        <v>800</v>
      </c>
      <c r="K264" s="137">
        <v>3500</v>
      </c>
      <c r="L264" s="137">
        <v>1200</v>
      </c>
      <c r="M264" s="137">
        <v>500</v>
      </c>
      <c r="N264" s="137">
        <v>2500</v>
      </c>
      <c r="O264" s="137">
        <v>1400</v>
      </c>
      <c r="P264" s="137">
        <v>600</v>
      </c>
      <c r="Q264" s="137">
        <v>1300</v>
      </c>
      <c r="R264" s="137">
        <v>7500</v>
      </c>
      <c r="S264" s="131"/>
      <c r="T264" s="137">
        <v>6000</v>
      </c>
      <c r="U264" s="137">
        <v>3800</v>
      </c>
      <c r="V264" s="137">
        <v>1500</v>
      </c>
      <c r="W264" s="137">
        <v>400</v>
      </c>
      <c r="X264" s="137">
        <v>300</v>
      </c>
    </row>
    <row r="265" spans="1:24">
      <c r="A265" s="132">
        <v>1994</v>
      </c>
      <c r="B265" s="137">
        <v>116200</v>
      </c>
      <c r="C265" s="131"/>
      <c r="D265" s="137">
        <v>110400</v>
      </c>
      <c r="E265" s="137">
        <v>78100</v>
      </c>
      <c r="F265" s="137">
        <v>2000</v>
      </c>
      <c r="G265" s="137">
        <v>5300</v>
      </c>
      <c r="H265" s="137">
        <v>5600</v>
      </c>
      <c r="I265" s="137">
        <v>100</v>
      </c>
      <c r="J265" s="137">
        <v>900</v>
      </c>
      <c r="K265" s="137">
        <v>3600</v>
      </c>
      <c r="L265" s="137">
        <v>1100</v>
      </c>
      <c r="M265" s="137">
        <v>600</v>
      </c>
      <c r="N265" s="137">
        <v>2300</v>
      </c>
      <c r="O265" s="137">
        <v>1300</v>
      </c>
      <c r="P265" s="137">
        <v>700</v>
      </c>
      <c r="Q265" s="137">
        <v>1300</v>
      </c>
      <c r="R265" s="137">
        <v>7700</v>
      </c>
      <c r="S265" s="131"/>
      <c r="T265" s="137">
        <v>5800</v>
      </c>
      <c r="U265" s="137">
        <v>3800</v>
      </c>
      <c r="V265" s="137">
        <v>1500</v>
      </c>
      <c r="W265" s="137">
        <v>300</v>
      </c>
      <c r="X265" s="137">
        <v>200</v>
      </c>
    </row>
    <row r="266" spans="1:24">
      <c r="A266" s="132">
        <v>1995</v>
      </c>
      <c r="B266" s="137">
        <v>119400</v>
      </c>
      <c r="C266" s="131"/>
      <c r="D266" s="137">
        <v>113200</v>
      </c>
      <c r="E266" s="137">
        <v>77900</v>
      </c>
      <c r="F266" s="137">
        <v>2400</v>
      </c>
      <c r="G266" s="137">
        <v>5300</v>
      </c>
      <c r="H266" s="137">
        <v>5600</v>
      </c>
      <c r="I266" s="137">
        <v>100</v>
      </c>
      <c r="J266" s="137">
        <v>1000</v>
      </c>
      <c r="K266" s="137">
        <v>3600</v>
      </c>
      <c r="L266" s="137">
        <v>1200</v>
      </c>
      <c r="M266" s="137">
        <v>600</v>
      </c>
      <c r="N266" s="137">
        <v>3100</v>
      </c>
      <c r="O266" s="137">
        <v>1500</v>
      </c>
      <c r="P266" s="137">
        <v>700</v>
      </c>
      <c r="Q266" s="137">
        <v>1600</v>
      </c>
      <c r="R266" s="137">
        <v>8500</v>
      </c>
      <c r="S266" s="131"/>
      <c r="T266" s="137">
        <v>6300</v>
      </c>
      <c r="U266" s="137">
        <v>4100</v>
      </c>
      <c r="V266" s="137">
        <v>1800</v>
      </c>
      <c r="W266" s="137">
        <v>200</v>
      </c>
      <c r="X266" s="137">
        <v>100</v>
      </c>
    </row>
    <row r="267" spans="1:24">
      <c r="A267" s="132">
        <v>1996</v>
      </c>
      <c r="B267" s="137">
        <v>122000</v>
      </c>
      <c r="C267" s="131"/>
      <c r="D267" s="137">
        <v>115400</v>
      </c>
      <c r="E267" s="137">
        <v>79000</v>
      </c>
      <c r="F267" s="137">
        <v>2800</v>
      </c>
      <c r="G267" s="137">
        <v>5100</v>
      </c>
      <c r="H267" s="137">
        <v>5700</v>
      </c>
      <c r="I267" s="137">
        <v>100</v>
      </c>
      <c r="J267" s="137">
        <v>1000</v>
      </c>
      <c r="K267" s="137">
        <v>3700</v>
      </c>
      <c r="L267" s="137">
        <v>1700</v>
      </c>
      <c r="M267" s="137">
        <v>500</v>
      </c>
      <c r="N267" s="137">
        <v>3100</v>
      </c>
      <c r="O267" s="137">
        <v>1600</v>
      </c>
      <c r="P267" s="137">
        <v>800</v>
      </c>
      <c r="Q267" s="137">
        <v>1600</v>
      </c>
      <c r="R267" s="137">
        <v>8800</v>
      </c>
      <c r="S267" s="131"/>
      <c r="T267" s="137">
        <v>6700</v>
      </c>
      <c r="U267" s="137">
        <v>4300</v>
      </c>
      <c r="V267" s="137">
        <v>1900</v>
      </c>
      <c r="W267" s="137">
        <v>300</v>
      </c>
      <c r="X267" s="137">
        <v>200</v>
      </c>
    </row>
    <row r="268" spans="1:24">
      <c r="A268" s="132">
        <v>1997</v>
      </c>
      <c r="B268" s="137">
        <v>124900</v>
      </c>
      <c r="C268" s="131"/>
      <c r="D268" s="137">
        <v>118000</v>
      </c>
      <c r="E268" s="137">
        <v>80600</v>
      </c>
      <c r="F268" s="137">
        <v>2900</v>
      </c>
      <c r="G268" s="137">
        <v>4500</v>
      </c>
      <c r="H268" s="137">
        <v>5900</v>
      </c>
      <c r="I268" s="137">
        <v>100</v>
      </c>
      <c r="J268" s="137">
        <v>1000</v>
      </c>
      <c r="K268" s="137">
        <v>4000</v>
      </c>
      <c r="L268" s="137">
        <v>2400</v>
      </c>
      <c r="M268" s="137">
        <v>500</v>
      </c>
      <c r="N268" s="137">
        <v>3100</v>
      </c>
      <c r="O268" s="137">
        <v>1800</v>
      </c>
      <c r="P268" s="137">
        <v>700</v>
      </c>
      <c r="Q268" s="137">
        <v>1600</v>
      </c>
      <c r="R268" s="137">
        <v>9000</v>
      </c>
      <c r="S268" s="131"/>
      <c r="T268" s="137">
        <v>6900</v>
      </c>
      <c r="U268" s="137">
        <v>4400</v>
      </c>
      <c r="V268" s="137">
        <v>2000</v>
      </c>
      <c r="W268" s="137">
        <v>200</v>
      </c>
      <c r="X268" s="137">
        <v>200</v>
      </c>
    </row>
    <row r="269" spans="1:24">
      <c r="A269" s="132">
        <v>1998</v>
      </c>
      <c r="B269" s="137">
        <v>130200</v>
      </c>
      <c r="C269" s="131"/>
      <c r="D269" s="137">
        <v>123500</v>
      </c>
      <c r="E269" s="137">
        <v>84600</v>
      </c>
      <c r="F269" s="137">
        <v>3200</v>
      </c>
      <c r="G269" s="137">
        <v>4400</v>
      </c>
      <c r="H269" s="137">
        <v>6200</v>
      </c>
      <c r="I269" s="137">
        <v>100</v>
      </c>
      <c r="J269" s="137">
        <v>1000</v>
      </c>
      <c r="K269" s="137">
        <v>4200</v>
      </c>
      <c r="L269" s="137">
        <v>2600</v>
      </c>
      <c r="M269" s="137">
        <v>400</v>
      </c>
      <c r="N269" s="137">
        <v>3000</v>
      </c>
      <c r="O269" s="137">
        <v>1700</v>
      </c>
      <c r="P269" s="137">
        <v>700</v>
      </c>
      <c r="Q269" s="137">
        <v>1400</v>
      </c>
      <c r="R269" s="137">
        <v>9900</v>
      </c>
      <c r="S269" s="131"/>
      <c r="T269" s="137">
        <v>6700</v>
      </c>
      <c r="U269" s="137">
        <v>4500</v>
      </c>
      <c r="V269" s="137">
        <v>1900</v>
      </c>
      <c r="W269" s="137">
        <v>200</v>
      </c>
      <c r="X269" s="137">
        <v>200</v>
      </c>
    </row>
    <row r="270" spans="1:24">
      <c r="A270" s="132">
        <v>1999</v>
      </c>
      <c r="B270" s="137">
        <v>135400</v>
      </c>
      <c r="C270" s="131"/>
      <c r="D270" s="137">
        <v>129300</v>
      </c>
      <c r="E270" s="137">
        <v>88100</v>
      </c>
      <c r="F270" s="137">
        <v>3600</v>
      </c>
      <c r="G270" s="137">
        <v>4500</v>
      </c>
      <c r="H270" s="137">
        <v>6400</v>
      </c>
      <c r="I270" s="137">
        <v>100</v>
      </c>
      <c r="J270" s="137">
        <v>1000</v>
      </c>
      <c r="K270" s="137">
        <v>4500</v>
      </c>
      <c r="L270" s="137">
        <v>3300</v>
      </c>
      <c r="M270" s="137">
        <v>400</v>
      </c>
      <c r="N270" s="137">
        <v>2800</v>
      </c>
      <c r="O270" s="137">
        <v>1900</v>
      </c>
      <c r="P270" s="137">
        <v>700</v>
      </c>
      <c r="Q270" s="137">
        <v>1500</v>
      </c>
      <c r="R270" s="137">
        <v>10500</v>
      </c>
      <c r="S270" s="131"/>
      <c r="T270" s="137">
        <v>6100</v>
      </c>
      <c r="U270" s="137">
        <v>4000</v>
      </c>
      <c r="V270" s="137">
        <v>1700</v>
      </c>
      <c r="W270" s="137">
        <v>200</v>
      </c>
      <c r="X270" s="137">
        <v>200</v>
      </c>
    </row>
    <row r="271" spans="1:24">
      <c r="A271" s="132">
        <v>2000</v>
      </c>
      <c r="B271" s="137">
        <v>138100</v>
      </c>
      <c r="C271" s="131"/>
      <c r="D271" s="137">
        <v>131500</v>
      </c>
      <c r="E271" s="137">
        <v>88600</v>
      </c>
      <c r="F271" s="137">
        <v>3700</v>
      </c>
      <c r="G271" s="137">
        <v>4500</v>
      </c>
      <c r="H271" s="137">
        <v>6500</v>
      </c>
      <c r="I271" s="137">
        <v>100</v>
      </c>
      <c r="J271" s="137">
        <v>1000</v>
      </c>
      <c r="K271" s="137">
        <v>4400</v>
      </c>
      <c r="L271" s="137">
        <v>3400</v>
      </c>
      <c r="M271" s="137">
        <v>400</v>
      </c>
      <c r="N271" s="137">
        <v>3100</v>
      </c>
      <c r="O271" s="137">
        <v>2000</v>
      </c>
      <c r="P271" s="137">
        <v>800</v>
      </c>
      <c r="Q271" s="137">
        <v>1500</v>
      </c>
      <c r="R271" s="137">
        <v>11500</v>
      </c>
      <c r="S271" s="131"/>
      <c r="T271" s="137">
        <v>6700</v>
      </c>
      <c r="U271" s="137">
        <v>4400</v>
      </c>
      <c r="V271" s="137">
        <v>1800</v>
      </c>
      <c r="W271" s="137">
        <v>200</v>
      </c>
      <c r="X271" s="137">
        <v>200</v>
      </c>
    </row>
    <row r="272" spans="1:24">
      <c r="A272" s="132">
        <v>2001</v>
      </c>
      <c r="B272" s="137">
        <v>136700</v>
      </c>
      <c r="C272" s="131"/>
      <c r="D272" s="137">
        <v>130100</v>
      </c>
      <c r="E272" s="137">
        <v>90600</v>
      </c>
      <c r="F272" s="137">
        <v>3800</v>
      </c>
      <c r="G272" s="137">
        <v>4900</v>
      </c>
      <c r="H272" s="137">
        <v>6700</v>
      </c>
      <c r="I272" s="137">
        <v>100</v>
      </c>
      <c r="J272" s="137">
        <v>700</v>
      </c>
      <c r="K272" s="137">
        <v>4500</v>
      </c>
      <c r="L272" s="137">
        <v>1200</v>
      </c>
      <c r="M272" s="137">
        <v>400</v>
      </c>
      <c r="N272" s="137">
        <v>2900</v>
      </c>
      <c r="O272" s="137">
        <v>1500</v>
      </c>
      <c r="P272" s="137">
        <v>800</v>
      </c>
      <c r="Q272" s="137">
        <v>900</v>
      </c>
      <c r="R272" s="137">
        <v>11000</v>
      </c>
      <c r="S272" s="131"/>
      <c r="T272" s="137">
        <v>6700</v>
      </c>
      <c r="U272" s="137">
        <v>4300</v>
      </c>
      <c r="V272" s="137">
        <v>1800</v>
      </c>
      <c r="W272" s="137">
        <v>300</v>
      </c>
      <c r="X272" s="137">
        <v>200</v>
      </c>
    </row>
    <row r="273" spans="1:24">
      <c r="A273" s="132">
        <v>2002</v>
      </c>
      <c r="B273" s="137">
        <v>134400</v>
      </c>
      <c r="C273" s="131"/>
      <c r="D273" s="137">
        <v>127600</v>
      </c>
      <c r="E273" s="137">
        <v>89500</v>
      </c>
      <c r="F273" s="137">
        <v>3500</v>
      </c>
      <c r="G273" s="137">
        <v>5400</v>
      </c>
      <c r="H273" s="137">
        <v>6500</v>
      </c>
      <c r="I273" s="137">
        <v>100</v>
      </c>
      <c r="J273" s="137">
        <v>600</v>
      </c>
      <c r="K273" s="137">
        <v>4200</v>
      </c>
      <c r="L273" s="137">
        <v>800</v>
      </c>
      <c r="M273" s="137">
        <v>500</v>
      </c>
      <c r="N273" s="137">
        <v>2100</v>
      </c>
      <c r="O273" s="137">
        <v>1400</v>
      </c>
      <c r="P273" s="137">
        <v>800</v>
      </c>
      <c r="Q273" s="137">
        <v>800</v>
      </c>
      <c r="R273" s="137">
        <v>11300</v>
      </c>
      <c r="S273" s="131"/>
      <c r="T273" s="137">
        <v>6800</v>
      </c>
      <c r="U273" s="137">
        <v>4200</v>
      </c>
      <c r="V273" s="137">
        <v>1900</v>
      </c>
      <c r="W273" s="137">
        <v>600</v>
      </c>
      <c r="X273" s="137">
        <v>100</v>
      </c>
    </row>
    <row r="274" spans="1:24">
      <c r="A274" s="132">
        <v>2003</v>
      </c>
      <c r="B274" s="137">
        <v>136300</v>
      </c>
      <c r="C274" s="131"/>
      <c r="D274" s="137">
        <v>129500</v>
      </c>
      <c r="E274" s="137">
        <v>89600</v>
      </c>
      <c r="F274" s="137">
        <v>4100</v>
      </c>
      <c r="G274" s="137">
        <v>6200</v>
      </c>
      <c r="H274" s="137">
        <v>6600</v>
      </c>
      <c r="I274" s="137">
        <v>100</v>
      </c>
      <c r="J274" s="137">
        <v>900</v>
      </c>
      <c r="K274" s="137">
        <v>4600</v>
      </c>
      <c r="L274" s="137">
        <v>900</v>
      </c>
      <c r="M274" s="137">
        <v>500</v>
      </c>
      <c r="N274" s="137">
        <v>1600</v>
      </c>
      <c r="O274" s="137">
        <v>1300</v>
      </c>
      <c r="P274" s="137">
        <v>800</v>
      </c>
      <c r="Q274" s="137">
        <v>1000</v>
      </c>
      <c r="R274" s="137">
        <v>11400</v>
      </c>
      <c r="S274" s="131"/>
      <c r="T274" s="137">
        <v>6800</v>
      </c>
      <c r="U274" s="137">
        <v>4200</v>
      </c>
      <c r="V274" s="137">
        <v>1900</v>
      </c>
      <c r="W274" s="137">
        <v>500</v>
      </c>
      <c r="X274" s="137">
        <v>200</v>
      </c>
    </row>
    <row r="275" spans="1:24">
      <c r="A275" s="132">
        <v>2004</v>
      </c>
      <c r="B275" s="137">
        <v>141300</v>
      </c>
      <c r="C275" s="131"/>
      <c r="D275" s="137">
        <v>134200</v>
      </c>
      <c r="E275" s="137">
        <v>91200</v>
      </c>
      <c r="F275" s="137">
        <v>4300</v>
      </c>
      <c r="G275" s="137">
        <v>6900</v>
      </c>
      <c r="H275" s="137">
        <v>6700</v>
      </c>
      <c r="I275" s="137">
        <v>100</v>
      </c>
      <c r="J275" s="137">
        <v>1100</v>
      </c>
      <c r="K275" s="137">
        <v>4700</v>
      </c>
      <c r="L275" s="137">
        <v>1500</v>
      </c>
      <c r="M275" s="137">
        <v>400</v>
      </c>
      <c r="N275" s="137">
        <v>1500</v>
      </c>
      <c r="O275" s="137">
        <v>1400</v>
      </c>
      <c r="P275" s="137">
        <v>800</v>
      </c>
      <c r="Q275" s="137">
        <v>1200</v>
      </c>
      <c r="R275" s="137">
        <v>12400</v>
      </c>
      <c r="S275" s="131"/>
      <c r="T275" s="137">
        <v>7100</v>
      </c>
      <c r="U275" s="137">
        <v>4400</v>
      </c>
      <c r="V275" s="137">
        <v>2100</v>
      </c>
      <c r="W275" s="137">
        <v>400</v>
      </c>
      <c r="X275" s="137">
        <v>100</v>
      </c>
    </row>
    <row r="276" spans="1:24">
      <c r="A276" s="132">
        <v>2005</v>
      </c>
      <c r="B276" s="137">
        <v>144200</v>
      </c>
      <c r="C276" s="131"/>
      <c r="D276" s="137">
        <v>136700</v>
      </c>
      <c r="E276" s="137">
        <v>90500</v>
      </c>
      <c r="F276" s="137">
        <v>4500</v>
      </c>
      <c r="G276" s="137">
        <v>7100</v>
      </c>
      <c r="H276" s="137">
        <v>6600</v>
      </c>
      <c r="I276" s="137">
        <v>100</v>
      </c>
      <c r="J276" s="137">
        <v>1400</v>
      </c>
      <c r="K276" s="137">
        <v>5300</v>
      </c>
      <c r="L276" s="137">
        <v>2200</v>
      </c>
      <c r="M276" s="137">
        <v>400</v>
      </c>
      <c r="N276" s="137">
        <v>1800</v>
      </c>
      <c r="O276" s="137">
        <v>1500</v>
      </c>
      <c r="P276" s="137">
        <v>800</v>
      </c>
      <c r="Q276" s="137">
        <v>1600</v>
      </c>
      <c r="R276" s="137">
        <v>12800</v>
      </c>
      <c r="S276" s="131"/>
      <c r="T276" s="137">
        <v>7500</v>
      </c>
      <c r="U276" s="137">
        <v>4600</v>
      </c>
      <c r="V276" s="137">
        <v>2300</v>
      </c>
      <c r="W276" s="137">
        <v>300</v>
      </c>
      <c r="X276" s="137">
        <v>300</v>
      </c>
    </row>
    <row r="277" spans="1:24">
      <c r="A277" s="132">
        <v>2006</v>
      </c>
      <c r="B277" s="137">
        <v>147700</v>
      </c>
      <c r="C277" s="131"/>
      <c r="D277" s="137">
        <v>139500</v>
      </c>
      <c r="E277" s="137">
        <v>91600</v>
      </c>
      <c r="F277" s="137">
        <v>4700</v>
      </c>
      <c r="G277" s="137">
        <v>7000</v>
      </c>
      <c r="H277" s="137">
        <v>6700</v>
      </c>
      <c r="I277" s="137">
        <v>100</v>
      </c>
      <c r="J277" s="137">
        <v>1600</v>
      </c>
      <c r="K277" s="137">
        <v>4900</v>
      </c>
      <c r="L277" s="137">
        <v>2600</v>
      </c>
      <c r="M277" s="137">
        <v>500</v>
      </c>
      <c r="N277" s="137">
        <v>2400</v>
      </c>
      <c r="O277" s="137">
        <v>1800</v>
      </c>
      <c r="P277" s="137">
        <v>800</v>
      </c>
      <c r="Q277" s="137">
        <v>1800</v>
      </c>
      <c r="R277" s="137">
        <v>13000</v>
      </c>
      <c r="S277" s="131"/>
      <c r="T277" s="137">
        <v>8200</v>
      </c>
      <c r="U277" s="137">
        <v>5000</v>
      </c>
      <c r="V277" s="137">
        <v>2700</v>
      </c>
      <c r="W277" s="137">
        <v>300</v>
      </c>
      <c r="X277" s="137">
        <v>200</v>
      </c>
    </row>
    <row r="278" spans="1:24">
      <c r="A278" s="132">
        <v>2007</v>
      </c>
      <c r="B278" s="137">
        <v>150700</v>
      </c>
      <c r="C278" s="131"/>
      <c r="D278" s="137">
        <v>142000</v>
      </c>
      <c r="E278" s="137">
        <v>93200</v>
      </c>
      <c r="F278" s="137">
        <v>4800</v>
      </c>
      <c r="G278" s="137">
        <v>6500</v>
      </c>
      <c r="H278" s="137">
        <v>6800</v>
      </c>
      <c r="I278" s="137">
        <v>100</v>
      </c>
      <c r="J278" s="137">
        <v>1300</v>
      </c>
      <c r="K278" s="137">
        <v>5000</v>
      </c>
      <c r="L278" s="137">
        <v>3000</v>
      </c>
      <c r="M278" s="137">
        <v>400</v>
      </c>
      <c r="N278" s="137">
        <v>2700</v>
      </c>
      <c r="O278" s="137">
        <v>1900</v>
      </c>
      <c r="P278" s="137">
        <v>800</v>
      </c>
      <c r="Q278" s="137">
        <v>1500</v>
      </c>
      <c r="R278" s="137">
        <v>13900</v>
      </c>
      <c r="S278" s="131"/>
      <c r="T278" s="137">
        <v>8700</v>
      </c>
      <c r="U278" s="137">
        <v>5400</v>
      </c>
      <c r="V278" s="137">
        <v>2800</v>
      </c>
      <c r="W278" s="137">
        <v>300</v>
      </c>
      <c r="X278" s="137">
        <v>200</v>
      </c>
    </row>
    <row r="279" spans="1:24">
      <c r="A279" s="132">
        <v>2008</v>
      </c>
      <c r="B279" s="137">
        <v>147700</v>
      </c>
      <c r="C279" s="131"/>
      <c r="D279" s="137">
        <v>138800</v>
      </c>
      <c r="E279" s="137">
        <v>93300</v>
      </c>
      <c r="F279" s="137">
        <v>4800</v>
      </c>
      <c r="G279" s="137">
        <v>6800</v>
      </c>
      <c r="H279" s="137">
        <v>6900</v>
      </c>
      <c r="I279" s="137">
        <v>100</v>
      </c>
      <c r="J279" s="137">
        <v>800</v>
      </c>
      <c r="K279" s="137">
        <v>4400</v>
      </c>
      <c r="L279" s="137">
        <v>1000</v>
      </c>
      <c r="M279" s="137">
        <v>500</v>
      </c>
      <c r="N279" s="137">
        <v>2200</v>
      </c>
      <c r="O279" s="137">
        <v>1800</v>
      </c>
      <c r="P279" s="137">
        <v>900</v>
      </c>
      <c r="Q279" s="137">
        <v>900</v>
      </c>
      <c r="R279" s="137">
        <v>14400</v>
      </c>
      <c r="S279" s="131"/>
      <c r="T279" s="137">
        <v>8900</v>
      </c>
      <c r="U279" s="137">
        <v>5400</v>
      </c>
      <c r="V279" s="137">
        <v>2900</v>
      </c>
      <c r="W279" s="137">
        <v>400</v>
      </c>
      <c r="X279" s="137">
        <v>100</v>
      </c>
    </row>
    <row r="280" spans="1:24">
      <c r="A280" s="132">
        <v>2009</v>
      </c>
      <c r="B280" s="137">
        <v>144200</v>
      </c>
      <c r="C280" s="131"/>
      <c r="D280" s="137">
        <v>133500</v>
      </c>
      <c r="E280" s="137">
        <v>90800</v>
      </c>
      <c r="F280" s="137">
        <v>4300</v>
      </c>
      <c r="G280" s="137">
        <v>6800</v>
      </c>
      <c r="H280" s="137">
        <v>6700</v>
      </c>
      <c r="I280" s="137">
        <v>100</v>
      </c>
      <c r="J280" s="137">
        <v>600</v>
      </c>
      <c r="K280" s="137">
        <v>4100</v>
      </c>
      <c r="L280" s="137">
        <v>500</v>
      </c>
      <c r="M280" s="137">
        <v>500</v>
      </c>
      <c r="N280" s="137">
        <v>1800</v>
      </c>
      <c r="O280" s="137">
        <v>1400</v>
      </c>
      <c r="P280" s="137">
        <v>900</v>
      </c>
      <c r="Q280" s="137">
        <v>700</v>
      </c>
      <c r="R280" s="137">
        <v>14200</v>
      </c>
      <c r="S280" s="131"/>
      <c r="T280" s="137">
        <v>10700</v>
      </c>
      <c r="U280" s="137">
        <v>6300</v>
      </c>
      <c r="V280" s="137">
        <v>3200</v>
      </c>
      <c r="W280" s="137">
        <v>1000</v>
      </c>
      <c r="X280" s="137">
        <v>100</v>
      </c>
    </row>
    <row r="281" spans="1:24">
      <c r="A281" s="132">
        <v>2010</v>
      </c>
      <c r="B281" s="137">
        <v>144300</v>
      </c>
      <c r="C281" s="131"/>
      <c r="D281" s="137">
        <v>133800</v>
      </c>
      <c r="E281" s="137">
        <v>89500</v>
      </c>
      <c r="F281" s="137">
        <v>4200</v>
      </c>
      <c r="G281" s="137">
        <v>6700</v>
      </c>
      <c r="H281" s="137">
        <v>6600</v>
      </c>
      <c r="I281" s="137">
        <v>100</v>
      </c>
      <c r="J281" s="137">
        <v>900</v>
      </c>
      <c r="K281" s="137">
        <v>4400</v>
      </c>
      <c r="L281" s="137">
        <v>700</v>
      </c>
      <c r="M281" s="137">
        <v>500</v>
      </c>
      <c r="N281" s="137">
        <v>1400</v>
      </c>
      <c r="O281" s="137">
        <v>1500</v>
      </c>
      <c r="P281" s="137">
        <v>900</v>
      </c>
      <c r="Q281" s="137">
        <v>900</v>
      </c>
      <c r="R281" s="137">
        <v>15700</v>
      </c>
      <c r="S281" s="131"/>
      <c r="T281" s="137">
        <v>10600</v>
      </c>
      <c r="U281" s="137">
        <v>6200</v>
      </c>
      <c r="V281" s="137">
        <v>3300</v>
      </c>
      <c r="W281" s="137">
        <v>1000</v>
      </c>
      <c r="X281" s="137">
        <v>100</v>
      </c>
    </row>
    <row r="282" spans="1:24">
      <c r="A282" s="132">
        <v>2011</v>
      </c>
      <c r="B282" s="137">
        <v>145700</v>
      </c>
      <c r="C282" s="131"/>
      <c r="D282" s="137">
        <v>135600</v>
      </c>
      <c r="E282" s="137">
        <v>90100</v>
      </c>
      <c r="F282" s="137">
        <v>4300</v>
      </c>
      <c r="G282" s="137">
        <v>6700</v>
      </c>
      <c r="H282" s="137">
        <v>6600</v>
      </c>
      <c r="I282" s="137">
        <v>100</v>
      </c>
      <c r="J282" s="137">
        <v>800</v>
      </c>
      <c r="K282" s="137">
        <v>4800</v>
      </c>
      <c r="L282" s="137">
        <v>800</v>
      </c>
      <c r="M282" s="137">
        <v>500</v>
      </c>
      <c r="N282" s="137">
        <v>1100</v>
      </c>
      <c r="O282" s="137">
        <v>1700</v>
      </c>
      <c r="P282" s="137">
        <v>900</v>
      </c>
      <c r="Q282" s="137">
        <v>900</v>
      </c>
      <c r="R282" s="137">
        <v>16400</v>
      </c>
      <c r="S282" s="131"/>
      <c r="T282" s="137">
        <v>10100</v>
      </c>
      <c r="U282" s="137">
        <v>6100</v>
      </c>
      <c r="V282" s="137">
        <v>3200</v>
      </c>
      <c r="W282" s="137">
        <v>700</v>
      </c>
      <c r="X282" s="137">
        <v>100</v>
      </c>
    </row>
    <row r="283" spans="1:24">
      <c r="A283" s="132">
        <v>2012</v>
      </c>
      <c r="B283" s="137">
        <v>146800</v>
      </c>
      <c r="C283" s="131"/>
      <c r="D283" s="137">
        <v>136300</v>
      </c>
      <c r="E283" s="137">
        <v>90300</v>
      </c>
      <c r="F283" s="137">
        <v>4500</v>
      </c>
      <c r="G283" s="137">
        <v>6500</v>
      </c>
      <c r="H283" s="137">
        <v>6700</v>
      </c>
      <c r="I283" s="137">
        <v>100</v>
      </c>
      <c r="J283" s="137">
        <v>1000</v>
      </c>
      <c r="K283" s="137">
        <v>4900</v>
      </c>
      <c r="L283" s="137">
        <v>1100</v>
      </c>
      <c r="M283" s="137">
        <v>400</v>
      </c>
      <c r="N283" s="137">
        <v>800</v>
      </c>
      <c r="O283" s="137">
        <v>1700</v>
      </c>
      <c r="P283" s="137">
        <v>1000</v>
      </c>
      <c r="Q283" s="137">
        <v>900</v>
      </c>
      <c r="R283" s="137">
        <v>16300</v>
      </c>
      <c r="S283" s="131"/>
      <c r="T283" s="137">
        <v>10500</v>
      </c>
      <c r="U283" s="137">
        <v>6500</v>
      </c>
      <c r="V283" s="137">
        <v>3400</v>
      </c>
      <c r="W283" s="137">
        <v>500</v>
      </c>
      <c r="X283" s="137">
        <v>200</v>
      </c>
    </row>
    <row r="284" spans="1:24">
      <c r="A284" s="132">
        <v>2013</v>
      </c>
      <c r="B284" s="137">
        <v>149500</v>
      </c>
      <c r="C284" s="131"/>
      <c r="D284" s="137">
        <v>138600</v>
      </c>
      <c r="E284" s="137">
        <v>90700</v>
      </c>
      <c r="F284" s="137">
        <v>4500</v>
      </c>
      <c r="G284" s="137">
        <v>6300</v>
      </c>
      <c r="H284" s="137">
        <v>6700</v>
      </c>
      <c r="I284" s="137">
        <v>100</v>
      </c>
      <c r="J284" s="137">
        <v>1100</v>
      </c>
      <c r="K284" s="137">
        <v>5100</v>
      </c>
      <c r="L284" s="137">
        <v>1600</v>
      </c>
      <c r="M284" s="137">
        <v>500</v>
      </c>
      <c r="N284" s="137">
        <v>800</v>
      </c>
      <c r="O284" s="137">
        <v>1800</v>
      </c>
      <c r="P284" s="137">
        <v>1000</v>
      </c>
      <c r="Q284" s="137">
        <v>1300</v>
      </c>
      <c r="R284" s="137">
        <v>17100</v>
      </c>
      <c r="S284" s="131"/>
      <c r="T284" s="137">
        <v>10900</v>
      </c>
      <c r="U284" s="137">
        <v>6800</v>
      </c>
      <c r="V284" s="137">
        <v>3500</v>
      </c>
      <c r="W284" s="137">
        <v>400</v>
      </c>
      <c r="X284" s="137">
        <v>200</v>
      </c>
    </row>
    <row r="285" spans="1:24">
      <c r="A285" s="132">
        <v>2014</v>
      </c>
      <c r="B285" s="137">
        <v>153200</v>
      </c>
      <c r="C285" s="131"/>
      <c r="D285" s="137">
        <v>142300</v>
      </c>
      <c r="E285" s="137">
        <v>92900</v>
      </c>
      <c r="F285" s="137">
        <v>4700</v>
      </c>
      <c r="G285" s="137">
        <v>6300</v>
      </c>
      <c r="H285" s="137">
        <v>6900</v>
      </c>
      <c r="I285" s="137">
        <v>100</v>
      </c>
      <c r="J285" s="137">
        <v>1200</v>
      </c>
      <c r="K285" s="137">
        <v>5400</v>
      </c>
      <c r="L285" s="137">
        <v>2200</v>
      </c>
      <c r="M285" s="137">
        <v>400</v>
      </c>
      <c r="N285" s="137">
        <v>700</v>
      </c>
      <c r="O285" s="137">
        <v>1900</v>
      </c>
      <c r="P285" s="137">
        <v>1100</v>
      </c>
      <c r="Q285" s="137">
        <v>1400</v>
      </c>
      <c r="R285" s="137">
        <v>17200</v>
      </c>
      <c r="S285" s="131"/>
      <c r="T285" s="137">
        <v>11000</v>
      </c>
      <c r="U285" s="137">
        <v>7000</v>
      </c>
      <c r="V285" s="137">
        <v>3600</v>
      </c>
      <c r="W285" s="137">
        <v>300</v>
      </c>
      <c r="X285" s="137">
        <v>100</v>
      </c>
    </row>
    <row r="286" spans="1:24">
      <c r="A286" s="132">
        <v>2015</v>
      </c>
      <c r="B286" s="137">
        <v>158700</v>
      </c>
      <c r="C286" s="131"/>
      <c r="D286" s="137">
        <v>147400</v>
      </c>
      <c r="E286" s="137">
        <v>96000</v>
      </c>
      <c r="F286" s="137">
        <v>4900</v>
      </c>
      <c r="G286" s="137">
        <v>6400</v>
      </c>
      <c r="H286" s="137">
        <v>7100</v>
      </c>
      <c r="I286" s="137">
        <v>100</v>
      </c>
      <c r="J286" s="137">
        <v>1100</v>
      </c>
      <c r="K286" s="137">
        <v>5800</v>
      </c>
      <c r="L286" s="137">
        <v>2200</v>
      </c>
      <c r="M286" s="137">
        <v>400</v>
      </c>
      <c r="N286" s="137">
        <v>700</v>
      </c>
      <c r="O286" s="137">
        <v>1800</v>
      </c>
      <c r="P286" s="137">
        <v>1000</v>
      </c>
      <c r="Q286" s="137">
        <v>1300</v>
      </c>
      <c r="R286" s="137">
        <v>18500</v>
      </c>
      <c r="S286" s="131"/>
      <c r="T286" s="137">
        <v>11300</v>
      </c>
      <c r="U286" s="137">
        <v>7100</v>
      </c>
      <c r="V286" s="137">
        <v>3800</v>
      </c>
      <c r="W286" s="137">
        <v>300</v>
      </c>
      <c r="X286" s="137">
        <v>200</v>
      </c>
    </row>
    <row r="287" spans="1:24">
      <c r="A287" s="132">
        <v>2016</v>
      </c>
      <c r="B287" s="137">
        <v>159600</v>
      </c>
      <c r="C287" s="131"/>
      <c r="D287" s="137">
        <v>148100</v>
      </c>
      <c r="E287" s="137">
        <v>96700</v>
      </c>
      <c r="F287" s="137">
        <v>5000</v>
      </c>
      <c r="G287" s="137">
        <v>6600</v>
      </c>
      <c r="H287" s="137">
        <v>7200</v>
      </c>
      <c r="I287" s="137">
        <v>100</v>
      </c>
      <c r="J287" s="137">
        <v>1100</v>
      </c>
      <c r="K287" s="137">
        <v>5500</v>
      </c>
      <c r="L287" s="137">
        <v>1800</v>
      </c>
      <c r="M287" s="137">
        <v>400</v>
      </c>
      <c r="N287" s="137">
        <v>700</v>
      </c>
      <c r="O287" s="137">
        <v>1900</v>
      </c>
      <c r="P287" s="137">
        <v>1000</v>
      </c>
      <c r="Q287" s="137">
        <v>1300</v>
      </c>
      <c r="R287" s="137">
        <v>18700</v>
      </c>
      <c r="S287" s="131"/>
      <c r="T287" s="137">
        <v>11500</v>
      </c>
      <c r="U287" s="137">
        <v>7300</v>
      </c>
      <c r="V287" s="137">
        <v>3800</v>
      </c>
      <c r="W287" s="137">
        <v>200</v>
      </c>
      <c r="X287" s="137">
        <v>200</v>
      </c>
    </row>
    <row r="289" spans="1:24">
      <c r="A289" s="131"/>
      <c r="B289" s="774" t="s">
        <v>11</v>
      </c>
      <c r="C289" s="774"/>
      <c r="D289" s="774"/>
      <c r="E289" s="774"/>
      <c r="F289" s="774"/>
      <c r="G289" s="774"/>
      <c r="H289" s="774"/>
      <c r="I289" s="774"/>
      <c r="J289" s="774"/>
      <c r="K289" s="774"/>
      <c r="L289" s="774"/>
      <c r="M289" s="774"/>
      <c r="N289" s="774"/>
      <c r="O289" s="774"/>
      <c r="P289" s="774"/>
      <c r="Q289" s="774"/>
      <c r="R289" s="774"/>
      <c r="S289" s="774"/>
      <c r="T289" s="774"/>
      <c r="U289" s="774"/>
      <c r="V289" s="774"/>
      <c r="W289" s="774"/>
      <c r="X289" s="774"/>
    </row>
    <row r="290" spans="1:24">
      <c r="A290" s="132">
        <v>1979</v>
      </c>
      <c r="B290" s="137">
        <v>124200</v>
      </c>
      <c r="C290" s="131"/>
      <c r="D290" s="137">
        <v>121100</v>
      </c>
      <c r="E290" s="137">
        <v>87700</v>
      </c>
      <c r="F290" s="137">
        <v>0</v>
      </c>
      <c r="G290" s="137">
        <v>3400</v>
      </c>
      <c r="H290" s="137">
        <v>4100</v>
      </c>
      <c r="I290" s="137">
        <v>200</v>
      </c>
      <c r="J290" s="137">
        <v>1200</v>
      </c>
      <c r="K290" s="137">
        <v>6800</v>
      </c>
      <c r="L290" s="137">
        <v>2800</v>
      </c>
      <c r="M290" s="137">
        <v>200</v>
      </c>
      <c r="N290" s="137">
        <v>5400</v>
      </c>
      <c r="O290" s="137">
        <v>2000</v>
      </c>
      <c r="P290" s="137">
        <v>900</v>
      </c>
      <c r="Q290" s="137">
        <v>2700</v>
      </c>
      <c r="R290" s="137">
        <v>3800</v>
      </c>
      <c r="S290" s="131"/>
      <c r="T290" s="137">
        <v>3100</v>
      </c>
      <c r="U290" s="137">
        <v>2200</v>
      </c>
      <c r="V290" s="137">
        <v>500</v>
      </c>
      <c r="W290" s="137">
        <v>200</v>
      </c>
      <c r="X290" s="137">
        <v>200</v>
      </c>
    </row>
    <row r="291" spans="1:24">
      <c r="A291" s="132">
        <v>1980</v>
      </c>
      <c r="B291" s="137">
        <v>121800</v>
      </c>
      <c r="C291" s="131"/>
      <c r="D291" s="137">
        <v>118200</v>
      </c>
      <c r="E291" s="137">
        <v>85000</v>
      </c>
      <c r="F291" s="137">
        <v>0</v>
      </c>
      <c r="G291" s="137">
        <v>2800</v>
      </c>
      <c r="H291" s="137">
        <v>4000</v>
      </c>
      <c r="I291" s="137">
        <v>200</v>
      </c>
      <c r="J291" s="137">
        <v>900</v>
      </c>
      <c r="K291" s="137">
        <v>5100</v>
      </c>
      <c r="L291" s="137">
        <v>3000</v>
      </c>
      <c r="M291" s="137">
        <v>100</v>
      </c>
      <c r="N291" s="137">
        <v>7300</v>
      </c>
      <c r="O291" s="137">
        <v>2000</v>
      </c>
      <c r="P291" s="137">
        <v>1000</v>
      </c>
      <c r="Q291" s="137">
        <v>2500</v>
      </c>
      <c r="R291" s="137">
        <v>4200</v>
      </c>
      <c r="S291" s="131"/>
      <c r="T291" s="137">
        <v>3600</v>
      </c>
      <c r="U291" s="137">
        <v>2500</v>
      </c>
      <c r="V291" s="137">
        <v>700</v>
      </c>
      <c r="W291" s="137">
        <v>400</v>
      </c>
      <c r="X291" s="137">
        <v>100</v>
      </c>
    </row>
    <row r="292" spans="1:24">
      <c r="A292" s="132">
        <v>1981</v>
      </c>
      <c r="B292" s="137">
        <v>122000</v>
      </c>
      <c r="C292" s="131"/>
      <c r="D292" s="137">
        <v>117800</v>
      </c>
      <c r="E292" s="137">
        <v>84400</v>
      </c>
      <c r="F292" s="137">
        <v>0</v>
      </c>
      <c r="G292" s="137">
        <v>2900</v>
      </c>
      <c r="H292" s="137">
        <v>4500</v>
      </c>
      <c r="I292" s="137">
        <v>200</v>
      </c>
      <c r="J292" s="137">
        <v>700</v>
      </c>
      <c r="K292" s="137">
        <v>4600</v>
      </c>
      <c r="L292" s="137">
        <v>1900</v>
      </c>
      <c r="M292" s="137">
        <v>200</v>
      </c>
      <c r="N292" s="137">
        <v>8700</v>
      </c>
      <c r="O292" s="137">
        <v>2500</v>
      </c>
      <c r="P292" s="137">
        <v>1000</v>
      </c>
      <c r="Q292" s="137">
        <v>1800</v>
      </c>
      <c r="R292" s="137">
        <v>4400</v>
      </c>
      <c r="S292" s="131"/>
      <c r="T292" s="137">
        <v>4200</v>
      </c>
      <c r="U292" s="137">
        <v>3000</v>
      </c>
      <c r="V292" s="137">
        <v>800</v>
      </c>
      <c r="W292" s="137">
        <v>200</v>
      </c>
      <c r="X292" s="137">
        <v>100</v>
      </c>
    </row>
    <row r="293" spans="1:24">
      <c r="A293" s="132">
        <v>1982</v>
      </c>
      <c r="B293" s="137">
        <v>121100</v>
      </c>
      <c r="C293" s="131"/>
      <c r="D293" s="137">
        <v>116500</v>
      </c>
      <c r="E293" s="137">
        <v>85200</v>
      </c>
      <c r="F293" s="137">
        <v>0</v>
      </c>
      <c r="G293" s="137">
        <v>3100</v>
      </c>
      <c r="H293" s="137">
        <v>4600</v>
      </c>
      <c r="I293" s="137">
        <v>200</v>
      </c>
      <c r="J293" s="137">
        <v>500</v>
      </c>
      <c r="K293" s="137">
        <v>3800</v>
      </c>
      <c r="L293" s="137">
        <v>1500</v>
      </c>
      <c r="M293" s="137">
        <v>300</v>
      </c>
      <c r="N293" s="137">
        <v>8500</v>
      </c>
      <c r="O293" s="137">
        <v>2500</v>
      </c>
      <c r="P293" s="137">
        <v>900</v>
      </c>
      <c r="Q293" s="137">
        <v>1000</v>
      </c>
      <c r="R293" s="137">
        <v>4500</v>
      </c>
      <c r="S293" s="131"/>
      <c r="T293" s="137">
        <v>4700</v>
      </c>
      <c r="U293" s="137">
        <v>3300</v>
      </c>
      <c r="V293" s="137">
        <v>900</v>
      </c>
      <c r="W293" s="137">
        <v>300</v>
      </c>
      <c r="X293" s="137">
        <v>200</v>
      </c>
    </row>
    <row r="294" spans="1:24">
      <c r="A294" s="132">
        <v>1983</v>
      </c>
      <c r="B294" s="137">
        <v>124400</v>
      </c>
      <c r="C294" s="131"/>
      <c r="D294" s="137">
        <v>119400</v>
      </c>
      <c r="E294" s="137">
        <v>84600</v>
      </c>
      <c r="F294" s="137">
        <v>0</v>
      </c>
      <c r="G294" s="137">
        <v>3300</v>
      </c>
      <c r="H294" s="137">
        <v>4700</v>
      </c>
      <c r="I294" s="137">
        <v>200</v>
      </c>
      <c r="J294" s="137">
        <v>600</v>
      </c>
      <c r="K294" s="137">
        <v>4200</v>
      </c>
      <c r="L294" s="137">
        <v>2600</v>
      </c>
      <c r="M294" s="137">
        <v>400</v>
      </c>
      <c r="N294" s="137">
        <v>8500</v>
      </c>
      <c r="O294" s="137">
        <v>2200</v>
      </c>
      <c r="P294" s="137">
        <v>1200</v>
      </c>
      <c r="Q294" s="137">
        <v>1400</v>
      </c>
      <c r="R294" s="137">
        <v>5600</v>
      </c>
      <c r="S294" s="131"/>
      <c r="T294" s="137">
        <v>5000</v>
      </c>
      <c r="U294" s="137">
        <v>3500</v>
      </c>
      <c r="V294" s="137">
        <v>1100</v>
      </c>
      <c r="W294" s="137">
        <v>300</v>
      </c>
      <c r="X294" s="137">
        <v>100</v>
      </c>
    </row>
    <row r="295" spans="1:24">
      <c r="A295" s="132">
        <v>1984</v>
      </c>
      <c r="B295" s="137">
        <v>134000</v>
      </c>
      <c r="C295" s="131"/>
      <c r="D295" s="137">
        <v>128800</v>
      </c>
      <c r="E295" s="137">
        <v>89100</v>
      </c>
      <c r="F295" s="137">
        <v>700</v>
      </c>
      <c r="G295" s="137">
        <v>3300</v>
      </c>
      <c r="H295" s="137">
        <v>5100</v>
      </c>
      <c r="I295" s="137">
        <v>200</v>
      </c>
      <c r="J295" s="137">
        <v>700</v>
      </c>
      <c r="K295" s="137">
        <v>6100</v>
      </c>
      <c r="L295" s="137">
        <v>2700</v>
      </c>
      <c r="M295" s="137">
        <v>400</v>
      </c>
      <c r="N295" s="137">
        <v>9300</v>
      </c>
      <c r="O295" s="137">
        <v>2300</v>
      </c>
      <c r="P295" s="137">
        <v>900</v>
      </c>
      <c r="Q295" s="137">
        <v>1700</v>
      </c>
      <c r="R295" s="137">
        <v>6300</v>
      </c>
      <c r="S295" s="131"/>
      <c r="T295" s="137">
        <v>5300</v>
      </c>
      <c r="U295" s="137">
        <v>3700</v>
      </c>
      <c r="V295" s="137">
        <v>1200</v>
      </c>
      <c r="W295" s="137">
        <v>200</v>
      </c>
      <c r="X295" s="137">
        <v>100</v>
      </c>
    </row>
    <row r="296" spans="1:24">
      <c r="A296" s="132">
        <v>1985</v>
      </c>
      <c r="B296" s="137">
        <v>133400</v>
      </c>
      <c r="C296" s="131"/>
      <c r="D296" s="137">
        <v>128300</v>
      </c>
      <c r="E296" s="137">
        <v>89800</v>
      </c>
      <c r="F296" s="137">
        <v>1000</v>
      </c>
      <c r="G296" s="137">
        <v>3400</v>
      </c>
      <c r="H296" s="137">
        <v>5300</v>
      </c>
      <c r="I296" s="137">
        <v>200</v>
      </c>
      <c r="J296" s="137">
        <v>700</v>
      </c>
      <c r="K296" s="137">
        <v>4600</v>
      </c>
      <c r="L296" s="137">
        <v>3300</v>
      </c>
      <c r="M296" s="137">
        <v>500</v>
      </c>
      <c r="N296" s="137">
        <v>8700</v>
      </c>
      <c r="O296" s="137">
        <v>2300</v>
      </c>
      <c r="P296" s="137">
        <v>1000</v>
      </c>
      <c r="Q296" s="137">
        <v>1600</v>
      </c>
      <c r="R296" s="137">
        <v>6000</v>
      </c>
      <c r="S296" s="131"/>
      <c r="T296" s="137">
        <v>5100</v>
      </c>
      <c r="U296" s="137">
        <v>3600</v>
      </c>
      <c r="V296" s="137">
        <v>1100</v>
      </c>
      <c r="W296" s="137">
        <v>200</v>
      </c>
      <c r="X296" s="137">
        <v>200</v>
      </c>
    </row>
    <row r="297" spans="1:24">
      <c r="A297" s="132">
        <v>1986</v>
      </c>
      <c r="B297" s="137">
        <v>139900</v>
      </c>
      <c r="C297" s="131"/>
      <c r="D297" s="137">
        <v>135000</v>
      </c>
      <c r="E297" s="137">
        <v>93900</v>
      </c>
      <c r="F297" s="137">
        <v>1200</v>
      </c>
      <c r="G297" s="137">
        <v>3400</v>
      </c>
      <c r="H297" s="137">
        <v>5600</v>
      </c>
      <c r="I297" s="137">
        <v>200</v>
      </c>
      <c r="J297" s="137">
        <v>800</v>
      </c>
      <c r="K297" s="137">
        <v>5800</v>
      </c>
      <c r="L297" s="137">
        <v>5500</v>
      </c>
      <c r="M297" s="137">
        <v>600</v>
      </c>
      <c r="N297" s="137">
        <v>7100</v>
      </c>
      <c r="O297" s="137">
        <v>2600</v>
      </c>
      <c r="P297" s="137">
        <v>900</v>
      </c>
      <c r="Q297" s="137">
        <v>1500</v>
      </c>
      <c r="R297" s="137">
        <v>5900</v>
      </c>
      <c r="S297" s="131"/>
      <c r="T297" s="137">
        <v>4800</v>
      </c>
      <c r="U297" s="137">
        <v>3300</v>
      </c>
      <c r="V297" s="137">
        <v>1100</v>
      </c>
      <c r="W297" s="137">
        <v>200</v>
      </c>
      <c r="X297" s="137">
        <v>200</v>
      </c>
    </row>
    <row r="298" spans="1:24">
      <c r="A298" s="132">
        <v>1987</v>
      </c>
      <c r="B298" s="137">
        <v>142400</v>
      </c>
      <c r="C298" s="131"/>
      <c r="D298" s="137">
        <v>138300</v>
      </c>
      <c r="E298" s="137">
        <v>97200</v>
      </c>
      <c r="F298" s="137">
        <v>1400</v>
      </c>
      <c r="G298" s="137">
        <v>4000</v>
      </c>
      <c r="H298" s="137">
        <v>5900</v>
      </c>
      <c r="I298" s="137">
        <v>200</v>
      </c>
      <c r="J298" s="137">
        <v>1000</v>
      </c>
      <c r="K298" s="137">
        <v>5500</v>
      </c>
      <c r="L298" s="137">
        <v>3100</v>
      </c>
      <c r="M298" s="137">
        <v>800</v>
      </c>
      <c r="N298" s="137">
        <v>6800</v>
      </c>
      <c r="O298" s="137">
        <v>2600</v>
      </c>
      <c r="P298" s="137">
        <v>900</v>
      </c>
      <c r="Q298" s="137">
        <v>2100</v>
      </c>
      <c r="R298" s="137">
        <v>6800</v>
      </c>
      <c r="S298" s="131"/>
      <c r="T298" s="137">
        <v>4100</v>
      </c>
      <c r="U298" s="137">
        <v>2800</v>
      </c>
      <c r="V298" s="137">
        <v>1000</v>
      </c>
      <c r="W298" s="137">
        <v>200</v>
      </c>
      <c r="X298" s="137">
        <v>200</v>
      </c>
    </row>
    <row r="299" spans="1:24">
      <c r="A299" s="132">
        <v>1988</v>
      </c>
      <c r="B299" s="137">
        <v>145100</v>
      </c>
      <c r="C299" s="131"/>
      <c r="D299" s="137">
        <v>140600</v>
      </c>
      <c r="E299" s="137">
        <v>97600</v>
      </c>
      <c r="F299" s="137">
        <v>1600</v>
      </c>
      <c r="G299" s="137">
        <v>4400</v>
      </c>
      <c r="H299" s="137">
        <v>6200</v>
      </c>
      <c r="I299" s="137">
        <v>200</v>
      </c>
      <c r="J299" s="137">
        <v>1000</v>
      </c>
      <c r="K299" s="137">
        <v>6400</v>
      </c>
      <c r="L299" s="137">
        <v>2400</v>
      </c>
      <c r="M299" s="137">
        <v>900</v>
      </c>
      <c r="N299" s="137">
        <v>6900</v>
      </c>
      <c r="O299" s="137">
        <v>2700</v>
      </c>
      <c r="P299" s="137">
        <v>800</v>
      </c>
      <c r="Q299" s="137">
        <v>2000</v>
      </c>
      <c r="R299" s="137">
        <v>7500</v>
      </c>
      <c r="S299" s="131"/>
      <c r="T299" s="137">
        <v>4500</v>
      </c>
      <c r="U299" s="137">
        <v>3000</v>
      </c>
      <c r="V299" s="137">
        <v>1000</v>
      </c>
      <c r="W299" s="137">
        <v>200</v>
      </c>
      <c r="X299" s="137">
        <v>200</v>
      </c>
    </row>
    <row r="300" spans="1:24">
      <c r="A300" s="132">
        <v>1989</v>
      </c>
      <c r="B300" s="137">
        <v>147500</v>
      </c>
      <c r="C300" s="131"/>
      <c r="D300" s="137">
        <v>142700</v>
      </c>
      <c r="E300" s="137">
        <v>96800</v>
      </c>
      <c r="F300" s="137">
        <v>1800</v>
      </c>
      <c r="G300" s="137">
        <v>4400</v>
      </c>
      <c r="H300" s="137">
        <v>6100</v>
      </c>
      <c r="I300" s="137">
        <v>200</v>
      </c>
      <c r="J300" s="137">
        <v>900</v>
      </c>
      <c r="K300" s="137">
        <v>6900</v>
      </c>
      <c r="L300" s="137">
        <v>2800</v>
      </c>
      <c r="M300" s="137">
        <v>1300</v>
      </c>
      <c r="N300" s="137">
        <v>7900</v>
      </c>
      <c r="O300" s="137">
        <v>2800</v>
      </c>
      <c r="P300" s="137">
        <v>1000</v>
      </c>
      <c r="Q300" s="137">
        <v>2200</v>
      </c>
      <c r="R300" s="137">
        <v>7900</v>
      </c>
      <c r="S300" s="131"/>
      <c r="T300" s="137">
        <v>4800</v>
      </c>
      <c r="U300" s="137">
        <v>3300</v>
      </c>
      <c r="V300" s="137">
        <v>1100</v>
      </c>
      <c r="W300" s="137">
        <v>200</v>
      </c>
      <c r="X300" s="137">
        <v>300</v>
      </c>
    </row>
    <row r="301" spans="1:24">
      <c r="A301" s="132">
        <v>1990</v>
      </c>
      <c r="B301" s="137">
        <v>144100</v>
      </c>
      <c r="C301" s="131"/>
      <c r="D301" s="137">
        <v>138800</v>
      </c>
      <c r="E301" s="137">
        <v>93700</v>
      </c>
      <c r="F301" s="137">
        <v>1800</v>
      </c>
      <c r="G301" s="137">
        <v>4400</v>
      </c>
      <c r="H301" s="137">
        <v>6100</v>
      </c>
      <c r="I301" s="137">
        <v>100</v>
      </c>
      <c r="J301" s="137">
        <v>800</v>
      </c>
      <c r="K301" s="137">
        <v>6900</v>
      </c>
      <c r="L301" s="137">
        <v>2000</v>
      </c>
      <c r="M301" s="137">
        <v>1200</v>
      </c>
      <c r="N301" s="137">
        <v>8100</v>
      </c>
      <c r="O301" s="137">
        <v>2600</v>
      </c>
      <c r="P301" s="137">
        <v>1000</v>
      </c>
      <c r="Q301" s="137">
        <v>2100</v>
      </c>
      <c r="R301" s="137">
        <v>8000</v>
      </c>
      <c r="S301" s="131"/>
      <c r="T301" s="137">
        <v>5300</v>
      </c>
      <c r="U301" s="137">
        <v>3600</v>
      </c>
      <c r="V301" s="137">
        <v>1300</v>
      </c>
      <c r="W301" s="137">
        <v>200</v>
      </c>
      <c r="X301" s="137">
        <v>200</v>
      </c>
    </row>
    <row r="302" spans="1:24">
      <c r="A302" s="132">
        <v>1991</v>
      </c>
      <c r="B302" s="137">
        <v>143100</v>
      </c>
      <c r="C302" s="131"/>
      <c r="D302" s="137">
        <v>137700</v>
      </c>
      <c r="E302" s="137">
        <v>94000</v>
      </c>
      <c r="F302" s="137">
        <v>1800</v>
      </c>
      <c r="G302" s="137">
        <v>4500</v>
      </c>
      <c r="H302" s="137">
        <v>6300</v>
      </c>
      <c r="I302" s="137">
        <v>100</v>
      </c>
      <c r="J302" s="137">
        <v>800</v>
      </c>
      <c r="K302" s="137">
        <v>6700</v>
      </c>
      <c r="L302" s="137">
        <v>1800</v>
      </c>
      <c r="M302" s="137">
        <v>1200</v>
      </c>
      <c r="N302" s="137">
        <v>6900</v>
      </c>
      <c r="O302" s="137">
        <v>2600</v>
      </c>
      <c r="P302" s="137">
        <v>1000</v>
      </c>
      <c r="Q302" s="137">
        <v>1800</v>
      </c>
      <c r="R302" s="137">
        <v>8200</v>
      </c>
      <c r="S302" s="131"/>
      <c r="T302" s="137">
        <v>5400</v>
      </c>
      <c r="U302" s="137">
        <v>3500</v>
      </c>
      <c r="V302" s="137">
        <v>1300</v>
      </c>
      <c r="W302" s="137">
        <v>300</v>
      </c>
      <c r="X302" s="137">
        <v>300</v>
      </c>
    </row>
    <row r="303" spans="1:24">
      <c r="A303" s="132">
        <v>1992</v>
      </c>
      <c r="B303" s="137">
        <v>145600</v>
      </c>
      <c r="C303" s="131"/>
      <c r="D303" s="137">
        <v>140400</v>
      </c>
      <c r="E303" s="137">
        <v>95800</v>
      </c>
      <c r="F303" s="137">
        <v>2300</v>
      </c>
      <c r="G303" s="137">
        <v>5100</v>
      </c>
      <c r="H303" s="137">
        <v>6400</v>
      </c>
      <c r="I303" s="137">
        <v>100</v>
      </c>
      <c r="J303" s="137">
        <v>900</v>
      </c>
      <c r="K303" s="137">
        <v>6500</v>
      </c>
      <c r="L303" s="137">
        <v>2200</v>
      </c>
      <c r="M303" s="137">
        <v>1300</v>
      </c>
      <c r="N303" s="137">
        <v>5100</v>
      </c>
      <c r="O303" s="137">
        <v>2500</v>
      </c>
      <c r="P303" s="137">
        <v>1100</v>
      </c>
      <c r="Q303" s="137">
        <v>2000</v>
      </c>
      <c r="R303" s="137">
        <v>9100</v>
      </c>
      <c r="S303" s="131"/>
      <c r="T303" s="137">
        <v>5200</v>
      </c>
      <c r="U303" s="137">
        <v>3300</v>
      </c>
      <c r="V303" s="137">
        <v>1300</v>
      </c>
      <c r="W303" s="137">
        <v>400</v>
      </c>
      <c r="X303" s="137">
        <v>300</v>
      </c>
    </row>
    <row r="304" spans="1:24">
      <c r="A304" s="132">
        <v>1993</v>
      </c>
      <c r="B304" s="137">
        <v>147100</v>
      </c>
      <c r="C304" s="131"/>
      <c r="D304" s="137">
        <v>141000</v>
      </c>
      <c r="E304" s="137">
        <v>95100</v>
      </c>
      <c r="F304" s="137">
        <v>2400</v>
      </c>
      <c r="G304" s="137">
        <v>5500</v>
      </c>
      <c r="H304" s="137">
        <v>6400</v>
      </c>
      <c r="I304" s="137">
        <v>100</v>
      </c>
      <c r="J304" s="137">
        <v>1000</v>
      </c>
      <c r="K304" s="137">
        <v>7000</v>
      </c>
      <c r="L304" s="137">
        <v>2800</v>
      </c>
      <c r="M304" s="137">
        <v>1300</v>
      </c>
      <c r="N304" s="137">
        <v>3800</v>
      </c>
      <c r="O304" s="137">
        <v>2700</v>
      </c>
      <c r="P304" s="137">
        <v>1500</v>
      </c>
      <c r="Q304" s="137">
        <v>2400</v>
      </c>
      <c r="R304" s="137">
        <v>9000</v>
      </c>
      <c r="S304" s="131"/>
      <c r="T304" s="137">
        <v>6000</v>
      </c>
      <c r="U304" s="137">
        <v>3800</v>
      </c>
      <c r="V304" s="137">
        <v>1600</v>
      </c>
      <c r="W304" s="137">
        <v>400</v>
      </c>
      <c r="X304" s="137">
        <v>300</v>
      </c>
    </row>
    <row r="305" spans="1:24">
      <c r="A305" s="132">
        <v>1994</v>
      </c>
      <c r="B305" s="137">
        <v>149700</v>
      </c>
      <c r="C305" s="131"/>
      <c r="D305" s="137">
        <v>143800</v>
      </c>
      <c r="E305" s="137">
        <v>97700</v>
      </c>
      <c r="F305" s="137">
        <v>2600</v>
      </c>
      <c r="G305" s="137">
        <v>6100</v>
      </c>
      <c r="H305" s="137">
        <v>6600</v>
      </c>
      <c r="I305" s="137">
        <v>100</v>
      </c>
      <c r="J305" s="137">
        <v>1100</v>
      </c>
      <c r="K305" s="137">
        <v>7500</v>
      </c>
      <c r="L305" s="137">
        <v>2200</v>
      </c>
      <c r="M305" s="137">
        <v>1300</v>
      </c>
      <c r="N305" s="137">
        <v>3500</v>
      </c>
      <c r="O305" s="137">
        <v>2400</v>
      </c>
      <c r="P305" s="137">
        <v>1200</v>
      </c>
      <c r="Q305" s="137">
        <v>2400</v>
      </c>
      <c r="R305" s="137">
        <v>9100</v>
      </c>
      <c r="S305" s="131"/>
      <c r="T305" s="137">
        <v>5900</v>
      </c>
      <c r="U305" s="137">
        <v>3900</v>
      </c>
      <c r="V305" s="137">
        <v>1500</v>
      </c>
      <c r="W305" s="137">
        <v>300</v>
      </c>
      <c r="X305" s="137">
        <v>200</v>
      </c>
    </row>
    <row r="306" spans="1:24">
      <c r="A306" s="132">
        <v>1995</v>
      </c>
      <c r="B306" s="137">
        <v>153900</v>
      </c>
      <c r="C306" s="131"/>
      <c r="D306" s="137">
        <v>147900</v>
      </c>
      <c r="E306" s="137">
        <v>99000</v>
      </c>
      <c r="F306" s="137">
        <v>3200</v>
      </c>
      <c r="G306" s="137">
        <v>5700</v>
      </c>
      <c r="H306" s="137">
        <v>6800</v>
      </c>
      <c r="I306" s="137">
        <v>100</v>
      </c>
      <c r="J306" s="137">
        <v>1200</v>
      </c>
      <c r="K306" s="137">
        <v>7200</v>
      </c>
      <c r="L306" s="137">
        <v>2600</v>
      </c>
      <c r="M306" s="137">
        <v>1300</v>
      </c>
      <c r="N306" s="137">
        <v>4100</v>
      </c>
      <c r="O306" s="137">
        <v>2800</v>
      </c>
      <c r="P306" s="137">
        <v>1300</v>
      </c>
      <c r="Q306" s="137">
        <v>2700</v>
      </c>
      <c r="R306" s="137">
        <v>9700</v>
      </c>
      <c r="S306" s="131"/>
      <c r="T306" s="137">
        <v>6000</v>
      </c>
      <c r="U306" s="137">
        <v>4000</v>
      </c>
      <c r="V306" s="137">
        <v>1600</v>
      </c>
      <c r="W306" s="137">
        <v>200</v>
      </c>
      <c r="X306" s="137">
        <v>200</v>
      </c>
    </row>
    <row r="307" spans="1:24">
      <c r="A307" s="132">
        <v>1996</v>
      </c>
      <c r="B307" s="137">
        <v>159700</v>
      </c>
      <c r="C307" s="131"/>
      <c r="D307" s="137">
        <v>152900</v>
      </c>
      <c r="E307" s="137">
        <v>100400</v>
      </c>
      <c r="F307" s="137">
        <v>3700</v>
      </c>
      <c r="G307" s="137">
        <v>5500</v>
      </c>
      <c r="H307" s="137">
        <v>6800</v>
      </c>
      <c r="I307" s="137">
        <v>100</v>
      </c>
      <c r="J307" s="137">
        <v>1300</v>
      </c>
      <c r="K307" s="137">
        <v>7500</v>
      </c>
      <c r="L307" s="137">
        <v>3600</v>
      </c>
      <c r="M307" s="137">
        <v>1100</v>
      </c>
      <c r="N307" s="137">
        <v>4800</v>
      </c>
      <c r="O307" s="137">
        <v>3000</v>
      </c>
      <c r="P307" s="137">
        <v>1300</v>
      </c>
      <c r="Q307" s="137">
        <v>2900</v>
      </c>
      <c r="R307" s="137">
        <v>10800</v>
      </c>
      <c r="S307" s="131"/>
      <c r="T307" s="137">
        <v>6900</v>
      </c>
      <c r="U307" s="137">
        <v>4500</v>
      </c>
      <c r="V307" s="137">
        <v>2000</v>
      </c>
      <c r="W307" s="137">
        <v>200</v>
      </c>
      <c r="X307" s="137">
        <v>100</v>
      </c>
    </row>
    <row r="308" spans="1:24">
      <c r="A308" s="132">
        <v>1997</v>
      </c>
      <c r="B308" s="137">
        <v>165900</v>
      </c>
      <c r="C308" s="131"/>
      <c r="D308" s="137">
        <v>158900</v>
      </c>
      <c r="E308" s="137">
        <v>103400</v>
      </c>
      <c r="F308" s="137">
        <v>3700</v>
      </c>
      <c r="G308" s="137">
        <v>5000</v>
      </c>
      <c r="H308" s="137">
        <v>7000</v>
      </c>
      <c r="I308" s="137">
        <v>100</v>
      </c>
      <c r="J308" s="137">
        <v>1300</v>
      </c>
      <c r="K308" s="137">
        <v>7700</v>
      </c>
      <c r="L308" s="137">
        <v>5000</v>
      </c>
      <c r="M308" s="137">
        <v>1200</v>
      </c>
      <c r="N308" s="137">
        <v>4700</v>
      </c>
      <c r="O308" s="137">
        <v>3500</v>
      </c>
      <c r="P308" s="137">
        <v>1400</v>
      </c>
      <c r="Q308" s="137">
        <v>3000</v>
      </c>
      <c r="R308" s="137">
        <v>12000</v>
      </c>
      <c r="S308" s="131"/>
      <c r="T308" s="137">
        <v>7000</v>
      </c>
      <c r="U308" s="137">
        <v>4400</v>
      </c>
      <c r="V308" s="137">
        <v>2000</v>
      </c>
      <c r="W308" s="137">
        <v>200</v>
      </c>
      <c r="X308" s="137">
        <v>400</v>
      </c>
    </row>
    <row r="309" spans="1:24">
      <c r="A309" s="132">
        <v>1998</v>
      </c>
      <c r="B309" s="137">
        <v>172700</v>
      </c>
      <c r="C309" s="131"/>
      <c r="D309" s="137">
        <v>166100</v>
      </c>
      <c r="E309" s="137">
        <v>107400</v>
      </c>
      <c r="F309" s="137">
        <v>4000</v>
      </c>
      <c r="G309" s="137">
        <v>4900</v>
      </c>
      <c r="H309" s="137">
        <v>7300</v>
      </c>
      <c r="I309" s="137">
        <v>100</v>
      </c>
      <c r="J309" s="137">
        <v>1200</v>
      </c>
      <c r="K309" s="137">
        <v>8600</v>
      </c>
      <c r="L309" s="137">
        <v>6200</v>
      </c>
      <c r="M309" s="137">
        <v>1100</v>
      </c>
      <c r="N309" s="137">
        <v>4700</v>
      </c>
      <c r="O309" s="137">
        <v>3300</v>
      </c>
      <c r="P309" s="137">
        <v>1400</v>
      </c>
      <c r="Q309" s="137">
        <v>2800</v>
      </c>
      <c r="R309" s="137">
        <v>12900</v>
      </c>
      <c r="S309" s="131"/>
      <c r="T309" s="137">
        <v>6700</v>
      </c>
      <c r="U309" s="137">
        <v>4400</v>
      </c>
      <c r="V309" s="137">
        <v>1900</v>
      </c>
      <c r="W309" s="137">
        <v>200</v>
      </c>
      <c r="X309" s="137">
        <v>200</v>
      </c>
    </row>
    <row r="310" spans="1:24">
      <c r="A310" s="132">
        <v>1999</v>
      </c>
      <c r="B310" s="137">
        <v>179800</v>
      </c>
      <c r="C310" s="131"/>
      <c r="D310" s="137">
        <v>173200</v>
      </c>
      <c r="E310" s="137">
        <v>111600</v>
      </c>
      <c r="F310" s="137">
        <v>4400</v>
      </c>
      <c r="G310" s="137">
        <v>4900</v>
      </c>
      <c r="H310" s="137">
        <v>7600</v>
      </c>
      <c r="I310" s="137">
        <v>100</v>
      </c>
      <c r="J310" s="137">
        <v>1300</v>
      </c>
      <c r="K310" s="137">
        <v>8800</v>
      </c>
      <c r="L310" s="137">
        <v>7600</v>
      </c>
      <c r="M310" s="137">
        <v>1100</v>
      </c>
      <c r="N310" s="137">
        <v>4400</v>
      </c>
      <c r="O310" s="137">
        <v>3600</v>
      </c>
      <c r="P310" s="137">
        <v>1300</v>
      </c>
      <c r="Q310" s="137">
        <v>2800</v>
      </c>
      <c r="R310" s="137">
        <v>13700</v>
      </c>
      <c r="S310" s="131"/>
      <c r="T310" s="137">
        <v>6600</v>
      </c>
      <c r="U310" s="137">
        <v>4400</v>
      </c>
      <c r="V310" s="137">
        <v>1800</v>
      </c>
      <c r="W310" s="137">
        <v>200</v>
      </c>
      <c r="X310" s="137">
        <v>100</v>
      </c>
    </row>
    <row r="311" spans="1:24">
      <c r="A311" s="132">
        <v>2000</v>
      </c>
      <c r="B311" s="137">
        <v>185400</v>
      </c>
      <c r="C311" s="131"/>
      <c r="D311" s="137">
        <v>179100</v>
      </c>
      <c r="E311" s="137">
        <v>115900</v>
      </c>
      <c r="F311" s="137">
        <v>4600</v>
      </c>
      <c r="G311" s="137">
        <v>5100</v>
      </c>
      <c r="H311" s="137">
        <v>7800</v>
      </c>
      <c r="I311" s="137">
        <v>100</v>
      </c>
      <c r="J311" s="137">
        <v>1300</v>
      </c>
      <c r="K311" s="137">
        <v>9100</v>
      </c>
      <c r="L311" s="137">
        <v>7500</v>
      </c>
      <c r="M311" s="137">
        <v>900</v>
      </c>
      <c r="N311" s="137">
        <v>4800</v>
      </c>
      <c r="O311" s="137">
        <v>3600</v>
      </c>
      <c r="P311" s="137">
        <v>1500</v>
      </c>
      <c r="Q311" s="137">
        <v>2700</v>
      </c>
      <c r="R311" s="137">
        <v>14200</v>
      </c>
      <c r="S311" s="131"/>
      <c r="T311" s="137">
        <v>6300</v>
      </c>
      <c r="U311" s="137">
        <v>4200</v>
      </c>
      <c r="V311" s="137">
        <v>1700</v>
      </c>
      <c r="W311" s="137">
        <v>200</v>
      </c>
      <c r="X311" s="137">
        <v>200</v>
      </c>
    </row>
    <row r="312" spans="1:24">
      <c r="A312" s="132">
        <v>2001</v>
      </c>
      <c r="B312" s="137">
        <v>179900</v>
      </c>
      <c r="C312" s="131"/>
      <c r="D312" s="137">
        <v>173400</v>
      </c>
      <c r="E312" s="137">
        <v>117800</v>
      </c>
      <c r="F312" s="137">
        <v>4800</v>
      </c>
      <c r="G312" s="137">
        <v>5400</v>
      </c>
      <c r="H312" s="137">
        <v>8200</v>
      </c>
      <c r="I312" s="137">
        <v>100</v>
      </c>
      <c r="J312" s="137">
        <v>900</v>
      </c>
      <c r="K312" s="137">
        <v>8500</v>
      </c>
      <c r="L312" s="137">
        <v>2900</v>
      </c>
      <c r="M312" s="137">
        <v>1100</v>
      </c>
      <c r="N312" s="137">
        <v>4500</v>
      </c>
      <c r="O312" s="137">
        <v>2600</v>
      </c>
      <c r="P312" s="137">
        <v>1300</v>
      </c>
      <c r="Q312" s="137">
        <v>1700</v>
      </c>
      <c r="R312" s="137">
        <v>13500</v>
      </c>
      <c r="S312" s="131"/>
      <c r="T312" s="137">
        <v>6500</v>
      </c>
      <c r="U312" s="137">
        <v>4400</v>
      </c>
      <c r="V312" s="137">
        <v>1800</v>
      </c>
      <c r="W312" s="137">
        <v>300</v>
      </c>
      <c r="X312" s="137">
        <v>100</v>
      </c>
    </row>
    <row r="313" spans="1:24">
      <c r="A313" s="132">
        <v>2002</v>
      </c>
      <c r="B313" s="137">
        <v>177400</v>
      </c>
      <c r="C313" s="131"/>
      <c r="D313" s="137">
        <v>170700</v>
      </c>
      <c r="E313" s="137">
        <v>116600</v>
      </c>
      <c r="F313" s="137">
        <v>5300</v>
      </c>
      <c r="G313" s="137">
        <v>6300</v>
      </c>
      <c r="H313" s="137">
        <v>8000</v>
      </c>
      <c r="I313" s="137">
        <v>100</v>
      </c>
      <c r="J313" s="137">
        <v>800</v>
      </c>
      <c r="K313" s="137">
        <v>8600</v>
      </c>
      <c r="L313" s="137">
        <v>2200</v>
      </c>
      <c r="M313" s="137">
        <v>1000</v>
      </c>
      <c r="N313" s="137">
        <v>3200</v>
      </c>
      <c r="O313" s="137">
        <v>2100</v>
      </c>
      <c r="P313" s="137">
        <v>1300</v>
      </c>
      <c r="Q313" s="137">
        <v>1500</v>
      </c>
      <c r="R313" s="137">
        <v>13600</v>
      </c>
      <c r="S313" s="131"/>
      <c r="T313" s="137">
        <v>6700</v>
      </c>
      <c r="U313" s="137">
        <v>4400</v>
      </c>
      <c r="V313" s="137">
        <v>1700</v>
      </c>
      <c r="W313" s="137">
        <v>500</v>
      </c>
      <c r="X313" s="137">
        <v>200</v>
      </c>
    </row>
    <row r="314" spans="1:24">
      <c r="A314" s="132">
        <v>2003</v>
      </c>
      <c r="B314" s="137">
        <v>181000</v>
      </c>
      <c r="C314" s="131"/>
      <c r="D314" s="137">
        <v>174200</v>
      </c>
      <c r="E314" s="137">
        <v>117400</v>
      </c>
      <c r="F314" s="137">
        <v>6700</v>
      </c>
      <c r="G314" s="137">
        <v>6900</v>
      </c>
      <c r="H314" s="137">
        <v>8200</v>
      </c>
      <c r="I314" s="137">
        <v>100</v>
      </c>
      <c r="J314" s="137">
        <v>1100</v>
      </c>
      <c r="K314" s="137">
        <v>8700</v>
      </c>
      <c r="L314" s="137">
        <v>2500</v>
      </c>
      <c r="M314" s="137">
        <v>900</v>
      </c>
      <c r="N314" s="137">
        <v>2500</v>
      </c>
      <c r="O314" s="137">
        <v>2100</v>
      </c>
      <c r="P314" s="137">
        <v>1200</v>
      </c>
      <c r="Q314" s="137">
        <v>1800</v>
      </c>
      <c r="R314" s="137">
        <v>14000</v>
      </c>
      <c r="S314" s="131"/>
      <c r="T314" s="137">
        <v>6800</v>
      </c>
      <c r="U314" s="137">
        <v>4400</v>
      </c>
      <c r="V314" s="137">
        <v>1900</v>
      </c>
      <c r="W314" s="137">
        <v>400</v>
      </c>
      <c r="X314" s="137">
        <v>100</v>
      </c>
    </row>
    <row r="315" spans="1:24">
      <c r="A315" s="132">
        <v>2004</v>
      </c>
      <c r="B315" s="137">
        <v>187100</v>
      </c>
      <c r="C315" s="131"/>
      <c r="D315" s="137">
        <v>180500</v>
      </c>
      <c r="E315" s="137">
        <v>118700</v>
      </c>
      <c r="F315" s="137">
        <v>7100</v>
      </c>
      <c r="G315" s="137">
        <v>7700</v>
      </c>
      <c r="H315" s="137">
        <v>8300</v>
      </c>
      <c r="I315" s="137">
        <v>100</v>
      </c>
      <c r="J315" s="137">
        <v>1400</v>
      </c>
      <c r="K315" s="137">
        <v>9500</v>
      </c>
      <c r="L315" s="137">
        <v>4100</v>
      </c>
      <c r="M315" s="137">
        <v>800</v>
      </c>
      <c r="N315" s="137">
        <v>2300</v>
      </c>
      <c r="O315" s="137">
        <v>2700</v>
      </c>
      <c r="P315" s="137">
        <v>1500</v>
      </c>
      <c r="Q315" s="137">
        <v>2400</v>
      </c>
      <c r="R315" s="137">
        <v>13800</v>
      </c>
      <c r="S315" s="131"/>
      <c r="T315" s="137">
        <v>6600</v>
      </c>
      <c r="U315" s="137">
        <v>4200</v>
      </c>
      <c r="V315" s="137">
        <v>1900</v>
      </c>
      <c r="W315" s="137">
        <v>300</v>
      </c>
      <c r="X315" s="137">
        <v>100</v>
      </c>
    </row>
    <row r="316" spans="1:24">
      <c r="A316" s="132">
        <v>2005</v>
      </c>
      <c r="B316" s="137">
        <v>194500</v>
      </c>
      <c r="C316" s="131"/>
      <c r="D316" s="137">
        <v>186900</v>
      </c>
      <c r="E316" s="137">
        <v>117900</v>
      </c>
      <c r="F316" s="137">
        <v>7500</v>
      </c>
      <c r="G316" s="137">
        <v>8000</v>
      </c>
      <c r="H316" s="137">
        <v>8200</v>
      </c>
      <c r="I316" s="137">
        <v>100</v>
      </c>
      <c r="J316" s="137">
        <v>1800</v>
      </c>
      <c r="K316" s="137">
        <v>10300</v>
      </c>
      <c r="L316" s="137">
        <v>5800</v>
      </c>
      <c r="M316" s="137">
        <v>900</v>
      </c>
      <c r="N316" s="137">
        <v>2900</v>
      </c>
      <c r="O316" s="137">
        <v>3100</v>
      </c>
      <c r="P316" s="137">
        <v>1500</v>
      </c>
      <c r="Q316" s="137">
        <v>3200</v>
      </c>
      <c r="R316" s="137">
        <v>15700</v>
      </c>
      <c r="S316" s="131"/>
      <c r="T316" s="137">
        <v>7600</v>
      </c>
      <c r="U316" s="137">
        <v>4800</v>
      </c>
      <c r="V316" s="137">
        <v>2300</v>
      </c>
      <c r="W316" s="137">
        <v>200</v>
      </c>
      <c r="X316" s="137">
        <v>200</v>
      </c>
    </row>
    <row r="317" spans="1:24">
      <c r="A317" s="132">
        <v>2006</v>
      </c>
      <c r="B317" s="137">
        <v>199900</v>
      </c>
      <c r="C317" s="131"/>
      <c r="D317" s="137">
        <v>191800</v>
      </c>
      <c r="E317" s="137">
        <v>118900</v>
      </c>
      <c r="F317" s="137">
        <v>7600</v>
      </c>
      <c r="G317" s="137">
        <v>7800</v>
      </c>
      <c r="H317" s="137">
        <v>8200</v>
      </c>
      <c r="I317" s="137">
        <v>100</v>
      </c>
      <c r="J317" s="137">
        <v>2000</v>
      </c>
      <c r="K317" s="137">
        <v>10600</v>
      </c>
      <c r="L317" s="137">
        <v>6300</v>
      </c>
      <c r="M317" s="137">
        <v>1200</v>
      </c>
      <c r="N317" s="137">
        <v>4100</v>
      </c>
      <c r="O317" s="137">
        <v>3600</v>
      </c>
      <c r="P317" s="137">
        <v>1400</v>
      </c>
      <c r="Q317" s="137">
        <v>3600</v>
      </c>
      <c r="R317" s="137">
        <v>16400</v>
      </c>
      <c r="S317" s="131"/>
      <c r="T317" s="137">
        <v>8100</v>
      </c>
      <c r="U317" s="137">
        <v>5000</v>
      </c>
      <c r="V317" s="137">
        <v>2600</v>
      </c>
      <c r="W317" s="137">
        <v>200</v>
      </c>
      <c r="X317" s="137">
        <v>200</v>
      </c>
    </row>
    <row r="318" spans="1:24">
      <c r="A318" s="132">
        <v>2007</v>
      </c>
      <c r="B318" s="137">
        <v>205100</v>
      </c>
      <c r="C318" s="131"/>
      <c r="D318" s="137">
        <v>196200</v>
      </c>
      <c r="E318" s="137">
        <v>120200</v>
      </c>
      <c r="F318" s="137">
        <v>7900</v>
      </c>
      <c r="G318" s="137">
        <v>7400</v>
      </c>
      <c r="H318" s="137">
        <v>8300</v>
      </c>
      <c r="I318" s="137">
        <v>100</v>
      </c>
      <c r="J318" s="137">
        <v>1700</v>
      </c>
      <c r="K318" s="137">
        <v>10600</v>
      </c>
      <c r="L318" s="137">
        <v>7200</v>
      </c>
      <c r="M318" s="137">
        <v>1100</v>
      </c>
      <c r="N318" s="137">
        <v>4900</v>
      </c>
      <c r="O318" s="137">
        <v>4100</v>
      </c>
      <c r="P318" s="137">
        <v>1500</v>
      </c>
      <c r="Q318" s="137">
        <v>3200</v>
      </c>
      <c r="R318" s="137">
        <v>18100</v>
      </c>
      <c r="S318" s="131"/>
      <c r="T318" s="137">
        <v>8900</v>
      </c>
      <c r="U318" s="137">
        <v>5600</v>
      </c>
      <c r="V318" s="137">
        <v>3000</v>
      </c>
      <c r="W318" s="137">
        <v>200</v>
      </c>
      <c r="X318" s="137">
        <v>100</v>
      </c>
    </row>
    <row r="319" spans="1:24">
      <c r="A319" s="132">
        <v>2008</v>
      </c>
      <c r="B319" s="137">
        <v>198300</v>
      </c>
      <c r="C319" s="131"/>
      <c r="D319" s="137">
        <v>190000</v>
      </c>
      <c r="E319" s="137">
        <v>123600</v>
      </c>
      <c r="F319" s="137">
        <v>7900</v>
      </c>
      <c r="G319" s="137">
        <v>7600</v>
      </c>
      <c r="H319" s="137">
        <v>8600</v>
      </c>
      <c r="I319" s="137">
        <v>100</v>
      </c>
      <c r="J319" s="137">
        <v>1100</v>
      </c>
      <c r="K319" s="137">
        <v>9500</v>
      </c>
      <c r="L319" s="137">
        <v>2500</v>
      </c>
      <c r="M319" s="137">
        <v>1300</v>
      </c>
      <c r="N319" s="137">
        <v>3700</v>
      </c>
      <c r="O319" s="137">
        <v>3500</v>
      </c>
      <c r="P319" s="137">
        <v>1600</v>
      </c>
      <c r="Q319" s="137">
        <v>1700</v>
      </c>
      <c r="R319" s="137">
        <v>17200</v>
      </c>
      <c r="S319" s="131"/>
      <c r="T319" s="137">
        <v>8300</v>
      </c>
      <c r="U319" s="137">
        <v>5200</v>
      </c>
      <c r="V319" s="137">
        <v>2700</v>
      </c>
      <c r="W319" s="137">
        <v>300</v>
      </c>
      <c r="X319" s="137">
        <v>200</v>
      </c>
    </row>
    <row r="320" spans="1:24">
      <c r="A320" s="132">
        <v>2009</v>
      </c>
      <c r="B320" s="137">
        <v>192700</v>
      </c>
      <c r="C320" s="131"/>
      <c r="D320" s="137">
        <v>182600</v>
      </c>
      <c r="E320" s="137">
        <v>120400</v>
      </c>
      <c r="F320" s="137">
        <v>7400</v>
      </c>
      <c r="G320" s="137">
        <v>7800</v>
      </c>
      <c r="H320" s="137">
        <v>8500</v>
      </c>
      <c r="I320" s="137">
        <v>100</v>
      </c>
      <c r="J320" s="137">
        <v>800</v>
      </c>
      <c r="K320" s="137">
        <v>8600</v>
      </c>
      <c r="L320" s="137">
        <v>1300</v>
      </c>
      <c r="M320" s="137">
        <v>1200</v>
      </c>
      <c r="N320" s="137">
        <v>2700</v>
      </c>
      <c r="O320" s="137">
        <v>2400</v>
      </c>
      <c r="P320" s="137">
        <v>1500</v>
      </c>
      <c r="Q320" s="137">
        <v>1300</v>
      </c>
      <c r="R320" s="137">
        <v>18600</v>
      </c>
      <c r="S320" s="131"/>
      <c r="T320" s="137">
        <v>10100</v>
      </c>
      <c r="U320" s="137">
        <v>6200</v>
      </c>
      <c r="V320" s="137">
        <v>3000</v>
      </c>
      <c r="W320" s="137">
        <v>900</v>
      </c>
      <c r="X320" s="137">
        <v>100</v>
      </c>
    </row>
    <row r="321" spans="1:24">
      <c r="A321" s="132">
        <v>2010</v>
      </c>
      <c r="B321" s="137">
        <v>194200</v>
      </c>
      <c r="C321" s="131"/>
      <c r="D321" s="137">
        <v>184400</v>
      </c>
      <c r="E321" s="137">
        <v>118400</v>
      </c>
      <c r="F321" s="137">
        <v>7300</v>
      </c>
      <c r="G321" s="137">
        <v>7600</v>
      </c>
      <c r="H321" s="137">
        <v>8300</v>
      </c>
      <c r="I321" s="137">
        <v>100</v>
      </c>
      <c r="J321" s="137">
        <v>1100</v>
      </c>
      <c r="K321" s="137">
        <v>9600</v>
      </c>
      <c r="L321" s="137">
        <v>1700</v>
      </c>
      <c r="M321" s="137">
        <v>1300</v>
      </c>
      <c r="N321" s="137">
        <v>2000</v>
      </c>
      <c r="O321" s="137">
        <v>2800</v>
      </c>
      <c r="P321" s="137">
        <v>1500</v>
      </c>
      <c r="Q321" s="137">
        <v>1700</v>
      </c>
      <c r="R321" s="137">
        <v>21100</v>
      </c>
      <c r="S321" s="131"/>
      <c r="T321" s="137">
        <v>9800</v>
      </c>
      <c r="U321" s="137">
        <v>5900</v>
      </c>
      <c r="V321" s="137">
        <v>3100</v>
      </c>
      <c r="W321" s="137">
        <v>700</v>
      </c>
      <c r="X321" s="137">
        <v>100</v>
      </c>
    </row>
    <row r="322" spans="1:24">
      <c r="A322" s="132">
        <v>2011</v>
      </c>
      <c r="B322" s="137">
        <v>197000</v>
      </c>
      <c r="C322" s="131"/>
      <c r="D322" s="137">
        <v>187400</v>
      </c>
      <c r="E322" s="137">
        <v>121000</v>
      </c>
      <c r="F322" s="137">
        <v>7400</v>
      </c>
      <c r="G322" s="137">
        <v>7600</v>
      </c>
      <c r="H322" s="137">
        <v>8400</v>
      </c>
      <c r="I322" s="137">
        <v>100</v>
      </c>
      <c r="J322" s="137">
        <v>1100</v>
      </c>
      <c r="K322" s="137">
        <v>9700</v>
      </c>
      <c r="L322" s="137">
        <v>2000</v>
      </c>
      <c r="M322" s="137">
        <v>1200</v>
      </c>
      <c r="N322" s="137">
        <v>1700</v>
      </c>
      <c r="O322" s="137">
        <v>2900</v>
      </c>
      <c r="P322" s="137">
        <v>1700</v>
      </c>
      <c r="Q322" s="137">
        <v>1700</v>
      </c>
      <c r="R322" s="137">
        <v>20900</v>
      </c>
      <c r="S322" s="131"/>
      <c r="T322" s="137">
        <v>9600</v>
      </c>
      <c r="U322" s="137">
        <v>5900</v>
      </c>
      <c r="V322" s="137">
        <v>3000</v>
      </c>
      <c r="W322" s="137">
        <v>600</v>
      </c>
      <c r="X322" s="137">
        <v>100</v>
      </c>
    </row>
    <row r="323" spans="1:24">
      <c r="A323" s="132">
        <v>2012</v>
      </c>
      <c r="B323" s="137">
        <v>200000</v>
      </c>
      <c r="C323" s="131"/>
      <c r="D323" s="137">
        <v>189900</v>
      </c>
      <c r="E323" s="137">
        <v>121800</v>
      </c>
      <c r="F323" s="137">
        <v>7500</v>
      </c>
      <c r="G323" s="137">
        <v>7200</v>
      </c>
      <c r="H323" s="137">
        <v>8500</v>
      </c>
      <c r="I323" s="137">
        <v>100</v>
      </c>
      <c r="J323" s="137">
        <v>1300</v>
      </c>
      <c r="K323" s="137">
        <v>10100</v>
      </c>
      <c r="L323" s="137">
        <v>2700</v>
      </c>
      <c r="M323" s="137">
        <v>1000</v>
      </c>
      <c r="N323" s="137">
        <v>1400</v>
      </c>
      <c r="O323" s="137">
        <v>3300</v>
      </c>
      <c r="P323" s="137">
        <v>1800</v>
      </c>
      <c r="Q323" s="137">
        <v>1800</v>
      </c>
      <c r="R323" s="137">
        <v>21300</v>
      </c>
      <c r="S323" s="131"/>
      <c r="T323" s="137">
        <v>10100</v>
      </c>
      <c r="U323" s="137">
        <v>6200</v>
      </c>
      <c r="V323" s="137">
        <v>3300</v>
      </c>
      <c r="W323" s="137">
        <v>500</v>
      </c>
      <c r="X323" s="137">
        <v>100</v>
      </c>
    </row>
    <row r="324" spans="1:24">
      <c r="A324" s="132">
        <v>2013</v>
      </c>
      <c r="B324" s="137">
        <v>205500</v>
      </c>
      <c r="C324" s="131"/>
      <c r="D324" s="137">
        <v>195900</v>
      </c>
      <c r="E324" s="137">
        <v>125000</v>
      </c>
      <c r="F324" s="137">
        <v>8000</v>
      </c>
      <c r="G324" s="137">
        <v>7300</v>
      </c>
      <c r="H324" s="137">
        <v>8800</v>
      </c>
      <c r="I324" s="137">
        <v>100</v>
      </c>
      <c r="J324" s="137">
        <v>1500</v>
      </c>
      <c r="K324" s="137">
        <v>10700</v>
      </c>
      <c r="L324" s="137">
        <v>4000</v>
      </c>
      <c r="M324" s="137">
        <v>900</v>
      </c>
      <c r="N324" s="137">
        <v>1200</v>
      </c>
      <c r="O324" s="137">
        <v>3100</v>
      </c>
      <c r="P324" s="137">
        <v>1900</v>
      </c>
      <c r="Q324" s="137">
        <v>2500</v>
      </c>
      <c r="R324" s="137">
        <v>20900</v>
      </c>
      <c r="S324" s="131"/>
      <c r="T324" s="137">
        <v>9600</v>
      </c>
      <c r="U324" s="137">
        <v>6100</v>
      </c>
      <c r="V324" s="137">
        <v>3200</v>
      </c>
      <c r="W324" s="137">
        <v>300</v>
      </c>
      <c r="X324" s="137">
        <v>100</v>
      </c>
    </row>
    <row r="325" spans="1:24">
      <c r="A325" s="132">
        <v>2014</v>
      </c>
      <c r="B325" s="137">
        <v>209200</v>
      </c>
      <c r="C325" s="131"/>
      <c r="D325" s="137">
        <v>198400</v>
      </c>
      <c r="E325" s="137">
        <v>124300</v>
      </c>
      <c r="F325" s="137">
        <v>8000</v>
      </c>
      <c r="G325" s="137">
        <v>7100</v>
      </c>
      <c r="H325" s="137">
        <v>8800</v>
      </c>
      <c r="I325" s="137">
        <v>100</v>
      </c>
      <c r="J325" s="137">
        <v>1600</v>
      </c>
      <c r="K325" s="137">
        <v>10900</v>
      </c>
      <c r="L325" s="137">
        <v>5200</v>
      </c>
      <c r="M325" s="137">
        <v>800</v>
      </c>
      <c r="N325" s="137">
        <v>1100</v>
      </c>
      <c r="O325" s="137">
        <v>3800</v>
      </c>
      <c r="P325" s="137">
        <v>1800</v>
      </c>
      <c r="Q325" s="137">
        <v>2800</v>
      </c>
      <c r="R325" s="137">
        <v>22300</v>
      </c>
      <c r="S325" s="131"/>
      <c r="T325" s="137">
        <v>10800</v>
      </c>
      <c r="U325" s="137">
        <v>6900</v>
      </c>
      <c r="V325" s="137">
        <v>3500</v>
      </c>
      <c r="W325" s="137">
        <v>200</v>
      </c>
      <c r="X325" s="137">
        <v>200</v>
      </c>
    </row>
    <row r="326" spans="1:24">
      <c r="A326" s="132">
        <v>2015</v>
      </c>
      <c r="B326" s="137">
        <v>216700</v>
      </c>
      <c r="C326" s="131"/>
      <c r="D326" s="137">
        <v>206500</v>
      </c>
      <c r="E326" s="137">
        <v>131000</v>
      </c>
      <c r="F326" s="137">
        <v>8600</v>
      </c>
      <c r="G326" s="137">
        <v>7400</v>
      </c>
      <c r="H326" s="137">
        <v>9200</v>
      </c>
      <c r="I326" s="137">
        <v>100</v>
      </c>
      <c r="J326" s="137">
        <v>1500</v>
      </c>
      <c r="K326" s="137">
        <v>11500</v>
      </c>
      <c r="L326" s="137">
        <v>4800</v>
      </c>
      <c r="M326" s="137">
        <v>900</v>
      </c>
      <c r="N326" s="137">
        <v>1200</v>
      </c>
      <c r="O326" s="137">
        <v>3700</v>
      </c>
      <c r="P326" s="137">
        <v>1800</v>
      </c>
      <c r="Q326" s="137">
        <v>2600</v>
      </c>
      <c r="R326" s="137">
        <v>22200</v>
      </c>
      <c r="S326" s="131"/>
      <c r="T326" s="137">
        <v>10200</v>
      </c>
      <c r="U326" s="137">
        <v>6400</v>
      </c>
      <c r="V326" s="137">
        <v>3300</v>
      </c>
      <c r="W326" s="137">
        <v>200</v>
      </c>
      <c r="X326" s="137">
        <v>300</v>
      </c>
    </row>
    <row r="327" spans="1:24">
      <c r="A327" s="132">
        <v>2016</v>
      </c>
      <c r="B327" s="137">
        <v>218300</v>
      </c>
      <c r="C327" s="131"/>
      <c r="D327" s="137">
        <v>208000</v>
      </c>
      <c r="E327" s="137">
        <v>132800</v>
      </c>
      <c r="F327" s="137">
        <v>8700</v>
      </c>
      <c r="G327" s="137">
        <v>7600</v>
      </c>
      <c r="H327" s="137">
        <v>9300</v>
      </c>
      <c r="I327" s="137">
        <v>100</v>
      </c>
      <c r="J327" s="137">
        <v>1500</v>
      </c>
      <c r="K327" s="137">
        <v>11700</v>
      </c>
      <c r="L327" s="137">
        <v>4400</v>
      </c>
      <c r="M327" s="137">
        <v>900</v>
      </c>
      <c r="N327" s="137">
        <v>1100</v>
      </c>
      <c r="O327" s="137">
        <v>3600</v>
      </c>
      <c r="P327" s="137">
        <v>1800</v>
      </c>
      <c r="Q327" s="137">
        <v>2600</v>
      </c>
      <c r="R327" s="137">
        <v>21900</v>
      </c>
      <c r="S327" s="131"/>
      <c r="T327" s="137">
        <v>10400</v>
      </c>
      <c r="U327" s="137">
        <v>6500</v>
      </c>
      <c r="V327" s="137">
        <v>3400</v>
      </c>
      <c r="W327" s="137">
        <v>200</v>
      </c>
      <c r="X327" s="137">
        <v>200</v>
      </c>
    </row>
    <row r="329" spans="1:24">
      <c r="A329" s="131"/>
      <c r="B329" s="774" t="s">
        <v>12</v>
      </c>
      <c r="C329" s="774"/>
      <c r="D329" s="774"/>
      <c r="E329" s="774"/>
      <c r="F329" s="774"/>
      <c r="G329" s="774"/>
      <c r="H329" s="774"/>
      <c r="I329" s="774"/>
      <c r="J329" s="774"/>
      <c r="K329" s="774"/>
      <c r="L329" s="774"/>
      <c r="M329" s="774"/>
      <c r="N329" s="774"/>
      <c r="O329" s="774"/>
      <c r="P329" s="774"/>
      <c r="Q329" s="774"/>
      <c r="R329" s="774"/>
      <c r="S329" s="774"/>
      <c r="T329" s="774"/>
      <c r="U329" s="774"/>
      <c r="V329" s="774"/>
      <c r="W329" s="774"/>
      <c r="X329" s="774"/>
    </row>
    <row r="330" spans="1:24">
      <c r="A330" s="132">
        <v>1979</v>
      </c>
      <c r="B330" s="137">
        <v>179800</v>
      </c>
      <c r="C330" s="131"/>
      <c r="D330" s="137">
        <v>175800</v>
      </c>
      <c r="E330" s="137">
        <v>101700</v>
      </c>
      <c r="F330" s="137">
        <v>0</v>
      </c>
      <c r="G330" s="137">
        <v>3200</v>
      </c>
      <c r="H330" s="137">
        <v>3600</v>
      </c>
      <c r="I330" s="137">
        <v>200</v>
      </c>
      <c r="J330" s="137">
        <v>1300</v>
      </c>
      <c r="K330" s="137">
        <v>18700</v>
      </c>
      <c r="L330" s="137">
        <v>11300</v>
      </c>
      <c r="M330" s="137">
        <v>800</v>
      </c>
      <c r="N330" s="137">
        <v>11700</v>
      </c>
      <c r="O330" s="137">
        <v>6400</v>
      </c>
      <c r="P330" s="137">
        <v>2800</v>
      </c>
      <c r="Q330" s="137">
        <v>8000</v>
      </c>
      <c r="R330" s="137">
        <v>6200</v>
      </c>
      <c r="S330" s="131"/>
      <c r="T330" s="137">
        <v>4000</v>
      </c>
      <c r="U330" s="137">
        <v>2900</v>
      </c>
      <c r="V330" s="137">
        <v>800</v>
      </c>
      <c r="W330" s="137">
        <v>200</v>
      </c>
      <c r="X330" s="137">
        <v>100</v>
      </c>
    </row>
    <row r="331" spans="1:24">
      <c r="A331" s="132">
        <v>1980</v>
      </c>
      <c r="B331" s="137">
        <v>173800</v>
      </c>
      <c r="C331" s="131"/>
      <c r="D331" s="137">
        <v>169300</v>
      </c>
      <c r="E331" s="137">
        <v>100700</v>
      </c>
      <c r="F331" s="137">
        <v>0</v>
      </c>
      <c r="G331" s="137">
        <v>2800</v>
      </c>
      <c r="H331" s="137">
        <v>3700</v>
      </c>
      <c r="I331" s="137">
        <v>100</v>
      </c>
      <c r="J331" s="137">
        <v>1100</v>
      </c>
      <c r="K331" s="137">
        <v>14600</v>
      </c>
      <c r="L331" s="137">
        <v>9300</v>
      </c>
      <c r="M331" s="137">
        <v>800</v>
      </c>
      <c r="N331" s="137">
        <v>14400</v>
      </c>
      <c r="O331" s="137">
        <v>6700</v>
      </c>
      <c r="P331" s="137">
        <v>2700</v>
      </c>
      <c r="Q331" s="137">
        <v>6200</v>
      </c>
      <c r="R331" s="137">
        <v>6200</v>
      </c>
      <c r="S331" s="131"/>
      <c r="T331" s="137">
        <v>4500</v>
      </c>
      <c r="U331" s="137">
        <v>3200</v>
      </c>
      <c r="V331" s="137">
        <v>900</v>
      </c>
      <c r="W331" s="137">
        <v>200</v>
      </c>
      <c r="X331" s="137">
        <v>100</v>
      </c>
    </row>
    <row r="332" spans="1:24">
      <c r="A332" s="132">
        <v>1981</v>
      </c>
      <c r="B332" s="137">
        <v>172100</v>
      </c>
      <c r="C332" s="131"/>
      <c r="D332" s="137">
        <v>167300</v>
      </c>
      <c r="E332" s="137">
        <v>99400</v>
      </c>
      <c r="F332" s="137">
        <v>0</v>
      </c>
      <c r="G332" s="137">
        <v>2800</v>
      </c>
      <c r="H332" s="137">
        <v>4100</v>
      </c>
      <c r="I332" s="137">
        <v>100</v>
      </c>
      <c r="J332" s="137">
        <v>800</v>
      </c>
      <c r="K332" s="137">
        <v>11900</v>
      </c>
      <c r="L332" s="137">
        <v>8200</v>
      </c>
      <c r="M332" s="137">
        <v>800</v>
      </c>
      <c r="N332" s="137">
        <v>18300</v>
      </c>
      <c r="O332" s="137">
        <v>7300</v>
      </c>
      <c r="P332" s="137">
        <v>2600</v>
      </c>
      <c r="Q332" s="137">
        <v>4800</v>
      </c>
      <c r="R332" s="137">
        <v>6000</v>
      </c>
      <c r="S332" s="131"/>
      <c r="T332" s="137">
        <v>4800</v>
      </c>
      <c r="U332" s="137">
        <v>3400</v>
      </c>
      <c r="V332" s="137">
        <v>1100</v>
      </c>
      <c r="W332" s="137">
        <v>200</v>
      </c>
      <c r="X332" s="137">
        <v>100</v>
      </c>
    </row>
    <row r="333" spans="1:24">
      <c r="A333" s="132">
        <v>1982</v>
      </c>
      <c r="B333" s="137">
        <v>172600</v>
      </c>
      <c r="C333" s="131"/>
      <c r="D333" s="137">
        <v>167000</v>
      </c>
      <c r="E333" s="137">
        <v>103100</v>
      </c>
      <c r="F333" s="137">
        <v>0</v>
      </c>
      <c r="G333" s="137">
        <v>3200</v>
      </c>
      <c r="H333" s="137">
        <v>4500</v>
      </c>
      <c r="I333" s="137">
        <v>100</v>
      </c>
      <c r="J333" s="137">
        <v>500</v>
      </c>
      <c r="K333" s="137">
        <v>10800</v>
      </c>
      <c r="L333" s="137">
        <v>6500</v>
      </c>
      <c r="M333" s="137">
        <v>1000</v>
      </c>
      <c r="N333" s="137">
        <v>17300</v>
      </c>
      <c r="O333" s="137">
        <v>7100</v>
      </c>
      <c r="P333" s="137">
        <v>2700</v>
      </c>
      <c r="Q333" s="137">
        <v>2600</v>
      </c>
      <c r="R333" s="137">
        <v>7500</v>
      </c>
      <c r="S333" s="131"/>
      <c r="T333" s="137">
        <v>5600</v>
      </c>
      <c r="U333" s="137">
        <v>4100</v>
      </c>
      <c r="V333" s="137">
        <v>1300</v>
      </c>
      <c r="W333" s="137">
        <v>200</v>
      </c>
      <c r="X333" s="137">
        <v>100</v>
      </c>
    </row>
    <row r="334" spans="1:24">
      <c r="A334" s="132">
        <v>1983</v>
      </c>
      <c r="B334" s="137">
        <v>177900</v>
      </c>
      <c r="C334" s="131"/>
      <c r="D334" s="137">
        <v>172400</v>
      </c>
      <c r="E334" s="137">
        <v>104800</v>
      </c>
      <c r="F334" s="137">
        <v>0</v>
      </c>
      <c r="G334" s="137">
        <v>3400</v>
      </c>
      <c r="H334" s="137">
        <v>4700</v>
      </c>
      <c r="I334" s="137">
        <v>200</v>
      </c>
      <c r="J334" s="137">
        <v>700</v>
      </c>
      <c r="K334" s="137">
        <v>11500</v>
      </c>
      <c r="L334" s="137">
        <v>10700</v>
      </c>
      <c r="M334" s="137">
        <v>1300</v>
      </c>
      <c r="N334" s="137">
        <v>15400</v>
      </c>
      <c r="O334" s="137">
        <v>6300</v>
      </c>
      <c r="P334" s="137">
        <v>2600</v>
      </c>
      <c r="Q334" s="137">
        <v>3500</v>
      </c>
      <c r="R334" s="137">
        <v>7400</v>
      </c>
      <c r="S334" s="131"/>
      <c r="T334" s="137">
        <v>5500</v>
      </c>
      <c r="U334" s="137">
        <v>4000</v>
      </c>
      <c r="V334" s="137">
        <v>1200</v>
      </c>
      <c r="W334" s="137">
        <v>200</v>
      </c>
      <c r="X334" s="137">
        <v>100</v>
      </c>
    </row>
    <row r="335" spans="1:24">
      <c r="A335" s="132">
        <v>1984</v>
      </c>
      <c r="B335" s="137">
        <v>193000</v>
      </c>
      <c r="C335" s="131"/>
      <c r="D335" s="137">
        <v>187200</v>
      </c>
      <c r="E335" s="137">
        <v>111700</v>
      </c>
      <c r="F335" s="137">
        <v>800</v>
      </c>
      <c r="G335" s="137">
        <v>3200</v>
      </c>
      <c r="H335" s="137">
        <v>5100</v>
      </c>
      <c r="I335" s="137">
        <v>200</v>
      </c>
      <c r="J335" s="137">
        <v>900</v>
      </c>
      <c r="K335" s="137">
        <v>16100</v>
      </c>
      <c r="L335" s="137">
        <v>10700</v>
      </c>
      <c r="M335" s="137">
        <v>1400</v>
      </c>
      <c r="N335" s="137">
        <v>16100</v>
      </c>
      <c r="O335" s="137">
        <v>6000</v>
      </c>
      <c r="P335" s="137">
        <v>3000</v>
      </c>
      <c r="Q335" s="137">
        <v>4100</v>
      </c>
      <c r="R335" s="137">
        <v>8100</v>
      </c>
      <c r="S335" s="131"/>
      <c r="T335" s="137">
        <v>5800</v>
      </c>
      <c r="U335" s="137">
        <v>4200</v>
      </c>
      <c r="V335" s="137">
        <v>1300</v>
      </c>
      <c r="W335" s="137">
        <v>200</v>
      </c>
      <c r="X335" s="137">
        <v>200</v>
      </c>
    </row>
    <row r="336" spans="1:24">
      <c r="A336" s="132">
        <v>1985</v>
      </c>
      <c r="B336" s="137">
        <v>195100</v>
      </c>
      <c r="C336" s="131"/>
      <c r="D336" s="137">
        <v>189400</v>
      </c>
      <c r="E336" s="137">
        <v>113400</v>
      </c>
      <c r="F336" s="137">
        <v>1200</v>
      </c>
      <c r="G336" s="137">
        <v>3500</v>
      </c>
      <c r="H336" s="137">
        <v>5300</v>
      </c>
      <c r="I336" s="137">
        <v>200</v>
      </c>
      <c r="J336" s="137">
        <v>800</v>
      </c>
      <c r="K336" s="137">
        <v>13400</v>
      </c>
      <c r="L336" s="137">
        <v>13700</v>
      </c>
      <c r="M336" s="137">
        <v>1700</v>
      </c>
      <c r="N336" s="137">
        <v>15800</v>
      </c>
      <c r="O336" s="137">
        <v>5900</v>
      </c>
      <c r="P336" s="137">
        <v>2600</v>
      </c>
      <c r="Q336" s="137">
        <v>3800</v>
      </c>
      <c r="R336" s="137">
        <v>8000</v>
      </c>
      <c r="S336" s="131"/>
      <c r="T336" s="137">
        <v>5700</v>
      </c>
      <c r="U336" s="137">
        <v>4100</v>
      </c>
      <c r="V336" s="137">
        <v>1400</v>
      </c>
      <c r="W336" s="137">
        <v>200</v>
      </c>
      <c r="X336" s="137">
        <v>100</v>
      </c>
    </row>
    <row r="337" spans="1:24">
      <c r="A337" s="132">
        <v>1986</v>
      </c>
      <c r="B337" s="137">
        <v>212600</v>
      </c>
      <c r="C337" s="131"/>
      <c r="D337" s="137">
        <v>206800</v>
      </c>
      <c r="E337" s="137">
        <v>118200</v>
      </c>
      <c r="F337" s="137">
        <v>1300</v>
      </c>
      <c r="G337" s="137">
        <v>3700</v>
      </c>
      <c r="H337" s="137">
        <v>5600</v>
      </c>
      <c r="I337" s="137">
        <v>200</v>
      </c>
      <c r="J337" s="137">
        <v>900</v>
      </c>
      <c r="K337" s="137">
        <v>15500</v>
      </c>
      <c r="L337" s="137">
        <v>23600</v>
      </c>
      <c r="M337" s="137">
        <v>2300</v>
      </c>
      <c r="N337" s="137">
        <v>13400</v>
      </c>
      <c r="O337" s="137">
        <v>6500</v>
      </c>
      <c r="P337" s="137">
        <v>2700</v>
      </c>
      <c r="Q337" s="137">
        <v>4100</v>
      </c>
      <c r="R337" s="137">
        <v>8900</v>
      </c>
      <c r="S337" s="131"/>
      <c r="T337" s="137">
        <v>5800</v>
      </c>
      <c r="U337" s="137">
        <v>4000</v>
      </c>
      <c r="V337" s="137">
        <v>1400</v>
      </c>
      <c r="W337" s="137">
        <v>200</v>
      </c>
      <c r="X337" s="137">
        <v>200</v>
      </c>
    </row>
    <row r="338" spans="1:24">
      <c r="A338" s="132">
        <v>1987</v>
      </c>
      <c r="B338" s="137">
        <v>210700</v>
      </c>
      <c r="C338" s="131"/>
      <c r="D338" s="137">
        <v>205400</v>
      </c>
      <c r="E338" s="137">
        <v>121500</v>
      </c>
      <c r="F338" s="137">
        <v>1500</v>
      </c>
      <c r="G338" s="137">
        <v>4300</v>
      </c>
      <c r="H338" s="137">
        <v>5800</v>
      </c>
      <c r="I338" s="137">
        <v>200</v>
      </c>
      <c r="J338" s="137">
        <v>1200</v>
      </c>
      <c r="K338" s="137">
        <v>17300</v>
      </c>
      <c r="L338" s="137">
        <v>12500</v>
      </c>
      <c r="M338" s="137">
        <v>3700</v>
      </c>
      <c r="N338" s="137">
        <v>13200</v>
      </c>
      <c r="O338" s="137">
        <v>7100</v>
      </c>
      <c r="P338" s="137">
        <v>2700</v>
      </c>
      <c r="Q338" s="137">
        <v>5800</v>
      </c>
      <c r="R338" s="137">
        <v>8600</v>
      </c>
      <c r="S338" s="131"/>
      <c r="T338" s="137">
        <v>5300</v>
      </c>
      <c r="U338" s="137">
        <v>3700</v>
      </c>
      <c r="V338" s="137">
        <v>1400</v>
      </c>
      <c r="W338" s="137">
        <v>100</v>
      </c>
      <c r="X338" s="137">
        <v>100</v>
      </c>
    </row>
    <row r="339" spans="1:24">
      <c r="A339" s="132">
        <v>1988</v>
      </c>
      <c r="B339" s="137">
        <v>217500</v>
      </c>
      <c r="C339" s="131"/>
      <c r="D339" s="137">
        <v>212300</v>
      </c>
      <c r="E339" s="137">
        <v>123500</v>
      </c>
      <c r="F339" s="137">
        <v>1700</v>
      </c>
      <c r="G339" s="137">
        <v>4700</v>
      </c>
      <c r="H339" s="137">
        <v>6100</v>
      </c>
      <c r="I339" s="137">
        <v>100</v>
      </c>
      <c r="J339" s="137">
        <v>1200</v>
      </c>
      <c r="K339" s="137">
        <v>20500</v>
      </c>
      <c r="L339" s="137">
        <v>10600</v>
      </c>
      <c r="M339" s="137">
        <v>4000</v>
      </c>
      <c r="N339" s="137">
        <v>14000</v>
      </c>
      <c r="O339" s="137">
        <v>7200</v>
      </c>
      <c r="P339" s="137">
        <v>2700</v>
      </c>
      <c r="Q339" s="137">
        <v>5600</v>
      </c>
      <c r="R339" s="137">
        <v>10400</v>
      </c>
      <c r="S339" s="131"/>
      <c r="T339" s="137">
        <v>5200</v>
      </c>
      <c r="U339" s="137">
        <v>3600</v>
      </c>
      <c r="V339" s="137">
        <v>1300</v>
      </c>
      <c r="W339" s="137">
        <v>100</v>
      </c>
      <c r="X339" s="137">
        <v>100</v>
      </c>
    </row>
    <row r="340" spans="1:24">
      <c r="A340" s="132">
        <v>1989</v>
      </c>
      <c r="B340" s="137">
        <v>221700</v>
      </c>
      <c r="C340" s="131"/>
      <c r="D340" s="137">
        <v>216300</v>
      </c>
      <c r="E340" s="137">
        <v>125400</v>
      </c>
      <c r="F340" s="137">
        <v>1900</v>
      </c>
      <c r="G340" s="137">
        <v>4800</v>
      </c>
      <c r="H340" s="137">
        <v>6200</v>
      </c>
      <c r="I340" s="137">
        <v>100</v>
      </c>
      <c r="J340" s="137">
        <v>1200</v>
      </c>
      <c r="K340" s="137">
        <v>19400</v>
      </c>
      <c r="L340" s="137">
        <v>10100</v>
      </c>
      <c r="M340" s="137">
        <v>4300</v>
      </c>
      <c r="N340" s="137">
        <v>15800</v>
      </c>
      <c r="O340" s="137">
        <v>7500</v>
      </c>
      <c r="P340" s="137">
        <v>2700</v>
      </c>
      <c r="Q340" s="137">
        <v>5600</v>
      </c>
      <c r="R340" s="137">
        <v>11100</v>
      </c>
      <c r="S340" s="131"/>
      <c r="T340" s="137">
        <v>5400</v>
      </c>
      <c r="U340" s="137">
        <v>3700</v>
      </c>
      <c r="V340" s="137">
        <v>1400</v>
      </c>
      <c r="W340" s="137">
        <v>100</v>
      </c>
      <c r="X340" s="137">
        <v>200</v>
      </c>
    </row>
    <row r="341" spans="1:24">
      <c r="A341" s="132">
        <v>1990</v>
      </c>
      <c r="B341" s="137">
        <v>215600</v>
      </c>
      <c r="C341" s="131"/>
      <c r="D341" s="137">
        <v>210000</v>
      </c>
      <c r="E341" s="137">
        <v>124400</v>
      </c>
      <c r="F341" s="137">
        <v>2000</v>
      </c>
      <c r="G341" s="137">
        <v>4800</v>
      </c>
      <c r="H341" s="137">
        <v>6300</v>
      </c>
      <c r="I341" s="137">
        <v>100</v>
      </c>
      <c r="J341" s="137">
        <v>1100</v>
      </c>
      <c r="K341" s="137">
        <v>19500</v>
      </c>
      <c r="L341" s="137">
        <v>7000</v>
      </c>
      <c r="M341" s="137">
        <v>4500</v>
      </c>
      <c r="N341" s="137">
        <v>15100</v>
      </c>
      <c r="O341" s="137">
        <v>6700</v>
      </c>
      <c r="P341" s="137">
        <v>2600</v>
      </c>
      <c r="Q341" s="137">
        <v>5000</v>
      </c>
      <c r="R341" s="137">
        <v>10700</v>
      </c>
      <c r="S341" s="131"/>
      <c r="T341" s="137">
        <v>5600</v>
      </c>
      <c r="U341" s="137">
        <v>3700</v>
      </c>
      <c r="V341" s="137">
        <v>1400</v>
      </c>
      <c r="W341" s="137">
        <v>100</v>
      </c>
      <c r="X341" s="137">
        <v>300</v>
      </c>
    </row>
    <row r="342" spans="1:24">
      <c r="A342" s="132">
        <v>1991</v>
      </c>
      <c r="B342" s="137">
        <v>211800</v>
      </c>
      <c r="C342" s="131"/>
      <c r="D342" s="137">
        <v>206300</v>
      </c>
      <c r="E342" s="137">
        <v>123900</v>
      </c>
      <c r="F342" s="137">
        <v>2100</v>
      </c>
      <c r="G342" s="137">
        <v>4900</v>
      </c>
      <c r="H342" s="137">
        <v>6600</v>
      </c>
      <c r="I342" s="137">
        <v>100</v>
      </c>
      <c r="J342" s="137">
        <v>1000</v>
      </c>
      <c r="K342" s="137">
        <v>19600</v>
      </c>
      <c r="L342" s="137">
        <v>6600</v>
      </c>
      <c r="M342" s="137">
        <v>4100</v>
      </c>
      <c r="N342" s="137">
        <v>12900</v>
      </c>
      <c r="O342" s="137">
        <v>5900</v>
      </c>
      <c r="P342" s="137">
        <v>2700</v>
      </c>
      <c r="Q342" s="137">
        <v>4500</v>
      </c>
      <c r="R342" s="137">
        <v>11500</v>
      </c>
      <c r="S342" s="131"/>
      <c r="T342" s="137">
        <v>5400</v>
      </c>
      <c r="U342" s="137">
        <v>3600</v>
      </c>
      <c r="V342" s="137">
        <v>1400</v>
      </c>
      <c r="W342" s="137">
        <v>200</v>
      </c>
      <c r="X342" s="137">
        <v>200</v>
      </c>
    </row>
    <row r="343" spans="1:24">
      <c r="A343" s="132">
        <v>1992</v>
      </c>
      <c r="B343" s="137">
        <v>218800</v>
      </c>
      <c r="C343" s="131"/>
      <c r="D343" s="137">
        <v>213200</v>
      </c>
      <c r="E343" s="137">
        <v>128200</v>
      </c>
      <c r="F343" s="137">
        <v>2500</v>
      </c>
      <c r="G343" s="137">
        <v>5500</v>
      </c>
      <c r="H343" s="137">
        <v>7100</v>
      </c>
      <c r="I343" s="137">
        <v>100</v>
      </c>
      <c r="J343" s="137">
        <v>1100</v>
      </c>
      <c r="K343" s="137">
        <v>21500</v>
      </c>
      <c r="L343" s="137">
        <v>7200</v>
      </c>
      <c r="M343" s="137">
        <v>4700</v>
      </c>
      <c r="N343" s="137">
        <v>9300</v>
      </c>
      <c r="O343" s="137">
        <v>5700</v>
      </c>
      <c r="P343" s="137">
        <v>3000</v>
      </c>
      <c r="Q343" s="137">
        <v>5100</v>
      </c>
      <c r="R343" s="137">
        <v>12100</v>
      </c>
      <c r="S343" s="131"/>
      <c r="T343" s="137">
        <v>5700</v>
      </c>
      <c r="U343" s="137">
        <v>3700</v>
      </c>
      <c r="V343" s="137">
        <v>1500</v>
      </c>
      <c r="W343" s="137">
        <v>200</v>
      </c>
      <c r="X343" s="137">
        <v>300</v>
      </c>
    </row>
    <row r="344" spans="1:24">
      <c r="A344" s="132">
        <v>1993</v>
      </c>
      <c r="B344" s="137">
        <v>220900</v>
      </c>
      <c r="C344" s="131"/>
      <c r="D344" s="137">
        <v>214700</v>
      </c>
      <c r="E344" s="137">
        <v>128700</v>
      </c>
      <c r="F344" s="137">
        <v>2800</v>
      </c>
      <c r="G344" s="137">
        <v>6100</v>
      </c>
      <c r="H344" s="137">
        <v>7000</v>
      </c>
      <c r="I344" s="137">
        <v>100</v>
      </c>
      <c r="J344" s="137">
        <v>1300</v>
      </c>
      <c r="K344" s="137">
        <v>21500</v>
      </c>
      <c r="L344" s="137">
        <v>8400</v>
      </c>
      <c r="M344" s="137">
        <v>4300</v>
      </c>
      <c r="N344" s="137">
        <v>7600</v>
      </c>
      <c r="O344" s="137">
        <v>5900</v>
      </c>
      <c r="P344" s="137">
        <v>3000</v>
      </c>
      <c r="Q344" s="137">
        <v>5900</v>
      </c>
      <c r="R344" s="137">
        <v>11900</v>
      </c>
      <c r="S344" s="131"/>
      <c r="T344" s="137">
        <v>6200</v>
      </c>
      <c r="U344" s="137">
        <v>4100</v>
      </c>
      <c r="V344" s="137">
        <v>1600</v>
      </c>
      <c r="W344" s="137">
        <v>200</v>
      </c>
      <c r="X344" s="137">
        <v>200</v>
      </c>
    </row>
    <row r="345" spans="1:24">
      <c r="A345" s="132">
        <v>1994</v>
      </c>
      <c r="B345" s="137">
        <v>226500</v>
      </c>
      <c r="C345" s="131"/>
      <c r="D345" s="137">
        <v>218700</v>
      </c>
      <c r="E345" s="137">
        <v>130300</v>
      </c>
      <c r="F345" s="137">
        <v>2900</v>
      </c>
      <c r="G345" s="137">
        <v>6700</v>
      </c>
      <c r="H345" s="137">
        <v>7200</v>
      </c>
      <c r="I345" s="137">
        <v>100</v>
      </c>
      <c r="J345" s="137">
        <v>1400</v>
      </c>
      <c r="K345" s="137">
        <v>22600</v>
      </c>
      <c r="L345" s="137">
        <v>7600</v>
      </c>
      <c r="M345" s="137">
        <v>4200</v>
      </c>
      <c r="N345" s="137">
        <v>6800</v>
      </c>
      <c r="O345" s="137">
        <v>5800</v>
      </c>
      <c r="P345" s="137">
        <v>3000</v>
      </c>
      <c r="Q345" s="137">
        <v>6200</v>
      </c>
      <c r="R345" s="137">
        <v>13900</v>
      </c>
      <c r="S345" s="131"/>
      <c r="T345" s="137">
        <v>7700</v>
      </c>
      <c r="U345" s="137">
        <v>5100</v>
      </c>
      <c r="V345" s="137">
        <v>1800</v>
      </c>
      <c r="W345" s="137">
        <v>200</v>
      </c>
      <c r="X345" s="137">
        <v>600</v>
      </c>
    </row>
    <row r="346" spans="1:24">
      <c r="A346" s="132">
        <v>1995</v>
      </c>
      <c r="B346" s="137">
        <v>238300</v>
      </c>
      <c r="C346" s="131"/>
      <c r="D346" s="137">
        <v>231200</v>
      </c>
      <c r="E346" s="137">
        <v>136500</v>
      </c>
      <c r="F346" s="137">
        <v>3400</v>
      </c>
      <c r="G346" s="137">
        <v>6400</v>
      </c>
      <c r="H346" s="137">
        <v>7500</v>
      </c>
      <c r="I346" s="137">
        <v>100</v>
      </c>
      <c r="J346" s="137">
        <v>1600</v>
      </c>
      <c r="K346" s="137">
        <v>23100</v>
      </c>
      <c r="L346" s="137">
        <v>9200</v>
      </c>
      <c r="M346" s="137">
        <v>3900</v>
      </c>
      <c r="N346" s="137">
        <v>8500</v>
      </c>
      <c r="O346" s="137">
        <v>6600</v>
      </c>
      <c r="P346" s="137">
        <v>3700</v>
      </c>
      <c r="Q346" s="137">
        <v>7100</v>
      </c>
      <c r="R346" s="137">
        <v>13500</v>
      </c>
      <c r="S346" s="131"/>
      <c r="T346" s="137">
        <v>7000</v>
      </c>
      <c r="U346" s="137">
        <v>4700</v>
      </c>
      <c r="V346" s="137">
        <v>1900</v>
      </c>
      <c r="W346" s="137">
        <v>200</v>
      </c>
      <c r="X346" s="137">
        <v>300</v>
      </c>
    </row>
    <row r="347" spans="1:24">
      <c r="A347" s="132">
        <v>1996</v>
      </c>
      <c r="B347" s="137">
        <v>248000</v>
      </c>
      <c r="C347" s="131"/>
      <c r="D347" s="137">
        <v>240400</v>
      </c>
      <c r="E347" s="137">
        <v>137500</v>
      </c>
      <c r="F347" s="137">
        <v>3800</v>
      </c>
      <c r="G347" s="137">
        <v>6200</v>
      </c>
      <c r="H347" s="137">
        <v>7500</v>
      </c>
      <c r="I347" s="137">
        <v>100</v>
      </c>
      <c r="J347" s="137">
        <v>1700</v>
      </c>
      <c r="K347" s="137">
        <v>24900</v>
      </c>
      <c r="L347" s="137">
        <v>12300</v>
      </c>
      <c r="M347" s="137">
        <v>3800</v>
      </c>
      <c r="N347" s="137">
        <v>8900</v>
      </c>
      <c r="O347" s="137">
        <v>7300</v>
      </c>
      <c r="P347" s="137">
        <v>3400</v>
      </c>
      <c r="Q347" s="137">
        <v>7400</v>
      </c>
      <c r="R347" s="137">
        <v>15600</v>
      </c>
      <c r="S347" s="131"/>
      <c r="T347" s="137">
        <v>7600</v>
      </c>
      <c r="U347" s="137">
        <v>5200</v>
      </c>
      <c r="V347" s="137">
        <v>2200</v>
      </c>
      <c r="W347" s="137">
        <v>100</v>
      </c>
      <c r="X347" s="137">
        <v>100</v>
      </c>
    </row>
    <row r="348" spans="1:24">
      <c r="A348" s="132">
        <v>1997</v>
      </c>
      <c r="B348" s="137">
        <v>264400</v>
      </c>
      <c r="C348" s="131"/>
      <c r="D348" s="137">
        <v>256300</v>
      </c>
      <c r="E348" s="137">
        <v>144500</v>
      </c>
      <c r="F348" s="137">
        <v>3700</v>
      </c>
      <c r="G348" s="137">
        <v>5700</v>
      </c>
      <c r="H348" s="137">
        <v>7700</v>
      </c>
      <c r="I348" s="137">
        <v>100</v>
      </c>
      <c r="J348" s="137">
        <v>1800</v>
      </c>
      <c r="K348" s="137">
        <v>25700</v>
      </c>
      <c r="L348" s="137">
        <v>17900</v>
      </c>
      <c r="M348" s="137">
        <v>4000</v>
      </c>
      <c r="N348" s="137">
        <v>9000</v>
      </c>
      <c r="O348" s="137">
        <v>8700</v>
      </c>
      <c r="P348" s="137">
        <v>3400</v>
      </c>
      <c r="Q348" s="137">
        <v>7900</v>
      </c>
      <c r="R348" s="137">
        <v>16300</v>
      </c>
      <c r="S348" s="131"/>
      <c r="T348" s="137">
        <v>8000</v>
      </c>
      <c r="U348" s="137">
        <v>5400</v>
      </c>
      <c r="V348" s="137">
        <v>2400</v>
      </c>
      <c r="W348" s="137">
        <v>100</v>
      </c>
      <c r="X348" s="137">
        <v>100</v>
      </c>
    </row>
    <row r="349" spans="1:24">
      <c r="A349" s="132">
        <v>1998</v>
      </c>
      <c r="B349" s="137">
        <v>279200</v>
      </c>
      <c r="C349" s="131"/>
      <c r="D349" s="137">
        <v>271600</v>
      </c>
      <c r="E349" s="137">
        <v>152400</v>
      </c>
      <c r="F349" s="137">
        <v>4000</v>
      </c>
      <c r="G349" s="137">
        <v>5600</v>
      </c>
      <c r="H349" s="137">
        <v>8000</v>
      </c>
      <c r="I349" s="137">
        <v>100</v>
      </c>
      <c r="J349" s="137">
        <v>1700</v>
      </c>
      <c r="K349" s="137">
        <v>29400</v>
      </c>
      <c r="L349" s="137">
        <v>20400</v>
      </c>
      <c r="M349" s="137">
        <v>3900</v>
      </c>
      <c r="N349" s="137">
        <v>9000</v>
      </c>
      <c r="O349" s="137">
        <v>8400</v>
      </c>
      <c r="P349" s="137">
        <v>3500</v>
      </c>
      <c r="Q349" s="137">
        <v>7300</v>
      </c>
      <c r="R349" s="137">
        <v>18100</v>
      </c>
      <c r="S349" s="131"/>
      <c r="T349" s="137">
        <v>7600</v>
      </c>
      <c r="U349" s="137">
        <v>5200</v>
      </c>
      <c r="V349" s="137">
        <v>2200</v>
      </c>
      <c r="W349" s="137">
        <v>100</v>
      </c>
      <c r="X349" s="137">
        <v>100</v>
      </c>
    </row>
    <row r="350" spans="1:24">
      <c r="A350" s="132">
        <v>1999</v>
      </c>
      <c r="B350" s="137">
        <v>292600</v>
      </c>
      <c r="C350" s="131"/>
      <c r="D350" s="137">
        <v>285800</v>
      </c>
      <c r="E350" s="137">
        <v>157500</v>
      </c>
      <c r="F350" s="137">
        <v>4300</v>
      </c>
      <c r="G350" s="137">
        <v>5700</v>
      </c>
      <c r="H350" s="137">
        <v>8400</v>
      </c>
      <c r="I350" s="137">
        <v>100</v>
      </c>
      <c r="J350" s="137">
        <v>1700</v>
      </c>
      <c r="K350" s="137">
        <v>30600</v>
      </c>
      <c r="L350" s="137">
        <v>25600</v>
      </c>
      <c r="M350" s="137">
        <v>4000</v>
      </c>
      <c r="N350" s="137">
        <v>8600</v>
      </c>
      <c r="O350" s="137">
        <v>8500</v>
      </c>
      <c r="P350" s="137">
        <v>3700</v>
      </c>
      <c r="Q350" s="137">
        <v>7600</v>
      </c>
      <c r="R350" s="137">
        <v>19500</v>
      </c>
      <c r="S350" s="131"/>
      <c r="T350" s="137">
        <v>6700</v>
      </c>
      <c r="U350" s="137">
        <v>4600</v>
      </c>
      <c r="V350" s="137">
        <v>1900</v>
      </c>
      <c r="W350" s="137">
        <v>100</v>
      </c>
      <c r="X350" s="137">
        <v>100</v>
      </c>
    </row>
    <row r="351" spans="1:24">
      <c r="A351" s="132">
        <v>2000</v>
      </c>
      <c r="B351" s="137">
        <v>301500</v>
      </c>
      <c r="C351" s="131"/>
      <c r="D351" s="137">
        <v>293800</v>
      </c>
      <c r="E351" s="137">
        <v>164100</v>
      </c>
      <c r="F351" s="137">
        <v>4500</v>
      </c>
      <c r="G351" s="137">
        <v>5900</v>
      </c>
      <c r="H351" s="137">
        <v>8800</v>
      </c>
      <c r="I351" s="137">
        <v>100</v>
      </c>
      <c r="J351" s="137">
        <v>1700</v>
      </c>
      <c r="K351" s="137">
        <v>29200</v>
      </c>
      <c r="L351" s="137">
        <v>25100</v>
      </c>
      <c r="M351" s="137">
        <v>3800</v>
      </c>
      <c r="N351" s="137">
        <v>9500</v>
      </c>
      <c r="O351" s="137">
        <v>9200</v>
      </c>
      <c r="P351" s="137">
        <v>3800</v>
      </c>
      <c r="Q351" s="137">
        <v>7200</v>
      </c>
      <c r="R351" s="137">
        <v>20900</v>
      </c>
      <c r="S351" s="131"/>
      <c r="T351" s="137">
        <v>7700</v>
      </c>
      <c r="U351" s="137">
        <v>5200</v>
      </c>
      <c r="V351" s="137">
        <v>2000</v>
      </c>
      <c r="W351" s="137">
        <v>100</v>
      </c>
      <c r="X351" s="137">
        <v>300</v>
      </c>
    </row>
    <row r="352" spans="1:24">
      <c r="A352" s="132">
        <v>2001</v>
      </c>
      <c r="B352" s="137">
        <v>284500</v>
      </c>
      <c r="C352" s="131"/>
      <c r="D352" s="137">
        <v>277700</v>
      </c>
      <c r="E352" s="137">
        <v>168400</v>
      </c>
      <c r="F352" s="137">
        <v>4600</v>
      </c>
      <c r="G352" s="137">
        <v>6400</v>
      </c>
      <c r="H352" s="137">
        <v>9100</v>
      </c>
      <c r="I352" s="137">
        <v>100</v>
      </c>
      <c r="J352" s="137">
        <v>1200</v>
      </c>
      <c r="K352" s="137">
        <v>29100</v>
      </c>
      <c r="L352" s="137">
        <v>12300</v>
      </c>
      <c r="M352" s="137">
        <v>3600</v>
      </c>
      <c r="N352" s="137">
        <v>8700</v>
      </c>
      <c r="O352" s="137">
        <v>6600</v>
      </c>
      <c r="P352" s="137">
        <v>3800</v>
      </c>
      <c r="Q352" s="137">
        <v>4700</v>
      </c>
      <c r="R352" s="137">
        <v>19100</v>
      </c>
      <c r="S352" s="131"/>
      <c r="T352" s="137">
        <v>6900</v>
      </c>
      <c r="U352" s="137">
        <v>4600</v>
      </c>
      <c r="V352" s="137">
        <v>1900</v>
      </c>
      <c r="W352" s="137">
        <v>200</v>
      </c>
      <c r="X352" s="137">
        <v>100</v>
      </c>
    </row>
    <row r="353" spans="1:24">
      <c r="A353" s="132">
        <v>2002</v>
      </c>
      <c r="B353" s="137">
        <v>273200</v>
      </c>
      <c r="C353" s="131"/>
      <c r="D353" s="137">
        <v>266400</v>
      </c>
      <c r="E353" s="137">
        <v>165000</v>
      </c>
      <c r="F353" s="137">
        <v>6800</v>
      </c>
      <c r="G353" s="137">
        <v>7000</v>
      </c>
      <c r="H353" s="137">
        <v>9200</v>
      </c>
      <c r="I353" s="137">
        <v>100</v>
      </c>
      <c r="J353" s="137">
        <v>1100</v>
      </c>
      <c r="K353" s="137">
        <v>28700</v>
      </c>
      <c r="L353" s="137">
        <v>8700</v>
      </c>
      <c r="M353" s="137">
        <v>3200</v>
      </c>
      <c r="N353" s="137">
        <v>5800</v>
      </c>
      <c r="O353" s="137">
        <v>5200</v>
      </c>
      <c r="P353" s="137">
        <v>3300</v>
      </c>
      <c r="Q353" s="137">
        <v>3900</v>
      </c>
      <c r="R353" s="137">
        <v>18500</v>
      </c>
      <c r="S353" s="131"/>
      <c r="T353" s="137">
        <v>6700</v>
      </c>
      <c r="U353" s="137">
        <v>4400</v>
      </c>
      <c r="V353" s="137">
        <v>1800</v>
      </c>
      <c r="W353" s="137">
        <v>300</v>
      </c>
      <c r="X353" s="137">
        <v>200</v>
      </c>
    </row>
    <row r="354" spans="1:24">
      <c r="A354" s="132">
        <v>2003</v>
      </c>
      <c r="B354" s="137">
        <v>282300</v>
      </c>
      <c r="C354" s="131"/>
      <c r="D354" s="137">
        <v>275300</v>
      </c>
      <c r="E354" s="137">
        <v>166900</v>
      </c>
      <c r="F354" s="137">
        <v>9100</v>
      </c>
      <c r="G354" s="137">
        <v>8100</v>
      </c>
      <c r="H354" s="137">
        <v>9500</v>
      </c>
      <c r="I354" s="137">
        <v>100</v>
      </c>
      <c r="J354" s="137">
        <v>1600</v>
      </c>
      <c r="K354" s="137">
        <v>29200</v>
      </c>
      <c r="L354" s="137">
        <v>11200</v>
      </c>
      <c r="M354" s="137">
        <v>2900</v>
      </c>
      <c r="N354" s="137">
        <v>4900</v>
      </c>
      <c r="O354" s="137">
        <v>5600</v>
      </c>
      <c r="P354" s="137">
        <v>3600</v>
      </c>
      <c r="Q354" s="137">
        <v>5500</v>
      </c>
      <c r="R354" s="137">
        <v>17100</v>
      </c>
      <c r="S354" s="131"/>
      <c r="T354" s="137">
        <v>7000</v>
      </c>
      <c r="U354" s="137">
        <v>4500</v>
      </c>
      <c r="V354" s="137">
        <v>2000</v>
      </c>
      <c r="W354" s="137">
        <v>400</v>
      </c>
      <c r="X354" s="137">
        <v>100</v>
      </c>
    </row>
    <row r="355" spans="1:24">
      <c r="A355" s="132">
        <v>2004</v>
      </c>
      <c r="B355" s="137">
        <v>299700</v>
      </c>
      <c r="C355" s="131"/>
      <c r="D355" s="137">
        <v>292800</v>
      </c>
      <c r="E355" s="137">
        <v>170200</v>
      </c>
      <c r="F355" s="137">
        <v>9700</v>
      </c>
      <c r="G355" s="137">
        <v>8500</v>
      </c>
      <c r="H355" s="137">
        <v>9400</v>
      </c>
      <c r="I355" s="137">
        <v>100</v>
      </c>
      <c r="J355" s="137">
        <v>2000</v>
      </c>
      <c r="K355" s="137">
        <v>32800</v>
      </c>
      <c r="L355" s="137">
        <v>16800</v>
      </c>
      <c r="M355" s="137">
        <v>2800</v>
      </c>
      <c r="N355" s="137">
        <v>4700</v>
      </c>
      <c r="O355" s="137">
        <v>6900</v>
      </c>
      <c r="P355" s="137">
        <v>3600</v>
      </c>
      <c r="Q355" s="137">
        <v>7000</v>
      </c>
      <c r="R355" s="137">
        <v>18300</v>
      </c>
      <c r="S355" s="131"/>
      <c r="T355" s="137">
        <v>7000</v>
      </c>
      <c r="U355" s="137">
        <v>4500</v>
      </c>
      <c r="V355" s="137">
        <v>2100</v>
      </c>
      <c r="W355" s="137">
        <v>200</v>
      </c>
      <c r="X355" s="137">
        <v>100</v>
      </c>
    </row>
    <row r="356" spans="1:24">
      <c r="A356" s="132">
        <v>2005</v>
      </c>
      <c r="B356" s="137">
        <v>323300</v>
      </c>
      <c r="C356" s="131"/>
      <c r="D356" s="137">
        <v>315600</v>
      </c>
      <c r="E356" s="137">
        <v>171000</v>
      </c>
      <c r="F356" s="137">
        <v>10000</v>
      </c>
      <c r="G356" s="137">
        <v>8800</v>
      </c>
      <c r="H356" s="137">
        <v>9100</v>
      </c>
      <c r="I356" s="137">
        <v>100</v>
      </c>
      <c r="J356" s="137">
        <v>2600</v>
      </c>
      <c r="K356" s="137">
        <v>38200</v>
      </c>
      <c r="L356" s="137">
        <v>24400</v>
      </c>
      <c r="M356" s="137">
        <v>3200</v>
      </c>
      <c r="N356" s="137">
        <v>6300</v>
      </c>
      <c r="O356" s="137">
        <v>8000</v>
      </c>
      <c r="P356" s="137">
        <v>4100</v>
      </c>
      <c r="Q356" s="137">
        <v>9900</v>
      </c>
      <c r="R356" s="137">
        <v>19900</v>
      </c>
      <c r="S356" s="131"/>
      <c r="T356" s="137">
        <v>7800</v>
      </c>
      <c r="U356" s="137">
        <v>5100</v>
      </c>
      <c r="V356" s="137">
        <v>2400</v>
      </c>
      <c r="W356" s="137">
        <v>200</v>
      </c>
      <c r="X356" s="137">
        <v>200</v>
      </c>
    </row>
    <row r="357" spans="1:24">
      <c r="A357" s="132">
        <v>2006</v>
      </c>
      <c r="B357" s="137">
        <v>333600</v>
      </c>
      <c r="C357" s="131"/>
      <c r="D357" s="137">
        <v>325000</v>
      </c>
      <c r="E357" s="137">
        <v>173600</v>
      </c>
      <c r="F357" s="137">
        <v>10600</v>
      </c>
      <c r="G357" s="137">
        <v>8200</v>
      </c>
      <c r="H357" s="137">
        <v>9200</v>
      </c>
      <c r="I357" s="137">
        <v>100</v>
      </c>
      <c r="J357" s="137">
        <v>2800</v>
      </c>
      <c r="K357" s="137">
        <v>37700</v>
      </c>
      <c r="L357" s="137">
        <v>25700</v>
      </c>
      <c r="M357" s="137">
        <v>3800</v>
      </c>
      <c r="N357" s="137">
        <v>8300</v>
      </c>
      <c r="O357" s="137">
        <v>9300</v>
      </c>
      <c r="P357" s="137">
        <v>4100</v>
      </c>
      <c r="Q357" s="137">
        <v>10700</v>
      </c>
      <c r="R357" s="137">
        <v>20900</v>
      </c>
      <c r="S357" s="131"/>
      <c r="T357" s="137">
        <v>8600</v>
      </c>
      <c r="U357" s="137">
        <v>5600</v>
      </c>
      <c r="V357" s="137">
        <v>2800</v>
      </c>
      <c r="W357" s="137">
        <v>100</v>
      </c>
      <c r="X357" s="137">
        <v>100</v>
      </c>
    </row>
    <row r="358" spans="1:24">
      <c r="A358" s="132">
        <v>2007</v>
      </c>
      <c r="B358" s="137">
        <v>344500</v>
      </c>
      <c r="C358" s="131"/>
      <c r="D358" s="137">
        <v>335400</v>
      </c>
      <c r="E358" s="137">
        <v>178400</v>
      </c>
      <c r="F358" s="137">
        <v>10800</v>
      </c>
      <c r="G358" s="137">
        <v>7900</v>
      </c>
      <c r="H358" s="137">
        <v>9400</v>
      </c>
      <c r="I358" s="137">
        <v>100</v>
      </c>
      <c r="J358" s="137">
        <v>2500</v>
      </c>
      <c r="K358" s="137">
        <v>37800</v>
      </c>
      <c r="L358" s="137">
        <v>27100</v>
      </c>
      <c r="M358" s="137">
        <v>4100</v>
      </c>
      <c r="N358" s="137">
        <v>10000</v>
      </c>
      <c r="O358" s="137">
        <v>11200</v>
      </c>
      <c r="P358" s="137">
        <v>4200</v>
      </c>
      <c r="Q358" s="137">
        <v>9200</v>
      </c>
      <c r="R358" s="137">
        <v>22900</v>
      </c>
      <c r="S358" s="131"/>
      <c r="T358" s="137">
        <v>9000</v>
      </c>
      <c r="U358" s="137">
        <v>5800</v>
      </c>
      <c r="V358" s="137">
        <v>3000</v>
      </c>
      <c r="W358" s="137">
        <v>100</v>
      </c>
      <c r="X358" s="137">
        <v>100</v>
      </c>
    </row>
    <row r="359" spans="1:24">
      <c r="A359" s="132">
        <v>2008</v>
      </c>
      <c r="B359" s="137">
        <v>318800</v>
      </c>
      <c r="C359" s="131"/>
      <c r="D359" s="137">
        <v>310700</v>
      </c>
      <c r="E359" s="137">
        <v>182000</v>
      </c>
      <c r="F359" s="137">
        <v>11500</v>
      </c>
      <c r="G359" s="137">
        <v>8200</v>
      </c>
      <c r="H359" s="137">
        <v>9900</v>
      </c>
      <c r="I359" s="137">
        <v>100</v>
      </c>
      <c r="J359" s="137">
        <v>1500</v>
      </c>
      <c r="K359" s="137">
        <v>34900</v>
      </c>
      <c r="L359" s="137">
        <v>10200</v>
      </c>
      <c r="M359" s="137">
        <v>3800</v>
      </c>
      <c r="N359" s="137">
        <v>7800</v>
      </c>
      <c r="O359" s="137">
        <v>8900</v>
      </c>
      <c r="P359" s="137">
        <v>4600</v>
      </c>
      <c r="Q359" s="137">
        <v>4800</v>
      </c>
      <c r="R359" s="137">
        <v>22600</v>
      </c>
      <c r="S359" s="131"/>
      <c r="T359" s="137">
        <v>8100</v>
      </c>
      <c r="U359" s="137">
        <v>5100</v>
      </c>
      <c r="V359" s="137">
        <v>2700</v>
      </c>
      <c r="W359" s="137">
        <v>200</v>
      </c>
      <c r="X359" s="137">
        <v>100</v>
      </c>
    </row>
    <row r="360" spans="1:24">
      <c r="A360" s="132">
        <v>2009</v>
      </c>
      <c r="B360" s="137">
        <v>299400</v>
      </c>
      <c r="C360" s="131"/>
      <c r="D360" s="137">
        <v>290400</v>
      </c>
      <c r="E360" s="137">
        <v>179500</v>
      </c>
      <c r="F360" s="137">
        <v>11600</v>
      </c>
      <c r="G360" s="137">
        <v>8600</v>
      </c>
      <c r="H360" s="137">
        <v>10300</v>
      </c>
      <c r="I360" s="137">
        <v>100</v>
      </c>
      <c r="J360" s="137">
        <v>1200</v>
      </c>
      <c r="K360" s="137">
        <v>30600</v>
      </c>
      <c r="L360" s="137">
        <v>5600</v>
      </c>
      <c r="M360" s="137">
        <v>3400</v>
      </c>
      <c r="N360" s="137">
        <v>5500</v>
      </c>
      <c r="O360" s="137">
        <v>6200</v>
      </c>
      <c r="P360" s="137">
        <v>3500</v>
      </c>
      <c r="Q360" s="137">
        <v>3600</v>
      </c>
      <c r="R360" s="137">
        <v>20700</v>
      </c>
      <c r="S360" s="131"/>
      <c r="T360" s="137">
        <v>9000</v>
      </c>
      <c r="U360" s="137">
        <v>5500</v>
      </c>
      <c r="V360" s="137">
        <v>2800</v>
      </c>
      <c r="W360" s="137">
        <v>700</v>
      </c>
      <c r="X360" s="137">
        <v>100</v>
      </c>
    </row>
    <row r="361" spans="1:24">
      <c r="A361" s="132">
        <v>2010</v>
      </c>
      <c r="B361" s="137">
        <v>308000</v>
      </c>
      <c r="C361" s="131"/>
      <c r="D361" s="137">
        <v>299400</v>
      </c>
      <c r="E361" s="137">
        <v>182200</v>
      </c>
      <c r="F361" s="137">
        <v>11300</v>
      </c>
      <c r="G361" s="137">
        <v>8500</v>
      </c>
      <c r="H361" s="137">
        <v>10200</v>
      </c>
      <c r="I361" s="137">
        <v>100</v>
      </c>
      <c r="J361" s="137">
        <v>1700</v>
      </c>
      <c r="K361" s="137">
        <v>31000</v>
      </c>
      <c r="L361" s="137">
        <v>7400</v>
      </c>
      <c r="M361" s="137">
        <v>3400</v>
      </c>
      <c r="N361" s="137">
        <v>4300</v>
      </c>
      <c r="O361" s="137">
        <v>6300</v>
      </c>
      <c r="P361" s="137">
        <v>4000</v>
      </c>
      <c r="Q361" s="137">
        <v>4600</v>
      </c>
      <c r="R361" s="137">
        <v>24500</v>
      </c>
      <c r="S361" s="131"/>
      <c r="T361" s="137">
        <v>8600</v>
      </c>
      <c r="U361" s="137">
        <v>5100</v>
      </c>
      <c r="V361" s="137">
        <v>2700</v>
      </c>
      <c r="W361" s="137">
        <v>600</v>
      </c>
      <c r="X361" s="137">
        <v>100</v>
      </c>
    </row>
    <row r="362" spans="1:24">
      <c r="A362" s="132">
        <v>2011</v>
      </c>
      <c r="B362" s="137">
        <v>315100</v>
      </c>
      <c r="C362" s="131"/>
      <c r="D362" s="137">
        <v>306400</v>
      </c>
      <c r="E362" s="137">
        <v>186000</v>
      </c>
      <c r="F362" s="137">
        <v>11500</v>
      </c>
      <c r="G362" s="137">
        <v>8500</v>
      </c>
      <c r="H362" s="137">
        <v>10200</v>
      </c>
      <c r="I362" s="137">
        <v>100</v>
      </c>
      <c r="J362" s="137">
        <v>1700</v>
      </c>
      <c r="K362" s="137">
        <v>32700</v>
      </c>
      <c r="L362" s="137">
        <v>7600</v>
      </c>
      <c r="M362" s="137">
        <v>3200</v>
      </c>
      <c r="N362" s="137">
        <v>3600</v>
      </c>
      <c r="O362" s="137">
        <v>7100</v>
      </c>
      <c r="P362" s="137">
        <v>4300</v>
      </c>
      <c r="Q362" s="137">
        <v>4700</v>
      </c>
      <c r="R362" s="137">
        <v>25400</v>
      </c>
      <c r="S362" s="131"/>
      <c r="T362" s="137">
        <v>8700</v>
      </c>
      <c r="U362" s="137">
        <v>5400</v>
      </c>
      <c r="V362" s="137">
        <v>2800</v>
      </c>
      <c r="W362" s="137">
        <v>400</v>
      </c>
      <c r="X362" s="137">
        <v>100</v>
      </c>
    </row>
    <row r="363" spans="1:24">
      <c r="A363" s="132">
        <v>2012</v>
      </c>
      <c r="B363" s="137">
        <v>329900</v>
      </c>
      <c r="C363" s="131"/>
      <c r="D363" s="137">
        <v>321100</v>
      </c>
      <c r="E363" s="137">
        <v>188400</v>
      </c>
      <c r="F363" s="137">
        <v>11200</v>
      </c>
      <c r="G363" s="137">
        <v>8000</v>
      </c>
      <c r="H363" s="137">
        <v>10100</v>
      </c>
      <c r="I363" s="137">
        <v>100</v>
      </c>
      <c r="J363" s="137">
        <v>2000</v>
      </c>
      <c r="K363" s="137">
        <v>38000</v>
      </c>
      <c r="L363" s="137">
        <v>11800</v>
      </c>
      <c r="M363" s="137">
        <v>3400</v>
      </c>
      <c r="N363" s="137">
        <v>3300</v>
      </c>
      <c r="O363" s="137">
        <v>8400</v>
      </c>
      <c r="P363" s="137">
        <v>4700</v>
      </c>
      <c r="Q363" s="137">
        <v>5500</v>
      </c>
      <c r="R363" s="137">
        <v>26200</v>
      </c>
      <c r="S363" s="131"/>
      <c r="T363" s="137">
        <v>8800</v>
      </c>
      <c r="U363" s="137">
        <v>5400</v>
      </c>
      <c r="V363" s="137">
        <v>3000</v>
      </c>
      <c r="W363" s="137">
        <v>300</v>
      </c>
      <c r="X363" s="137">
        <v>0</v>
      </c>
    </row>
    <row r="364" spans="1:24">
      <c r="A364" s="132">
        <v>2013</v>
      </c>
      <c r="B364" s="137">
        <v>333700</v>
      </c>
      <c r="C364" s="131"/>
      <c r="D364" s="137">
        <v>324000</v>
      </c>
      <c r="E364" s="137">
        <v>188500</v>
      </c>
      <c r="F364" s="137">
        <v>11600</v>
      </c>
      <c r="G364" s="137">
        <v>8100</v>
      </c>
      <c r="H364" s="137">
        <v>10300</v>
      </c>
      <c r="I364" s="137">
        <v>100</v>
      </c>
      <c r="J364" s="137">
        <v>2100</v>
      </c>
      <c r="K364" s="137">
        <v>38500</v>
      </c>
      <c r="L364" s="137">
        <v>13100</v>
      </c>
      <c r="M364" s="137">
        <v>3200</v>
      </c>
      <c r="N364" s="137">
        <v>3000</v>
      </c>
      <c r="O364" s="137">
        <v>8500</v>
      </c>
      <c r="P364" s="137">
        <v>4700</v>
      </c>
      <c r="Q364" s="137">
        <v>7300</v>
      </c>
      <c r="R364" s="137">
        <v>25100</v>
      </c>
      <c r="S364" s="131"/>
      <c r="T364" s="137">
        <v>9700</v>
      </c>
      <c r="U364" s="137">
        <v>6100</v>
      </c>
      <c r="V364" s="137">
        <v>3100</v>
      </c>
      <c r="W364" s="137">
        <v>200</v>
      </c>
      <c r="X364" s="137">
        <v>200</v>
      </c>
    </row>
    <row r="365" spans="1:24">
      <c r="A365" s="132">
        <v>2014</v>
      </c>
      <c r="B365" s="137">
        <v>346600</v>
      </c>
      <c r="C365" s="131"/>
      <c r="D365" s="137">
        <v>336400</v>
      </c>
      <c r="E365" s="137">
        <v>191200</v>
      </c>
      <c r="F365" s="137">
        <v>11800</v>
      </c>
      <c r="G365" s="137">
        <v>7600</v>
      </c>
      <c r="H365" s="137">
        <v>10400</v>
      </c>
      <c r="I365" s="137">
        <v>100</v>
      </c>
      <c r="J365" s="137">
        <v>2400</v>
      </c>
      <c r="K365" s="137">
        <v>38900</v>
      </c>
      <c r="L365" s="137">
        <v>17800</v>
      </c>
      <c r="M365" s="137">
        <v>3000</v>
      </c>
      <c r="N365" s="137">
        <v>2800</v>
      </c>
      <c r="O365" s="137">
        <v>9900</v>
      </c>
      <c r="P365" s="137">
        <v>5000</v>
      </c>
      <c r="Q365" s="137">
        <v>8200</v>
      </c>
      <c r="R365" s="137">
        <v>27400</v>
      </c>
      <c r="S365" s="131"/>
      <c r="T365" s="137">
        <v>10200</v>
      </c>
      <c r="U365" s="137">
        <v>6600</v>
      </c>
      <c r="V365" s="137">
        <v>3400</v>
      </c>
      <c r="W365" s="137">
        <v>200</v>
      </c>
      <c r="X365" s="137">
        <v>100</v>
      </c>
    </row>
    <row r="366" spans="1:24">
      <c r="A366" s="132">
        <v>2015</v>
      </c>
      <c r="B366" s="137">
        <v>359700</v>
      </c>
      <c r="C366" s="131"/>
      <c r="D366" s="137">
        <v>349600</v>
      </c>
      <c r="E366" s="137">
        <v>201200</v>
      </c>
      <c r="F366" s="137">
        <v>12400</v>
      </c>
      <c r="G366" s="137">
        <v>7800</v>
      </c>
      <c r="H366" s="137">
        <v>10700</v>
      </c>
      <c r="I366" s="137">
        <v>100</v>
      </c>
      <c r="J366" s="137">
        <v>2300</v>
      </c>
      <c r="K366" s="137">
        <v>42200</v>
      </c>
      <c r="L366" s="137">
        <v>17200</v>
      </c>
      <c r="M366" s="137">
        <v>2800</v>
      </c>
      <c r="N366" s="137">
        <v>2800</v>
      </c>
      <c r="O366" s="137">
        <v>10000</v>
      </c>
      <c r="P366" s="137">
        <v>4500</v>
      </c>
      <c r="Q366" s="137">
        <v>7700</v>
      </c>
      <c r="R366" s="137">
        <v>27900</v>
      </c>
      <c r="S366" s="131"/>
      <c r="T366" s="137">
        <v>10200</v>
      </c>
      <c r="U366" s="137">
        <v>6500</v>
      </c>
      <c r="V366" s="137">
        <v>3500</v>
      </c>
      <c r="W366" s="137">
        <v>200</v>
      </c>
      <c r="X366" s="137">
        <v>0</v>
      </c>
    </row>
    <row r="367" spans="1:24">
      <c r="A367" s="132">
        <v>2016</v>
      </c>
      <c r="B367" s="137">
        <v>359500</v>
      </c>
      <c r="C367" s="131"/>
      <c r="D367" s="137">
        <v>349300</v>
      </c>
      <c r="E367" s="137">
        <v>205700</v>
      </c>
      <c r="F367" s="137">
        <v>12700</v>
      </c>
      <c r="G367" s="137">
        <v>8100</v>
      </c>
      <c r="H367" s="137">
        <v>10900</v>
      </c>
      <c r="I367" s="137">
        <v>100</v>
      </c>
      <c r="J367" s="137">
        <v>2300</v>
      </c>
      <c r="K367" s="137">
        <v>40100</v>
      </c>
      <c r="L367" s="137">
        <v>15300</v>
      </c>
      <c r="M367" s="137">
        <v>2800</v>
      </c>
      <c r="N367" s="137">
        <v>2800</v>
      </c>
      <c r="O367" s="137">
        <v>9700</v>
      </c>
      <c r="P367" s="137">
        <v>4300</v>
      </c>
      <c r="Q367" s="137">
        <v>7600</v>
      </c>
      <c r="R367" s="137">
        <v>27100</v>
      </c>
      <c r="S367" s="131"/>
      <c r="T367" s="137">
        <v>10300</v>
      </c>
      <c r="U367" s="137">
        <v>6500</v>
      </c>
      <c r="V367" s="137">
        <v>3500</v>
      </c>
      <c r="W367" s="137">
        <v>100</v>
      </c>
      <c r="X367" s="137">
        <v>100</v>
      </c>
    </row>
    <row r="369" spans="1:24">
      <c r="A369" s="131"/>
      <c r="B369" s="774" t="s">
        <v>13</v>
      </c>
      <c r="C369" s="774"/>
      <c r="D369" s="774"/>
      <c r="E369" s="774"/>
      <c r="F369" s="774"/>
      <c r="G369" s="774"/>
      <c r="H369" s="774"/>
      <c r="I369" s="774"/>
      <c r="J369" s="774"/>
      <c r="K369" s="774"/>
      <c r="L369" s="774"/>
      <c r="M369" s="774"/>
      <c r="N369" s="774"/>
      <c r="O369" s="774"/>
      <c r="P369" s="774"/>
      <c r="Q369" s="774"/>
      <c r="R369" s="774"/>
      <c r="S369" s="774"/>
      <c r="T369" s="774"/>
      <c r="U369" s="774"/>
      <c r="V369" s="774"/>
      <c r="W369" s="774"/>
      <c r="X369" s="774"/>
    </row>
    <row r="370" spans="1:24">
      <c r="A370" s="132">
        <v>1979</v>
      </c>
      <c r="B370" s="137">
        <v>563200</v>
      </c>
      <c r="C370" s="131"/>
      <c r="D370" s="137">
        <v>557700</v>
      </c>
      <c r="E370" s="137">
        <v>174400</v>
      </c>
      <c r="F370" s="137">
        <v>0</v>
      </c>
      <c r="G370" s="137">
        <v>2700</v>
      </c>
      <c r="H370" s="137">
        <v>2300</v>
      </c>
      <c r="I370" s="137">
        <v>100</v>
      </c>
      <c r="J370" s="137">
        <v>2200</v>
      </c>
      <c r="K370" s="137">
        <v>59200</v>
      </c>
      <c r="L370" s="137">
        <v>135200</v>
      </c>
      <c r="M370" s="137">
        <v>10200</v>
      </c>
      <c r="N370" s="137">
        <v>35900</v>
      </c>
      <c r="O370" s="137">
        <v>51300</v>
      </c>
      <c r="P370" s="137">
        <v>14200</v>
      </c>
      <c r="Q370" s="137">
        <v>59600</v>
      </c>
      <c r="R370" s="137">
        <v>10300</v>
      </c>
      <c r="S370" s="131"/>
      <c r="T370" s="137">
        <v>5600</v>
      </c>
      <c r="U370" s="137">
        <v>4200</v>
      </c>
      <c r="V370" s="137">
        <v>1300</v>
      </c>
      <c r="W370" s="137">
        <v>100</v>
      </c>
      <c r="X370" s="137">
        <v>0</v>
      </c>
    </row>
    <row r="371" spans="1:24">
      <c r="A371" s="132">
        <v>1980</v>
      </c>
      <c r="B371" s="137">
        <v>540300</v>
      </c>
      <c r="C371" s="131"/>
      <c r="D371" s="137">
        <v>534600</v>
      </c>
      <c r="E371" s="137">
        <v>183800</v>
      </c>
      <c r="F371" s="137">
        <v>0</v>
      </c>
      <c r="G371" s="137">
        <v>2500</v>
      </c>
      <c r="H371" s="137">
        <v>2600</v>
      </c>
      <c r="I371" s="137">
        <v>100</v>
      </c>
      <c r="J371" s="137">
        <v>1900</v>
      </c>
      <c r="K371" s="137">
        <v>50000</v>
      </c>
      <c r="L371" s="137">
        <v>120500</v>
      </c>
      <c r="M371" s="137">
        <v>9600</v>
      </c>
      <c r="N371" s="137">
        <v>43100</v>
      </c>
      <c r="O371" s="137">
        <v>50900</v>
      </c>
      <c r="P371" s="137">
        <v>14900</v>
      </c>
      <c r="Q371" s="137">
        <v>44600</v>
      </c>
      <c r="R371" s="137">
        <v>10200</v>
      </c>
      <c r="S371" s="131"/>
      <c r="T371" s="137">
        <v>5600</v>
      </c>
      <c r="U371" s="137">
        <v>4200</v>
      </c>
      <c r="V371" s="137">
        <v>1300</v>
      </c>
      <c r="W371" s="137">
        <v>100</v>
      </c>
      <c r="X371" s="137">
        <v>100</v>
      </c>
    </row>
    <row r="372" spans="1:24">
      <c r="A372" s="132">
        <v>1981</v>
      </c>
      <c r="B372" s="137">
        <v>537900</v>
      </c>
      <c r="C372" s="131"/>
      <c r="D372" s="137">
        <v>531800</v>
      </c>
      <c r="E372" s="137">
        <v>184100</v>
      </c>
      <c r="F372" s="137">
        <v>0</v>
      </c>
      <c r="G372" s="137">
        <v>2900</v>
      </c>
      <c r="H372" s="137">
        <v>3000</v>
      </c>
      <c r="I372" s="137">
        <v>100</v>
      </c>
      <c r="J372" s="137">
        <v>1500</v>
      </c>
      <c r="K372" s="137">
        <v>37600</v>
      </c>
      <c r="L372" s="137">
        <v>124000</v>
      </c>
      <c r="M372" s="137">
        <v>11300</v>
      </c>
      <c r="N372" s="137">
        <v>55600</v>
      </c>
      <c r="O372" s="137">
        <v>47700</v>
      </c>
      <c r="P372" s="137">
        <v>17800</v>
      </c>
      <c r="Q372" s="137">
        <v>35500</v>
      </c>
      <c r="R372" s="137">
        <v>10700</v>
      </c>
      <c r="S372" s="131"/>
      <c r="T372" s="137">
        <v>6100</v>
      </c>
      <c r="U372" s="137">
        <v>4400</v>
      </c>
      <c r="V372" s="137">
        <v>1500</v>
      </c>
      <c r="W372" s="137">
        <v>100</v>
      </c>
      <c r="X372" s="137">
        <v>0</v>
      </c>
    </row>
    <row r="373" spans="1:24">
      <c r="A373" s="132">
        <v>1982</v>
      </c>
      <c r="B373" s="137">
        <v>566800</v>
      </c>
      <c r="C373" s="131"/>
      <c r="D373" s="137">
        <v>559700</v>
      </c>
      <c r="E373" s="137">
        <v>190900</v>
      </c>
      <c r="F373" s="137">
        <v>0</v>
      </c>
      <c r="G373" s="137">
        <v>3000</v>
      </c>
      <c r="H373" s="137">
        <v>3900</v>
      </c>
      <c r="I373" s="137">
        <v>100</v>
      </c>
      <c r="J373" s="137">
        <v>1000</v>
      </c>
      <c r="K373" s="137">
        <v>42900</v>
      </c>
      <c r="L373" s="137">
        <v>142500</v>
      </c>
      <c r="M373" s="137">
        <v>14800</v>
      </c>
      <c r="N373" s="137">
        <v>56600</v>
      </c>
      <c r="O373" s="137">
        <v>51100</v>
      </c>
      <c r="P373" s="137">
        <v>17500</v>
      </c>
      <c r="Q373" s="137">
        <v>23200</v>
      </c>
      <c r="R373" s="137">
        <v>12300</v>
      </c>
      <c r="S373" s="131"/>
      <c r="T373" s="137">
        <v>7100</v>
      </c>
      <c r="U373" s="137">
        <v>5200</v>
      </c>
      <c r="V373" s="137">
        <v>1700</v>
      </c>
      <c r="W373" s="137">
        <v>100</v>
      </c>
      <c r="X373" s="137">
        <v>100</v>
      </c>
    </row>
    <row r="374" spans="1:24">
      <c r="A374" s="132">
        <v>1983</v>
      </c>
      <c r="B374" s="137">
        <v>621400</v>
      </c>
      <c r="C374" s="131"/>
      <c r="D374" s="137">
        <v>614300</v>
      </c>
      <c r="E374" s="137">
        <v>202700</v>
      </c>
      <c r="F374" s="137">
        <v>0</v>
      </c>
      <c r="G374" s="137">
        <v>3200</v>
      </c>
      <c r="H374" s="137">
        <v>4200</v>
      </c>
      <c r="I374" s="137">
        <v>100</v>
      </c>
      <c r="J374" s="137">
        <v>1400</v>
      </c>
      <c r="K374" s="137">
        <v>51600</v>
      </c>
      <c r="L374" s="137">
        <v>178700</v>
      </c>
      <c r="M374" s="137">
        <v>19600</v>
      </c>
      <c r="N374" s="137">
        <v>47100</v>
      </c>
      <c r="O374" s="137">
        <v>45200</v>
      </c>
      <c r="P374" s="137">
        <v>16000</v>
      </c>
      <c r="Q374" s="137">
        <v>30500</v>
      </c>
      <c r="R374" s="137">
        <v>13900</v>
      </c>
      <c r="S374" s="131"/>
      <c r="T374" s="137">
        <v>7100</v>
      </c>
      <c r="U374" s="137">
        <v>5100</v>
      </c>
      <c r="V374" s="137">
        <v>1800</v>
      </c>
      <c r="W374" s="137">
        <v>100</v>
      </c>
      <c r="X374" s="137">
        <v>100</v>
      </c>
    </row>
    <row r="375" spans="1:24">
      <c r="A375" s="132">
        <v>1984</v>
      </c>
      <c r="B375" s="137">
        <v>687200</v>
      </c>
      <c r="C375" s="131"/>
      <c r="D375" s="137">
        <v>679500</v>
      </c>
      <c r="E375" s="137">
        <v>217600</v>
      </c>
      <c r="F375" s="137">
        <v>500</v>
      </c>
      <c r="G375" s="137">
        <v>2900</v>
      </c>
      <c r="H375" s="137">
        <v>4300</v>
      </c>
      <c r="I375" s="137">
        <v>100</v>
      </c>
      <c r="J375" s="137">
        <v>1700</v>
      </c>
      <c r="K375" s="137">
        <v>63500</v>
      </c>
      <c r="L375" s="137">
        <v>199000</v>
      </c>
      <c r="M375" s="137">
        <v>24000</v>
      </c>
      <c r="N375" s="137">
        <v>57000</v>
      </c>
      <c r="O375" s="137">
        <v>40000</v>
      </c>
      <c r="P375" s="137">
        <v>16200</v>
      </c>
      <c r="Q375" s="137">
        <v>37100</v>
      </c>
      <c r="R375" s="137">
        <v>15400</v>
      </c>
      <c r="S375" s="131"/>
      <c r="T375" s="137">
        <v>7700</v>
      </c>
      <c r="U375" s="137">
        <v>5600</v>
      </c>
      <c r="V375" s="137">
        <v>1900</v>
      </c>
      <c r="W375" s="137">
        <v>100</v>
      </c>
      <c r="X375" s="137">
        <v>100</v>
      </c>
    </row>
    <row r="376" spans="1:24">
      <c r="A376" s="132">
        <v>1985</v>
      </c>
      <c r="B376" s="137">
        <v>736100</v>
      </c>
      <c r="C376" s="131"/>
      <c r="D376" s="137">
        <v>728600</v>
      </c>
      <c r="E376" s="137">
        <v>216700</v>
      </c>
      <c r="F376" s="137">
        <v>800</v>
      </c>
      <c r="G376" s="137">
        <v>3200</v>
      </c>
      <c r="H376" s="137">
        <v>4400</v>
      </c>
      <c r="I376" s="137">
        <v>100</v>
      </c>
      <c r="J376" s="137">
        <v>1500</v>
      </c>
      <c r="K376" s="137">
        <v>66600</v>
      </c>
      <c r="L376" s="137">
        <v>234100</v>
      </c>
      <c r="M376" s="137">
        <v>27200</v>
      </c>
      <c r="N376" s="137">
        <v>58800</v>
      </c>
      <c r="O376" s="137">
        <v>44300</v>
      </c>
      <c r="P376" s="137">
        <v>16500</v>
      </c>
      <c r="Q376" s="137">
        <v>36000</v>
      </c>
      <c r="R376" s="137">
        <v>18200</v>
      </c>
      <c r="S376" s="131"/>
      <c r="T376" s="137">
        <v>7600</v>
      </c>
      <c r="U376" s="137">
        <v>5300</v>
      </c>
      <c r="V376" s="137">
        <v>1900</v>
      </c>
      <c r="W376" s="137">
        <v>100</v>
      </c>
      <c r="X376" s="137">
        <v>200</v>
      </c>
    </row>
    <row r="377" spans="1:24">
      <c r="A377" s="132">
        <v>1986</v>
      </c>
      <c r="B377" s="137">
        <v>964300</v>
      </c>
      <c r="C377" s="131"/>
      <c r="D377" s="137">
        <v>956300</v>
      </c>
      <c r="E377" s="137">
        <v>213000</v>
      </c>
      <c r="F377" s="137">
        <v>800</v>
      </c>
      <c r="G377" s="137">
        <v>3300</v>
      </c>
      <c r="H377" s="137">
        <v>4400</v>
      </c>
      <c r="I377" s="137">
        <v>100</v>
      </c>
      <c r="J377" s="137">
        <v>1600</v>
      </c>
      <c r="K377" s="137">
        <v>64800</v>
      </c>
      <c r="L377" s="137">
        <v>465200</v>
      </c>
      <c r="M377" s="137">
        <v>31800</v>
      </c>
      <c r="N377" s="137">
        <v>51800</v>
      </c>
      <c r="O377" s="137">
        <v>50100</v>
      </c>
      <c r="P377" s="137">
        <v>15200</v>
      </c>
      <c r="Q377" s="137">
        <v>42800</v>
      </c>
      <c r="R377" s="137">
        <v>11200</v>
      </c>
      <c r="S377" s="131"/>
      <c r="T377" s="137">
        <v>8000</v>
      </c>
      <c r="U377" s="137">
        <v>5600</v>
      </c>
      <c r="V377" s="137">
        <v>2100</v>
      </c>
      <c r="W377" s="137">
        <v>100</v>
      </c>
      <c r="X377" s="137">
        <v>300</v>
      </c>
    </row>
    <row r="378" spans="1:24">
      <c r="A378" s="132">
        <v>1987</v>
      </c>
      <c r="B378" s="137">
        <v>772800</v>
      </c>
      <c r="C378" s="131"/>
      <c r="D378" s="137">
        <v>766400</v>
      </c>
      <c r="E378" s="137">
        <v>277400</v>
      </c>
      <c r="F378" s="137">
        <v>1100</v>
      </c>
      <c r="G378" s="137">
        <v>4300</v>
      </c>
      <c r="H378" s="137">
        <v>5300</v>
      </c>
      <c r="I378" s="137">
        <v>100</v>
      </c>
      <c r="J378" s="137">
        <v>2500</v>
      </c>
      <c r="K378" s="137">
        <v>98800</v>
      </c>
      <c r="L378" s="137">
        <v>163600</v>
      </c>
      <c r="M378" s="137">
        <v>34400</v>
      </c>
      <c r="N378" s="137">
        <v>60800</v>
      </c>
      <c r="O378" s="137">
        <v>42600</v>
      </c>
      <c r="P378" s="137">
        <v>14200</v>
      </c>
      <c r="Q378" s="137">
        <v>45700</v>
      </c>
      <c r="R378" s="137">
        <v>15400</v>
      </c>
      <c r="S378" s="131"/>
      <c r="T378" s="137">
        <v>6400</v>
      </c>
      <c r="U378" s="137">
        <v>4500</v>
      </c>
      <c r="V378" s="137">
        <v>1700</v>
      </c>
      <c r="W378" s="137">
        <v>100</v>
      </c>
      <c r="X378" s="137">
        <v>100</v>
      </c>
    </row>
    <row r="379" spans="1:24">
      <c r="A379" s="132">
        <v>1988</v>
      </c>
      <c r="B379" s="137">
        <v>968100</v>
      </c>
      <c r="C379" s="131"/>
      <c r="D379" s="137">
        <v>961500</v>
      </c>
      <c r="E379" s="137">
        <v>338400</v>
      </c>
      <c r="F379" s="137">
        <v>1300</v>
      </c>
      <c r="G379" s="137">
        <v>5100</v>
      </c>
      <c r="H379" s="137">
        <v>5700</v>
      </c>
      <c r="I379" s="137">
        <v>100</v>
      </c>
      <c r="J379" s="137">
        <v>3100</v>
      </c>
      <c r="K379" s="137">
        <v>147800</v>
      </c>
      <c r="L379" s="137">
        <v>201700</v>
      </c>
      <c r="M379" s="137">
        <v>31900</v>
      </c>
      <c r="N379" s="137">
        <v>72100</v>
      </c>
      <c r="O379" s="137">
        <v>55200</v>
      </c>
      <c r="P379" s="137">
        <v>14700</v>
      </c>
      <c r="Q379" s="137">
        <v>53400</v>
      </c>
      <c r="R379" s="137">
        <v>30800</v>
      </c>
      <c r="S379" s="131"/>
      <c r="T379" s="137">
        <v>6600</v>
      </c>
      <c r="U379" s="137">
        <v>4700</v>
      </c>
      <c r="V379" s="137">
        <v>1700</v>
      </c>
      <c r="W379" s="137">
        <v>0</v>
      </c>
      <c r="X379" s="137">
        <v>200</v>
      </c>
    </row>
    <row r="380" spans="1:24">
      <c r="A380" s="132">
        <v>1989</v>
      </c>
      <c r="B380" s="137">
        <v>900900</v>
      </c>
      <c r="C380" s="131"/>
      <c r="D380" s="137">
        <v>894500</v>
      </c>
      <c r="E380" s="137">
        <v>304800</v>
      </c>
      <c r="F380" s="137">
        <v>1500</v>
      </c>
      <c r="G380" s="137">
        <v>5300</v>
      </c>
      <c r="H380" s="137">
        <v>5800</v>
      </c>
      <c r="I380" s="137">
        <v>100</v>
      </c>
      <c r="J380" s="137">
        <v>2700</v>
      </c>
      <c r="K380" s="137">
        <v>142900</v>
      </c>
      <c r="L380" s="137">
        <v>167600</v>
      </c>
      <c r="M380" s="137">
        <v>34400</v>
      </c>
      <c r="N380" s="137">
        <v>84700</v>
      </c>
      <c r="O380" s="137">
        <v>53300</v>
      </c>
      <c r="P380" s="137">
        <v>15500</v>
      </c>
      <c r="Q380" s="137">
        <v>49100</v>
      </c>
      <c r="R380" s="137">
        <v>26700</v>
      </c>
      <c r="S380" s="131"/>
      <c r="T380" s="137">
        <v>6300</v>
      </c>
      <c r="U380" s="137">
        <v>4500</v>
      </c>
      <c r="V380" s="137">
        <v>1600</v>
      </c>
      <c r="W380" s="137">
        <v>100</v>
      </c>
      <c r="X380" s="137">
        <v>100</v>
      </c>
    </row>
    <row r="381" spans="1:24">
      <c r="A381" s="132">
        <v>1990</v>
      </c>
      <c r="B381" s="137">
        <v>871800</v>
      </c>
      <c r="C381" s="131"/>
      <c r="D381" s="137">
        <v>864600</v>
      </c>
      <c r="E381" s="137">
        <v>319700</v>
      </c>
      <c r="F381" s="137">
        <v>1500</v>
      </c>
      <c r="G381" s="137">
        <v>5200</v>
      </c>
      <c r="H381" s="137">
        <v>6000</v>
      </c>
      <c r="I381" s="137">
        <v>100</v>
      </c>
      <c r="J381" s="137">
        <v>2700</v>
      </c>
      <c r="K381" s="137">
        <v>145900</v>
      </c>
      <c r="L381" s="137">
        <v>127000</v>
      </c>
      <c r="M381" s="137">
        <v>33900</v>
      </c>
      <c r="N381" s="137">
        <v>82100</v>
      </c>
      <c r="O381" s="137">
        <v>49300</v>
      </c>
      <c r="P381" s="137">
        <v>16800</v>
      </c>
      <c r="Q381" s="137">
        <v>46100</v>
      </c>
      <c r="R381" s="137">
        <v>28300</v>
      </c>
      <c r="S381" s="131"/>
      <c r="T381" s="137">
        <v>7200</v>
      </c>
      <c r="U381" s="137">
        <v>4800</v>
      </c>
      <c r="V381" s="137">
        <v>1700</v>
      </c>
      <c r="W381" s="137">
        <v>100</v>
      </c>
      <c r="X381" s="137">
        <v>500</v>
      </c>
    </row>
    <row r="382" spans="1:24">
      <c r="A382" s="132">
        <v>1991</v>
      </c>
      <c r="B382" s="137">
        <v>784300</v>
      </c>
      <c r="C382" s="131"/>
      <c r="D382" s="137">
        <v>777400</v>
      </c>
      <c r="E382" s="137">
        <v>303500</v>
      </c>
      <c r="F382" s="137">
        <v>1700</v>
      </c>
      <c r="G382" s="137">
        <v>5300</v>
      </c>
      <c r="H382" s="137">
        <v>5900</v>
      </c>
      <c r="I382" s="137">
        <v>100</v>
      </c>
      <c r="J382" s="137">
        <v>2300</v>
      </c>
      <c r="K382" s="137">
        <v>127600</v>
      </c>
      <c r="L382" s="137">
        <v>99700</v>
      </c>
      <c r="M382" s="137">
        <v>36200</v>
      </c>
      <c r="N382" s="137">
        <v>69200</v>
      </c>
      <c r="O382" s="137">
        <v>43400</v>
      </c>
      <c r="P382" s="137">
        <v>15700</v>
      </c>
      <c r="Q382" s="137">
        <v>39600</v>
      </c>
      <c r="R382" s="137">
        <v>27200</v>
      </c>
      <c r="S382" s="131"/>
      <c r="T382" s="137">
        <v>6900</v>
      </c>
      <c r="U382" s="137">
        <v>4800</v>
      </c>
      <c r="V382" s="137">
        <v>1700</v>
      </c>
      <c r="W382" s="137">
        <v>100</v>
      </c>
      <c r="X382" s="137">
        <v>300</v>
      </c>
    </row>
    <row r="383" spans="1:24">
      <c r="A383" s="132">
        <v>1992</v>
      </c>
      <c r="B383" s="137">
        <v>884300</v>
      </c>
      <c r="C383" s="131"/>
      <c r="D383" s="137">
        <v>877300</v>
      </c>
      <c r="E383" s="137">
        <v>362400</v>
      </c>
      <c r="F383" s="137">
        <v>2100</v>
      </c>
      <c r="G383" s="137">
        <v>5600</v>
      </c>
      <c r="H383" s="137">
        <v>7700</v>
      </c>
      <c r="I383" s="137">
        <v>100</v>
      </c>
      <c r="J383" s="137">
        <v>3000</v>
      </c>
      <c r="K383" s="137">
        <v>154800</v>
      </c>
      <c r="L383" s="137">
        <v>114300</v>
      </c>
      <c r="M383" s="137">
        <v>34900</v>
      </c>
      <c r="N383" s="137">
        <v>54300</v>
      </c>
      <c r="O383" s="137">
        <v>43500</v>
      </c>
      <c r="P383" s="137">
        <v>17600</v>
      </c>
      <c r="Q383" s="137">
        <v>47700</v>
      </c>
      <c r="R383" s="137">
        <v>29400</v>
      </c>
      <c r="S383" s="131"/>
      <c r="T383" s="137">
        <v>7000</v>
      </c>
      <c r="U383" s="137">
        <v>5000</v>
      </c>
      <c r="V383" s="137">
        <v>1900</v>
      </c>
      <c r="W383" s="137">
        <v>100</v>
      </c>
      <c r="X383" s="137">
        <v>0</v>
      </c>
    </row>
    <row r="384" spans="1:24">
      <c r="A384" s="132">
        <v>1993</v>
      </c>
      <c r="B384" s="137">
        <v>850000</v>
      </c>
      <c r="C384" s="131"/>
      <c r="D384" s="137">
        <v>842700</v>
      </c>
      <c r="E384" s="137">
        <v>330200</v>
      </c>
      <c r="F384" s="137">
        <v>2100</v>
      </c>
      <c r="G384" s="137">
        <v>6100</v>
      </c>
      <c r="H384" s="137">
        <v>6200</v>
      </c>
      <c r="I384" s="137">
        <v>100</v>
      </c>
      <c r="J384" s="137">
        <v>3200</v>
      </c>
      <c r="K384" s="137">
        <v>144600</v>
      </c>
      <c r="L384" s="137">
        <v>130600</v>
      </c>
      <c r="M384" s="137">
        <v>34500</v>
      </c>
      <c r="N384" s="137">
        <v>44700</v>
      </c>
      <c r="O384" s="137">
        <v>39400</v>
      </c>
      <c r="P384" s="137">
        <v>18600</v>
      </c>
      <c r="Q384" s="137">
        <v>56200</v>
      </c>
      <c r="R384" s="137">
        <v>26100</v>
      </c>
      <c r="S384" s="131"/>
      <c r="T384" s="137">
        <v>7300</v>
      </c>
      <c r="U384" s="137">
        <v>5200</v>
      </c>
      <c r="V384" s="137">
        <v>1900</v>
      </c>
      <c r="W384" s="137">
        <v>100</v>
      </c>
      <c r="X384" s="137">
        <v>100</v>
      </c>
    </row>
    <row r="385" spans="1:24">
      <c r="A385" s="132">
        <v>1994</v>
      </c>
      <c r="B385" s="137">
        <v>875900</v>
      </c>
      <c r="C385" s="131"/>
      <c r="D385" s="137">
        <v>868200</v>
      </c>
      <c r="E385" s="137">
        <v>320600</v>
      </c>
      <c r="F385" s="137">
        <v>2500</v>
      </c>
      <c r="G385" s="137">
        <v>7600</v>
      </c>
      <c r="H385" s="137">
        <v>8900</v>
      </c>
      <c r="I385" s="137">
        <v>100</v>
      </c>
      <c r="J385" s="137">
        <v>3300</v>
      </c>
      <c r="K385" s="137">
        <v>163400</v>
      </c>
      <c r="L385" s="137">
        <v>132700</v>
      </c>
      <c r="M385" s="137">
        <v>34500</v>
      </c>
      <c r="N385" s="137">
        <v>44000</v>
      </c>
      <c r="O385" s="137">
        <v>41600</v>
      </c>
      <c r="P385" s="137">
        <v>18400</v>
      </c>
      <c r="Q385" s="137">
        <v>64000</v>
      </c>
      <c r="R385" s="137">
        <v>26600</v>
      </c>
      <c r="S385" s="131"/>
      <c r="T385" s="137">
        <v>7700</v>
      </c>
      <c r="U385" s="137">
        <v>5500</v>
      </c>
      <c r="V385" s="137">
        <v>2000</v>
      </c>
      <c r="W385" s="137">
        <v>100</v>
      </c>
      <c r="X385" s="137">
        <v>200</v>
      </c>
    </row>
    <row r="386" spans="1:24">
      <c r="A386" s="132">
        <v>1995</v>
      </c>
      <c r="B386" s="137">
        <v>972400</v>
      </c>
      <c r="C386" s="131"/>
      <c r="D386" s="137">
        <v>965000</v>
      </c>
      <c r="E386" s="137">
        <v>356700</v>
      </c>
      <c r="F386" s="137">
        <v>2600</v>
      </c>
      <c r="G386" s="137">
        <v>8700</v>
      </c>
      <c r="H386" s="137">
        <v>10000</v>
      </c>
      <c r="I386" s="137">
        <v>100</v>
      </c>
      <c r="J386" s="137">
        <v>4000</v>
      </c>
      <c r="K386" s="137">
        <v>172000</v>
      </c>
      <c r="L386" s="137">
        <v>157100</v>
      </c>
      <c r="M386" s="137">
        <v>34900</v>
      </c>
      <c r="N386" s="137">
        <v>53000</v>
      </c>
      <c r="O386" s="137">
        <v>47800</v>
      </c>
      <c r="P386" s="137">
        <v>17700</v>
      </c>
      <c r="Q386" s="137">
        <v>71200</v>
      </c>
      <c r="R386" s="137">
        <v>29100</v>
      </c>
      <c r="S386" s="131"/>
      <c r="T386" s="137">
        <v>7500</v>
      </c>
      <c r="U386" s="137">
        <v>4800</v>
      </c>
      <c r="V386" s="137">
        <v>2100</v>
      </c>
      <c r="W386" s="137">
        <v>100</v>
      </c>
      <c r="X386" s="137">
        <v>400</v>
      </c>
    </row>
    <row r="387" spans="1:24">
      <c r="A387" s="132">
        <v>1996</v>
      </c>
      <c r="B387" s="137">
        <v>1077400</v>
      </c>
      <c r="C387" s="131"/>
      <c r="D387" s="137">
        <v>1070200</v>
      </c>
      <c r="E387" s="137">
        <v>375600</v>
      </c>
      <c r="F387" s="137">
        <v>2800</v>
      </c>
      <c r="G387" s="137">
        <v>8200</v>
      </c>
      <c r="H387" s="137">
        <v>10300</v>
      </c>
      <c r="I387" s="137">
        <v>100</v>
      </c>
      <c r="J387" s="137">
        <v>4300</v>
      </c>
      <c r="K387" s="137">
        <v>179000</v>
      </c>
      <c r="L387" s="137">
        <v>226000</v>
      </c>
      <c r="M387" s="137">
        <v>34400</v>
      </c>
      <c r="N387" s="137">
        <v>53600</v>
      </c>
      <c r="O387" s="137">
        <v>49500</v>
      </c>
      <c r="P387" s="137">
        <v>18100</v>
      </c>
      <c r="Q387" s="137">
        <v>76000</v>
      </c>
      <c r="R387" s="137">
        <v>32100</v>
      </c>
      <c r="S387" s="131"/>
      <c r="T387" s="137">
        <v>7300</v>
      </c>
      <c r="U387" s="137">
        <v>4900</v>
      </c>
      <c r="V387" s="137">
        <v>2300</v>
      </c>
      <c r="W387" s="137">
        <v>100</v>
      </c>
      <c r="X387" s="137">
        <v>0</v>
      </c>
    </row>
    <row r="388" spans="1:24">
      <c r="A388" s="132">
        <v>1997</v>
      </c>
      <c r="B388" s="137">
        <v>1244100</v>
      </c>
      <c r="C388" s="131"/>
      <c r="D388" s="137">
        <v>1236100</v>
      </c>
      <c r="E388" s="137">
        <v>416900</v>
      </c>
      <c r="F388" s="137">
        <v>2800</v>
      </c>
      <c r="G388" s="137">
        <v>7100</v>
      </c>
      <c r="H388" s="137">
        <v>11100</v>
      </c>
      <c r="I388" s="137">
        <v>100</v>
      </c>
      <c r="J388" s="137">
        <v>4800</v>
      </c>
      <c r="K388" s="137">
        <v>197200</v>
      </c>
      <c r="L388" s="137">
        <v>311600</v>
      </c>
      <c r="M388" s="137">
        <v>33300</v>
      </c>
      <c r="N388" s="137">
        <v>56200</v>
      </c>
      <c r="O388" s="137">
        <v>55900</v>
      </c>
      <c r="P388" s="137">
        <v>19900</v>
      </c>
      <c r="Q388" s="137">
        <v>82700</v>
      </c>
      <c r="R388" s="137">
        <v>36500</v>
      </c>
      <c r="S388" s="131"/>
      <c r="T388" s="137">
        <v>8000</v>
      </c>
      <c r="U388" s="137">
        <v>5400</v>
      </c>
      <c r="V388" s="137">
        <v>2500</v>
      </c>
      <c r="W388" s="137">
        <v>0</v>
      </c>
      <c r="X388" s="137">
        <v>100</v>
      </c>
    </row>
    <row r="389" spans="1:24">
      <c r="A389" s="132">
        <v>1998</v>
      </c>
      <c r="B389" s="137">
        <v>1413000</v>
      </c>
      <c r="C389" s="131"/>
      <c r="D389" s="137">
        <v>1405700</v>
      </c>
      <c r="E389" s="137">
        <v>465500</v>
      </c>
      <c r="F389" s="137">
        <v>3000</v>
      </c>
      <c r="G389" s="137">
        <v>7400</v>
      </c>
      <c r="H389" s="137">
        <v>12000</v>
      </c>
      <c r="I389" s="137">
        <v>100</v>
      </c>
      <c r="J389" s="137">
        <v>4800</v>
      </c>
      <c r="K389" s="137">
        <v>213000</v>
      </c>
      <c r="L389" s="137">
        <v>403400</v>
      </c>
      <c r="M389" s="137">
        <v>35500</v>
      </c>
      <c r="N389" s="137">
        <v>59000</v>
      </c>
      <c r="O389" s="137">
        <v>56500</v>
      </c>
      <c r="P389" s="137">
        <v>18900</v>
      </c>
      <c r="Q389" s="137">
        <v>84500</v>
      </c>
      <c r="R389" s="137">
        <v>42000</v>
      </c>
      <c r="S389" s="131"/>
      <c r="T389" s="137">
        <v>7400</v>
      </c>
      <c r="U389" s="137">
        <v>4900</v>
      </c>
      <c r="V389" s="137">
        <v>2400</v>
      </c>
      <c r="W389" s="137">
        <v>100</v>
      </c>
      <c r="X389" s="137">
        <v>0</v>
      </c>
    </row>
    <row r="390" spans="1:24">
      <c r="A390" s="132">
        <v>1999</v>
      </c>
      <c r="B390" s="137">
        <v>1542200</v>
      </c>
      <c r="C390" s="131"/>
      <c r="D390" s="137">
        <v>1535000</v>
      </c>
      <c r="E390" s="137">
        <v>515200</v>
      </c>
      <c r="F390" s="137">
        <v>3400</v>
      </c>
      <c r="G390" s="137">
        <v>7200</v>
      </c>
      <c r="H390" s="137">
        <v>13200</v>
      </c>
      <c r="I390" s="137">
        <v>100</v>
      </c>
      <c r="J390" s="137">
        <v>5300</v>
      </c>
      <c r="K390" s="137">
        <v>224600</v>
      </c>
      <c r="L390" s="137">
        <v>460900</v>
      </c>
      <c r="M390" s="137">
        <v>35800</v>
      </c>
      <c r="N390" s="137">
        <v>58600</v>
      </c>
      <c r="O390" s="137">
        <v>60300</v>
      </c>
      <c r="P390" s="137">
        <v>19400</v>
      </c>
      <c r="Q390" s="137">
        <v>85500</v>
      </c>
      <c r="R390" s="137">
        <v>45300</v>
      </c>
      <c r="S390" s="131"/>
      <c r="T390" s="137">
        <v>7200</v>
      </c>
      <c r="U390" s="137">
        <v>4700</v>
      </c>
      <c r="V390" s="137">
        <v>2000</v>
      </c>
      <c r="W390" s="137">
        <v>100</v>
      </c>
      <c r="X390" s="137">
        <v>300</v>
      </c>
    </row>
    <row r="391" spans="1:24">
      <c r="A391" s="132">
        <v>2000</v>
      </c>
      <c r="B391" s="137">
        <v>1695200</v>
      </c>
      <c r="C391" s="131"/>
      <c r="D391" s="137">
        <v>1687300</v>
      </c>
      <c r="E391" s="137">
        <v>583500</v>
      </c>
      <c r="F391" s="137">
        <v>3600</v>
      </c>
      <c r="G391" s="137">
        <v>7800</v>
      </c>
      <c r="H391" s="137">
        <v>14400</v>
      </c>
      <c r="I391" s="137">
        <v>100</v>
      </c>
      <c r="J391" s="137">
        <v>5700</v>
      </c>
      <c r="K391" s="137">
        <v>224700</v>
      </c>
      <c r="L391" s="137">
        <v>526600</v>
      </c>
      <c r="M391" s="137">
        <v>36500</v>
      </c>
      <c r="N391" s="137">
        <v>66100</v>
      </c>
      <c r="O391" s="137">
        <v>66000</v>
      </c>
      <c r="P391" s="137">
        <v>19500</v>
      </c>
      <c r="Q391" s="137">
        <v>85900</v>
      </c>
      <c r="R391" s="137">
        <v>46900</v>
      </c>
      <c r="S391" s="131"/>
      <c r="T391" s="137">
        <v>7900</v>
      </c>
      <c r="U391" s="137">
        <v>5600</v>
      </c>
      <c r="V391" s="137">
        <v>2200</v>
      </c>
      <c r="W391" s="137">
        <v>100</v>
      </c>
      <c r="X391" s="137">
        <v>0</v>
      </c>
    </row>
    <row r="392" spans="1:24">
      <c r="A392" s="132">
        <v>2001</v>
      </c>
      <c r="B392" s="137">
        <v>1355200</v>
      </c>
      <c r="C392" s="131"/>
      <c r="D392" s="137">
        <v>1348200</v>
      </c>
      <c r="E392" s="137">
        <v>522700</v>
      </c>
      <c r="F392" s="137">
        <v>3600</v>
      </c>
      <c r="G392" s="137">
        <v>8300</v>
      </c>
      <c r="H392" s="137">
        <v>13800</v>
      </c>
      <c r="I392" s="137">
        <v>100</v>
      </c>
      <c r="J392" s="137">
        <v>3600</v>
      </c>
      <c r="K392" s="137">
        <v>235100</v>
      </c>
      <c r="L392" s="137">
        <v>288900</v>
      </c>
      <c r="M392" s="137">
        <v>34800</v>
      </c>
      <c r="N392" s="137">
        <v>62100</v>
      </c>
      <c r="O392" s="137">
        <v>52200</v>
      </c>
      <c r="P392" s="137">
        <v>21300</v>
      </c>
      <c r="Q392" s="137">
        <v>61500</v>
      </c>
      <c r="R392" s="137">
        <v>40300</v>
      </c>
      <c r="S392" s="131"/>
      <c r="T392" s="137">
        <v>7000</v>
      </c>
      <c r="U392" s="137">
        <v>4700</v>
      </c>
      <c r="V392" s="137">
        <v>2000</v>
      </c>
      <c r="W392" s="137">
        <v>100</v>
      </c>
      <c r="X392" s="137">
        <v>100</v>
      </c>
    </row>
    <row r="393" spans="1:24">
      <c r="A393" s="132">
        <v>2002</v>
      </c>
      <c r="B393" s="137">
        <v>1200900</v>
      </c>
      <c r="C393" s="131"/>
      <c r="D393" s="137">
        <v>1193400</v>
      </c>
      <c r="E393" s="137">
        <v>468100</v>
      </c>
      <c r="F393" s="137">
        <v>6500</v>
      </c>
      <c r="G393" s="137">
        <v>8600</v>
      </c>
      <c r="H393" s="137">
        <v>12900</v>
      </c>
      <c r="I393" s="137">
        <v>100</v>
      </c>
      <c r="J393" s="137">
        <v>2900</v>
      </c>
      <c r="K393" s="137">
        <v>248600</v>
      </c>
      <c r="L393" s="137">
        <v>209200</v>
      </c>
      <c r="M393" s="137">
        <v>33400</v>
      </c>
      <c r="N393" s="137">
        <v>45800</v>
      </c>
      <c r="O393" s="137">
        <v>43200</v>
      </c>
      <c r="P393" s="137">
        <v>19700</v>
      </c>
      <c r="Q393" s="137">
        <v>55900</v>
      </c>
      <c r="R393" s="137">
        <v>38500</v>
      </c>
      <c r="S393" s="131"/>
      <c r="T393" s="137">
        <v>7500</v>
      </c>
      <c r="U393" s="137">
        <v>5100</v>
      </c>
      <c r="V393" s="137">
        <v>2200</v>
      </c>
      <c r="W393" s="137">
        <v>200</v>
      </c>
      <c r="X393" s="137">
        <v>0</v>
      </c>
    </row>
    <row r="394" spans="1:24">
      <c r="A394" s="132">
        <v>2003</v>
      </c>
      <c r="B394" s="137">
        <v>1278400</v>
      </c>
      <c r="C394" s="131"/>
      <c r="D394" s="137">
        <v>1270800</v>
      </c>
      <c r="E394" s="137">
        <v>459900</v>
      </c>
      <c r="F394" s="137">
        <v>9900</v>
      </c>
      <c r="G394" s="137">
        <v>9100</v>
      </c>
      <c r="H394" s="137">
        <v>12700</v>
      </c>
      <c r="I394" s="137">
        <v>100</v>
      </c>
      <c r="J394" s="137">
        <v>3900</v>
      </c>
      <c r="K394" s="137">
        <v>252700</v>
      </c>
      <c r="L394" s="137">
        <v>254200</v>
      </c>
      <c r="M394" s="137">
        <v>32300</v>
      </c>
      <c r="N394" s="137">
        <v>42500</v>
      </c>
      <c r="O394" s="137">
        <v>53500</v>
      </c>
      <c r="P394" s="137">
        <v>21000</v>
      </c>
      <c r="Q394" s="137">
        <v>82000</v>
      </c>
      <c r="R394" s="137">
        <v>36800</v>
      </c>
      <c r="S394" s="131"/>
      <c r="T394" s="137">
        <v>7600</v>
      </c>
      <c r="U394" s="137">
        <v>5000</v>
      </c>
      <c r="V394" s="137">
        <v>2400</v>
      </c>
      <c r="W394" s="137">
        <v>200</v>
      </c>
      <c r="X394" s="137">
        <v>100</v>
      </c>
    </row>
    <row r="395" spans="1:24">
      <c r="A395" s="132">
        <v>2004</v>
      </c>
      <c r="B395" s="137">
        <v>1524500</v>
      </c>
      <c r="C395" s="131"/>
      <c r="D395" s="137">
        <v>1516400</v>
      </c>
      <c r="E395" s="137">
        <v>488500</v>
      </c>
      <c r="F395" s="137">
        <v>9400</v>
      </c>
      <c r="G395" s="137">
        <v>9000</v>
      </c>
      <c r="H395" s="137">
        <v>12800</v>
      </c>
      <c r="I395" s="137">
        <v>100</v>
      </c>
      <c r="J395" s="137">
        <v>5200</v>
      </c>
      <c r="K395" s="137">
        <v>286900</v>
      </c>
      <c r="L395" s="137">
        <v>386700</v>
      </c>
      <c r="M395" s="137">
        <v>30500</v>
      </c>
      <c r="N395" s="137">
        <v>45500</v>
      </c>
      <c r="O395" s="137">
        <v>71900</v>
      </c>
      <c r="P395" s="137">
        <v>21300</v>
      </c>
      <c r="Q395" s="137">
        <v>108900</v>
      </c>
      <c r="R395" s="137">
        <v>39700</v>
      </c>
      <c r="S395" s="131"/>
      <c r="T395" s="137">
        <v>8100</v>
      </c>
      <c r="U395" s="137">
        <v>5500</v>
      </c>
      <c r="V395" s="137">
        <v>2500</v>
      </c>
      <c r="W395" s="137">
        <v>100</v>
      </c>
      <c r="X395" s="137">
        <v>0</v>
      </c>
    </row>
    <row r="396" spans="1:24">
      <c r="A396" s="132">
        <v>2005</v>
      </c>
      <c r="B396" s="137">
        <v>1842000</v>
      </c>
      <c r="C396" s="131"/>
      <c r="D396" s="137">
        <v>1833000</v>
      </c>
      <c r="E396" s="137">
        <v>515700</v>
      </c>
      <c r="F396" s="137">
        <v>9200</v>
      </c>
      <c r="G396" s="137">
        <v>9300</v>
      </c>
      <c r="H396" s="137">
        <v>13200</v>
      </c>
      <c r="I396" s="137">
        <v>100</v>
      </c>
      <c r="J396" s="137">
        <v>7100</v>
      </c>
      <c r="K396" s="137">
        <v>353800</v>
      </c>
      <c r="L396" s="137">
        <v>528400</v>
      </c>
      <c r="M396" s="137">
        <v>34700</v>
      </c>
      <c r="N396" s="137">
        <v>64000</v>
      </c>
      <c r="O396" s="137">
        <v>81100</v>
      </c>
      <c r="P396" s="137">
        <v>24800</v>
      </c>
      <c r="Q396" s="137">
        <v>148000</v>
      </c>
      <c r="R396" s="137">
        <v>43700</v>
      </c>
      <c r="S396" s="131"/>
      <c r="T396" s="137">
        <v>9000</v>
      </c>
      <c r="U396" s="137">
        <v>6000</v>
      </c>
      <c r="V396" s="137">
        <v>2800</v>
      </c>
      <c r="W396" s="137">
        <v>100</v>
      </c>
      <c r="X396" s="137">
        <v>100</v>
      </c>
    </row>
    <row r="397" spans="1:24">
      <c r="A397" s="132">
        <v>2006</v>
      </c>
      <c r="B397" s="137">
        <v>1993200</v>
      </c>
      <c r="C397" s="131"/>
      <c r="D397" s="137">
        <v>1983900</v>
      </c>
      <c r="E397" s="137">
        <v>528800</v>
      </c>
      <c r="F397" s="137">
        <v>9400</v>
      </c>
      <c r="G397" s="137">
        <v>8900</v>
      </c>
      <c r="H397" s="137">
        <v>13300</v>
      </c>
      <c r="I397" s="137">
        <v>100</v>
      </c>
      <c r="J397" s="137">
        <v>7900</v>
      </c>
      <c r="K397" s="137">
        <v>362500</v>
      </c>
      <c r="L397" s="137">
        <v>595000</v>
      </c>
      <c r="M397" s="137">
        <v>42400</v>
      </c>
      <c r="N397" s="137">
        <v>86000</v>
      </c>
      <c r="O397" s="137">
        <v>96700</v>
      </c>
      <c r="P397" s="137">
        <v>23900</v>
      </c>
      <c r="Q397" s="137">
        <v>162300</v>
      </c>
      <c r="R397" s="137">
        <v>46600</v>
      </c>
      <c r="S397" s="131"/>
      <c r="T397" s="137">
        <v>9300</v>
      </c>
      <c r="U397" s="137">
        <v>6000</v>
      </c>
      <c r="V397" s="137">
        <v>3200</v>
      </c>
      <c r="W397" s="137">
        <v>100</v>
      </c>
      <c r="X397" s="137">
        <v>0</v>
      </c>
    </row>
    <row r="398" spans="1:24">
      <c r="A398" s="132">
        <v>2007</v>
      </c>
      <c r="B398" s="137">
        <v>2099900</v>
      </c>
      <c r="C398" s="131"/>
      <c r="D398" s="137">
        <v>2090800</v>
      </c>
      <c r="E398" s="137">
        <v>568700</v>
      </c>
      <c r="F398" s="137">
        <v>9800</v>
      </c>
      <c r="G398" s="137">
        <v>8700</v>
      </c>
      <c r="H398" s="137">
        <v>14100</v>
      </c>
      <c r="I398" s="137">
        <v>100</v>
      </c>
      <c r="J398" s="137">
        <v>7200</v>
      </c>
      <c r="K398" s="137">
        <v>345300</v>
      </c>
      <c r="L398" s="137">
        <v>668200</v>
      </c>
      <c r="M398" s="137">
        <v>46200</v>
      </c>
      <c r="N398" s="137">
        <v>98700</v>
      </c>
      <c r="O398" s="137">
        <v>112000</v>
      </c>
      <c r="P398" s="137">
        <v>23100</v>
      </c>
      <c r="Q398" s="137">
        <v>139000</v>
      </c>
      <c r="R398" s="137">
        <v>49800</v>
      </c>
      <c r="S398" s="131"/>
      <c r="T398" s="137">
        <v>9000</v>
      </c>
      <c r="U398" s="137">
        <v>5700</v>
      </c>
      <c r="V398" s="137">
        <v>3200</v>
      </c>
      <c r="W398" s="137">
        <v>100</v>
      </c>
      <c r="X398" s="137">
        <v>0</v>
      </c>
    </row>
    <row r="399" spans="1:24">
      <c r="A399" s="132">
        <v>2008</v>
      </c>
      <c r="B399" s="137">
        <v>1715100</v>
      </c>
      <c r="C399" s="131"/>
      <c r="D399" s="137">
        <v>1706400</v>
      </c>
      <c r="E399" s="137">
        <v>559900</v>
      </c>
      <c r="F399" s="137">
        <v>10400</v>
      </c>
      <c r="G399" s="137">
        <v>9000</v>
      </c>
      <c r="H399" s="137">
        <v>14300</v>
      </c>
      <c r="I399" s="137">
        <v>100</v>
      </c>
      <c r="J399" s="137">
        <v>4300</v>
      </c>
      <c r="K399" s="137">
        <v>351300</v>
      </c>
      <c r="L399" s="137">
        <v>373700</v>
      </c>
      <c r="M399" s="137">
        <v>42400</v>
      </c>
      <c r="N399" s="137">
        <v>74200</v>
      </c>
      <c r="O399" s="137">
        <v>100800</v>
      </c>
      <c r="P399" s="137">
        <v>29000</v>
      </c>
      <c r="Q399" s="137">
        <v>87400</v>
      </c>
      <c r="R399" s="137">
        <v>49500</v>
      </c>
      <c r="S399" s="131"/>
      <c r="T399" s="137">
        <v>8700</v>
      </c>
      <c r="U399" s="137">
        <v>5400</v>
      </c>
      <c r="V399" s="137">
        <v>3000</v>
      </c>
      <c r="W399" s="137">
        <v>200</v>
      </c>
      <c r="X399" s="137">
        <v>100</v>
      </c>
    </row>
    <row r="400" spans="1:24">
      <c r="A400" s="132">
        <v>2009</v>
      </c>
      <c r="B400" s="137">
        <v>1338600</v>
      </c>
      <c r="C400" s="131"/>
      <c r="D400" s="137">
        <v>1329200</v>
      </c>
      <c r="E400" s="137">
        <v>491300</v>
      </c>
      <c r="F400" s="137">
        <v>11500</v>
      </c>
      <c r="G400" s="137">
        <v>9300</v>
      </c>
      <c r="H400" s="137">
        <v>13900</v>
      </c>
      <c r="I400" s="137">
        <v>100</v>
      </c>
      <c r="J400" s="137">
        <v>3000</v>
      </c>
      <c r="K400" s="137">
        <v>330900</v>
      </c>
      <c r="L400" s="137">
        <v>182300</v>
      </c>
      <c r="M400" s="137">
        <v>36800</v>
      </c>
      <c r="N400" s="137">
        <v>51500</v>
      </c>
      <c r="O400" s="137">
        <v>70800</v>
      </c>
      <c r="P400" s="137">
        <v>22100</v>
      </c>
      <c r="Q400" s="137">
        <v>63500</v>
      </c>
      <c r="R400" s="137">
        <v>42300</v>
      </c>
      <c r="S400" s="131"/>
      <c r="T400" s="137">
        <v>9400</v>
      </c>
      <c r="U400" s="137">
        <v>5800</v>
      </c>
      <c r="V400" s="137">
        <v>3200</v>
      </c>
      <c r="W400" s="137">
        <v>300</v>
      </c>
      <c r="X400" s="137">
        <v>0</v>
      </c>
    </row>
    <row r="401" spans="1:24">
      <c r="A401" s="132">
        <v>2010</v>
      </c>
      <c r="B401" s="137">
        <v>1536900</v>
      </c>
      <c r="C401" s="131"/>
      <c r="D401" s="137">
        <v>1527800</v>
      </c>
      <c r="E401" s="137">
        <v>518500</v>
      </c>
      <c r="F401" s="137">
        <v>11500</v>
      </c>
      <c r="G401" s="137">
        <v>8500</v>
      </c>
      <c r="H401" s="137">
        <v>14000</v>
      </c>
      <c r="I401" s="137">
        <v>100</v>
      </c>
      <c r="J401" s="137">
        <v>4400</v>
      </c>
      <c r="K401" s="137">
        <v>331400</v>
      </c>
      <c r="L401" s="137">
        <v>287200</v>
      </c>
      <c r="M401" s="137">
        <v>36900</v>
      </c>
      <c r="N401" s="137">
        <v>49800</v>
      </c>
      <c r="O401" s="137">
        <v>85700</v>
      </c>
      <c r="P401" s="137">
        <v>23300</v>
      </c>
      <c r="Q401" s="137">
        <v>97000</v>
      </c>
      <c r="R401" s="137">
        <v>59500</v>
      </c>
      <c r="S401" s="131"/>
      <c r="T401" s="137">
        <v>9100</v>
      </c>
      <c r="U401" s="137">
        <v>5600</v>
      </c>
      <c r="V401" s="137">
        <v>3100</v>
      </c>
      <c r="W401" s="137">
        <v>300</v>
      </c>
      <c r="X401" s="137">
        <v>100</v>
      </c>
    </row>
    <row r="402" spans="1:24">
      <c r="A402" s="132">
        <v>2011</v>
      </c>
      <c r="B402" s="137">
        <v>1536600</v>
      </c>
      <c r="C402" s="131"/>
      <c r="D402" s="137">
        <v>1527800</v>
      </c>
      <c r="E402" s="137">
        <v>530800</v>
      </c>
      <c r="F402" s="137">
        <v>11600</v>
      </c>
      <c r="G402" s="137">
        <v>8600</v>
      </c>
      <c r="H402" s="137">
        <v>14200</v>
      </c>
      <c r="I402" s="137">
        <v>100</v>
      </c>
      <c r="J402" s="137">
        <v>4400</v>
      </c>
      <c r="K402" s="137">
        <v>337800</v>
      </c>
      <c r="L402" s="137">
        <v>281000</v>
      </c>
      <c r="M402" s="137">
        <v>34500</v>
      </c>
      <c r="N402" s="137">
        <v>43400</v>
      </c>
      <c r="O402" s="137">
        <v>80200</v>
      </c>
      <c r="P402" s="137">
        <v>25000</v>
      </c>
      <c r="Q402" s="137">
        <v>94700</v>
      </c>
      <c r="R402" s="137">
        <v>61500</v>
      </c>
      <c r="S402" s="131"/>
      <c r="T402" s="137">
        <v>8800</v>
      </c>
      <c r="U402" s="137">
        <v>5600</v>
      </c>
      <c r="V402" s="137">
        <v>2900</v>
      </c>
      <c r="W402" s="137">
        <v>200</v>
      </c>
      <c r="X402" s="137">
        <v>0</v>
      </c>
    </row>
    <row r="403" spans="1:24">
      <c r="A403" s="132">
        <v>2012</v>
      </c>
      <c r="B403" s="137">
        <v>1897800</v>
      </c>
      <c r="C403" s="465"/>
      <c r="D403" s="137">
        <v>1888100</v>
      </c>
      <c r="E403" s="137">
        <v>564200</v>
      </c>
      <c r="F403" s="137">
        <v>11100</v>
      </c>
      <c r="G403" s="137">
        <v>7700</v>
      </c>
      <c r="H403" s="137">
        <v>14500</v>
      </c>
      <c r="I403" s="137">
        <v>100</v>
      </c>
      <c r="J403" s="137">
        <v>5500</v>
      </c>
      <c r="K403" s="137">
        <v>393500</v>
      </c>
      <c r="L403" s="137">
        <v>465600</v>
      </c>
      <c r="M403" s="137">
        <v>32900</v>
      </c>
      <c r="N403" s="137">
        <v>45200</v>
      </c>
      <c r="O403" s="137">
        <v>127600</v>
      </c>
      <c r="P403" s="137">
        <v>27500</v>
      </c>
      <c r="Q403" s="137">
        <v>121500</v>
      </c>
      <c r="R403" s="137">
        <v>71300</v>
      </c>
      <c r="S403" s="131"/>
      <c r="T403" s="137">
        <v>9700</v>
      </c>
      <c r="U403" s="137">
        <v>6000</v>
      </c>
      <c r="V403" s="137">
        <v>3400</v>
      </c>
      <c r="W403" s="137">
        <v>200</v>
      </c>
      <c r="X403" s="137">
        <v>100</v>
      </c>
    </row>
    <row r="404" spans="1:24">
      <c r="A404" s="132">
        <v>2013</v>
      </c>
      <c r="B404" s="137">
        <v>1597200</v>
      </c>
      <c r="C404" s="131"/>
      <c r="D404" s="137">
        <v>1587500</v>
      </c>
      <c r="E404" s="137">
        <v>531200</v>
      </c>
      <c r="F404" s="137">
        <v>11900</v>
      </c>
      <c r="G404" s="137">
        <v>7700</v>
      </c>
      <c r="H404" s="137">
        <v>14400</v>
      </c>
      <c r="I404" s="137">
        <v>100</v>
      </c>
      <c r="J404" s="137">
        <v>5500</v>
      </c>
      <c r="K404" s="137">
        <v>362200</v>
      </c>
      <c r="L404" s="137">
        <v>307200</v>
      </c>
      <c r="M404" s="137">
        <v>30400</v>
      </c>
      <c r="N404" s="137">
        <v>39500</v>
      </c>
      <c r="O404" s="137">
        <v>85400</v>
      </c>
      <c r="P404" s="137">
        <v>27800</v>
      </c>
      <c r="Q404" s="137">
        <v>110400</v>
      </c>
      <c r="R404" s="137">
        <v>53800</v>
      </c>
      <c r="S404" s="131"/>
      <c r="T404" s="137">
        <v>9700</v>
      </c>
      <c r="U404" s="137">
        <v>6200</v>
      </c>
      <c r="V404" s="137">
        <v>3300</v>
      </c>
      <c r="W404" s="137">
        <v>100</v>
      </c>
      <c r="X404" s="137">
        <v>0</v>
      </c>
    </row>
    <row r="405" spans="1:24">
      <c r="A405" s="132">
        <v>2014</v>
      </c>
      <c r="B405" s="137">
        <v>1797400</v>
      </c>
      <c r="C405" s="131"/>
      <c r="D405" s="137">
        <v>1787900</v>
      </c>
      <c r="E405" s="137">
        <v>560100</v>
      </c>
      <c r="F405" s="137">
        <v>11600</v>
      </c>
      <c r="G405" s="137">
        <v>7400</v>
      </c>
      <c r="H405" s="137">
        <v>14200</v>
      </c>
      <c r="I405" s="137">
        <v>100</v>
      </c>
      <c r="J405" s="137">
        <v>6300</v>
      </c>
      <c r="K405" s="137">
        <v>381000</v>
      </c>
      <c r="L405" s="137">
        <v>428300</v>
      </c>
      <c r="M405" s="137">
        <v>26900</v>
      </c>
      <c r="N405" s="137">
        <v>37500</v>
      </c>
      <c r="O405" s="137">
        <v>102800</v>
      </c>
      <c r="P405" s="137">
        <v>31400</v>
      </c>
      <c r="Q405" s="137">
        <v>125400</v>
      </c>
      <c r="R405" s="137">
        <v>55000</v>
      </c>
      <c r="S405" s="131"/>
      <c r="T405" s="137">
        <v>9500</v>
      </c>
      <c r="U405" s="137">
        <v>6100</v>
      </c>
      <c r="V405" s="137">
        <v>3300</v>
      </c>
      <c r="W405" s="137">
        <v>100</v>
      </c>
      <c r="X405" s="137">
        <v>100</v>
      </c>
    </row>
    <row r="406" spans="1:24">
      <c r="A406" s="132">
        <v>2015</v>
      </c>
      <c r="B406" s="137">
        <v>1876500</v>
      </c>
      <c r="C406" s="131"/>
      <c r="D406" s="137">
        <v>1866100</v>
      </c>
      <c r="E406" s="137">
        <v>591500</v>
      </c>
      <c r="F406" s="137">
        <v>12600</v>
      </c>
      <c r="G406" s="137">
        <v>7400</v>
      </c>
      <c r="H406" s="137">
        <v>15500</v>
      </c>
      <c r="I406" s="137">
        <v>100</v>
      </c>
      <c r="J406" s="137">
        <v>6200</v>
      </c>
      <c r="K406" s="137">
        <v>409000</v>
      </c>
      <c r="L406" s="137">
        <v>446400</v>
      </c>
      <c r="M406" s="137">
        <v>26300</v>
      </c>
      <c r="N406" s="137">
        <v>38100</v>
      </c>
      <c r="O406" s="137">
        <v>106300</v>
      </c>
      <c r="P406" s="137">
        <v>25400</v>
      </c>
      <c r="Q406" s="137">
        <v>124100</v>
      </c>
      <c r="R406" s="137">
        <v>57200</v>
      </c>
      <c r="S406" s="131"/>
      <c r="T406" s="137">
        <v>10400</v>
      </c>
      <c r="U406" s="137">
        <v>6700</v>
      </c>
      <c r="V406" s="137">
        <v>3600</v>
      </c>
      <c r="W406" s="137">
        <v>100</v>
      </c>
      <c r="X406" s="137">
        <v>0</v>
      </c>
    </row>
    <row r="407" spans="1:24">
      <c r="A407" s="132">
        <v>2016</v>
      </c>
      <c r="B407" s="137">
        <v>1788800</v>
      </c>
      <c r="C407" s="131"/>
      <c r="D407" s="137">
        <v>1779200</v>
      </c>
      <c r="E407" s="137">
        <v>572600</v>
      </c>
      <c r="F407" s="137">
        <v>12900</v>
      </c>
      <c r="G407" s="137">
        <v>8000</v>
      </c>
      <c r="H407" s="137">
        <v>15300</v>
      </c>
      <c r="I407" s="137">
        <v>100</v>
      </c>
      <c r="J407" s="137">
        <v>5800</v>
      </c>
      <c r="K407" s="137">
        <v>410700</v>
      </c>
      <c r="L407" s="137">
        <v>390900</v>
      </c>
      <c r="M407" s="137">
        <v>25000</v>
      </c>
      <c r="N407" s="137">
        <v>38000</v>
      </c>
      <c r="O407" s="137">
        <v>100100</v>
      </c>
      <c r="P407" s="137">
        <v>22600</v>
      </c>
      <c r="Q407" s="137">
        <v>121800</v>
      </c>
      <c r="R407" s="137">
        <v>55400</v>
      </c>
      <c r="S407" s="131"/>
      <c r="T407" s="137">
        <v>9600</v>
      </c>
      <c r="U407" s="137">
        <v>6000</v>
      </c>
      <c r="V407" s="137">
        <v>3500</v>
      </c>
      <c r="W407" s="137">
        <v>100</v>
      </c>
      <c r="X407" s="137">
        <v>0</v>
      </c>
    </row>
    <row r="408" spans="1:24">
      <c r="A408" s="134"/>
      <c r="B408" s="134"/>
      <c r="C408" s="134"/>
      <c r="D408" s="134"/>
      <c r="E408" s="134"/>
      <c r="F408" s="134"/>
      <c r="G408" s="134"/>
      <c r="H408" s="134"/>
      <c r="I408" s="134"/>
      <c r="J408" s="134"/>
      <c r="K408" s="134"/>
      <c r="L408" s="134"/>
      <c r="M408" s="134"/>
      <c r="N408" s="134"/>
      <c r="O408" s="134"/>
      <c r="P408" s="134"/>
      <c r="Q408" s="134"/>
      <c r="R408" s="134"/>
      <c r="S408" s="134"/>
      <c r="T408" s="134"/>
      <c r="U408" s="134"/>
      <c r="V408" s="134"/>
      <c r="W408" s="134"/>
      <c r="X408" s="134"/>
    </row>
    <row r="409" spans="1:24">
      <c r="A409" s="135" t="s">
        <v>14</v>
      </c>
      <c r="B409" s="131"/>
      <c r="C409" s="131"/>
      <c r="D409" s="131"/>
      <c r="E409" s="131"/>
      <c r="F409" s="131"/>
      <c r="G409" s="131"/>
      <c r="H409" s="131"/>
      <c r="I409" s="131"/>
      <c r="J409" s="131"/>
      <c r="K409" s="131"/>
      <c r="L409" s="131"/>
      <c r="M409" s="131"/>
      <c r="N409" s="131"/>
      <c r="O409" s="131"/>
      <c r="P409" s="131"/>
      <c r="Q409" s="131"/>
      <c r="R409" s="131"/>
      <c r="S409" s="131"/>
      <c r="T409" s="131"/>
      <c r="U409" s="131"/>
      <c r="V409" s="131"/>
      <c r="W409" s="131"/>
      <c r="X409" s="131"/>
    </row>
    <row r="411" spans="1:24">
      <c r="A411" s="134"/>
      <c r="B411" s="134"/>
      <c r="C411" s="134"/>
      <c r="D411" s="134"/>
      <c r="E411" s="134"/>
      <c r="F411" s="134"/>
      <c r="G411" s="134"/>
      <c r="H411" s="134"/>
      <c r="I411" s="134"/>
      <c r="J411" s="134"/>
      <c r="K411" s="134"/>
      <c r="L411" s="134"/>
      <c r="M411" s="134"/>
      <c r="N411" s="134"/>
      <c r="O411" s="134"/>
      <c r="P411" s="134"/>
      <c r="Q411" s="134"/>
      <c r="R411" s="134"/>
      <c r="S411" s="134"/>
      <c r="T411" s="134"/>
      <c r="U411" s="134"/>
      <c r="V411" s="134"/>
      <c r="W411" s="134"/>
      <c r="X411" s="134"/>
    </row>
    <row r="413" spans="1:24">
      <c r="A413" s="772" t="s">
        <v>2</v>
      </c>
      <c r="B413" s="772"/>
      <c r="C413" s="772"/>
      <c r="D413" s="131"/>
      <c r="E413" s="131"/>
      <c r="F413" s="131"/>
      <c r="G413" s="131"/>
      <c r="H413" s="131"/>
      <c r="I413" s="131"/>
      <c r="J413" s="131"/>
      <c r="K413" s="131"/>
      <c r="L413" s="131"/>
      <c r="M413" s="131"/>
      <c r="N413" s="131"/>
      <c r="O413" s="131"/>
      <c r="P413" s="131"/>
      <c r="Q413" s="131"/>
      <c r="R413" s="131"/>
      <c r="S413" s="131"/>
      <c r="T413" s="131"/>
      <c r="U413" s="131"/>
      <c r="V413" s="131"/>
      <c r="W413" s="131"/>
      <c r="X413" s="131"/>
    </row>
  </sheetData>
  <mergeCells count="13">
    <mergeCell ref="A1:K1"/>
    <mergeCell ref="A2:D2"/>
    <mergeCell ref="A413:C413"/>
    <mergeCell ref="B209:X209"/>
    <mergeCell ref="B249:X249"/>
    <mergeCell ref="B289:X289"/>
    <mergeCell ref="B329:X329"/>
    <mergeCell ref="B369:X369"/>
    <mergeCell ref="B9:X9"/>
    <mergeCell ref="B49:X49"/>
    <mergeCell ref="B89:X89"/>
    <mergeCell ref="B129:X129"/>
    <mergeCell ref="B169:X169"/>
  </mergeCells>
  <hyperlinks>
    <hyperlink ref="A2" r:id="rId1" xr:uid="{00000000-0004-0000-0500-000000000000}"/>
    <hyperlink ref="A413" location="'Contents and Notes'!A1" display="Return to Contents and Notes" xr:uid="{00000000-0004-0000-0500-000002000000}"/>
    <hyperlink ref="L1" location="Index!A1" display="index" xr:uid="{92B69872-147C-42A4-A7E6-A511D8F6FE90}"/>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AA862-E267-482A-B2B0-C503AC7A5B07}">
  <sheetPr>
    <tabColor theme="4" tint="0.79998168889431442"/>
  </sheetPr>
  <dimension ref="A1:L413"/>
  <sheetViews>
    <sheetView workbookViewId="0">
      <selection sqref="A1:K1"/>
    </sheetView>
  </sheetViews>
  <sheetFormatPr defaultRowHeight="15"/>
  <cols>
    <col min="1" max="1" width="15.7109375" style="132" customWidth="1"/>
    <col min="2" max="6" width="15.7109375" style="137" customWidth="1"/>
    <col min="7" max="16384" width="9.140625" style="131"/>
  </cols>
  <sheetData>
    <row r="1" spans="1:12" ht="14.25" customHeight="1">
      <c r="A1" s="770" t="s">
        <v>0</v>
      </c>
      <c r="B1" s="771"/>
      <c r="C1" s="771"/>
      <c r="D1" s="771"/>
      <c r="E1" s="771"/>
      <c r="F1" s="771"/>
      <c r="G1" s="771"/>
      <c r="H1" s="771"/>
      <c r="I1" s="771"/>
      <c r="J1" s="771"/>
      <c r="K1" s="771"/>
      <c r="L1" s="641" t="s">
        <v>762</v>
      </c>
    </row>
    <row r="2" spans="1:12" ht="14.25" customHeight="1">
      <c r="A2" s="772" t="s">
        <v>1</v>
      </c>
      <c r="B2" s="777"/>
      <c r="C2" s="777"/>
      <c r="D2" s="777"/>
    </row>
    <row r="4" spans="1:12" ht="14.25" customHeight="1">
      <c r="A4" s="133" t="s">
        <v>250</v>
      </c>
    </row>
    <row r="5" spans="1:12" ht="14.25" customHeight="1">
      <c r="A5" s="133" t="s">
        <v>251</v>
      </c>
    </row>
    <row r="6" spans="1:12" ht="14.25" customHeight="1">
      <c r="A6" s="135" t="s">
        <v>165</v>
      </c>
    </row>
    <row r="8" spans="1:12" ht="28.5" customHeight="1">
      <c r="A8" s="136" t="s">
        <v>3</v>
      </c>
      <c r="B8" s="136" t="s">
        <v>15</v>
      </c>
      <c r="C8" s="136" t="s">
        <v>16</v>
      </c>
      <c r="D8" s="136" t="s">
        <v>17</v>
      </c>
      <c r="E8" s="136" t="s">
        <v>18</v>
      </c>
      <c r="F8" s="136" t="s">
        <v>19</v>
      </c>
    </row>
    <row r="9" spans="1:12" ht="14.25" customHeight="1">
      <c r="B9" s="774" t="s">
        <v>4</v>
      </c>
      <c r="C9" s="774"/>
      <c r="D9" s="774"/>
      <c r="E9" s="774"/>
      <c r="F9" s="774"/>
    </row>
    <row r="10" spans="1:12" ht="14.25" customHeight="1">
      <c r="A10" s="132">
        <v>1979</v>
      </c>
      <c r="B10" s="137">
        <v>14800</v>
      </c>
      <c r="C10" s="137">
        <v>7300</v>
      </c>
      <c r="D10" s="137">
        <v>4600</v>
      </c>
      <c r="E10" s="137">
        <v>2200</v>
      </c>
      <c r="F10" s="137">
        <v>600</v>
      </c>
    </row>
    <row r="11" spans="1:12" ht="14.25" customHeight="1">
      <c r="A11" s="132">
        <v>1980</v>
      </c>
      <c r="B11" s="137">
        <v>14400</v>
      </c>
      <c r="C11" s="137">
        <v>7600</v>
      </c>
      <c r="D11" s="137">
        <v>4500</v>
      </c>
      <c r="E11" s="137">
        <v>1800</v>
      </c>
      <c r="F11" s="137">
        <v>500</v>
      </c>
    </row>
    <row r="12" spans="1:12" ht="14.25" customHeight="1">
      <c r="A12" s="132">
        <v>1981</v>
      </c>
      <c r="B12" s="137">
        <v>14500</v>
      </c>
      <c r="C12" s="137">
        <v>7800</v>
      </c>
      <c r="D12" s="137">
        <v>4800</v>
      </c>
      <c r="E12" s="137">
        <v>1400</v>
      </c>
      <c r="F12" s="137">
        <v>500</v>
      </c>
    </row>
    <row r="13" spans="1:12" ht="14.25" customHeight="1">
      <c r="A13" s="132">
        <v>1982</v>
      </c>
      <c r="B13" s="137">
        <v>13400</v>
      </c>
      <c r="C13" s="137">
        <v>7200</v>
      </c>
      <c r="D13" s="137">
        <v>4900</v>
      </c>
      <c r="E13" s="137">
        <v>900</v>
      </c>
      <c r="F13" s="137">
        <v>500</v>
      </c>
    </row>
    <row r="14" spans="1:12" ht="14.25" customHeight="1">
      <c r="A14" s="132">
        <v>1983</v>
      </c>
      <c r="B14" s="137">
        <v>13300</v>
      </c>
      <c r="C14" s="137">
        <v>6700</v>
      </c>
      <c r="D14" s="137">
        <v>4900</v>
      </c>
      <c r="E14" s="137">
        <v>1200</v>
      </c>
      <c r="F14" s="137">
        <v>600</v>
      </c>
    </row>
    <row r="15" spans="1:12" ht="14.25" customHeight="1">
      <c r="A15" s="132">
        <v>1984</v>
      </c>
      <c r="B15" s="137">
        <v>14300</v>
      </c>
      <c r="C15" s="137">
        <v>7000</v>
      </c>
      <c r="D15" s="137">
        <v>5300</v>
      </c>
      <c r="E15" s="137">
        <v>1400</v>
      </c>
      <c r="F15" s="137">
        <v>700</v>
      </c>
    </row>
    <row r="16" spans="1:12" ht="14.25" customHeight="1">
      <c r="A16" s="132">
        <v>1985</v>
      </c>
      <c r="B16" s="137">
        <v>14600</v>
      </c>
      <c r="C16" s="137">
        <v>7100</v>
      </c>
      <c r="D16" s="137">
        <v>5500</v>
      </c>
      <c r="E16" s="137">
        <v>1300</v>
      </c>
      <c r="F16" s="137">
        <v>700</v>
      </c>
    </row>
    <row r="17" spans="1:6" ht="14.25" customHeight="1">
      <c r="A17" s="132">
        <v>1986</v>
      </c>
      <c r="B17" s="137">
        <v>15600</v>
      </c>
      <c r="C17" s="137">
        <v>7800</v>
      </c>
      <c r="D17" s="137">
        <v>5800</v>
      </c>
      <c r="E17" s="137">
        <v>1400</v>
      </c>
      <c r="F17" s="137">
        <v>700</v>
      </c>
    </row>
    <row r="18" spans="1:6" ht="14.25" customHeight="1">
      <c r="A18" s="132">
        <v>1987</v>
      </c>
      <c r="B18" s="137">
        <v>15700</v>
      </c>
      <c r="C18" s="137">
        <v>7500</v>
      </c>
      <c r="D18" s="137">
        <v>5800</v>
      </c>
      <c r="E18" s="137">
        <v>1700</v>
      </c>
      <c r="F18" s="137">
        <v>700</v>
      </c>
    </row>
    <row r="19" spans="1:6" ht="14.25" customHeight="1">
      <c r="A19" s="132">
        <v>1988</v>
      </c>
      <c r="B19" s="137">
        <v>16500</v>
      </c>
      <c r="C19" s="137">
        <v>7900</v>
      </c>
      <c r="D19" s="137">
        <v>6100</v>
      </c>
      <c r="E19" s="137">
        <v>1800</v>
      </c>
      <c r="F19" s="137">
        <v>700</v>
      </c>
    </row>
    <row r="20" spans="1:6" ht="14.25" customHeight="1">
      <c r="A20" s="132">
        <v>1989</v>
      </c>
      <c r="B20" s="137">
        <v>16400</v>
      </c>
      <c r="C20" s="137">
        <v>7800</v>
      </c>
      <c r="D20" s="137">
        <v>6200</v>
      </c>
      <c r="E20" s="137">
        <v>1800</v>
      </c>
      <c r="F20" s="137">
        <v>600</v>
      </c>
    </row>
    <row r="21" spans="1:6" ht="14.25" customHeight="1">
      <c r="A21" s="132">
        <v>1990</v>
      </c>
      <c r="B21" s="137">
        <v>16300</v>
      </c>
      <c r="C21" s="137">
        <v>7700</v>
      </c>
      <c r="D21" s="137">
        <v>6400</v>
      </c>
      <c r="E21" s="137">
        <v>1600</v>
      </c>
      <c r="F21" s="137">
        <v>600</v>
      </c>
    </row>
    <row r="22" spans="1:6" ht="14.25" customHeight="1">
      <c r="A22" s="132">
        <v>1991</v>
      </c>
      <c r="B22" s="137">
        <v>15900</v>
      </c>
      <c r="C22" s="137">
        <v>7300</v>
      </c>
      <c r="D22" s="137">
        <v>6400</v>
      </c>
      <c r="E22" s="137">
        <v>1500</v>
      </c>
      <c r="F22" s="137">
        <v>700</v>
      </c>
    </row>
    <row r="23" spans="1:6" ht="14.25" customHeight="1">
      <c r="A23" s="132">
        <v>1992</v>
      </c>
      <c r="B23" s="137">
        <v>16300</v>
      </c>
      <c r="C23" s="137">
        <v>7500</v>
      </c>
      <c r="D23" s="137">
        <v>6400</v>
      </c>
      <c r="E23" s="137">
        <v>1600</v>
      </c>
      <c r="F23" s="137">
        <v>700</v>
      </c>
    </row>
    <row r="24" spans="1:6" ht="14.25" customHeight="1">
      <c r="A24" s="132">
        <v>1993</v>
      </c>
      <c r="B24" s="137">
        <v>16800</v>
      </c>
      <c r="C24" s="137">
        <v>7600</v>
      </c>
      <c r="D24" s="137">
        <v>6500</v>
      </c>
      <c r="E24" s="137">
        <v>1900</v>
      </c>
      <c r="F24" s="137">
        <v>800</v>
      </c>
    </row>
    <row r="25" spans="1:6" ht="14.25" customHeight="1">
      <c r="A25" s="132">
        <v>1994</v>
      </c>
      <c r="B25" s="137">
        <v>17200</v>
      </c>
      <c r="C25" s="137">
        <v>7700</v>
      </c>
      <c r="D25" s="137">
        <v>6600</v>
      </c>
      <c r="E25" s="137">
        <v>2000</v>
      </c>
      <c r="F25" s="137">
        <v>800</v>
      </c>
    </row>
    <row r="26" spans="1:6" ht="14.25" customHeight="1">
      <c r="A26" s="132">
        <v>1995</v>
      </c>
      <c r="B26" s="137">
        <v>18100</v>
      </c>
      <c r="C26" s="137">
        <v>8200</v>
      </c>
      <c r="D26" s="137">
        <v>6800</v>
      </c>
      <c r="E26" s="137">
        <v>2300</v>
      </c>
      <c r="F26" s="137">
        <v>800</v>
      </c>
    </row>
    <row r="27" spans="1:6" ht="14.25" customHeight="1">
      <c r="A27" s="132">
        <v>1996</v>
      </c>
      <c r="B27" s="137">
        <v>19000</v>
      </c>
      <c r="C27" s="137">
        <v>8900</v>
      </c>
      <c r="D27" s="137">
        <v>6900</v>
      </c>
      <c r="E27" s="137">
        <v>2400</v>
      </c>
      <c r="F27" s="137">
        <v>800</v>
      </c>
    </row>
    <row r="28" spans="1:6" ht="14.25" customHeight="1">
      <c r="A28" s="132">
        <v>1997</v>
      </c>
      <c r="B28" s="137">
        <v>20000</v>
      </c>
      <c r="C28" s="137">
        <v>9600</v>
      </c>
      <c r="D28" s="137">
        <v>7100</v>
      </c>
      <c r="E28" s="137">
        <v>2500</v>
      </c>
      <c r="F28" s="137">
        <v>800</v>
      </c>
    </row>
    <row r="29" spans="1:6" ht="14.25" customHeight="1">
      <c r="A29" s="132">
        <v>1998</v>
      </c>
      <c r="B29" s="137">
        <v>20700</v>
      </c>
      <c r="C29" s="137">
        <v>10100</v>
      </c>
      <c r="D29" s="137">
        <v>7500</v>
      </c>
      <c r="E29" s="137">
        <v>2400</v>
      </c>
      <c r="F29" s="137">
        <v>800</v>
      </c>
    </row>
    <row r="30" spans="1:6" ht="14.25" customHeight="1">
      <c r="A30" s="132">
        <v>1999</v>
      </c>
      <c r="B30" s="137">
        <v>22100</v>
      </c>
      <c r="C30" s="137">
        <v>11000</v>
      </c>
      <c r="D30" s="137">
        <v>7700</v>
      </c>
      <c r="E30" s="137">
        <v>2400</v>
      </c>
      <c r="F30" s="137">
        <v>900</v>
      </c>
    </row>
    <row r="31" spans="1:6" ht="14.25" customHeight="1">
      <c r="A31" s="132">
        <v>2000</v>
      </c>
      <c r="B31" s="137">
        <v>22700</v>
      </c>
      <c r="C31" s="137">
        <v>11700</v>
      </c>
      <c r="D31" s="137">
        <v>7800</v>
      </c>
      <c r="E31" s="137">
        <v>2400</v>
      </c>
      <c r="F31" s="137">
        <v>800</v>
      </c>
    </row>
    <row r="32" spans="1:6" ht="14.25" customHeight="1">
      <c r="A32" s="132">
        <v>2001</v>
      </c>
      <c r="B32" s="137">
        <v>20100</v>
      </c>
      <c r="C32" s="137">
        <v>9700</v>
      </c>
      <c r="D32" s="137">
        <v>7900</v>
      </c>
      <c r="E32" s="137">
        <v>1600</v>
      </c>
      <c r="F32" s="137">
        <v>800</v>
      </c>
    </row>
    <row r="33" spans="1:9" ht="14.25" customHeight="1">
      <c r="A33" s="132">
        <v>2002</v>
      </c>
      <c r="B33" s="137">
        <v>18600</v>
      </c>
      <c r="C33" s="137">
        <v>8700</v>
      </c>
      <c r="D33" s="137">
        <v>7600</v>
      </c>
      <c r="E33" s="137">
        <v>1500</v>
      </c>
      <c r="F33" s="137">
        <v>800</v>
      </c>
    </row>
    <row r="34" spans="1:9" ht="14.25" customHeight="1">
      <c r="A34" s="132">
        <v>2003</v>
      </c>
      <c r="B34" s="137">
        <v>18100</v>
      </c>
      <c r="C34" s="137">
        <v>7700</v>
      </c>
      <c r="D34" s="137">
        <v>7600</v>
      </c>
      <c r="E34" s="137">
        <v>2000</v>
      </c>
      <c r="F34" s="137">
        <v>800</v>
      </c>
    </row>
    <row r="35" spans="1:9" ht="14.25" customHeight="1">
      <c r="A35" s="132">
        <v>2004</v>
      </c>
      <c r="B35" s="137">
        <v>19500</v>
      </c>
      <c r="C35" s="137">
        <v>8500</v>
      </c>
      <c r="D35" s="137">
        <v>7700</v>
      </c>
      <c r="E35" s="137">
        <v>2500</v>
      </c>
      <c r="F35" s="137">
        <v>800</v>
      </c>
    </row>
    <row r="36" spans="1:9" ht="14.25" customHeight="1">
      <c r="A36" s="132">
        <v>2005</v>
      </c>
      <c r="B36" s="137">
        <v>21100</v>
      </c>
      <c r="C36" s="137">
        <v>9200</v>
      </c>
      <c r="D36" s="137">
        <v>7800</v>
      </c>
      <c r="E36" s="137">
        <v>3300</v>
      </c>
      <c r="F36" s="137">
        <v>800</v>
      </c>
    </row>
    <row r="37" spans="1:9" ht="14.25" customHeight="1">
      <c r="A37" s="132">
        <v>2006</v>
      </c>
      <c r="B37" s="137">
        <v>22000</v>
      </c>
      <c r="C37" s="137">
        <v>9700</v>
      </c>
      <c r="D37" s="137">
        <v>7900</v>
      </c>
      <c r="E37" s="137">
        <v>3700</v>
      </c>
      <c r="F37" s="137">
        <v>700</v>
      </c>
    </row>
    <row r="38" spans="1:9" ht="14.25" customHeight="1">
      <c r="A38" s="132">
        <v>2007</v>
      </c>
      <c r="B38" s="137">
        <v>22200</v>
      </c>
      <c r="C38" s="137">
        <v>10200</v>
      </c>
      <c r="D38" s="137">
        <v>8100</v>
      </c>
      <c r="E38" s="137">
        <v>3200</v>
      </c>
      <c r="F38" s="137">
        <v>600</v>
      </c>
    </row>
    <row r="39" spans="1:9" ht="14.25" customHeight="1">
      <c r="A39" s="132">
        <v>2008</v>
      </c>
      <c r="B39" s="137">
        <v>18700</v>
      </c>
      <c r="C39" s="421">
        <v>8100</v>
      </c>
      <c r="D39" s="137">
        <v>8000</v>
      </c>
      <c r="E39" s="137">
        <v>1900</v>
      </c>
      <c r="F39" s="137">
        <v>600</v>
      </c>
      <c r="H39" s="109" t="s">
        <v>407</v>
      </c>
      <c r="I39" s="109"/>
    </row>
    <row r="40" spans="1:9" ht="14.25" customHeight="1">
      <c r="A40" s="132">
        <v>2009</v>
      </c>
      <c r="B40" s="137">
        <v>17000</v>
      </c>
      <c r="C40" s="420">
        <v>7100</v>
      </c>
      <c r="D40" s="137">
        <v>7800</v>
      </c>
      <c r="E40" s="137">
        <v>1400</v>
      </c>
      <c r="F40" s="137">
        <v>600</v>
      </c>
      <c r="H40" s="271" t="s">
        <v>406</v>
      </c>
      <c r="I40" s="271"/>
    </row>
    <row r="41" spans="1:9" ht="14.25" customHeight="1">
      <c r="A41" s="132">
        <v>2010</v>
      </c>
      <c r="B41" s="137">
        <v>17900</v>
      </c>
      <c r="C41" s="420">
        <v>7600</v>
      </c>
      <c r="D41" s="137">
        <v>7600</v>
      </c>
      <c r="E41" s="137">
        <v>2000</v>
      </c>
      <c r="F41" s="137">
        <v>600</v>
      </c>
      <c r="H41" s="271" t="s">
        <v>406</v>
      </c>
      <c r="I41" s="271"/>
    </row>
    <row r="42" spans="1:9" ht="14.25" customHeight="1">
      <c r="A42" s="132">
        <v>2011</v>
      </c>
      <c r="B42" s="137">
        <v>17600</v>
      </c>
      <c r="C42" s="137">
        <v>8300</v>
      </c>
      <c r="D42" s="418">
        <v>6700</v>
      </c>
      <c r="E42" s="137">
        <v>2000</v>
      </c>
      <c r="F42" s="137">
        <v>600</v>
      </c>
      <c r="H42" s="419" t="s">
        <v>405</v>
      </c>
      <c r="I42" s="419"/>
    </row>
    <row r="43" spans="1:9" ht="14.25" customHeight="1">
      <c r="A43" s="132">
        <v>2012</v>
      </c>
      <c r="B43" s="137">
        <v>19100</v>
      </c>
      <c r="C43" s="137">
        <v>9300</v>
      </c>
      <c r="D43" s="418">
        <v>6700</v>
      </c>
      <c r="E43" s="137">
        <v>2300</v>
      </c>
      <c r="F43" s="137">
        <v>700</v>
      </c>
      <c r="H43" s="419" t="s">
        <v>405</v>
      </c>
      <c r="I43" s="419"/>
    </row>
    <row r="44" spans="1:9" ht="14.25" customHeight="1">
      <c r="A44" s="132">
        <v>2013</v>
      </c>
      <c r="B44" s="137">
        <v>20600</v>
      </c>
      <c r="C44" s="137">
        <v>9500</v>
      </c>
      <c r="D44" s="137">
        <v>7900</v>
      </c>
      <c r="E44" s="137">
        <v>2500</v>
      </c>
      <c r="F44" s="137">
        <v>700</v>
      </c>
    </row>
    <row r="45" spans="1:9" ht="14.25" customHeight="1">
      <c r="A45" s="132">
        <v>2014</v>
      </c>
      <c r="B45" s="137">
        <v>21800</v>
      </c>
      <c r="C45" s="137">
        <v>10300</v>
      </c>
      <c r="D45" s="137">
        <v>8000</v>
      </c>
      <c r="E45" s="137">
        <v>2800</v>
      </c>
      <c r="F45" s="137">
        <v>800</v>
      </c>
    </row>
    <row r="46" spans="1:9" ht="14.25" customHeight="1">
      <c r="A46" s="132">
        <v>2015</v>
      </c>
      <c r="B46" s="137">
        <v>22400</v>
      </c>
      <c r="C46" s="137">
        <v>10800</v>
      </c>
      <c r="D46" s="137">
        <v>8300</v>
      </c>
      <c r="E46" s="137">
        <v>2600</v>
      </c>
      <c r="F46" s="137">
        <v>800</v>
      </c>
    </row>
    <row r="47" spans="1:9" ht="14.25" customHeight="1">
      <c r="A47" s="132">
        <v>2016</v>
      </c>
      <c r="B47" s="137">
        <v>22100</v>
      </c>
      <c r="C47" s="137">
        <v>10500</v>
      </c>
      <c r="D47" s="137">
        <v>8300</v>
      </c>
      <c r="E47" s="137">
        <v>2600</v>
      </c>
      <c r="F47" s="137">
        <v>700</v>
      </c>
    </row>
    <row r="49" spans="1:6" ht="14.25" customHeight="1">
      <c r="B49" s="774" t="s">
        <v>5</v>
      </c>
      <c r="C49" s="774"/>
      <c r="D49" s="774"/>
      <c r="E49" s="774"/>
      <c r="F49" s="774"/>
    </row>
    <row r="50" spans="1:6" ht="14.25" customHeight="1">
      <c r="A50" s="132">
        <v>1979</v>
      </c>
      <c r="B50" s="137">
        <v>1400</v>
      </c>
      <c r="C50" s="137">
        <v>0</v>
      </c>
      <c r="D50" s="137">
        <v>900</v>
      </c>
      <c r="E50" s="137">
        <v>200</v>
      </c>
      <c r="F50" s="137">
        <v>300</v>
      </c>
    </row>
    <row r="51" spans="1:6" ht="14.25" customHeight="1">
      <c r="A51" s="132">
        <v>1980</v>
      </c>
      <c r="B51" s="137">
        <v>1300</v>
      </c>
      <c r="C51" s="137">
        <v>0</v>
      </c>
      <c r="D51" s="137">
        <v>900</v>
      </c>
      <c r="E51" s="137">
        <v>200</v>
      </c>
      <c r="F51" s="137">
        <v>200</v>
      </c>
    </row>
    <row r="52" spans="1:6" ht="14.25" customHeight="1">
      <c r="A52" s="132">
        <v>1981</v>
      </c>
      <c r="B52" s="137">
        <v>1400</v>
      </c>
      <c r="C52" s="137">
        <v>100</v>
      </c>
      <c r="D52" s="137">
        <v>1000</v>
      </c>
      <c r="E52" s="137">
        <v>100</v>
      </c>
      <c r="F52" s="137">
        <v>200</v>
      </c>
    </row>
    <row r="53" spans="1:6" ht="14.25" customHeight="1">
      <c r="A53" s="132">
        <v>1982</v>
      </c>
      <c r="B53" s="137">
        <v>1400</v>
      </c>
      <c r="C53" s="137">
        <v>100</v>
      </c>
      <c r="D53" s="137">
        <v>1000</v>
      </c>
      <c r="E53" s="137">
        <v>100</v>
      </c>
      <c r="F53" s="137">
        <v>200</v>
      </c>
    </row>
    <row r="54" spans="1:6" ht="14.25" customHeight="1">
      <c r="A54" s="132">
        <v>1983</v>
      </c>
      <c r="B54" s="137">
        <v>1500</v>
      </c>
      <c r="C54" s="137">
        <v>100</v>
      </c>
      <c r="D54" s="137">
        <v>1000</v>
      </c>
      <c r="E54" s="137">
        <v>100</v>
      </c>
      <c r="F54" s="137">
        <v>300</v>
      </c>
    </row>
    <row r="55" spans="1:6" ht="14.25" customHeight="1">
      <c r="A55" s="132">
        <v>1984</v>
      </c>
      <c r="B55" s="137">
        <v>1800</v>
      </c>
      <c r="C55" s="137">
        <v>100</v>
      </c>
      <c r="D55" s="137">
        <v>1100</v>
      </c>
      <c r="E55" s="137">
        <v>100</v>
      </c>
      <c r="F55" s="137">
        <v>400</v>
      </c>
    </row>
    <row r="56" spans="1:6" ht="14.25" customHeight="1">
      <c r="A56" s="132">
        <v>1985</v>
      </c>
      <c r="B56" s="137">
        <v>1700</v>
      </c>
      <c r="C56" s="137">
        <v>100</v>
      </c>
      <c r="D56" s="137">
        <v>1100</v>
      </c>
      <c r="E56" s="137">
        <v>100</v>
      </c>
      <c r="F56" s="137">
        <v>400</v>
      </c>
    </row>
    <row r="57" spans="1:6" ht="14.25" customHeight="1">
      <c r="A57" s="132">
        <v>1986</v>
      </c>
      <c r="B57" s="137">
        <v>1700</v>
      </c>
      <c r="C57" s="137">
        <v>100</v>
      </c>
      <c r="D57" s="137">
        <v>1100</v>
      </c>
      <c r="E57" s="137">
        <v>100</v>
      </c>
      <c r="F57" s="137">
        <v>300</v>
      </c>
    </row>
    <row r="58" spans="1:6" ht="14.25" customHeight="1">
      <c r="A58" s="132">
        <v>1987</v>
      </c>
      <c r="B58" s="137">
        <v>1500</v>
      </c>
      <c r="C58" s="137">
        <v>-100</v>
      </c>
      <c r="D58" s="137">
        <v>1100</v>
      </c>
      <c r="E58" s="137">
        <v>200</v>
      </c>
      <c r="F58" s="137">
        <v>400</v>
      </c>
    </row>
    <row r="59" spans="1:6" ht="14.25" customHeight="1">
      <c r="A59" s="132">
        <v>1988</v>
      </c>
      <c r="B59" s="137">
        <v>1500</v>
      </c>
      <c r="C59" s="137">
        <v>-200</v>
      </c>
      <c r="D59" s="137">
        <v>1200</v>
      </c>
      <c r="E59" s="137">
        <v>200</v>
      </c>
      <c r="F59" s="137">
        <v>300</v>
      </c>
    </row>
    <row r="60" spans="1:6" ht="14.25" customHeight="1">
      <c r="A60" s="132">
        <v>1989</v>
      </c>
      <c r="B60" s="137">
        <v>1400</v>
      </c>
      <c r="C60" s="137">
        <v>-300</v>
      </c>
      <c r="D60" s="137">
        <v>1200</v>
      </c>
      <c r="E60" s="137">
        <v>200</v>
      </c>
      <c r="F60" s="137">
        <v>300</v>
      </c>
    </row>
    <row r="61" spans="1:6" ht="14.25" customHeight="1">
      <c r="A61" s="132">
        <v>1990</v>
      </c>
      <c r="B61" s="137">
        <v>1600</v>
      </c>
      <c r="C61" s="137">
        <v>-200</v>
      </c>
      <c r="D61" s="137">
        <v>1300</v>
      </c>
      <c r="E61" s="137">
        <v>100</v>
      </c>
      <c r="F61" s="137">
        <v>400</v>
      </c>
    </row>
    <row r="62" spans="1:6" ht="14.25" customHeight="1">
      <c r="A62" s="132">
        <v>1991</v>
      </c>
      <c r="B62" s="137">
        <v>1600</v>
      </c>
      <c r="C62" s="137">
        <v>-300</v>
      </c>
      <c r="D62" s="137">
        <v>1400</v>
      </c>
      <c r="E62" s="137">
        <v>100</v>
      </c>
      <c r="F62" s="137">
        <v>400</v>
      </c>
    </row>
    <row r="63" spans="1:6" ht="14.25" customHeight="1">
      <c r="A63" s="132">
        <v>1992</v>
      </c>
      <c r="B63" s="137">
        <v>1600</v>
      </c>
      <c r="C63" s="137">
        <v>-400</v>
      </c>
      <c r="D63" s="137">
        <v>1400</v>
      </c>
      <c r="E63" s="137">
        <v>200</v>
      </c>
      <c r="F63" s="137">
        <v>400</v>
      </c>
    </row>
    <row r="64" spans="1:6" ht="14.25" customHeight="1">
      <c r="A64" s="132">
        <v>1993</v>
      </c>
      <c r="B64" s="137">
        <v>1600</v>
      </c>
      <c r="C64" s="137">
        <v>-500</v>
      </c>
      <c r="D64" s="137">
        <v>1400</v>
      </c>
      <c r="E64" s="137">
        <v>200</v>
      </c>
      <c r="F64" s="137">
        <v>500</v>
      </c>
    </row>
    <row r="65" spans="1:6" ht="14.25" customHeight="1">
      <c r="A65" s="132">
        <v>1994</v>
      </c>
      <c r="B65" s="137">
        <v>1300</v>
      </c>
      <c r="C65" s="137">
        <v>-800</v>
      </c>
      <c r="D65" s="137">
        <v>1400</v>
      </c>
      <c r="E65" s="137">
        <v>200</v>
      </c>
      <c r="F65" s="137">
        <v>500</v>
      </c>
    </row>
    <row r="66" spans="1:6" ht="14.25" customHeight="1">
      <c r="A66" s="132">
        <v>1995</v>
      </c>
      <c r="B66" s="137">
        <v>1300</v>
      </c>
      <c r="C66" s="137">
        <v>-900</v>
      </c>
      <c r="D66" s="137">
        <v>1500</v>
      </c>
      <c r="E66" s="137">
        <v>200</v>
      </c>
      <c r="F66" s="137">
        <v>500</v>
      </c>
    </row>
    <row r="67" spans="1:6" ht="14.25" customHeight="1">
      <c r="A67" s="132">
        <v>1996</v>
      </c>
      <c r="B67" s="137">
        <v>1100</v>
      </c>
      <c r="C67" s="137">
        <v>-1100</v>
      </c>
      <c r="D67" s="137">
        <v>1600</v>
      </c>
      <c r="E67" s="137">
        <v>200</v>
      </c>
      <c r="F67" s="137">
        <v>400</v>
      </c>
    </row>
    <row r="68" spans="1:6" ht="14.25" customHeight="1">
      <c r="A68" s="132">
        <v>1997</v>
      </c>
      <c r="B68" s="137">
        <v>1200</v>
      </c>
      <c r="C68" s="137">
        <v>-1100</v>
      </c>
      <c r="D68" s="137">
        <v>1700</v>
      </c>
      <c r="E68" s="137">
        <v>200</v>
      </c>
      <c r="F68" s="137">
        <v>500</v>
      </c>
    </row>
    <row r="69" spans="1:6" ht="14.25" customHeight="1">
      <c r="A69" s="132">
        <v>1998</v>
      </c>
      <c r="B69" s="137">
        <v>1300</v>
      </c>
      <c r="C69" s="137">
        <v>-1200</v>
      </c>
      <c r="D69" s="137">
        <v>1800</v>
      </c>
      <c r="E69" s="137">
        <v>200</v>
      </c>
      <c r="F69" s="137">
        <v>500</v>
      </c>
    </row>
    <row r="70" spans="1:6" ht="14.25" customHeight="1">
      <c r="A70" s="132">
        <v>1999</v>
      </c>
      <c r="B70" s="137">
        <v>1400</v>
      </c>
      <c r="C70" s="137">
        <v>-1100</v>
      </c>
      <c r="D70" s="137">
        <v>1800</v>
      </c>
      <c r="E70" s="137">
        <v>200</v>
      </c>
      <c r="F70" s="137">
        <v>500</v>
      </c>
    </row>
    <row r="71" spans="1:6" ht="14.25" customHeight="1">
      <c r="A71" s="132">
        <v>2000</v>
      </c>
      <c r="B71" s="137">
        <v>1300</v>
      </c>
      <c r="C71" s="137">
        <v>-1200</v>
      </c>
      <c r="D71" s="137">
        <v>1800</v>
      </c>
      <c r="E71" s="137">
        <v>200</v>
      </c>
      <c r="F71" s="137">
        <v>500</v>
      </c>
    </row>
    <row r="72" spans="1:6" ht="14.25" customHeight="1">
      <c r="A72" s="132">
        <v>2001</v>
      </c>
      <c r="B72" s="137">
        <v>1200</v>
      </c>
      <c r="C72" s="137">
        <v>-1200</v>
      </c>
      <c r="D72" s="137">
        <v>1800</v>
      </c>
      <c r="E72" s="137">
        <v>100</v>
      </c>
      <c r="F72" s="137">
        <v>500</v>
      </c>
    </row>
    <row r="73" spans="1:6" ht="14.25" customHeight="1">
      <c r="A73" s="132">
        <v>2002</v>
      </c>
      <c r="B73" s="137">
        <v>1100</v>
      </c>
      <c r="C73" s="137">
        <v>-1300</v>
      </c>
      <c r="D73" s="137">
        <v>1800</v>
      </c>
      <c r="E73" s="137">
        <v>100</v>
      </c>
      <c r="F73" s="137">
        <v>500</v>
      </c>
    </row>
    <row r="74" spans="1:6" ht="14.25" customHeight="1">
      <c r="A74" s="132">
        <v>2003</v>
      </c>
      <c r="B74" s="137">
        <v>1000</v>
      </c>
      <c r="C74" s="137">
        <v>-1300</v>
      </c>
      <c r="D74" s="137">
        <v>1700</v>
      </c>
      <c r="E74" s="137">
        <v>200</v>
      </c>
      <c r="F74" s="137">
        <v>500</v>
      </c>
    </row>
    <row r="75" spans="1:6" ht="14.25" customHeight="1">
      <c r="A75" s="132">
        <v>2004</v>
      </c>
      <c r="B75" s="137">
        <v>1000</v>
      </c>
      <c r="C75" s="137">
        <v>-1300</v>
      </c>
      <c r="D75" s="137">
        <v>1700</v>
      </c>
      <c r="E75" s="137">
        <v>200</v>
      </c>
      <c r="F75" s="137">
        <v>400</v>
      </c>
    </row>
    <row r="76" spans="1:6" ht="14.25" customHeight="1">
      <c r="A76" s="132">
        <v>2005</v>
      </c>
      <c r="B76" s="137">
        <v>1100</v>
      </c>
      <c r="C76" s="137">
        <v>-1500</v>
      </c>
      <c r="D76" s="137">
        <v>1800</v>
      </c>
      <c r="E76" s="137">
        <v>200</v>
      </c>
      <c r="F76" s="137">
        <v>500</v>
      </c>
    </row>
    <row r="77" spans="1:6" ht="14.25" customHeight="1">
      <c r="A77" s="132">
        <v>2006</v>
      </c>
      <c r="B77" s="137">
        <v>1200</v>
      </c>
      <c r="C77" s="137">
        <v>-1500</v>
      </c>
      <c r="D77" s="137">
        <v>2000</v>
      </c>
      <c r="E77" s="137">
        <v>300</v>
      </c>
      <c r="F77" s="137">
        <v>500</v>
      </c>
    </row>
    <row r="78" spans="1:6" ht="14.25" customHeight="1">
      <c r="A78" s="132">
        <v>2007</v>
      </c>
      <c r="B78" s="137">
        <v>1100</v>
      </c>
      <c r="C78" s="137">
        <v>-1600</v>
      </c>
      <c r="D78" s="137">
        <v>2100</v>
      </c>
      <c r="E78" s="137">
        <v>200</v>
      </c>
      <c r="F78" s="137">
        <v>400</v>
      </c>
    </row>
    <row r="79" spans="1:6" ht="14.25" customHeight="1">
      <c r="A79" s="132">
        <v>2008</v>
      </c>
      <c r="B79" s="137">
        <v>200</v>
      </c>
      <c r="C79" s="137">
        <v>-2500</v>
      </c>
      <c r="D79" s="137">
        <v>2100</v>
      </c>
      <c r="E79" s="137">
        <v>200</v>
      </c>
      <c r="F79" s="137">
        <v>400</v>
      </c>
    </row>
    <row r="80" spans="1:6" ht="14.25" customHeight="1">
      <c r="A80" s="132">
        <v>2009</v>
      </c>
      <c r="B80" s="137">
        <v>-100</v>
      </c>
      <c r="C80" s="137">
        <v>-2600</v>
      </c>
      <c r="D80" s="137">
        <v>2000</v>
      </c>
      <c r="E80" s="137">
        <v>100</v>
      </c>
      <c r="F80" s="137">
        <v>400</v>
      </c>
    </row>
    <row r="81" spans="1:6" ht="14.25" customHeight="1">
      <c r="A81" s="132">
        <v>2010</v>
      </c>
      <c r="B81" s="137">
        <v>0</v>
      </c>
      <c r="C81" s="137">
        <v>-2600</v>
      </c>
      <c r="D81" s="137">
        <v>1900</v>
      </c>
      <c r="E81" s="137">
        <v>200</v>
      </c>
      <c r="F81" s="137">
        <v>500</v>
      </c>
    </row>
    <row r="82" spans="1:6" ht="14.25" customHeight="1">
      <c r="A82" s="132">
        <v>2011</v>
      </c>
      <c r="B82" s="137">
        <v>100</v>
      </c>
      <c r="C82" s="137">
        <v>-2200</v>
      </c>
      <c r="D82" s="137">
        <v>1700</v>
      </c>
      <c r="E82" s="137">
        <v>100</v>
      </c>
      <c r="F82" s="137">
        <v>500</v>
      </c>
    </row>
    <row r="83" spans="1:6" ht="14.25" customHeight="1">
      <c r="A83" s="132">
        <v>2012</v>
      </c>
      <c r="B83" s="137">
        <v>200</v>
      </c>
      <c r="C83" s="137">
        <v>-2100</v>
      </c>
      <c r="D83" s="137">
        <v>1600</v>
      </c>
      <c r="E83" s="137">
        <v>200</v>
      </c>
      <c r="F83" s="137">
        <v>500</v>
      </c>
    </row>
    <row r="84" spans="1:6" ht="14.25" customHeight="1">
      <c r="A84" s="132">
        <v>2013</v>
      </c>
      <c r="B84" s="137">
        <v>500</v>
      </c>
      <c r="C84" s="137">
        <v>-2200</v>
      </c>
      <c r="D84" s="137">
        <v>2000</v>
      </c>
      <c r="E84" s="137">
        <v>200</v>
      </c>
      <c r="F84" s="137">
        <v>500</v>
      </c>
    </row>
    <row r="85" spans="1:6" ht="14.25" customHeight="1">
      <c r="A85" s="132">
        <v>2014</v>
      </c>
      <c r="B85" s="137">
        <v>400</v>
      </c>
      <c r="C85" s="137">
        <v>-2200</v>
      </c>
      <c r="D85" s="137">
        <v>1900</v>
      </c>
      <c r="E85" s="137">
        <v>200</v>
      </c>
      <c r="F85" s="137">
        <v>500</v>
      </c>
    </row>
    <row r="86" spans="1:6" ht="14.25" customHeight="1">
      <c r="A86" s="132">
        <v>2015</v>
      </c>
      <c r="B86" s="137">
        <v>300</v>
      </c>
      <c r="C86" s="137">
        <v>-2400</v>
      </c>
      <c r="D86" s="137">
        <v>2000</v>
      </c>
      <c r="E86" s="137">
        <v>200</v>
      </c>
      <c r="F86" s="137">
        <v>500</v>
      </c>
    </row>
    <row r="87" spans="1:6" ht="14.25" customHeight="1">
      <c r="A87" s="132">
        <v>2016</v>
      </c>
      <c r="B87" s="137">
        <v>300</v>
      </c>
      <c r="C87" s="137">
        <v>-2200</v>
      </c>
      <c r="D87" s="137">
        <v>2000</v>
      </c>
      <c r="E87" s="137">
        <v>200</v>
      </c>
      <c r="F87" s="137">
        <v>400</v>
      </c>
    </row>
    <row r="89" spans="1:6" ht="14.25" customHeight="1">
      <c r="B89" s="774" t="s">
        <v>6</v>
      </c>
      <c r="C89" s="774"/>
      <c r="D89" s="774"/>
      <c r="E89" s="774"/>
      <c r="F89" s="774"/>
    </row>
    <row r="90" spans="1:6" ht="14.25" customHeight="1">
      <c r="A90" s="132">
        <v>1979</v>
      </c>
      <c r="B90" s="137">
        <v>5600</v>
      </c>
      <c r="C90" s="137">
        <v>1500</v>
      </c>
      <c r="D90" s="137">
        <v>2900</v>
      </c>
      <c r="E90" s="137">
        <v>700</v>
      </c>
      <c r="F90" s="137">
        <v>500</v>
      </c>
    </row>
    <row r="91" spans="1:6" ht="14.25" customHeight="1">
      <c r="A91" s="132">
        <v>1980</v>
      </c>
      <c r="B91" s="137">
        <v>5200</v>
      </c>
      <c r="C91" s="137">
        <v>1600</v>
      </c>
      <c r="D91" s="137">
        <v>2700</v>
      </c>
      <c r="E91" s="137">
        <v>500</v>
      </c>
      <c r="F91" s="137">
        <v>400</v>
      </c>
    </row>
    <row r="92" spans="1:6" ht="14.25" customHeight="1">
      <c r="A92" s="132">
        <v>1981</v>
      </c>
      <c r="B92" s="137">
        <v>5400</v>
      </c>
      <c r="C92" s="137">
        <v>1700</v>
      </c>
      <c r="D92" s="137">
        <v>2900</v>
      </c>
      <c r="E92" s="137">
        <v>400</v>
      </c>
      <c r="F92" s="137">
        <v>400</v>
      </c>
    </row>
    <row r="93" spans="1:6" ht="14.25" customHeight="1">
      <c r="A93" s="132">
        <v>1982</v>
      </c>
      <c r="B93" s="137">
        <v>4800</v>
      </c>
      <c r="C93" s="137">
        <v>1500</v>
      </c>
      <c r="D93" s="137">
        <v>2800</v>
      </c>
      <c r="E93" s="137">
        <v>200</v>
      </c>
      <c r="F93" s="137">
        <v>400</v>
      </c>
    </row>
    <row r="94" spans="1:6" ht="14.25" customHeight="1">
      <c r="A94" s="132">
        <v>1983</v>
      </c>
      <c r="B94" s="137">
        <v>4700</v>
      </c>
      <c r="C94" s="137">
        <v>1300</v>
      </c>
      <c r="D94" s="137">
        <v>2700</v>
      </c>
      <c r="E94" s="137">
        <v>300</v>
      </c>
      <c r="F94" s="137">
        <v>400</v>
      </c>
    </row>
    <row r="95" spans="1:6" ht="14.25" customHeight="1">
      <c r="A95" s="132">
        <v>1984</v>
      </c>
      <c r="B95" s="137">
        <v>5300</v>
      </c>
      <c r="C95" s="137">
        <v>1500</v>
      </c>
      <c r="D95" s="137">
        <v>3000</v>
      </c>
      <c r="E95" s="137">
        <v>400</v>
      </c>
      <c r="F95" s="137">
        <v>500</v>
      </c>
    </row>
    <row r="96" spans="1:6" ht="14.25" customHeight="1">
      <c r="A96" s="132">
        <v>1985</v>
      </c>
      <c r="B96" s="137">
        <v>5400</v>
      </c>
      <c r="C96" s="137">
        <v>1500</v>
      </c>
      <c r="D96" s="137">
        <v>3100</v>
      </c>
      <c r="E96" s="137">
        <v>300</v>
      </c>
      <c r="F96" s="137">
        <v>500</v>
      </c>
    </row>
    <row r="97" spans="1:6" ht="14.25" customHeight="1">
      <c r="A97" s="132">
        <v>1986</v>
      </c>
      <c r="B97" s="137">
        <v>5400</v>
      </c>
      <c r="C97" s="137">
        <v>1500</v>
      </c>
      <c r="D97" s="137">
        <v>3200</v>
      </c>
      <c r="E97" s="137">
        <v>300</v>
      </c>
      <c r="F97" s="137">
        <v>500</v>
      </c>
    </row>
    <row r="98" spans="1:6" ht="14.25" customHeight="1">
      <c r="A98" s="132">
        <v>1987</v>
      </c>
      <c r="B98" s="137">
        <v>5100</v>
      </c>
      <c r="C98" s="137">
        <v>1100</v>
      </c>
      <c r="D98" s="137">
        <v>3000</v>
      </c>
      <c r="E98" s="137">
        <v>400</v>
      </c>
      <c r="F98" s="137">
        <v>500</v>
      </c>
    </row>
    <row r="99" spans="1:6" ht="14.25" customHeight="1">
      <c r="A99" s="132">
        <v>1988</v>
      </c>
      <c r="B99" s="137">
        <v>5300</v>
      </c>
      <c r="C99" s="137">
        <v>1100</v>
      </c>
      <c r="D99" s="137">
        <v>3200</v>
      </c>
      <c r="E99" s="137">
        <v>400</v>
      </c>
      <c r="F99" s="137">
        <v>500</v>
      </c>
    </row>
    <row r="100" spans="1:6" ht="14.25" customHeight="1">
      <c r="A100" s="132">
        <v>1989</v>
      </c>
      <c r="B100" s="137">
        <v>5200</v>
      </c>
      <c r="C100" s="137">
        <v>1100</v>
      </c>
      <c r="D100" s="137">
        <v>3200</v>
      </c>
      <c r="E100" s="137">
        <v>400</v>
      </c>
      <c r="F100" s="137">
        <v>400</v>
      </c>
    </row>
    <row r="101" spans="1:6" ht="14.25" customHeight="1">
      <c r="A101" s="132">
        <v>1990</v>
      </c>
      <c r="B101" s="137">
        <v>5600</v>
      </c>
      <c r="C101" s="137">
        <v>1300</v>
      </c>
      <c r="D101" s="137">
        <v>3500</v>
      </c>
      <c r="E101" s="137">
        <v>400</v>
      </c>
      <c r="F101" s="137">
        <v>500</v>
      </c>
    </row>
    <row r="102" spans="1:6" ht="14.25" customHeight="1">
      <c r="A102" s="132">
        <v>1991</v>
      </c>
      <c r="B102" s="137">
        <v>5300</v>
      </c>
      <c r="C102" s="137">
        <v>1100</v>
      </c>
      <c r="D102" s="137">
        <v>3300</v>
      </c>
      <c r="E102" s="137">
        <v>400</v>
      </c>
      <c r="F102" s="137">
        <v>500</v>
      </c>
    </row>
    <row r="103" spans="1:6" ht="14.25" customHeight="1">
      <c r="A103" s="132">
        <v>1992</v>
      </c>
      <c r="B103" s="137">
        <v>5100</v>
      </c>
      <c r="C103" s="137">
        <v>1000</v>
      </c>
      <c r="D103" s="137">
        <v>3200</v>
      </c>
      <c r="E103" s="137">
        <v>400</v>
      </c>
      <c r="F103" s="137">
        <v>500</v>
      </c>
    </row>
    <row r="104" spans="1:6" ht="14.25" customHeight="1">
      <c r="A104" s="132">
        <v>1993</v>
      </c>
      <c r="B104" s="137">
        <v>5000</v>
      </c>
      <c r="C104" s="137">
        <v>900</v>
      </c>
      <c r="D104" s="137">
        <v>3100</v>
      </c>
      <c r="E104" s="137">
        <v>400</v>
      </c>
      <c r="F104" s="137">
        <v>600</v>
      </c>
    </row>
    <row r="105" spans="1:6" ht="14.25" customHeight="1">
      <c r="A105" s="132">
        <v>1994</v>
      </c>
      <c r="B105" s="137">
        <v>5000</v>
      </c>
      <c r="C105" s="137">
        <v>700</v>
      </c>
      <c r="D105" s="137">
        <v>3200</v>
      </c>
      <c r="E105" s="137">
        <v>400</v>
      </c>
      <c r="F105" s="137">
        <v>600</v>
      </c>
    </row>
    <row r="106" spans="1:6" ht="14.25" customHeight="1">
      <c r="A106" s="132">
        <v>1995</v>
      </c>
      <c r="B106" s="137">
        <v>5300</v>
      </c>
      <c r="C106" s="137">
        <v>800</v>
      </c>
      <c r="D106" s="137">
        <v>3400</v>
      </c>
      <c r="E106" s="137">
        <v>500</v>
      </c>
      <c r="F106" s="137">
        <v>600</v>
      </c>
    </row>
    <row r="107" spans="1:6" ht="14.25" customHeight="1">
      <c r="A107" s="132">
        <v>1996</v>
      </c>
      <c r="B107" s="137">
        <v>5300</v>
      </c>
      <c r="C107" s="137">
        <v>800</v>
      </c>
      <c r="D107" s="137">
        <v>3500</v>
      </c>
      <c r="E107" s="137">
        <v>500</v>
      </c>
      <c r="F107" s="137">
        <v>600</v>
      </c>
    </row>
    <row r="108" spans="1:6" ht="14.25" customHeight="1">
      <c r="A108" s="132">
        <v>1997</v>
      </c>
      <c r="B108" s="137">
        <v>5600</v>
      </c>
      <c r="C108" s="137">
        <v>900</v>
      </c>
      <c r="D108" s="137">
        <v>3600</v>
      </c>
      <c r="E108" s="137">
        <v>500</v>
      </c>
      <c r="F108" s="137">
        <v>600</v>
      </c>
    </row>
    <row r="109" spans="1:6" ht="14.25" customHeight="1">
      <c r="A109" s="132">
        <v>1998</v>
      </c>
      <c r="B109" s="137">
        <v>5600</v>
      </c>
      <c r="C109" s="137">
        <v>700</v>
      </c>
      <c r="D109" s="137">
        <v>3800</v>
      </c>
      <c r="E109" s="137">
        <v>500</v>
      </c>
      <c r="F109" s="137">
        <v>600</v>
      </c>
    </row>
    <row r="110" spans="1:6" ht="14.25" customHeight="1">
      <c r="A110" s="132">
        <v>1999</v>
      </c>
      <c r="B110" s="137">
        <v>5900</v>
      </c>
      <c r="C110" s="137">
        <v>700</v>
      </c>
      <c r="D110" s="137">
        <v>4000</v>
      </c>
      <c r="E110" s="137">
        <v>500</v>
      </c>
      <c r="F110" s="137">
        <v>700</v>
      </c>
    </row>
    <row r="111" spans="1:6" ht="14.25" customHeight="1">
      <c r="A111" s="132">
        <v>2000</v>
      </c>
      <c r="B111" s="137">
        <v>5900</v>
      </c>
      <c r="C111" s="137">
        <v>800</v>
      </c>
      <c r="D111" s="137">
        <v>4000</v>
      </c>
      <c r="E111" s="137">
        <v>500</v>
      </c>
      <c r="F111" s="137">
        <v>600</v>
      </c>
    </row>
    <row r="112" spans="1:6" ht="14.25" customHeight="1">
      <c r="A112" s="132">
        <v>2001</v>
      </c>
      <c r="B112" s="137">
        <v>5000</v>
      </c>
      <c r="C112" s="137">
        <v>200</v>
      </c>
      <c r="D112" s="137">
        <v>3900</v>
      </c>
      <c r="E112" s="137">
        <v>300</v>
      </c>
      <c r="F112" s="137">
        <v>600</v>
      </c>
    </row>
    <row r="113" spans="1:6" ht="14.25" customHeight="1">
      <c r="A113" s="132">
        <v>2002</v>
      </c>
      <c r="B113" s="137">
        <v>4600</v>
      </c>
      <c r="C113" s="137">
        <v>0</v>
      </c>
      <c r="D113" s="137">
        <v>3700</v>
      </c>
      <c r="E113" s="137">
        <v>300</v>
      </c>
      <c r="F113" s="137">
        <v>600</v>
      </c>
    </row>
    <row r="114" spans="1:6" ht="14.25" customHeight="1">
      <c r="A114" s="132">
        <v>2003</v>
      </c>
      <c r="B114" s="137">
        <v>4200</v>
      </c>
      <c r="C114" s="137">
        <v>-400</v>
      </c>
      <c r="D114" s="137">
        <v>3600</v>
      </c>
      <c r="E114" s="137">
        <v>400</v>
      </c>
      <c r="F114" s="137">
        <v>600</v>
      </c>
    </row>
    <row r="115" spans="1:6" ht="14.25" customHeight="1">
      <c r="A115" s="132">
        <v>2004</v>
      </c>
      <c r="B115" s="137">
        <v>4300</v>
      </c>
      <c r="C115" s="137">
        <v>-300</v>
      </c>
      <c r="D115" s="137">
        <v>3700</v>
      </c>
      <c r="E115" s="137">
        <v>400</v>
      </c>
      <c r="F115" s="137">
        <v>600</v>
      </c>
    </row>
    <row r="116" spans="1:6" ht="14.25" customHeight="1">
      <c r="A116" s="132">
        <v>2005</v>
      </c>
      <c r="B116" s="137">
        <v>4500</v>
      </c>
      <c r="C116" s="137">
        <v>-300</v>
      </c>
      <c r="D116" s="137">
        <v>3700</v>
      </c>
      <c r="E116" s="137">
        <v>500</v>
      </c>
      <c r="F116" s="137">
        <v>600</v>
      </c>
    </row>
    <row r="117" spans="1:6" ht="14.25" customHeight="1">
      <c r="A117" s="132">
        <v>2006</v>
      </c>
      <c r="B117" s="137">
        <v>4600</v>
      </c>
      <c r="C117" s="137">
        <v>-300</v>
      </c>
      <c r="D117" s="137">
        <v>3800</v>
      </c>
      <c r="E117" s="137">
        <v>600</v>
      </c>
      <c r="F117" s="137">
        <v>500</v>
      </c>
    </row>
    <row r="118" spans="1:6" ht="14.25" customHeight="1">
      <c r="A118" s="132">
        <v>2007</v>
      </c>
      <c r="B118" s="137">
        <v>5000</v>
      </c>
      <c r="C118" s="137">
        <v>-100</v>
      </c>
      <c r="D118" s="137">
        <v>4100</v>
      </c>
      <c r="E118" s="137">
        <v>500</v>
      </c>
      <c r="F118" s="137">
        <v>400</v>
      </c>
    </row>
    <row r="119" spans="1:6" ht="14.25" customHeight="1">
      <c r="A119" s="132">
        <v>2008</v>
      </c>
      <c r="B119" s="137">
        <v>3400</v>
      </c>
      <c r="C119" s="137">
        <v>-1200</v>
      </c>
      <c r="D119" s="137">
        <v>3900</v>
      </c>
      <c r="E119" s="137">
        <v>300</v>
      </c>
      <c r="F119" s="137">
        <v>400</v>
      </c>
    </row>
    <row r="120" spans="1:6" ht="14.25" customHeight="1">
      <c r="A120" s="132">
        <v>2009</v>
      </c>
      <c r="B120" s="137">
        <v>3100</v>
      </c>
      <c r="C120" s="137">
        <v>-1200</v>
      </c>
      <c r="D120" s="137">
        <v>3600</v>
      </c>
      <c r="E120" s="137">
        <v>200</v>
      </c>
      <c r="F120" s="137">
        <v>400</v>
      </c>
    </row>
    <row r="121" spans="1:6" ht="14.25" customHeight="1">
      <c r="A121" s="132">
        <v>2010</v>
      </c>
      <c r="B121" s="137">
        <v>3200</v>
      </c>
      <c r="C121" s="137">
        <v>-1100</v>
      </c>
      <c r="D121" s="137">
        <v>3500</v>
      </c>
      <c r="E121" s="137">
        <v>300</v>
      </c>
      <c r="F121" s="137">
        <v>500</v>
      </c>
    </row>
    <row r="122" spans="1:6" ht="14.25" customHeight="1">
      <c r="A122" s="132">
        <v>2011</v>
      </c>
      <c r="B122" s="137">
        <v>3200</v>
      </c>
      <c r="C122" s="137">
        <v>-600</v>
      </c>
      <c r="D122" s="137">
        <v>3100</v>
      </c>
      <c r="E122" s="137">
        <v>300</v>
      </c>
      <c r="F122" s="137">
        <v>500</v>
      </c>
    </row>
    <row r="123" spans="1:6" ht="14.25" customHeight="1">
      <c r="A123" s="132">
        <v>2012</v>
      </c>
      <c r="B123" s="137">
        <v>3200</v>
      </c>
      <c r="C123" s="137">
        <v>-600</v>
      </c>
      <c r="D123" s="137">
        <v>3000</v>
      </c>
      <c r="E123" s="137">
        <v>300</v>
      </c>
      <c r="F123" s="137">
        <v>500</v>
      </c>
    </row>
    <row r="124" spans="1:6" ht="14.25" customHeight="1">
      <c r="A124" s="132">
        <v>2013</v>
      </c>
      <c r="B124" s="137">
        <v>3900</v>
      </c>
      <c r="C124" s="137">
        <v>-600</v>
      </c>
      <c r="D124" s="137">
        <v>3600</v>
      </c>
      <c r="E124" s="137">
        <v>400</v>
      </c>
      <c r="F124" s="137">
        <v>500</v>
      </c>
    </row>
    <row r="125" spans="1:6" ht="14.25" customHeight="1">
      <c r="A125" s="132">
        <v>2014</v>
      </c>
      <c r="B125" s="137">
        <v>3900</v>
      </c>
      <c r="C125" s="137">
        <v>-700</v>
      </c>
      <c r="D125" s="137">
        <v>3600</v>
      </c>
      <c r="E125" s="137">
        <v>400</v>
      </c>
      <c r="F125" s="137">
        <v>500</v>
      </c>
    </row>
    <row r="126" spans="1:6" ht="14.25" customHeight="1">
      <c r="A126" s="132">
        <v>2015</v>
      </c>
      <c r="B126" s="137">
        <v>4100</v>
      </c>
      <c r="C126" s="137">
        <v>-600</v>
      </c>
      <c r="D126" s="137">
        <v>3800</v>
      </c>
      <c r="E126" s="137">
        <v>400</v>
      </c>
      <c r="F126" s="137">
        <v>500</v>
      </c>
    </row>
    <row r="127" spans="1:6" ht="14.25" customHeight="1">
      <c r="A127" s="132">
        <v>2016</v>
      </c>
      <c r="B127" s="137">
        <v>4200</v>
      </c>
      <c r="C127" s="137">
        <v>-500</v>
      </c>
      <c r="D127" s="137">
        <v>3900</v>
      </c>
      <c r="E127" s="137">
        <v>400</v>
      </c>
      <c r="F127" s="137">
        <v>500</v>
      </c>
    </row>
    <row r="129" spans="1:6" ht="14.25" customHeight="1">
      <c r="B129" s="774" t="s">
        <v>7</v>
      </c>
      <c r="C129" s="774"/>
      <c r="D129" s="774"/>
      <c r="E129" s="774"/>
      <c r="F129" s="774"/>
    </row>
    <row r="130" spans="1:6" ht="14.25" customHeight="1">
      <c r="A130" s="132">
        <v>1979</v>
      </c>
      <c r="B130" s="137">
        <v>10900</v>
      </c>
      <c r="C130" s="137">
        <v>4200</v>
      </c>
      <c r="D130" s="137">
        <v>4900</v>
      </c>
      <c r="E130" s="137">
        <v>1200</v>
      </c>
      <c r="F130" s="137">
        <v>600</v>
      </c>
    </row>
    <row r="131" spans="1:6" ht="14.25" customHeight="1">
      <c r="A131" s="132">
        <v>1980</v>
      </c>
      <c r="B131" s="137">
        <v>10500</v>
      </c>
      <c r="C131" s="137">
        <v>4400</v>
      </c>
      <c r="D131" s="137">
        <v>4700</v>
      </c>
      <c r="E131" s="137">
        <v>900</v>
      </c>
      <c r="F131" s="137">
        <v>500</v>
      </c>
    </row>
    <row r="132" spans="1:6" ht="14.25" customHeight="1">
      <c r="A132" s="132">
        <v>1981</v>
      </c>
      <c r="B132" s="137">
        <v>10600</v>
      </c>
      <c r="C132" s="137">
        <v>4500</v>
      </c>
      <c r="D132" s="137">
        <v>4900</v>
      </c>
      <c r="E132" s="137">
        <v>700</v>
      </c>
      <c r="F132" s="137">
        <v>500</v>
      </c>
    </row>
    <row r="133" spans="1:6" ht="14.25" customHeight="1">
      <c r="A133" s="132">
        <v>1982</v>
      </c>
      <c r="B133" s="137">
        <v>9800</v>
      </c>
      <c r="C133" s="137">
        <v>4000</v>
      </c>
      <c r="D133" s="137">
        <v>4800</v>
      </c>
      <c r="E133" s="137">
        <v>500</v>
      </c>
      <c r="F133" s="137">
        <v>500</v>
      </c>
    </row>
    <row r="134" spans="1:6" ht="14.25" customHeight="1">
      <c r="A134" s="132">
        <v>1983</v>
      </c>
      <c r="B134" s="137">
        <v>9300</v>
      </c>
      <c r="C134" s="137">
        <v>3500</v>
      </c>
      <c r="D134" s="137">
        <v>4700</v>
      </c>
      <c r="E134" s="137">
        <v>600</v>
      </c>
      <c r="F134" s="137">
        <v>600</v>
      </c>
    </row>
    <row r="135" spans="1:6" ht="14.25" customHeight="1">
      <c r="A135" s="132">
        <v>1984</v>
      </c>
      <c r="B135" s="137">
        <v>10100</v>
      </c>
      <c r="C135" s="137">
        <v>3700</v>
      </c>
      <c r="D135" s="137">
        <v>5100</v>
      </c>
      <c r="E135" s="137">
        <v>700</v>
      </c>
      <c r="F135" s="137">
        <v>600</v>
      </c>
    </row>
    <row r="136" spans="1:6" ht="14.25" customHeight="1">
      <c r="A136" s="132">
        <v>1985</v>
      </c>
      <c r="B136" s="137">
        <v>10200</v>
      </c>
      <c r="C136" s="137">
        <v>3700</v>
      </c>
      <c r="D136" s="137">
        <v>5300</v>
      </c>
      <c r="E136" s="137">
        <v>600</v>
      </c>
      <c r="F136" s="137">
        <v>600</v>
      </c>
    </row>
    <row r="137" spans="1:6" ht="14.25" customHeight="1">
      <c r="A137" s="132">
        <v>1986</v>
      </c>
      <c r="B137" s="137">
        <v>10400</v>
      </c>
      <c r="C137" s="137">
        <v>3700</v>
      </c>
      <c r="D137" s="137">
        <v>5400</v>
      </c>
      <c r="E137" s="137">
        <v>700</v>
      </c>
      <c r="F137" s="137">
        <v>600</v>
      </c>
    </row>
    <row r="138" spans="1:6" ht="14.25" customHeight="1">
      <c r="A138" s="132">
        <v>1987</v>
      </c>
      <c r="B138" s="137">
        <v>10200</v>
      </c>
      <c r="C138" s="137">
        <v>3300</v>
      </c>
      <c r="D138" s="137">
        <v>5300</v>
      </c>
      <c r="E138" s="137">
        <v>900</v>
      </c>
      <c r="F138" s="137">
        <v>600</v>
      </c>
    </row>
    <row r="139" spans="1:6" ht="14.25" customHeight="1">
      <c r="A139" s="132">
        <v>1988</v>
      </c>
      <c r="B139" s="137">
        <v>10600</v>
      </c>
      <c r="C139" s="137">
        <v>3400</v>
      </c>
      <c r="D139" s="137">
        <v>5700</v>
      </c>
      <c r="E139" s="137">
        <v>900</v>
      </c>
      <c r="F139" s="137">
        <v>600</v>
      </c>
    </row>
    <row r="140" spans="1:6" ht="14.25" customHeight="1">
      <c r="A140" s="132">
        <v>1989</v>
      </c>
      <c r="B140" s="137">
        <v>10600</v>
      </c>
      <c r="C140" s="137">
        <v>3500</v>
      </c>
      <c r="D140" s="137">
        <v>5700</v>
      </c>
      <c r="E140" s="137">
        <v>800</v>
      </c>
      <c r="F140" s="137">
        <v>600</v>
      </c>
    </row>
    <row r="141" spans="1:6" ht="14.25" customHeight="1">
      <c r="A141" s="132">
        <v>1990</v>
      </c>
      <c r="B141" s="137">
        <v>10700</v>
      </c>
      <c r="C141" s="137">
        <v>3600</v>
      </c>
      <c r="D141" s="137">
        <v>5800</v>
      </c>
      <c r="E141" s="137">
        <v>800</v>
      </c>
      <c r="F141" s="137">
        <v>600</v>
      </c>
    </row>
    <row r="142" spans="1:6" ht="14.25" customHeight="1">
      <c r="A142" s="132">
        <v>1991</v>
      </c>
      <c r="B142" s="137">
        <v>10300</v>
      </c>
      <c r="C142" s="137">
        <v>3300</v>
      </c>
      <c r="D142" s="137">
        <v>5600</v>
      </c>
      <c r="E142" s="137">
        <v>700</v>
      </c>
      <c r="F142" s="137">
        <v>700</v>
      </c>
    </row>
    <row r="143" spans="1:6" ht="14.25" customHeight="1">
      <c r="A143" s="132">
        <v>1992</v>
      </c>
      <c r="B143" s="137">
        <v>10300</v>
      </c>
      <c r="C143" s="137">
        <v>3200</v>
      </c>
      <c r="D143" s="137">
        <v>5600</v>
      </c>
      <c r="E143" s="137">
        <v>800</v>
      </c>
      <c r="F143" s="137">
        <v>700</v>
      </c>
    </row>
    <row r="144" spans="1:6" ht="14.25" customHeight="1">
      <c r="A144" s="132">
        <v>1993</v>
      </c>
      <c r="B144" s="137">
        <v>10300</v>
      </c>
      <c r="C144" s="137">
        <v>3200</v>
      </c>
      <c r="D144" s="137">
        <v>5600</v>
      </c>
      <c r="E144" s="137">
        <v>800</v>
      </c>
      <c r="F144" s="137">
        <v>700</v>
      </c>
    </row>
    <row r="145" spans="1:6" ht="14.25" customHeight="1">
      <c r="A145" s="132">
        <v>1994</v>
      </c>
      <c r="B145" s="137">
        <v>10400</v>
      </c>
      <c r="C145" s="137">
        <v>3100</v>
      </c>
      <c r="D145" s="137">
        <v>5600</v>
      </c>
      <c r="E145" s="137">
        <v>900</v>
      </c>
      <c r="F145" s="137">
        <v>800</v>
      </c>
    </row>
    <row r="146" spans="1:6" ht="14.25" customHeight="1">
      <c r="A146" s="132">
        <v>1995</v>
      </c>
      <c r="B146" s="137">
        <v>10900</v>
      </c>
      <c r="C146" s="137">
        <v>3300</v>
      </c>
      <c r="D146" s="137">
        <v>5800</v>
      </c>
      <c r="E146" s="137">
        <v>1000</v>
      </c>
      <c r="F146" s="137">
        <v>800</v>
      </c>
    </row>
    <row r="147" spans="1:6" ht="14.25" customHeight="1">
      <c r="A147" s="132">
        <v>1996</v>
      </c>
      <c r="B147" s="137">
        <v>11000</v>
      </c>
      <c r="C147" s="137">
        <v>3300</v>
      </c>
      <c r="D147" s="137">
        <v>5900</v>
      </c>
      <c r="E147" s="137">
        <v>1000</v>
      </c>
      <c r="F147" s="137">
        <v>700</v>
      </c>
    </row>
    <row r="148" spans="1:6" ht="14.25" customHeight="1">
      <c r="A148" s="132">
        <v>1997</v>
      </c>
      <c r="B148" s="137">
        <v>11400</v>
      </c>
      <c r="C148" s="137">
        <v>3500</v>
      </c>
      <c r="D148" s="137">
        <v>6100</v>
      </c>
      <c r="E148" s="137">
        <v>1000</v>
      </c>
      <c r="F148" s="137">
        <v>700</v>
      </c>
    </row>
    <row r="149" spans="1:6" ht="14.25" customHeight="1">
      <c r="A149" s="132">
        <v>1998</v>
      </c>
      <c r="B149" s="137">
        <v>11400</v>
      </c>
      <c r="C149" s="137">
        <v>3300</v>
      </c>
      <c r="D149" s="137">
        <v>6400</v>
      </c>
      <c r="E149" s="137">
        <v>900</v>
      </c>
      <c r="F149" s="137">
        <v>700</v>
      </c>
    </row>
    <row r="150" spans="1:6" ht="14.25" customHeight="1">
      <c r="A150" s="132">
        <v>1999</v>
      </c>
      <c r="B150" s="137">
        <v>11800</v>
      </c>
      <c r="C150" s="137">
        <v>3400</v>
      </c>
      <c r="D150" s="137">
        <v>6600</v>
      </c>
      <c r="E150" s="137">
        <v>1000</v>
      </c>
      <c r="F150" s="137">
        <v>800</v>
      </c>
    </row>
    <row r="151" spans="1:6" ht="14.25" customHeight="1">
      <c r="A151" s="132">
        <v>2000</v>
      </c>
      <c r="B151" s="137">
        <v>11700</v>
      </c>
      <c r="C151" s="137">
        <v>3500</v>
      </c>
      <c r="D151" s="137">
        <v>6500</v>
      </c>
      <c r="E151" s="137">
        <v>900</v>
      </c>
      <c r="F151" s="137">
        <v>800</v>
      </c>
    </row>
    <row r="152" spans="1:6" ht="14.25" customHeight="1">
      <c r="A152" s="132">
        <v>2001</v>
      </c>
      <c r="B152" s="137">
        <v>10600</v>
      </c>
      <c r="C152" s="137">
        <v>2700</v>
      </c>
      <c r="D152" s="137">
        <v>6500</v>
      </c>
      <c r="E152" s="137">
        <v>600</v>
      </c>
      <c r="F152" s="137">
        <v>700</v>
      </c>
    </row>
    <row r="153" spans="1:6" ht="14.25" customHeight="1">
      <c r="A153" s="132">
        <v>2002</v>
      </c>
      <c r="B153" s="137">
        <v>9900</v>
      </c>
      <c r="C153" s="137">
        <v>2400</v>
      </c>
      <c r="D153" s="137">
        <v>6200</v>
      </c>
      <c r="E153" s="137">
        <v>600</v>
      </c>
      <c r="F153" s="137">
        <v>700</v>
      </c>
    </row>
    <row r="154" spans="1:6" ht="14.25" customHeight="1">
      <c r="A154" s="132">
        <v>2003</v>
      </c>
      <c r="B154" s="137">
        <v>9400</v>
      </c>
      <c r="C154" s="137">
        <v>1900</v>
      </c>
      <c r="D154" s="137">
        <v>6100</v>
      </c>
      <c r="E154" s="137">
        <v>700</v>
      </c>
      <c r="F154" s="137">
        <v>700</v>
      </c>
    </row>
    <row r="155" spans="1:6" ht="14.25" customHeight="1">
      <c r="A155" s="132">
        <v>2004</v>
      </c>
      <c r="B155" s="137">
        <v>9900</v>
      </c>
      <c r="C155" s="137">
        <v>2000</v>
      </c>
      <c r="D155" s="137">
        <v>6300</v>
      </c>
      <c r="E155" s="137">
        <v>800</v>
      </c>
      <c r="F155" s="137">
        <v>700</v>
      </c>
    </row>
    <row r="156" spans="1:6" ht="14.25" customHeight="1">
      <c r="A156" s="132">
        <v>2005</v>
      </c>
      <c r="B156" s="137">
        <v>10200</v>
      </c>
      <c r="C156" s="137">
        <v>2100</v>
      </c>
      <c r="D156" s="137">
        <v>6400</v>
      </c>
      <c r="E156" s="137">
        <v>1100</v>
      </c>
      <c r="F156" s="137">
        <v>700</v>
      </c>
    </row>
    <row r="157" spans="1:6" ht="14.25" customHeight="1">
      <c r="A157" s="132">
        <v>2006</v>
      </c>
      <c r="B157" s="137">
        <v>10400</v>
      </c>
      <c r="C157" s="137">
        <v>2100</v>
      </c>
      <c r="D157" s="137">
        <v>6400</v>
      </c>
      <c r="E157" s="137">
        <v>1200</v>
      </c>
      <c r="F157" s="137">
        <v>600</v>
      </c>
    </row>
    <row r="158" spans="1:6" ht="14.25" customHeight="1">
      <c r="A158" s="132">
        <v>2007</v>
      </c>
      <c r="B158" s="137">
        <v>10700</v>
      </c>
      <c r="C158" s="137">
        <v>2400</v>
      </c>
      <c r="D158" s="137">
        <v>6700</v>
      </c>
      <c r="E158" s="137">
        <v>1000</v>
      </c>
      <c r="F158" s="137">
        <v>600</v>
      </c>
    </row>
    <row r="159" spans="1:6" ht="14.25" customHeight="1">
      <c r="A159" s="132">
        <v>2008</v>
      </c>
      <c r="B159" s="137">
        <v>8600</v>
      </c>
      <c r="C159" s="137">
        <v>1000</v>
      </c>
      <c r="D159" s="137">
        <v>6400</v>
      </c>
      <c r="E159" s="137">
        <v>600</v>
      </c>
      <c r="F159" s="137">
        <v>600</v>
      </c>
    </row>
    <row r="160" spans="1:6" ht="14.25" customHeight="1">
      <c r="A160" s="132">
        <v>2009</v>
      </c>
      <c r="B160" s="137">
        <v>8100</v>
      </c>
      <c r="C160" s="137">
        <v>1000</v>
      </c>
      <c r="D160" s="137">
        <v>6100</v>
      </c>
      <c r="E160" s="137">
        <v>500</v>
      </c>
      <c r="F160" s="137">
        <v>600</v>
      </c>
    </row>
    <row r="161" spans="1:6" ht="14.25" customHeight="1">
      <c r="A161" s="132">
        <v>2010</v>
      </c>
      <c r="B161" s="137">
        <v>8200</v>
      </c>
      <c r="C161" s="137">
        <v>1100</v>
      </c>
      <c r="D161" s="137">
        <v>5900</v>
      </c>
      <c r="E161" s="137">
        <v>600</v>
      </c>
      <c r="F161" s="137">
        <v>600</v>
      </c>
    </row>
    <row r="162" spans="1:6" ht="14.25" customHeight="1">
      <c r="A162" s="132">
        <v>2011</v>
      </c>
      <c r="B162" s="137">
        <v>8100</v>
      </c>
      <c r="C162" s="137">
        <v>1800</v>
      </c>
      <c r="D162" s="137">
        <v>5100</v>
      </c>
      <c r="E162" s="137">
        <v>600</v>
      </c>
      <c r="F162" s="137">
        <v>600</v>
      </c>
    </row>
    <row r="163" spans="1:6" ht="14.25" customHeight="1">
      <c r="A163" s="132">
        <v>2012</v>
      </c>
      <c r="B163" s="137">
        <v>8200</v>
      </c>
      <c r="C163" s="137">
        <v>1900</v>
      </c>
      <c r="D163" s="137">
        <v>5100</v>
      </c>
      <c r="E163" s="137">
        <v>600</v>
      </c>
      <c r="F163" s="137">
        <v>600</v>
      </c>
    </row>
    <row r="164" spans="1:6" ht="14.25" customHeight="1">
      <c r="A164" s="132">
        <v>2013</v>
      </c>
      <c r="B164" s="137">
        <v>9400</v>
      </c>
      <c r="C164" s="137">
        <v>2000</v>
      </c>
      <c r="D164" s="137">
        <v>6000</v>
      </c>
      <c r="E164" s="137">
        <v>700</v>
      </c>
      <c r="F164" s="137">
        <v>600</v>
      </c>
    </row>
    <row r="165" spans="1:6" ht="14.25" customHeight="1">
      <c r="A165" s="132">
        <v>2014</v>
      </c>
      <c r="B165" s="137">
        <v>9700</v>
      </c>
      <c r="C165" s="137">
        <v>2000</v>
      </c>
      <c r="D165" s="137">
        <v>6200</v>
      </c>
      <c r="E165" s="137">
        <v>800</v>
      </c>
      <c r="F165" s="137">
        <v>700</v>
      </c>
    </row>
    <row r="166" spans="1:6" ht="14.25" customHeight="1">
      <c r="A166" s="132">
        <v>2015</v>
      </c>
      <c r="B166" s="137">
        <v>10100</v>
      </c>
      <c r="C166" s="137">
        <v>2200</v>
      </c>
      <c r="D166" s="137">
        <v>6400</v>
      </c>
      <c r="E166" s="137">
        <v>800</v>
      </c>
      <c r="F166" s="137">
        <v>700</v>
      </c>
    </row>
    <row r="167" spans="1:6" ht="14.25" customHeight="1">
      <c r="A167" s="132">
        <v>2016</v>
      </c>
      <c r="B167" s="137">
        <v>10100</v>
      </c>
      <c r="C167" s="137">
        <v>2200</v>
      </c>
      <c r="D167" s="137">
        <v>6400</v>
      </c>
      <c r="E167" s="137">
        <v>800</v>
      </c>
      <c r="F167" s="137">
        <v>700</v>
      </c>
    </row>
    <row r="169" spans="1:6" ht="14.25" customHeight="1">
      <c r="B169" s="774" t="s">
        <v>8</v>
      </c>
      <c r="C169" s="774"/>
      <c r="D169" s="774"/>
      <c r="E169" s="774"/>
      <c r="F169" s="774"/>
    </row>
    <row r="170" spans="1:6" ht="14.25" customHeight="1">
      <c r="A170" s="132">
        <v>1979</v>
      </c>
      <c r="B170" s="137">
        <v>16700</v>
      </c>
      <c r="C170" s="137">
        <v>7800</v>
      </c>
      <c r="D170" s="137">
        <v>6500</v>
      </c>
      <c r="E170" s="137">
        <v>1700</v>
      </c>
      <c r="F170" s="137">
        <v>700</v>
      </c>
    </row>
    <row r="171" spans="1:6" ht="14.25" customHeight="1">
      <c r="A171" s="132">
        <v>1980</v>
      </c>
      <c r="B171" s="137">
        <v>16400</v>
      </c>
      <c r="C171" s="137">
        <v>8000</v>
      </c>
      <c r="D171" s="137">
        <v>6400</v>
      </c>
      <c r="E171" s="137">
        <v>1400</v>
      </c>
      <c r="F171" s="137">
        <v>600</v>
      </c>
    </row>
    <row r="172" spans="1:6" ht="14.25" customHeight="1">
      <c r="A172" s="132">
        <v>1981</v>
      </c>
      <c r="B172" s="137">
        <v>16900</v>
      </c>
      <c r="C172" s="137">
        <v>8400</v>
      </c>
      <c r="D172" s="137">
        <v>6900</v>
      </c>
      <c r="E172" s="137">
        <v>1100</v>
      </c>
      <c r="F172" s="137">
        <v>600</v>
      </c>
    </row>
    <row r="173" spans="1:6" ht="14.25" customHeight="1">
      <c r="A173" s="132">
        <v>1982</v>
      </c>
      <c r="B173" s="137">
        <v>15500</v>
      </c>
      <c r="C173" s="137">
        <v>7500</v>
      </c>
      <c r="D173" s="137">
        <v>6700</v>
      </c>
      <c r="E173" s="137">
        <v>700</v>
      </c>
      <c r="F173" s="137">
        <v>600</v>
      </c>
    </row>
    <row r="174" spans="1:6" ht="14.25" customHeight="1">
      <c r="A174" s="132">
        <v>1983</v>
      </c>
      <c r="B174" s="137">
        <v>15100</v>
      </c>
      <c r="C174" s="137">
        <v>6800</v>
      </c>
      <c r="D174" s="137">
        <v>6700</v>
      </c>
      <c r="E174" s="137">
        <v>900</v>
      </c>
      <c r="F174" s="137">
        <v>700</v>
      </c>
    </row>
    <row r="175" spans="1:6" ht="14.25" customHeight="1">
      <c r="A175" s="132">
        <v>1984</v>
      </c>
      <c r="B175" s="137">
        <v>16000</v>
      </c>
      <c r="C175" s="137">
        <v>6900</v>
      </c>
      <c r="D175" s="137">
        <v>7200</v>
      </c>
      <c r="E175" s="137">
        <v>1100</v>
      </c>
      <c r="F175" s="137">
        <v>800</v>
      </c>
    </row>
    <row r="176" spans="1:6" ht="14.25" customHeight="1">
      <c r="A176" s="132">
        <v>1985</v>
      </c>
      <c r="B176" s="137">
        <v>16200</v>
      </c>
      <c r="C176" s="137">
        <v>6900</v>
      </c>
      <c r="D176" s="137">
        <v>7500</v>
      </c>
      <c r="E176" s="137">
        <v>1000</v>
      </c>
      <c r="F176" s="137">
        <v>700</v>
      </c>
    </row>
    <row r="177" spans="1:6" ht="14.25" customHeight="1">
      <c r="A177" s="132">
        <v>1986</v>
      </c>
      <c r="B177" s="137">
        <v>16900</v>
      </c>
      <c r="C177" s="137">
        <v>7200</v>
      </c>
      <c r="D177" s="137">
        <v>7900</v>
      </c>
      <c r="E177" s="137">
        <v>1100</v>
      </c>
      <c r="F177" s="137">
        <v>700</v>
      </c>
    </row>
    <row r="178" spans="1:6" ht="14.25" customHeight="1">
      <c r="A178" s="132">
        <v>1987</v>
      </c>
      <c r="B178" s="137">
        <v>16900</v>
      </c>
      <c r="C178" s="137">
        <v>6700</v>
      </c>
      <c r="D178" s="137">
        <v>8000</v>
      </c>
      <c r="E178" s="137">
        <v>1400</v>
      </c>
      <c r="F178" s="137">
        <v>800</v>
      </c>
    </row>
    <row r="179" spans="1:6" ht="14.25" customHeight="1">
      <c r="A179" s="132">
        <v>1988</v>
      </c>
      <c r="B179" s="137">
        <v>17300</v>
      </c>
      <c r="C179" s="137">
        <v>6800</v>
      </c>
      <c r="D179" s="137">
        <v>8400</v>
      </c>
      <c r="E179" s="137">
        <v>1400</v>
      </c>
      <c r="F179" s="137">
        <v>800</v>
      </c>
    </row>
    <row r="180" spans="1:6" ht="14.25" customHeight="1">
      <c r="A180" s="132">
        <v>1989</v>
      </c>
      <c r="B180" s="137">
        <v>17500</v>
      </c>
      <c r="C180" s="137">
        <v>7000</v>
      </c>
      <c r="D180" s="137">
        <v>8400</v>
      </c>
      <c r="E180" s="137">
        <v>1300</v>
      </c>
      <c r="F180" s="137">
        <v>700</v>
      </c>
    </row>
    <row r="181" spans="1:6" ht="14.25" customHeight="1">
      <c r="A181" s="132">
        <v>1990</v>
      </c>
      <c r="B181" s="137">
        <v>17300</v>
      </c>
      <c r="C181" s="137">
        <v>6900</v>
      </c>
      <c r="D181" s="137">
        <v>8500</v>
      </c>
      <c r="E181" s="137">
        <v>1200</v>
      </c>
      <c r="F181" s="137">
        <v>700</v>
      </c>
    </row>
    <row r="182" spans="1:6" ht="14.25" customHeight="1">
      <c r="A182" s="132">
        <v>1991</v>
      </c>
      <c r="B182" s="137">
        <v>17000</v>
      </c>
      <c r="C182" s="137">
        <v>6700</v>
      </c>
      <c r="D182" s="137">
        <v>8400</v>
      </c>
      <c r="E182" s="137">
        <v>1100</v>
      </c>
      <c r="F182" s="137">
        <v>800</v>
      </c>
    </row>
    <row r="183" spans="1:6" ht="14.25" customHeight="1">
      <c r="A183" s="132">
        <v>1992</v>
      </c>
      <c r="B183" s="137">
        <v>16900</v>
      </c>
      <c r="C183" s="137">
        <v>6500</v>
      </c>
      <c r="D183" s="137">
        <v>8400</v>
      </c>
      <c r="E183" s="137">
        <v>1200</v>
      </c>
      <c r="F183" s="137">
        <v>800</v>
      </c>
    </row>
    <row r="184" spans="1:6" ht="14.25" customHeight="1">
      <c r="A184" s="132">
        <v>1993</v>
      </c>
      <c r="B184" s="137">
        <v>17100</v>
      </c>
      <c r="C184" s="137">
        <v>6500</v>
      </c>
      <c r="D184" s="137">
        <v>8400</v>
      </c>
      <c r="E184" s="137">
        <v>1400</v>
      </c>
      <c r="F184" s="137">
        <v>800</v>
      </c>
    </row>
    <row r="185" spans="1:6" ht="14.25" customHeight="1">
      <c r="A185" s="132">
        <v>1994</v>
      </c>
      <c r="B185" s="137">
        <v>17600</v>
      </c>
      <c r="C185" s="137">
        <v>6600</v>
      </c>
      <c r="D185" s="137">
        <v>8600</v>
      </c>
      <c r="E185" s="137">
        <v>1400</v>
      </c>
      <c r="F185" s="137">
        <v>900</v>
      </c>
    </row>
    <row r="186" spans="1:6" ht="14.25" customHeight="1">
      <c r="A186" s="132">
        <v>1995</v>
      </c>
      <c r="B186" s="137">
        <v>18000</v>
      </c>
      <c r="C186" s="137">
        <v>6800</v>
      </c>
      <c r="D186" s="137">
        <v>8800</v>
      </c>
      <c r="E186" s="137">
        <v>1600</v>
      </c>
      <c r="F186" s="137">
        <v>900</v>
      </c>
    </row>
    <row r="187" spans="1:6" ht="14.25" customHeight="1">
      <c r="A187" s="132">
        <v>1996</v>
      </c>
      <c r="B187" s="137">
        <v>18400</v>
      </c>
      <c r="C187" s="137">
        <v>7000</v>
      </c>
      <c r="D187" s="137">
        <v>8900</v>
      </c>
      <c r="E187" s="137">
        <v>1600</v>
      </c>
      <c r="F187" s="137">
        <v>800</v>
      </c>
    </row>
    <row r="188" spans="1:6" ht="14.25" customHeight="1">
      <c r="A188" s="132">
        <v>1997</v>
      </c>
      <c r="B188" s="137">
        <v>18900</v>
      </c>
      <c r="C188" s="137">
        <v>7300</v>
      </c>
      <c r="D188" s="137">
        <v>9100</v>
      </c>
      <c r="E188" s="137">
        <v>1600</v>
      </c>
      <c r="F188" s="137">
        <v>800</v>
      </c>
    </row>
    <row r="189" spans="1:6" ht="14.25" customHeight="1">
      <c r="A189" s="132">
        <v>1998</v>
      </c>
      <c r="B189" s="137">
        <v>19400</v>
      </c>
      <c r="C189" s="137">
        <v>7500</v>
      </c>
      <c r="D189" s="137">
        <v>9600</v>
      </c>
      <c r="E189" s="137">
        <v>1500</v>
      </c>
      <c r="F189" s="137">
        <v>900</v>
      </c>
    </row>
    <row r="190" spans="1:6" ht="14.25" customHeight="1">
      <c r="A190" s="132">
        <v>1999</v>
      </c>
      <c r="B190" s="137">
        <v>20100</v>
      </c>
      <c r="C190" s="137">
        <v>7700</v>
      </c>
      <c r="D190" s="137">
        <v>9800</v>
      </c>
      <c r="E190" s="137">
        <v>1500</v>
      </c>
      <c r="F190" s="137">
        <v>1000</v>
      </c>
    </row>
    <row r="191" spans="1:6" ht="14.25" customHeight="1">
      <c r="A191" s="132">
        <v>2000</v>
      </c>
      <c r="B191" s="137">
        <v>20400</v>
      </c>
      <c r="C191" s="137">
        <v>8000</v>
      </c>
      <c r="D191" s="137">
        <v>10000</v>
      </c>
      <c r="E191" s="137">
        <v>1500</v>
      </c>
      <c r="F191" s="137">
        <v>900</v>
      </c>
    </row>
    <row r="192" spans="1:6" ht="14.25" customHeight="1">
      <c r="A192" s="132">
        <v>2001</v>
      </c>
      <c r="B192" s="137">
        <v>18800</v>
      </c>
      <c r="C192" s="137">
        <v>7000</v>
      </c>
      <c r="D192" s="137">
        <v>9900</v>
      </c>
      <c r="E192" s="137">
        <v>1000</v>
      </c>
      <c r="F192" s="137">
        <v>900</v>
      </c>
    </row>
    <row r="193" spans="1:6" ht="14.25" customHeight="1">
      <c r="A193" s="132">
        <v>2002</v>
      </c>
      <c r="B193" s="137">
        <v>17700</v>
      </c>
      <c r="C193" s="137">
        <v>6400</v>
      </c>
      <c r="D193" s="137">
        <v>9500</v>
      </c>
      <c r="E193" s="137">
        <v>900</v>
      </c>
      <c r="F193" s="137">
        <v>900</v>
      </c>
    </row>
    <row r="194" spans="1:6" ht="14.25" customHeight="1">
      <c r="A194" s="132">
        <v>2003</v>
      </c>
      <c r="B194" s="137">
        <v>17300</v>
      </c>
      <c r="C194" s="137">
        <v>5700</v>
      </c>
      <c r="D194" s="137">
        <v>9600</v>
      </c>
      <c r="E194" s="137">
        <v>1200</v>
      </c>
      <c r="F194" s="137">
        <v>800</v>
      </c>
    </row>
    <row r="195" spans="1:6" ht="14.25" customHeight="1">
      <c r="A195" s="132">
        <v>2004</v>
      </c>
      <c r="B195" s="137">
        <v>18000</v>
      </c>
      <c r="C195" s="137">
        <v>5900</v>
      </c>
      <c r="D195" s="137">
        <v>9900</v>
      </c>
      <c r="E195" s="137">
        <v>1400</v>
      </c>
      <c r="F195" s="137">
        <v>900</v>
      </c>
    </row>
    <row r="196" spans="1:6" ht="14.25" customHeight="1">
      <c r="A196" s="132">
        <v>2005</v>
      </c>
      <c r="B196" s="137">
        <v>18600</v>
      </c>
      <c r="C196" s="137">
        <v>6100</v>
      </c>
      <c r="D196" s="137">
        <v>9900</v>
      </c>
      <c r="E196" s="137">
        <v>1800</v>
      </c>
      <c r="F196" s="137">
        <v>800</v>
      </c>
    </row>
    <row r="197" spans="1:6" ht="14.25" customHeight="1">
      <c r="A197" s="132">
        <v>2006</v>
      </c>
      <c r="B197" s="137">
        <v>19000</v>
      </c>
      <c r="C197" s="137">
        <v>6200</v>
      </c>
      <c r="D197" s="137">
        <v>10000</v>
      </c>
      <c r="E197" s="137">
        <v>2000</v>
      </c>
      <c r="F197" s="137">
        <v>800</v>
      </c>
    </row>
    <row r="198" spans="1:6" ht="14.25" customHeight="1">
      <c r="A198" s="132">
        <v>2007</v>
      </c>
      <c r="B198" s="137">
        <v>19300</v>
      </c>
      <c r="C198" s="137">
        <v>6600</v>
      </c>
      <c r="D198" s="137">
        <v>10200</v>
      </c>
      <c r="E198" s="137">
        <v>1800</v>
      </c>
      <c r="F198" s="137">
        <v>700</v>
      </c>
    </row>
    <row r="199" spans="1:6" ht="14.25" customHeight="1">
      <c r="A199" s="132">
        <v>2008</v>
      </c>
      <c r="B199" s="137">
        <v>16700</v>
      </c>
      <c r="C199" s="137">
        <v>5000</v>
      </c>
      <c r="D199" s="137">
        <v>10000</v>
      </c>
      <c r="E199" s="137">
        <v>1000</v>
      </c>
      <c r="F199" s="137">
        <v>600</v>
      </c>
    </row>
    <row r="200" spans="1:6" ht="14.25" customHeight="1">
      <c r="A200" s="132">
        <v>2009</v>
      </c>
      <c r="B200" s="137">
        <v>15700</v>
      </c>
      <c r="C200" s="137">
        <v>4800</v>
      </c>
      <c r="D200" s="137">
        <v>9500</v>
      </c>
      <c r="E200" s="137">
        <v>800</v>
      </c>
      <c r="F200" s="137">
        <v>600</v>
      </c>
    </row>
    <row r="201" spans="1:6" ht="14.25" customHeight="1">
      <c r="A201" s="132">
        <v>2010</v>
      </c>
      <c r="B201" s="137">
        <v>16100</v>
      </c>
      <c r="C201" s="137">
        <v>5100</v>
      </c>
      <c r="D201" s="137">
        <v>9300</v>
      </c>
      <c r="E201" s="137">
        <v>1000</v>
      </c>
      <c r="F201" s="137">
        <v>600</v>
      </c>
    </row>
    <row r="202" spans="1:6" ht="14.25" customHeight="1">
      <c r="A202" s="132">
        <v>2011</v>
      </c>
      <c r="B202" s="137">
        <v>15900</v>
      </c>
      <c r="C202" s="137">
        <v>6000</v>
      </c>
      <c r="D202" s="137">
        <v>8100</v>
      </c>
      <c r="E202" s="137">
        <v>1000</v>
      </c>
      <c r="F202" s="137">
        <v>700</v>
      </c>
    </row>
    <row r="203" spans="1:6" ht="14.25" customHeight="1">
      <c r="A203" s="132">
        <v>2012</v>
      </c>
      <c r="B203" s="137">
        <v>16200</v>
      </c>
      <c r="C203" s="137">
        <v>6200</v>
      </c>
      <c r="D203" s="137">
        <v>8200</v>
      </c>
      <c r="E203" s="137">
        <v>1100</v>
      </c>
      <c r="F203" s="137">
        <v>700</v>
      </c>
    </row>
    <row r="204" spans="1:6" ht="14.25" customHeight="1">
      <c r="A204" s="132">
        <v>2013</v>
      </c>
      <c r="B204" s="137">
        <v>18100</v>
      </c>
      <c r="C204" s="137">
        <v>6500</v>
      </c>
      <c r="D204" s="137">
        <v>9600</v>
      </c>
      <c r="E204" s="137">
        <v>1300</v>
      </c>
      <c r="F204" s="137">
        <v>700</v>
      </c>
    </row>
    <row r="205" spans="1:6" ht="14.25" customHeight="1">
      <c r="A205" s="132">
        <v>2014</v>
      </c>
      <c r="B205" s="137">
        <v>18800</v>
      </c>
      <c r="C205" s="137">
        <v>6800</v>
      </c>
      <c r="D205" s="137">
        <v>9800</v>
      </c>
      <c r="E205" s="137">
        <v>1400</v>
      </c>
      <c r="F205" s="137">
        <v>800</v>
      </c>
    </row>
    <row r="206" spans="1:6" ht="14.25" customHeight="1">
      <c r="A206" s="132">
        <v>2015</v>
      </c>
      <c r="B206" s="137">
        <v>19600</v>
      </c>
      <c r="C206" s="137">
        <v>7200</v>
      </c>
      <c r="D206" s="137">
        <v>10200</v>
      </c>
      <c r="E206" s="137">
        <v>1400</v>
      </c>
      <c r="F206" s="137">
        <v>900</v>
      </c>
    </row>
    <row r="207" spans="1:6" ht="14.25" customHeight="1">
      <c r="A207" s="132">
        <v>2016</v>
      </c>
      <c r="B207" s="137">
        <v>19600</v>
      </c>
      <c r="C207" s="137">
        <v>7300</v>
      </c>
      <c r="D207" s="137">
        <v>10200</v>
      </c>
      <c r="E207" s="137">
        <v>1300</v>
      </c>
      <c r="F207" s="137">
        <v>800</v>
      </c>
    </row>
    <row r="209" spans="1:6" ht="14.25" customHeight="1">
      <c r="B209" s="774" t="s">
        <v>9</v>
      </c>
      <c r="C209" s="774"/>
      <c r="D209" s="774"/>
      <c r="E209" s="774"/>
      <c r="F209" s="774"/>
    </row>
    <row r="210" spans="1:6" ht="14.25" customHeight="1">
      <c r="A210" s="132">
        <v>1979</v>
      </c>
      <c r="B210" s="137">
        <v>39700</v>
      </c>
      <c r="C210" s="137">
        <v>23300</v>
      </c>
      <c r="D210" s="137">
        <v>8000</v>
      </c>
      <c r="E210" s="137">
        <v>7400</v>
      </c>
      <c r="F210" s="137">
        <v>1100</v>
      </c>
    </row>
    <row r="211" spans="1:6" ht="14.25" customHeight="1">
      <c r="A211" s="132">
        <v>1980</v>
      </c>
      <c r="B211" s="137">
        <v>38400</v>
      </c>
      <c r="C211" s="137">
        <v>23700</v>
      </c>
      <c r="D211" s="137">
        <v>8000</v>
      </c>
      <c r="E211" s="137">
        <v>5800</v>
      </c>
      <c r="F211" s="137">
        <v>900</v>
      </c>
    </row>
    <row r="212" spans="1:6" ht="14.25" customHeight="1">
      <c r="A212" s="132">
        <v>1981</v>
      </c>
      <c r="B212" s="137">
        <v>37900</v>
      </c>
      <c r="C212" s="137">
        <v>23800</v>
      </c>
      <c r="D212" s="137">
        <v>8700</v>
      </c>
      <c r="E212" s="137">
        <v>4600</v>
      </c>
      <c r="F212" s="137">
        <v>800</v>
      </c>
    </row>
    <row r="213" spans="1:6" ht="14.25" customHeight="1">
      <c r="A213" s="132">
        <v>1982</v>
      </c>
      <c r="B213" s="137">
        <v>34600</v>
      </c>
      <c r="C213" s="137">
        <v>22000</v>
      </c>
      <c r="D213" s="137">
        <v>9000</v>
      </c>
      <c r="E213" s="137">
        <v>2800</v>
      </c>
      <c r="F213" s="137">
        <v>800</v>
      </c>
    </row>
    <row r="214" spans="1:6" ht="14.25" customHeight="1">
      <c r="A214" s="132">
        <v>1983</v>
      </c>
      <c r="B214" s="137">
        <v>35000</v>
      </c>
      <c r="C214" s="137">
        <v>21000</v>
      </c>
      <c r="D214" s="137">
        <v>9300</v>
      </c>
      <c r="E214" s="137">
        <v>3700</v>
      </c>
      <c r="F214" s="137">
        <v>1000</v>
      </c>
    </row>
    <row r="215" spans="1:6" ht="14.25" customHeight="1">
      <c r="A215" s="132">
        <v>1984</v>
      </c>
      <c r="B215" s="137">
        <v>38200</v>
      </c>
      <c r="C215" s="137">
        <v>22400</v>
      </c>
      <c r="D215" s="137">
        <v>10200</v>
      </c>
      <c r="E215" s="137">
        <v>4400</v>
      </c>
      <c r="F215" s="137">
        <v>1100</v>
      </c>
    </row>
    <row r="216" spans="1:6" ht="14.25" customHeight="1">
      <c r="A216" s="132">
        <v>1985</v>
      </c>
      <c r="B216" s="137">
        <v>38500</v>
      </c>
      <c r="C216" s="137">
        <v>22800</v>
      </c>
      <c r="D216" s="137">
        <v>10500</v>
      </c>
      <c r="E216" s="137">
        <v>4200</v>
      </c>
      <c r="F216" s="137">
        <v>1100</v>
      </c>
    </row>
    <row r="217" spans="1:6" ht="14.25" customHeight="1">
      <c r="A217" s="132">
        <v>1986</v>
      </c>
      <c r="B217" s="137">
        <v>42900</v>
      </c>
      <c r="C217" s="137">
        <v>25800</v>
      </c>
      <c r="D217" s="137">
        <v>11200</v>
      </c>
      <c r="E217" s="137">
        <v>4700</v>
      </c>
      <c r="F217" s="137">
        <v>1100</v>
      </c>
    </row>
    <row r="218" spans="1:6" ht="14.25" customHeight="1">
      <c r="A218" s="132">
        <v>1987</v>
      </c>
      <c r="B218" s="137">
        <v>44100</v>
      </c>
      <c r="C218" s="137">
        <v>25700</v>
      </c>
      <c r="D218" s="137">
        <v>11600</v>
      </c>
      <c r="E218" s="137">
        <v>5600</v>
      </c>
      <c r="F218" s="137">
        <v>1100</v>
      </c>
    </row>
    <row r="219" spans="1:6" ht="14.25" customHeight="1">
      <c r="A219" s="132">
        <v>1988</v>
      </c>
      <c r="B219" s="137">
        <v>46800</v>
      </c>
      <c r="C219" s="137">
        <v>27500</v>
      </c>
      <c r="D219" s="137">
        <v>12200</v>
      </c>
      <c r="E219" s="137">
        <v>6000</v>
      </c>
      <c r="F219" s="137">
        <v>1100</v>
      </c>
    </row>
    <row r="220" spans="1:6" ht="14.25" customHeight="1">
      <c r="A220" s="132">
        <v>1989</v>
      </c>
      <c r="B220" s="137">
        <v>46000</v>
      </c>
      <c r="C220" s="137">
        <v>27000</v>
      </c>
      <c r="D220" s="137">
        <v>12200</v>
      </c>
      <c r="E220" s="137">
        <v>5800</v>
      </c>
      <c r="F220" s="137">
        <v>1100</v>
      </c>
    </row>
    <row r="221" spans="1:6" ht="14.25" customHeight="1">
      <c r="A221" s="132">
        <v>1990</v>
      </c>
      <c r="B221" s="137">
        <v>44800</v>
      </c>
      <c r="C221" s="137">
        <v>26000</v>
      </c>
      <c r="D221" s="137">
        <v>12400</v>
      </c>
      <c r="E221" s="137">
        <v>5300</v>
      </c>
      <c r="F221" s="137">
        <v>1100</v>
      </c>
    </row>
    <row r="222" spans="1:6" ht="14.25" customHeight="1">
      <c r="A222" s="132">
        <v>1991</v>
      </c>
      <c r="B222" s="137">
        <v>43700</v>
      </c>
      <c r="C222" s="137">
        <v>24900</v>
      </c>
      <c r="D222" s="137">
        <v>12900</v>
      </c>
      <c r="E222" s="137">
        <v>4700</v>
      </c>
      <c r="F222" s="137">
        <v>1100</v>
      </c>
    </row>
    <row r="223" spans="1:6" ht="14.25" customHeight="1">
      <c r="A223" s="132">
        <v>1992</v>
      </c>
      <c r="B223" s="137">
        <v>46000</v>
      </c>
      <c r="C223" s="137">
        <v>26300</v>
      </c>
      <c r="D223" s="137">
        <v>13000</v>
      </c>
      <c r="E223" s="137">
        <v>5400</v>
      </c>
      <c r="F223" s="137">
        <v>1200</v>
      </c>
    </row>
    <row r="224" spans="1:6" ht="14.25" customHeight="1">
      <c r="A224" s="132">
        <v>1993</v>
      </c>
      <c r="B224" s="137">
        <v>47900</v>
      </c>
      <c r="C224" s="137">
        <v>27100</v>
      </c>
      <c r="D224" s="137">
        <v>13300</v>
      </c>
      <c r="E224" s="137">
        <v>6400</v>
      </c>
      <c r="F224" s="137">
        <v>1300</v>
      </c>
    </row>
    <row r="225" spans="1:6" ht="14.25" customHeight="1">
      <c r="A225" s="132">
        <v>1994</v>
      </c>
      <c r="B225" s="137">
        <v>50200</v>
      </c>
      <c r="C225" s="137">
        <v>28000</v>
      </c>
      <c r="D225" s="137">
        <v>13900</v>
      </c>
      <c r="E225" s="137">
        <v>6900</v>
      </c>
      <c r="F225" s="137">
        <v>1300</v>
      </c>
    </row>
    <row r="226" spans="1:6" ht="14.25" customHeight="1">
      <c r="A226" s="132">
        <v>1995</v>
      </c>
      <c r="B226" s="137">
        <v>53400</v>
      </c>
      <c r="C226" s="137">
        <v>30300</v>
      </c>
      <c r="D226" s="137">
        <v>14100</v>
      </c>
      <c r="E226" s="137">
        <v>7700</v>
      </c>
      <c r="F226" s="137">
        <v>1300</v>
      </c>
    </row>
    <row r="227" spans="1:6" ht="14.25" customHeight="1">
      <c r="A227" s="132">
        <v>1996</v>
      </c>
      <c r="B227" s="137">
        <v>56900</v>
      </c>
      <c r="C227" s="137">
        <v>33200</v>
      </c>
      <c r="D227" s="137">
        <v>14200</v>
      </c>
      <c r="E227" s="137">
        <v>8300</v>
      </c>
      <c r="F227" s="137">
        <v>1200</v>
      </c>
    </row>
    <row r="228" spans="1:6" ht="14.25" customHeight="1">
      <c r="A228" s="132">
        <v>1997</v>
      </c>
      <c r="B228" s="137">
        <v>60400</v>
      </c>
      <c r="C228" s="137">
        <v>35900</v>
      </c>
      <c r="D228" s="137">
        <v>14600</v>
      </c>
      <c r="E228" s="137">
        <v>8600</v>
      </c>
      <c r="F228" s="137">
        <v>1300</v>
      </c>
    </row>
    <row r="229" spans="1:6" ht="14.25" customHeight="1">
      <c r="A229" s="132">
        <v>1998</v>
      </c>
      <c r="B229" s="137">
        <v>63700</v>
      </c>
      <c r="C229" s="137">
        <v>38700</v>
      </c>
      <c r="D229" s="137">
        <v>15400</v>
      </c>
      <c r="E229" s="137">
        <v>8300</v>
      </c>
      <c r="F229" s="137">
        <v>1300</v>
      </c>
    </row>
    <row r="230" spans="1:6" ht="14.25" customHeight="1">
      <c r="A230" s="132">
        <v>1999</v>
      </c>
      <c r="B230" s="137">
        <v>69000</v>
      </c>
      <c r="C230" s="137">
        <v>42800</v>
      </c>
      <c r="D230" s="137">
        <v>16100</v>
      </c>
      <c r="E230" s="137">
        <v>8600</v>
      </c>
      <c r="F230" s="137">
        <v>1500</v>
      </c>
    </row>
    <row r="231" spans="1:6" ht="14.25" customHeight="1">
      <c r="A231" s="132">
        <v>2000</v>
      </c>
      <c r="B231" s="137">
        <v>72300</v>
      </c>
      <c r="C231" s="137">
        <v>45900</v>
      </c>
      <c r="D231" s="137">
        <v>16500</v>
      </c>
      <c r="E231" s="137">
        <v>8500</v>
      </c>
      <c r="F231" s="137">
        <v>1400</v>
      </c>
    </row>
    <row r="232" spans="1:6" ht="14.25" customHeight="1">
      <c r="A232" s="132">
        <v>2001</v>
      </c>
      <c r="B232" s="137">
        <v>63200</v>
      </c>
      <c r="C232" s="137">
        <v>39100</v>
      </c>
      <c r="D232" s="137">
        <v>17000</v>
      </c>
      <c r="E232" s="137">
        <v>5800</v>
      </c>
      <c r="F232" s="137">
        <v>1300</v>
      </c>
    </row>
    <row r="233" spans="1:6" ht="14.25" customHeight="1">
      <c r="A233" s="132">
        <v>2002</v>
      </c>
      <c r="B233" s="137">
        <v>58400</v>
      </c>
      <c r="C233" s="137">
        <v>35300</v>
      </c>
      <c r="D233" s="137">
        <v>16700</v>
      </c>
      <c r="E233" s="137">
        <v>5200</v>
      </c>
      <c r="F233" s="137">
        <v>1200</v>
      </c>
    </row>
    <row r="234" spans="1:6" ht="14.25" customHeight="1">
      <c r="A234" s="132">
        <v>2003</v>
      </c>
      <c r="B234" s="137">
        <v>57900</v>
      </c>
      <c r="C234" s="137">
        <v>32300</v>
      </c>
      <c r="D234" s="137">
        <v>16900</v>
      </c>
      <c r="E234" s="137">
        <v>7400</v>
      </c>
      <c r="F234" s="137">
        <v>1200</v>
      </c>
    </row>
    <row r="235" spans="1:6" ht="14.25" customHeight="1">
      <c r="A235" s="132">
        <v>2004</v>
      </c>
      <c r="B235" s="137">
        <v>63700</v>
      </c>
      <c r="C235" s="137">
        <v>35700</v>
      </c>
      <c r="D235" s="137">
        <v>17100</v>
      </c>
      <c r="E235" s="137">
        <v>9600</v>
      </c>
      <c r="F235" s="137">
        <v>1300</v>
      </c>
    </row>
    <row r="236" spans="1:6" ht="14.25" customHeight="1">
      <c r="A236" s="132">
        <v>2005</v>
      </c>
      <c r="B236" s="137">
        <v>70300</v>
      </c>
      <c r="C236" s="137">
        <v>39200</v>
      </c>
      <c r="D236" s="137">
        <v>17000</v>
      </c>
      <c r="E236" s="137">
        <v>12800</v>
      </c>
      <c r="F236" s="137">
        <v>1300</v>
      </c>
    </row>
    <row r="237" spans="1:6" ht="14.25" customHeight="1">
      <c r="A237" s="132">
        <v>2006</v>
      </c>
      <c r="B237" s="137">
        <v>73400</v>
      </c>
      <c r="C237" s="137">
        <v>41000</v>
      </c>
      <c r="D237" s="137">
        <v>17100</v>
      </c>
      <c r="E237" s="137">
        <v>14000</v>
      </c>
      <c r="F237" s="137">
        <v>1200</v>
      </c>
    </row>
    <row r="238" spans="1:6" ht="14.25" customHeight="1">
      <c r="A238" s="132">
        <v>2007</v>
      </c>
      <c r="B238" s="137">
        <v>74000</v>
      </c>
      <c r="C238" s="137">
        <v>43300</v>
      </c>
      <c r="D238" s="137">
        <v>17500</v>
      </c>
      <c r="E238" s="137">
        <v>12200</v>
      </c>
      <c r="F238" s="137">
        <v>1100</v>
      </c>
    </row>
    <row r="239" spans="1:6" ht="14.25" customHeight="1">
      <c r="A239" s="132">
        <v>2008</v>
      </c>
      <c r="B239" s="137">
        <v>64200</v>
      </c>
      <c r="C239" s="137">
        <v>38100</v>
      </c>
      <c r="D239" s="137">
        <v>17800</v>
      </c>
      <c r="E239" s="137">
        <v>7200</v>
      </c>
      <c r="F239" s="137">
        <v>1100</v>
      </c>
    </row>
    <row r="240" spans="1:6" ht="14.25" customHeight="1">
      <c r="A240" s="132">
        <v>2009</v>
      </c>
      <c r="B240" s="137">
        <v>56900</v>
      </c>
      <c r="C240" s="137">
        <v>33000</v>
      </c>
      <c r="D240" s="137">
        <v>17700</v>
      </c>
      <c r="E240" s="137">
        <v>5400</v>
      </c>
      <c r="F240" s="137">
        <v>900</v>
      </c>
    </row>
    <row r="241" spans="1:6" ht="14.25" customHeight="1">
      <c r="A241" s="132">
        <v>2010</v>
      </c>
      <c r="B241" s="137">
        <v>61400</v>
      </c>
      <c r="C241" s="137">
        <v>35400</v>
      </c>
      <c r="D241" s="137">
        <v>17400</v>
      </c>
      <c r="E241" s="137">
        <v>7700</v>
      </c>
      <c r="F241" s="137">
        <v>1000</v>
      </c>
    </row>
    <row r="242" spans="1:6" ht="14.25" customHeight="1">
      <c r="A242" s="132">
        <v>2011</v>
      </c>
      <c r="B242" s="137">
        <v>60900</v>
      </c>
      <c r="C242" s="137">
        <v>36900</v>
      </c>
      <c r="D242" s="137">
        <v>15400</v>
      </c>
      <c r="E242" s="137">
        <v>7600</v>
      </c>
      <c r="F242" s="137">
        <v>1000</v>
      </c>
    </row>
    <row r="243" spans="1:6" ht="14.25" customHeight="1">
      <c r="A243" s="132">
        <v>2012</v>
      </c>
      <c r="B243" s="137">
        <v>67000</v>
      </c>
      <c r="C243" s="137">
        <v>41100</v>
      </c>
      <c r="D243" s="137">
        <v>15500</v>
      </c>
      <c r="E243" s="137">
        <v>9300</v>
      </c>
      <c r="F243" s="137">
        <v>1100</v>
      </c>
    </row>
    <row r="244" spans="1:6" ht="14.25" customHeight="1">
      <c r="A244" s="132">
        <v>2013</v>
      </c>
      <c r="B244" s="137">
        <v>70900</v>
      </c>
      <c r="C244" s="137">
        <v>41900</v>
      </c>
      <c r="D244" s="137">
        <v>18200</v>
      </c>
      <c r="E244" s="137">
        <v>9600</v>
      </c>
      <c r="F244" s="137">
        <v>1200</v>
      </c>
    </row>
    <row r="245" spans="1:6" ht="14.25" customHeight="1">
      <c r="A245" s="132">
        <v>2014</v>
      </c>
      <c r="B245" s="137">
        <v>76100</v>
      </c>
      <c r="C245" s="137">
        <v>45700</v>
      </c>
      <c r="D245" s="137">
        <v>18400</v>
      </c>
      <c r="E245" s="137">
        <v>10800</v>
      </c>
      <c r="F245" s="137">
        <v>1300</v>
      </c>
    </row>
    <row r="246" spans="1:6" ht="14.25" customHeight="1">
      <c r="A246" s="132">
        <v>2015</v>
      </c>
      <c r="B246" s="137">
        <v>78800</v>
      </c>
      <c r="C246" s="137">
        <v>47900</v>
      </c>
      <c r="D246" s="137">
        <v>19100</v>
      </c>
      <c r="E246" s="137">
        <v>10400</v>
      </c>
      <c r="F246" s="137">
        <v>1300</v>
      </c>
    </row>
    <row r="247" spans="1:6" ht="14.25" customHeight="1">
      <c r="A247" s="132">
        <v>2016</v>
      </c>
      <c r="B247" s="137">
        <v>77300</v>
      </c>
      <c r="C247" s="137">
        <v>46600</v>
      </c>
      <c r="D247" s="137">
        <v>19200</v>
      </c>
      <c r="E247" s="137">
        <v>10300</v>
      </c>
      <c r="F247" s="137">
        <v>1200</v>
      </c>
    </row>
    <row r="249" spans="1:6" ht="14.25" customHeight="1">
      <c r="B249" s="774" t="s">
        <v>10</v>
      </c>
      <c r="C249" s="774"/>
      <c r="D249" s="774"/>
      <c r="E249" s="774"/>
      <c r="F249" s="774"/>
    </row>
    <row r="250" spans="1:6" ht="14.25" customHeight="1">
      <c r="A250" s="132">
        <v>1979</v>
      </c>
      <c r="B250" s="137">
        <v>23700</v>
      </c>
      <c r="C250" s="137">
        <v>12300</v>
      </c>
      <c r="D250" s="137">
        <v>7900</v>
      </c>
      <c r="E250" s="137">
        <v>2700</v>
      </c>
      <c r="F250" s="137">
        <v>900</v>
      </c>
    </row>
    <row r="251" spans="1:6" ht="14.25" customHeight="1">
      <c r="A251" s="132">
        <v>1980</v>
      </c>
      <c r="B251" s="137">
        <v>23500</v>
      </c>
      <c r="C251" s="137">
        <v>12800</v>
      </c>
      <c r="D251" s="137">
        <v>7800</v>
      </c>
      <c r="E251" s="137">
        <v>2200</v>
      </c>
      <c r="F251" s="137">
        <v>700</v>
      </c>
    </row>
    <row r="252" spans="1:6" ht="14.25" customHeight="1">
      <c r="A252" s="132">
        <v>1981</v>
      </c>
      <c r="B252" s="137">
        <v>24000</v>
      </c>
      <c r="C252" s="137">
        <v>13300</v>
      </c>
      <c r="D252" s="137">
        <v>8400</v>
      </c>
      <c r="E252" s="137">
        <v>1700</v>
      </c>
      <c r="F252" s="137">
        <v>700</v>
      </c>
    </row>
    <row r="253" spans="1:6" ht="14.25" customHeight="1">
      <c r="A253" s="132">
        <v>1982</v>
      </c>
      <c r="B253" s="137">
        <v>22200</v>
      </c>
      <c r="C253" s="137">
        <v>12000</v>
      </c>
      <c r="D253" s="137">
        <v>8400</v>
      </c>
      <c r="E253" s="137">
        <v>1100</v>
      </c>
      <c r="F253" s="137">
        <v>700</v>
      </c>
    </row>
    <row r="254" spans="1:6" ht="14.25" customHeight="1">
      <c r="A254" s="132">
        <v>1983</v>
      </c>
      <c r="B254" s="137">
        <v>21800</v>
      </c>
      <c r="C254" s="137">
        <v>11000</v>
      </c>
      <c r="D254" s="137">
        <v>8700</v>
      </c>
      <c r="E254" s="137">
        <v>1400</v>
      </c>
      <c r="F254" s="137">
        <v>800</v>
      </c>
    </row>
    <row r="255" spans="1:6" ht="14.25" customHeight="1">
      <c r="A255" s="132">
        <v>1984</v>
      </c>
      <c r="B255" s="137">
        <v>23500</v>
      </c>
      <c r="C255" s="137">
        <v>11400</v>
      </c>
      <c r="D255" s="137">
        <v>9600</v>
      </c>
      <c r="E255" s="137">
        <v>1600</v>
      </c>
      <c r="F255" s="137">
        <v>900</v>
      </c>
    </row>
    <row r="256" spans="1:6" ht="14.25" customHeight="1">
      <c r="A256" s="132">
        <v>1985</v>
      </c>
      <c r="B256" s="137">
        <v>23400</v>
      </c>
      <c r="C256" s="137">
        <v>11300</v>
      </c>
      <c r="D256" s="137">
        <v>9700</v>
      </c>
      <c r="E256" s="137">
        <v>1500</v>
      </c>
      <c r="F256" s="137">
        <v>800</v>
      </c>
    </row>
    <row r="257" spans="1:6" ht="14.25" customHeight="1">
      <c r="A257" s="132">
        <v>1986</v>
      </c>
      <c r="B257" s="137">
        <v>24700</v>
      </c>
      <c r="C257" s="137">
        <v>11800</v>
      </c>
      <c r="D257" s="137">
        <v>10500</v>
      </c>
      <c r="E257" s="137">
        <v>1600</v>
      </c>
      <c r="F257" s="137">
        <v>900</v>
      </c>
    </row>
    <row r="258" spans="1:6" ht="14.25" customHeight="1">
      <c r="A258" s="132">
        <v>1987</v>
      </c>
      <c r="B258" s="137">
        <v>25300</v>
      </c>
      <c r="C258" s="137">
        <v>11800</v>
      </c>
      <c r="D258" s="137">
        <v>10600</v>
      </c>
      <c r="E258" s="137">
        <v>2000</v>
      </c>
      <c r="F258" s="137">
        <v>900</v>
      </c>
    </row>
    <row r="259" spans="1:6" ht="14.25" customHeight="1">
      <c r="A259" s="132">
        <v>1988</v>
      </c>
      <c r="B259" s="137">
        <v>25900</v>
      </c>
      <c r="C259" s="137">
        <v>11900</v>
      </c>
      <c r="D259" s="137">
        <v>11100</v>
      </c>
      <c r="E259" s="137">
        <v>2000</v>
      </c>
      <c r="F259" s="137">
        <v>900</v>
      </c>
    </row>
    <row r="260" spans="1:6" ht="14.25" customHeight="1">
      <c r="A260" s="132">
        <v>1989</v>
      </c>
      <c r="B260" s="137">
        <v>26300</v>
      </c>
      <c r="C260" s="137">
        <v>12300</v>
      </c>
      <c r="D260" s="137">
        <v>11100</v>
      </c>
      <c r="E260" s="137">
        <v>2000</v>
      </c>
      <c r="F260" s="137">
        <v>900</v>
      </c>
    </row>
    <row r="261" spans="1:6" ht="14.25" customHeight="1">
      <c r="A261" s="132">
        <v>1990</v>
      </c>
      <c r="B261" s="137">
        <v>26000</v>
      </c>
      <c r="C261" s="137">
        <v>12000</v>
      </c>
      <c r="D261" s="137">
        <v>11300</v>
      </c>
      <c r="E261" s="137">
        <v>1900</v>
      </c>
      <c r="F261" s="137">
        <v>900</v>
      </c>
    </row>
    <row r="262" spans="1:6" ht="14.25" customHeight="1">
      <c r="A262" s="132">
        <v>1991</v>
      </c>
      <c r="B262" s="137">
        <v>25400</v>
      </c>
      <c r="C262" s="137">
        <v>11600</v>
      </c>
      <c r="D262" s="137">
        <v>11100</v>
      </c>
      <c r="E262" s="137">
        <v>1700</v>
      </c>
      <c r="F262" s="137">
        <v>900</v>
      </c>
    </row>
    <row r="263" spans="1:6" ht="14.25" customHeight="1">
      <c r="A263" s="132">
        <v>1992</v>
      </c>
      <c r="B263" s="137">
        <v>25500</v>
      </c>
      <c r="C263" s="137">
        <v>11500</v>
      </c>
      <c r="D263" s="137">
        <v>11300</v>
      </c>
      <c r="E263" s="137">
        <v>1800</v>
      </c>
      <c r="F263" s="137">
        <v>1000</v>
      </c>
    </row>
    <row r="264" spans="1:6" ht="14.25" customHeight="1">
      <c r="A264" s="132">
        <v>1993</v>
      </c>
      <c r="B264" s="137">
        <v>25800</v>
      </c>
      <c r="C264" s="137">
        <v>11400</v>
      </c>
      <c r="D264" s="137">
        <v>11400</v>
      </c>
      <c r="E264" s="137">
        <v>2100</v>
      </c>
      <c r="F264" s="137">
        <v>1000</v>
      </c>
    </row>
    <row r="265" spans="1:6" ht="14.25" customHeight="1">
      <c r="A265" s="132">
        <v>1994</v>
      </c>
      <c r="B265" s="137">
        <v>26900</v>
      </c>
      <c r="C265" s="137">
        <v>11900</v>
      </c>
      <c r="D265" s="137">
        <v>11700</v>
      </c>
      <c r="E265" s="137">
        <v>2200</v>
      </c>
      <c r="F265" s="137">
        <v>1100</v>
      </c>
    </row>
    <row r="266" spans="1:6" ht="14.25" customHeight="1">
      <c r="A266" s="132">
        <v>1995</v>
      </c>
      <c r="B266" s="137">
        <v>27900</v>
      </c>
      <c r="C266" s="137">
        <v>12400</v>
      </c>
      <c r="D266" s="137">
        <v>11800</v>
      </c>
      <c r="E266" s="137">
        <v>2500</v>
      </c>
      <c r="F266" s="137">
        <v>1100</v>
      </c>
    </row>
    <row r="267" spans="1:6" ht="14.25" customHeight="1">
      <c r="A267" s="132">
        <v>1996</v>
      </c>
      <c r="B267" s="137">
        <v>28300</v>
      </c>
      <c r="C267" s="137">
        <v>12700</v>
      </c>
      <c r="D267" s="137">
        <v>12000</v>
      </c>
      <c r="E267" s="137">
        <v>2600</v>
      </c>
      <c r="F267" s="137">
        <v>1000</v>
      </c>
    </row>
    <row r="268" spans="1:6" ht="14.25" customHeight="1">
      <c r="A268" s="132">
        <v>1997</v>
      </c>
      <c r="B268" s="137">
        <v>29300</v>
      </c>
      <c r="C268" s="137">
        <v>13300</v>
      </c>
      <c r="D268" s="137">
        <v>12300</v>
      </c>
      <c r="E268" s="137">
        <v>2600</v>
      </c>
      <c r="F268" s="137">
        <v>1000</v>
      </c>
    </row>
    <row r="269" spans="1:6" ht="14.25" customHeight="1">
      <c r="A269" s="132">
        <v>1998</v>
      </c>
      <c r="B269" s="137">
        <v>30500</v>
      </c>
      <c r="C269" s="137">
        <v>14100</v>
      </c>
      <c r="D269" s="137">
        <v>13000</v>
      </c>
      <c r="E269" s="137">
        <v>2400</v>
      </c>
      <c r="F269" s="137">
        <v>1100</v>
      </c>
    </row>
    <row r="270" spans="1:6" ht="14.25" customHeight="1">
      <c r="A270" s="132">
        <v>1999</v>
      </c>
      <c r="B270" s="137">
        <v>32100</v>
      </c>
      <c r="C270" s="137">
        <v>14900</v>
      </c>
      <c r="D270" s="137">
        <v>13500</v>
      </c>
      <c r="E270" s="137">
        <v>2500</v>
      </c>
      <c r="F270" s="137">
        <v>1200</v>
      </c>
    </row>
    <row r="271" spans="1:6" ht="14.25" customHeight="1">
      <c r="A271" s="132">
        <v>2000</v>
      </c>
      <c r="B271" s="137">
        <v>32700</v>
      </c>
      <c r="C271" s="137">
        <v>15600</v>
      </c>
      <c r="D271" s="137">
        <v>13600</v>
      </c>
      <c r="E271" s="137">
        <v>2400</v>
      </c>
      <c r="F271" s="137">
        <v>1100</v>
      </c>
    </row>
    <row r="272" spans="1:6" ht="14.25" customHeight="1">
      <c r="A272" s="132">
        <v>2001</v>
      </c>
      <c r="B272" s="137">
        <v>30800</v>
      </c>
      <c r="C272" s="137">
        <v>14100</v>
      </c>
      <c r="D272" s="137">
        <v>14100</v>
      </c>
      <c r="E272" s="137">
        <v>1600</v>
      </c>
      <c r="F272" s="137">
        <v>1000</v>
      </c>
    </row>
    <row r="273" spans="1:6" ht="14.25" customHeight="1">
      <c r="A273" s="132">
        <v>2002</v>
      </c>
      <c r="B273" s="137">
        <v>29300</v>
      </c>
      <c r="C273" s="137">
        <v>13200</v>
      </c>
      <c r="D273" s="137">
        <v>13700</v>
      </c>
      <c r="E273" s="137">
        <v>1500</v>
      </c>
      <c r="F273" s="137">
        <v>1000</v>
      </c>
    </row>
    <row r="274" spans="1:6" ht="14.25" customHeight="1">
      <c r="A274" s="132">
        <v>2003</v>
      </c>
      <c r="B274" s="137">
        <v>28300</v>
      </c>
      <c r="C274" s="137">
        <v>11700</v>
      </c>
      <c r="D274" s="137">
        <v>13800</v>
      </c>
      <c r="E274" s="137">
        <v>1900</v>
      </c>
      <c r="F274" s="137">
        <v>1000</v>
      </c>
    </row>
    <row r="275" spans="1:6" ht="14.25" customHeight="1">
      <c r="A275" s="132">
        <v>2004</v>
      </c>
      <c r="B275" s="137">
        <v>29500</v>
      </c>
      <c r="C275" s="137">
        <v>12200</v>
      </c>
      <c r="D275" s="137">
        <v>14000</v>
      </c>
      <c r="E275" s="137">
        <v>2300</v>
      </c>
      <c r="F275" s="137">
        <v>1000</v>
      </c>
    </row>
    <row r="276" spans="1:6" ht="14.25" customHeight="1">
      <c r="A276" s="132">
        <v>2005</v>
      </c>
      <c r="B276" s="137">
        <v>30300</v>
      </c>
      <c r="C276" s="137">
        <v>12400</v>
      </c>
      <c r="D276" s="137">
        <v>14000</v>
      </c>
      <c r="E276" s="137">
        <v>3000</v>
      </c>
      <c r="F276" s="137">
        <v>1000</v>
      </c>
    </row>
    <row r="277" spans="1:6" ht="14.25" customHeight="1">
      <c r="A277" s="132">
        <v>2006</v>
      </c>
      <c r="B277" s="137">
        <v>31300</v>
      </c>
      <c r="C277" s="137">
        <v>12900</v>
      </c>
      <c r="D277" s="137">
        <v>14100</v>
      </c>
      <c r="E277" s="137">
        <v>3400</v>
      </c>
      <c r="F277" s="137">
        <v>900</v>
      </c>
    </row>
    <row r="278" spans="1:6" ht="14.25" customHeight="1">
      <c r="A278" s="132">
        <v>2007</v>
      </c>
      <c r="B278" s="137">
        <v>31500</v>
      </c>
      <c r="C278" s="137">
        <v>13400</v>
      </c>
      <c r="D278" s="137">
        <v>14400</v>
      </c>
      <c r="E278" s="137">
        <v>2900</v>
      </c>
      <c r="F278" s="137">
        <v>800</v>
      </c>
    </row>
    <row r="279" spans="1:6" ht="14.25" customHeight="1">
      <c r="A279" s="132">
        <v>2008</v>
      </c>
      <c r="B279" s="137">
        <v>28600</v>
      </c>
      <c r="C279" s="137">
        <v>11700</v>
      </c>
      <c r="D279" s="137">
        <v>14400</v>
      </c>
      <c r="E279" s="137">
        <v>1700</v>
      </c>
      <c r="F279" s="137">
        <v>800</v>
      </c>
    </row>
    <row r="280" spans="1:6" ht="14.25" customHeight="1">
      <c r="A280" s="132">
        <v>2009</v>
      </c>
      <c r="B280" s="137">
        <v>27200</v>
      </c>
      <c r="C280" s="137">
        <v>11100</v>
      </c>
      <c r="D280" s="137">
        <v>14000</v>
      </c>
      <c r="E280" s="137">
        <v>1300</v>
      </c>
      <c r="F280" s="137">
        <v>700</v>
      </c>
    </row>
    <row r="281" spans="1:6" ht="14.25" customHeight="1">
      <c r="A281" s="132">
        <v>2010</v>
      </c>
      <c r="B281" s="137">
        <v>28000</v>
      </c>
      <c r="C281" s="137">
        <v>11700</v>
      </c>
      <c r="D281" s="137">
        <v>13800</v>
      </c>
      <c r="E281" s="137">
        <v>1700</v>
      </c>
      <c r="F281" s="137">
        <v>700</v>
      </c>
    </row>
    <row r="282" spans="1:6" ht="14.25" customHeight="1">
      <c r="A282" s="132">
        <v>2011</v>
      </c>
      <c r="B282" s="137">
        <v>27500</v>
      </c>
      <c r="C282" s="137">
        <v>13000</v>
      </c>
      <c r="D282" s="137">
        <v>12000</v>
      </c>
      <c r="E282" s="137">
        <v>1700</v>
      </c>
      <c r="F282" s="137">
        <v>800</v>
      </c>
    </row>
    <row r="283" spans="1:6" ht="14.25" customHeight="1">
      <c r="A283" s="132">
        <v>2012</v>
      </c>
      <c r="B283" s="137">
        <v>28200</v>
      </c>
      <c r="C283" s="137">
        <v>13300</v>
      </c>
      <c r="D283" s="137">
        <v>12200</v>
      </c>
      <c r="E283" s="137">
        <v>1900</v>
      </c>
      <c r="F283" s="137">
        <v>800</v>
      </c>
    </row>
    <row r="284" spans="1:6" ht="14.25" customHeight="1">
      <c r="A284" s="132">
        <v>2013</v>
      </c>
      <c r="B284" s="137">
        <v>31200</v>
      </c>
      <c r="C284" s="137">
        <v>13800</v>
      </c>
      <c r="D284" s="137">
        <v>14100</v>
      </c>
      <c r="E284" s="137">
        <v>2400</v>
      </c>
      <c r="F284" s="137">
        <v>900</v>
      </c>
    </row>
    <row r="285" spans="1:6" ht="14.25" customHeight="1">
      <c r="A285" s="132">
        <v>2014</v>
      </c>
      <c r="B285" s="137">
        <v>32400</v>
      </c>
      <c r="C285" s="137">
        <v>14400</v>
      </c>
      <c r="D285" s="137">
        <v>14500</v>
      </c>
      <c r="E285" s="137">
        <v>2600</v>
      </c>
      <c r="F285" s="137">
        <v>1000</v>
      </c>
    </row>
    <row r="286" spans="1:6" ht="14.25" customHeight="1">
      <c r="A286" s="132">
        <v>2015</v>
      </c>
      <c r="B286" s="137">
        <v>33800</v>
      </c>
      <c r="C286" s="137">
        <v>15400</v>
      </c>
      <c r="D286" s="137">
        <v>14900</v>
      </c>
      <c r="E286" s="137">
        <v>2400</v>
      </c>
      <c r="F286" s="137">
        <v>1000</v>
      </c>
    </row>
    <row r="287" spans="1:6" ht="14.25" customHeight="1">
      <c r="A287" s="132">
        <v>2016</v>
      </c>
      <c r="B287" s="137">
        <v>33800</v>
      </c>
      <c r="C287" s="137">
        <v>15500</v>
      </c>
      <c r="D287" s="137">
        <v>14900</v>
      </c>
      <c r="E287" s="137">
        <v>2400</v>
      </c>
      <c r="F287" s="137">
        <v>1000</v>
      </c>
    </row>
    <row r="289" spans="1:6" ht="14.25" customHeight="1">
      <c r="B289" s="774" t="s">
        <v>11</v>
      </c>
      <c r="C289" s="774"/>
      <c r="D289" s="774"/>
      <c r="E289" s="774"/>
      <c r="F289" s="774"/>
    </row>
    <row r="290" spans="1:6" ht="14.25" customHeight="1">
      <c r="A290" s="132">
        <v>1979</v>
      </c>
      <c r="B290" s="137">
        <v>31300</v>
      </c>
      <c r="C290" s="137">
        <v>17600</v>
      </c>
      <c r="D290" s="137">
        <v>8800</v>
      </c>
      <c r="E290" s="137">
        <v>3900</v>
      </c>
      <c r="F290" s="137">
        <v>1000</v>
      </c>
    </row>
    <row r="291" spans="1:6" ht="14.25" customHeight="1">
      <c r="A291" s="132">
        <v>1980</v>
      </c>
      <c r="B291" s="137">
        <v>31100</v>
      </c>
      <c r="C291" s="137">
        <v>18300</v>
      </c>
      <c r="D291" s="137">
        <v>8600</v>
      </c>
      <c r="E291" s="137">
        <v>3400</v>
      </c>
      <c r="F291" s="137">
        <v>800</v>
      </c>
    </row>
    <row r="292" spans="1:6" ht="14.25" customHeight="1">
      <c r="A292" s="132">
        <v>1981</v>
      </c>
      <c r="B292" s="137">
        <v>31500</v>
      </c>
      <c r="C292" s="137">
        <v>18800</v>
      </c>
      <c r="D292" s="137">
        <v>9400</v>
      </c>
      <c r="E292" s="137">
        <v>2600</v>
      </c>
      <c r="F292" s="137">
        <v>800</v>
      </c>
    </row>
    <row r="293" spans="1:6" ht="14.25" customHeight="1">
      <c r="A293" s="132">
        <v>1982</v>
      </c>
      <c r="B293" s="137">
        <v>28700</v>
      </c>
      <c r="C293" s="137">
        <v>16800</v>
      </c>
      <c r="D293" s="137">
        <v>9800</v>
      </c>
      <c r="E293" s="137">
        <v>1500</v>
      </c>
      <c r="F293" s="137">
        <v>800</v>
      </c>
    </row>
    <row r="294" spans="1:6" ht="14.25" customHeight="1">
      <c r="A294" s="132">
        <v>1983</v>
      </c>
      <c r="B294" s="137">
        <v>28400</v>
      </c>
      <c r="C294" s="137">
        <v>15600</v>
      </c>
      <c r="D294" s="137">
        <v>9900</v>
      </c>
      <c r="E294" s="137">
        <v>2000</v>
      </c>
      <c r="F294" s="137">
        <v>900</v>
      </c>
    </row>
    <row r="295" spans="1:6" ht="14.25" customHeight="1">
      <c r="A295" s="132">
        <v>1984</v>
      </c>
      <c r="B295" s="137">
        <v>30800</v>
      </c>
      <c r="C295" s="137">
        <v>16400</v>
      </c>
      <c r="D295" s="137">
        <v>10900</v>
      </c>
      <c r="E295" s="137">
        <v>2400</v>
      </c>
      <c r="F295" s="137">
        <v>1000</v>
      </c>
    </row>
    <row r="296" spans="1:6" ht="14.25" customHeight="1">
      <c r="A296" s="132">
        <v>1985</v>
      </c>
      <c r="B296" s="137">
        <v>31000</v>
      </c>
      <c r="C296" s="137">
        <v>16500</v>
      </c>
      <c r="D296" s="137">
        <v>11200</v>
      </c>
      <c r="E296" s="137">
        <v>2200</v>
      </c>
      <c r="F296" s="137">
        <v>1000</v>
      </c>
    </row>
    <row r="297" spans="1:6" ht="14.25" customHeight="1">
      <c r="A297" s="132">
        <v>1986</v>
      </c>
      <c r="B297" s="137">
        <v>32700</v>
      </c>
      <c r="C297" s="137">
        <v>17400</v>
      </c>
      <c r="D297" s="137">
        <v>12000</v>
      </c>
      <c r="E297" s="137">
        <v>2300</v>
      </c>
      <c r="F297" s="137">
        <v>1000</v>
      </c>
    </row>
    <row r="298" spans="1:6" ht="14.25" customHeight="1">
      <c r="A298" s="132">
        <v>1987</v>
      </c>
      <c r="B298" s="137">
        <v>34900</v>
      </c>
      <c r="C298" s="137">
        <v>18300</v>
      </c>
      <c r="D298" s="137">
        <v>12400</v>
      </c>
      <c r="E298" s="137">
        <v>3100</v>
      </c>
      <c r="F298" s="137">
        <v>1100</v>
      </c>
    </row>
    <row r="299" spans="1:6" ht="14.25" customHeight="1">
      <c r="A299" s="132">
        <v>1988</v>
      </c>
      <c r="B299" s="137">
        <v>35300</v>
      </c>
      <c r="C299" s="137">
        <v>18200</v>
      </c>
      <c r="D299" s="137">
        <v>13100</v>
      </c>
      <c r="E299" s="137">
        <v>3000</v>
      </c>
      <c r="F299" s="137">
        <v>1100</v>
      </c>
    </row>
    <row r="300" spans="1:6" ht="14.25" customHeight="1">
      <c r="A300" s="132">
        <v>1989</v>
      </c>
      <c r="B300" s="137">
        <v>35700</v>
      </c>
      <c r="C300" s="137">
        <v>18600</v>
      </c>
      <c r="D300" s="137">
        <v>13000</v>
      </c>
      <c r="E300" s="137">
        <v>3100</v>
      </c>
      <c r="F300" s="137">
        <v>1000</v>
      </c>
    </row>
    <row r="301" spans="1:6" ht="14.25" customHeight="1">
      <c r="A301" s="132">
        <v>1990</v>
      </c>
      <c r="B301" s="137">
        <v>34700</v>
      </c>
      <c r="C301" s="137">
        <v>17800</v>
      </c>
      <c r="D301" s="137">
        <v>13100</v>
      </c>
      <c r="E301" s="137">
        <v>2900</v>
      </c>
      <c r="F301" s="137">
        <v>1000</v>
      </c>
    </row>
    <row r="302" spans="1:6" ht="14.25" customHeight="1">
      <c r="A302" s="132">
        <v>1991</v>
      </c>
      <c r="B302" s="137">
        <v>34700</v>
      </c>
      <c r="C302" s="137">
        <v>17500</v>
      </c>
      <c r="D302" s="137">
        <v>13500</v>
      </c>
      <c r="E302" s="137">
        <v>2600</v>
      </c>
      <c r="F302" s="137">
        <v>1100</v>
      </c>
    </row>
    <row r="303" spans="1:6" ht="14.25" customHeight="1">
      <c r="A303" s="132">
        <v>1992</v>
      </c>
      <c r="B303" s="137">
        <v>35200</v>
      </c>
      <c r="C303" s="137">
        <v>17600</v>
      </c>
      <c r="D303" s="137">
        <v>13600</v>
      </c>
      <c r="E303" s="137">
        <v>2900</v>
      </c>
      <c r="F303" s="137">
        <v>1100</v>
      </c>
    </row>
    <row r="304" spans="1:6" ht="14.25" customHeight="1">
      <c r="A304" s="132">
        <v>1993</v>
      </c>
      <c r="B304" s="137">
        <v>35800</v>
      </c>
      <c r="C304" s="137">
        <v>17500</v>
      </c>
      <c r="D304" s="137">
        <v>13700</v>
      </c>
      <c r="E304" s="137">
        <v>3400</v>
      </c>
      <c r="F304" s="137">
        <v>1200</v>
      </c>
    </row>
    <row r="305" spans="1:6" ht="14.25" customHeight="1">
      <c r="A305" s="132">
        <v>1994</v>
      </c>
      <c r="B305" s="137">
        <v>37100</v>
      </c>
      <c r="C305" s="137">
        <v>18300</v>
      </c>
      <c r="D305" s="137">
        <v>14200</v>
      </c>
      <c r="E305" s="137">
        <v>3500</v>
      </c>
      <c r="F305" s="137">
        <v>1300</v>
      </c>
    </row>
    <row r="306" spans="1:6" ht="14.25" customHeight="1">
      <c r="A306" s="132">
        <v>1995</v>
      </c>
      <c r="B306" s="137">
        <v>38700</v>
      </c>
      <c r="C306" s="137">
        <v>19000</v>
      </c>
      <c r="D306" s="137">
        <v>14500</v>
      </c>
      <c r="E306" s="137">
        <v>3900</v>
      </c>
      <c r="F306" s="137">
        <v>1200</v>
      </c>
    </row>
    <row r="307" spans="1:6" ht="14.25" customHeight="1">
      <c r="A307" s="132">
        <v>1996</v>
      </c>
      <c r="B307" s="137">
        <v>40100</v>
      </c>
      <c r="C307" s="137">
        <v>20200</v>
      </c>
      <c r="D307" s="137">
        <v>14600</v>
      </c>
      <c r="E307" s="137">
        <v>4200</v>
      </c>
      <c r="F307" s="137">
        <v>1100</v>
      </c>
    </row>
    <row r="308" spans="1:6" ht="14.25" customHeight="1">
      <c r="A308" s="132">
        <v>1997</v>
      </c>
      <c r="B308" s="137">
        <v>41800</v>
      </c>
      <c r="C308" s="137">
        <v>21500</v>
      </c>
      <c r="D308" s="137">
        <v>14900</v>
      </c>
      <c r="E308" s="137">
        <v>4300</v>
      </c>
      <c r="F308" s="137">
        <v>1200</v>
      </c>
    </row>
    <row r="309" spans="1:6" ht="14.25" customHeight="1">
      <c r="A309" s="132">
        <v>1998</v>
      </c>
      <c r="B309" s="137">
        <v>43500</v>
      </c>
      <c r="C309" s="137">
        <v>22700</v>
      </c>
      <c r="D309" s="137">
        <v>15500</v>
      </c>
      <c r="E309" s="137">
        <v>4000</v>
      </c>
      <c r="F309" s="137">
        <v>1200</v>
      </c>
    </row>
    <row r="310" spans="1:6" ht="14.25" customHeight="1">
      <c r="A310" s="132">
        <v>1999</v>
      </c>
      <c r="B310" s="137">
        <v>45900</v>
      </c>
      <c r="C310" s="137">
        <v>24400</v>
      </c>
      <c r="D310" s="137">
        <v>16100</v>
      </c>
      <c r="E310" s="137">
        <v>4100</v>
      </c>
      <c r="F310" s="137">
        <v>1400</v>
      </c>
    </row>
    <row r="311" spans="1:6" ht="14.25" customHeight="1">
      <c r="A311" s="132">
        <v>2000</v>
      </c>
      <c r="B311" s="137">
        <v>47300</v>
      </c>
      <c r="C311" s="137">
        <v>25500</v>
      </c>
      <c r="D311" s="137">
        <v>16600</v>
      </c>
      <c r="E311" s="137">
        <v>3900</v>
      </c>
      <c r="F311" s="137">
        <v>1300</v>
      </c>
    </row>
    <row r="312" spans="1:6" ht="14.25" customHeight="1">
      <c r="A312" s="132">
        <v>2001</v>
      </c>
      <c r="B312" s="137">
        <v>44200</v>
      </c>
      <c r="C312" s="137">
        <v>23200</v>
      </c>
      <c r="D312" s="137">
        <v>17300</v>
      </c>
      <c r="E312" s="137">
        <v>2600</v>
      </c>
      <c r="F312" s="137">
        <v>1200</v>
      </c>
    </row>
    <row r="313" spans="1:6" ht="14.25" customHeight="1">
      <c r="A313" s="132">
        <v>2002</v>
      </c>
      <c r="B313" s="137">
        <v>42200</v>
      </c>
      <c r="C313" s="137">
        <v>21800</v>
      </c>
      <c r="D313" s="137">
        <v>17000</v>
      </c>
      <c r="E313" s="137">
        <v>2300</v>
      </c>
      <c r="F313" s="137">
        <v>1100</v>
      </c>
    </row>
    <row r="314" spans="1:6" ht="14.25" customHeight="1">
      <c r="A314" s="132">
        <v>2003</v>
      </c>
      <c r="B314" s="137">
        <v>41100</v>
      </c>
      <c r="C314" s="137">
        <v>19700</v>
      </c>
      <c r="D314" s="137">
        <v>17400</v>
      </c>
      <c r="E314" s="137">
        <v>3000</v>
      </c>
      <c r="F314" s="137">
        <v>1100</v>
      </c>
    </row>
    <row r="315" spans="1:6" ht="14.25" customHeight="1">
      <c r="A315" s="132">
        <v>2004</v>
      </c>
      <c r="B315" s="137">
        <v>42800</v>
      </c>
      <c r="C315" s="137">
        <v>20400</v>
      </c>
      <c r="D315" s="137">
        <v>17500</v>
      </c>
      <c r="E315" s="137">
        <v>3800</v>
      </c>
      <c r="F315" s="137">
        <v>1200</v>
      </c>
    </row>
    <row r="316" spans="1:6" ht="14.25" customHeight="1">
      <c r="A316" s="132">
        <v>2005</v>
      </c>
      <c r="B316" s="137">
        <v>44700</v>
      </c>
      <c r="C316" s="137">
        <v>21200</v>
      </c>
      <c r="D316" s="137">
        <v>17400</v>
      </c>
      <c r="E316" s="137">
        <v>5100</v>
      </c>
      <c r="F316" s="137">
        <v>1100</v>
      </c>
    </row>
    <row r="317" spans="1:6" ht="14.25" customHeight="1">
      <c r="A317" s="132">
        <v>2006</v>
      </c>
      <c r="B317" s="137">
        <v>46200</v>
      </c>
      <c r="C317" s="137">
        <v>22100</v>
      </c>
      <c r="D317" s="137">
        <v>17400</v>
      </c>
      <c r="E317" s="137">
        <v>5600</v>
      </c>
      <c r="F317" s="137">
        <v>1000</v>
      </c>
    </row>
    <row r="318" spans="1:6" ht="14.25" customHeight="1">
      <c r="A318" s="132">
        <v>2007</v>
      </c>
      <c r="B318" s="137">
        <v>46600</v>
      </c>
      <c r="C318" s="137">
        <v>23000</v>
      </c>
      <c r="D318" s="137">
        <v>17700</v>
      </c>
      <c r="E318" s="137">
        <v>4900</v>
      </c>
      <c r="F318" s="137">
        <v>1000</v>
      </c>
    </row>
    <row r="319" spans="1:6" ht="14.25" customHeight="1">
      <c r="A319" s="132">
        <v>2008</v>
      </c>
      <c r="B319" s="137">
        <v>43300</v>
      </c>
      <c r="C319" s="137">
        <v>21400</v>
      </c>
      <c r="D319" s="137">
        <v>18200</v>
      </c>
      <c r="E319" s="137">
        <v>2800</v>
      </c>
      <c r="F319" s="137">
        <v>900</v>
      </c>
    </row>
    <row r="320" spans="1:6" ht="14.25" customHeight="1">
      <c r="A320" s="132">
        <v>2009</v>
      </c>
      <c r="B320" s="137">
        <v>40900</v>
      </c>
      <c r="C320" s="137">
        <v>19900</v>
      </c>
      <c r="D320" s="137">
        <v>18000</v>
      </c>
      <c r="E320" s="137">
        <v>2100</v>
      </c>
      <c r="F320" s="137">
        <v>900</v>
      </c>
    </row>
    <row r="321" spans="1:6" ht="14.25" customHeight="1">
      <c r="A321" s="132">
        <v>2010</v>
      </c>
      <c r="B321" s="137">
        <v>42000</v>
      </c>
      <c r="C321" s="137">
        <v>20800</v>
      </c>
      <c r="D321" s="137">
        <v>17600</v>
      </c>
      <c r="E321" s="137">
        <v>2800</v>
      </c>
      <c r="F321" s="137">
        <v>900</v>
      </c>
    </row>
    <row r="322" spans="1:6" ht="14.25" customHeight="1">
      <c r="A322" s="132">
        <v>2011</v>
      </c>
      <c r="B322" s="137">
        <v>41700</v>
      </c>
      <c r="C322" s="137">
        <v>22300</v>
      </c>
      <c r="D322" s="137">
        <v>15600</v>
      </c>
      <c r="E322" s="137">
        <v>2900</v>
      </c>
      <c r="F322" s="137">
        <v>900</v>
      </c>
    </row>
    <row r="323" spans="1:6" ht="14.25" customHeight="1">
      <c r="A323" s="132">
        <v>2012</v>
      </c>
      <c r="B323" s="137">
        <v>43100</v>
      </c>
      <c r="C323" s="137">
        <v>23200</v>
      </c>
      <c r="D323" s="137">
        <v>15700</v>
      </c>
      <c r="E323" s="137">
        <v>3200</v>
      </c>
      <c r="F323" s="137">
        <v>1000</v>
      </c>
    </row>
    <row r="324" spans="1:6" ht="14.25" customHeight="1">
      <c r="A324" s="132">
        <v>2013</v>
      </c>
      <c r="B324" s="137">
        <v>47600</v>
      </c>
      <c r="C324" s="137">
        <v>23900</v>
      </c>
      <c r="D324" s="137">
        <v>18600</v>
      </c>
      <c r="E324" s="137">
        <v>4000</v>
      </c>
      <c r="F324" s="137">
        <v>1000</v>
      </c>
    </row>
    <row r="325" spans="1:6" ht="14.25" customHeight="1">
      <c r="A325" s="132">
        <v>2014</v>
      </c>
      <c r="B325" s="137">
        <v>49000</v>
      </c>
      <c r="C325" s="137">
        <v>24900</v>
      </c>
      <c r="D325" s="137">
        <v>18500</v>
      </c>
      <c r="E325" s="137">
        <v>4300</v>
      </c>
      <c r="F325" s="137">
        <v>1200</v>
      </c>
    </row>
    <row r="326" spans="1:6" ht="14.25" customHeight="1">
      <c r="A326" s="132">
        <v>2015</v>
      </c>
      <c r="B326" s="137">
        <v>51200</v>
      </c>
      <c r="C326" s="137">
        <v>26400</v>
      </c>
      <c r="D326" s="137">
        <v>19400</v>
      </c>
      <c r="E326" s="137">
        <v>4100</v>
      </c>
      <c r="F326" s="137">
        <v>1200</v>
      </c>
    </row>
    <row r="327" spans="1:6" ht="14.25" customHeight="1">
      <c r="A327" s="132">
        <v>2016</v>
      </c>
      <c r="B327" s="137">
        <v>51600</v>
      </c>
      <c r="C327" s="137">
        <v>26800</v>
      </c>
      <c r="D327" s="137">
        <v>19500</v>
      </c>
      <c r="E327" s="137">
        <v>4100</v>
      </c>
      <c r="F327" s="137">
        <v>1200</v>
      </c>
    </row>
    <row r="329" spans="1:6" ht="14.25" customHeight="1">
      <c r="B329" s="774" t="s">
        <v>12</v>
      </c>
      <c r="C329" s="774"/>
      <c r="D329" s="774"/>
      <c r="E329" s="774"/>
      <c r="F329" s="774"/>
    </row>
    <row r="330" spans="1:6" ht="14.25" customHeight="1">
      <c r="A330" s="132">
        <v>1979</v>
      </c>
      <c r="B330" s="137">
        <v>48800</v>
      </c>
      <c r="C330" s="137">
        <v>30300</v>
      </c>
      <c r="D330" s="137">
        <v>7900</v>
      </c>
      <c r="E330" s="137">
        <v>9300</v>
      </c>
      <c r="F330" s="137">
        <v>1300</v>
      </c>
    </row>
    <row r="331" spans="1:6" ht="14.25" customHeight="1">
      <c r="A331" s="132">
        <v>1980</v>
      </c>
      <c r="B331" s="137">
        <v>47500</v>
      </c>
      <c r="C331" s="137">
        <v>31000</v>
      </c>
      <c r="D331" s="137">
        <v>8100</v>
      </c>
      <c r="E331" s="137">
        <v>7300</v>
      </c>
      <c r="F331" s="137">
        <v>1100</v>
      </c>
    </row>
    <row r="332" spans="1:6" ht="14.25" customHeight="1">
      <c r="A332" s="132">
        <v>1981</v>
      </c>
      <c r="B332" s="137">
        <v>46800</v>
      </c>
      <c r="C332" s="137">
        <v>31200</v>
      </c>
      <c r="D332" s="137">
        <v>8900</v>
      </c>
      <c r="E332" s="137">
        <v>5700</v>
      </c>
      <c r="F332" s="137">
        <v>900</v>
      </c>
    </row>
    <row r="333" spans="1:6" ht="14.25" customHeight="1">
      <c r="A333" s="132">
        <v>1982</v>
      </c>
      <c r="B333" s="137">
        <v>42400</v>
      </c>
      <c r="C333" s="137">
        <v>28600</v>
      </c>
      <c r="D333" s="137">
        <v>9600</v>
      </c>
      <c r="E333" s="137">
        <v>3100</v>
      </c>
      <c r="F333" s="137">
        <v>900</v>
      </c>
    </row>
    <row r="334" spans="1:6" ht="14.25" customHeight="1">
      <c r="A334" s="132">
        <v>1983</v>
      </c>
      <c r="B334" s="137">
        <v>41900</v>
      </c>
      <c r="C334" s="137">
        <v>26300</v>
      </c>
      <c r="D334" s="137">
        <v>10200</v>
      </c>
      <c r="E334" s="137">
        <v>4300</v>
      </c>
      <c r="F334" s="137">
        <v>1100</v>
      </c>
    </row>
    <row r="335" spans="1:6" ht="14.25" customHeight="1">
      <c r="A335" s="132">
        <v>1984</v>
      </c>
      <c r="B335" s="137">
        <v>45300</v>
      </c>
      <c r="C335" s="137">
        <v>28000</v>
      </c>
      <c r="D335" s="137">
        <v>11100</v>
      </c>
      <c r="E335" s="137">
        <v>4900</v>
      </c>
      <c r="F335" s="137">
        <v>1300</v>
      </c>
    </row>
    <row r="336" spans="1:6" ht="14.25" customHeight="1">
      <c r="A336" s="132">
        <v>1985</v>
      </c>
      <c r="B336" s="137">
        <v>46100</v>
      </c>
      <c r="C336" s="137">
        <v>28500</v>
      </c>
      <c r="D336" s="137">
        <v>11600</v>
      </c>
      <c r="E336" s="137">
        <v>4700</v>
      </c>
      <c r="F336" s="137">
        <v>1300</v>
      </c>
    </row>
    <row r="337" spans="1:6" ht="14.25" customHeight="1">
      <c r="A337" s="132">
        <v>1986</v>
      </c>
      <c r="B337" s="137">
        <v>50000</v>
      </c>
      <c r="C337" s="137">
        <v>31400</v>
      </c>
      <c r="D337" s="137">
        <v>12200</v>
      </c>
      <c r="E337" s="137">
        <v>5000</v>
      </c>
      <c r="F337" s="137">
        <v>1400</v>
      </c>
    </row>
    <row r="338" spans="1:6" ht="14.25" customHeight="1">
      <c r="A338" s="132">
        <v>1987</v>
      </c>
      <c r="B338" s="137">
        <v>54700</v>
      </c>
      <c r="C338" s="137">
        <v>33500</v>
      </c>
      <c r="D338" s="137">
        <v>12800</v>
      </c>
      <c r="E338" s="137">
        <v>7000</v>
      </c>
      <c r="F338" s="137">
        <v>1300</v>
      </c>
    </row>
    <row r="339" spans="1:6" ht="14.25" customHeight="1">
      <c r="A339" s="132">
        <v>1988</v>
      </c>
      <c r="B339" s="137">
        <v>55400</v>
      </c>
      <c r="C339" s="137">
        <v>33800</v>
      </c>
      <c r="D339" s="137">
        <v>13400</v>
      </c>
      <c r="E339" s="137">
        <v>6800</v>
      </c>
      <c r="F339" s="137">
        <v>1300</v>
      </c>
    </row>
    <row r="340" spans="1:6" ht="14.25" customHeight="1">
      <c r="A340" s="132">
        <v>1989</v>
      </c>
      <c r="B340" s="137">
        <v>56200</v>
      </c>
      <c r="C340" s="137">
        <v>34600</v>
      </c>
      <c r="D340" s="137">
        <v>13600</v>
      </c>
      <c r="E340" s="137">
        <v>6700</v>
      </c>
      <c r="F340" s="137">
        <v>1200</v>
      </c>
    </row>
    <row r="341" spans="1:6" ht="14.25" customHeight="1">
      <c r="A341" s="132">
        <v>1990</v>
      </c>
      <c r="B341" s="137">
        <v>54400</v>
      </c>
      <c r="C341" s="137">
        <v>33100</v>
      </c>
      <c r="D341" s="137">
        <v>14000</v>
      </c>
      <c r="E341" s="137">
        <v>6100</v>
      </c>
      <c r="F341" s="137">
        <v>1200</v>
      </c>
    </row>
    <row r="342" spans="1:6" ht="14.25" customHeight="1">
      <c r="A342" s="132">
        <v>1991</v>
      </c>
      <c r="B342" s="137">
        <v>54000</v>
      </c>
      <c r="C342" s="137">
        <v>31900</v>
      </c>
      <c r="D342" s="137">
        <v>15300</v>
      </c>
      <c r="E342" s="137">
        <v>5500</v>
      </c>
      <c r="F342" s="137">
        <v>1300</v>
      </c>
    </row>
    <row r="343" spans="1:6" ht="14.25" customHeight="1">
      <c r="A343" s="132">
        <v>1992</v>
      </c>
      <c r="B343" s="137">
        <v>56000</v>
      </c>
      <c r="C343" s="137">
        <v>33000</v>
      </c>
      <c r="D343" s="137">
        <v>15400</v>
      </c>
      <c r="E343" s="137">
        <v>6200</v>
      </c>
      <c r="F343" s="137">
        <v>1400</v>
      </c>
    </row>
    <row r="344" spans="1:6" ht="14.25" customHeight="1">
      <c r="A344" s="132">
        <v>1993</v>
      </c>
      <c r="B344" s="137">
        <v>58400</v>
      </c>
      <c r="C344" s="137">
        <v>33500</v>
      </c>
      <c r="D344" s="137">
        <v>16100</v>
      </c>
      <c r="E344" s="137">
        <v>7200</v>
      </c>
      <c r="F344" s="137">
        <v>1500</v>
      </c>
    </row>
    <row r="345" spans="1:6" ht="14.25" customHeight="1">
      <c r="A345" s="132">
        <v>1994</v>
      </c>
      <c r="B345" s="137">
        <v>60500</v>
      </c>
      <c r="C345" s="137">
        <v>34900</v>
      </c>
      <c r="D345" s="137">
        <v>16500</v>
      </c>
      <c r="E345" s="137">
        <v>7600</v>
      </c>
      <c r="F345" s="137">
        <v>1600</v>
      </c>
    </row>
    <row r="346" spans="1:6" ht="14.25" customHeight="1">
      <c r="A346" s="132">
        <v>1995</v>
      </c>
      <c r="B346" s="137">
        <v>64800</v>
      </c>
      <c r="C346" s="137">
        <v>37900</v>
      </c>
      <c r="D346" s="137">
        <v>16600</v>
      </c>
      <c r="E346" s="137">
        <v>8800</v>
      </c>
      <c r="F346" s="137">
        <v>1500</v>
      </c>
    </row>
    <row r="347" spans="1:6" ht="14.25" customHeight="1">
      <c r="A347" s="132">
        <v>1996</v>
      </c>
      <c r="B347" s="137">
        <v>68000</v>
      </c>
      <c r="C347" s="137">
        <v>40700</v>
      </c>
      <c r="D347" s="137">
        <v>16700</v>
      </c>
      <c r="E347" s="137">
        <v>9100</v>
      </c>
      <c r="F347" s="137">
        <v>1400</v>
      </c>
    </row>
    <row r="348" spans="1:6" ht="14.25" customHeight="1">
      <c r="A348" s="132">
        <v>1997</v>
      </c>
      <c r="B348" s="137">
        <v>72900</v>
      </c>
      <c r="C348" s="137">
        <v>44500</v>
      </c>
      <c r="D348" s="137">
        <v>17200</v>
      </c>
      <c r="E348" s="137">
        <v>9700</v>
      </c>
      <c r="F348" s="137">
        <v>1500</v>
      </c>
    </row>
    <row r="349" spans="1:6" ht="14.25" customHeight="1">
      <c r="A349" s="132">
        <v>1998</v>
      </c>
      <c r="B349" s="137">
        <v>76500</v>
      </c>
      <c r="C349" s="137">
        <v>48000</v>
      </c>
      <c r="D349" s="137">
        <v>18000</v>
      </c>
      <c r="E349" s="137">
        <v>9000</v>
      </c>
      <c r="F349" s="137">
        <v>1600</v>
      </c>
    </row>
    <row r="350" spans="1:6" ht="14.25" customHeight="1">
      <c r="A350" s="132">
        <v>1999</v>
      </c>
      <c r="B350" s="137">
        <v>81800</v>
      </c>
      <c r="C350" s="137">
        <v>51900</v>
      </c>
      <c r="D350" s="137">
        <v>18800</v>
      </c>
      <c r="E350" s="137">
        <v>9300</v>
      </c>
      <c r="F350" s="137">
        <v>1800</v>
      </c>
    </row>
    <row r="351" spans="1:6" ht="14.25" customHeight="1">
      <c r="A351" s="132">
        <v>2000</v>
      </c>
      <c r="B351" s="137">
        <v>84300</v>
      </c>
      <c r="C351" s="137">
        <v>54400</v>
      </c>
      <c r="D351" s="137">
        <v>19400</v>
      </c>
      <c r="E351" s="137">
        <v>8900</v>
      </c>
      <c r="F351" s="137">
        <v>1600</v>
      </c>
    </row>
    <row r="352" spans="1:6" ht="14.25" customHeight="1">
      <c r="A352" s="132">
        <v>2001</v>
      </c>
      <c r="B352" s="137">
        <v>76100</v>
      </c>
      <c r="C352" s="137">
        <v>48500</v>
      </c>
      <c r="D352" s="137">
        <v>20100</v>
      </c>
      <c r="E352" s="137">
        <v>5900</v>
      </c>
      <c r="F352" s="137">
        <v>1500</v>
      </c>
    </row>
    <row r="353" spans="1:6" ht="14.25" customHeight="1">
      <c r="A353" s="132">
        <v>2002</v>
      </c>
      <c r="B353" s="137">
        <v>71300</v>
      </c>
      <c r="C353" s="137">
        <v>44500</v>
      </c>
      <c r="D353" s="137">
        <v>20300</v>
      </c>
      <c r="E353" s="137">
        <v>5100</v>
      </c>
      <c r="F353" s="137">
        <v>1400</v>
      </c>
    </row>
    <row r="354" spans="1:6" ht="14.25" customHeight="1">
      <c r="A354" s="132">
        <v>2003</v>
      </c>
      <c r="B354" s="137">
        <v>70700</v>
      </c>
      <c r="C354" s="137">
        <v>41300</v>
      </c>
      <c r="D354" s="137">
        <v>20900</v>
      </c>
      <c r="E354" s="137">
        <v>7100</v>
      </c>
      <c r="F354" s="137">
        <v>1400</v>
      </c>
    </row>
    <row r="355" spans="1:6" ht="14.25" customHeight="1">
      <c r="A355" s="132">
        <v>2004</v>
      </c>
      <c r="B355" s="137">
        <v>76100</v>
      </c>
      <c r="C355" s="137">
        <v>44800</v>
      </c>
      <c r="D355" s="137">
        <v>20800</v>
      </c>
      <c r="E355" s="137">
        <v>9000</v>
      </c>
      <c r="F355" s="137">
        <v>1500</v>
      </c>
    </row>
    <row r="356" spans="1:6" ht="14.25" customHeight="1">
      <c r="A356" s="132">
        <v>2005</v>
      </c>
      <c r="B356" s="137">
        <v>83700</v>
      </c>
      <c r="C356" s="137">
        <v>49400</v>
      </c>
      <c r="D356" s="137">
        <v>20400</v>
      </c>
      <c r="E356" s="137">
        <v>12500</v>
      </c>
      <c r="F356" s="137">
        <v>1500</v>
      </c>
    </row>
    <row r="357" spans="1:6" ht="14.25" customHeight="1">
      <c r="A357" s="132">
        <v>2006</v>
      </c>
      <c r="B357" s="137">
        <v>86500</v>
      </c>
      <c r="C357" s="137">
        <v>51100</v>
      </c>
      <c r="D357" s="137">
        <v>20500</v>
      </c>
      <c r="E357" s="137">
        <v>13500</v>
      </c>
      <c r="F357" s="137">
        <v>1400</v>
      </c>
    </row>
    <row r="358" spans="1:6" ht="14.25" customHeight="1">
      <c r="A358" s="132">
        <v>2007</v>
      </c>
      <c r="B358" s="137">
        <v>87500</v>
      </c>
      <c r="C358" s="137">
        <v>53800</v>
      </c>
      <c r="D358" s="137">
        <v>20800</v>
      </c>
      <c r="E358" s="137">
        <v>11700</v>
      </c>
      <c r="F358" s="137">
        <v>1300</v>
      </c>
    </row>
    <row r="359" spans="1:6" ht="14.25" customHeight="1">
      <c r="A359" s="132">
        <v>2008</v>
      </c>
      <c r="B359" s="137">
        <v>78600</v>
      </c>
      <c r="C359" s="137">
        <v>49300</v>
      </c>
      <c r="D359" s="137">
        <v>21800</v>
      </c>
      <c r="E359" s="137">
        <v>6300</v>
      </c>
      <c r="F359" s="137">
        <v>1200</v>
      </c>
    </row>
    <row r="360" spans="1:6" ht="14.25" customHeight="1">
      <c r="A360" s="132">
        <v>2009</v>
      </c>
      <c r="B360" s="137">
        <v>72400</v>
      </c>
      <c r="C360" s="137">
        <v>44000</v>
      </c>
      <c r="D360" s="137">
        <v>22600</v>
      </c>
      <c r="E360" s="137">
        <v>4700</v>
      </c>
      <c r="F360" s="137">
        <v>1100</v>
      </c>
    </row>
    <row r="361" spans="1:6" ht="14.25" customHeight="1">
      <c r="A361" s="132">
        <v>2010</v>
      </c>
      <c r="B361" s="137">
        <v>76400</v>
      </c>
      <c r="C361" s="137">
        <v>46800</v>
      </c>
      <c r="D361" s="137">
        <v>22200</v>
      </c>
      <c r="E361" s="137">
        <v>6300</v>
      </c>
      <c r="F361" s="137">
        <v>1200</v>
      </c>
    </row>
    <row r="362" spans="1:6" ht="14.25" customHeight="1">
      <c r="A362" s="132">
        <v>2011</v>
      </c>
      <c r="B362" s="137">
        <v>76600</v>
      </c>
      <c r="C362" s="137">
        <v>49300</v>
      </c>
      <c r="D362" s="137">
        <v>19600</v>
      </c>
      <c r="E362" s="137">
        <v>6400</v>
      </c>
      <c r="F362" s="137">
        <v>1200</v>
      </c>
    </row>
    <row r="363" spans="1:6" ht="14.25" customHeight="1">
      <c r="A363" s="132">
        <v>2012</v>
      </c>
      <c r="B363" s="137">
        <v>81800</v>
      </c>
      <c r="C363" s="137">
        <v>53300</v>
      </c>
      <c r="D363" s="137">
        <v>19700</v>
      </c>
      <c r="E363" s="137">
        <v>7500</v>
      </c>
      <c r="F363" s="137">
        <v>1300</v>
      </c>
    </row>
    <row r="364" spans="1:6" ht="14.25" customHeight="1">
      <c r="A364" s="132">
        <v>2013</v>
      </c>
      <c r="B364" s="137">
        <v>87800</v>
      </c>
      <c r="C364" s="137">
        <v>53900</v>
      </c>
      <c r="D364" s="137">
        <v>23000</v>
      </c>
      <c r="E364" s="137">
        <v>9500</v>
      </c>
      <c r="F364" s="137">
        <v>1400</v>
      </c>
    </row>
    <row r="365" spans="1:6" ht="14.25" customHeight="1">
      <c r="A365" s="132">
        <v>2014</v>
      </c>
      <c r="B365" s="137">
        <v>92600</v>
      </c>
      <c r="C365" s="137">
        <v>57400</v>
      </c>
      <c r="D365" s="137">
        <v>23100</v>
      </c>
      <c r="E365" s="137">
        <v>10500</v>
      </c>
      <c r="F365" s="137">
        <v>1600</v>
      </c>
    </row>
    <row r="366" spans="1:6" ht="14.25" customHeight="1">
      <c r="A366" s="132">
        <v>2015</v>
      </c>
      <c r="B366" s="137">
        <v>96200</v>
      </c>
      <c r="C366" s="137">
        <v>60800</v>
      </c>
      <c r="D366" s="137">
        <v>23900</v>
      </c>
      <c r="E366" s="137">
        <v>9900</v>
      </c>
      <c r="F366" s="137">
        <v>1600</v>
      </c>
    </row>
    <row r="367" spans="1:6" ht="14.25" customHeight="1">
      <c r="A367" s="132">
        <v>2016</v>
      </c>
      <c r="B367" s="137">
        <v>96300</v>
      </c>
      <c r="C367" s="137">
        <v>60900</v>
      </c>
      <c r="D367" s="137">
        <v>24100</v>
      </c>
      <c r="E367" s="137">
        <v>9800</v>
      </c>
      <c r="F367" s="137">
        <v>1500</v>
      </c>
    </row>
    <row r="369" spans="1:6" ht="14.25" customHeight="1">
      <c r="B369" s="774" t="s">
        <v>13</v>
      </c>
      <c r="C369" s="774"/>
      <c r="D369" s="774"/>
      <c r="E369" s="774"/>
      <c r="F369" s="774"/>
    </row>
    <row r="370" spans="1:6" ht="14.25" customHeight="1">
      <c r="A370" s="132">
        <v>1979</v>
      </c>
      <c r="B370" s="137">
        <v>197500</v>
      </c>
      <c r="C370" s="137">
        <v>127500</v>
      </c>
      <c r="D370" s="137">
        <v>5600</v>
      </c>
      <c r="E370" s="137">
        <v>61800</v>
      </c>
      <c r="F370" s="137">
        <v>2600</v>
      </c>
    </row>
    <row r="371" spans="1:6" ht="14.25" customHeight="1">
      <c r="A371" s="132">
        <v>1980</v>
      </c>
      <c r="B371" s="137">
        <v>178600</v>
      </c>
      <c r="C371" s="137">
        <v>123900</v>
      </c>
      <c r="D371" s="137">
        <v>6100</v>
      </c>
      <c r="E371" s="137">
        <v>46400</v>
      </c>
      <c r="F371" s="137">
        <v>2200</v>
      </c>
    </row>
    <row r="372" spans="1:6" ht="14.25" customHeight="1">
      <c r="A372" s="132">
        <v>1981</v>
      </c>
      <c r="B372" s="137">
        <v>164000</v>
      </c>
      <c r="C372" s="137">
        <v>118000</v>
      </c>
      <c r="D372" s="137">
        <v>7100</v>
      </c>
      <c r="E372" s="137">
        <v>37000</v>
      </c>
      <c r="F372" s="137">
        <v>1900</v>
      </c>
    </row>
    <row r="373" spans="1:6" ht="14.25" customHeight="1">
      <c r="A373" s="132">
        <v>1982</v>
      </c>
      <c r="B373" s="137">
        <v>151700</v>
      </c>
      <c r="C373" s="137">
        <v>116800</v>
      </c>
      <c r="D373" s="137">
        <v>8800</v>
      </c>
      <c r="E373" s="137">
        <v>24200</v>
      </c>
      <c r="F373" s="137">
        <v>1900</v>
      </c>
    </row>
    <row r="374" spans="1:6" ht="14.25" customHeight="1">
      <c r="A374" s="132">
        <v>1983</v>
      </c>
      <c r="B374" s="137">
        <v>166400</v>
      </c>
      <c r="C374" s="137">
        <v>122400</v>
      </c>
      <c r="D374" s="137">
        <v>9500</v>
      </c>
      <c r="E374" s="137">
        <v>31900</v>
      </c>
      <c r="F374" s="137">
        <v>2600</v>
      </c>
    </row>
    <row r="375" spans="1:6" ht="14.25" customHeight="1">
      <c r="A375" s="132">
        <v>1984</v>
      </c>
      <c r="B375" s="137">
        <v>185800</v>
      </c>
      <c r="C375" s="137">
        <v>134300</v>
      </c>
      <c r="D375" s="137">
        <v>9800</v>
      </c>
      <c r="E375" s="137">
        <v>38700</v>
      </c>
      <c r="F375" s="137">
        <v>2900</v>
      </c>
    </row>
    <row r="376" spans="1:6" ht="14.25" customHeight="1">
      <c r="A376" s="132">
        <v>1985</v>
      </c>
      <c r="B376" s="137">
        <v>191800</v>
      </c>
      <c r="C376" s="137">
        <v>140900</v>
      </c>
      <c r="D376" s="137">
        <v>10300</v>
      </c>
      <c r="E376" s="137">
        <v>37600</v>
      </c>
      <c r="F376" s="137">
        <v>3100</v>
      </c>
    </row>
    <row r="377" spans="1:6" ht="14.25" customHeight="1">
      <c r="A377" s="132">
        <v>1986</v>
      </c>
      <c r="B377" s="137">
        <v>237800</v>
      </c>
      <c r="C377" s="137">
        <v>179300</v>
      </c>
      <c r="D377" s="137">
        <v>10300</v>
      </c>
      <c r="E377" s="137">
        <v>44500</v>
      </c>
      <c r="F377" s="137">
        <v>3800</v>
      </c>
    </row>
    <row r="378" spans="1:6" ht="14.25" customHeight="1">
      <c r="A378" s="132">
        <v>1987</v>
      </c>
      <c r="B378" s="137">
        <v>232200</v>
      </c>
      <c r="C378" s="137">
        <v>168700</v>
      </c>
      <c r="D378" s="137">
        <v>12200</v>
      </c>
      <c r="E378" s="137">
        <v>48200</v>
      </c>
      <c r="F378" s="137">
        <v>3100</v>
      </c>
    </row>
    <row r="379" spans="1:6" ht="14.25" customHeight="1">
      <c r="A379" s="132">
        <v>1988</v>
      </c>
      <c r="B379" s="137">
        <v>277100</v>
      </c>
      <c r="C379" s="137">
        <v>204100</v>
      </c>
      <c r="D379" s="137">
        <v>13000</v>
      </c>
      <c r="E379" s="137">
        <v>56500</v>
      </c>
      <c r="F379" s="137">
        <v>3400</v>
      </c>
    </row>
    <row r="380" spans="1:6" ht="14.25" customHeight="1">
      <c r="A380" s="132">
        <v>1989</v>
      </c>
      <c r="B380" s="137">
        <v>251400</v>
      </c>
      <c r="C380" s="137">
        <v>183400</v>
      </c>
      <c r="D380" s="137">
        <v>13400</v>
      </c>
      <c r="E380" s="137">
        <v>51900</v>
      </c>
      <c r="F380" s="137">
        <v>2800</v>
      </c>
    </row>
    <row r="381" spans="1:6" ht="14.25" customHeight="1">
      <c r="A381" s="132">
        <v>1990</v>
      </c>
      <c r="B381" s="137">
        <v>241900</v>
      </c>
      <c r="C381" s="137">
        <v>176600</v>
      </c>
      <c r="D381" s="137">
        <v>13900</v>
      </c>
      <c r="E381" s="137">
        <v>48700</v>
      </c>
      <c r="F381" s="137">
        <v>2700</v>
      </c>
    </row>
    <row r="382" spans="1:6" ht="14.25" customHeight="1">
      <c r="A382" s="132">
        <v>1991</v>
      </c>
      <c r="B382" s="137">
        <v>226900</v>
      </c>
      <c r="C382" s="137">
        <v>164500</v>
      </c>
      <c r="D382" s="137">
        <v>17500</v>
      </c>
      <c r="E382" s="137">
        <v>42000</v>
      </c>
      <c r="F382" s="137">
        <v>2900</v>
      </c>
    </row>
    <row r="383" spans="1:6" ht="14.25" customHeight="1">
      <c r="A383" s="132">
        <v>1992</v>
      </c>
      <c r="B383" s="137">
        <v>261900</v>
      </c>
      <c r="C383" s="137">
        <v>191100</v>
      </c>
      <c r="D383" s="137">
        <v>17200</v>
      </c>
      <c r="E383" s="137">
        <v>50700</v>
      </c>
      <c r="F383" s="137">
        <v>3000</v>
      </c>
    </row>
    <row r="384" spans="1:6" ht="14.25" customHeight="1">
      <c r="A384" s="132">
        <v>1993</v>
      </c>
      <c r="B384" s="137">
        <v>282200</v>
      </c>
      <c r="C384" s="137">
        <v>201800</v>
      </c>
      <c r="D384" s="137">
        <v>17900</v>
      </c>
      <c r="E384" s="137">
        <v>59300</v>
      </c>
      <c r="F384" s="137">
        <v>3200</v>
      </c>
    </row>
    <row r="385" spans="1:6" ht="14.25" customHeight="1">
      <c r="A385" s="132">
        <v>1994</v>
      </c>
      <c r="B385" s="137">
        <v>301700</v>
      </c>
      <c r="C385" s="137">
        <v>207500</v>
      </c>
      <c r="D385" s="137">
        <v>23800</v>
      </c>
      <c r="E385" s="137">
        <v>67300</v>
      </c>
      <c r="F385" s="137">
        <v>3200</v>
      </c>
    </row>
    <row r="386" spans="1:6" ht="14.25" customHeight="1">
      <c r="A386" s="132">
        <v>1995</v>
      </c>
      <c r="B386" s="137">
        <v>339200</v>
      </c>
      <c r="C386" s="137">
        <v>237000</v>
      </c>
      <c r="D386" s="137">
        <v>23600</v>
      </c>
      <c r="E386" s="137">
        <v>75200</v>
      </c>
      <c r="F386" s="137">
        <v>3300</v>
      </c>
    </row>
    <row r="387" spans="1:6" ht="14.25" customHeight="1">
      <c r="A387" s="132">
        <v>1996</v>
      </c>
      <c r="B387" s="137">
        <v>375300</v>
      </c>
      <c r="C387" s="137">
        <v>267500</v>
      </c>
      <c r="D387" s="137">
        <v>24400</v>
      </c>
      <c r="E387" s="137">
        <v>80300</v>
      </c>
      <c r="F387" s="137">
        <v>3100</v>
      </c>
    </row>
    <row r="388" spans="1:6" ht="14.25" customHeight="1">
      <c r="A388" s="132">
        <v>1997</v>
      </c>
      <c r="B388" s="137">
        <v>420500</v>
      </c>
      <c r="C388" s="137">
        <v>303500</v>
      </c>
      <c r="D388" s="137">
        <v>26100</v>
      </c>
      <c r="E388" s="137">
        <v>87500</v>
      </c>
      <c r="F388" s="137">
        <v>3300</v>
      </c>
    </row>
    <row r="389" spans="1:6" ht="14.25" customHeight="1">
      <c r="A389" s="132">
        <v>1998</v>
      </c>
      <c r="B389" s="137">
        <v>458200</v>
      </c>
      <c r="C389" s="137">
        <v>337400</v>
      </c>
      <c r="D389" s="137">
        <v>28000</v>
      </c>
      <c r="E389" s="137">
        <v>89300</v>
      </c>
      <c r="F389" s="137">
        <v>3500</v>
      </c>
    </row>
    <row r="390" spans="1:6" ht="14.25" customHeight="1">
      <c r="A390" s="132">
        <v>1999</v>
      </c>
      <c r="B390" s="137">
        <v>503100</v>
      </c>
      <c r="C390" s="137">
        <v>377600</v>
      </c>
      <c r="D390" s="137">
        <v>30500</v>
      </c>
      <c r="E390" s="137">
        <v>90800</v>
      </c>
      <c r="F390" s="137">
        <v>4100</v>
      </c>
    </row>
    <row r="391" spans="1:6" ht="14.25" customHeight="1">
      <c r="A391" s="132">
        <v>2000</v>
      </c>
      <c r="B391" s="137">
        <v>547200</v>
      </c>
      <c r="C391" s="137">
        <v>418700</v>
      </c>
      <c r="D391" s="137">
        <v>33100</v>
      </c>
      <c r="E391" s="137">
        <v>91700</v>
      </c>
      <c r="F391" s="137">
        <v>3700</v>
      </c>
    </row>
    <row r="392" spans="1:6" ht="14.25" customHeight="1">
      <c r="A392" s="132">
        <v>2001</v>
      </c>
      <c r="B392" s="137">
        <v>434100</v>
      </c>
      <c r="C392" s="137">
        <v>333700</v>
      </c>
      <c r="D392" s="137">
        <v>32100</v>
      </c>
      <c r="E392" s="137">
        <v>65000</v>
      </c>
      <c r="F392" s="137">
        <v>3200</v>
      </c>
    </row>
    <row r="393" spans="1:6" ht="14.25" customHeight="1">
      <c r="A393" s="132">
        <v>2002</v>
      </c>
      <c r="B393" s="137">
        <v>383300</v>
      </c>
      <c r="C393" s="137">
        <v>290800</v>
      </c>
      <c r="D393" s="137">
        <v>30400</v>
      </c>
      <c r="E393" s="137">
        <v>58900</v>
      </c>
      <c r="F393" s="137">
        <v>3100</v>
      </c>
    </row>
    <row r="394" spans="1:6" ht="14.25" customHeight="1">
      <c r="A394" s="132">
        <v>2003</v>
      </c>
      <c r="B394" s="137">
        <v>387600</v>
      </c>
      <c r="C394" s="137">
        <v>268000</v>
      </c>
      <c r="D394" s="137">
        <v>30200</v>
      </c>
      <c r="E394" s="137">
        <v>86000</v>
      </c>
      <c r="F394" s="137">
        <v>3400</v>
      </c>
    </row>
    <row r="395" spans="1:6" ht="14.25" customHeight="1">
      <c r="A395" s="132">
        <v>2004</v>
      </c>
      <c r="B395" s="137">
        <v>456900</v>
      </c>
      <c r="C395" s="137">
        <v>308100</v>
      </c>
      <c r="D395" s="137">
        <v>30700</v>
      </c>
      <c r="E395" s="137">
        <v>114100</v>
      </c>
      <c r="F395" s="137">
        <v>4000</v>
      </c>
    </row>
    <row r="396" spans="1:6" ht="14.25" customHeight="1">
      <c r="A396" s="132">
        <v>2005</v>
      </c>
      <c r="B396" s="137">
        <v>556000</v>
      </c>
      <c r="C396" s="137">
        <v>364600</v>
      </c>
      <c r="D396" s="137">
        <v>31700</v>
      </c>
      <c r="E396" s="137">
        <v>155200</v>
      </c>
      <c r="F396" s="137">
        <v>4500</v>
      </c>
    </row>
    <row r="397" spans="1:6" ht="14.25" customHeight="1">
      <c r="A397" s="132">
        <v>2006</v>
      </c>
      <c r="B397" s="137">
        <v>594300</v>
      </c>
      <c r="C397" s="137">
        <v>387800</v>
      </c>
      <c r="D397" s="137">
        <v>32400</v>
      </c>
      <c r="E397" s="137">
        <v>170200</v>
      </c>
      <c r="F397" s="137">
        <v>3900</v>
      </c>
    </row>
    <row r="398" spans="1:6" ht="14.25" customHeight="1">
      <c r="A398" s="132">
        <v>2007</v>
      </c>
      <c r="B398" s="137">
        <v>592700</v>
      </c>
      <c r="C398" s="137">
        <v>409700</v>
      </c>
      <c r="D398" s="137">
        <v>33800</v>
      </c>
      <c r="E398" s="137">
        <v>146200</v>
      </c>
      <c r="F398" s="137">
        <v>3100</v>
      </c>
    </row>
    <row r="399" spans="1:6" ht="14.25" customHeight="1">
      <c r="A399" s="132">
        <v>2008</v>
      </c>
      <c r="B399" s="137">
        <v>481100</v>
      </c>
      <c r="C399" s="137">
        <v>351100</v>
      </c>
      <c r="D399" s="137">
        <v>34700</v>
      </c>
      <c r="E399" s="137">
        <v>91700</v>
      </c>
      <c r="F399" s="137">
        <v>3600</v>
      </c>
    </row>
    <row r="400" spans="1:6" ht="14.25" customHeight="1">
      <c r="A400" s="132">
        <v>2009</v>
      </c>
      <c r="B400" s="137">
        <v>384800</v>
      </c>
      <c r="C400" s="137">
        <v>282000</v>
      </c>
      <c r="D400" s="137">
        <v>33600</v>
      </c>
      <c r="E400" s="137">
        <v>66500</v>
      </c>
      <c r="F400" s="137">
        <v>2700</v>
      </c>
    </row>
    <row r="401" spans="1:6" ht="14.25" customHeight="1">
      <c r="A401" s="132">
        <v>2010</v>
      </c>
      <c r="B401" s="137">
        <v>449500</v>
      </c>
      <c r="C401" s="137">
        <v>311000</v>
      </c>
      <c r="D401" s="137">
        <v>33800</v>
      </c>
      <c r="E401" s="137">
        <v>101400</v>
      </c>
      <c r="F401" s="137">
        <v>3400</v>
      </c>
    </row>
    <row r="402" spans="1:6" ht="14.25" customHeight="1">
      <c r="A402" s="132">
        <v>2011</v>
      </c>
      <c r="B402" s="137">
        <v>446100</v>
      </c>
      <c r="C402" s="137">
        <v>311900</v>
      </c>
      <c r="D402" s="137">
        <v>31900</v>
      </c>
      <c r="E402" s="137">
        <v>99100</v>
      </c>
      <c r="F402" s="137">
        <v>3200</v>
      </c>
    </row>
    <row r="403" spans="1:6" ht="14.25" customHeight="1">
      <c r="A403" s="132">
        <v>2012</v>
      </c>
      <c r="B403" s="137">
        <v>541800</v>
      </c>
      <c r="C403" s="137">
        <v>378300</v>
      </c>
      <c r="D403" s="137">
        <v>32700</v>
      </c>
      <c r="E403" s="137">
        <v>127000</v>
      </c>
      <c r="F403" s="137">
        <v>3800</v>
      </c>
    </row>
    <row r="404" spans="1:6" ht="14.25" customHeight="1">
      <c r="A404" s="132">
        <v>2013</v>
      </c>
      <c r="B404" s="137">
        <v>537400</v>
      </c>
      <c r="C404" s="137">
        <v>379000</v>
      </c>
      <c r="D404" s="137">
        <v>38700</v>
      </c>
      <c r="E404" s="137">
        <v>116000</v>
      </c>
      <c r="F404" s="137">
        <v>3800</v>
      </c>
    </row>
    <row r="405" spans="1:6" ht="14.25" customHeight="1">
      <c r="A405" s="132">
        <v>2014</v>
      </c>
      <c r="B405" s="137">
        <v>604300</v>
      </c>
      <c r="C405" s="137">
        <v>430500</v>
      </c>
      <c r="D405" s="137">
        <v>38500</v>
      </c>
      <c r="E405" s="137">
        <v>131700</v>
      </c>
      <c r="F405" s="137">
        <v>3500</v>
      </c>
    </row>
    <row r="406" spans="1:6" ht="14.25" customHeight="1">
      <c r="A406" s="132">
        <v>2015</v>
      </c>
      <c r="B406" s="137">
        <v>625700</v>
      </c>
      <c r="C406" s="137">
        <v>450000</v>
      </c>
      <c r="D406" s="137">
        <v>41900</v>
      </c>
      <c r="E406" s="137">
        <v>130300</v>
      </c>
      <c r="F406" s="137">
        <v>3500</v>
      </c>
    </row>
    <row r="407" spans="1:6" ht="14.25" customHeight="1">
      <c r="A407" s="132">
        <v>2016</v>
      </c>
      <c r="B407" s="137">
        <v>595900</v>
      </c>
      <c r="C407" s="137">
        <v>423100</v>
      </c>
      <c r="D407" s="137">
        <v>41500</v>
      </c>
      <c r="E407" s="137">
        <v>127700</v>
      </c>
      <c r="F407" s="137">
        <v>3600</v>
      </c>
    </row>
    <row r="408" spans="1:6" ht="14.25" customHeight="1">
      <c r="A408" s="209"/>
      <c r="B408" s="209"/>
      <c r="C408" s="209"/>
      <c r="D408" s="209"/>
      <c r="E408" s="209"/>
      <c r="F408" s="209"/>
    </row>
    <row r="409" spans="1:6" ht="14.25" customHeight="1">
      <c r="A409" s="135" t="s">
        <v>14</v>
      </c>
    </row>
    <row r="411" spans="1:6" ht="14.25" customHeight="1">
      <c r="A411" s="209"/>
      <c r="B411" s="209"/>
      <c r="C411" s="209"/>
      <c r="D411" s="209"/>
      <c r="E411" s="209"/>
      <c r="F411" s="209"/>
    </row>
    <row r="413" spans="1:6" ht="14.25" customHeight="1">
      <c r="A413" s="772" t="s">
        <v>2</v>
      </c>
      <c r="B413" s="772"/>
      <c r="C413" s="772"/>
    </row>
  </sheetData>
  <mergeCells count="13">
    <mergeCell ref="B89:F89"/>
    <mergeCell ref="A1:K1"/>
    <mergeCell ref="A2:D2"/>
    <mergeCell ref="B9:F9"/>
    <mergeCell ref="B49:F49"/>
    <mergeCell ref="B369:F369"/>
    <mergeCell ref="A413:C413"/>
    <mergeCell ref="B129:F129"/>
    <mergeCell ref="B169:F169"/>
    <mergeCell ref="B209:F209"/>
    <mergeCell ref="B249:F249"/>
    <mergeCell ref="B289:F289"/>
    <mergeCell ref="B329:F329"/>
  </mergeCells>
  <hyperlinks>
    <hyperlink ref="A2" r:id="rId1" xr:uid="{FEBFE29D-A1D2-4C11-BED7-DF83EFBBA190}"/>
    <hyperlink ref="A413" location="'Contents and Notes'!A1" display="Return to Contents and Notes" xr:uid="{C3E3D9C7-37F9-4C3C-A1E3-B14C9A7C9779}"/>
    <hyperlink ref="L1" location="Index!A1" display="index" xr:uid="{68892652-2239-4302-9F9A-34BE29D55BAB}"/>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2ED54-DBF3-4066-8DF7-B38637D7C30D}">
  <sheetPr codeName="Sheet18"/>
  <dimension ref="A1:DO69"/>
  <sheetViews>
    <sheetView zoomScale="85" zoomScaleNormal="85" workbookViewId="0"/>
  </sheetViews>
  <sheetFormatPr defaultRowHeight="15"/>
  <cols>
    <col min="1" max="1" width="8.28515625" style="46" customWidth="1"/>
    <col min="2" max="2" width="10.28515625" style="131" customWidth="1"/>
    <col min="3" max="3" width="6.42578125" style="131" customWidth="1"/>
    <col min="4" max="4" width="19.28515625" style="131" customWidth="1"/>
    <col min="5" max="5" width="12.85546875" style="131" customWidth="1"/>
    <col min="6" max="6" width="4.28515625" style="131" customWidth="1"/>
    <col min="7" max="10" width="5.5703125" style="131" customWidth="1"/>
    <col min="11" max="14" width="7" style="131" customWidth="1"/>
    <col min="15" max="15" width="1.85546875" style="131" customWidth="1"/>
    <col min="16" max="16" width="5.85546875" style="131" customWidth="1"/>
    <col min="17" max="18" width="5.5703125" style="131" customWidth="1"/>
    <col min="19" max="19" width="6" style="131" customWidth="1"/>
    <col min="20" max="23" width="6.5703125" style="131" customWidth="1"/>
    <col min="24" max="24" width="3.42578125" style="131" customWidth="1"/>
    <col min="25" max="28" width="5" style="131" customWidth="1"/>
    <col min="29" max="32" width="5.7109375" style="131" customWidth="1"/>
    <col min="33" max="33" width="2.140625" style="131" customWidth="1"/>
    <col min="34" max="37" width="5.5703125" style="131" customWidth="1"/>
    <col min="38" max="39" width="6.7109375" style="131" customWidth="1"/>
    <col min="40" max="40" width="7.140625" style="131" customWidth="1"/>
    <col min="41" max="41" width="7.28515625" style="131" customWidth="1"/>
    <col min="42" max="42" width="2.28515625" style="131" customWidth="1"/>
    <col min="43" max="50" width="6.140625" style="131" customWidth="1"/>
    <col min="51" max="51" width="3.140625" style="131" customWidth="1"/>
    <col min="52" max="59" width="6.140625" style="131" customWidth="1"/>
    <col min="60" max="60" width="2.5703125" style="131" customWidth="1"/>
    <col min="61" max="68" width="6.5703125" style="131" customWidth="1"/>
    <col min="69" max="69" width="2.140625" style="131" customWidth="1"/>
    <col min="70" max="72" width="5.7109375" style="131" customWidth="1"/>
    <col min="73" max="73" width="6.42578125" style="131" customWidth="1"/>
    <col min="74" max="74" width="7.28515625" style="131" customWidth="1"/>
    <col min="75" max="77" width="7" style="131" customWidth="1"/>
    <col min="78" max="78" width="2" style="131" customWidth="1"/>
    <col min="79" max="82" width="5.5703125" style="131" customWidth="1"/>
    <col min="83" max="86" width="6.28515625" style="131" customWidth="1"/>
    <col min="87" max="87" width="3" style="131" customWidth="1"/>
    <col min="88" max="96" width="7.7109375" style="131" customWidth="1"/>
    <col min="97" max="97" width="3.7109375" style="131" customWidth="1"/>
    <col min="98" max="98" width="17.42578125" style="131" customWidth="1"/>
    <col min="99" max="16384" width="9.140625" style="131"/>
  </cols>
  <sheetData>
    <row r="1" spans="1:119">
      <c r="A1" s="147" t="s">
        <v>660</v>
      </c>
      <c r="F1" s="642" t="s">
        <v>762</v>
      </c>
      <c r="AI1" s="127"/>
    </row>
    <row r="2" spans="1:119">
      <c r="A2" s="103"/>
    </row>
    <row r="3" spans="1:119">
      <c r="A3" s="103"/>
      <c r="P3" s="6" t="s">
        <v>158</v>
      </c>
      <c r="Q3" s="6" t="s">
        <v>159</v>
      </c>
      <c r="R3" s="6" t="s">
        <v>160</v>
      </c>
      <c r="S3" s="6" t="s">
        <v>161</v>
      </c>
      <c r="T3" s="51" t="s">
        <v>33</v>
      </c>
      <c r="U3" s="51" t="s">
        <v>51</v>
      </c>
      <c r="V3" s="51" t="s">
        <v>52</v>
      </c>
      <c r="W3" s="51" t="s">
        <v>28</v>
      </c>
      <c r="CJ3" s="45">
        <v>0.2</v>
      </c>
      <c r="CK3" s="45">
        <v>0.2</v>
      </c>
      <c r="CL3" s="45">
        <v>0.2</v>
      </c>
      <c r="CM3" s="45">
        <v>0.2</v>
      </c>
      <c r="CN3" s="45">
        <v>0.1</v>
      </c>
      <c r="CO3" s="45">
        <v>0.05</v>
      </c>
      <c r="CP3" s="45">
        <v>0.04</v>
      </c>
      <c r="CQ3" s="45">
        <v>0.01</v>
      </c>
      <c r="CR3" s="45">
        <f>SUM(CJ3:CQ3)</f>
        <v>1</v>
      </c>
    </row>
    <row r="4" spans="1:119">
      <c r="A4" s="103"/>
      <c r="M4" s="149" t="s">
        <v>200</v>
      </c>
      <c r="P4" s="45">
        <v>0.2</v>
      </c>
      <c r="Q4" s="45">
        <v>0.2</v>
      </c>
      <c r="R4" s="45">
        <v>0.2</v>
      </c>
      <c r="S4" s="45">
        <v>0.2</v>
      </c>
      <c r="T4" s="45">
        <v>0.1</v>
      </c>
      <c r="U4" s="45">
        <v>0.05</v>
      </c>
      <c r="V4" s="45">
        <v>0.04</v>
      </c>
      <c r="W4" s="45">
        <v>0.01</v>
      </c>
      <c r="X4" s="45"/>
      <c r="Y4" s="45"/>
      <c r="Z4" s="45"/>
      <c r="AA4" s="45"/>
      <c r="AB4" s="45"/>
      <c r="AC4" s="45"/>
      <c r="AD4" s="45"/>
      <c r="AE4" s="45"/>
      <c r="AF4" s="45"/>
      <c r="CJ4" s="45"/>
      <c r="CK4" s="45"/>
      <c r="CL4" s="45"/>
      <c r="CM4" s="45"/>
      <c r="CN4" s="45"/>
      <c r="CO4" s="45"/>
      <c r="CP4" s="45"/>
      <c r="CQ4" s="45"/>
      <c r="CR4" s="45"/>
    </row>
    <row r="5" spans="1:119">
      <c r="A5" s="103"/>
      <c r="F5" s="148"/>
      <c r="G5" s="148"/>
      <c r="H5" s="148"/>
      <c r="I5" s="148"/>
      <c r="J5" s="148"/>
      <c r="K5" s="148"/>
      <c r="L5" s="148"/>
      <c r="M5" s="149" t="s">
        <v>203</v>
      </c>
      <c r="N5" s="148"/>
      <c r="O5" s="131">
        <v>0</v>
      </c>
      <c r="P5" s="45">
        <v>0.2</v>
      </c>
      <c r="Q5" s="45">
        <f>P5+Q4</f>
        <v>0.4</v>
      </c>
      <c r="R5" s="45">
        <f t="shared" ref="R5:W5" si="0">Q5+R4</f>
        <v>0.60000000000000009</v>
      </c>
      <c r="S5" s="45">
        <f t="shared" si="0"/>
        <v>0.8</v>
      </c>
      <c r="T5" s="45">
        <f t="shared" si="0"/>
        <v>0.9</v>
      </c>
      <c r="U5" s="45">
        <f t="shared" si="0"/>
        <v>0.95000000000000007</v>
      </c>
      <c r="V5" s="45">
        <f t="shared" si="0"/>
        <v>0.9900000000000001</v>
      </c>
      <c r="W5" s="45">
        <f t="shared" si="0"/>
        <v>1</v>
      </c>
      <c r="X5" s="45"/>
      <c r="Y5" s="45"/>
      <c r="Z5" s="45"/>
      <c r="AA5" s="45"/>
      <c r="AB5" s="45"/>
      <c r="AC5" s="45"/>
      <c r="AD5" s="45"/>
      <c r="AE5" s="45"/>
      <c r="AF5" s="45"/>
      <c r="AG5" s="45"/>
      <c r="AQ5" s="127"/>
      <c r="AZ5" s="44"/>
      <c r="CJ5" s="45"/>
      <c r="CK5" s="45"/>
      <c r="CL5" s="45"/>
      <c r="CM5" s="45"/>
      <c r="CN5" s="45"/>
      <c r="CO5" s="45"/>
      <c r="CP5" s="45"/>
      <c r="CQ5" s="45"/>
      <c r="CR5" s="45"/>
    </row>
    <row r="6" spans="1:119">
      <c r="CJ6" s="5"/>
      <c r="CK6" s="5"/>
      <c r="CL6" s="5"/>
      <c r="CM6" s="5"/>
      <c r="CN6" s="5"/>
      <c r="CO6" s="5"/>
      <c r="CP6" s="5"/>
      <c r="CQ6" s="5"/>
      <c r="CR6" s="5"/>
      <c r="CU6" s="273"/>
      <c r="CV6" s="191"/>
      <c r="CW6" s="191"/>
      <c r="CX6" s="191"/>
      <c r="CY6" s="191"/>
      <c r="CZ6" s="191"/>
      <c r="DA6" s="191"/>
      <c r="DB6" s="191"/>
      <c r="DC6" s="191"/>
      <c r="DD6" s="191"/>
      <c r="DE6" s="191"/>
      <c r="DF6" s="191"/>
      <c r="DG6" s="191"/>
      <c r="DH6" s="191"/>
      <c r="DI6" s="191"/>
      <c r="DJ6" s="191"/>
      <c r="DK6" s="191"/>
      <c r="DL6" s="191"/>
      <c r="DM6" s="191"/>
      <c r="DN6" s="191"/>
      <c r="DO6" s="140"/>
    </row>
    <row r="7" spans="1:119">
      <c r="A7" s="144"/>
      <c r="B7" s="729" t="s">
        <v>193</v>
      </c>
      <c r="C7" s="120"/>
      <c r="D7" s="733" t="s">
        <v>194</v>
      </c>
      <c r="E7" s="733" t="s">
        <v>195</v>
      </c>
      <c r="F7" s="155"/>
      <c r="G7" s="731" t="s">
        <v>201</v>
      </c>
      <c r="H7" s="731"/>
      <c r="I7" s="731"/>
      <c r="J7" s="731"/>
      <c r="K7" s="731"/>
      <c r="L7" s="731"/>
      <c r="M7" s="731"/>
      <c r="N7" s="731"/>
      <c r="O7" s="120"/>
      <c r="P7" s="731" t="s">
        <v>199</v>
      </c>
      <c r="Q7" s="731"/>
      <c r="R7" s="731"/>
      <c r="S7" s="731"/>
      <c r="T7" s="731"/>
      <c r="U7" s="731"/>
      <c r="V7" s="731"/>
      <c r="W7" s="731"/>
      <c r="X7" s="150"/>
      <c r="Y7" s="731" t="s">
        <v>766</v>
      </c>
      <c r="Z7" s="731"/>
      <c r="AA7" s="731"/>
      <c r="AB7" s="731"/>
      <c r="AC7" s="731"/>
      <c r="AD7" s="731"/>
      <c r="AE7" s="731"/>
      <c r="AF7" s="731"/>
      <c r="AG7" s="134"/>
      <c r="AH7" s="732" t="s">
        <v>765</v>
      </c>
      <c r="AI7" s="732"/>
      <c r="AJ7" s="732"/>
      <c r="AK7" s="732"/>
      <c r="AL7" s="732"/>
      <c r="AM7" s="732"/>
      <c r="AN7" s="732"/>
      <c r="AO7" s="732"/>
      <c r="AP7" s="150"/>
      <c r="AQ7" s="731" t="s">
        <v>196</v>
      </c>
      <c r="AR7" s="731"/>
      <c r="AS7" s="731"/>
      <c r="AT7" s="731"/>
      <c r="AU7" s="731"/>
      <c r="AV7" s="731"/>
      <c r="AW7" s="731"/>
      <c r="AX7" s="731"/>
      <c r="AY7" s="134"/>
      <c r="AZ7" s="736" t="s">
        <v>633</v>
      </c>
      <c r="BA7" s="736"/>
      <c r="BB7" s="736"/>
      <c r="BC7" s="736"/>
      <c r="BD7" s="736"/>
      <c r="BE7" s="736"/>
      <c r="BF7" s="736"/>
      <c r="BG7" s="736"/>
      <c r="BH7" s="134"/>
      <c r="BI7" s="731" t="s">
        <v>635</v>
      </c>
      <c r="BJ7" s="731"/>
      <c r="BK7" s="731"/>
      <c r="BL7" s="731"/>
      <c r="BM7" s="731"/>
      <c r="BN7" s="731"/>
      <c r="BO7" s="731"/>
      <c r="BP7" s="731"/>
      <c r="BQ7" s="120"/>
      <c r="BR7" s="731" t="s">
        <v>636</v>
      </c>
      <c r="BS7" s="731"/>
      <c r="BT7" s="731"/>
      <c r="BU7" s="731"/>
      <c r="BV7" s="731"/>
      <c r="BW7" s="731"/>
      <c r="BX7" s="731"/>
      <c r="BY7" s="731"/>
      <c r="BZ7" s="120"/>
      <c r="CA7" s="731" t="s">
        <v>187</v>
      </c>
      <c r="CB7" s="731"/>
      <c r="CC7" s="731"/>
      <c r="CD7" s="731"/>
      <c r="CE7" s="731"/>
      <c r="CF7" s="731"/>
      <c r="CG7" s="731"/>
      <c r="CH7" s="731"/>
      <c r="CI7" s="120"/>
      <c r="CJ7" s="735" t="s">
        <v>198</v>
      </c>
      <c r="CK7" s="735"/>
      <c r="CL7" s="735"/>
      <c r="CM7" s="735"/>
      <c r="CN7" s="735"/>
      <c r="CO7" s="735"/>
      <c r="CP7" s="735"/>
      <c r="CQ7" s="735"/>
      <c r="CR7" s="735"/>
      <c r="CT7" s="733" t="s">
        <v>259</v>
      </c>
      <c r="CU7" s="728" t="s">
        <v>283</v>
      </c>
      <c r="CV7" s="728"/>
      <c r="CW7" s="728"/>
      <c r="CX7" s="728"/>
      <c r="CY7" s="728"/>
      <c r="CZ7" s="728"/>
      <c r="DA7" s="728"/>
      <c r="DB7" s="728"/>
      <c r="DC7" s="728"/>
      <c r="DD7" s="174"/>
      <c r="DE7" s="140"/>
      <c r="DF7" s="728" t="s">
        <v>259</v>
      </c>
      <c r="DG7" s="728"/>
      <c r="DH7" s="728"/>
      <c r="DI7" s="728"/>
      <c r="DJ7" s="728"/>
      <c r="DK7" s="728"/>
      <c r="DL7" s="728"/>
      <c r="DM7" s="728"/>
      <c r="DN7" s="728"/>
      <c r="DO7" s="140"/>
    </row>
    <row r="8" spans="1:119" ht="15" customHeight="1">
      <c r="A8" s="53"/>
      <c r="B8" s="730"/>
      <c r="C8" s="6"/>
      <c r="D8" s="734"/>
      <c r="E8" s="734"/>
      <c r="F8" s="156"/>
      <c r="G8" s="6" t="s">
        <v>158</v>
      </c>
      <c r="H8" s="6" t="s">
        <v>159</v>
      </c>
      <c r="I8" s="6" t="s">
        <v>160</v>
      </c>
      <c r="J8" s="6" t="s">
        <v>161</v>
      </c>
      <c r="K8" s="51" t="s">
        <v>33</v>
      </c>
      <c r="L8" s="51" t="s">
        <v>51</v>
      </c>
      <c r="M8" s="51" t="s">
        <v>52</v>
      </c>
      <c r="N8" s="51" t="s">
        <v>28</v>
      </c>
      <c r="O8" s="6"/>
      <c r="P8" s="6" t="s">
        <v>158</v>
      </c>
      <c r="Q8" s="6" t="s">
        <v>159</v>
      </c>
      <c r="R8" s="6" t="s">
        <v>160</v>
      </c>
      <c r="S8" s="6" t="s">
        <v>161</v>
      </c>
      <c r="T8" s="51" t="s">
        <v>33</v>
      </c>
      <c r="U8" s="51" t="s">
        <v>51</v>
      </c>
      <c r="V8" s="51" t="s">
        <v>52</v>
      </c>
      <c r="W8" s="51" t="s">
        <v>28</v>
      </c>
      <c r="X8" s="51"/>
      <c r="Y8" s="6" t="s">
        <v>158</v>
      </c>
      <c r="Z8" s="6" t="s">
        <v>159</v>
      </c>
      <c r="AA8" s="6" t="s">
        <v>160</v>
      </c>
      <c r="AB8" s="6" t="s">
        <v>161</v>
      </c>
      <c r="AC8" s="51" t="s">
        <v>33</v>
      </c>
      <c r="AD8" s="51" t="s">
        <v>51</v>
      </c>
      <c r="AE8" s="51" t="s">
        <v>52</v>
      </c>
      <c r="AF8" s="51" t="s">
        <v>28</v>
      </c>
      <c r="AG8" s="5"/>
      <c r="AH8" s="6" t="s">
        <v>158</v>
      </c>
      <c r="AI8" s="6" t="s">
        <v>159</v>
      </c>
      <c r="AJ8" s="6" t="s">
        <v>160</v>
      </c>
      <c r="AK8" s="6" t="s">
        <v>161</v>
      </c>
      <c r="AL8" s="51" t="s">
        <v>33</v>
      </c>
      <c r="AM8" s="51" t="s">
        <v>51</v>
      </c>
      <c r="AN8" s="51" t="s">
        <v>52</v>
      </c>
      <c r="AO8" s="51" t="s">
        <v>28</v>
      </c>
      <c r="AP8" s="51"/>
      <c r="AQ8" s="6" t="s">
        <v>158</v>
      </c>
      <c r="AR8" s="6" t="s">
        <v>159</v>
      </c>
      <c r="AS8" s="6" t="s">
        <v>160</v>
      </c>
      <c r="AT8" s="6" t="s">
        <v>161</v>
      </c>
      <c r="AU8" s="51" t="s">
        <v>33</v>
      </c>
      <c r="AV8" s="51" t="s">
        <v>51</v>
      </c>
      <c r="AW8" s="51" t="s">
        <v>52</v>
      </c>
      <c r="AX8" s="51" t="s">
        <v>28</v>
      </c>
      <c r="AY8" s="5"/>
      <c r="AZ8" s="6" t="s">
        <v>158</v>
      </c>
      <c r="BA8" s="6" t="s">
        <v>159</v>
      </c>
      <c r="BB8" s="6" t="s">
        <v>160</v>
      </c>
      <c r="BC8" s="6" t="s">
        <v>161</v>
      </c>
      <c r="BD8" s="51" t="s">
        <v>33</v>
      </c>
      <c r="BE8" s="51" t="s">
        <v>51</v>
      </c>
      <c r="BF8" s="51" t="s">
        <v>52</v>
      </c>
      <c r="BG8" s="51" t="s">
        <v>28</v>
      </c>
      <c r="BH8" s="5"/>
      <c r="BI8" s="6" t="s">
        <v>158</v>
      </c>
      <c r="BJ8" s="6" t="s">
        <v>159</v>
      </c>
      <c r="BK8" s="6" t="s">
        <v>160</v>
      </c>
      <c r="BL8" s="6" t="s">
        <v>161</v>
      </c>
      <c r="BM8" s="51" t="s">
        <v>33</v>
      </c>
      <c r="BN8" s="51" t="s">
        <v>51</v>
      </c>
      <c r="BO8" s="51" t="s">
        <v>52</v>
      </c>
      <c r="BP8" s="51" t="s">
        <v>28</v>
      </c>
      <c r="BQ8" s="6"/>
      <c r="BR8" s="6" t="s">
        <v>158</v>
      </c>
      <c r="BS8" s="6" t="s">
        <v>159</v>
      </c>
      <c r="BT8" s="6" t="s">
        <v>160</v>
      </c>
      <c r="BU8" s="6" t="s">
        <v>161</v>
      </c>
      <c r="BV8" s="51" t="s">
        <v>33</v>
      </c>
      <c r="BW8" s="51" t="s">
        <v>51</v>
      </c>
      <c r="BX8" s="51" t="s">
        <v>52</v>
      </c>
      <c r="BY8" s="51" t="s">
        <v>28</v>
      </c>
      <c r="BZ8" s="6"/>
      <c r="CA8" s="6" t="s">
        <v>158</v>
      </c>
      <c r="CB8" s="6" t="s">
        <v>159</v>
      </c>
      <c r="CC8" s="6" t="s">
        <v>160</v>
      </c>
      <c r="CD8" s="6" t="s">
        <v>161</v>
      </c>
      <c r="CE8" s="51" t="s">
        <v>33</v>
      </c>
      <c r="CF8" s="51" t="s">
        <v>51</v>
      </c>
      <c r="CG8" s="51" t="s">
        <v>52</v>
      </c>
      <c r="CH8" s="51" t="s">
        <v>28</v>
      </c>
      <c r="CI8" s="6"/>
      <c r="CJ8" s="6" t="s">
        <v>158</v>
      </c>
      <c r="CK8" s="6" t="s">
        <v>159</v>
      </c>
      <c r="CL8" s="6" t="s">
        <v>160</v>
      </c>
      <c r="CM8" s="6" t="s">
        <v>161</v>
      </c>
      <c r="CN8" s="51" t="s">
        <v>33</v>
      </c>
      <c r="CO8" s="51" t="s">
        <v>51</v>
      </c>
      <c r="CP8" s="51" t="s">
        <v>52</v>
      </c>
      <c r="CQ8" s="51" t="s">
        <v>28</v>
      </c>
      <c r="CR8" s="51" t="s">
        <v>143</v>
      </c>
      <c r="CT8" s="734"/>
      <c r="CU8" s="6" t="s">
        <v>158</v>
      </c>
      <c r="CV8" s="6" t="s">
        <v>159</v>
      </c>
      <c r="CW8" s="6" t="s">
        <v>160</v>
      </c>
      <c r="CX8" s="6" t="s">
        <v>161</v>
      </c>
      <c r="CY8" s="51" t="s">
        <v>33</v>
      </c>
      <c r="CZ8" s="51" t="s">
        <v>51</v>
      </c>
      <c r="DA8" s="51" t="s">
        <v>52</v>
      </c>
      <c r="DB8" s="51" t="s">
        <v>28</v>
      </c>
      <c r="DC8" s="51" t="s">
        <v>143</v>
      </c>
      <c r="DD8" s="151" t="s">
        <v>293</v>
      </c>
      <c r="DE8" s="140"/>
      <c r="DF8" s="6" t="s">
        <v>158</v>
      </c>
      <c r="DG8" s="6" t="s">
        <v>159</v>
      </c>
      <c r="DH8" s="6" t="s">
        <v>160</v>
      </c>
      <c r="DI8" s="6" t="s">
        <v>161</v>
      </c>
      <c r="DJ8" s="51" t="s">
        <v>33</v>
      </c>
      <c r="DK8" s="51" t="s">
        <v>51</v>
      </c>
      <c r="DL8" s="51" t="s">
        <v>52</v>
      </c>
      <c r="DM8" s="51" t="s">
        <v>28</v>
      </c>
      <c r="DN8" s="51" t="s">
        <v>143</v>
      </c>
      <c r="DO8" s="140"/>
    </row>
    <row r="9" spans="1:119">
      <c r="A9" s="46">
        <v>1979</v>
      </c>
      <c r="B9" s="141">
        <f>D9-E9</f>
        <v>0.144776109915911</v>
      </c>
      <c r="C9" s="46"/>
      <c r="D9" s="141">
        <f>SUM(G9:N9)*2</f>
        <v>0.57650352766267099</v>
      </c>
      <c r="E9" s="141">
        <f>SUM(Y9:AF9)*2</f>
        <v>0.43172741774675999</v>
      </c>
      <c r="F9" s="46"/>
      <c r="G9" s="157">
        <f>(P$5-P9)*P$4</f>
        <v>3.5832534387986073E-2</v>
      </c>
      <c r="H9" s="157">
        <f t="shared" ref="H9:M9" si="1">(Q$5-Q9)*Q$4</f>
        <v>6.0940650142602242E-2</v>
      </c>
      <c r="I9" s="157">
        <f t="shared" si="1"/>
        <v>7.3836041047444609E-2</v>
      </c>
      <c r="J9" s="157">
        <f t="shared" si="1"/>
        <v>7.0891291011079341E-2</v>
      </c>
      <c r="K9" s="157">
        <f t="shared" si="1"/>
        <v>2.9553838518509557E-2</v>
      </c>
      <c r="L9" s="157">
        <f t="shared" si="1"/>
        <v>1.1710565615378766E-2</v>
      </c>
      <c r="M9" s="157">
        <f t="shared" si="1"/>
        <v>5.4868431083349113E-3</v>
      </c>
      <c r="N9" s="157">
        <f>(W$5-W9)*W$4</f>
        <v>0</v>
      </c>
      <c r="O9" s="46"/>
      <c r="P9" s="154">
        <f>AQ9/SUM($AQ9:$AX9)</f>
        <v>2.083732806006967E-2</v>
      </c>
      <c r="Q9" s="154">
        <f t="shared" ref="Q9:V10" si="2">P9+AR9/SUM($AQ9:$AX9)</f>
        <v>9.5296749286988808E-2</v>
      </c>
      <c r="R9" s="154">
        <f t="shared" si="2"/>
        <v>0.23081979476277709</v>
      </c>
      <c r="S9" s="154">
        <f t="shared" si="2"/>
        <v>0.44554354494460335</v>
      </c>
      <c r="T9" s="154">
        <f t="shared" si="2"/>
        <v>0.60446161481490446</v>
      </c>
      <c r="U9" s="154">
        <f t="shared" si="2"/>
        <v>0.71578868769242476</v>
      </c>
      <c r="V9" s="154">
        <f t="shared" si="2"/>
        <v>0.85282892229162732</v>
      </c>
      <c r="W9" s="162">
        <v>1</v>
      </c>
      <c r="X9" s="154"/>
      <c r="Y9" s="142">
        <f t="shared" ref="Y9:AF9" si="3">(P$5-AH9)*P$4</f>
        <v>3.0029910269192429E-2</v>
      </c>
      <c r="Z9" s="142">
        <f t="shared" si="3"/>
        <v>4.7696909272183459E-2</v>
      </c>
      <c r="AA9" s="142">
        <f t="shared" si="3"/>
        <v>5.5792622133599236E-2</v>
      </c>
      <c r="AB9" s="142">
        <f t="shared" si="3"/>
        <v>5.1126620139581296E-2</v>
      </c>
      <c r="AC9" s="142">
        <f t="shared" si="3"/>
        <v>2.0309072781655047E-2</v>
      </c>
      <c r="AD9" s="142">
        <f t="shared" si="3"/>
        <v>7.7193419740777761E-3</v>
      </c>
      <c r="AE9" s="142">
        <f t="shared" si="3"/>
        <v>3.1892323030907389E-3</v>
      </c>
      <c r="AF9" s="142">
        <f t="shared" si="3"/>
        <v>0</v>
      </c>
      <c r="AH9" s="158">
        <f>AZ9/SUM($AZ9:$BG9)</f>
        <v>4.9850448654037878E-2</v>
      </c>
      <c r="AI9" s="158">
        <f t="shared" ref="AI9:AN9" si="4">AH9+BA9/SUM($AZ9:$BG9)</f>
        <v>0.16151545363908273</v>
      </c>
      <c r="AJ9" s="158">
        <f t="shared" si="4"/>
        <v>0.32103688933200392</v>
      </c>
      <c r="AK9" s="158">
        <f t="shared" si="4"/>
        <v>0.54436689930209359</v>
      </c>
      <c r="AL9" s="158">
        <f t="shared" si="4"/>
        <v>0.69690927218344956</v>
      </c>
      <c r="AM9" s="158">
        <f t="shared" si="4"/>
        <v>0.79561316051844455</v>
      </c>
      <c r="AN9" s="158">
        <f t="shared" si="4"/>
        <v>0.91026919242273163</v>
      </c>
      <c r="AO9" s="158">
        <v>1</v>
      </c>
      <c r="AP9" s="143"/>
      <c r="AQ9" s="143">
        <f t="shared" ref="AQ9:AQ46" si="5">CJ9/$CR9</f>
        <v>2.0837328060069667E-2</v>
      </c>
      <c r="AR9" s="143">
        <f t="shared" ref="AR9:AR46" si="6">CK9/$CR9</f>
        <v>7.445942122691912E-2</v>
      </c>
      <c r="AS9" s="143">
        <f t="shared" ref="AS9:AS46" si="7">CL9/$CR9</f>
        <v>0.13552304547578825</v>
      </c>
      <c r="AT9" s="143">
        <f t="shared" ref="AT9:AT46" si="8">CM9/$CR9</f>
        <v>0.21472375018182621</v>
      </c>
      <c r="AU9" s="143">
        <f t="shared" ref="AU9:AU46" si="9">CN9/$CR9</f>
        <v>0.15891806987030105</v>
      </c>
      <c r="AV9" s="143">
        <f t="shared" ref="AV9:AV46" si="10">CO9/$CR9</f>
        <v>0.11132707287752028</v>
      </c>
      <c r="AW9" s="143">
        <f t="shared" ref="AW9:AW46" si="11">CP9/$CR9</f>
        <v>0.1370402345992025</v>
      </c>
      <c r="AX9" s="143">
        <f t="shared" ref="AX9:AX46" si="12">CQ9/$CR9</f>
        <v>0.1471710777083729</v>
      </c>
      <c r="AZ9" s="152">
        <f>Shares!D50</f>
        <v>5</v>
      </c>
      <c r="BA9" s="152">
        <f>Shares!E50</f>
        <v>11.2</v>
      </c>
      <c r="BB9" s="152">
        <f>Shares!F50</f>
        <v>16</v>
      </c>
      <c r="BC9" s="152">
        <f>Shares!G50</f>
        <v>22.4</v>
      </c>
      <c r="BD9" s="152">
        <f>Shares!J50</f>
        <v>15.3</v>
      </c>
      <c r="BE9" s="152">
        <f>Shares!K50</f>
        <v>9.9</v>
      </c>
      <c r="BF9" s="152">
        <f>Shares!L50</f>
        <v>11.5</v>
      </c>
      <c r="BG9" s="152">
        <f>Shares!M50</f>
        <v>9</v>
      </c>
      <c r="BI9" s="146">
        <f>TxRt!B53</f>
        <v>9.3000000000000007</v>
      </c>
      <c r="BJ9" s="146">
        <f>TxRt!B96</f>
        <v>15</v>
      </c>
      <c r="BK9" s="146">
        <f>TxRt!B136</f>
        <v>19.100000000000001</v>
      </c>
      <c r="BL9" s="146">
        <f>TxRt!B176</f>
        <v>21.7</v>
      </c>
      <c r="BM9" s="146">
        <f>TxRt!B256</f>
        <v>23.6</v>
      </c>
      <c r="BN9" s="146">
        <f>TxRt!B296</f>
        <v>25.2</v>
      </c>
      <c r="BO9" s="146">
        <f>TxRt!B336</f>
        <v>27.1</v>
      </c>
      <c r="BP9" s="146">
        <f>TxRt!B376</f>
        <v>35.1</v>
      </c>
      <c r="BQ9" s="46"/>
      <c r="BR9" s="60">
        <f>Inc!B50</f>
        <v>15500</v>
      </c>
      <c r="BS9" s="60">
        <f>Inc!B90</f>
        <v>37100</v>
      </c>
      <c r="BT9" s="60">
        <f>Inc!B130</f>
        <v>56900</v>
      </c>
      <c r="BU9" s="60">
        <f>Inc!B170</f>
        <v>77300</v>
      </c>
      <c r="BV9" s="60">
        <f>Inc!B250</f>
        <v>100500</v>
      </c>
      <c r="BW9" s="60">
        <f>Inc!B290</f>
        <v>124200</v>
      </c>
      <c r="BX9" s="60">
        <f>Inc!B330</f>
        <v>179800</v>
      </c>
      <c r="BY9" s="60">
        <f>Inc!B370</f>
        <v>563200</v>
      </c>
      <c r="CA9" s="60">
        <f t="shared" ref="CA9:CA46" si="13">BI9*BR9/100</f>
        <v>1441.5</v>
      </c>
      <c r="CB9" s="60">
        <f t="shared" ref="CB9:CB46" si="14">BJ9*BS9/100</f>
        <v>5565</v>
      </c>
      <c r="CC9" s="60">
        <f t="shared" ref="CC9:CC46" si="15">BK9*BT9/100</f>
        <v>10867.9</v>
      </c>
      <c r="CD9" s="60">
        <f t="shared" ref="CD9:CD46" si="16">BL9*BU9/100</f>
        <v>16774.099999999999</v>
      </c>
      <c r="CE9" s="60">
        <f t="shared" ref="CE9:CE46" si="17">BM9*BV9/100</f>
        <v>23718</v>
      </c>
      <c r="CF9" s="60">
        <f t="shared" ref="CF9:CF46" si="18">BN9*BW9/100</f>
        <v>31298.400000000001</v>
      </c>
      <c r="CG9" s="60">
        <f t="shared" ref="CG9:CG46" si="19">BO9*BX9/100</f>
        <v>48725.8</v>
      </c>
      <c r="CH9" s="60">
        <f t="shared" ref="CH9:CH46" si="20">BP9*BY9/100</f>
        <v>197683.20000000001</v>
      </c>
      <c r="CJ9" s="153">
        <f>CA9*CU9</f>
        <v>25190.212500000009</v>
      </c>
      <c r="CK9" s="153">
        <f t="shared" ref="CK9:CK45" si="21">CB9*CV9</f>
        <v>90013.875000000029</v>
      </c>
      <c r="CL9" s="153">
        <f t="shared" ref="CL9:CL45" si="22">CC9*CW9</f>
        <v>163833.59250000006</v>
      </c>
      <c r="CM9" s="153">
        <f t="shared" ref="CM9:CM45" si="23">CD9*CX9</f>
        <v>259579.19750000007</v>
      </c>
      <c r="CN9" s="153">
        <f t="shared" ref="CN9:CN45" si="24">CE9*CY9</f>
        <v>192115.8</v>
      </c>
      <c r="CO9" s="153">
        <f t="shared" ref="CO9:CO45" si="25">CF9*CZ9</f>
        <v>134583.12</v>
      </c>
      <c r="CP9" s="153">
        <f t="shared" ref="CP9:CP45" si="26">CG9*DA9</f>
        <v>165667.72</v>
      </c>
      <c r="CQ9" s="153">
        <f t="shared" ref="CQ9:CQ45" si="27">CH9*DB9</f>
        <v>177914.88</v>
      </c>
      <c r="CR9" s="153">
        <f>SUM(CJ9:CQ9)</f>
        <v>1208898.3975000002</v>
      </c>
      <c r="CT9" s="39">
        <v>221.9</v>
      </c>
      <c r="CU9" s="276">
        <f>Dem!B50+(DD9/4)</f>
        <v>17.475000000000005</v>
      </c>
      <c r="CV9" s="276">
        <f>Dem!B90+(DD9/4)</f>
        <v>16.175000000000004</v>
      </c>
      <c r="CW9" s="276">
        <f>Dem!B130+(DD9/4)</f>
        <v>15.075000000000005</v>
      </c>
      <c r="CX9" s="276">
        <f>Dem!B170+(DD9/4)</f>
        <v>15.475000000000005</v>
      </c>
      <c r="CY9" s="276">
        <f>Dem!B250</f>
        <v>8.1</v>
      </c>
      <c r="CZ9" s="276">
        <f>Dem!B290</f>
        <v>4.3</v>
      </c>
      <c r="DA9" s="276">
        <f>Dem!B330</f>
        <v>3.4</v>
      </c>
      <c r="DB9" s="276">
        <f>Dem!B370</f>
        <v>0.9</v>
      </c>
      <c r="DC9" s="275">
        <v>81.099999999999994</v>
      </c>
      <c r="DD9" s="46">
        <v>-9.9999999999980105E-2</v>
      </c>
      <c r="DE9" s="275"/>
      <c r="DF9" s="276">
        <f>Dem!$D50+(DO9/4)</f>
        <v>43.17499999999999</v>
      </c>
      <c r="DG9" s="276">
        <f>Dem!$D90+(DO9/4)</f>
        <v>44.17499999999999</v>
      </c>
      <c r="DH9" s="276">
        <f>Dem!$D130+(DO9/4)</f>
        <v>44.17499999999999</v>
      </c>
      <c r="DI9" s="276">
        <f>Dem!$D170+(DO9/4)</f>
        <v>44.17499999999999</v>
      </c>
      <c r="DJ9" s="275">
        <f>Dem!$D250</f>
        <v>22.2</v>
      </c>
      <c r="DK9" s="275">
        <f>Dem!$D290</f>
        <v>11.1</v>
      </c>
      <c r="DL9" s="275">
        <f>Dem!$D330</f>
        <v>8.9</v>
      </c>
      <c r="DM9" s="275">
        <f>Dem!$D370</f>
        <v>2.2000000000000002</v>
      </c>
      <c r="DN9" s="276">
        <f>CT9</f>
        <v>221.9</v>
      </c>
      <c r="DO9" s="44">
        <v>-0.90000000000003411</v>
      </c>
    </row>
    <row r="10" spans="1:119">
      <c r="A10" s="46">
        <f>A9+1</f>
        <v>1980</v>
      </c>
      <c r="B10" s="141">
        <f t="shared" ref="B10:B46" si="28">D10-E10</f>
        <v>0.14149268749371235</v>
      </c>
      <c r="C10" s="46"/>
      <c r="D10" s="141">
        <f t="shared" ref="D10:D46" si="29">SUM(G10:N10)*2</f>
        <v>0.5777066456193356</v>
      </c>
      <c r="E10" s="141">
        <f t="shared" ref="E10:E46" si="30">SUM(Y10:AF10)*2</f>
        <v>0.43621395812562325</v>
      </c>
      <c r="F10" s="46"/>
      <c r="G10" s="157">
        <f t="shared" ref="G10:G46" si="31">(P$5-P10)*P$4</f>
        <v>3.6074726098956601E-2</v>
      </c>
      <c r="H10" s="157">
        <f t="shared" ref="H10:H46" si="32">(Q$5-Q10)*Q$4</f>
        <v>6.1646578380007283E-2</v>
      </c>
      <c r="I10" s="157">
        <f t="shared" ref="I10:I46" si="33">(R$5-R10)*R$4</f>
        <v>7.4603049334866375E-2</v>
      </c>
      <c r="J10" s="157">
        <f t="shared" ref="J10:J46" si="34">(S$5-S10)*S$4</f>
        <v>7.1126834514880513E-2</v>
      </c>
      <c r="K10" s="157">
        <f t="shared" ref="K10:K46" si="35">(T$5-T10)*T$4</f>
        <v>2.9003105849135513E-2</v>
      </c>
      <c r="L10" s="157">
        <f t="shared" ref="L10:L46" si="36">(U$5-U10)*U$4</f>
        <v>1.1354113569662616E-2</v>
      </c>
      <c r="M10" s="157">
        <f t="shared" ref="M10:M46" si="37">(V$5-V10)*V$4</f>
        <v>5.0449150621589348E-3</v>
      </c>
      <c r="N10" s="157">
        <f t="shared" ref="N10:N46" si="38">(W$5-W10)*W$4</f>
        <v>0</v>
      </c>
      <c r="O10" s="46"/>
      <c r="P10" s="154">
        <f>AQ10/SUM($AQ10:$AX10)</f>
        <v>1.9626369505217001E-2</v>
      </c>
      <c r="Q10" s="154">
        <f t="shared" si="2"/>
        <v>9.1767108099963621E-2</v>
      </c>
      <c r="R10" s="154">
        <f t="shared" si="2"/>
        <v>0.2269847533256682</v>
      </c>
      <c r="S10" s="154">
        <f t="shared" si="2"/>
        <v>0.44436582742559749</v>
      </c>
      <c r="T10" s="154">
        <f t="shared" si="2"/>
        <v>0.60996894150864489</v>
      </c>
      <c r="U10" s="154">
        <f t="shared" si="2"/>
        <v>0.72291772860674774</v>
      </c>
      <c r="V10" s="154">
        <f t="shared" si="2"/>
        <v>0.86387712344602674</v>
      </c>
      <c r="W10" s="162">
        <f>W9</f>
        <v>1</v>
      </c>
      <c r="X10" s="154"/>
      <c r="Y10" s="142">
        <f>(P$5-AH10)*P$4</f>
        <v>3.0229312063808578E-2</v>
      </c>
      <c r="Z10" s="142">
        <f t="shared" ref="Z10:AE10" si="39">(Q$5-AI10)*Q$4</f>
        <v>4.8295114656031909E-2</v>
      </c>
      <c r="AA10" s="142">
        <f t="shared" si="39"/>
        <v>5.6390827517447673E-2</v>
      </c>
      <c r="AB10" s="142">
        <f t="shared" si="39"/>
        <v>5.1724825523429718E-2</v>
      </c>
      <c r="AC10" s="142">
        <f t="shared" si="39"/>
        <v>2.0508474576271186E-2</v>
      </c>
      <c r="AD10" s="142">
        <f t="shared" si="39"/>
        <v>7.7691924227318082E-3</v>
      </c>
      <c r="AE10" s="142">
        <f t="shared" si="39"/>
        <v>3.1892323030907298E-3</v>
      </c>
      <c r="AF10" s="142">
        <f>(W$5-AO10)*W$4</f>
        <v>0</v>
      </c>
      <c r="AH10" s="158">
        <f t="shared" ref="AH10:AH46" si="40">AZ10/SUM($AZ10:$BG10)</f>
        <v>4.8853439680957136E-2</v>
      </c>
      <c r="AI10" s="158">
        <f t="shared" ref="AI10:AI46" si="41">AH10+BA10/SUM($AZ10:$BG10)</f>
        <v>0.15852442671984049</v>
      </c>
      <c r="AJ10" s="158">
        <f t="shared" ref="AJ10:AJ46" si="42">AI10+BB10/SUM($AZ10:$BG10)</f>
        <v>0.31804586241276173</v>
      </c>
      <c r="AK10" s="158">
        <f t="shared" ref="AK10:AK46" si="43">AJ10+BC10/SUM($AZ10:$BG10)</f>
        <v>0.54137587238285145</v>
      </c>
      <c r="AL10" s="158">
        <f t="shared" ref="AL10:AL46" si="44">AK10+BD10/SUM($AZ10:$BG10)</f>
        <v>0.69491525423728817</v>
      </c>
      <c r="AM10" s="158">
        <f t="shared" ref="AM10:AM46" si="45">AL10+BE10/SUM($AZ10:$BG10)</f>
        <v>0.79461615154536391</v>
      </c>
      <c r="AN10" s="158">
        <f t="shared" ref="AN10:AN46" si="46">AM10+BF10/SUM($AZ10:$BG10)</f>
        <v>0.91026919242273185</v>
      </c>
      <c r="AO10" s="158">
        <v>1</v>
      </c>
      <c r="AP10" s="143"/>
      <c r="AQ10" s="143">
        <f t="shared" si="5"/>
        <v>1.9626369505217001E-2</v>
      </c>
      <c r="AR10" s="143">
        <f t="shared" si="6"/>
        <v>7.2140738594746623E-2</v>
      </c>
      <c r="AS10" s="143">
        <f t="shared" si="7"/>
        <v>0.13521764522570459</v>
      </c>
      <c r="AT10" s="143">
        <f t="shared" si="8"/>
        <v>0.21738107409992927</v>
      </c>
      <c r="AU10" s="143">
        <f t="shared" si="9"/>
        <v>0.16560311408304734</v>
      </c>
      <c r="AV10" s="143">
        <f t="shared" si="10"/>
        <v>0.11294878709810288</v>
      </c>
      <c r="AW10" s="143">
        <f t="shared" si="11"/>
        <v>0.14095939483927902</v>
      </c>
      <c r="AX10" s="143">
        <f t="shared" si="12"/>
        <v>0.13612287655397326</v>
      </c>
      <c r="AY10" s="46"/>
      <c r="AZ10" s="152">
        <f>Shares!D51</f>
        <v>4.9000000000000004</v>
      </c>
      <c r="BA10" s="152">
        <f>Shares!E51</f>
        <v>11</v>
      </c>
      <c r="BB10" s="152">
        <f>Shares!F51</f>
        <v>16</v>
      </c>
      <c r="BC10" s="152">
        <f>Shares!G51</f>
        <v>22.4</v>
      </c>
      <c r="BD10" s="152">
        <f>Shares!J51</f>
        <v>15.4</v>
      </c>
      <c r="BE10" s="152">
        <f>Shares!K51</f>
        <v>10</v>
      </c>
      <c r="BF10" s="152">
        <f>Shares!L51</f>
        <v>11.6</v>
      </c>
      <c r="BG10" s="152">
        <f>Shares!M51</f>
        <v>9</v>
      </c>
      <c r="BI10" s="146">
        <f>TxRt!B54</f>
        <v>8.9</v>
      </c>
      <c r="BJ10" s="146">
        <f>TxRt!B97</f>
        <v>14.7</v>
      </c>
      <c r="BK10" s="146">
        <f>TxRt!B137</f>
        <v>19</v>
      </c>
      <c r="BL10" s="146">
        <f>TxRt!B177</f>
        <v>21.8</v>
      </c>
      <c r="BM10" s="146">
        <f>TxRt!B257</f>
        <v>24</v>
      </c>
      <c r="BN10" s="146">
        <f>TxRt!B297</f>
        <v>25.5</v>
      </c>
      <c r="BO10" s="146">
        <f>TxRt!B337</f>
        <v>27.4</v>
      </c>
      <c r="BP10" s="146">
        <f>TxRt!B377</f>
        <v>33.1</v>
      </c>
      <c r="BQ10" s="46"/>
      <c r="BR10" s="60">
        <f>Inc!B51</f>
        <v>14900</v>
      </c>
      <c r="BS10" s="60">
        <f>Inc!B91</f>
        <v>35600</v>
      </c>
      <c r="BT10" s="60">
        <f>Inc!B131</f>
        <v>55000</v>
      </c>
      <c r="BU10" s="60">
        <f>Inc!B171</f>
        <v>75100</v>
      </c>
      <c r="BV10" s="60">
        <f>Inc!B251</f>
        <v>98300</v>
      </c>
      <c r="BW10" s="60">
        <f>Inc!B291</f>
        <v>121800</v>
      </c>
      <c r="BX10" s="60">
        <f>Inc!B331</f>
        <v>173800</v>
      </c>
      <c r="BY10" s="60">
        <f>Inc!B371</f>
        <v>540300</v>
      </c>
      <c r="CA10" s="60">
        <f t="shared" si="13"/>
        <v>1326.1</v>
      </c>
      <c r="CB10" s="60">
        <f t="shared" si="14"/>
        <v>5233.2</v>
      </c>
      <c r="CC10" s="60">
        <f t="shared" si="15"/>
        <v>10450</v>
      </c>
      <c r="CD10" s="60">
        <f t="shared" si="16"/>
        <v>16371.8</v>
      </c>
      <c r="CE10" s="60">
        <f t="shared" si="17"/>
        <v>23592</v>
      </c>
      <c r="CF10" s="60">
        <f t="shared" si="18"/>
        <v>31059</v>
      </c>
      <c r="CG10" s="60">
        <f t="shared" si="19"/>
        <v>47621.2</v>
      </c>
      <c r="CH10" s="60">
        <f t="shared" si="20"/>
        <v>178839.3</v>
      </c>
      <c r="CJ10" s="153">
        <f t="shared" ref="CJ10:CJ45" si="47">CA10*CU10</f>
        <v>23206.750000000004</v>
      </c>
      <c r="CK10" s="153">
        <f t="shared" si="21"/>
        <v>85301.16</v>
      </c>
      <c r="CL10" s="153">
        <f t="shared" si="22"/>
        <v>159885.00000000003</v>
      </c>
      <c r="CM10" s="153">
        <f t="shared" si="23"/>
        <v>257037.26000000004</v>
      </c>
      <c r="CN10" s="153">
        <f t="shared" si="24"/>
        <v>195813.6</v>
      </c>
      <c r="CO10" s="153">
        <f t="shared" si="25"/>
        <v>133553.69999999998</v>
      </c>
      <c r="CP10" s="153">
        <f t="shared" si="26"/>
        <v>166674.19999999998</v>
      </c>
      <c r="CQ10" s="153">
        <f t="shared" si="27"/>
        <v>160955.37</v>
      </c>
      <c r="CR10" s="153">
        <f t="shared" ref="CR10:CR46" si="48">SUM(CJ10:CQ10)</f>
        <v>1182427.04</v>
      </c>
      <c r="CT10" s="39">
        <v>224.5</v>
      </c>
      <c r="CU10" s="276">
        <f>Dem!B51+(DD10/4)</f>
        <v>17.500000000000004</v>
      </c>
      <c r="CV10" s="276">
        <f>Dem!B91+(DD10/4)</f>
        <v>16.3</v>
      </c>
      <c r="CW10" s="276">
        <f>Dem!B131+(DD10/4)</f>
        <v>15.300000000000002</v>
      </c>
      <c r="CX10" s="276">
        <f>Dem!B171+(DD10/4)</f>
        <v>15.700000000000003</v>
      </c>
      <c r="CY10" s="276">
        <f>Dem!B251</f>
        <v>8.3000000000000007</v>
      </c>
      <c r="CZ10" s="276">
        <f>Dem!B291</f>
        <v>4.3</v>
      </c>
      <c r="DA10" s="276">
        <f>Dem!B331</f>
        <v>3.5</v>
      </c>
      <c r="DB10" s="276">
        <f>Dem!B371</f>
        <v>0.9</v>
      </c>
      <c r="DC10" s="275">
        <v>82.6</v>
      </c>
      <c r="DD10" s="46">
        <v>-0.39999999999999147</v>
      </c>
      <c r="DE10" s="275"/>
      <c r="DF10" s="276">
        <f>Dem!$D51+(DO10/4)</f>
        <v>43.15</v>
      </c>
      <c r="DG10" s="276">
        <f>Dem!$D91+(DO10/4)</f>
        <v>44.55</v>
      </c>
      <c r="DH10" s="276">
        <f>Dem!$D131+(DO10/4)</f>
        <v>44.55</v>
      </c>
      <c r="DI10" s="276">
        <f>Dem!$D171+(DO10/4)</f>
        <v>44.55</v>
      </c>
      <c r="DJ10" s="275">
        <f>Dem!$D251</f>
        <v>22.5</v>
      </c>
      <c r="DK10" s="275">
        <f>Dem!$D291</f>
        <v>11.2</v>
      </c>
      <c r="DL10" s="275">
        <f>Dem!$D331</f>
        <v>9</v>
      </c>
      <c r="DM10" s="275">
        <f>Dem!$D371</f>
        <v>2.2000000000000002</v>
      </c>
      <c r="DN10" s="276">
        <f t="shared" ref="DN10:DN46" si="49">CT10</f>
        <v>224.5</v>
      </c>
      <c r="DO10" s="44">
        <v>-1.4000000000000057</v>
      </c>
    </row>
    <row r="11" spans="1:119">
      <c r="A11" s="46">
        <f t="shared" ref="A11:A46" si="50">A10+1</f>
        <v>1981</v>
      </c>
      <c r="B11" s="141">
        <f t="shared" si="28"/>
        <v>0.12679562212610018</v>
      </c>
      <c r="C11" s="46"/>
      <c r="D11" s="141">
        <f t="shared" si="29"/>
        <v>0.56736378133008036</v>
      </c>
      <c r="E11" s="141">
        <f t="shared" si="30"/>
        <v>0.44056815920398018</v>
      </c>
      <c r="F11" s="46"/>
      <c r="G11" s="157">
        <f t="shared" si="31"/>
        <v>3.5999018348632603E-2</v>
      </c>
      <c r="H11" s="157">
        <f t="shared" si="32"/>
        <v>6.1318104957584135E-2</v>
      </c>
      <c r="I11" s="157">
        <f t="shared" si="33"/>
        <v>7.3684364749785375E-2</v>
      </c>
      <c r="J11" s="157">
        <f t="shared" si="34"/>
        <v>6.955079372114048E-2</v>
      </c>
      <c r="K11" s="157">
        <f t="shared" si="35"/>
        <v>2.7913545059297051E-2</v>
      </c>
      <c r="L11" s="157">
        <f t="shared" si="36"/>
        <v>1.0741282546239267E-2</v>
      </c>
      <c r="M11" s="157">
        <f t="shared" si="37"/>
        <v>4.474781282361273E-3</v>
      </c>
      <c r="N11" s="157">
        <f t="shared" si="38"/>
        <v>0</v>
      </c>
      <c r="O11" s="46"/>
      <c r="P11" s="154">
        <f t="shared" ref="P11:P46" si="51">AQ11/SUM($AQ11:$AX11)</f>
        <v>2.0004908256837008E-2</v>
      </c>
      <c r="Q11" s="154">
        <f t="shared" ref="Q11:Q46" si="52">P11+AR11/SUM($AQ11:$AX11)</f>
        <v>9.3409475212079374E-2</v>
      </c>
      <c r="R11" s="154">
        <f t="shared" ref="R11:R46" si="53">Q11+AS11/SUM($AQ11:$AX11)</f>
        <v>0.23157817625107327</v>
      </c>
      <c r="S11" s="154">
        <f t="shared" ref="S11:S46" si="54">R11+AT11/SUM($AQ11:$AX11)</f>
        <v>0.45224603139429764</v>
      </c>
      <c r="T11" s="154">
        <f t="shared" ref="T11:T46" si="55">S11+AU11/SUM($AQ11:$AX11)</f>
        <v>0.62086454940702951</v>
      </c>
      <c r="U11" s="154">
        <f t="shared" ref="U11:U46" si="56">T11+AV11/SUM($AQ11:$AX11)</f>
        <v>0.73517434907521473</v>
      </c>
      <c r="V11" s="154">
        <f t="shared" ref="V11:V46" si="57">U11+AW11/SUM($AQ11:$AX11)</f>
        <v>0.87813046794096827</v>
      </c>
      <c r="W11" s="162">
        <f t="shared" ref="W11:W46" si="58">W10</f>
        <v>1</v>
      </c>
      <c r="X11" s="154"/>
      <c r="Y11" s="142">
        <f t="shared" ref="Y11:Y46" si="59">(P$5-AH11)*P$4</f>
        <v>3.0646766169154235E-2</v>
      </c>
      <c r="Z11" s="142">
        <f t="shared" ref="Z11:Z46" si="60">(Q$5-AI11)*Q$4</f>
        <v>4.8955223880597025E-2</v>
      </c>
      <c r="AA11" s="142">
        <f t="shared" ref="AA11:AA46" si="61">(R$5-AJ11)*R$4</f>
        <v>5.6915422885572158E-2</v>
      </c>
      <c r="AB11" s="142">
        <f t="shared" ref="AB11:AB46" si="62">(S$5-AK11)*S$4</f>
        <v>5.2139303482587065E-2</v>
      </c>
      <c r="AC11" s="142">
        <f t="shared" ref="AC11:AC46" si="63">(T$5-AL11)*T$4</f>
        <v>2.0646766169154229E-2</v>
      </c>
      <c r="AD11" s="142">
        <f t="shared" ref="AD11:AD46" si="64">(U$5-AM11)*U$4</f>
        <v>7.7985074626865719E-3</v>
      </c>
      <c r="AE11" s="142">
        <f t="shared" ref="AE11:AE46" si="65">(V$5-AN11)*V$4</f>
        <v>3.1820895522388115E-3</v>
      </c>
      <c r="AF11" s="142">
        <f t="shared" ref="AF11:AF46" si="66">(W$5-AO11)*W$4</f>
        <v>0</v>
      </c>
      <c r="AH11" s="158">
        <f t="shared" si="40"/>
        <v>4.6766169154228855E-2</v>
      </c>
      <c r="AI11" s="158">
        <f t="shared" si="41"/>
        <v>0.15522388059701492</v>
      </c>
      <c r="AJ11" s="158">
        <f t="shared" si="42"/>
        <v>0.31542288557213932</v>
      </c>
      <c r="AK11" s="158">
        <f t="shared" si="43"/>
        <v>0.53930348258706473</v>
      </c>
      <c r="AL11" s="158">
        <f t="shared" si="44"/>
        <v>0.69353233830845773</v>
      </c>
      <c r="AM11" s="158">
        <f t="shared" si="45"/>
        <v>0.79402985074626864</v>
      </c>
      <c r="AN11" s="158">
        <f t="shared" si="46"/>
        <v>0.91044776119402981</v>
      </c>
      <c r="AO11" s="158">
        <v>1</v>
      </c>
      <c r="AP11" s="143"/>
      <c r="AQ11" s="143">
        <f t="shared" si="5"/>
        <v>2.0004908256837005E-2</v>
      </c>
      <c r="AR11" s="143">
        <f t="shared" si="6"/>
        <v>7.3404566955242348E-2</v>
      </c>
      <c r="AS11" s="143">
        <f t="shared" si="7"/>
        <v>0.13816870103899387</v>
      </c>
      <c r="AT11" s="143">
        <f t="shared" si="8"/>
        <v>0.22066785514322437</v>
      </c>
      <c r="AU11" s="143">
        <f t="shared" si="9"/>
        <v>0.16861851801273181</v>
      </c>
      <c r="AV11" s="143">
        <f t="shared" si="10"/>
        <v>0.11430979966818526</v>
      </c>
      <c r="AW11" s="143">
        <f t="shared" si="11"/>
        <v>0.14295611886575346</v>
      </c>
      <c r="AX11" s="143">
        <f t="shared" si="12"/>
        <v>0.12186953205903181</v>
      </c>
      <c r="AY11" s="46"/>
      <c r="AZ11" s="152">
        <f>Shares!D52</f>
        <v>4.7</v>
      </c>
      <c r="BA11" s="152">
        <f>Shares!E52</f>
        <v>10.9</v>
      </c>
      <c r="BB11" s="152">
        <f>Shares!F52</f>
        <v>16.100000000000001</v>
      </c>
      <c r="BC11" s="152">
        <f>Shares!G52</f>
        <v>22.5</v>
      </c>
      <c r="BD11" s="152">
        <f>Shares!J52</f>
        <v>15.5</v>
      </c>
      <c r="BE11" s="152">
        <f>Shares!K52</f>
        <v>10.1</v>
      </c>
      <c r="BF11" s="152">
        <f>Shares!L52</f>
        <v>11.7</v>
      </c>
      <c r="BG11" s="152">
        <f>Shares!M52</f>
        <v>9</v>
      </c>
      <c r="BI11" s="146">
        <f>TxRt!B55</f>
        <v>9.6</v>
      </c>
      <c r="BJ11" s="146">
        <f>TxRt!B98</f>
        <v>15.2</v>
      </c>
      <c r="BK11" s="146">
        <f>TxRt!B138</f>
        <v>19.399999999999999</v>
      </c>
      <c r="BL11" s="146">
        <f>TxRt!B178</f>
        <v>22.3</v>
      </c>
      <c r="BM11" s="146">
        <f>TxRt!B258</f>
        <v>24.5</v>
      </c>
      <c r="BN11" s="146">
        <f>TxRt!B298</f>
        <v>25.8</v>
      </c>
      <c r="BO11" s="146">
        <f>TxRt!B338</f>
        <v>27.2</v>
      </c>
      <c r="BP11" s="146">
        <f>TxRt!B378</f>
        <v>30.5</v>
      </c>
      <c r="BQ11" s="46"/>
      <c r="BR11" s="60">
        <f>Inc!B52</f>
        <v>14700</v>
      </c>
      <c r="BS11" s="60">
        <f>Inc!B92</f>
        <v>35300</v>
      </c>
      <c r="BT11" s="60">
        <f>Inc!B132</f>
        <v>54700</v>
      </c>
      <c r="BU11" s="60">
        <f>Inc!B172</f>
        <v>76000</v>
      </c>
      <c r="BV11" s="60">
        <f>Inc!B252</f>
        <v>98100</v>
      </c>
      <c r="BW11" s="60">
        <f>Inc!B292</f>
        <v>122000</v>
      </c>
      <c r="BX11" s="60">
        <f>Inc!B332</f>
        <v>172100</v>
      </c>
      <c r="BY11" s="60">
        <f>Inc!B372</f>
        <v>537900</v>
      </c>
      <c r="CA11" s="60">
        <f t="shared" si="13"/>
        <v>1411.2</v>
      </c>
      <c r="CB11" s="60">
        <f t="shared" si="14"/>
        <v>5365.6</v>
      </c>
      <c r="CC11" s="60">
        <f t="shared" si="15"/>
        <v>10611.8</v>
      </c>
      <c r="CD11" s="60">
        <f t="shared" si="16"/>
        <v>16948</v>
      </c>
      <c r="CE11" s="60">
        <f t="shared" si="17"/>
        <v>24034.5</v>
      </c>
      <c r="CF11" s="60">
        <f t="shared" si="18"/>
        <v>31476</v>
      </c>
      <c r="CG11" s="60">
        <f t="shared" si="19"/>
        <v>46811.199999999997</v>
      </c>
      <c r="CH11" s="60">
        <f t="shared" si="20"/>
        <v>164059.5</v>
      </c>
      <c r="CJ11" s="153">
        <f t="shared" si="47"/>
        <v>24237.360000000008</v>
      </c>
      <c r="CK11" s="153">
        <f t="shared" si="21"/>
        <v>88934.820000000022</v>
      </c>
      <c r="CL11" s="153">
        <f t="shared" si="22"/>
        <v>167401.14500000002</v>
      </c>
      <c r="CM11" s="153">
        <f t="shared" si="23"/>
        <v>267354.70000000007</v>
      </c>
      <c r="CN11" s="153">
        <f t="shared" si="24"/>
        <v>204293.25</v>
      </c>
      <c r="CO11" s="153">
        <f t="shared" si="25"/>
        <v>138494.40000000002</v>
      </c>
      <c r="CP11" s="153">
        <f t="shared" si="26"/>
        <v>173201.44</v>
      </c>
      <c r="CQ11" s="153">
        <f t="shared" si="27"/>
        <v>147653.55000000002</v>
      </c>
      <c r="CR11" s="153">
        <f t="shared" si="48"/>
        <v>1211570.6650000003</v>
      </c>
      <c r="CT11" s="39">
        <v>226</v>
      </c>
      <c r="CU11" s="276">
        <f>Dem!B52+(DD11/4)</f>
        <v>17.175000000000004</v>
      </c>
      <c r="CV11" s="276">
        <f>Dem!B92+(DD11/4)</f>
        <v>16.575000000000003</v>
      </c>
      <c r="CW11" s="276">
        <f>Dem!B132+(DD11/4)</f>
        <v>15.775000000000004</v>
      </c>
      <c r="CX11" s="276">
        <f>Dem!B172+(DD11/4)</f>
        <v>15.775000000000004</v>
      </c>
      <c r="CY11" s="276">
        <f>Dem!B252</f>
        <v>8.5</v>
      </c>
      <c r="CZ11" s="276">
        <f>Dem!B292</f>
        <v>4.4000000000000004</v>
      </c>
      <c r="DA11" s="276">
        <f>Dem!B332</f>
        <v>3.7</v>
      </c>
      <c r="DB11" s="276">
        <f>Dem!B372</f>
        <v>0.9</v>
      </c>
      <c r="DC11" s="275">
        <v>83.8</v>
      </c>
      <c r="DD11" s="46">
        <v>-0.49999999999998579</v>
      </c>
      <c r="DE11" s="275"/>
      <c r="DF11" s="276">
        <f>Dem!$D52+(DO11/4)</f>
        <v>43.2</v>
      </c>
      <c r="DG11" s="276">
        <f>Dem!$D92+(DO11/4)</f>
        <v>44.800000000000004</v>
      </c>
      <c r="DH11" s="276">
        <f>Dem!$D132+(DO11/4)</f>
        <v>44.800000000000004</v>
      </c>
      <c r="DI11" s="276">
        <f>Dem!$D172+(DO11/4)</f>
        <v>44.800000000000004</v>
      </c>
      <c r="DJ11" s="275">
        <f>Dem!$D252</f>
        <v>22.6</v>
      </c>
      <c r="DK11" s="275">
        <f>Dem!$D292</f>
        <v>11.3</v>
      </c>
      <c r="DL11" s="275">
        <f>Dem!$D332</f>
        <v>9</v>
      </c>
      <c r="DM11" s="275">
        <f>Dem!$D372</f>
        <v>2.2999999999999998</v>
      </c>
      <c r="DN11" s="276">
        <f t="shared" si="49"/>
        <v>226</v>
      </c>
      <c r="DO11" s="44">
        <v>-1.5999999999999943</v>
      </c>
    </row>
    <row r="12" spans="1:119">
      <c r="A12" s="46">
        <f t="shared" si="50"/>
        <v>1982</v>
      </c>
      <c r="B12" s="141">
        <f t="shared" si="28"/>
        <v>0.11600197333747542</v>
      </c>
      <c r="C12" s="46"/>
      <c r="D12" s="141">
        <f t="shared" si="29"/>
        <v>0.56721689871060976</v>
      </c>
      <c r="E12" s="141">
        <f t="shared" si="30"/>
        <v>0.45121492537313435</v>
      </c>
      <c r="F12" s="46"/>
      <c r="G12" s="157">
        <f t="shared" si="31"/>
        <v>3.5845075614118517E-2</v>
      </c>
      <c r="H12" s="157">
        <f t="shared" si="32"/>
        <v>6.1510156004761056E-2</v>
      </c>
      <c r="I12" s="157">
        <f t="shared" si="33"/>
        <v>7.3946901207872881E-2</v>
      </c>
      <c r="J12" s="157">
        <f t="shared" si="34"/>
        <v>6.9627489102944612E-2</v>
      </c>
      <c r="K12" s="157">
        <f t="shared" si="35"/>
        <v>2.7640290005497583E-2</v>
      </c>
      <c r="L12" s="157">
        <f t="shared" si="36"/>
        <v>1.0564700046782623E-2</v>
      </c>
      <c r="M12" s="157">
        <f t="shared" si="37"/>
        <v>4.4738373733276496E-3</v>
      </c>
      <c r="N12" s="157">
        <f t="shared" si="38"/>
        <v>0</v>
      </c>
      <c r="O12" s="46"/>
      <c r="P12" s="154">
        <f t="shared" si="51"/>
        <v>2.0774621929407419E-2</v>
      </c>
      <c r="Q12" s="154">
        <f t="shared" si="52"/>
        <v>9.2449219976194763E-2</v>
      </c>
      <c r="R12" s="154">
        <f t="shared" si="53"/>
        <v>0.23026549396063567</v>
      </c>
      <c r="S12" s="154">
        <f t="shared" si="54"/>
        <v>0.45186255448527701</v>
      </c>
      <c r="T12" s="154">
        <f t="shared" si="55"/>
        <v>0.62359709994502421</v>
      </c>
      <c r="U12" s="154">
        <f t="shared" si="56"/>
        <v>0.73870599906434764</v>
      </c>
      <c r="V12" s="154">
        <f t="shared" si="57"/>
        <v>0.87815406566680887</v>
      </c>
      <c r="W12" s="162">
        <f t="shared" si="58"/>
        <v>1</v>
      </c>
      <c r="X12" s="154"/>
      <c r="Y12" s="142">
        <f t="shared" si="59"/>
        <v>3.124378109452737E-2</v>
      </c>
      <c r="Z12" s="142">
        <f t="shared" si="60"/>
        <v>4.995024875621891E-2</v>
      </c>
      <c r="AA12" s="142">
        <f t="shared" si="61"/>
        <v>5.8308457711442802E-2</v>
      </c>
      <c r="AB12" s="142">
        <f t="shared" si="62"/>
        <v>5.3532338308457716E-2</v>
      </c>
      <c r="AC12" s="142">
        <f t="shared" si="63"/>
        <v>2.1144278606965175E-2</v>
      </c>
      <c r="AD12" s="142">
        <f t="shared" si="64"/>
        <v>8.0472636815920439E-3</v>
      </c>
      <c r="AE12" s="142">
        <f t="shared" si="65"/>
        <v>3.381094527363189E-3</v>
      </c>
      <c r="AF12" s="142">
        <f t="shared" si="66"/>
        <v>0</v>
      </c>
      <c r="AH12" s="158">
        <f t="shared" si="40"/>
        <v>4.3781094527363187E-2</v>
      </c>
      <c r="AI12" s="158">
        <f t="shared" si="41"/>
        <v>0.15024875621890549</v>
      </c>
      <c r="AJ12" s="158">
        <f t="shared" si="42"/>
        <v>0.30845771144278611</v>
      </c>
      <c r="AK12" s="158">
        <f t="shared" si="43"/>
        <v>0.53233830845771146</v>
      </c>
      <c r="AL12" s="158">
        <f t="shared" si="44"/>
        <v>0.6885572139303483</v>
      </c>
      <c r="AM12" s="158">
        <f t="shared" si="45"/>
        <v>0.78905472636815921</v>
      </c>
      <c r="AN12" s="158">
        <f t="shared" si="46"/>
        <v>0.90547263681592038</v>
      </c>
      <c r="AO12" s="158">
        <v>1</v>
      </c>
      <c r="AP12" s="143"/>
      <c r="AQ12" s="143">
        <f t="shared" si="5"/>
        <v>2.0774621929407416E-2</v>
      </c>
      <c r="AR12" s="143">
        <f t="shared" si="6"/>
        <v>7.167459804678733E-2</v>
      </c>
      <c r="AS12" s="143">
        <f t="shared" si="7"/>
        <v>0.13781627398444088</v>
      </c>
      <c r="AT12" s="143">
        <f t="shared" si="8"/>
        <v>0.22159706052464129</v>
      </c>
      <c r="AU12" s="143">
        <f t="shared" si="9"/>
        <v>0.17173454545974712</v>
      </c>
      <c r="AV12" s="143">
        <f t="shared" si="10"/>
        <v>0.11510889911932341</v>
      </c>
      <c r="AW12" s="143">
        <f t="shared" si="11"/>
        <v>0.13944806660246123</v>
      </c>
      <c r="AX12" s="143">
        <f t="shared" si="12"/>
        <v>0.12184593433319126</v>
      </c>
      <c r="AY12" s="46"/>
      <c r="AZ12" s="152">
        <f>Shares!D53</f>
        <v>4.4000000000000004</v>
      </c>
      <c r="BA12" s="152">
        <f>Shares!E53</f>
        <v>10.7</v>
      </c>
      <c r="BB12" s="152">
        <f>Shares!F53</f>
        <v>15.9</v>
      </c>
      <c r="BC12" s="152">
        <f>Shares!G53</f>
        <v>22.5</v>
      </c>
      <c r="BD12" s="152">
        <f>Shares!J53</f>
        <v>15.7</v>
      </c>
      <c r="BE12" s="152">
        <f>Shares!K53</f>
        <v>10.1</v>
      </c>
      <c r="BF12" s="152">
        <f>Shares!L53</f>
        <v>11.7</v>
      </c>
      <c r="BG12" s="152">
        <f>Shares!M53</f>
        <v>9.5</v>
      </c>
      <c r="BI12" s="146">
        <f>TxRt!B56</f>
        <v>9.8000000000000007</v>
      </c>
      <c r="BJ12" s="146">
        <f>TxRt!B99</f>
        <v>14</v>
      </c>
      <c r="BK12" s="146">
        <f>TxRt!B139</f>
        <v>18.100000000000001</v>
      </c>
      <c r="BL12" s="146">
        <f>TxRt!B179</f>
        <v>20.6</v>
      </c>
      <c r="BM12" s="146">
        <f>TxRt!B259</f>
        <v>22.6</v>
      </c>
      <c r="BN12" s="146">
        <f>TxRt!B299</f>
        <v>23.7</v>
      </c>
      <c r="BO12" s="146">
        <f>TxRt!B339</f>
        <v>24.5</v>
      </c>
      <c r="BP12" s="146">
        <f>TxRt!B379</f>
        <v>26.8</v>
      </c>
      <c r="BQ12" s="46"/>
      <c r="BR12" s="60">
        <f>Inc!B53</f>
        <v>14200</v>
      </c>
      <c r="BS12" s="60">
        <f>Inc!B93</f>
        <v>34500</v>
      </c>
      <c r="BT12" s="60">
        <f>Inc!B133</f>
        <v>53900</v>
      </c>
      <c r="BU12" s="60">
        <f>Inc!B173</f>
        <v>75200</v>
      </c>
      <c r="BV12" s="60">
        <f>Inc!B253</f>
        <v>98000</v>
      </c>
      <c r="BW12" s="60">
        <f>Inc!B293</f>
        <v>121100</v>
      </c>
      <c r="BX12" s="60">
        <f>Inc!B333</f>
        <v>172600</v>
      </c>
      <c r="BY12" s="60">
        <f>Inc!B373</f>
        <v>566800</v>
      </c>
      <c r="CA12" s="60">
        <f t="shared" si="13"/>
        <v>1391.6</v>
      </c>
      <c r="CB12" s="60">
        <f t="shared" si="14"/>
        <v>4830</v>
      </c>
      <c r="CC12" s="60">
        <f t="shared" si="15"/>
        <v>9755.9000000000015</v>
      </c>
      <c r="CD12" s="60">
        <f t="shared" si="16"/>
        <v>15491.2</v>
      </c>
      <c r="CE12" s="60">
        <f t="shared" si="17"/>
        <v>22148</v>
      </c>
      <c r="CF12" s="60">
        <f t="shared" si="18"/>
        <v>28700.7</v>
      </c>
      <c r="CG12" s="60">
        <f t="shared" si="19"/>
        <v>42287</v>
      </c>
      <c r="CH12" s="60">
        <f t="shared" si="20"/>
        <v>151902.39999999999</v>
      </c>
      <c r="CJ12" s="153">
        <f t="shared" si="47"/>
        <v>23309.300000000003</v>
      </c>
      <c r="CK12" s="153">
        <f t="shared" si="21"/>
        <v>80419.500000000029</v>
      </c>
      <c r="CL12" s="153">
        <f t="shared" si="22"/>
        <v>154631.01500000007</v>
      </c>
      <c r="CM12" s="153">
        <f t="shared" si="23"/>
        <v>248633.76000000007</v>
      </c>
      <c r="CN12" s="153">
        <f t="shared" si="24"/>
        <v>192687.59999999998</v>
      </c>
      <c r="CO12" s="153">
        <f t="shared" si="25"/>
        <v>129153.15000000001</v>
      </c>
      <c r="CP12" s="153">
        <f t="shared" si="26"/>
        <v>156461.9</v>
      </c>
      <c r="CQ12" s="153">
        <f t="shared" si="27"/>
        <v>136712.16</v>
      </c>
      <c r="CR12" s="153">
        <f t="shared" si="48"/>
        <v>1122008.3850000002</v>
      </c>
      <c r="CT12" s="39">
        <v>227.6</v>
      </c>
      <c r="CU12" s="276">
        <f>Dem!B53+(DD12/4)</f>
        <v>16.750000000000004</v>
      </c>
      <c r="CV12" s="276">
        <f>Dem!B93+(DD12/4)</f>
        <v>16.650000000000006</v>
      </c>
      <c r="CW12" s="276">
        <f>Dem!B133+(DD12/4)</f>
        <v>15.850000000000005</v>
      </c>
      <c r="CX12" s="276">
        <f>Dem!B173+(DD12/4)</f>
        <v>16.050000000000004</v>
      </c>
      <c r="CY12" s="276">
        <f>Dem!B253</f>
        <v>8.6999999999999993</v>
      </c>
      <c r="CZ12" s="276">
        <f>Dem!B293</f>
        <v>4.5</v>
      </c>
      <c r="DA12" s="276">
        <f>Dem!B333</f>
        <v>3.7</v>
      </c>
      <c r="DB12" s="276">
        <f>Dem!B373</f>
        <v>0.9</v>
      </c>
      <c r="DC12" s="275">
        <v>84.3</v>
      </c>
      <c r="DD12" s="46">
        <v>-0.5999999999999801</v>
      </c>
      <c r="DE12" s="275"/>
      <c r="DF12" s="276">
        <f>Dem!$D53+(DO12/4)</f>
        <v>43.500000000000007</v>
      </c>
      <c r="DG12" s="276">
        <f>Dem!$D93+(DO12/4)</f>
        <v>45.100000000000009</v>
      </c>
      <c r="DH12" s="276">
        <f>Dem!$D133+(DO12/4)</f>
        <v>45.100000000000009</v>
      </c>
      <c r="DI12" s="276">
        <f>Dem!$D173+(DO12/4)</f>
        <v>45.100000000000009</v>
      </c>
      <c r="DJ12" s="275">
        <f>Dem!$D253</f>
        <v>22.8</v>
      </c>
      <c r="DK12" s="275">
        <f>Dem!$D293</f>
        <v>11.4</v>
      </c>
      <c r="DL12" s="275">
        <f>Dem!$D333</f>
        <v>9.1</v>
      </c>
      <c r="DM12" s="275">
        <f>Dem!$D373</f>
        <v>2.2999999999999998</v>
      </c>
      <c r="DN12" s="276">
        <f t="shared" si="49"/>
        <v>227.6</v>
      </c>
      <c r="DO12" s="44">
        <v>-1.5999999999999659</v>
      </c>
    </row>
    <row r="13" spans="1:119">
      <c r="A13" s="46">
        <f t="shared" si="50"/>
        <v>1983</v>
      </c>
      <c r="B13" s="141">
        <f t="shared" si="28"/>
        <v>0.10804600274855319</v>
      </c>
      <c r="C13" s="46"/>
      <c r="D13" s="141">
        <f t="shared" si="29"/>
        <v>0.57187857474458104</v>
      </c>
      <c r="E13" s="141">
        <f t="shared" si="30"/>
        <v>0.46383257199602784</v>
      </c>
      <c r="F13" s="46"/>
      <c r="G13" s="157">
        <f t="shared" si="31"/>
        <v>3.5599452532241296E-2</v>
      </c>
      <c r="H13" s="157">
        <f t="shared" si="32"/>
        <v>6.1348431926228991E-2</v>
      </c>
      <c r="I13" s="157">
        <f t="shared" si="33"/>
        <v>7.4536860087788911E-2</v>
      </c>
      <c r="J13" s="157">
        <f t="shared" si="34"/>
        <v>7.0386423403169293E-2</v>
      </c>
      <c r="K13" s="157">
        <f t="shared" si="35"/>
        <v>2.8305208010376382E-2</v>
      </c>
      <c r="L13" s="157">
        <f t="shared" si="36"/>
        <v>1.0890979000536167E-2</v>
      </c>
      <c r="M13" s="157">
        <f t="shared" si="37"/>
        <v>4.8719324119495247E-3</v>
      </c>
      <c r="N13" s="157">
        <f t="shared" si="38"/>
        <v>0</v>
      </c>
      <c r="O13" s="46"/>
      <c r="P13" s="154">
        <f t="shared" si="51"/>
        <v>2.2002737338793529E-2</v>
      </c>
      <c r="Q13" s="154">
        <f t="shared" si="52"/>
        <v>9.325784036885508E-2</v>
      </c>
      <c r="R13" s="154">
        <f t="shared" si="53"/>
        <v>0.22731569956105552</v>
      </c>
      <c r="S13" s="154">
        <f t="shared" si="54"/>
        <v>0.44806788298415362</v>
      </c>
      <c r="T13" s="154">
        <f t="shared" si="55"/>
        <v>0.61694791989623621</v>
      </c>
      <c r="U13" s="154">
        <f t="shared" si="56"/>
        <v>0.73218041998927674</v>
      </c>
      <c r="V13" s="154">
        <f t="shared" si="57"/>
        <v>0.86820168970126199</v>
      </c>
      <c r="W13" s="162">
        <f t="shared" si="58"/>
        <v>1</v>
      </c>
      <c r="X13" s="154"/>
      <c r="Y13" s="142">
        <f t="shared" si="59"/>
        <v>3.1857000993048661E-2</v>
      </c>
      <c r="Z13" s="142">
        <f t="shared" si="60"/>
        <v>5.1002979145978157E-2</v>
      </c>
      <c r="AA13" s="142">
        <f t="shared" si="61"/>
        <v>5.9821251241310838E-2</v>
      </c>
      <c r="AB13" s="142">
        <f t="shared" si="62"/>
        <v>5.513406156901688E-2</v>
      </c>
      <c r="AC13" s="142">
        <f t="shared" si="63"/>
        <v>2.1976166832174772E-2</v>
      </c>
      <c r="AD13" s="142">
        <f t="shared" si="64"/>
        <v>8.4731876861966204E-3</v>
      </c>
      <c r="AE13" s="142">
        <f t="shared" si="65"/>
        <v>3.6516385302879819E-3</v>
      </c>
      <c r="AF13" s="142">
        <f t="shared" si="66"/>
        <v>0</v>
      </c>
      <c r="AH13" s="158">
        <f t="shared" si="40"/>
        <v>4.0714995034756701E-2</v>
      </c>
      <c r="AI13" s="158">
        <f t="shared" si="41"/>
        <v>0.14498510427010924</v>
      </c>
      <c r="AJ13" s="158">
        <f t="shared" si="42"/>
        <v>0.30089374379344591</v>
      </c>
      <c r="AK13" s="158">
        <f t="shared" si="43"/>
        <v>0.52432969215491565</v>
      </c>
      <c r="AL13" s="158">
        <f t="shared" si="44"/>
        <v>0.68023833167825232</v>
      </c>
      <c r="AM13" s="158">
        <f t="shared" si="45"/>
        <v>0.78053624627606766</v>
      </c>
      <c r="AN13" s="158">
        <f t="shared" si="46"/>
        <v>0.89870903674280056</v>
      </c>
      <c r="AO13" s="158">
        <v>1</v>
      </c>
      <c r="AP13" s="143"/>
      <c r="AQ13" s="143">
        <f t="shared" si="5"/>
        <v>2.2002737338793533E-2</v>
      </c>
      <c r="AR13" s="143">
        <f t="shared" si="6"/>
        <v>7.1255103030061565E-2</v>
      </c>
      <c r="AS13" s="143">
        <f t="shared" si="7"/>
        <v>0.13405785919220048</v>
      </c>
      <c r="AT13" s="143">
        <f t="shared" si="8"/>
        <v>0.22075218342309816</v>
      </c>
      <c r="AU13" s="143">
        <f t="shared" si="9"/>
        <v>0.16888003691208262</v>
      </c>
      <c r="AV13" s="143">
        <f t="shared" si="10"/>
        <v>0.1152325000930406</v>
      </c>
      <c r="AW13" s="143">
        <f t="shared" si="11"/>
        <v>0.1360212697119853</v>
      </c>
      <c r="AX13" s="143">
        <f t="shared" si="12"/>
        <v>0.13179831029873781</v>
      </c>
      <c r="AY13" s="46"/>
      <c r="AZ13" s="152">
        <f>Shares!D54</f>
        <v>4.0999999999999996</v>
      </c>
      <c r="BA13" s="152">
        <f>Shares!E54</f>
        <v>10.5</v>
      </c>
      <c r="BB13" s="152">
        <f>Shares!F54</f>
        <v>15.7</v>
      </c>
      <c r="BC13" s="152">
        <f>Shares!G54</f>
        <v>22.5</v>
      </c>
      <c r="BD13" s="152">
        <f>Shares!J54</f>
        <v>15.7</v>
      </c>
      <c r="BE13" s="152">
        <f>Shares!K54</f>
        <v>10.1</v>
      </c>
      <c r="BF13" s="152">
        <f>Shares!L54</f>
        <v>11.9</v>
      </c>
      <c r="BG13" s="152">
        <f>Shares!M54</f>
        <v>10.199999999999999</v>
      </c>
      <c r="BI13" s="146">
        <f>TxRt!B57</f>
        <v>11.1</v>
      </c>
      <c r="BJ13" s="146">
        <f>TxRt!B100</f>
        <v>14</v>
      </c>
      <c r="BK13" s="146">
        <f>TxRt!B140</f>
        <v>17.5</v>
      </c>
      <c r="BL13" s="146">
        <f>TxRt!B180</f>
        <v>20.100000000000001</v>
      </c>
      <c r="BM13" s="146">
        <f>TxRt!B260</f>
        <v>22</v>
      </c>
      <c r="BN13" s="146">
        <f>TxRt!B300</f>
        <v>22.9</v>
      </c>
      <c r="BO13" s="146">
        <f>TxRt!B340</f>
        <v>23.5</v>
      </c>
      <c r="BP13" s="146">
        <f>TxRt!B380</f>
        <v>26.8</v>
      </c>
      <c r="BQ13" s="46"/>
      <c r="BR13" s="60">
        <f>Inc!B54</f>
        <v>13600</v>
      </c>
      <c r="BS13" s="60">
        <f>Inc!B94</f>
        <v>33700</v>
      </c>
      <c r="BT13" s="60">
        <f>Inc!B134</f>
        <v>53200</v>
      </c>
      <c r="BU13" s="60">
        <f>Inc!B174</f>
        <v>74900</v>
      </c>
      <c r="BV13" s="60">
        <f>Inc!B254</f>
        <v>99200</v>
      </c>
      <c r="BW13" s="60">
        <f>Inc!B294</f>
        <v>124400</v>
      </c>
      <c r="BX13" s="60">
        <f>Inc!B334</f>
        <v>177900</v>
      </c>
      <c r="BY13" s="60">
        <f>Inc!B374</f>
        <v>621400</v>
      </c>
      <c r="CA13" s="60">
        <f t="shared" si="13"/>
        <v>1509.6</v>
      </c>
      <c r="CB13" s="60">
        <f t="shared" si="14"/>
        <v>4718</v>
      </c>
      <c r="CC13" s="60">
        <f t="shared" si="15"/>
        <v>9310</v>
      </c>
      <c r="CD13" s="60">
        <f t="shared" si="16"/>
        <v>15054.9</v>
      </c>
      <c r="CE13" s="60">
        <f t="shared" si="17"/>
        <v>21824</v>
      </c>
      <c r="CF13" s="60">
        <f t="shared" si="18"/>
        <v>28487.599999999999</v>
      </c>
      <c r="CG13" s="60">
        <f t="shared" si="19"/>
        <v>41806.5</v>
      </c>
      <c r="CH13" s="60">
        <f t="shared" si="20"/>
        <v>166535.20000000001</v>
      </c>
      <c r="CJ13" s="153">
        <f t="shared" si="47"/>
        <v>25021.62</v>
      </c>
      <c r="CK13" s="153">
        <f t="shared" si="21"/>
        <v>81031.650000000009</v>
      </c>
      <c r="CL13" s="153">
        <f t="shared" si="22"/>
        <v>152451.25</v>
      </c>
      <c r="CM13" s="153">
        <f t="shared" si="23"/>
        <v>251040.45750000002</v>
      </c>
      <c r="CN13" s="153">
        <f t="shared" si="24"/>
        <v>192051.20000000001</v>
      </c>
      <c r="CO13" s="153">
        <f t="shared" si="25"/>
        <v>131042.95999999998</v>
      </c>
      <c r="CP13" s="153">
        <f t="shared" si="26"/>
        <v>154684.05000000002</v>
      </c>
      <c r="CQ13" s="153">
        <f t="shared" si="27"/>
        <v>149881.68000000002</v>
      </c>
      <c r="CR13" s="153">
        <f t="shared" si="48"/>
        <v>1137204.8674999999</v>
      </c>
      <c r="CT13" s="39">
        <v>229.4</v>
      </c>
      <c r="CU13" s="276">
        <f>Dem!B54+(DD13/4)</f>
        <v>16.574999999999999</v>
      </c>
      <c r="CV13" s="276">
        <f>Dem!B94+(DD13/4)</f>
        <v>17.175000000000001</v>
      </c>
      <c r="CW13" s="276">
        <f>Dem!B134+(DD13/4)</f>
        <v>16.375</v>
      </c>
      <c r="CX13" s="276">
        <f>Dem!B174+(DD13/4)</f>
        <v>16.675000000000001</v>
      </c>
      <c r="CY13" s="276">
        <f>Dem!B254</f>
        <v>8.8000000000000007</v>
      </c>
      <c r="CZ13" s="276">
        <f>Dem!B294</f>
        <v>4.5999999999999996</v>
      </c>
      <c r="DA13" s="276">
        <f>Dem!B334</f>
        <v>3.7</v>
      </c>
      <c r="DB13" s="276">
        <f>Dem!B374</f>
        <v>0.9</v>
      </c>
      <c r="DC13" s="275">
        <v>85.8</v>
      </c>
      <c r="DD13" s="46">
        <v>-0.5</v>
      </c>
      <c r="DE13" s="275"/>
      <c r="DF13" s="276">
        <f>Dem!$D54+(DO13/4)</f>
        <v>43.800000000000004</v>
      </c>
      <c r="DG13" s="276">
        <f>Dem!$D94+(DO13/4)</f>
        <v>45.5</v>
      </c>
      <c r="DH13" s="276">
        <f>Dem!$D134+(DO13/4)</f>
        <v>45.5</v>
      </c>
      <c r="DI13" s="276">
        <f>Dem!$D174+(DO13/4)</f>
        <v>45.5</v>
      </c>
      <c r="DJ13" s="275">
        <f>Dem!$D254</f>
        <v>22.9</v>
      </c>
      <c r="DK13" s="275">
        <f>Dem!$D294</f>
        <v>11.5</v>
      </c>
      <c r="DL13" s="275">
        <f>Dem!$D334</f>
        <v>9.1999999999999993</v>
      </c>
      <c r="DM13" s="275">
        <f>Dem!$D374</f>
        <v>2.2999999999999998</v>
      </c>
      <c r="DN13" s="276">
        <f t="shared" si="49"/>
        <v>229.4</v>
      </c>
      <c r="DO13" s="44">
        <v>-1.5999999999999943</v>
      </c>
    </row>
    <row r="14" spans="1:119">
      <c r="A14" s="46">
        <f t="shared" si="50"/>
        <v>1984</v>
      </c>
      <c r="B14" s="141">
        <f t="shared" si="28"/>
        <v>9.9769132092976165E-2</v>
      </c>
      <c r="C14" s="46"/>
      <c r="D14" s="141">
        <f t="shared" si="29"/>
        <v>0.56401878452594545</v>
      </c>
      <c r="E14" s="141">
        <f t="shared" si="30"/>
        <v>0.46424965243296928</v>
      </c>
      <c r="F14" s="46"/>
      <c r="G14" s="157">
        <f t="shared" si="31"/>
        <v>3.4964798036412413E-2</v>
      </c>
      <c r="H14" s="157">
        <f t="shared" si="32"/>
        <v>6.0105215880027707E-2</v>
      </c>
      <c r="I14" s="157">
        <f t="shared" si="33"/>
        <v>7.3182084555887539E-2</v>
      </c>
      <c r="J14" s="157">
        <f t="shared" si="34"/>
        <v>6.9597183040658178E-2</v>
      </c>
      <c r="K14" s="157">
        <f t="shared" si="35"/>
        <v>2.8177097342871785E-2</v>
      </c>
      <c r="L14" s="157">
        <f t="shared" si="36"/>
        <v>1.0997356708466539E-2</v>
      </c>
      <c r="M14" s="157">
        <f t="shared" si="37"/>
        <v>4.9856566986485927E-3</v>
      </c>
      <c r="N14" s="157">
        <f t="shared" si="38"/>
        <v>0</v>
      </c>
      <c r="O14" s="46"/>
      <c r="P14" s="154">
        <f t="shared" si="51"/>
        <v>2.517600981793797E-2</v>
      </c>
      <c r="Q14" s="154">
        <f t="shared" si="52"/>
        <v>9.9473920599861487E-2</v>
      </c>
      <c r="R14" s="154">
        <f t="shared" si="53"/>
        <v>0.23408957722056239</v>
      </c>
      <c r="S14" s="154">
        <f t="shared" si="54"/>
        <v>0.45201408479670918</v>
      </c>
      <c r="T14" s="154">
        <f t="shared" si="55"/>
        <v>0.6182290265712822</v>
      </c>
      <c r="U14" s="154">
        <f t="shared" si="56"/>
        <v>0.73005286583066931</v>
      </c>
      <c r="V14" s="154">
        <f t="shared" si="57"/>
        <v>0.86535858253378528</v>
      </c>
      <c r="W14" s="162">
        <f t="shared" si="58"/>
        <v>1</v>
      </c>
      <c r="X14" s="154"/>
      <c r="Y14" s="142">
        <f t="shared" si="59"/>
        <v>3.145978152929494E-2</v>
      </c>
      <c r="Z14" s="142">
        <f t="shared" si="60"/>
        <v>5.0804369414101297E-2</v>
      </c>
      <c r="AA14" s="142">
        <f t="shared" si="61"/>
        <v>5.9821251241310838E-2</v>
      </c>
      <c r="AB14" s="142">
        <f t="shared" si="62"/>
        <v>5.5332671300893747E-2</v>
      </c>
      <c r="AC14" s="142">
        <f t="shared" si="63"/>
        <v>2.2274081429990069E-2</v>
      </c>
      <c r="AD14" s="142">
        <f t="shared" si="64"/>
        <v>8.622144985104269E-3</v>
      </c>
      <c r="AE14" s="142">
        <f t="shared" si="65"/>
        <v>3.810526315789473E-3</v>
      </c>
      <c r="AF14" s="142">
        <f t="shared" si="66"/>
        <v>0</v>
      </c>
      <c r="AH14" s="158">
        <f t="shared" si="40"/>
        <v>4.270109235352533E-2</v>
      </c>
      <c r="AI14" s="158">
        <f t="shared" si="41"/>
        <v>0.14597815292949357</v>
      </c>
      <c r="AJ14" s="158">
        <f t="shared" si="42"/>
        <v>0.30089374379344591</v>
      </c>
      <c r="AK14" s="158">
        <f t="shared" si="43"/>
        <v>0.52333664349553133</v>
      </c>
      <c r="AL14" s="158">
        <f t="shared" si="44"/>
        <v>0.67725918570009935</v>
      </c>
      <c r="AM14" s="158">
        <f t="shared" si="45"/>
        <v>0.77755710029791469</v>
      </c>
      <c r="AN14" s="158">
        <f t="shared" si="46"/>
        <v>0.89473684210526327</v>
      </c>
      <c r="AO14" s="158">
        <v>1</v>
      </c>
      <c r="AP14" s="143"/>
      <c r="AQ14" s="143">
        <f t="shared" si="5"/>
        <v>2.5176009817937967E-2</v>
      </c>
      <c r="AR14" s="143">
        <f t="shared" si="6"/>
        <v>7.4297910781923507E-2</v>
      </c>
      <c r="AS14" s="143">
        <f t="shared" si="7"/>
        <v>0.13461565662070088</v>
      </c>
      <c r="AT14" s="143">
        <f t="shared" si="8"/>
        <v>0.21792450757614676</v>
      </c>
      <c r="AU14" s="143">
        <f t="shared" si="9"/>
        <v>0.16621494177457299</v>
      </c>
      <c r="AV14" s="143">
        <f t="shared" si="10"/>
        <v>0.11182383925938703</v>
      </c>
      <c r="AW14" s="143">
        <f t="shared" si="11"/>
        <v>0.13530571670311592</v>
      </c>
      <c r="AX14" s="143">
        <f t="shared" si="12"/>
        <v>0.13464141746621486</v>
      </c>
      <c r="AY14" s="46"/>
      <c r="AZ14" s="152">
        <f>Shares!D55</f>
        <v>4.3</v>
      </c>
      <c r="BA14" s="152">
        <f>Shares!E55</f>
        <v>10.4</v>
      </c>
      <c r="BB14" s="152">
        <f>Shares!F55</f>
        <v>15.6</v>
      </c>
      <c r="BC14" s="152">
        <f>Shares!G55</f>
        <v>22.4</v>
      </c>
      <c r="BD14" s="152">
        <f>Shares!J55</f>
        <v>15.5</v>
      </c>
      <c r="BE14" s="152">
        <f>Shares!K55</f>
        <v>10.1</v>
      </c>
      <c r="BF14" s="152">
        <f>Shares!L55</f>
        <v>11.8</v>
      </c>
      <c r="BG14" s="152">
        <f>Shares!M55</f>
        <v>10.6</v>
      </c>
      <c r="BI14" s="146">
        <f>TxRt!B58</f>
        <v>12.1</v>
      </c>
      <c r="BJ14" s="146">
        <f>TxRt!B101</f>
        <v>14.9</v>
      </c>
      <c r="BK14" s="146">
        <f>TxRt!B141</f>
        <v>18</v>
      </c>
      <c r="BL14" s="146">
        <f>TxRt!B181</f>
        <v>20.3</v>
      </c>
      <c r="BM14" s="146">
        <f>TxRt!B261</f>
        <v>22.1</v>
      </c>
      <c r="BN14" s="146">
        <f>TxRt!B301</f>
        <v>23</v>
      </c>
      <c r="BO14" s="146">
        <f>TxRt!B341</f>
        <v>23.5</v>
      </c>
      <c r="BP14" s="146">
        <f>TxRt!B381</f>
        <v>27</v>
      </c>
      <c r="BQ14" s="46"/>
      <c r="BR14" s="60">
        <f>Inc!B55</f>
        <v>14600</v>
      </c>
      <c r="BS14" s="60">
        <f>Inc!B95</f>
        <v>35800</v>
      </c>
      <c r="BT14" s="60">
        <f>Inc!B135</f>
        <v>56300</v>
      </c>
      <c r="BU14" s="60">
        <f>Inc!B175</f>
        <v>78900</v>
      </c>
      <c r="BV14" s="60">
        <f>Inc!B255</f>
        <v>106000</v>
      </c>
      <c r="BW14" s="60">
        <f>Inc!B295</f>
        <v>134000</v>
      </c>
      <c r="BX14" s="60">
        <f>Inc!B335</f>
        <v>193000</v>
      </c>
      <c r="BY14" s="60">
        <f>Inc!B375</f>
        <v>687200</v>
      </c>
      <c r="CA14" s="60">
        <f t="shared" si="13"/>
        <v>1766.6</v>
      </c>
      <c r="CB14" s="60">
        <f t="shared" si="14"/>
        <v>5334.2</v>
      </c>
      <c r="CC14" s="60">
        <f t="shared" si="15"/>
        <v>10134</v>
      </c>
      <c r="CD14" s="60">
        <f t="shared" si="16"/>
        <v>16016.7</v>
      </c>
      <c r="CE14" s="60">
        <f t="shared" si="17"/>
        <v>23426</v>
      </c>
      <c r="CF14" s="60">
        <f t="shared" si="18"/>
        <v>30820</v>
      </c>
      <c r="CG14" s="60">
        <f t="shared" si="19"/>
        <v>45355</v>
      </c>
      <c r="CH14" s="60">
        <f t="shared" si="20"/>
        <v>185544</v>
      </c>
      <c r="CJ14" s="153">
        <f t="shared" si="47"/>
        <v>31224.655000000006</v>
      </c>
      <c r="CK14" s="153">
        <f t="shared" si="21"/>
        <v>92148.305000000008</v>
      </c>
      <c r="CL14" s="153">
        <f t="shared" si="22"/>
        <v>166957.65000000005</v>
      </c>
      <c r="CM14" s="153">
        <f t="shared" si="23"/>
        <v>270281.81250000006</v>
      </c>
      <c r="CN14" s="153">
        <f t="shared" si="24"/>
        <v>206148.80000000002</v>
      </c>
      <c r="CO14" s="153">
        <f t="shared" si="25"/>
        <v>138690</v>
      </c>
      <c r="CP14" s="153">
        <f t="shared" si="26"/>
        <v>167813.5</v>
      </c>
      <c r="CQ14" s="153">
        <f t="shared" si="27"/>
        <v>166989.6</v>
      </c>
      <c r="CR14" s="153">
        <f t="shared" si="48"/>
        <v>1240254.3225000002</v>
      </c>
      <c r="CT14" s="39">
        <v>231.3</v>
      </c>
      <c r="CU14" s="276">
        <f>Dem!B55+(DD14/4)</f>
        <v>17.675000000000004</v>
      </c>
      <c r="CV14" s="276">
        <f>Dem!B95+(DD14/4)</f>
        <v>17.275000000000002</v>
      </c>
      <c r="CW14" s="276">
        <f>Dem!B135+(DD14/4)</f>
        <v>16.475000000000005</v>
      </c>
      <c r="CX14" s="276">
        <f>Dem!B175+(DD14/4)</f>
        <v>16.875000000000004</v>
      </c>
      <c r="CY14" s="276">
        <f>Dem!B255</f>
        <v>8.8000000000000007</v>
      </c>
      <c r="CZ14" s="276">
        <f>Dem!B295</f>
        <v>4.5</v>
      </c>
      <c r="DA14" s="276">
        <f>Dem!B335</f>
        <v>3.7</v>
      </c>
      <c r="DB14" s="276">
        <f>Dem!B375</f>
        <v>0.9</v>
      </c>
      <c r="DC14" s="275">
        <v>87.2</v>
      </c>
      <c r="DD14" s="46">
        <v>-0.49999999999998579</v>
      </c>
      <c r="DE14" s="275"/>
      <c r="DF14" s="276">
        <f>Dem!$D55+(DO14/4)</f>
        <v>44.20000000000001</v>
      </c>
      <c r="DG14" s="276">
        <f>Dem!$D95+(DO14/4)</f>
        <v>45.800000000000011</v>
      </c>
      <c r="DH14" s="276">
        <f>Dem!$D135+(DO14/4)</f>
        <v>45.900000000000006</v>
      </c>
      <c r="DI14" s="276">
        <f>Dem!$D175+(DO14/4)</f>
        <v>45.900000000000006</v>
      </c>
      <c r="DJ14" s="275">
        <f>Dem!$D255</f>
        <v>23.1</v>
      </c>
      <c r="DK14" s="275">
        <f>Dem!$D295</f>
        <v>11.6</v>
      </c>
      <c r="DL14" s="275">
        <f>Dem!$D335</f>
        <v>9.3000000000000007</v>
      </c>
      <c r="DM14" s="275">
        <f>Dem!$D375</f>
        <v>2.2999999999999998</v>
      </c>
      <c r="DN14" s="276">
        <f t="shared" si="49"/>
        <v>231.3</v>
      </c>
      <c r="DO14" s="44">
        <v>-1.5999999999999659</v>
      </c>
    </row>
    <row r="15" spans="1:119">
      <c r="A15" s="46">
        <f t="shared" si="50"/>
        <v>1985</v>
      </c>
      <c r="B15" s="141">
        <f t="shared" si="28"/>
        <v>0.10118863283840152</v>
      </c>
      <c r="C15" s="46"/>
      <c r="D15" s="141">
        <f t="shared" si="29"/>
        <v>0.57642243005510141</v>
      </c>
      <c r="E15" s="141">
        <f t="shared" si="30"/>
        <v>0.47523379721669989</v>
      </c>
      <c r="F15" s="46"/>
      <c r="G15" s="157">
        <f t="shared" si="31"/>
        <v>3.5387539657477159E-2</v>
      </c>
      <c r="H15" s="157">
        <f t="shared" si="32"/>
        <v>6.0814752913111281E-2</v>
      </c>
      <c r="I15" s="157">
        <f t="shared" si="33"/>
        <v>7.424379788234807E-2</v>
      </c>
      <c r="J15" s="157">
        <f t="shared" si="34"/>
        <v>7.147003502155902E-2</v>
      </c>
      <c r="K15" s="157">
        <f t="shared" si="35"/>
        <v>2.925308426962411E-2</v>
      </c>
      <c r="L15" s="157">
        <f t="shared" si="36"/>
        <v>1.1556587617179211E-2</v>
      </c>
      <c r="M15" s="157">
        <f t="shared" si="37"/>
        <v>5.4854176662518525E-3</v>
      </c>
      <c r="N15" s="157">
        <f t="shared" si="38"/>
        <v>0</v>
      </c>
      <c r="O15" s="46"/>
      <c r="P15" s="154">
        <f t="shared" si="51"/>
        <v>2.3062301712614235E-2</v>
      </c>
      <c r="Q15" s="154">
        <f t="shared" si="52"/>
        <v>9.5926235434443605E-2</v>
      </c>
      <c r="R15" s="154">
        <f t="shared" si="53"/>
        <v>0.22878101058825978</v>
      </c>
      <c r="S15" s="154">
        <f t="shared" si="54"/>
        <v>0.44264982489220495</v>
      </c>
      <c r="T15" s="154">
        <f t="shared" si="55"/>
        <v>0.60746915730375894</v>
      </c>
      <c r="U15" s="154">
        <f t="shared" si="56"/>
        <v>0.71886824765641588</v>
      </c>
      <c r="V15" s="154">
        <f t="shared" si="57"/>
        <v>0.85286455834370378</v>
      </c>
      <c r="W15" s="162">
        <f t="shared" si="58"/>
        <v>1</v>
      </c>
      <c r="X15" s="154"/>
      <c r="Y15" s="142">
        <f t="shared" si="59"/>
        <v>3.1848906560636187E-2</v>
      </c>
      <c r="Z15" s="142">
        <f t="shared" si="60"/>
        <v>5.1570576540755475E-2</v>
      </c>
      <c r="AA15" s="142">
        <f t="shared" si="61"/>
        <v>6.095427435387675E-2</v>
      </c>
      <c r="AB15" s="142">
        <f t="shared" si="62"/>
        <v>5.7017892644135197E-2</v>
      </c>
      <c r="AC15" s="142">
        <f t="shared" si="63"/>
        <v>2.3101391650099404E-2</v>
      </c>
      <c r="AD15" s="142">
        <f t="shared" si="64"/>
        <v>9.0308151093439377E-3</v>
      </c>
      <c r="AE15" s="142">
        <f t="shared" si="65"/>
        <v>4.0930417495029835E-3</v>
      </c>
      <c r="AF15" s="142">
        <f t="shared" si="66"/>
        <v>0</v>
      </c>
      <c r="AH15" s="158">
        <f t="shared" si="40"/>
        <v>4.0755467196819085E-2</v>
      </c>
      <c r="AI15" s="158">
        <f t="shared" si="41"/>
        <v>0.14214711729622267</v>
      </c>
      <c r="AJ15" s="158">
        <f t="shared" si="42"/>
        <v>0.29522862823061635</v>
      </c>
      <c r="AK15" s="158">
        <f t="shared" si="43"/>
        <v>0.51491053677932408</v>
      </c>
      <c r="AL15" s="158">
        <f t="shared" si="44"/>
        <v>0.66898608349900601</v>
      </c>
      <c r="AM15" s="158">
        <f t="shared" si="45"/>
        <v>0.76938369781312133</v>
      </c>
      <c r="AN15" s="158">
        <f t="shared" si="46"/>
        <v>0.88767395626242551</v>
      </c>
      <c r="AO15" s="158">
        <v>1</v>
      </c>
      <c r="AP15" s="143"/>
      <c r="AQ15" s="143">
        <f t="shared" si="5"/>
        <v>2.3062301712614232E-2</v>
      </c>
      <c r="AR15" s="143">
        <f t="shared" si="6"/>
        <v>7.2863933721829352E-2</v>
      </c>
      <c r="AS15" s="143">
        <f t="shared" si="7"/>
        <v>0.13285477515381616</v>
      </c>
      <c r="AT15" s="143">
        <f t="shared" si="8"/>
        <v>0.21386881430394511</v>
      </c>
      <c r="AU15" s="143">
        <f t="shared" si="9"/>
        <v>0.16481933241155397</v>
      </c>
      <c r="AV15" s="143">
        <f t="shared" si="10"/>
        <v>0.11139909035265694</v>
      </c>
      <c r="AW15" s="143">
        <f t="shared" si="11"/>
        <v>0.1339963106872879</v>
      </c>
      <c r="AX15" s="143">
        <f t="shared" si="12"/>
        <v>0.14713544165629625</v>
      </c>
      <c r="AY15" s="46"/>
      <c r="AZ15" s="152">
        <f>Shares!D56</f>
        <v>4.0999999999999996</v>
      </c>
      <c r="BA15" s="152">
        <f>Shares!E56</f>
        <v>10.199999999999999</v>
      </c>
      <c r="BB15" s="152">
        <f>Shares!F56</f>
        <v>15.4</v>
      </c>
      <c r="BC15" s="152">
        <f>Shares!G56</f>
        <v>22.1</v>
      </c>
      <c r="BD15" s="152">
        <f>Shares!J56</f>
        <v>15.5</v>
      </c>
      <c r="BE15" s="152">
        <f>Shares!K56</f>
        <v>10.1</v>
      </c>
      <c r="BF15" s="152">
        <f>Shares!L56</f>
        <v>11.9</v>
      </c>
      <c r="BG15" s="152">
        <f>Shares!M56</f>
        <v>11.3</v>
      </c>
      <c r="BI15" s="146">
        <f>TxRt!B59</f>
        <v>11.8</v>
      </c>
      <c r="BJ15" s="146">
        <f>TxRt!B102</f>
        <v>15.1</v>
      </c>
      <c r="BK15" s="146">
        <f>TxRt!B142</f>
        <v>18.2</v>
      </c>
      <c r="BL15" s="146">
        <f>TxRt!B182</f>
        <v>20.5</v>
      </c>
      <c r="BM15" s="146">
        <f>TxRt!B262</f>
        <v>22.3</v>
      </c>
      <c r="BN15" s="146">
        <f>TxRt!B302</f>
        <v>23.2</v>
      </c>
      <c r="BO15" s="146">
        <f>TxRt!B342</f>
        <v>23.6</v>
      </c>
      <c r="BP15" s="146">
        <f>TxRt!B382</f>
        <v>26.1</v>
      </c>
      <c r="BQ15" s="46"/>
      <c r="BR15" s="60">
        <f>Inc!B56</f>
        <v>14500</v>
      </c>
      <c r="BS15" s="60">
        <f>Inc!B96</f>
        <v>35800</v>
      </c>
      <c r="BT15" s="60">
        <f>Inc!B136</f>
        <v>56400</v>
      </c>
      <c r="BU15" s="60">
        <f>Inc!B176</f>
        <v>79200</v>
      </c>
      <c r="BV15" s="60">
        <f>Inc!B256</f>
        <v>104900</v>
      </c>
      <c r="BW15" s="60">
        <f>Inc!B296</f>
        <v>133400</v>
      </c>
      <c r="BX15" s="60">
        <f>Inc!B336</f>
        <v>195100</v>
      </c>
      <c r="BY15" s="60">
        <f>Inc!B376</f>
        <v>736100</v>
      </c>
      <c r="CA15" s="60">
        <f t="shared" si="13"/>
        <v>1711</v>
      </c>
      <c r="CB15" s="60">
        <f t="shared" si="14"/>
        <v>5405.8</v>
      </c>
      <c r="CC15" s="60">
        <f t="shared" si="15"/>
        <v>10264.799999999999</v>
      </c>
      <c r="CD15" s="60">
        <f t="shared" si="16"/>
        <v>16236</v>
      </c>
      <c r="CE15" s="60">
        <f t="shared" si="17"/>
        <v>23392.7</v>
      </c>
      <c r="CF15" s="60">
        <f t="shared" si="18"/>
        <v>30948.799999999999</v>
      </c>
      <c r="CG15" s="60">
        <f t="shared" si="19"/>
        <v>46043.6</v>
      </c>
      <c r="CH15" s="60">
        <f t="shared" si="20"/>
        <v>192122.1</v>
      </c>
      <c r="CJ15" s="153">
        <f t="shared" si="47"/>
        <v>30113.600000000002</v>
      </c>
      <c r="CK15" s="153">
        <f t="shared" si="21"/>
        <v>95142.080000000016</v>
      </c>
      <c r="CL15" s="153">
        <f t="shared" si="22"/>
        <v>173475.12</v>
      </c>
      <c r="CM15" s="153">
        <f t="shared" si="23"/>
        <v>279259.20000000007</v>
      </c>
      <c r="CN15" s="153">
        <f t="shared" si="24"/>
        <v>215212.84</v>
      </c>
      <c r="CO15" s="153">
        <f t="shared" si="25"/>
        <v>145459.36000000002</v>
      </c>
      <c r="CP15" s="153">
        <f t="shared" si="26"/>
        <v>174965.68</v>
      </c>
      <c r="CQ15" s="153">
        <f t="shared" si="27"/>
        <v>192122.1</v>
      </c>
      <c r="CR15" s="153">
        <f t="shared" si="48"/>
        <v>1305749.9800000002</v>
      </c>
      <c r="CT15" s="39">
        <v>234.6</v>
      </c>
      <c r="CU15" s="276">
        <f>Dem!B56+(DD15/4)</f>
        <v>17.600000000000001</v>
      </c>
      <c r="CV15" s="276">
        <f>Dem!B96+(DD15/4)</f>
        <v>17.600000000000001</v>
      </c>
      <c r="CW15" s="276">
        <f>Dem!B136+(DD15/4)</f>
        <v>16.900000000000002</v>
      </c>
      <c r="CX15" s="276">
        <f>Dem!B176+(DD15/4)</f>
        <v>17.200000000000003</v>
      </c>
      <c r="CY15" s="276">
        <f>Dem!B256</f>
        <v>9.1999999999999993</v>
      </c>
      <c r="CZ15" s="276">
        <f>Dem!B296</f>
        <v>4.7</v>
      </c>
      <c r="DA15" s="276">
        <f>Dem!B336</f>
        <v>3.8</v>
      </c>
      <c r="DB15" s="276">
        <f>Dem!B376</f>
        <v>1</v>
      </c>
      <c r="DC15" s="275">
        <v>88.8</v>
      </c>
      <c r="DD15" s="46">
        <v>-0.39999999999999147</v>
      </c>
      <c r="DE15" s="275"/>
      <c r="DF15" s="276">
        <f>Dem!$D56+(DO15/4)</f>
        <v>44.750000000000007</v>
      </c>
      <c r="DG15" s="276">
        <f>Dem!$D96+(DO15/4)</f>
        <v>46.45</v>
      </c>
      <c r="DH15" s="276">
        <f>Dem!$D136+(DO15/4)</f>
        <v>46.45</v>
      </c>
      <c r="DI15" s="276">
        <f>Dem!$D176+(DO15/4)</f>
        <v>46.45</v>
      </c>
      <c r="DJ15" s="275">
        <f>Dem!$D256</f>
        <v>23.5</v>
      </c>
      <c r="DK15" s="275">
        <f>Dem!$D296</f>
        <v>11.7</v>
      </c>
      <c r="DL15" s="275">
        <f>Dem!$D336</f>
        <v>9.4</v>
      </c>
      <c r="DM15" s="275">
        <f>Dem!$D376</f>
        <v>2.2999999999999998</v>
      </c>
      <c r="DN15" s="276">
        <f t="shared" si="49"/>
        <v>234.6</v>
      </c>
      <c r="DO15" s="44">
        <v>-1.7999999999999829</v>
      </c>
    </row>
    <row r="16" spans="1:119">
      <c r="A16" s="46">
        <f t="shared" si="50"/>
        <v>1986</v>
      </c>
      <c r="B16" s="141">
        <f t="shared" si="28"/>
        <v>9.622197288316614E-2</v>
      </c>
      <c r="C16" s="46"/>
      <c r="D16" s="141">
        <f t="shared" si="29"/>
        <v>0.59727400863291802</v>
      </c>
      <c r="E16" s="141">
        <f t="shared" si="30"/>
        <v>0.50105203574975188</v>
      </c>
      <c r="F16" s="46"/>
      <c r="G16" s="157">
        <f t="shared" si="31"/>
        <v>3.5720778237243296E-2</v>
      </c>
      <c r="H16" s="157">
        <f t="shared" si="32"/>
        <v>6.189102841636826E-2</v>
      </c>
      <c r="I16" s="157">
        <f t="shared" si="33"/>
        <v>7.6201936979445342E-2</v>
      </c>
      <c r="J16" s="157">
        <f t="shared" si="34"/>
        <v>7.4496398802844893E-2</v>
      </c>
      <c r="K16" s="157">
        <f t="shared" si="35"/>
        <v>3.1283710622671206E-2</v>
      </c>
      <c r="L16" s="157">
        <f t="shared" si="36"/>
        <v>1.2683838773344025E-2</v>
      </c>
      <c r="M16" s="157">
        <f t="shared" si="37"/>
        <v>6.3593124845420061E-3</v>
      </c>
      <c r="N16" s="157">
        <f t="shared" si="38"/>
        <v>0</v>
      </c>
      <c r="O16" s="46"/>
      <c r="P16" s="154">
        <f t="shared" si="51"/>
        <v>2.1396108813783538E-2</v>
      </c>
      <c r="Q16" s="154">
        <f t="shared" si="52"/>
        <v>9.054485791815875E-2</v>
      </c>
      <c r="R16" s="154">
        <f t="shared" si="53"/>
        <v>0.21899031510277339</v>
      </c>
      <c r="S16" s="154">
        <f t="shared" si="54"/>
        <v>0.42751800598577561</v>
      </c>
      <c r="T16" s="154">
        <f t="shared" si="55"/>
        <v>0.58716289377328801</v>
      </c>
      <c r="U16" s="154">
        <f t="shared" si="56"/>
        <v>0.69632322453311957</v>
      </c>
      <c r="V16" s="154">
        <f t="shared" si="57"/>
        <v>0.83101718788644996</v>
      </c>
      <c r="W16" s="162">
        <f t="shared" si="58"/>
        <v>1</v>
      </c>
      <c r="X16" s="154"/>
      <c r="Y16" s="142">
        <f t="shared" si="59"/>
        <v>3.2254220456802388E-2</v>
      </c>
      <c r="Z16" s="142">
        <f t="shared" si="60"/>
        <v>5.2989076464746779E-2</v>
      </c>
      <c r="AA16" s="142">
        <f t="shared" si="61"/>
        <v>6.3396226415094376E-2</v>
      </c>
      <c r="AB16" s="142">
        <f t="shared" si="62"/>
        <v>6.0893743793445899E-2</v>
      </c>
      <c r="AC16" s="142">
        <f t="shared" si="63"/>
        <v>2.5551142005958306E-2</v>
      </c>
      <c r="AD16" s="142">
        <f t="shared" si="64"/>
        <v>1.0359980139026821E-2</v>
      </c>
      <c r="AE16" s="142">
        <f t="shared" si="65"/>
        <v>5.0816285998013955E-3</v>
      </c>
      <c r="AF16" s="142">
        <f t="shared" si="66"/>
        <v>0</v>
      </c>
      <c r="AH16" s="158">
        <f t="shared" si="40"/>
        <v>3.872889771598808E-2</v>
      </c>
      <c r="AI16" s="158">
        <f t="shared" si="41"/>
        <v>0.13505461767626611</v>
      </c>
      <c r="AJ16" s="158">
        <f t="shared" si="42"/>
        <v>0.28301886792452824</v>
      </c>
      <c r="AK16" s="158">
        <f t="shared" si="43"/>
        <v>0.49553128103277055</v>
      </c>
      <c r="AL16" s="158">
        <f t="shared" si="44"/>
        <v>0.64448857994041697</v>
      </c>
      <c r="AM16" s="158">
        <f t="shared" si="45"/>
        <v>0.74280039721946367</v>
      </c>
      <c r="AN16" s="158">
        <f t="shared" si="46"/>
        <v>0.86295928500496522</v>
      </c>
      <c r="AO16" s="158">
        <v>1</v>
      </c>
      <c r="AP16" s="143"/>
      <c r="AQ16" s="143">
        <f t="shared" si="5"/>
        <v>2.1396108813783538E-2</v>
      </c>
      <c r="AR16" s="143">
        <f t="shared" si="6"/>
        <v>6.9148749104375212E-2</v>
      </c>
      <c r="AS16" s="143">
        <f t="shared" si="7"/>
        <v>0.12844545718461464</v>
      </c>
      <c r="AT16" s="143">
        <f t="shared" si="8"/>
        <v>0.20852769088300219</v>
      </c>
      <c r="AU16" s="143">
        <f t="shared" si="9"/>
        <v>0.15964488778751237</v>
      </c>
      <c r="AV16" s="143">
        <f t="shared" si="10"/>
        <v>0.10916033075983154</v>
      </c>
      <c r="AW16" s="143">
        <f t="shared" si="11"/>
        <v>0.13469396335333039</v>
      </c>
      <c r="AX16" s="143">
        <f t="shared" si="12"/>
        <v>0.16898281211355001</v>
      </c>
      <c r="AY16" s="46"/>
      <c r="AZ16" s="152">
        <f>Shares!D57</f>
        <v>3.9</v>
      </c>
      <c r="BA16" s="152">
        <f>Shares!E57</f>
        <v>9.6999999999999993</v>
      </c>
      <c r="BB16" s="152">
        <f>Shares!F57</f>
        <v>14.9</v>
      </c>
      <c r="BC16" s="152">
        <f>Shares!G57</f>
        <v>21.4</v>
      </c>
      <c r="BD16" s="152">
        <f>Shares!J57</f>
        <v>15</v>
      </c>
      <c r="BE16" s="152">
        <f>Shares!K57</f>
        <v>9.9</v>
      </c>
      <c r="BF16" s="152">
        <f>Shares!L57</f>
        <v>12.1</v>
      </c>
      <c r="BG16" s="152">
        <f>Shares!M57</f>
        <v>13.8</v>
      </c>
      <c r="BI16" s="146">
        <f>TxRt!B60</f>
        <v>11.7</v>
      </c>
      <c r="BJ16" s="146">
        <f>TxRt!B103</f>
        <v>15</v>
      </c>
      <c r="BK16" s="146">
        <f>TxRt!B143</f>
        <v>18.2</v>
      </c>
      <c r="BL16" s="146">
        <f>TxRt!B183</f>
        <v>20.6</v>
      </c>
      <c r="BM16" s="146">
        <f>TxRt!B263</f>
        <v>22.5</v>
      </c>
      <c r="BN16" s="146">
        <f>TxRt!B303</f>
        <v>23.4</v>
      </c>
      <c r="BO16" s="146">
        <f>TxRt!B343</f>
        <v>23.5</v>
      </c>
      <c r="BP16" s="146">
        <f>TxRt!B383</f>
        <v>24.7</v>
      </c>
      <c r="BQ16" s="46"/>
      <c r="BR16" s="60">
        <f>Inc!B57</f>
        <v>14400</v>
      </c>
      <c r="BS16" s="60">
        <f>Inc!B97</f>
        <v>36300</v>
      </c>
      <c r="BT16" s="60">
        <f>Inc!B137</f>
        <v>57500</v>
      </c>
      <c r="BU16" s="60">
        <f>Inc!B177</f>
        <v>82000</v>
      </c>
      <c r="BV16" s="60">
        <f>Inc!B257</f>
        <v>109900</v>
      </c>
      <c r="BW16" s="60">
        <f>Inc!B297</f>
        <v>139900</v>
      </c>
      <c r="BX16" s="60">
        <f>Inc!B337</f>
        <v>212600</v>
      </c>
      <c r="BY16" s="60">
        <f>Inc!B377</f>
        <v>964300</v>
      </c>
      <c r="CA16" s="60">
        <f t="shared" si="13"/>
        <v>1684.8</v>
      </c>
      <c r="CB16" s="60">
        <f t="shared" si="14"/>
        <v>5445</v>
      </c>
      <c r="CC16" s="60">
        <f t="shared" si="15"/>
        <v>10465</v>
      </c>
      <c r="CD16" s="60">
        <f t="shared" si="16"/>
        <v>16892.000000000004</v>
      </c>
      <c r="CE16" s="60">
        <f t="shared" si="17"/>
        <v>24727.5</v>
      </c>
      <c r="CF16" s="60">
        <f t="shared" si="18"/>
        <v>32736.6</v>
      </c>
      <c r="CG16" s="60">
        <f t="shared" si="19"/>
        <v>49961</v>
      </c>
      <c r="CH16" s="60">
        <f t="shared" si="20"/>
        <v>238182.1</v>
      </c>
      <c r="CJ16" s="153">
        <f t="shared" si="47"/>
        <v>30157.919999999998</v>
      </c>
      <c r="CK16" s="153">
        <f t="shared" si="21"/>
        <v>97465.499999999985</v>
      </c>
      <c r="CL16" s="153">
        <f t="shared" si="22"/>
        <v>181044.49999999997</v>
      </c>
      <c r="CM16" s="153">
        <f t="shared" si="23"/>
        <v>293920.80000000005</v>
      </c>
      <c r="CN16" s="153">
        <f t="shared" si="24"/>
        <v>225020.25</v>
      </c>
      <c r="CO16" s="153">
        <f t="shared" si="25"/>
        <v>153862.01999999999</v>
      </c>
      <c r="CP16" s="153">
        <f t="shared" si="26"/>
        <v>189851.8</v>
      </c>
      <c r="CQ16" s="153">
        <f t="shared" si="27"/>
        <v>238182.1</v>
      </c>
      <c r="CR16" s="153">
        <f t="shared" si="48"/>
        <v>1409504.8900000001</v>
      </c>
      <c r="CT16" s="39">
        <v>237.1</v>
      </c>
      <c r="CU16" s="276">
        <f>Dem!B57+(DD16/4)</f>
        <v>17.899999999999999</v>
      </c>
      <c r="CV16" s="276">
        <f>Dem!B97+(DD16/4)</f>
        <v>17.899999999999999</v>
      </c>
      <c r="CW16" s="276">
        <f>Dem!B137+(DD16/4)</f>
        <v>17.299999999999997</v>
      </c>
      <c r="CX16" s="276">
        <f>Dem!B177+(DD16/4)</f>
        <v>17.399999999999999</v>
      </c>
      <c r="CY16" s="276">
        <f>Dem!B257</f>
        <v>9.1</v>
      </c>
      <c r="CZ16" s="276">
        <f>Dem!B297</f>
        <v>4.7</v>
      </c>
      <c r="DA16" s="276">
        <f>Dem!B337</f>
        <v>3.8</v>
      </c>
      <c r="DB16" s="276">
        <f>Dem!B377</f>
        <v>1</v>
      </c>
      <c r="DC16" s="275">
        <v>89.9</v>
      </c>
      <c r="DD16" s="46">
        <v>-0.40000000000000568</v>
      </c>
      <c r="DE16" s="275"/>
      <c r="DF16" s="276">
        <f>Dem!$D57+(DO16/4)</f>
        <v>45.775000000000006</v>
      </c>
      <c r="DG16" s="276">
        <f>Dem!$D97+(DO16/4)</f>
        <v>47.075000000000003</v>
      </c>
      <c r="DH16" s="276">
        <f>Dem!$D137+(DO16/4)</f>
        <v>47.075000000000003</v>
      </c>
      <c r="DI16" s="276">
        <f>Dem!$D177+(DO16/4)</f>
        <v>47.075000000000003</v>
      </c>
      <c r="DJ16" s="275">
        <f>Dem!$D257</f>
        <v>23.7</v>
      </c>
      <c r="DK16" s="275">
        <f>Dem!$D297</f>
        <v>11.9</v>
      </c>
      <c r="DL16" s="275">
        <f>Dem!$D337</f>
        <v>9.5</v>
      </c>
      <c r="DM16" s="275">
        <f>Dem!$D377</f>
        <v>2.4</v>
      </c>
      <c r="DN16" s="276">
        <f t="shared" si="49"/>
        <v>237.1</v>
      </c>
      <c r="DO16" s="44">
        <v>-1.2999999999999829</v>
      </c>
    </row>
    <row r="17" spans="1:119">
      <c r="A17" s="46">
        <f t="shared" si="50"/>
        <v>1987</v>
      </c>
      <c r="B17" s="141">
        <f t="shared" si="28"/>
        <v>0.12002843057260215</v>
      </c>
      <c r="C17" s="46"/>
      <c r="D17" s="141">
        <f t="shared" si="29"/>
        <v>0.60094795485406904</v>
      </c>
      <c r="E17" s="141">
        <f t="shared" si="30"/>
        <v>0.48091952428146689</v>
      </c>
      <c r="F17" s="46"/>
      <c r="G17" s="157">
        <f t="shared" si="31"/>
        <v>3.6334062984974928E-2</v>
      </c>
      <c r="H17" s="157">
        <f t="shared" si="32"/>
        <v>6.305211696614349E-2</v>
      </c>
      <c r="I17" s="157">
        <f t="shared" si="33"/>
        <v>7.7343510924468797E-2</v>
      </c>
      <c r="J17" s="157">
        <f t="shared" si="34"/>
        <v>7.5085058793224385E-2</v>
      </c>
      <c r="K17" s="157">
        <f t="shared" si="35"/>
        <v>3.0957020059004192E-2</v>
      </c>
      <c r="L17" s="157">
        <f t="shared" si="36"/>
        <v>1.2195906627347859E-2</v>
      </c>
      <c r="M17" s="157">
        <f t="shared" si="37"/>
        <v>5.5063010718709024E-3</v>
      </c>
      <c r="N17" s="157">
        <f t="shared" si="38"/>
        <v>0</v>
      </c>
      <c r="O17" s="46"/>
      <c r="P17" s="154">
        <f t="shared" si="51"/>
        <v>1.8329685075125359E-2</v>
      </c>
      <c r="Q17" s="154">
        <f t="shared" si="52"/>
        <v>8.4739415169282573E-2</v>
      </c>
      <c r="R17" s="154">
        <f t="shared" si="53"/>
        <v>0.21328244537765612</v>
      </c>
      <c r="S17" s="154">
        <f t="shared" si="54"/>
        <v>0.42457470603387815</v>
      </c>
      <c r="T17" s="154">
        <f t="shared" si="55"/>
        <v>0.5904297994099581</v>
      </c>
      <c r="U17" s="154">
        <f t="shared" si="56"/>
        <v>0.70608186745304291</v>
      </c>
      <c r="V17" s="154">
        <f t="shared" si="57"/>
        <v>0.85234247320322754</v>
      </c>
      <c r="W17" s="162">
        <f t="shared" si="58"/>
        <v>1</v>
      </c>
      <c r="X17" s="154"/>
      <c r="Y17" s="142">
        <f t="shared" si="59"/>
        <v>3.2666005946481669E-2</v>
      </c>
      <c r="Z17" s="142">
        <f t="shared" si="60"/>
        <v>5.2646184340931629E-2</v>
      </c>
      <c r="AA17" s="142">
        <f t="shared" si="61"/>
        <v>6.1724479682854327E-2</v>
      </c>
      <c r="AB17" s="142">
        <f t="shared" si="62"/>
        <v>5.732408325074332E-2</v>
      </c>
      <c r="AC17" s="142">
        <f t="shared" si="63"/>
        <v>2.3102081268582753E-2</v>
      </c>
      <c r="AD17" s="142">
        <f t="shared" si="64"/>
        <v>8.9965312190287416E-3</v>
      </c>
      <c r="AE17" s="142">
        <f t="shared" si="65"/>
        <v>4.0003964321110039E-3</v>
      </c>
      <c r="AF17" s="142">
        <f t="shared" si="66"/>
        <v>0</v>
      </c>
      <c r="AH17" s="158">
        <f t="shared" si="40"/>
        <v>3.6669970267591681E-2</v>
      </c>
      <c r="AI17" s="158">
        <f t="shared" si="41"/>
        <v>0.13676907829534193</v>
      </c>
      <c r="AJ17" s="158">
        <f t="shared" si="42"/>
        <v>0.29137760158572845</v>
      </c>
      <c r="AK17" s="158">
        <f t="shared" si="43"/>
        <v>0.51337958374628345</v>
      </c>
      <c r="AL17" s="158">
        <f t="shared" si="44"/>
        <v>0.6689791873141725</v>
      </c>
      <c r="AM17" s="158">
        <f t="shared" si="45"/>
        <v>0.77006937561942523</v>
      </c>
      <c r="AN17" s="158">
        <f t="shared" si="46"/>
        <v>0.889990089197225</v>
      </c>
      <c r="AO17" s="158">
        <v>1</v>
      </c>
      <c r="AP17" s="143"/>
      <c r="AQ17" s="143">
        <f t="shared" si="5"/>
        <v>1.8329685075125359E-2</v>
      </c>
      <c r="AR17" s="143">
        <f t="shared" si="6"/>
        <v>6.640973009415721E-2</v>
      </c>
      <c r="AS17" s="143">
        <f t="shared" si="7"/>
        <v>0.12854303020837354</v>
      </c>
      <c r="AT17" s="143">
        <f t="shared" si="8"/>
        <v>0.21129226065622203</v>
      </c>
      <c r="AU17" s="143">
        <f t="shared" si="9"/>
        <v>0.16585509337607998</v>
      </c>
      <c r="AV17" s="143">
        <f t="shared" si="10"/>
        <v>0.11565206804308487</v>
      </c>
      <c r="AW17" s="143">
        <f t="shared" si="11"/>
        <v>0.1462606057501846</v>
      </c>
      <c r="AX17" s="143">
        <f t="shared" si="12"/>
        <v>0.14765752679677241</v>
      </c>
      <c r="AY17" s="46"/>
      <c r="AZ17" s="152">
        <f>Shares!D58</f>
        <v>3.7</v>
      </c>
      <c r="BA17" s="152">
        <f>Shares!E58</f>
        <v>10.1</v>
      </c>
      <c r="BB17" s="152">
        <f>Shares!F58</f>
        <v>15.6</v>
      </c>
      <c r="BC17" s="152">
        <f>Shares!G58</f>
        <v>22.4</v>
      </c>
      <c r="BD17" s="152">
        <f>Shares!J58</f>
        <v>15.7</v>
      </c>
      <c r="BE17" s="152">
        <f>Shares!K58</f>
        <v>10.199999999999999</v>
      </c>
      <c r="BF17" s="152">
        <f>Shares!L58</f>
        <v>12.1</v>
      </c>
      <c r="BG17" s="152">
        <f>Shares!M58</f>
        <v>11.1</v>
      </c>
      <c r="BI17" s="146">
        <f>TxRt!B61</f>
        <v>10.7</v>
      </c>
      <c r="BJ17" s="146">
        <f>TxRt!B104</f>
        <v>14.3</v>
      </c>
      <c r="BK17" s="146">
        <f>TxRt!B144</f>
        <v>17.8</v>
      </c>
      <c r="BL17" s="146">
        <f>TxRt!B184</f>
        <v>20.399999999999999</v>
      </c>
      <c r="BM17" s="146">
        <f>TxRt!B264</f>
        <v>22.8</v>
      </c>
      <c r="BN17" s="146">
        <f>TxRt!B304</f>
        <v>24.5</v>
      </c>
      <c r="BO17" s="146">
        <f>TxRt!B344</f>
        <v>25.9</v>
      </c>
      <c r="BP17" s="146">
        <f>TxRt!B384</f>
        <v>30.1</v>
      </c>
      <c r="BQ17" s="46"/>
      <c r="BR17" s="60">
        <f>Inc!B58</f>
        <v>13800</v>
      </c>
      <c r="BS17" s="60">
        <f>Inc!B98</f>
        <v>35400</v>
      </c>
      <c r="BT17" s="60">
        <f>Inc!B138</f>
        <v>57200</v>
      </c>
      <c r="BU17" s="60">
        <f>Inc!B178</f>
        <v>82500</v>
      </c>
      <c r="BV17" s="60">
        <f>Inc!B258</f>
        <v>110900</v>
      </c>
      <c r="BW17" s="60">
        <f>Inc!B298</f>
        <v>142400</v>
      </c>
      <c r="BX17" s="60">
        <f>Inc!B338</f>
        <v>210700</v>
      </c>
      <c r="BY17" s="60">
        <f>Inc!B378</f>
        <v>772800</v>
      </c>
      <c r="CA17" s="60">
        <f t="shared" si="13"/>
        <v>1476.6</v>
      </c>
      <c r="CB17" s="60">
        <f t="shared" si="14"/>
        <v>5062.2</v>
      </c>
      <c r="CC17" s="60">
        <f t="shared" si="15"/>
        <v>10181.6</v>
      </c>
      <c r="CD17" s="60">
        <f t="shared" si="16"/>
        <v>16829.999999999996</v>
      </c>
      <c r="CE17" s="60">
        <f t="shared" si="17"/>
        <v>25285.200000000001</v>
      </c>
      <c r="CF17" s="60">
        <f t="shared" si="18"/>
        <v>34888</v>
      </c>
      <c r="CG17" s="60">
        <f t="shared" si="19"/>
        <v>54571.3</v>
      </c>
      <c r="CH17" s="60">
        <f t="shared" si="20"/>
        <v>232612.8</v>
      </c>
      <c r="CJ17" s="153">
        <f t="shared" si="47"/>
        <v>25988.159999999996</v>
      </c>
      <c r="CK17" s="153">
        <f t="shared" si="21"/>
        <v>94156.919999999984</v>
      </c>
      <c r="CL17" s="153">
        <f t="shared" si="22"/>
        <v>182250.63999999998</v>
      </c>
      <c r="CM17" s="153">
        <f t="shared" si="23"/>
        <v>299573.99999999988</v>
      </c>
      <c r="CN17" s="153">
        <f t="shared" si="24"/>
        <v>235152.36000000002</v>
      </c>
      <c r="CO17" s="153">
        <f t="shared" si="25"/>
        <v>163973.6</v>
      </c>
      <c r="CP17" s="153">
        <f t="shared" si="26"/>
        <v>207370.94</v>
      </c>
      <c r="CQ17" s="153">
        <f t="shared" si="27"/>
        <v>209351.52</v>
      </c>
      <c r="CR17" s="153">
        <f t="shared" si="48"/>
        <v>1417818.14</v>
      </c>
      <c r="CT17" s="39">
        <v>239.8</v>
      </c>
      <c r="CU17" s="276">
        <f>Dem!B58+(DD17/4)</f>
        <v>17.599999999999998</v>
      </c>
      <c r="CV17" s="276">
        <f>Dem!B98+(DD17/4)</f>
        <v>18.599999999999998</v>
      </c>
      <c r="CW17" s="276">
        <f>Dem!B138+(DD17/4)</f>
        <v>17.899999999999999</v>
      </c>
      <c r="CX17" s="276">
        <f>Dem!B178+(DD17/4)</f>
        <v>17.799999999999997</v>
      </c>
      <c r="CY17" s="276">
        <f>Dem!B258</f>
        <v>9.3000000000000007</v>
      </c>
      <c r="CZ17" s="276">
        <f>Dem!B298</f>
        <v>4.7</v>
      </c>
      <c r="DA17" s="276">
        <f>Dem!B338</f>
        <v>3.8</v>
      </c>
      <c r="DB17" s="276">
        <f>Dem!B378</f>
        <v>0.9</v>
      </c>
      <c r="DC17" s="275">
        <v>91.4</v>
      </c>
      <c r="DD17" s="46">
        <v>-0.40000000000000568</v>
      </c>
      <c r="DE17" s="275"/>
      <c r="DF17" s="276">
        <f>Dem!$D58+(DO17/4)</f>
        <v>46.424999999999997</v>
      </c>
      <c r="DG17" s="276">
        <f>Dem!$D98+(DO17/4)</f>
        <v>47.724999999999994</v>
      </c>
      <c r="DH17" s="276">
        <f>Dem!$D138+(DO17/4)</f>
        <v>47.724999999999994</v>
      </c>
      <c r="DI17" s="276">
        <f>Dem!$D178+(DO17/4)</f>
        <v>47.724999999999994</v>
      </c>
      <c r="DJ17" s="275">
        <f>Dem!$D258</f>
        <v>24</v>
      </c>
      <c r="DK17" s="275">
        <f>Dem!$D298</f>
        <v>12</v>
      </c>
      <c r="DL17" s="275">
        <f>Dem!$D338</f>
        <v>9.6</v>
      </c>
      <c r="DM17" s="275">
        <f>Dem!$D378</f>
        <v>2.4</v>
      </c>
      <c r="DN17" s="276">
        <f t="shared" si="49"/>
        <v>239.8</v>
      </c>
      <c r="DO17" s="44">
        <v>-1.1000000000000227</v>
      </c>
    </row>
    <row r="18" spans="1:119">
      <c r="A18" s="46">
        <f t="shared" si="50"/>
        <v>1988</v>
      </c>
      <c r="B18" s="141">
        <f t="shared" si="28"/>
        <v>0.12308957361974787</v>
      </c>
      <c r="C18" s="46"/>
      <c r="D18" s="141">
        <f t="shared" si="29"/>
        <v>0.62066258949276387</v>
      </c>
      <c r="E18" s="141">
        <f t="shared" si="30"/>
        <v>0.497573015873016</v>
      </c>
      <c r="F18" s="46"/>
      <c r="G18" s="157">
        <f t="shared" si="31"/>
        <v>3.6634600194476556E-2</v>
      </c>
      <c r="H18" s="157">
        <f t="shared" si="32"/>
        <v>6.3601315251173546E-2</v>
      </c>
      <c r="I18" s="157">
        <f t="shared" si="33"/>
        <v>7.8929535507622772E-2</v>
      </c>
      <c r="J18" s="157">
        <f t="shared" si="34"/>
        <v>7.7928398322790915E-2</v>
      </c>
      <c r="K18" s="157">
        <f t="shared" si="35"/>
        <v>3.2977737351970994E-2</v>
      </c>
      <c r="L18" s="157">
        <f t="shared" si="36"/>
        <v>1.348181970299735E-2</v>
      </c>
      <c r="M18" s="157">
        <f t="shared" si="37"/>
        <v>6.7778884153497469E-3</v>
      </c>
      <c r="N18" s="157">
        <f t="shared" si="38"/>
        <v>0</v>
      </c>
      <c r="O18" s="46"/>
      <c r="P18" s="154">
        <f t="shared" si="51"/>
        <v>1.6826999027617237E-2</v>
      </c>
      <c r="Q18" s="154">
        <f t="shared" si="52"/>
        <v>8.1993423744132307E-2</v>
      </c>
      <c r="R18" s="154">
        <f t="shared" si="53"/>
        <v>0.20535232246188631</v>
      </c>
      <c r="S18" s="154">
        <f t="shared" si="54"/>
        <v>0.41035800838604553</v>
      </c>
      <c r="T18" s="154">
        <f t="shared" si="55"/>
        <v>0.5702226264802901</v>
      </c>
      <c r="U18" s="154">
        <f t="shared" si="56"/>
        <v>0.68036360594005307</v>
      </c>
      <c r="V18" s="154">
        <f t="shared" si="57"/>
        <v>0.82055278961625644</v>
      </c>
      <c r="W18" s="162">
        <f t="shared" si="58"/>
        <v>1</v>
      </c>
      <c r="X18" s="154"/>
      <c r="Y18" s="142">
        <f t="shared" si="59"/>
        <v>3.2658730158730165E-2</v>
      </c>
      <c r="Z18" s="142">
        <f t="shared" si="60"/>
        <v>5.3214285714285728E-2</v>
      </c>
      <c r="AA18" s="142">
        <f t="shared" si="61"/>
        <v>6.3253968253968271E-2</v>
      </c>
      <c r="AB18" s="142">
        <f t="shared" si="62"/>
        <v>6.0000000000000012E-2</v>
      </c>
      <c r="AC18" s="142">
        <f t="shared" si="63"/>
        <v>2.4821428571428574E-2</v>
      </c>
      <c r="AD18" s="142">
        <f t="shared" si="64"/>
        <v>1.0000000000000004E-2</v>
      </c>
      <c r="AE18" s="142">
        <f t="shared" si="65"/>
        <v>4.8380952380952412E-3</v>
      </c>
      <c r="AF18" s="142">
        <f t="shared" si="66"/>
        <v>0</v>
      </c>
      <c r="AH18" s="158">
        <f t="shared" si="40"/>
        <v>3.6706349206349201E-2</v>
      </c>
      <c r="AI18" s="158">
        <f t="shared" si="41"/>
        <v>0.13392857142857142</v>
      </c>
      <c r="AJ18" s="158">
        <f t="shared" si="42"/>
        <v>0.28373015873015872</v>
      </c>
      <c r="AK18" s="158">
        <f t="shared" si="43"/>
        <v>0.5</v>
      </c>
      <c r="AL18" s="158">
        <f t="shared" si="44"/>
        <v>0.6517857142857143</v>
      </c>
      <c r="AM18" s="158">
        <f t="shared" si="45"/>
        <v>0.75</v>
      </c>
      <c r="AN18" s="158">
        <f t="shared" si="46"/>
        <v>0.86904761904761907</v>
      </c>
      <c r="AO18" s="158">
        <v>1</v>
      </c>
      <c r="AP18" s="143"/>
      <c r="AQ18" s="143">
        <f t="shared" si="5"/>
        <v>1.6826999027617237E-2</v>
      </c>
      <c r="AR18" s="143">
        <f t="shared" si="6"/>
        <v>6.516642471651507E-2</v>
      </c>
      <c r="AS18" s="143">
        <f t="shared" si="7"/>
        <v>0.123358898717754</v>
      </c>
      <c r="AT18" s="143">
        <f t="shared" si="8"/>
        <v>0.20500568592415921</v>
      </c>
      <c r="AU18" s="143">
        <f t="shared" si="9"/>
        <v>0.15986461809424451</v>
      </c>
      <c r="AV18" s="143">
        <f t="shared" si="10"/>
        <v>0.11014097945976302</v>
      </c>
      <c r="AW18" s="143">
        <f t="shared" si="11"/>
        <v>0.14018918367620337</v>
      </c>
      <c r="AX18" s="143">
        <f t="shared" si="12"/>
        <v>0.17944721038374362</v>
      </c>
      <c r="AY18" s="46"/>
      <c r="AZ18" s="152">
        <f>Shares!D59</f>
        <v>3.7</v>
      </c>
      <c r="BA18" s="152">
        <f>Shares!E59</f>
        <v>9.8000000000000007</v>
      </c>
      <c r="BB18" s="152">
        <f>Shares!F59</f>
        <v>15.1</v>
      </c>
      <c r="BC18" s="152">
        <f>Shares!G59</f>
        <v>21.8</v>
      </c>
      <c r="BD18" s="152">
        <f>Shares!J59</f>
        <v>15.3</v>
      </c>
      <c r="BE18" s="152">
        <f>Shares!K59</f>
        <v>9.9</v>
      </c>
      <c r="BF18" s="152">
        <f>Shares!L59</f>
        <v>12</v>
      </c>
      <c r="BG18" s="152">
        <f>Shares!M59</f>
        <v>13.2</v>
      </c>
      <c r="BI18" s="146">
        <f>TxRt!B62</f>
        <v>10.199999999999999</v>
      </c>
      <c r="BJ18" s="146">
        <f>TxRt!B105</f>
        <v>14.7</v>
      </c>
      <c r="BK18" s="146">
        <f>TxRt!B145</f>
        <v>18.2</v>
      </c>
      <c r="BL18" s="146">
        <f>TxRt!B185</f>
        <v>20.8</v>
      </c>
      <c r="BM18" s="146">
        <f>TxRt!B265</f>
        <v>23.1</v>
      </c>
      <c r="BN18" s="146">
        <f>TxRt!B305</f>
        <v>24.4</v>
      </c>
      <c r="BO18" s="146">
        <f>TxRt!B345</f>
        <v>25.5</v>
      </c>
      <c r="BP18" s="146">
        <f>TxRt!B385</f>
        <v>28.6</v>
      </c>
      <c r="BQ18" s="46"/>
      <c r="BR18" s="60">
        <f>Inc!B59</f>
        <v>14300</v>
      </c>
      <c r="BS18" s="60">
        <f>Inc!B99</f>
        <v>36000</v>
      </c>
      <c r="BT18" s="60">
        <f>Inc!B139</f>
        <v>58100</v>
      </c>
      <c r="BU18" s="60">
        <f>Inc!B179</f>
        <v>83100</v>
      </c>
      <c r="BV18" s="60">
        <f>Inc!B259</f>
        <v>112400</v>
      </c>
      <c r="BW18" s="60">
        <f>Inc!B299</f>
        <v>145100</v>
      </c>
      <c r="BX18" s="60">
        <f>Inc!B339</f>
        <v>217500</v>
      </c>
      <c r="BY18" s="60">
        <f>Inc!B379</f>
        <v>968100</v>
      </c>
      <c r="CA18" s="60">
        <f t="shared" si="13"/>
        <v>1458.6</v>
      </c>
      <c r="CB18" s="60">
        <f t="shared" si="14"/>
        <v>5292</v>
      </c>
      <c r="CC18" s="60">
        <f t="shared" si="15"/>
        <v>10574.2</v>
      </c>
      <c r="CD18" s="60">
        <f t="shared" si="16"/>
        <v>17284.8</v>
      </c>
      <c r="CE18" s="60">
        <f t="shared" si="17"/>
        <v>25964.400000000001</v>
      </c>
      <c r="CF18" s="60">
        <f t="shared" si="18"/>
        <v>35404.400000000001</v>
      </c>
      <c r="CG18" s="60">
        <f t="shared" si="19"/>
        <v>55462.5</v>
      </c>
      <c r="CH18" s="60">
        <f t="shared" si="20"/>
        <v>276876.59999999998</v>
      </c>
      <c r="CJ18" s="153">
        <f t="shared" si="47"/>
        <v>25963.079999999998</v>
      </c>
      <c r="CK18" s="153">
        <f t="shared" si="21"/>
        <v>100548.00000000001</v>
      </c>
      <c r="CL18" s="153">
        <f t="shared" si="22"/>
        <v>190335.60000000006</v>
      </c>
      <c r="CM18" s="153">
        <f t="shared" si="23"/>
        <v>316311.84000000003</v>
      </c>
      <c r="CN18" s="153">
        <f t="shared" si="24"/>
        <v>246661.80000000002</v>
      </c>
      <c r="CO18" s="153">
        <f t="shared" si="25"/>
        <v>169941.12</v>
      </c>
      <c r="CP18" s="153">
        <f t="shared" si="26"/>
        <v>216303.75</v>
      </c>
      <c r="CQ18" s="153">
        <f t="shared" si="27"/>
        <v>276876.59999999998</v>
      </c>
      <c r="CR18" s="153">
        <f t="shared" si="48"/>
        <v>1542941.79</v>
      </c>
      <c r="CT18" s="39">
        <v>241.7</v>
      </c>
      <c r="CU18" s="276">
        <f>Dem!B59+(DD18/4)</f>
        <v>17.8</v>
      </c>
      <c r="CV18" s="276">
        <f>Dem!B99+(DD18/4)</f>
        <v>19.000000000000004</v>
      </c>
      <c r="CW18" s="276">
        <f>Dem!B139+(DD18/4)</f>
        <v>18.000000000000004</v>
      </c>
      <c r="CX18" s="276">
        <f>Dem!B179+(DD18/4)</f>
        <v>18.3</v>
      </c>
      <c r="CY18" s="276">
        <f>Dem!B259</f>
        <v>9.5</v>
      </c>
      <c r="CZ18" s="276">
        <f>Dem!B299</f>
        <v>4.8</v>
      </c>
      <c r="DA18" s="276">
        <f>Dem!B339</f>
        <v>3.9</v>
      </c>
      <c r="DB18" s="276">
        <f>Dem!B379</f>
        <v>1</v>
      </c>
      <c r="DC18" s="275">
        <v>93.1</v>
      </c>
      <c r="DD18" s="46">
        <v>-0.39999999999999147</v>
      </c>
      <c r="DE18" s="275"/>
      <c r="DF18" s="276">
        <f>Dem!$D59+(DO18/4)</f>
        <v>46.800000000000004</v>
      </c>
      <c r="DG18" s="276">
        <f>Dem!$D99+(DO18/4)</f>
        <v>48.1</v>
      </c>
      <c r="DH18" s="276">
        <f>Dem!$D139+(DO18/4)</f>
        <v>48</v>
      </c>
      <c r="DI18" s="276">
        <f>Dem!$D179+(DO18/4)</f>
        <v>48</v>
      </c>
      <c r="DJ18" s="275">
        <f>Dem!$D259</f>
        <v>24.2</v>
      </c>
      <c r="DK18" s="275">
        <f>Dem!$D299</f>
        <v>12.1</v>
      </c>
      <c r="DL18" s="275">
        <f>Dem!$D339</f>
        <v>9.6999999999999993</v>
      </c>
      <c r="DM18" s="275">
        <f>Dem!$D379</f>
        <v>2.4</v>
      </c>
      <c r="DN18" s="276">
        <f t="shared" si="49"/>
        <v>241.7</v>
      </c>
      <c r="DO18" s="44">
        <v>-1.1999999999999886</v>
      </c>
    </row>
    <row r="19" spans="1:119">
      <c r="A19" s="46">
        <f t="shared" si="50"/>
        <v>1989</v>
      </c>
      <c r="B19" s="141">
        <f t="shared" si="28"/>
        <v>0.12059219597802201</v>
      </c>
      <c r="C19" s="46"/>
      <c r="D19" s="141">
        <f t="shared" si="29"/>
        <v>0.61151513540205382</v>
      </c>
      <c r="E19" s="141">
        <f t="shared" si="30"/>
        <v>0.49092293942403181</v>
      </c>
      <c r="F19" s="46"/>
      <c r="G19" s="157">
        <f t="shared" si="31"/>
        <v>3.6673018753820487E-2</v>
      </c>
      <c r="H19" s="157">
        <f t="shared" si="32"/>
        <v>6.3663582256047804E-2</v>
      </c>
      <c r="I19" s="157">
        <f t="shared" si="33"/>
        <v>7.8284123258598529E-2</v>
      </c>
      <c r="J19" s="157">
        <f t="shared" si="34"/>
        <v>7.627034411569561E-2</v>
      </c>
      <c r="K19" s="157">
        <f t="shared" si="35"/>
        <v>3.1863893338192562E-2</v>
      </c>
      <c r="L19" s="157">
        <f t="shared" si="36"/>
        <v>1.2840769852600159E-2</v>
      </c>
      <c r="M19" s="157">
        <f t="shared" si="37"/>
        <v>6.1618361260718044E-3</v>
      </c>
      <c r="N19" s="157">
        <f t="shared" si="38"/>
        <v>0</v>
      </c>
      <c r="O19" s="46"/>
      <c r="P19" s="154">
        <f t="shared" si="51"/>
        <v>1.663490623089757E-2</v>
      </c>
      <c r="Q19" s="154">
        <f t="shared" si="52"/>
        <v>8.1682088719760987E-2</v>
      </c>
      <c r="R19" s="154">
        <f t="shared" si="53"/>
        <v>0.20857938370700746</v>
      </c>
      <c r="S19" s="154">
        <f t="shared" si="54"/>
        <v>0.41864827942152205</v>
      </c>
      <c r="T19" s="154">
        <f t="shared" si="55"/>
        <v>0.58136106661807441</v>
      </c>
      <c r="U19" s="154">
        <f t="shared" si="56"/>
        <v>0.69318460294799689</v>
      </c>
      <c r="V19" s="154">
        <f t="shared" si="57"/>
        <v>0.83595409684820499</v>
      </c>
      <c r="W19" s="162">
        <f t="shared" si="58"/>
        <v>1</v>
      </c>
      <c r="X19" s="154"/>
      <c r="Y19" s="142">
        <f t="shared" si="59"/>
        <v>3.2452830188679248E-2</v>
      </c>
      <c r="Z19" s="142">
        <f t="shared" si="60"/>
        <v>5.2790466732869912E-2</v>
      </c>
      <c r="AA19" s="142">
        <f t="shared" si="61"/>
        <v>6.2601787487586907E-2</v>
      </c>
      <c r="AB19" s="142">
        <f t="shared" si="62"/>
        <v>5.9106256206554124E-2</v>
      </c>
      <c r="AC19" s="142">
        <f t="shared" si="63"/>
        <v>2.4359483614697121E-2</v>
      </c>
      <c r="AD19" s="142">
        <f t="shared" si="64"/>
        <v>9.6648460774577949E-3</v>
      </c>
      <c r="AE19" s="142">
        <f t="shared" si="65"/>
        <v>4.4857994041708031E-3</v>
      </c>
      <c r="AF19" s="142">
        <f t="shared" si="66"/>
        <v>0</v>
      </c>
      <c r="AH19" s="158">
        <f t="shared" si="40"/>
        <v>3.7735849056603779E-2</v>
      </c>
      <c r="AI19" s="158">
        <f t="shared" si="41"/>
        <v>0.13604766633565046</v>
      </c>
      <c r="AJ19" s="158">
        <f t="shared" si="42"/>
        <v>0.28699106256206558</v>
      </c>
      <c r="AK19" s="158">
        <f t="shared" si="43"/>
        <v>0.50446871896722945</v>
      </c>
      <c r="AL19" s="158">
        <f t="shared" si="44"/>
        <v>0.65640516385302883</v>
      </c>
      <c r="AM19" s="158">
        <f t="shared" si="45"/>
        <v>0.75670307845084417</v>
      </c>
      <c r="AN19" s="158">
        <f t="shared" si="46"/>
        <v>0.87785501489573003</v>
      </c>
      <c r="AO19" s="158">
        <v>1</v>
      </c>
      <c r="AP19" s="143"/>
      <c r="AQ19" s="143">
        <f t="shared" si="5"/>
        <v>1.6634906230897566E-2</v>
      </c>
      <c r="AR19" s="143">
        <f t="shared" si="6"/>
        <v>6.5047182488863403E-2</v>
      </c>
      <c r="AS19" s="143">
        <f t="shared" si="7"/>
        <v>0.12689729498724645</v>
      </c>
      <c r="AT19" s="143">
        <f t="shared" si="8"/>
        <v>0.21006889571451454</v>
      </c>
      <c r="AU19" s="143">
        <f t="shared" si="9"/>
        <v>0.1627127871965523</v>
      </c>
      <c r="AV19" s="143">
        <f t="shared" si="10"/>
        <v>0.11182353632992251</v>
      </c>
      <c r="AW19" s="143">
        <f t="shared" si="11"/>
        <v>0.14276949390020804</v>
      </c>
      <c r="AX19" s="143">
        <f t="shared" si="12"/>
        <v>0.16404590315179521</v>
      </c>
      <c r="AY19" s="46"/>
      <c r="AZ19" s="152">
        <f>Shares!D60</f>
        <v>3.8</v>
      </c>
      <c r="BA19" s="152">
        <f>Shares!E60</f>
        <v>9.9</v>
      </c>
      <c r="BB19" s="152">
        <f>Shares!F60</f>
        <v>15.2</v>
      </c>
      <c r="BC19" s="152">
        <f>Shares!G60</f>
        <v>21.9</v>
      </c>
      <c r="BD19" s="152">
        <f>Shares!J60</f>
        <v>15.3</v>
      </c>
      <c r="BE19" s="152">
        <f>Shares!K60</f>
        <v>10.1</v>
      </c>
      <c r="BF19" s="152">
        <f>Shares!L60</f>
        <v>12.2</v>
      </c>
      <c r="BG19" s="152">
        <f>Shares!M60</f>
        <v>12.3</v>
      </c>
      <c r="BI19" s="146">
        <f>TxRt!B63</f>
        <v>9.6</v>
      </c>
      <c r="BJ19" s="146">
        <f>TxRt!B106</f>
        <v>14.3</v>
      </c>
      <c r="BK19" s="146">
        <f>TxRt!B146</f>
        <v>18.100000000000001</v>
      </c>
      <c r="BL19" s="146">
        <f>TxRt!B186</f>
        <v>20.8</v>
      </c>
      <c r="BM19" s="146">
        <f>TxRt!B266</f>
        <v>23</v>
      </c>
      <c r="BN19" s="146">
        <f>TxRt!B306</f>
        <v>24.2</v>
      </c>
      <c r="BO19" s="146">
        <f>TxRt!B346</f>
        <v>25.3</v>
      </c>
      <c r="BP19" s="146">
        <f>TxRt!B386</f>
        <v>27.9</v>
      </c>
      <c r="BQ19" s="46"/>
      <c r="BR19" s="60">
        <f>Inc!B60</f>
        <v>15000</v>
      </c>
      <c r="BS19" s="60">
        <f>Inc!B100</f>
        <v>36300</v>
      </c>
      <c r="BT19" s="60">
        <f>Inc!B140</f>
        <v>58700</v>
      </c>
      <c r="BU19" s="60">
        <f>Inc!B180</f>
        <v>84100</v>
      </c>
      <c r="BV19" s="60">
        <f>Inc!B260</f>
        <v>114100</v>
      </c>
      <c r="BW19" s="60">
        <f>Inc!B300</f>
        <v>147500</v>
      </c>
      <c r="BX19" s="60">
        <f>Inc!B340</f>
        <v>221700</v>
      </c>
      <c r="BY19" s="60">
        <f>Inc!B380</f>
        <v>900900</v>
      </c>
      <c r="CA19" s="60">
        <f t="shared" si="13"/>
        <v>1440</v>
      </c>
      <c r="CB19" s="60">
        <f t="shared" si="14"/>
        <v>5190.8999999999996</v>
      </c>
      <c r="CC19" s="60">
        <f t="shared" si="15"/>
        <v>10624.7</v>
      </c>
      <c r="CD19" s="60">
        <f t="shared" si="16"/>
        <v>17492.8</v>
      </c>
      <c r="CE19" s="60">
        <f t="shared" si="17"/>
        <v>26243</v>
      </c>
      <c r="CF19" s="60">
        <f t="shared" si="18"/>
        <v>35695</v>
      </c>
      <c r="CG19" s="60">
        <f t="shared" si="19"/>
        <v>56090.1</v>
      </c>
      <c r="CH19" s="60">
        <f t="shared" si="20"/>
        <v>251351.1</v>
      </c>
      <c r="CJ19" s="153">
        <f t="shared" si="47"/>
        <v>25488.000000000004</v>
      </c>
      <c r="CK19" s="153">
        <f t="shared" si="21"/>
        <v>99665.280000000013</v>
      </c>
      <c r="CL19" s="153">
        <f t="shared" si="22"/>
        <v>194432.01</v>
      </c>
      <c r="CM19" s="153">
        <f t="shared" si="23"/>
        <v>321867.52000000002</v>
      </c>
      <c r="CN19" s="153">
        <f t="shared" si="24"/>
        <v>249308.5</v>
      </c>
      <c r="CO19" s="153">
        <f t="shared" si="25"/>
        <v>171336</v>
      </c>
      <c r="CP19" s="153">
        <f t="shared" si="26"/>
        <v>218751.38999999998</v>
      </c>
      <c r="CQ19" s="153">
        <f t="shared" si="27"/>
        <v>251351.1</v>
      </c>
      <c r="CR19" s="153">
        <f t="shared" si="48"/>
        <v>1532199.8</v>
      </c>
      <c r="CT19" s="39">
        <v>243.9</v>
      </c>
      <c r="CU19" s="276">
        <f>Dem!B60+(DD19/4)</f>
        <v>17.700000000000003</v>
      </c>
      <c r="CV19" s="276">
        <f>Dem!B100+(DD19/4)</f>
        <v>19.200000000000003</v>
      </c>
      <c r="CW19" s="276">
        <f>Dem!B140+(DD19/4)</f>
        <v>18.3</v>
      </c>
      <c r="CX19" s="276">
        <f>Dem!B180+(DD19/4)</f>
        <v>18.400000000000002</v>
      </c>
      <c r="CY19" s="276">
        <f>Dem!B260</f>
        <v>9.5</v>
      </c>
      <c r="CZ19" s="276">
        <f>Dem!B300</f>
        <v>4.8</v>
      </c>
      <c r="DA19" s="276">
        <f>Dem!B340</f>
        <v>3.9</v>
      </c>
      <c r="DB19" s="276">
        <f>Dem!B380</f>
        <v>1</v>
      </c>
      <c r="DC19" s="275">
        <v>93.6</v>
      </c>
      <c r="DD19" s="46">
        <v>-0.39999999999999147</v>
      </c>
      <c r="DE19" s="275"/>
      <c r="DF19" s="276">
        <f>Dem!$D60+(DO19/4)</f>
        <v>47.325000000000003</v>
      </c>
      <c r="DG19" s="276">
        <f>Dem!$D100+(DO19/4)</f>
        <v>48.524999999999999</v>
      </c>
      <c r="DH19" s="276">
        <f>Dem!$D140+(DO19/4)</f>
        <v>48.524999999999999</v>
      </c>
      <c r="DI19" s="276">
        <f>Dem!$D180+(DO19/4)</f>
        <v>48.524999999999999</v>
      </c>
      <c r="DJ19" s="275">
        <f>Dem!$D260</f>
        <v>24.4</v>
      </c>
      <c r="DK19" s="275">
        <f>Dem!$D300</f>
        <v>12.2</v>
      </c>
      <c r="DL19" s="275">
        <f>Dem!$D340</f>
        <v>9.8000000000000007</v>
      </c>
      <c r="DM19" s="275">
        <f>Dem!$D380</f>
        <v>2.4</v>
      </c>
      <c r="DN19" s="276">
        <f t="shared" si="49"/>
        <v>243.9</v>
      </c>
      <c r="DO19" s="44">
        <v>-1.0999999999999943</v>
      </c>
    </row>
    <row r="20" spans="1:119">
      <c r="A20" s="46">
        <f t="shared" si="50"/>
        <v>1990</v>
      </c>
      <c r="B20" s="141">
        <f t="shared" si="28"/>
        <v>0.11166439983621468</v>
      </c>
      <c r="C20" s="46"/>
      <c r="D20" s="141">
        <f t="shared" si="29"/>
        <v>0.59737233634415132</v>
      </c>
      <c r="E20" s="141">
        <f t="shared" si="30"/>
        <v>0.48570793650793664</v>
      </c>
      <c r="F20" s="46"/>
      <c r="G20" s="157">
        <f t="shared" si="31"/>
        <v>3.6130434601925193E-2</v>
      </c>
      <c r="H20" s="157">
        <f t="shared" si="32"/>
        <v>6.2192332301603627E-2</v>
      </c>
      <c r="I20" s="157">
        <f t="shared" si="33"/>
        <v>7.6654588289827796E-2</v>
      </c>
      <c r="J20" s="157">
        <f t="shared" si="34"/>
        <v>7.4518781497499714E-2</v>
      </c>
      <c r="K20" s="157">
        <f t="shared" si="35"/>
        <v>3.0971187954973878E-2</v>
      </c>
      <c r="L20" s="157">
        <f t="shared" si="36"/>
        <v>1.2361265024739838E-2</v>
      </c>
      <c r="M20" s="157">
        <f t="shared" si="37"/>
        <v>5.8575785015056517E-3</v>
      </c>
      <c r="N20" s="157">
        <f t="shared" si="38"/>
        <v>0</v>
      </c>
      <c r="O20" s="46"/>
      <c r="P20" s="154">
        <f t="shared" si="51"/>
        <v>1.9347826990374045E-2</v>
      </c>
      <c r="Q20" s="154">
        <f t="shared" si="52"/>
        <v>8.903833849198188E-2</v>
      </c>
      <c r="R20" s="154">
        <f t="shared" si="53"/>
        <v>0.21672705855086111</v>
      </c>
      <c r="S20" s="154">
        <f t="shared" si="54"/>
        <v>0.4274060925125015</v>
      </c>
      <c r="T20" s="154">
        <f t="shared" si="55"/>
        <v>0.59028812045026124</v>
      </c>
      <c r="U20" s="154">
        <f t="shared" si="56"/>
        <v>0.70277469950520333</v>
      </c>
      <c r="V20" s="154">
        <f t="shared" si="57"/>
        <v>0.84356053746235882</v>
      </c>
      <c r="W20" s="162">
        <f t="shared" si="58"/>
        <v>1</v>
      </c>
      <c r="X20" s="154"/>
      <c r="Y20" s="142">
        <f t="shared" si="59"/>
        <v>3.2261904761904762E-2</v>
      </c>
      <c r="Z20" s="142">
        <f t="shared" si="60"/>
        <v>5.2222222222222225E-2</v>
      </c>
      <c r="AA20" s="142">
        <f t="shared" si="61"/>
        <v>6.2063492063492091E-2</v>
      </c>
      <c r="AB20" s="142">
        <f t="shared" si="62"/>
        <v>5.841269841269843E-2</v>
      </c>
      <c r="AC20" s="142">
        <f t="shared" si="63"/>
        <v>2.4027777777777783E-2</v>
      </c>
      <c r="AD20" s="142">
        <f t="shared" si="64"/>
        <v>9.5039682539682594E-3</v>
      </c>
      <c r="AE20" s="142">
        <f t="shared" si="65"/>
        <v>4.3619047619047674E-3</v>
      </c>
      <c r="AF20" s="142">
        <f t="shared" si="66"/>
        <v>0</v>
      </c>
      <c r="AH20" s="158">
        <f t="shared" si="40"/>
        <v>3.8690476190476192E-2</v>
      </c>
      <c r="AI20" s="158">
        <f t="shared" si="41"/>
        <v>0.1388888888888889</v>
      </c>
      <c r="AJ20" s="158">
        <f t="shared" si="42"/>
        <v>0.28968253968253965</v>
      </c>
      <c r="AK20" s="158">
        <f t="shared" si="43"/>
        <v>0.50793650793650791</v>
      </c>
      <c r="AL20" s="158">
        <f t="shared" si="44"/>
        <v>0.65972222222222221</v>
      </c>
      <c r="AM20" s="158">
        <f t="shared" si="45"/>
        <v>0.75992063492063489</v>
      </c>
      <c r="AN20" s="158">
        <f t="shared" si="46"/>
        <v>0.88095238095238093</v>
      </c>
      <c r="AO20" s="158">
        <v>1</v>
      </c>
      <c r="AP20" s="143"/>
      <c r="AQ20" s="143">
        <f t="shared" si="5"/>
        <v>1.9347826990374045E-2</v>
      </c>
      <c r="AR20" s="143">
        <f t="shared" si="6"/>
        <v>6.9690511501607835E-2</v>
      </c>
      <c r="AS20" s="143">
        <f t="shared" si="7"/>
        <v>0.12768872005887921</v>
      </c>
      <c r="AT20" s="143">
        <f t="shared" si="8"/>
        <v>0.21067903396164039</v>
      </c>
      <c r="AU20" s="143">
        <f t="shared" si="9"/>
        <v>0.16288202793775977</v>
      </c>
      <c r="AV20" s="143">
        <f t="shared" si="10"/>
        <v>0.11248657905494203</v>
      </c>
      <c r="AW20" s="143">
        <f t="shared" si="11"/>
        <v>0.14078583795715552</v>
      </c>
      <c r="AX20" s="143">
        <f t="shared" si="12"/>
        <v>0.15643946253764113</v>
      </c>
      <c r="AY20" s="46"/>
      <c r="AZ20" s="152">
        <f>Shares!D61</f>
        <v>3.9</v>
      </c>
      <c r="BA20" s="152">
        <f>Shares!E61</f>
        <v>10.1</v>
      </c>
      <c r="BB20" s="152">
        <f>Shares!F61</f>
        <v>15.2</v>
      </c>
      <c r="BC20" s="152">
        <f>Shares!G61</f>
        <v>22</v>
      </c>
      <c r="BD20" s="152">
        <f>Shares!J61</f>
        <v>15.3</v>
      </c>
      <c r="BE20" s="152">
        <f>Shares!K61</f>
        <v>10.1</v>
      </c>
      <c r="BF20" s="152">
        <f>Shares!L61</f>
        <v>12.2</v>
      </c>
      <c r="BG20" s="152">
        <f>Shares!M61</f>
        <v>12</v>
      </c>
      <c r="BI20" s="146">
        <f>TxRt!B64</f>
        <v>10.7</v>
      </c>
      <c r="BJ20" s="146">
        <f>TxRt!B107</f>
        <v>15</v>
      </c>
      <c r="BK20" s="146">
        <f>TxRt!B147</f>
        <v>18.2</v>
      </c>
      <c r="BL20" s="146">
        <f>TxRt!B187</f>
        <v>20.8</v>
      </c>
      <c r="BM20" s="146">
        <f>TxRt!B267</f>
        <v>23</v>
      </c>
      <c r="BN20" s="146">
        <f>TxRt!B307</f>
        <v>24.1</v>
      </c>
      <c r="BO20" s="146">
        <f>TxRt!B347</f>
        <v>25.2</v>
      </c>
      <c r="BP20" s="146">
        <f>TxRt!B387</f>
        <v>27.7</v>
      </c>
      <c r="BQ20" s="46"/>
      <c r="BR20" s="60">
        <f>Inc!B61</f>
        <v>15400</v>
      </c>
      <c r="BS20" s="60">
        <f>Inc!B101</f>
        <v>37500</v>
      </c>
      <c r="BT20" s="60">
        <f>Inc!B141</f>
        <v>59100</v>
      </c>
      <c r="BU20" s="60">
        <f>Inc!B181</f>
        <v>83500</v>
      </c>
      <c r="BV20" s="60">
        <f>Inc!B261</f>
        <v>112700</v>
      </c>
      <c r="BW20" s="60">
        <f>Inc!B301</f>
        <v>144100</v>
      </c>
      <c r="BX20" s="60">
        <f>Inc!B341</f>
        <v>215600</v>
      </c>
      <c r="BY20" s="60">
        <f>Inc!B381</f>
        <v>871800</v>
      </c>
      <c r="CA20" s="60">
        <f t="shared" si="13"/>
        <v>1647.8</v>
      </c>
      <c r="CB20" s="60">
        <f t="shared" si="14"/>
        <v>5625</v>
      </c>
      <c r="CC20" s="60">
        <f t="shared" si="15"/>
        <v>10756.2</v>
      </c>
      <c r="CD20" s="60">
        <f t="shared" si="16"/>
        <v>17368</v>
      </c>
      <c r="CE20" s="60">
        <f t="shared" si="17"/>
        <v>25921</v>
      </c>
      <c r="CF20" s="60">
        <f t="shared" si="18"/>
        <v>34728.1</v>
      </c>
      <c r="CG20" s="60">
        <f t="shared" si="19"/>
        <v>54331.199999999997</v>
      </c>
      <c r="CH20" s="60">
        <f t="shared" si="20"/>
        <v>241488.6</v>
      </c>
      <c r="CJ20" s="153">
        <f t="shared" si="47"/>
        <v>29866.375</v>
      </c>
      <c r="CK20" s="153">
        <f t="shared" si="21"/>
        <v>107578.125</v>
      </c>
      <c r="CL20" s="153">
        <f t="shared" si="22"/>
        <v>197107.36500000002</v>
      </c>
      <c r="CM20" s="153">
        <f t="shared" si="23"/>
        <v>325215.80000000005</v>
      </c>
      <c r="CN20" s="153">
        <f t="shared" si="24"/>
        <v>251433.69999999998</v>
      </c>
      <c r="CO20" s="153">
        <f t="shared" si="25"/>
        <v>173640.5</v>
      </c>
      <c r="CP20" s="153">
        <f t="shared" si="26"/>
        <v>217324.79999999999</v>
      </c>
      <c r="CQ20" s="153">
        <f t="shared" si="27"/>
        <v>241488.6</v>
      </c>
      <c r="CR20" s="153">
        <f t="shared" si="48"/>
        <v>1543655.2650000001</v>
      </c>
      <c r="CT20" s="39">
        <v>246.7</v>
      </c>
      <c r="CU20" s="276">
        <f>Dem!B61+(DD20/4)</f>
        <v>18.125</v>
      </c>
      <c r="CV20" s="276">
        <f>Dem!B101+(DD20/4)</f>
        <v>19.125</v>
      </c>
      <c r="CW20" s="276">
        <f>Dem!B141+(DD20/4)</f>
        <v>18.324999999999999</v>
      </c>
      <c r="CX20" s="276">
        <f>Dem!B181+(DD20/4)</f>
        <v>18.725000000000001</v>
      </c>
      <c r="CY20" s="276">
        <f>Dem!B261</f>
        <v>9.6999999999999993</v>
      </c>
      <c r="CZ20" s="276">
        <f>Dem!B301</f>
        <v>5</v>
      </c>
      <c r="DA20" s="276">
        <f>Dem!B341</f>
        <v>4</v>
      </c>
      <c r="DB20" s="276">
        <f>Dem!B381</f>
        <v>1</v>
      </c>
      <c r="DC20" s="275">
        <v>94.6</v>
      </c>
      <c r="DD20" s="46">
        <v>-0.29999999999999716</v>
      </c>
      <c r="DE20" s="275"/>
      <c r="DF20" s="276">
        <f>Dem!$D61+(DO20/4)</f>
        <v>47.775000000000006</v>
      </c>
      <c r="DG20" s="276">
        <f>Dem!$D101+(DO20/4)</f>
        <v>48.975000000000001</v>
      </c>
      <c r="DH20" s="276">
        <f>Dem!$D141+(DO20/4)</f>
        <v>48.975000000000001</v>
      </c>
      <c r="DI20" s="276">
        <f>Dem!$D181+(DO20/4)</f>
        <v>48.975000000000001</v>
      </c>
      <c r="DJ20" s="275">
        <f>Dem!$D261</f>
        <v>24.7</v>
      </c>
      <c r="DK20" s="275">
        <f>Dem!$D301</f>
        <v>12.3</v>
      </c>
      <c r="DL20" s="275">
        <f>Dem!$D341</f>
        <v>9.9</v>
      </c>
      <c r="DM20" s="275">
        <f>Dem!$D381</f>
        <v>2.5</v>
      </c>
      <c r="DN20" s="276">
        <f t="shared" si="49"/>
        <v>246.7</v>
      </c>
      <c r="DO20" s="44">
        <v>-1.2999999999999829</v>
      </c>
    </row>
    <row r="21" spans="1:119">
      <c r="A21" s="46">
        <f t="shared" si="50"/>
        <v>1991</v>
      </c>
      <c r="B21" s="141">
        <f t="shared" si="28"/>
        <v>0.12153529792592455</v>
      </c>
      <c r="C21" s="46"/>
      <c r="D21" s="141">
        <f t="shared" si="29"/>
        <v>0.5991876788783056</v>
      </c>
      <c r="E21" s="141">
        <f t="shared" si="30"/>
        <v>0.47765238095238105</v>
      </c>
      <c r="F21" s="46"/>
      <c r="G21" s="157">
        <f t="shared" si="31"/>
        <v>3.6227325501823664E-2</v>
      </c>
      <c r="H21" s="157">
        <f t="shared" si="32"/>
        <v>6.2652634290217724E-2</v>
      </c>
      <c r="I21" s="157">
        <f t="shared" si="33"/>
        <v>7.6926524620868575E-2</v>
      </c>
      <c r="J21" s="157">
        <f t="shared" si="34"/>
        <v>7.4904354481751784E-2</v>
      </c>
      <c r="K21" s="157">
        <f t="shared" si="35"/>
        <v>3.1008698481129228E-2</v>
      </c>
      <c r="L21" s="157">
        <f t="shared" si="36"/>
        <v>1.2289507958555386E-2</v>
      </c>
      <c r="M21" s="157">
        <f t="shared" si="37"/>
        <v>5.5847941048064384E-3</v>
      </c>
      <c r="N21" s="157">
        <f t="shared" si="38"/>
        <v>0</v>
      </c>
      <c r="O21" s="46"/>
      <c r="P21" s="154">
        <f t="shared" si="51"/>
        <v>1.8863372490881696E-2</v>
      </c>
      <c r="Q21" s="154">
        <f t="shared" si="52"/>
        <v>8.6736828548911404E-2</v>
      </c>
      <c r="R21" s="154">
        <f t="shared" si="53"/>
        <v>0.21536737689565721</v>
      </c>
      <c r="S21" s="154">
        <f t="shared" si="54"/>
        <v>0.42547822759124115</v>
      </c>
      <c r="T21" s="154">
        <f t="shared" si="55"/>
        <v>0.58991301518870776</v>
      </c>
      <c r="U21" s="154">
        <f t="shared" si="56"/>
        <v>0.70420984082889237</v>
      </c>
      <c r="V21" s="154">
        <f t="shared" si="57"/>
        <v>0.85038014737983914</v>
      </c>
      <c r="W21" s="162">
        <f t="shared" si="58"/>
        <v>1</v>
      </c>
      <c r="X21" s="154"/>
      <c r="Y21" s="142">
        <f t="shared" si="59"/>
        <v>3.2063492063492065E-2</v>
      </c>
      <c r="Z21" s="142">
        <f t="shared" si="60"/>
        <v>5.2023809523809528E-2</v>
      </c>
      <c r="AA21" s="142">
        <f t="shared" si="61"/>
        <v>6.1071428571428589E-2</v>
      </c>
      <c r="AB21" s="142">
        <f t="shared" si="62"/>
        <v>5.7222222222222223E-2</v>
      </c>
      <c r="AC21" s="142">
        <f t="shared" si="63"/>
        <v>2.3333333333333331E-2</v>
      </c>
      <c r="AD21" s="142">
        <f t="shared" si="64"/>
        <v>9.1071428571428588E-3</v>
      </c>
      <c r="AE21" s="142">
        <f t="shared" si="65"/>
        <v>4.0047619047619068E-3</v>
      </c>
      <c r="AF21" s="142">
        <f t="shared" si="66"/>
        <v>0</v>
      </c>
      <c r="AH21" s="158">
        <f t="shared" si="40"/>
        <v>3.968253968253968E-2</v>
      </c>
      <c r="AI21" s="158">
        <f t="shared" si="41"/>
        <v>0.13988095238095238</v>
      </c>
      <c r="AJ21" s="158">
        <f t="shared" si="42"/>
        <v>0.29464285714285715</v>
      </c>
      <c r="AK21" s="158">
        <f t="shared" si="43"/>
        <v>0.51388888888888895</v>
      </c>
      <c r="AL21" s="158">
        <f t="shared" si="44"/>
        <v>0.66666666666666674</v>
      </c>
      <c r="AM21" s="158">
        <f t="shared" si="45"/>
        <v>0.7678571428571429</v>
      </c>
      <c r="AN21" s="158">
        <f t="shared" si="46"/>
        <v>0.88988095238095244</v>
      </c>
      <c r="AO21" s="158">
        <v>1</v>
      </c>
      <c r="AP21" s="143"/>
      <c r="AQ21" s="143">
        <f t="shared" si="5"/>
        <v>1.88633724908817E-2</v>
      </c>
      <c r="AR21" s="143">
        <f t="shared" si="6"/>
        <v>6.7873456058029719E-2</v>
      </c>
      <c r="AS21" s="143">
        <f t="shared" si="7"/>
        <v>0.12863054834674584</v>
      </c>
      <c r="AT21" s="143">
        <f t="shared" si="8"/>
        <v>0.21011085069558399</v>
      </c>
      <c r="AU21" s="143">
        <f t="shared" si="9"/>
        <v>0.16443478759746666</v>
      </c>
      <c r="AV21" s="143">
        <f t="shared" si="10"/>
        <v>0.11429682564018459</v>
      </c>
      <c r="AW21" s="143">
        <f t="shared" si="11"/>
        <v>0.14617030655094682</v>
      </c>
      <c r="AX21" s="143">
        <f t="shared" si="12"/>
        <v>0.14961985262016084</v>
      </c>
      <c r="AY21" s="46"/>
      <c r="AZ21" s="152">
        <f>Shares!D62</f>
        <v>4</v>
      </c>
      <c r="BA21" s="152">
        <f>Shares!E62</f>
        <v>10.1</v>
      </c>
      <c r="BB21" s="152">
        <f>Shares!F62</f>
        <v>15.6</v>
      </c>
      <c r="BC21" s="152">
        <f>Shares!G62</f>
        <v>22.1</v>
      </c>
      <c r="BD21" s="152">
        <f>Shares!J62</f>
        <v>15.4</v>
      </c>
      <c r="BE21" s="152">
        <f>Shares!K62</f>
        <v>10.199999999999999</v>
      </c>
      <c r="BF21" s="152">
        <f>Shares!L62</f>
        <v>12.3</v>
      </c>
      <c r="BG21" s="152">
        <f>Shares!M62</f>
        <v>11.1</v>
      </c>
      <c r="BI21" s="146">
        <f>TxRt!B65</f>
        <v>10.199999999999999</v>
      </c>
      <c r="BJ21" s="146">
        <f>TxRt!B108</f>
        <v>14.5</v>
      </c>
      <c r="BK21" s="146">
        <f>TxRt!B148</f>
        <v>17.8</v>
      </c>
      <c r="BL21" s="146">
        <f>TxRt!B188</f>
        <v>20.5</v>
      </c>
      <c r="BM21" s="146">
        <f>TxRt!B268</f>
        <v>22.9</v>
      </c>
      <c r="BN21" s="146">
        <f>TxRt!B308</f>
        <v>24.2</v>
      </c>
      <c r="BO21" s="146">
        <f>TxRt!B348</f>
        <v>25.5</v>
      </c>
      <c r="BP21" s="146">
        <f>TxRt!B388</f>
        <v>28.9</v>
      </c>
      <c r="BQ21" s="46"/>
      <c r="BR21" s="60">
        <f>Inc!B62</f>
        <v>15500</v>
      </c>
      <c r="BS21" s="60">
        <f>Inc!B102</f>
        <v>36600</v>
      </c>
      <c r="BT21" s="60">
        <f>Inc!B142</f>
        <v>58000</v>
      </c>
      <c r="BU21" s="60">
        <f>Inc!B182</f>
        <v>82700</v>
      </c>
      <c r="BV21" s="60">
        <f>Inc!B262</f>
        <v>111000</v>
      </c>
      <c r="BW21" s="60">
        <f>Inc!B302</f>
        <v>143100</v>
      </c>
      <c r="BX21" s="60">
        <f>Inc!B342</f>
        <v>211800</v>
      </c>
      <c r="BY21" s="60">
        <f>Inc!B382</f>
        <v>784300</v>
      </c>
      <c r="CA21" s="60">
        <f t="shared" si="13"/>
        <v>1581</v>
      </c>
      <c r="CB21" s="60">
        <f t="shared" si="14"/>
        <v>5307</v>
      </c>
      <c r="CC21" s="60">
        <f t="shared" si="15"/>
        <v>10324</v>
      </c>
      <c r="CD21" s="60">
        <f t="shared" si="16"/>
        <v>16953.5</v>
      </c>
      <c r="CE21" s="60">
        <f t="shared" si="17"/>
        <v>25419</v>
      </c>
      <c r="CF21" s="60">
        <f t="shared" si="18"/>
        <v>34630.199999999997</v>
      </c>
      <c r="CG21" s="60">
        <f t="shared" si="19"/>
        <v>54009</v>
      </c>
      <c r="CH21" s="60">
        <f t="shared" si="20"/>
        <v>226662.7</v>
      </c>
      <c r="CJ21" s="153">
        <f t="shared" si="47"/>
        <v>28576.574999999993</v>
      </c>
      <c r="CK21" s="153">
        <f t="shared" si="21"/>
        <v>102823.12499999999</v>
      </c>
      <c r="CL21" s="153">
        <f t="shared" si="22"/>
        <v>194865.49999999997</v>
      </c>
      <c r="CM21" s="153">
        <f t="shared" si="23"/>
        <v>318301.96249999991</v>
      </c>
      <c r="CN21" s="153">
        <f t="shared" si="24"/>
        <v>249106.2</v>
      </c>
      <c r="CO21" s="153">
        <f t="shared" si="25"/>
        <v>173151</v>
      </c>
      <c r="CP21" s="153">
        <f t="shared" si="26"/>
        <v>221436.9</v>
      </c>
      <c r="CQ21" s="153">
        <f t="shared" si="27"/>
        <v>226662.7</v>
      </c>
      <c r="CR21" s="153">
        <f t="shared" si="48"/>
        <v>1514923.9624999997</v>
      </c>
      <c r="CT21" s="39">
        <v>249</v>
      </c>
      <c r="CU21" s="276">
        <f>Dem!B62+(DD21/4)</f>
        <v>18.074999999999996</v>
      </c>
      <c r="CV21" s="276">
        <f>Dem!B102+(DD21/4)</f>
        <v>19.374999999999996</v>
      </c>
      <c r="CW21" s="276">
        <f>Dem!B142+(DD21/4)</f>
        <v>18.874999999999996</v>
      </c>
      <c r="CX21" s="276">
        <f>Dem!B182+(DD21/4)</f>
        <v>18.774999999999995</v>
      </c>
      <c r="CY21" s="276">
        <f>Dem!B262</f>
        <v>9.8000000000000007</v>
      </c>
      <c r="CZ21" s="276">
        <f>Dem!B302</f>
        <v>5</v>
      </c>
      <c r="DA21" s="276">
        <f>Dem!B342</f>
        <v>4.0999999999999996</v>
      </c>
      <c r="DB21" s="276">
        <f>Dem!B382</f>
        <v>1</v>
      </c>
      <c r="DC21" s="275">
        <v>96</v>
      </c>
      <c r="DD21" s="46">
        <v>-0.50000000000001421</v>
      </c>
      <c r="DE21" s="275"/>
      <c r="DF21" s="276">
        <f>Dem!$D62+(DO21/4)</f>
        <v>48.174999999999997</v>
      </c>
      <c r="DG21" s="276">
        <f>Dem!$D102+(DO21/4)</f>
        <v>49.474999999999994</v>
      </c>
      <c r="DH21" s="276">
        <f>Dem!$D142+(DO21/4)</f>
        <v>49.474999999999994</v>
      </c>
      <c r="DI21" s="276">
        <f>Dem!$D182+(DO21/4)</f>
        <v>49.474999999999994</v>
      </c>
      <c r="DJ21" s="275">
        <f>Dem!$D262</f>
        <v>24.9</v>
      </c>
      <c r="DK21" s="275">
        <f>Dem!$D302</f>
        <v>12.4</v>
      </c>
      <c r="DL21" s="275">
        <f>Dem!$D342</f>
        <v>10</v>
      </c>
      <c r="DM21" s="275">
        <f>Dem!$D382</f>
        <v>2.5</v>
      </c>
      <c r="DN21" s="276">
        <f t="shared" si="49"/>
        <v>249</v>
      </c>
      <c r="DO21" s="44">
        <v>-1.3000000000000114</v>
      </c>
    </row>
    <row r="22" spans="1:119">
      <c r="A22" s="46">
        <f t="shared" si="50"/>
        <v>1992</v>
      </c>
      <c r="B22" s="141">
        <f t="shared" si="28"/>
        <v>0.12762535557852822</v>
      </c>
      <c r="C22" s="46"/>
      <c r="D22" s="141">
        <f t="shared" si="29"/>
        <v>0.61787694288011563</v>
      </c>
      <c r="E22" s="141">
        <f t="shared" si="30"/>
        <v>0.49025158730158741</v>
      </c>
      <c r="F22" s="46"/>
      <c r="G22" s="157">
        <f t="shared" si="31"/>
        <v>3.6475089869123352E-2</v>
      </c>
      <c r="H22" s="157">
        <f t="shared" si="32"/>
        <v>6.3721372168927301E-2</v>
      </c>
      <c r="I22" s="157">
        <f t="shared" si="33"/>
        <v>7.8692250681926895E-2</v>
      </c>
      <c r="J22" s="157">
        <f t="shared" si="34"/>
        <v>7.7794963438057321E-2</v>
      </c>
      <c r="K22" s="157">
        <f t="shared" si="35"/>
        <v>3.2788763058329062E-2</v>
      </c>
      <c r="L22" s="157">
        <f t="shared" si="36"/>
        <v>1.3183031379819255E-2</v>
      </c>
      <c r="M22" s="157">
        <f t="shared" si="37"/>
        <v>6.2830008438746225E-3</v>
      </c>
      <c r="N22" s="157">
        <f t="shared" si="38"/>
        <v>0</v>
      </c>
      <c r="O22" s="46"/>
      <c r="P22" s="154">
        <f t="shared" si="51"/>
        <v>1.7624550654383255E-2</v>
      </c>
      <c r="Q22" s="154">
        <f t="shared" si="52"/>
        <v>8.1393139155363531E-2</v>
      </c>
      <c r="R22" s="154">
        <f t="shared" si="53"/>
        <v>0.20653874659036567</v>
      </c>
      <c r="S22" s="154">
        <f t="shared" si="54"/>
        <v>0.41102518280971345</v>
      </c>
      <c r="T22" s="154">
        <f t="shared" si="55"/>
        <v>0.5721123694167094</v>
      </c>
      <c r="U22" s="154">
        <f t="shared" si="56"/>
        <v>0.68633937240361498</v>
      </c>
      <c r="V22" s="154">
        <f t="shared" si="57"/>
        <v>0.83292497890313455</v>
      </c>
      <c r="W22" s="162">
        <f t="shared" si="58"/>
        <v>1</v>
      </c>
      <c r="X22" s="154"/>
      <c r="Y22" s="142">
        <f t="shared" si="59"/>
        <v>3.246031746031746E-2</v>
      </c>
      <c r="Z22" s="142">
        <f t="shared" si="60"/>
        <v>5.2817460317460319E-2</v>
      </c>
      <c r="AA22" s="142">
        <f t="shared" si="61"/>
        <v>6.2460317460317473E-2</v>
      </c>
      <c r="AB22" s="142">
        <f t="shared" si="62"/>
        <v>5.9007936507936523E-2</v>
      </c>
      <c r="AC22" s="142">
        <f t="shared" si="63"/>
        <v>2.432539682539683E-2</v>
      </c>
      <c r="AD22" s="142">
        <f t="shared" si="64"/>
        <v>9.6527777777777827E-3</v>
      </c>
      <c r="AE22" s="142">
        <f t="shared" si="65"/>
        <v>4.4015873015873066E-3</v>
      </c>
      <c r="AF22" s="142">
        <f t="shared" si="66"/>
        <v>0</v>
      </c>
      <c r="AH22" s="158">
        <f t="shared" si="40"/>
        <v>3.7698412698412696E-2</v>
      </c>
      <c r="AI22" s="158">
        <f t="shared" si="41"/>
        <v>0.13591269841269843</v>
      </c>
      <c r="AJ22" s="158">
        <f t="shared" si="42"/>
        <v>0.28769841269841273</v>
      </c>
      <c r="AK22" s="158">
        <f t="shared" si="43"/>
        <v>0.50496031746031744</v>
      </c>
      <c r="AL22" s="158">
        <f t="shared" si="44"/>
        <v>0.65674603174603174</v>
      </c>
      <c r="AM22" s="158">
        <f t="shared" si="45"/>
        <v>0.75694444444444442</v>
      </c>
      <c r="AN22" s="158">
        <f t="shared" si="46"/>
        <v>0.87996031746031744</v>
      </c>
      <c r="AO22" s="158">
        <v>1</v>
      </c>
      <c r="AP22" s="143"/>
      <c r="AQ22" s="143">
        <f t="shared" si="5"/>
        <v>1.7624550654383252E-2</v>
      </c>
      <c r="AR22" s="143">
        <f t="shared" si="6"/>
        <v>6.3768588500980258E-2</v>
      </c>
      <c r="AS22" s="143">
        <f t="shared" si="7"/>
        <v>0.12514560743500211</v>
      </c>
      <c r="AT22" s="143">
        <f t="shared" si="8"/>
        <v>0.20448643621934773</v>
      </c>
      <c r="AU22" s="143">
        <f t="shared" si="9"/>
        <v>0.16108718660699595</v>
      </c>
      <c r="AV22" s="143">
        <f t="shared" si="10"/>
        <v>0.11422700298690558</v>
      </c>
      <c r="AW22" s="143">
        <f t="shared" si="11"/>
        <v>0.1465856064995196</v>
      </c>
      <c r="AX22" s="143">
        <f t="shared" si="12"/>
        <v>0.16707502109686539</v>
      </c>
      <c r="AY22" s="46"/>
      <c r="AZ22" s="152">
        <f>Shares!D63</f>
        <v>3.8</v>
      </c>
      <c r="BA22" s="152">
        <f>Shares!E63</f>
        <v>9.9</v>
      </c>
      <c r="BB22" s="152">
        <f>Shares!F63</f>
        <v>15.3</v>
      </c>
      <c r="BC22" s="152">
        <f>Shares!G63</f>
        <v>21.9</v>
      </c>
      <c r="BD22" s="152">
        <f>Shares!J63</f>
        <v>15.3</v>
      </c>
      <c r="BE22" s="152">
        <f>Shares!K63</f>
        <v>10.1</v>
      </c>
      <c r="BF22" s="152">
        <f>Shares!L63</f>
        <v>12.4</v>
      </c>
      <c r="BG22" s="152">
        <f>Shares!M63</f>
        <v>12.1</v>
      </c>
      <c r="BI22" s="146">
        <f>TxRt!B66</f>
        <v>10</v>
      </c>
      <c r="BJ22" s="146">
        <f>TxRt!B109</f>
        <v>13.9</v>
      </c>
      <c r="BK22" s="146">
        <f>TxRt!B149</f>
        <v>17.7</v>
      </c>
      <c r="BL22" s="146">
        <f>TxRt!B189</f>
        <v>20.3</v>
      </c>
      <c r="BM22" s="146">
        <f>TxRt!B269</f>
        <v>22.7</v>
      </c>
      <c r="BN22" s="146">
        <f>TxRt!B309</f>
        <v>24.1</v>
      </c>
      <c r="BO22" s="146">
        <f>TxRt!B349</f>
        <v>25.6</v>
      </c>
      <c r="BP22" s="146">
        <f>TxRt!B389</f>
        <v>29.6</v>
      </c>
      <c r="BQ22" s="46"/>
      <c r="BR22" s="60">
        <f>Inc!B63</f>
        <v>15600</v>
      </c>
      <c r="BS22" s="60">
        <f>Inc!B103</f>
        <v>36300</v>
      </c>
      <c r="BT22" s="60">
        <f>Inc!B143</f>
        <v>58300</v>
      </c>
      <c r="BU22" s="60">
        <f>Inc!B183</f>
        <v>83500</v>
      </c>
      <c r="BV22" s="60">
        <f>Inc!B263</f>
        <v>112300</v>
      </c>
      <c r="BW22" s="60">
        <f>Inc!B303</f>
        <v>145600</v>
      </c>
      <c r="BX22" s="60">
        <f>Inc!B343</f>
        <v>218800</v>
      </c>
      <c r="BY22" s="60">
        <f>Inc!B383</f>
        <v>884300</v>
      </c>
      <c r="CA22" s="60">
        <f t="shared" si="13"/>
        <v>1560</v>
      </c>
      <c r="CB22" s="60">
        <f t="shared" si="14"/>
        <v>5045.7</v>
      </c>
      <c r="CC22" s="60">
        <f t="shared" si="15"/>
        <v>10319.1</v>
      </c>
      <c r="CD22" s="60">
        <f t="shared" si="16"/>
        <v>16950.5</v>
      </c>
      <c r="CE22" s="60">
        <f t="shared" si="17"/>
        <v>25492.1</v>
      </c>
      <c r="CF22" s="60">
        <f t="shared" si="18"/>
        <v>35089.599999999999</v>
      </c>
      <c r="CG22" s="60">
        <f t="shared" si="19"/>
        <v>56012.800000000003</v>
      </c>
      <c r="CH22" s="60">
        <f t="shared" si="20"/>
        <v>261752.8</v>
      </c>
      <c r="CJ22" s="153">
        <f t="shared" si="47"/>
        <v>27612.000000000004</v>
      </c>
      <c r="CK22" s="153">
        <f t="shared" si="21"/>
        <v>99904.86</v>
      </c>
      <c r="CL22" s="153">
        <f t="shared" si="22"/>
        <v>196062.90000000005</v>
      </c>
      <c r="CM22" s="153">
        <f t="shared" si="23"/>
        <v>320364.45</v>
      </c>
      <c r="CN22" s="153">
        <f t="shared" si="24"/>
        <v>252371.79</v>
      </c>
      <c r="CO22" s="153">
        <f t="shared" si="25"/>
        <v>178956.96</v>
      </c>
      <c r="CP22" s="153">
        <f t="shared" si="26"/>
        <v>229652.47999999998</v>
      </c>
      <c r="CQ22" s="153">
        <f t="shared" si="27"/>
        <v>261752.8</v>
      </c>
      <c r="CR22" s="153">
        <f t="shared" si="48"/>
        <v>1566678.2400000002</v>
      </c>
      <c r="CT22" s="39">
        <v>250.4</v>
      </c>
      <c r="CU22" s="276">
        <f>Dem!B63+(DD22/4)</f>
        <v>17.700000000000003</v>
      </c>
      <c r="CV22" s="276">
        <f>Dem!B103+(DD22/4)</f>
        <v>19.8</v>
      </c>
      <c r="CW22" s="276">
        <f>Dem!B143+(DD22/4)</f>
        <v>19.000000000000004</v>
      </c>
      <c r="CX22" s="276">
        <f>Dem!B183+(DD22/4)</f>
        <v>18.900000000000002</v>
      </c>
      <c r="CY22" s="276">
        <f>Dem!B263</f>
        <v>9.9</v>
      </c>
      <c r="CZ22" s="276">
        <f>Dem!B303</f>
        <v>5.0999999999999996</v>
      </c>
      <c r="DA22" s="276">
        <f>Dem!B343</f>
        <v>4.0999999999999996</v>
      </c>
      <c r="DB22" s="276">
        <f>Dem!B383</f>
        <v>1</v>
      </c>
      <c r="DC22" s="275">
        <v>96.3</v>
      </c>
      <c r="DD22" s="46">
        <v>-0.39999999999999147</v>
      </c>
      <c r="DE22" s="275"/>
      <c r="DF22" s="276">
        <f>Dem!$D63+(DO22/4)</f>
        <v>48.599999999999994</v>
      </c>
      <c r="DG22" s="276">
        <f>Dem!$D103+(DO22/4)</f>
        <v>49.8</v>
      </c>
      <c r="DH22" s="276">
        <f>Dem!$D143+(DO22/4)</f>
        <v>49.8</v>
      </c>
      <c r="DI22" s="276">
        <f>Dem!$D183+(DO22/4)</f>
        <v>49.8</v>
      </c>
      <c r="DJ22" s="275">
        <f>Dem!$D263</f>
        <v>25</v>
      </c>
      <c r="DK22" s="275">
        <f>Dem!$D303</f>
        <v>12.5</v>
      </c>
      <c r="DL22" s="275">
        <f>Dem!$D343</f>
        <v>10</v>
      </c>
      <c r="DM22" s="275">
        <f>Dem!$D383</f>
        <v>2.5</v>
      </c>
      <c r="DN22" s="276">
        <f t="shared" si="49"/>
        <v>250.4</v>
      </c>
      <c r="DO22" s="44">
        <v>-1.2000000000000171</v>
      </c>
    </row>
    <row r="23" spans="1:119">
      <c r="A23" s="46">
        <f t="shared" si="50"/>
        <v>1993</v>
      </c>
      <c r="B23" s="141">
        <f t="shared" si="28"/>
        <v>0.13922773534757588</v>
      </c>
      <c r="C23" s="46"/>
      <c r="D23" s="141">
        <f t="shared" si="29"/>
        <v>0.62658249725233794</v>
      </c>
      <c r="E23" s="141">
        <f t="shared" si="30"/>
        <v>0.48735476190476207</v>
      </c>
      <c r="F23" s="46"/>
      <c r="G23" s="157">
        <f t="shared" si="31"/>
        <v>3.6588069102050674E-2</v>
      </c>
      <c r="H23" s="157">
        <f t="shared" si="32"/>
        <v>6.4109860833887089E-2</v>
      </c>
      <c r="I23" s="157">
        <f t="shared" si="33"/>
        <v>7.9680049530352334E-2</v>
      </c>
      <c r="J23" s="157">
        <f t="shared" si="34"/>
        <v>7.9123620559218052E-2</v>
      </c>
      <c r="K23" s="157">
        <f t="shared" si="35"/>
        <v>3.3578956380075818E-2</v>
      </c>
      <c r="L23" s="157">
        <f t="shared" si="36"/>
        <v>1.3626708617775757E-2</v>
      </c>
      <c r="M23" s="157">
        <f t="shared" si="37"/>
        <v>6.5839836028092737E-3</v>
      </c>
      <c r="N23" s="157">
        <f t="shared" si="38"/>
        <v>0</v>
      </c>
      <c r="O23" s="46"/>
      <c r="P23" s="154">
        <f t="shared" si="51"/>
        <v>1.7059654489746636E-2</v>
      </c>
      <c r="Q23" s="154">
        <f t="shared" si="52"/>
        <v>7.9450695830564577E-2</v>
      </c>
      <c r="R23" s="154">
        <f t="shared" si="53"/>
        <v>0.20159975234823846</v>
      </c>
      <c r="S23" s="154">
        <f t="shared" si="54"/>
        <v>0.40438189720390982</v>
      </c>
      <c r="T23" s="154">
        <f t="shared" si="55"/>
        <v>0.56421043619924183</v>
      </c>
      <c r="U23" s="154">
        <f t="shared" si="56"/>
        <v>0.67746582764448493</v>
      </c>
      <c r="V23" s="154">
        <f t="shared" si="57"/>
        <v>0.82540040992976826</v>
      </c>
      <c r="W23" s="162">
        <f t="shared" si="58"/>
        <v>1</v>
      </c>
      <c r="X23" s="154"/>
      <c r="Y23" s="142">
        <f t="shared" si="59"/>
        <v>3.2460317460317467E-2</v>
      </c>
      <c r="Z23" s="142">
        <f t="shared" si="60"/>
        <v>5.2619047619047635E-2</v>
      </c>
      <c r="AA23" s="142">
        <f t="shared" si="61"/>
        <v>6.2261904761904789E-2</v>
      </c>
      <c r="AB23" s="142">
        <f t="shared" si="62"/>
        <v>5.8611111111111128E-2</v>
      </c>
      <c r="AC23" s="142">
        <f t="shared" si="63"/>
        <v>2.4027777777777783E-2</v>
      </c>
      <c r="AD23" s="142">
        <f t="shared" si="64"/>
        <v>9.454365079365085E-3</v>
      </c>
      <c r="AE23" s="142">
        <f t="shared" si="65"/>
        <v>4.242857142857148E-3</v>
      </c>
      <c r="AF23" s="142">
        <f t="shared" si="66"/>
        <v>0</v>
      </c>
      <c r="AH23" s="158">
        <f t="shared" si="40"/>
        <v>3.7698412698412689E-2</v>
      </c>
      <c r="AI23" s="158">
        <f t="shared" si="41"/>
        <v>0.13690476190476189</v>
      </c>
      <c r="AJ23" s="158">
        <f t="shared" si="42"/>
        <v>0.28869047619047616</v>
      </c>
      <c r="AK23" s="158">
        <f t="shared" si="43"/>
        <v>0.50694444444444442</v>
      </c>
      <c r="AL23" s="158">
        <f t="shared" si="44"/>
        <v>0.65972222222222221</v>
      </c>
      <c r="AM23" s="158">
        <f t="shared" si="45"/>
        <v>0.76091269841269837</v>
      </c>
      <c r="AN23" s="158">
        <f t="shared" si="46"/>
        <v>0.8839285714285714</v>
      </c>
      <c r="AO23" s="158">
        <v>1</v>
      </c>
      <c r="AP23" s="143"/>
      <c r="AQ23" s="143">
        <f t="shared" si="5"/>
        <v>1.7059654489746636E-2</v>
      </c>
      <c r="AR23" s="143">
        <f t="shared" si="6"/>
        <v>6.2391041340817938E-2</v>
      </c>
      <c r="AS23" s="143">
        <f t="shared" si="7"/>
        <v>0.12214905651767388</v>
      </c>
      <c r="AT23" s="143">
        <f t="shared" si="8"/>
        <v>0.20278214485567134</v>
      </c>
      <c r="AU23" s="143">
        <f t="shared" si="9"/>
        <v>0.15982853899533203</v>
      </c>
      <c r="AV23" s="143">
        <f t="shared" si="10"/>
        <v>0.11325539144524314</v>
      </c>
      <c r="AW23" s="143">
        <f t="shared" si="11"/>
        <v>0.14793458228528336</v>
      </c>
      <c r="AX23" s="143">
        <f t="shared" si="12"/>
        <v>0.17459959007023182</v>
      </c>
      <c r="AY23" s="46"/>
      <c r="AZ23" s="152">
        <f>Shares!D64</f>
        <v>3.8</v>
      </c>
      <c r="BA23" s="152">
        <f>Shares!E64</f>
        <v>10</v>
      </c>
      <c r="BB23" s="152">
        <f>Shares!F64</f>
        <v>15.3</v>
      </c>
      <c r="BC23" s="152">
        <f>Shares!G64</f>
        <v>22</v>
      </c>
      <c r="BD23" s="152">
        <f>Shares!J64</f>
        <v>15.4</v>
      </c>
      <c r="BE23" s="152">
        <f>Shares!K64</f>
        <v>10.199999999999999</v>
      </c>
      <c r="BF23" s="152">
        <f>Shares!L64</f>
        <v>12.4</v>
      </c>
      <c r="BG23" s="152">
        <f>Shares!M64</f>
        <v>11.7</v>
      </c>
      <c r="BI23" s="146">
        <f>TxRt!B67</f>
        <v>10</v>
      </c>
      <c r="BJ23" s="146">
        <f>TxRt!B110</f>
        <v>13.8</v>
      </c>
      <c r="BK23" s="146">
        <f>TxRt!B150</f>
        <v>17.600000000000001</v>
      </c>
      <c r="BL23" s="146">
        <f>TxRt!B190</f>
        <v>20.3</v>
      </c>
      <c r="BM23" s="146">
        <f>TxRt!B270</f>
        <v>22.7</v>
      </c>
      <c r="BN23" s="146">
        <f>TxRt!B310</f>
        <v>24.4</v>
      </c>
      <c r="BO23" s="146">
        <f>TxRt!B350</f>
        <v>26.4</v>
      </c>
      <c r="BP23" s="146">
        <f>TxRt!B390</f>
        <v>33.200000000000003</v>
      </c>
      <c r="BQ23" s="46"/>
      <c r="BR23" s="60">
        <f>Inc!B64</f>
        <v>15600</v>
      </c>
      <c r="BS23" s="60">
        <f>Inc!B104</f>
        <v>36400</v>
      </c>
      <c r="BT23" s="60">
        <f>Inc!B144</f>
        <v>58500</v>
      </c>
      <c r="BU23" s="60">
        <f>Inc!B184</f>
        <v>84200</v>
      </c>
      <c r="BV23" s="60">
        <f>Inc!B264</f>
        <v>113800</v>
      </c>
      <c r="BW23" s="60">
        <f>Inc!B304</f>
        <v>147100</v>
      </c>
      <c r="BX23" s="60">
        <f>Inc!B344</f>
        <v>220900</v>
      </c>
      <c r="BY23" s="60">
        <f>Inc!B384</f>
        <v>850000</v>
      </c>
      <c r="CA23" s="60">
        <f t="shared" si="13"/>
        <v>1560</v>
      </c>
      <c r="CB23" s="60">
        <f t="shared" si="14"/>
        <v>5023.2</v>
      </c>
      <c r="CC23" s="60">
        <f t="shared" si="15"/>
        <v>10296.000000000002</v>
      </c>
      <c r="CD23" s="60">
        <f t="shared" si="16"/>
        <v>17092.599999999999</v>
      </c>
      <c r="CE23" s="60">
        <f t="shared" si="17"/>
        <v>25832.6</v>
      </c>
      <c r="CF23" s="60">
        <f t="shared" si="18"/>
        <v>35892.400000000001</v>
      </c>
      <c r="CG23" s="60">
        <f t="shared" si="19"/>
        <v>58317.599999999999</v>
      </c>
      <c r="CH23" s="60">
        <f t="shared" si="20"/>
        <v>282200.00000000006</v>
      </c>
      <c r="CJ23" s="153">
        <f t="shared" si="47"/>
        <v>27572.999999999996</v>
      </c>
      <c r="CK23" s="153">
        <f t="shared" si="21"/>
        <v>100840.73999999998</v>
      </c>
      <c r="CL23" s="153">
        <f t="shared" si="22"/>
        <v>197425.80000000002</v>
      </c>
      <c r="CM23" s="153">
        <f t="shared" si="23"/>
        <v>327750.60499999992</v>
      </c>
      <c r="CN23" s="153">
        <f t="shared" si="24"/>
        <v>258326</v>
      </c>
      <c r="CO23" s="153">
        <f t="shared" si="25"/>
        <v>183051.24</v>
      </c>
      <c r="CP23" s="153">
        <f t="shared" si="26"/>
        <v>239102.15999999997</v>
      </c>
      <c r="CQ23" s="153">
        <f t="shared" si="27"/>
        <v>282200.00000000006</v>
      </c>
      <c r="CR23" s="153">
        <f t="shared" si="48"/>
        <v>1616269.5449999997</v>
      </c>
      <c r="CT23" s="39">
        <v>255</v>
      </c>
      <c r="CU23" s="276">
        <f>Dem!B64+(DD23/4)</f>
        <v>17.674999999999997</v>
      </c>
      <c r="CV23" s="276">
        <f>Dem!B104+(DD23/4)</f>
        <v>20.074999999999996</v>
      </c>
      <c r="CW23" s="276">
        <f>Dem!B144+(DD23/4)</f>
        <v>19.174999999999997</v>
      </c>
      <c r="CX23" s="276">
        <f>Dem!B184+(DD23/4)</f>
        <v>19.174999999999997</v>
      </c>
      <c r="CY23" s="276">
        <f>Dem!B264</f>
        <v>10</v>
      </c>
      <c r="CZ23" s="276">
        <f>Dem!B304</f>
        <v>5.0999999999999996</v>
      </c>
      <c r="DA23" s="276">
        <f>Dem!B344</f>
        <v>4.0999999999999996</v>
      </c>
      <c r="DB23" s="276">
        <f>Dem!B384</f>
        <v>1</v>
      </c>
      <c r="DC23" s="275">
        <v>97.3</v>
      </c>
      <c r="DD23" s="46">
        <v>-0.50000000000001421</v>
      </c>
      <c r="DE23" s="275"/>
      <c r="DF23" s="276">
        <f>Dem!$D64+(DO23/4)</f>
        <v>49.499999999999993</v>
      </c>
      <c r="DG23" s="276">
        <f>Dem!$D104+(DO23/4)</f>
        <v>50.699999999999996</v>
      </c>
      <c r="DH23" s="276">
        <f>Dem!$D144+(DO23/4)</f>
        <v>50.699999999999996</v>
      </c>
      <c r="DI23" s="276">
        <f>Dem!$D184+(DO23/4)</f>
        <v>50.699999999999996</v>
      </c>
      <c r="DJ23" s="275">
        <f>Dem!$D264</f>
        <v>25.5</v>
      </c>
      <c r="DK23" s="275">
        <f>Dem!$D304</f>
        <v>12.7</v>
      </c>
      <c r="DL23" s="275">
        <f>Dem!$D344</f>
        <v>10.199999999999999</v>
      </c>
      <c r="DM23" s="275">
        <f>Dem!$D384</f>
        <v>2.6</v>
      </c>
      <c r="DN23" s="276">
        <f t="shared" si="49"/>
        <v>255</v>
      </c>
      <c r="DO23" s="44">
        <v>-1.2000000000000171</v>
      </c>
    </row>
    <row r="24" spans="1:119">
      <c r="A24" s="46">
        <f t="shared" si="50"/>
        <v>1994</v>
      </c>
      <c r="B24" s="141">
        <f t="shared" si="28"/>
        <v>0.14742630099389781</v>
      </c>
      <c r="C24" s="46"/>
      <c r="D24" s="141">
        <f t="shared" si="29"/>
        <v>0.63765410635636077</v>
      </c>
      <c r="E24" s="141">
        <f t="shared" si="30"/>
        <v>0.49022780536246297</v>
      </c>
      <c r="F24" s="46"/>
      <c r="G24" s="157">
        <f t="shared" si="31"/>
        <v>3.7266672180945627E-2</v>
      </c>
      <c r="H24" s="157">
        <f t="shared" si="32"/>
        <v>6.5322138439903518E-2</v>
      </c>
      <c r="I24" s="157">
        <f t="shared" si="33"/>
        <v>8.0997600685203119E-2</v>
      </c>
      <c r="J24" s="157">
        <f t="shared" si="34"/>
        <v>8.0309389741303028E-2</v>
      </c>
      <c r="K24" s="157">
        <f t="shared" si="35"/>
        <v>3.4274352412748378E-2</v>
      </c>
      <c r="L24" s="157">
        <f t="shared" si="36"/>
        <v>1.3926486214185269E-2</v>
      </c>
      <c r="M24" s="157">
        <f t="shared" si="37"/>
        <v>6.7304135038913464E-3</v>
      </c>
      <c r="N24" s="157">
        <f t="shared" si="38"/>
        <v>0</v>
      </c>
      <c r="O24" s="46"/>
      <c r="P24" s="154">
        <f t="shared" si="51"/>
        <v>1.3666639095271884E-2</v>
      </c>
      <c r="Q24" s="154">
        <f t="shared" si="52"/>
        <v>7.3389307800482417E-2</v>
      </c>
      <c r="R24" s="154">
        <f t="shared" si="53"/>
        <v>0.19501199657398455</v>
      </c>
      <c r="S24" s="154">
        <f t="shared" si="54"/>
        <v>0.39845305129348491</v>
      </c>
      <c r="T24" s="154">
        <f t="shared" si="55"/>
        <v>0.55725647587251625</v>
      </c>
      <c r="U24" s="154">
        <f t="shared" si="56"/>
        <v>0.6714702757162947</v>
      </c>
      <c r="V24" s="154">
        <f t="shared" si="57"/>
        <v>0.82173966240271645</v>
      </c>
      <c r="W24" s="162">
        <f t="shared" si="58"/>
        <v>1</v>
      </c>
      <c r="X24" s="154"/>
      <c r="Y24" s="142">
        <f t="shared" si="59"/>
        <v>3.2651439920556115E-2</v>
      </c>
      <c r="Z24" s="142">
        <f t="shared" si="60"/>
        <v>5.2989076464746779E-2</v>
      </c>
      <c r="AA24" s="142">
        <f t="shared" si="61"/>
        <v>6.2601787487586921E-2</v>
      </c>
      <c r="AB24" s="142">
        <f t="shared" si="62"/>
        <v>5.8907646474677278E-2</v>
      </c>
      <c r="AC24" s="142">
        <f t="shared" si="63"/>
        <v>2.4160873882820268E-2</v>
      </c>
      <c r="AD24" s="142">
        <f t="shared" si="64"/>
        <v>9.5158887785501585E-3</v>
      </c>
      <c r="AE24" s="142">
        <f t="shared" si="65"/>
        <v>4.2871896722939517E-3</v>
      </c>
      <c r="AF24" s="142">
        <f t="shared" si="66"/>
        <v>0</v>
      </c>
      <c r="AH24" s="158">
        <f t="shared" si="40"/>
        <v>3.6742800397219458E-2</v>
      </c>
      <c r="AI24" s="158">
        <f t="shared" si="41"/>
        <v>0.13505461767626611</v>
      </c>
      <c r="AJ24" s="158">
        <f t="shared" si="42"/>
        <v>0.28699106256206552</v>
      </c>
      <c r="AK24" s="158">
        <f t="shared" si="43"/>
        <v>0.50546176762661366</v>
      </c>
      <c r="AL24" s="158">
        <f t="shared" si="44"/>
        <v>0.65839126117179736</v>
      </c>
      <c r="AM24" s="158">
        <f t="shared" si="45"/>
        <v>0.75968222442899691</v>
      </c>
      <c r="AN24" s="158">
        <f t="shared" si="46"/>
        <v>0.88282025819265131</v>
      </c>
      <c r="AO24" s="158">
        <v>1</v>
      </c>
      <c r="AP24" s="143"/>
      <c r="AQ24" s="143">
        <f t="shared" si="5"/>
        <v>1.366663909527188E-2</v>
      </c>
      <c r="AR24" s="143">
        <f t="shared" si="6"/>
        <v>5.9722668705210515E-2</v>
      </c>
      <c r="AS24" s="143">
        <f t="shared" si="7"/>
        <v>0.12162268877350212</v>
      </c>
      <c r="AT24" s="143">
        <f t="shared" si="8"/>
        <v>0.2034410547195003</v>
      </c>
      <c r="AU24" s="143">
        <f t="shared" si="9"/>
        <v>0.15880342457903132</v>
      </c>
      <c r="AV24" s="143">
        <f t="shared" si="10"/>
        <v>0.11421379984377839</v>
      </c>
      <c r="AW24" s="143">
        <f t="shared" si="11"/>
        <v>0.15026938668642167</v>
      </c>
      <c r="AX24" s="143">
        <f t="shared" si="12"/>
        <v>0.17826033759728371</v>
      </c>
      <c r="AY24" s="46"/>
      <c r="AZ24" s="152">
        <f>Shares!D65</f>
        <v>3.7</v>
      </c>
      <c r="BA24" s="152">
        <f>Shares!E65</f>
        <v>9.9</v>
      </c>
      <c r="BB24" s="152">
        <f>Shares!F65</f>
        <v>15.3</v>
      </c>
      <c r="BC24" s="152">
        <f>Shares!G65</f>
        <v>22</v>
      </c>
      <c r="BD24" s="152">
        <f>Shares!J65</f>
        <v>15.4</v>
      </c>
      <c r="BE24" s="152">
        <f>Shares!K65</f>
        <v>10.199999999999999</v>
      </c>
      <c r="BF24" s="152">
        <f>Shares!L65</f>
        <v>12.4</v>
      </c>
      <c r="BG24" s="152">
        <f>Shares!M65</f>
        <v>11.8</v>
      </c>
      <c r="BI24" s="146">
        <f>TxRt!B68</f>
        <v>8.1999999999999993</v>
      </c>
      <c r="BJ24" s="146">
        <f>TxRt!B111</f>
        <v>13.5</v>
      </c>
      <c r="BK24" s="146">
        <f>TxRt!B151</f>
        <v>17.8</v>
      </c>
      <c r="BL24" s="146">
        <f>TxRt!B191</f>
        <v>20.7</v>
      </c>
      <c r="BM24" s="146">
        <f>TxRt!B271</f>
        <v>23.1</v>
      </c>
      <c r="BN24" s="146">
        <f>TxRt!B311</f>
        <v>24.8</v>
      </c>
      <c r="BO24" s="146">
        <f>TxRt!B351</f>
        <v>26.7</v>
      </c>
      <c r="BP24" s="146">
        <f>TxRt!B391</f>
        <v>34.4</v>
      </c>
      <c r="BQ24" s="46"/>
      <c r="BR24" s="60">
        <f>Inc!B65</f>
        <v>15500</v>
      </c>
      <c r="BS24" s="60">
        <f>Inc!B105</f>
        <v>36700</v>
      </c>
      <c r="BT24" s="60">
        <f>Inc!B145</f>
        <v>58700</v>
      </c>
      <c r="BU24" s="60">
        <f>Inc!B185</f>
        <v>85300</v>
      </c>
      <c r="BV24" s="60">
        <f>Inc!B265</f>
        <v>116200</v>
      </c>
      <c r="BW24" s="60">
        <f>Inc!B305</f>
        <v>149700</v>
      </c>
      <c r="BX24" s="60">
        <f>Inc!B345</f>
        <v>226500</v>
      </c>
      <c r="BY24" s="60">
        <f>Inc!B385</f>
        <v>875900</v>
      </c>
      <c r="CA24" s="60">
        <f t="shared" si="13"/>
        <v>1270.9999999999998</v>
      </c>
      <c r="CB24" s="60">
        <f t="shared" si="14"/>
        <v>4954.5</v>
      </c>
      <c r="CC24" s="60">
        <f t="shared" si="15"/>
        <v>10448.6</v>
      </c>
      <c r="CD24" s="60">
        <f t="shared" si="16"/>
        <v>17657.099999999999</v>
      </c>
      <c r="CE24" s="60">
        <f t="shared" si="17"/>
        <v>26842.2</v>
      </c>
      <c r="CF24" s="60">
        <f t="shared" si="18"/>
        <v>37125.599999999999</v>
      </c>
      <c r="CG24" s="60">
        <f t="shared" si="19"/>
        <v>60475.5</v>
      </c>
      <c r="CH24" s="60">
        <f t="shared" si="20"/>
        <v>301309.59999999998</v>
      </c>
      <c r="CJ24" s="153">
        <f t="shared" si="47"/>
        <v>23100.424999999996</v>
      </c>
      <c r="CK24" s="153">
        <f t="shared" si="21"/>
        <v>100947.9375</v>
      </c>
      <c r="CL24" s="153">
        <f t="shared" si="22"/>
        <v>205576.20500000002</v>
      </c>
      <c r="CM24" s="153">
        <f t="shared" si="23"/>
        <v>343872.02250000002</v>
      </c>
      <c r="CN24" s="153">
        <f t="shared" si="24"/>
        <v>268422</v>
      </c>
      <c r="CO24" s="153">
        <f t="shared" si="25"/>
        <v>193053.12</v>
      </c>
      <c r="CP24" s="153">
        <f t="shared" si="26"/>
        <v>253997.1</v>
      </c>
      <c r="CQ24" s="153">
        <f t="shared" si="27"/>
        <v>301309.59999999998</v>
      </c>
      <c r="CR24" s="153">
        <f t="shared" si="48"/>
        <v>1690278.4100000001</v>
      </c>
      <c r="CT24" s="39">
        <v>257.8</v>
      </c>
      <c r="CU24" s="276">
        <f>Dem!B65+(DD24/4)</f>
        <v>18.175000000000001</v>
      </c>
      <c r="CV24" s="276">
        <f>Dem!B105+(DD24/4)</f>
        <v>20.375</v>
      </c>
      <c r="CW24" s="276">
        <f>Dem!B145+(DD24/4)</f>
        <v>19.675000000000001</v>
      </c>
      <c r="CX24" s="276">
        <f>Dem!B185+(DD24/4)</f>
        <v>19.475000000000001</v>
      </c>
      <c r="CY24" s="276">
        <f>Dem!B265</f>
        <v>10</v>
      </c>
      <c r="CZ24" s="276">
        <f>Dem!B305</f>
        <v>5.2</v>
      </c>
      <c r="DA24" s="276">
        <f>Dem!B345</f>
        <v>4.2</v>
      </c>
      <c r="DB24" s="276">
        <f>Dem!B385</f>
        <v>1</v>
      </c>
      <c r="DC24" s="275">
        <v>99.1</v>
      </c>
      <c r="DD24" s="46">
        <v>-0.5</v>
      </c>
      <c r="DE24" s="275"/>
      <c r="DF24" s="276">
        <f>Dem!$D65+(DO24/4)</f>
        <v>50.15</v>
      </c>
      <c r="DG24" s="276">
        <f>Dem!$D105+(DO24/4)</f>
        <v>51.35</v>
      </c>
      <c r="DH24" s="276">
        <f>Dem!$D145+(DO24/4)</f>
        <v>51.35</v>
      </c>
      <c r="DI24" s="276">
        <f>Dem!$D185+(DO24/4)</f>
        <v>51.35</v>
      </c>
      <c r="DJ24" s="275">
        <f>Dem!$D265</f>
        <v>25.8</v>
      </c>
      <c r="DK24" s="275">
        <f>Dem!$D305</f>
        <v>12.9</v>
      </c>
      <c r="DL24" s="275">
        <f>Dem!$D345</f>
        <v>10.3</v>
      </c>
      <c r="DM24" s="275">
        <f>Dem!$D385</f>
        <v>2.6</v>
      </c>
      <c r="DN24" s="276">
        <f t="shared" si="49"/>
        <v>257.8</v>
      </c>
      <c r="DO24" s="44">
        <v>-1</v>
      </c>
    </row>
    <row r="25" spans="1:119">
      <c r="A25" s="46">
        <f t="shared" si="50"/>
        <v>1995</v>
      </c>
      <c r="B25" s="141">
        <f t="shared" si="28"/>
        <v>0.1566994973413755</v>
      </c>
      <c r="C25" s="46"/>
      <c r="D25" s="141">
        <f t="shared" si="29"/>
        <v>0.64768839724226757</v>
      </c>
      <c r="E25" s="141">
        <f t="shared" si="30"/>
        <v>0.49098889990089206</v>
      </c>
      <c r="F25" s="46"/>
      <c r="G25" s="157">
        <f t="shared" si="31"/>
        <v>3.7344209585567396E-2</v>
      </c>
      <c r="H25" s="157">
        <f t="shared" si="32"/>
        <v>6.5367882544747902E-2</v>
      </c>
      <c r="I25" s="157">
        <f t="shared" si="33"/>
        <v>8.175845052061112E-2</v>
      </c>
      <c r="J25" s="157">
        <f t="shared" si="34"/>
        <v>8.2225374006867163E-2</v>
      </c>
      <c r="K25" s="157">
        <f t="shared" si="35"/>
        <v>3.5475540238912355E-2</v>
      </c>
      <c r="L25" s="157">
        <f t="shared" si="36"/>
        <v>1.4518232441909446E-2</v>
      </c>
      <c r="M25" s="157">
        <f t="shared" si="37"/>
        <v>7.1545092825183957E-3</v>
      </c>
      <c r="N25" s="157">
        <f t="shared" si="38"/>
        <v>0</v>
      </c>
      <c r="O25" s="46"/>
      <c r="P25" s="154">
        <f t="shared" si="51"/>
        <v>1.3278952072163045E-2</v>
      </c>
      <c r="Q25" s="154">
        <f t="shared" si="52"/>
        <v>7.3160587276260541E-2</v>
      </c>
      <c r="R25" s="154">
        <f t="shared" si="53"/>
        <v>0.19120774739694452</v>
      </c>
      <c r="S25" s="154">
        <f t="shared" si="54"/>
        <v>0.38887312996566425</v>
      </c>
      <c r="T25" s="154">
        <f t="shared" si="55"/>
        <v>0.54524459761087651</v>
      </c>
      <c r="U25" s="154">
        <f t="shared" si="56"/>
        <v>0.65963535116181116</v>
      </c>
      <c r="V25" s="154">
        <f t="shared" si="57"/>
        <v>0.81113726793704022</v>
      </c>
      <c r="W25" s="162">
        <f t="shared" si="58"/>
        <v>1</v>
      </c>
      <c r="X25" s="154"/>
      <c r="Y25" s="142">
        <f t="shared" si="59"/>
        <v>3.2071357779980179E-2</v>
      </c>
      <c r="Z25" s="142">
        <f t="shared" si="60"/>
        <v>5.2447968285431128E-2</v>
      </c>
      <c r="AA25" s="142">
        <f t="shared" si="61"/>
        <v>6.2517343904856318E-2</v>
      </c>
      <c r="AB25" s="142">
        <f t="shared" si="62"/>
        <v>5.9504459861248776E-2</v>
      </c>
      <c r="AC25" s="142">
        <f t="shared" si="63"/>
        <v>2.4687809712586717E-2</v>
      </c>
      <c r="AD25" s="142">
        <f t="shared" si="64"/>
        <v>9.7893954410307252E-3</v>
      </c>
      <c r="AE25" s="142">
        <f t="shared" si="65"/>
        <v>4.4761149653121945E-3</v>
      </c>
      <c r="AF25" s="142">
        <f t="shared" si="66"/>
        <v>0</v>
      </c>
      <c r="AH25" s="158">
        <f t="shared" si="40"/>
        <v>3.9643211100099107E-2</v>
      </c>
      <c r="AI25" s="158">
        <f t="shared" si="41"/>
        <v>0.1377601585728444</v>
      </c>
      <c r="AJ25" s="158">
        <f t="shared" si="42"/>
        <v>0.28741328047571851</v>
      </c>
      <c r="AK25" s="158">
        <f t="shared" si="43"/>
        <v>0.50247770069375619</v>
      </c>
      <c r="AL25" s="158">
        <f t="shared" si="44"/>
        <v>0.65312190287413285</v>
      </c>
      <c r="AM25" s="158">
        <f t="shared" si="45"/>
        <v>0.75421209117938559</v>
      </c>
      <c r="AN25" s="158">
        <f t="shared" si="46"/>
        <v>0.87809712586719524</v>
      </c>
      <c r="AO25" s="158">
        <v>1</v>
      </c>
      <c r="AP25" s="143"/>
      <c r="AQ25" s="143">
        <f t="shared" si="5"/>
        <v>1.3278952072163045E-2</v>
      </c>
      <c r="AR25" s="143">
        <f t="shared" si="6"/>
        <v>5.9881635204097491E-2</v>
      </c>
      <c r="AS25" s="143">
        <f t="shared" si="7"/>
        <v>0.11804716012068399</v>
      </c>
      <c r="AT25" s="143">
        <f t="shared" si="8"/>
        <v>0.19766538256871974</v>
      </c>
      <c r="AU25" s="143">
        <f t="shared" si="9"/>
        <v>0.15637146764521223</v>
      </c>
      <c r="AV25" s="143">
        <f t="shared" si="10"/>
        <v>0.11439075355093468</v>
      </c>
      <c r="AW25" s="143">
        <f t="shared" si="11"/>
        <v>0.15150191677522903</v>
      </c>
      <c r="AX25" s="143">
        <f t="shared" si="12"/>
        <v>0.18886273206295973</v>
      </c>
      <c r="AY25" s="46"/>
      <c r="AZ25" s="152">
        <f>Shares!D66</f>
        <v>4</v>
      </c>
      <c r="BA25" s="152">
        <f>Shares!E66</f>
        <v>9.9</v>
      </c>
      <c r="BB25" s="152">
        <f>Shares!F66</f>
        <v>15.1</v>
      </c>
      <c r="BC25" s="152">
        <f>Shares!G66</f>
        <v>21.7</v>
      </c>
      <c r="BD25" s="152">
        <f>Shares!J66</f>
        <v>15.2</v>
      </c>
      <c r="BE25" s="152">
        <f>Shares!K66</f>
        <v>10.199999999999999</v>
      </c>
      <c r="BF25" s="152">
        <f>Shares!L66</f>
        <v>12.5</v>
      </c>
      <c r="BG25" s="152">
        <f>Shares!M66</f>
        <v>12.3</v>
      </c>
      <c r="BI25" s="146">
        <f>TxRt!B69</f>
        <v>7.6</v>
      </c>
      <c r="BJ25" s="146">
        <f>TxRt!B112</f>
        <v>13.8</v>
      </c>
      <c r="BK25" s="146">
        <f>TxRt!B152</f>
        <v>17.8</v>
      </c>
      <c r="BL25" s="146">
        <f>TxRt!B192</f>
        <v>20.7</v>
      </c>
      <c r="BM25" s="146">
        <f>TxRt!B272</f>
        <v>23.3</v>
      </c>
      <c r="BN25" s="146">
        <f>TxRt!B312</f>
        <v>25.2</v>
      </c>
      <c r="BO25" s="146">
        <f>TxRt!B352</f>
        <v>27.2</v>
      </c>
      <c r="BP25" s="146">
        <f>TxRt!B392</f>
        <v>34.9</v>
      </c>
      <c r="BQ25" s="46"/>
      <c r="BR25" s="60">
        <f>Inc!B66</f>
        <v>16700</v>
      </c>
      <c r="BS25" s="60">
        <f>Inc!B106</f>
        <v>38600</v>
      </c>
      <c r="BT25" s="60">
        <f>Inc!B146</f>
        <v>60800</v>
      </c>
      <c r="BU25" s="60">
        <f>Inc!B186</f>
        <v>87100</v>
      </c>
      <c r="BV25" s="60">
        <f>Inc!B266</f>
        <v>119400</v>
      </c>
      <c r="BW25" s="60">
        <f>Inc!B306</f>
        <v>153900</v>
      </c>
      <c r="BX25" s="60">
        <f>Inc!B346</f>
        <v>238300</v>
      </c>
      <c r="BY25" s="60">
        <f>Inc!B386</f>
        <v>972400</v>
      </c>
      <c r="CA25" s="60">
        <f t="shared" si="13"/>
        <v>1269.2</v>
      </c>
      <c r="CB25" s="60">
        <f t="shared" si="14"/>
        <v>5326.8</v>
      </c>
      <c r="CC25" s="60">
        <f t="shared" si="15"/>
        <v>10822.4</v>
      </c>
      <c r="CD25" s="60">
        <f t="shared" si="16"/>
        <v>18029.7</v>
      </c>
      <c r="CE25" s="60">
        <f t="shared" si="17"/>
        <v>27820.2</v>
      </c>
      <c r="CF25" s="60">
        <f t="shared" si="18"/>
        <v>38782.800000000003</v>
      </c>
      <c r="CG25" s="60">
        <f t="shared" si="19"/>
        <v>64817.599999999999</v>
      </c>
      <c r="CH25" s="60">
        <f t="shared" si="20"/>
        <v>339367.6</v>
      </c>
      <c r="CJ25" s="153">
        <f t="shared" si="47"/>
        <v>23860.959999999995</v>
      </c>
      <c r="CK25" s="153">
        <f t="shared" si="21"/>
        <v>107601.36</v>
      </c>
      <c r="CL25" s="153">
        <f t="shared" si="22"/>
        <v>212119.03999999998</v>
      </c>
      <c r="CM25" s="153">
        <f t="shared" si="23"/>
        <v>355185.09</v>
      </c>
      <c r="CN25" s="153">
        <f t="shared" si="24"/>
        <v>280984.02</v>
      </c>
      <c r="CO25" s="153">
        <f t="shared" si="25"/>
        <v>205548.84</v>
      </c>
      <c r="CP25" s="153">
        <f t="shared" si="26"/>
        <v>272233.92</v>
      </c>
      <c r="CQ25" s="153">
        <f t="shared" si="27"/>
        <v>339367.6</v>
      </c>
      <c r="CR25" s="153">
        <f t="shared" si="48"/>
        <v>1796900.83</v>
      </c>
      <c r="CT25" s="39">
        <v>258.60000000000002</v>
      </c>
      <c r="CU25" s="276">
        <f>Dem!B66+(DD25/4)</f>
        <v>18.799999999999997</v>
      </c>
      <c r="CV25" s="276">
        <f>Dem!B106+(DD25/4)</f>
        <v>20.2</v>
      </c>
      <c r="CW25" s="276">
        <f>Dem!B146+(DD25/4)</f>
        <v>19.599999999999998</v>
      </c>
      <c r="CX25" s="276">
        <f>Dem!B186+(DD25/4)</f>
        <v>19.7</v>
      </c>
      <c r="CY25" s="276">
        <f>Dem!B266</f>
        <v>10.1</v>
      </c>
      <c r="CZ25" s="276">
        <f>Dem!B306</f>
        <v>5.3</v>
      </c>
      <c r="DA25" s="276">
        <f>Dem!B346</f>
        <v>4.2</v>
      </c>
      <c r="DB25" s="276">
        <f>Dem!B386</f>
        <v>1</v>
      </c>
      <c r="DC25" s="275">
        <v>99.7</v>
      </c>
      <c r="DD25" s="46">
        <v>-0.40000000000000568</v>
      </c>
      <c r="DE25" s="275"/>
      <c r="DF25" s="276">
        <f>Dem!$D66+(DO25/4)</f>
        <v>50.675000000000004</v>
      </c>
      <c r="DG25" s="276">
        <f>Dem!$D106+(DO25/4)</f>
        <v>51.475000000000009</v>
      </c>
      <c r="DH25" s="276">
        <f>Dem!$D146+(DO25/4)</f>
        <v>51.475000000000009</v>
      </c>
      <c r="DI25" s="276">
        <f>Dem!$D186+(DO25/4)</f>
        <v>51.475000000000009</v>
      </c>
      <c r="DJ25" s="275">
        <f>Dem!$D266</f>
        <v>25.9</v>
      </c>
      <c r="DK25" s="275">
        <f>Dem!$D306</f>
        <v>12.9</v>
      </c>
      <c r="DL25" s="275">
        <f>Dem!$D346</f>
        <v>10.3</v>
      </c>
      <c r="DM25" s="275">
        <f>Dem!$D386</f>
        <v>2.6</v>
      </c>
      <c r="DN25" s="276">
        <f t="shared" si="49"/>
        <v>258.60000000000002</v>
      </c>
      <c r="DO25" s="44">
        <v>-0.89999999999997726</v>
      </c>
    </row>
    <row r="26" spans="1:119">
      <c r="A26" s="46">
        <f t="shared" si="50"/>
        <v>1996</v>
      </c>
      <c r="B26" s="141">
        <f t="shared" si="28"/>
        <v>0.16277325691880884</v>
      </c>
      <c r="C26" s="46"/>
      <c r="D26" s="141">
        <f t="shared" si="29"/>
        <v>0.66972400170530344</v>
      </c>
      <c r="E26" s="141">
        <f t="shared" si="30"/>
        <v>0.5069507447864946</v>
      </c>
      <c r="F26" s="46"/>
      <c r="G26" s="157">
        <f t="shared" si="31"/>
        <v>3.7781147714157325E-2</v>
      </c>
      <c r="H26" s="157">
        <f t="shared" si="32"/>
        <v>6.6405649318545909E-2</v>
      </c>
      <c r="I26" s="157">
        <f t="shared" si="33"/>
        <v>8.3692805273505949E-2</v>
      </c>
      <c r="J26" s="157">
        <f t="shared" si="34"/>
        <v>8.544445977884961E-2</v>
      </c>
      <c r="K26" s="157">
        <f t="shared" si="35"/>
        <v>3.7592782444627028E-2</v>
      </c>
      <c r="L26" s="157">
        <f t="shared" si="36"/>
        <v>1.5783714331213058E-2</v>
      </c>
      <c r="M26" s="157">
        <f t="shared" si="37"/>
        <v>8.161441991752812E-3</v>
      </c>
      <c r="N26" s="157">
        <f t="shared" si="38"/>
        <v>0</v>
      </c>
      <c r="O26" s="46"/>
      <c r="P26" s="154">
        <f t="shared" si="51"/>
        <v>1.1094261429213407E-2</v>
      </c>
      <c r="Q26" s="154">
        <f t="shared" si="52"/>
        <v>6.7971753407270533E-2</v>
      </c>
      <c r="R26" s="154">
        <f t="shared" si="53"/>
        <v>0.18153597363247037</v>
      </c>
      <c r="S26" s="154">
        <f t="shared" si="54"/>
        <v>0.37277770110575204</v>
      </c>
      <c r="T26" s="154">
        <f t="shared" si="55"/>
        <v>0.52407217555372976</v>
      </c>
      <c r="U26" s="154">
        <f t="shared" si="56"/>
        <v>0.63432571337573895</v>
      </c>
      <c r="V26" s="154">
        <f t="shared" si="57"/>
        <v>0.78596395020617982</v>
      </c>
      <c r="W26" s="162">
        <f t="shared" si="58"/>
        <v>1</v>
      </c>
      <c r="X26" s="154"/>
      <c r="Y26" s="142">
        <f t="shared" si="59"/>
        <v>3.2452830188679248E-2</v>
      </c>
      <c r="Z26" s="142">
        <f t="shared" si="60"/>
        <v>5.3386295928500506E-2</v>
      </c>
      <c r="AA26" s="142">
        <f t="shared" si="61"/>
        <v>6.4190665342601802E-2</v>
      </c>
      <c r="AB26" s="142">
        <f t="shared" si="62"/>
        <v>6.18867924528302E-2</v>
      </c>
      <c r="AC26" s="142">
        <f t="shared" si="63"/>
        <v>2.6047666335650446E-2</v>
      </c>
      <c r="AD26" s="142">
        <f t="shared" si="64"/>
        <v>1.0508937437934457E-2</v>
      </c>
      <c r="AE26" s="142">
        <f t="shared" si="65"/>
        <v>5.0021847070506453E-3</v>
      </c>
      <c r="AF26" s="142">
        <f t="shared" si="66"/>
        <v>0</v>
      </c>
      <c r="AH26" s="158">
        <f t="shared" si="40"/>
        <v>3.7735849056603779E-2</v>
      </c>
      <c r="AI26" s="158">
        <f t="shared" si="41"/>
        <v>0.13306852035749753</v>
      </c>
      <c r="AJ26" s="158">
        <f t="shared" si="42"/>
        <v>0.27904667328699106</v>
      </c>
      <c r="AK26" s="158">
        <f t="shared" si="43"/>
        <v>0.49056603773584906</v>
      </c>
      <c r="AL26" s="158">
        <f t="shared" si="44"/>
        <v>0.63952333664349559</v>
      </c>
      <c r="AM26" s="158">
        <f t="shared" si="45"/>
        <v>0.73982125124131093</v>
      </c>
      <c r="AN26" s="158">
        <f t="shared" si="46"/>
        <v>0.86494538232373397</v>
      </c>
      <c r="AO26" s="158">
        <v>1</v>
      </c>
      <c r="AP26" s="143"/>
      <c r="AQ26" s="143">
        <f t="shared" si="5"/>
        <v>1.1094261429213407E-2</v>
      </c>
      <c r="AR26" s="143">
        <f t="shared" si="6"/>
        <v>5.6877491978057131E-2</v>
      </c>
      <c r="AS26" s="143">
        <f t="shared" si="7"/>
        <v>0.11356422022519984</v>
      </c>
      <c r="AT26" s="143">
        <f t="shared" si="8"/>
        <v>0.19124172747328166</v>
      </c>
      <c r="AU26" s="143">
        <f t="shared" si="9"/>
        <v>0.15129447444797775</v>
      </c>
      <c r="AV26" s="143">
        <f t="shared" si="10"/>
        <v>0.11025353782200915</v>
      </c>
      <c r="AW26" s="143">
        <f t="shared" si="11"/>
        <v>0.15163823683044086</v>
      </c>
      <c r="AX26" s="143">
        <f t="shared" si="12"/>
        <v>0.21403604979382024</v>
      </c>
      <c r="AY26" s="46"/>
      <c r="AZ26" s="152">
        <f>Shares!D67</f>
        <v>3.8</v>
      </c>
      <c r="BA26" s="152">
        <f>Shares!E67</f>
        <v>9.6</v>
      </c>
      <c r="BB26" s="152">
        <f>Shares!F67</f>
        <v>14.7</v>
      </c>
      <c r="BC26" s="152">
        <f>Shares!G67</f>
        <v>21.3</v>
      </c>
      <c r="BD26" s="152">
        <f>Shares!J67</f>
        <v>15</v>
      </c>
      <c r="BE26" s="152">
        <f>Shares!K67</f>
        <v>10.1</v>
      </c>
      <c r="BF26" s="152">
        <f>Shares!L67</f>
        <v>12.6</v>
      </c>
      <c r="BG26" s="152">
        <f>Shares!M67</f>
        <v>13.6</v>
      </c>
      <c r="BI26" s="146">
        <f>TxRt!B70</f>
        <v>6.8</v>
      </c>
      <c r="BJ26" s="146">
        <f>TxRt!B113</f>
        <v>13.7</v>
      </c>
      <c r="BK26" s="146">
        <f>TxRt!B153</f>
        <v>17.8</v>
      </c>
      <c r="BL26" s="146">
        <f>TxRt!B193</f>
        <v>20.7</v>
      </c>
      <c r="BM26" s="146">
        <f>TxRt!B273</f>
        <v>23.2</v>
      </c>
      <c r="BN26" s="146">
        <f>TxRt!B313</f>
        <v>25.1</v>
      </c>
      <c r="BO26" s="146">
        <f>TxRt!B353</f>
        <v>27.4</v>
      </c>
      <c r="BP26" s="146">
        <f>TxRt!B393</f>
        <v>34.799999999999997</v>
      </c>
      <c r="BQ26" s="46"/>
      <c r="BR26" s="60">
        <f>Inc!B67</f>
        <v>16700</v>
      </c>
      <c r="BS26" s="60">
        <f>Inc!B107</f>
        <v>38600</v>
      </c>
      <c r="BT26" s="60">
        <f>Inc!B147</f>
        <v>61700</v>
      </c>
      <c r="BU26" s="60">
        <f>Inc!B187</f>
        <v>88900</v>
      </c>
      <c r="BV26" s="60">
        <f>Inc!B267</f>
        <v>122000</v>
      </c>
      <c r="BW26" s="60">
        <f>Inc!B307</f>
        <v>159700</v>
      </c>
      <c r="BX26" s="60">
        <f>Inc!B347</f>
        <v>248000</v>
      </c>
      <c r="BY26" s="60">
        <f>Inc!B387</f>
        <v>1077400</v>
      </c>
      <c r="CA26" s="60">
        <f t="shared" si="13"/>
        <v>1135.5999999999999</v>
      </c>
      <c r="CB26" s="60">
        <f t="shared" si="14"/>
        <v>5288.2</v>
      </c>
      <c r="CC26" s="60">
        <f t="shared" si="15"/>
        <v>10982.6</v>
      </c>
      <c r="CD26" s="60">
        <f t="shared" si="16"/>
        <v>18402.3</v>
      </c>
      <c r="CE26" s="60">
        <f t="shared" si="17"/>
        <v>28304</v>
      </c>
      <c r="CF26" s="60">
        <f t="shared" si="18"/>
        <v>40084.699999999997</v>
      </c>
      <c r="CG26" s="60">
        <f t="shared" si="19"/>
        <v>67952</v>
      </c>
      <c r="CH26" s="60">
        <f t="shared" si="20"/>
        <v>374935.2</v>
      </c>
      <c r="CJ26" s="153">
        <f t="shared" si="47"/>
        <v>21377.67</v>
      </c>
      <c r="CK26" s="153">
        <f t="shared" si="21"/>
        <v>109597.94500000001</v>
      </c>
      <c r="CL26" s="153">
        <f t="shared" si="22"/>
        <v>218828.30500000002</v>
      </c>
      <c r="CM26" s="153">
        <f t="shared" si="23"/>
        <v>368506.05750000005</v>
      </c>
      <c r="CN26" s="153">
        <f t="shared" si="24"/>
        <v>291531.2</v>
      </c>
      <c r="CO26" s="153">
        <f t="shared" si="25"/>
        <v>212448.90999999997</v>
      </c>
      <c r="CP26" s="153">
        <f t="shared" si="26"/>
        <v>292193.59999999998</v>
      </c>
      <c r="CQ26" s="153">
        <f t="shared" si="27"/>
        <v>412428.72000000003</v>
      </c>
      <c r="CR26" s="153">
        <f t="shared" si="48"/>
        <v>1926912.4075</v>
      </c>
      <c r="CT26" s="39">
        <v>261.89999999999998</v>
      </c>
      <c r="CU26" s="276">
        <f>Dem!B67+(DD26/4)</f>
        <v>18.824999999999999</v>
      </c>
      <c r="CV26" s="276">
        <f>Dem!B107+(DD26/4)</f>
        <v>20.725000000000001</v>
      </c>
      <c r="CW26" s="276">
        <f>Dem!B147+(DD26/4)</f>
        <v>19.925000000000001</v>
      </c>
      <c r="CX26" s="276">
        <f>Dem!B187+(DD26/4)</f>
        <v>20.025000000000002</v>
      </c>
      <c r="CY26" s="276">
        <f>Dem!B267</f>
        <v>10.3</v>
      </c>
      <c r="CZ26" s="276">
        <f>Dem!B307</f>
        <v>5.3</v>
      </c>
      <c r="DA26" s="276">
        <f>Dem!B347</f>
        <v>4.3</v>
      </c>
      <c r="DB26" s="276">
        <f>Dem!B387</f>
        <v>1.1000000000000001</v>
      </c>
      <c r="DC26" s="275">
        <v>101.1</v>
      </c>
      <c r="DD26" s="46">
        <v>-0.29999999999999716</v>
      </c>
      <c r="DE26" s="275"/>
      <c r="DF26" s="276">
        <f>Dem!$D67+(DO26/4)</f>
        <v>51.300000000000011</v>
      </c>
      <c r="DG26" s="276">
        <f>Dem!$D107+(DO26/4)</f>
        <v>52.20000000000001</v>
      </c>
      <c r="DH26" s="276">
        <f>Dem!$D147+(DO26/4)</f>
        <v>52.20000000000001</v>
      </c>
      <c r="DI26" s="276">
        <f>Dem!$D187+(DO26/4)</f>
        <v>52.20000000000001</v>
      </c>
      <c r="DJ26" s="275">
        <f>Dem!$D267</f>
        <v>26.2</v>
      </c>
      <c r="DK26" s="275">
        <f>Dem!$D307</f>
        <v>13.1</v>
      </c>
      <c r="DL26" s="275">
        <f>Dem!$D347</f>
        <v>10.5</v>
      </c>
      <c r="DM26" s="275">
        <f>Dem!$D387</f>
        <v>2.6</v>
      </c>
      <c r="DN26" s="276">
        <f t="shared" si="49"/>
        <v>261.89999999999998</v>
      </c>
      <c r="DO26" s="44">
        <v>-0.79999999999995453</v>
      </c>
    </row>
    <row r="27" spans="1:119">
      <c r="A27" s="46">
        <f t="shared" si="50"/>
        <v>1997</v>
      </c>
      <c r="B27" s="141">
        <f t="shared" si="28"/>
        <v>0.15097482655788019</v>
      </c>
      <c r="C27" s="46"/>
      <c r="D27" s="141">
        <f t="shared" si="29"/>
        <v>0.66912716022222984</v>
      </c>
      <c r="E27" s="141">
        <f t="shared" si="30"/>
        <v>0.51815233366434965</v>
      </c>
      <c r="F27" s="46"/>
      <c r="G27" s="157">
        <f t="shared" si="31"/>
        <v>3.7638366195041621E-2</v>
      </c>
      <c r="H27" s="157">
        <f t="shared" si="32"/>
        <v>6.6293425788323521E-2</v>
      </c>
      <c r="I27" s="157">
        <f t="shared" si="33"/>
        <v>8.3531182839713697E-2</v>
      </c>
      <c r="J27" s="157">
        <f t="shared" si="34"/>
        <v>8.5929466587590236E-2</v>
      </c>
      <c r="K27" s="157">
        <f t="shared" si="35"/>
        <v>3.7553867093626882E-2</v>
      </c>
      <c r="L27" s="157">
        <f t="shared" si="36"/>
        <v>1.5685777995782742E-2</v>
      </c>
      <c r="M27" s="157">
        <f t="shared" si="37"/>
        <v>7.9314936110361865E-3</v>
      </c>
      <c r="N27" s="157">
        <f t="shared" si="38"/>
        <v>0</v>
      </c>
      <c r="O27" s="46"/>
      <c r="P27" s="154">
        <f t="shared" si="51"/>
        <v>1.1808169024791915E-2</v>
      </c>
      <c r="Q27" s="154">
        <f t="shared" si="52"/>
        <v>6.8532871058382391E-2</v>
      </c>
      <c r="R27" s="154">
        <f t="shared" si="53"/>
        <v>0.18234408580143163</v>
      </c>
      <c r="S27" s="154">
        <f t="shared" si="54"/>
        <v>0.37035266706204889</v>
      </c>
      <c r="T27" s="154">
        <f t="shared" si="55"/>
        <v>0.52446132906373122</v>
      </c>
      <c r="U27" s="154">
        <f t="shared" si="56"/>
        <v>0.63628444008434526</v>
      </c>
      <c r="V27" s="154">
        <f t="shared" si="57"/>
        <v>0.79171265972409544</v>
      </c>
      <c r="W27" s="162">
        <f t="shared" si="58"/>
        <v>1</v>
      </c>
      <c r="X27" s="154"/>
      <c r="Y27" s="142">
        <f t="shared" si="59"/>
        <v>3.2254220456802388E-2</v>
      </c>
      <c r="Z27" s="142">
        <f t="shared" si="60"/>
        <v>5.3783515392254233E-2</v>
      </c>
      <c r="AA27" s="142">
        <f t="shared" si="61"/>
        <v>6.5183714001986123E-2</v>
      </c>
      <c r="AB27" s="142">
        <f t="shared" si="62"/>
        <v>6.4071499503475696E-2</v>
      </c>
      <c r="AC27" s="142">
        <f t="shared" si="63"/>
        <v>2.723932472691163E-2</v>
      </c>
      <c r="AD27" s="142">
        <f t="shared" si="64"/>
        <v>1.110476663356505E-2</v>
      </c>
      <c r="AE27" s="142">
        <f t="shared" si="65"/>
        <v>5.4391261171797467E-3</v>
      </c>
      <c r="AF27" s="142">
        <f t="shared" si="66"/>
        <v>0</v>
      </c>
      <c r="AH27" s="158">
        <f t="shared" si="40"/>
        <v>3.872889771598808E-2</v>
      </c>
      <c r="AI27" s="158">
        <f t="shared" si="41"/>
        <v>0.13108242303872888</v>
      </c>
      <c r="AJ27" s="158">
        <f t="shared" si="42"/>
        <v>0.27408142999006946</v>
      </c>
      <c r="AK27" s="158">
        <f t="shared" si="43"/>
        <v>0.47964250248262158</v>
      </c>
      <c r="AL27" s="158">
        <f t="shared" si="44"/>
        <v>0.62760675273088373</v>
      </c>
      <c r="AM27" s="158">
        <f t="shared" si="45"/>
        <v>0.72790466732869907</v>
      </c>
      <c r="AN27" s="158">
        <f t="shared" si="46"/>
        <v>0.85402184707050643</v>
      </c>
      <c r="AO27" s="158">
        <v>1</v>
      </c>
      <c r="AP27" s="143"/>
      <c r="AQ27" s="143">
        <f t="shared" si="5"/>
        <v>1.1808169024791915E-2</v>
      </c>
      <c r="AR27" s="143">
        <f t="shared" si="6"/>
        <v>5.6724702033590479E-2</v>
      </c>
      <c r="AS27" s="143">
        <f t="shared" si="7"/>
        <v>0.11381121474304924</v>
      </c>
      <c r="AT27" s="143">
        <f t="shared" si="8"/>
        <v>0.18800858126061726</v>
      </c>
      <c r="AU27" s="143">
        <f t="shared" si="9"/>
        <v>0.15410866200168236</v>
      </c>
      <c r="AV27" s="143">
        <f t="shared" si="10"/>
        <v>0.11182311102061401</v>
      </c>
      <c r="AW27" s="143">
        <f t="shared" si="11"/>
        <v>0.15542821963975018</v>
      </c>
      <c r="AX27" s="143">
        <f t="shared" si="12"/>
        <v>0.20828734027590454</v>
      </c>
      <c r="AY27" s="46"/>
      <c r="AZ27" s="152">
        <f>Shares!D68</f>
        <v>3.9</v>
      </c>
      <c r="BA27" s="152">
        <f>Shares!E68</f>
        <v>9.3000000000000007</v>
      </c>
      <c r="BB27" s="152">
        <f>Shares!F68</f>
        <v>14.4</v>
      </c>
      <c r="BC27" s="152">
        <f>Shares!G68</f>
        <v>20.7</v>
      </c>
      <c r="BD27" s="152">
        <f>Shares!J68</f>
        <v>14.9</v>
      </c>
      <c r="BE27" s="152">
        <f>Shares!K68</f>
        <v>10.1</v>
      </c>
      <c r="BF27" s="152">
        <f>Shares!L68</f>
        <v>12.7</v>
      </c>
      <c r="BG27" s="152">
        <f>Shares!M68</f>
        <v>14.7</v>
      </c>
      <c r="BI27" s="146">
        <f>TxRt!B71</f>
        <v>7</v>
      </c>
      <c r="BJ27" s="146">
        <f>TxRt!B114</f>
        <v>14</v>
      </c>
      <c r="BK27" s="146">
        <f>TxRt!B154</f>
        <v>18.100000000000001</v>
      </c>
      <c r="BL27" s="146">
        <f>TxRt!B194</f>
        <v>20.7</v>
      </c>
      <c r="BM27" s="146">
        <f>TxRt!B274</f>
        <v>23.5</v>
      </c>
      <c r="BN27" s="146">
        <f>TxRt!B314</f>
        <v>25.2</v>
      </c>
      <c r="BO27" s="146">
        <f>TxRt!B354</f>
        <v>27.6</v>
      </c>
      <c r="BP27" s="146">
        <f>TxRt!B394</f>
        <v>33.799999999999997</v>
      </c>
      <c r="BQ27" s="46"/>
      <c r="BR27" s="60">
        <f>Inc!B68</f>
        <v>17600</v>
      </c>
      <c r="BS27" s="60">
        <f>Inc!B108</f>
        <v>40000</v>
      </c>
      <c r="BT27" s="60">
        <f>Inc!B148</f>
        <v>63000</v>
      </c>
      <c r="BU27" s="60">
        <f>Inc!B188</f>
        <v>91000</v>
      </c>
      <c r="BV27" s="60">
        <f>Inc!B268</f>
        <v>124900</v>
      </c>
      <c r="BW27" s="60">
        <f>Inc!B308</f>
        <v>165900</v>
      </c>
      <c r="BX27" s="60">
        <f>Inc!B348</f>
        <v>264400</v>
      </c>
      <c r="BY27" s="60">
        <f>Inc!B388</f>
        <v>1244100</v>
      </c>
      <c r="CA27" s="60">
        <f t="shared" si="13"/>
        <v>1232</v>
      </c>
      <c r="CB27" s="60">
        <f t="shared" si="14"/>
        <v>5600</v>
      </c>
      <c r="CC27" s="60">
        <f t="shared" si="15"/>
        <v>11403</v>
      </c>
      <c r="CD27" s="60">
        <f t="shared" si="16"/>
        <v>18837</v>
      </c>
      <c r="CE27" s="60">
        <f t="shared" si="17"/>
        <v>29351.5</v>
      </c>
      <c r="CF27" s="60">
        <f t="shared" si="18"/>
        <v>41806.800000000003</v>
      </c>
      <c r="CG27" s="60">
        <f t="shared" si="19"/>
        <v>72974.399999999994</v>
      </c>
      <c r="CH27" s="60">
        <f t="shared" si="20"/>
        <v>420505.8</v>
      </c>
      <c r="CJ27" s="153">
        <f t="shared" si="47"/>
        <v>23839.200000000001</v>
      </c>
      <c r="CK27" s="153">
        <f t="shared" si="21"/>
        <v>114520.00000000001</v>
      </c>
      <c r="CL27" s="153">
        <f t="shared" si="22"/>
        <v>229770.45</v>
      </c>
      <c r="CM27" s="153">
        <f t="shared" si="23"/>
        <v>379565.55000000005</v>
      </c>
      <c r="CN27" s="153">
        <f t="shared" si="24"/>
        <v>311125.89999999997</v>
      </c>
      <c r="CO27" s="153">
        <f t="shared" si="25"/>
        <v>225756.72000000003</v>
      </c>
      <c r="CP27" s="153">
        <f t="shared" si="26"/>
        <v>313789.92</v>
      </c>
      <c r="CQ27" s="153">
        <f t="shared" si="27"/>
        <v>420505.8</v>
      </c>
      <c r="CR27" s="153">
        <f t="shared" si="48"/>
        <v>2018873.54</v>
      </c>
      <c r="CT27" s="39">
        <v>264.2</v>
      </c>
      <c r="CU27" s="276">
        <f>Dem!B68+(DD27/4)</f>
        <v>19.350000000000001</v>
      </c>
      <c r="CV27" s="276">
        <f>Dem!B108+(DD27/4)</f>
        <v>20.450000000000003</v>
      </c>
      <c r="CW27" s="276">
        <f>Dem!B148+(DD27/4)</f>
        <v>20.150000000000002</v>
      </c>
      <c r="CX27" s="276">
        <f>Dem!B188+(DD27/4)</f>
        <v>20.150000000000002</v>
      </c>
      <c r="CY27" s="276">
        <f>Dem!B268</f>
        <v>10.6</v>
      </c>
      <c r="CZ27" s="276">
        <f>Dem!B308</f>
        <v>5.4</v>
      </c>
      <c r="DA27" s="276">
        <f>Dem!B348</f>
        <v>4.3</v>
      </c>
      <c r="DB27" s="276">
        <f>Dem!B388</f>
        <v>1</v>
      </c>
      <c r="DC27" s="275">
        <v>102.6</v>
      </c>
      <c r="DD27" s="46">
        <v>-0.59999999999999432</v>
      </c>
      <c r="DE27" s="275"/>
      <c r="DF27" s="276">
        <f>Dem!$D68+(DO27/4)</f>
        <v>51.375000000000014</v>
      </c>
      <c r="DG27" s="276">
        <f>Dem!$D108+(DO27/4)</f>
        <v>52.475000000000009</v>
      </c>
      <c r="DH27" s="276">
        <f>Dem!$D148+(DO27/4)</f>
        <v>52.475000000000009</v>
      </c>
      <c r="DI27" s="276">
        <f>Dem!$D188+(DO27/4)</f>
        <v>52.475000000000009</v>
      </c>
      <c r="DJ27" s="275">
        <f>Dem!$D268</f>
        <v>26.4</v>
      </c>
      <c r="DK27" s="275">
        <f>Dem!$D308</f>
        <v>13.2</v>
      </c>
      <c r="DL27" s="275">
        <f>Dem!$D348</f>
        <v>10.6</v>
      </c>
      <c r="DM27" s="275">
        <f>Dem!$D388</f>
        <v>2.6</v>
      </c>
      <c r="DN27" s="276">
        <f t="shared" si="49"/>
        <v>264.2</v>
      </c>
      <c r="DO27" s="44">
        <v>-1.2999999999999545</v>
      </c>
    </row>
    <row r="28" spans="1:119">
      <c r="A28" s="46">
        <f t="shared" si="50"/>
        <v>1998</v>
      </c>
      <c r="B28" s="141">
        <f t="shared" si="28"/>
        <v>0.1533546451108535</v>
      </c>
      <c r="C28" s="46"/>
      <c r="D28" s="141">
        <f t="shared" si="29"/>
        <v>0.67750499267788433</v>
      </c>
      <c r="E28" s="141">
        <f t="shared" si="30"/>
        <v>0.52415034756703083</v>
      </c>
      <c r="F28" s="46"/>
      <c r="G28" s="157">
        <f t="shared" si="31"/>
        <v>3.7573964689971345E-2</v>
      </c>
      <c r="H28" s="157">
        <f t="shared" si="32"/>
        <v>6.6703660297600012E-2</v>
      </c>
      <c r="I28" s="157">
        <f t="shared" si="33"/>
        <v>8.4739240878483044E-2</v>
      </c>
      <c r="J28" s="157">
        <f t="shared" si="34"/>
        <v>8.7232789186218268E-2</v>
      </c>
      <c r="K28" s="157">
        <f t="shared" si="35"/>
        <v>3.8278573632931336E-2</v>
      </c>
      <c r="L28" s="157">
        <f t="shared" si="36"/>
        <v>1.6008376417423871E-2</v>
      </c>
      <c r="M28" s="157">
        <f t="shared" si="37"/>
        <v>8.2158912363142506E-3</v>
      </c>
      <c r="N28" s="157">
        <f t="shared" si="38"/>
        <v>0</v>
      </c>
      <c r="O28" s="46"/>
      <c r="P28" s="154">
        <f t="shared" si="51"/>
        <v>1.2130176550143323E-2</v>
      </c>
      <c r="Q28" s="154">
        <f t="shared" si="52"/>
        <v>6.6481698511999976E-2</v>
      </c>
      <c r="R28" s="154">
        <f t="shared" si="53"/>
        <v>0.17630379560758491</v>
      </c>
      <c r="S28" s="154">
        <f t="shared" si="54"/>
        <v>0.36383605406890873</v>
      </c>
      <c r="T28" s="154">
        <f t="shared" si="55"/>
        <v>0.51721426367068668</v>
      </c>
      <c r="U28" s="154">
        <f t="shared" si="56"/>
        <v>0.62983247165152267</v>
      </c>
      <c r="V28" s="154">
        <f t="shared" si="57"/>
        <v>0.78460271909214385</v>
      </c>
      <c r="W28" s="162">
        <f t="shared" si="58"/>
        <v>1</v>
      </c>
      <c r="X28" s="154"/>
      <c r="Y28" s="142">
        <f t="shared" si="59"/>
        <v>3.2055610724925521E-2</v>
      </c>
      <c r="Z28" s="142">
        <f t="shared" si="60"/>
        <v>5.3982125124131086E-2</v>
      </c>
      <c r="AA28" s="142">
        <f t="shared" si="61"/>
        <v>6.5779543197616697E-2</v>
      </c>
      <c r="AB28" s="142">
        <f t="shared" si="62"/>
        <v>6.5064548162859989E-2</v>
      </c>
      <c r="AC28" s="142">
        <f t="shared" si="63"/>
        <v>2.7934458788480634E-2</v>
      </c>
      <c r="AD28" s="142">
        <f t="shared" si="64"/>
        <v>1.1501986097318768E-2</v>
      </c>
      <c r="AE28" s="142">
        <f t="shared" si="65"/>
        <v>5.7569016881827209E-3</v>
      </c>
      <c r="AF28" s="142">
        <f t="shared" si="66"/>
        <v>0</v>
      </c>
      <c r="AH28" s="158">
        <f t="shared" si="40"/>
        <v>3.9721946375372394E-2</v>
      </c>
      <c r="AI28" s="158">
        <f t="shared" si="41"/>
        <v>0.13008937437934459</v>
      </c>
      <c r="AJ28" s="158">
        <f t="shared" si="42"/>
        <v>0.27110228401191661</v>
      </c>
      <c r="AK28" s="158">
        <f t="shared" si="43"/>
        <v>0.47467725918570014</v>
      </c>
      <c r="AL28" s="158">
        <f t="shared" si="44"/>
        <v>0.62065541211519371</v>
      </c>
      <c r="AM28" s="158">
        <f t="shared" si="45"/>
        <v>0.71996027805362472</v>
      </c>
      <c r="AN28" s="158">
        <f t="shared" si="46"/>
        <v>0.84607745779543209</v>
      </c>
      <c r="AO28" s="158">
        <v>1</v>
      </c>
      <c r="AP28" s="143"/>
      <c r="AQ28" s="143">
        <f t="shared" si="5"/>
        <v>1.2130176550143323E-2</v>
      </c>
      <c r="AR28" s="143">
        <f t="shared" si="6"/>
        <v>5.435152196185665E-2</v>
      </c>
      <c r="AS28" s="143">
        <f t="shared" si="7"/>
        <v>0.10982209709558494</v>
      </c>
      <c r="AT28" s="143">
        <f t="shared" si="8"/>
        <v>0.18753225846132379</v>
      </c>
      <c r="AU28" s="143">
        <f t="shared" si="9"/>
        <v>0.15337820960177798</v>
      </c>
      <c r="AV28" s="143">
        <f t="shared" si="10"/>
        <v>0.11261820798083597</v>
      </c>
      <c r="AW28" s="143">
        <f t="shared" si="11"/>
        <v>0.15477024744062112</v>
      </c>
      <c r="AX28" s="143">
        <f t="shared" si="12"/>
        <v>0.21539728090785626</v>
      </c>
      <c r="AY28" s="46"/>
      <c r="AZ28" s="152">
        <f>Shares!D69</f>
        <v>4</v>
      </c>
      <c r="BA28" s="152">
        <f>Shares!E69</f>
        <v>9.1</v>
      </c>
      <c r="BB28" s="152">
        <f>Shares!F69</f>
        <v>14.2</v>
      </c>
      <c r="BC28" s="152">
        <f>Shares!G69</f>
        <v>20.5</v>
      </c>
      <c r="BD28" s="152">
        <f>Shares!J69</f>
        <v>14.7</v>
      </c>
      <c r="BE28" s="152">
        <f>Shares!K69</f>
        <v>10</v>
      </c>
      <c r="BF28" s="152">
        <f>Shares!L69</f>
        <v>12.7</v>
      </c>
      <c r="BG28" s="152">
        <f>Shares!M69</f>
        <v>15.5</v>
      </c>
      <c r="BI28" s="146">
        <f>TxRt!B72</f>
        <v>6.9</v>
      </c>
      <c r="BJ28" s="146">
        <f>TxRt!B115</f>
        <v>13.4</v>
      </c>
      <c r="BK28" s="146">
        <f>TxRt!B155</f>
        <v>17.399999999999999</v>
      </c>
      <c r="BL28" s="146">
        <f>TxRt!B195</f>
        <v>20.6</v>
      </c>
      <c r="BM28" s="146">
        <f>TxRt!B275</f>
        <v>23.4</v>
      </c>
      <c r="BN28" s="146">
        <f>TxRt!B315</f>
        <v>25.2</v>
      </c>
      <c r="BO28" s="146">
        <f>TxRt!B355</f>
        <v>27.4</v>
      </c>
      <c r="BP28" s="146">
        <f>TxRt!B395</f>
        <v>32.4</v>
      </c>
      <c r="BQ28" s="46"/>
      <c r="BR28" s="60">
        <f>Inc!B69</f>
        <v>18800</v>
      </c>
      <c r="BS28" s="60">
        <f>Inc!B109</f>
        <v>41900</v>
      </c>
      <c r="BT28" s="60">
        <f>Inc!B149</f>
        <v>65200</v>
      </c>
      <c r="BU28" s="60">
        <f>Inc!B189</f>
        <v>94500</v>
      </c>
      <c r="BV28" s="60">
        <f>Inc!B269</f>
        <v>130200</v>
      </c>
      <c r="BW28" s="60">
        <f>Inc!B309</f>
        <v>172700</v>
      </c>
      <c r="BX28" s="60">
        <f>Inc!B349</f>
        <v>279200</v>
      </c>
      <c r="BY28" s="60">
        <f>Inc!B389</f>
        <v>1413000</v>
      </c>
      <c r="CA28" s="60">
        <f t="shared" si="13"/>
        <v>1297.2</v>
      </c>
      <c r="CB28" s="60">
        <f t="shared" si="14"/>
        <v>5614.6</v>
      </c>
      <c r="CC28" s="60">
        <f t="shared" si="15"/>
        <v>11344.8</v>
      </c>
      <c r="CD28" s="60">
        <f t="shared" si="16"/>
        <v>19467.000000000004</v>
      </c>
      <c r="CE28" s="60">
        <f t="shared" si="17"/>
        <v>30466.799999999999</v>
      </c>
      <c r="CF28" s="60">
        <f t="shared" si="18"/>
        <v>43520.4</v>
      </c>
      <c r="CG28" s="60">
        <f t="shared" si="19"/>
        <v>76500.800000000003</v>
      </c>
      <c r="CH28" s="60">
        <f t="shared" si="20"/>
        <v>457812</v>
      </c>
      <c r="CJ28" s="153">
        <f t="shared" si="47"/>
        <v>25781.850000000002</v>
      </c>
      <c r="CK28" s="153">
        <f t="shared" si="21"/>
        <v>115520.395</v>
      </c>
      <c r="CL28" s="153">
        <f t="shared" si="22"/>
        <v>233419.25999999998</v>
      </c>
      <c r="CM28" s="153">
        <f t="shared" si="23"/>
        <v>398586.82500000013</v>
      </c>
      <c r="CN28" s="153">
        <f t="shared" si="24"/>
        <v>325994.75999999995</v>
      </c>
      <c r="CO28" s="153">
        <f t="shared" si="25"/>
        <v>239362.2</v>
      </c>
      <c r="CP28" s="153">
        <f t="shared" si="26"/>
        <v>328953.44</v>
      </c>
      <c r="CQ28" s="153">
        <f t="shared" si="27"/>
        <v>457812</v>
      </c>
      <c r="CR28" s="153">
        <f t="shared" si="48"/>
        <v>2125430.73</v>
      </c>
      <c r="CT28" s="39">
        <v>266.3</v>
      </c>
      <c r="CU28" s="276">
        <f>Dem!B69+(DD28/4)</f>
        <v>19.875</v>
      </c>
      <c r="CV28" s="276">
        <f>Dem!B109+(DD28/4)</f>
        <v>20.574999999999999</v>
      </c>
      <c r="CW28" s="276">
        <f>Dem!B149+(DD28/4)</f>
        <v>20.574999999999999</v>
      </c>
      <c r="CX28" s="276">
        <f>Dem!B189+(DD28/4)</f>
        <v>20.475000000000001</v>
      </c>
      <c r="CY28" s="276">
        <f>Dem!B269</f>
        <v>10.7</v>
      </c>
      <c r="CZ28" s="276">
        <f>Dem!B309</f>
        <v>5.5</v>
      </c>
      <c r="DA28" s="276">
        <f>Dem!B349</f>
        <v>4.3</v>
      </c>
      <c r="DB28" s="276">
        <f>Dem!B389</f>
        <v>1</v>
      </c>
      <c r="DC28" s="275">
        <v>104</v>
      </c>
      <c r="DD28" s="46">
        <v>-0.5</v>
      </c>
      <c r="DE28" s="275"/>
      <c r="DF28" s="276">
        <f>Dem!$D69+(DO28/4)</f>
        <v>51.975000000000009</v>
      </c>
      <c r="DG28" s="276">
        <f>Dem!$D109+(DO28/4)</f>
        <v>53.075000000000003</v>
      </c>
      <c r="DH28" s="276">
        <f>Dem!$D149+(DO28/4)</f>
        <v>53.075000000000003</v>
      </c>
      <c r="DI28" s="276">
        <f>Dem!$D189+(DO28/4)</f>
        <v>53.075000000000003</v>
      </c>
      <c r="DJ28" s="275">
        <f>Dem!$D269</f>
        <v>26.6</v>
      </c>
      <c r="DK28" s="275">
        <f>Dem!$D309</f>
        <v>13.3</v>
      </c>
      <c r="DL28" s="275">
        <f>Dem!$D349</f>
        <v>10.7</v>
      </c>
      <c r="DM28" s="275">
        <f>Dem!$D389</f>
        <v>2.7</v>
      </c>
      <c r="DN28" s="276">
        <f t="shared" si="49"/>
        <v>266.3</v>
      </c>
      <c r="DO28" s="44">
        <v>-0.89999999999997726</v>
      </c>
    </row>
    <row r="29" spans="1:119">
      <c r="A29" s="46">
        <f t="shared" si="50"/>
        <v>1999</v>
      </c>
      <c r="B29" s="141">
        <f t="shared" si="28"/>
        <v>0.159855797278603</v>
      </c>
      <c r="C29" s="46"/>
      <c r="D29" s="141">
        <f t="shared" si="29"/>
        <v>0.69469198018118761</v>
      </c>
      <c r="E29" s="141">
        <f t="shared" si="30"/>
        <v>0.53483618290258461</v>
      </c>
      <c r="F29" s="46"/>
      <c r="G29" s="157">
        <f t="shared" si="31"/>
        <v>3.7542544375016154E-2</v>
      </c>
      <c r="H29" s="157">
        <f t="shared" si="32"/>
        <v>6.6981665643818994E-2</v>
      </c>
      <c r="I29" s="157">
        <f t="shared" si="33"/>
        <v>8.6124738316784327E-2</v>
      </c>
      <c r="J29" s="157">
        <f t="shared" si="34"/>
        <v>9.0114337664311622E-2</v>
      </c>
      <c r="K29" s="157">
        <f t="shared" si="35"/>
        <v>4.0254387250919017E-2</v>
      </c>
      <c r="L29" s="157">
        <f t="shared" si="36"/>
        <v>1.7191498319434107E-2</v>
      </c>
      <c r="M29" s="157">
        <f t="shared" si="37"/>
        <v>9.1368185203096267E-3</v>
      </c>
      <c r="N29" s="157">
        <f t="shared" si="38"/>
        <v>0</v>
      </c>
      <c r="O29" s="46"/>
      <c r="P29" s="154">
        <f t="shared" si="51"/>
        <v>1.2287278124919246E-2</v>
      </c>
      <c r="Q29" s="154">
        <f t="shared" si="52"/>
        <v>6.5091671780905094E-2</v>
      </c>
      <c r="R29" s="154">
        <f t="shared" si="53"/>
        <v>0.16937630841607848</v>
      </c>
      <c r="S29" s="154">
        <f t="shared" si="54"/>
        <v>0.34942831167844196</v>
      </c>
      <c r="T29" s="154">
        <f t="shared" si="55"/>
        <v>0.49745612749080986</v>
      </c>
      <c r="U29" s="154">
        <f t="shared" si="56"/>
        <v>0.60617003361131794</v>
      </c>
      <c r="V29" s="154">
        <f t="shared" si="57"/>
        <v>0.76157953699225944</v>
      </c>
      <c r="W29" s="162">
        <f t="shared" si="58"/>
        <v>1</v>
      </c>
      <c r="X29" s="154"/>
      <c r="Y29" s="142">
        <f t="shared" si="59"/>
        <v>3.204771371769384E-2</v>
      </c>
      <c r="Z29" s="142">
        <f t="shared" si="60"/>
        <v>5.4353876739562636E-2</v>
      </c>
      <c r="AA29" s="142">
        <f t="shared" si="61"/>
        <v>6.6918489065606379E-2</v>
      </c>
      <c r="AB29" s="142">
        <f t="shared" si="62"/>
        <v>6.6759443339960242E-2</v>
      </c>
      <c r="AC29" s="142">
        <f t="shared" si="63"/>
        <v>2.9065606361829033E-2</v>
      </c>
      <c r="AD29" s="142">
        <f t="shared" si="64"/>
        <v>1.2112326043737583E-2</v>
      </c>
      <c r="AE29" s="142">
        <f t="shared" si="65"/>
        <v>6.1606361829025904E-3</v>
      </c>
      <c r="AF29" s="142">
        <f t="shared" si="66"/>
        <v>0</v>
      </c>
      <c r="AH29" s="158">
        <f t="shared" si="40"/>
        <v>3.9761431411530809E-2</v>
      </c>
      <c r="AI29" s="158">
        <f t="shared" si="41"/>
        <v>0.12823061630218685</v>
      </c>
      <c r="AJ29" s="158">
        <f t="shared" si="42"/>
        <v>0.26540755467196819</v>
      </c>
      <c r="AK29" s="158">
        <f t="shared" si="43"/>
        <v>0.46620278330019882</v>
      </c>
      <c r="AL29" s="158">
        <f t="shared" si="44"/>
        <v>0.60934393638170969</v>
      </c>
      <c r="AM29" s="158">
        <f t="shared" si="45"/>
        <v>0.70775347912524844</v>
      </c>
      <c r="AN29" s="158">
        <f t="shared" si="46"/>
        <v>0.83598409542743535</v>
      </c>
      <c r="AO29" s="158">
        <v>1</v>
      </c>
      <c r="AP29" s="143"/>
      <c r="AQ29" s="143">
        <f t="shared" si="5"/>
        <v>1.2287278124919246E-2</v>
      </c>
      <c r="AR29" s="143">
        <f t="shared" si="6"/>
        <v>5.2804393655985854E-2</v>
      </c>
      <c r="AS29" s="143">
        <f t="shared" si="7"/>
        <v>0.10428463663517337</v>
      </c>
      <c r="AT29" s="143">
        <f t="shared" si="8"/>
        <v>0.18005200326236348</v>
      </c>
      <c r="AU29" s="143">
        <f t="shared" si="9"/>
        <v>0.1480278158123679</v>
      </c>
      <c r="AV29" s="143">
        <f t="shared" si="10"/>
        <v>0.10871390612050806</v>
      </c>
      <c r="AW29" s="143">
        <f t="shared" si="11"/>
        <v>0.1554095033809415</v>
      </c>
      <c r="AX29" s="143">
        <f t="shared" si="12"/>
        <v>0.23842046300774061</v>
      </c>
      <c r="AY29" s="46"/>
      <c r="AZ29" s="152">
        <f>Shares!D70</f>
        <v>4</v>
      </c>
      <c r="BA29" s="152">
        <f>Shares!E70</f>
        <v>8.9</v>
      </c>
      <c r="BB29" s="152">
        <f>Shares!F70</f>
        <v>13.8</v>
      </c>
      <c r="BC29" s="152">
        <f>Shares!G70</f>
        <v>20.2</v>
      </c>
      <c r="BD29" s="152">
        <f>Shares!J70</f>
        <v>14.4</v>
      </c>
      <c r="BE29" s="152">
        <f>Shares!K70</f>
        <v>9.9</v>
      </c>
      <c r="BF29" s="152">
        <f>Shares!L70</f>
        <v>12.9</v>
      </c>
      <c r="BG29" s="152">
        <f>Shares!M70</f>
        <v>16.5</v>
      </c>
      <c r="BI29" s="146">
        <f>TxRt!B73</f>
        <v>7.2</v>
      </c>
      <c r="BJ29" s="146">
        <f>TxRt!B116</f>
        <v>13.7</v>
      </c>
      <c r="BK29" s="146">
        <f>TxRt!B156</f>
        <v>17.5</v>
      </c>
      <c r="BL29" s="146">
        <f>TxRt!B196</f>
        <v>20.7</v>
      </c>
      <c r="BM29" s="146">
        <f>TxRt!B276</f>
        <v>23.7</v>
      </c>
      <c r="BN29" s="146">
        <f>TxRt!B316</f>
        <v>25.5</v>
      </c>
      <c r="BO29" s="146">
        <f>TxRt!B356</f>
        <v>28</v>
      </c>
      <c r="BP29" s="146">
        <f>TxRt!B396</f>
        <v>32.6</v>
      </c>
      <c r="BQ29" s="46"/>
      <c r="BR29" s="60">
        <f>Inc!B70</f>
        <v>19500</v>
      </c>
      <c r="BS29" s="60">
        <f>Inc!B110</f>
        <v>43400</v>
      </c>
      <c r="BT29" s="60">
        <f>Inc!B150</f>
        <v>67100</v>
      </c>
      <c r="BU29" s="60">
        <f>Inc!B190</f>
        <v>97000</v>
      </c>
      <c r="BV29" s="60">
        <f>Inc!B270</f>
        <v>135400</v>
      </c>
      <c r="BW29" s="60">
        <f>Inc!B310</f>
        <v>179800</v>
      </c>
      <c r="BX29" s="60">
        <f>Inc!B350</f>
        <v>292600</v>
      </c>
      <c r="BY29" s="60">
        <f>Inc!B390</f>
        <v>1542200</v>
      </c>
      <c r="CA29" s="60">
        <f t="shared" si="13"/>
        <v>1404</v>
      </c>
      <c r="CB29" s="60">
        <f t="shared" si="14"/>
        <v>5945.8</v>
      </c>
      <c r="CC29" s="60">
        <f t="shared" si="15"/>
        <v>11742.5</v>
      </c>
      <c r="CD29" s="60">
        <f t="shared" si="16"/>
        <v>20079</v>
      </c>
      <c r="CE29" s="60">
        <f t="shared" si="17"/>
        <v>32089.8</v>
      </c>
      <c r="CF29" s="60">
        <f t="shared" si="18"/>
        <v>45849</v>
      </c>
      <c r="CG29" s="60">
        <f t="shared" si="19"/>
        <v>81928</v>
      </c>
      <c r="CH29" s="60">
        <f t="shared" si="20"/>
        <v>502757.2</v>
      </c>
      <c r="CJ29" s="153">
        <f t="shared" si="47"/>
        <v>28501.199999999997</v>
      </c>
      <c r="CK29" s="153">
        <f t="shared" si="21"/>
        <v>122483.48</v>
      </c>
      <c r="CL29" s="153">
        <f t="shared" si="22"/>
        <v>241895.49999999997</v>
      </c>
      <c r="CM29" s="153">
        <f t="shared" si="23"/>
        <v>417643.19999999995</v>
      </c>
      <c r="CN29" s="153">
        <f t="shared" si="24"/>
        <v>343360.86</v>
      </c>
      <c r="CO29" s="153">
        <f t="shared" si="25"/>
        <v>252169.5</v>
      </c>
      <c r="CP29" s="153">
        <f t="shared" si="26"/>
        <v>360483.2</v>
      </c>
      <c r="CQ29" s="153">
        <f t="shared" si="27"/>
        <v>553032.92000000004</v>
      </c>
      <c r="CR29" s="153">
        <f t="shared" si="48"/>
        <v>2319569.86</v>
      </c>
      <c r="CT29" s="39">
        <v>269.60000000000002</v>
      </c>
      <c r="CU29" s="276">
        <f>Dem!B70+(DD29/4)</f>
        <v>20.299999999999997</v>
      </c>
      <c r="CV29" s="276">
        <f>Dem!B110+(DD29/4)</f>
        <v>20.599999999999998</v>
      </c>
      <c r="CW29" s="276">
        <f>Dem!B150+(DD29/4)</f>
        <v>20.599999999999998</v>
      </c>
      <c r="CX29" s="276">
        <f>Dem!B190+(DD29/4)</f>
        <v>20.799999999999997</v>
      </c>
      <c r="CY29" s="276">
        <f>Dem!B270</f>
        <v>10.7</v>
      </c>
      <c r="CZ29" s="276">
        <f>Dem!B310</f>
        <v>5.5</v>
      </c>
      <c r="DA29" s="276">
        <f>Dem!B350</f>
        <v>4.4000000000000004</v>
      </c>
      <c r="DB29" s="276">
        <f>Dem!B390</f>
        <v>1.1000000000000001</v>
      </c>
      <c r="DC29" s="275">
        <v>104.8</v>
      </c>
      <c r="DD29" s="46">
        <v>-0.40000000000000568</v>
      </c>
      <c r="DE29" s="275"/>
      <c r="DF29" s="276">
        <f>Dem!$D70+(DO29/4)</f>
        <v>52.649999999999984</v>
      </c>
      <c r="DG29" s="276">
        <f>Dem!$D110+(DO29/4)</f>
        <v>53.649999999999984</v>
      </c>
      <c r="DH29" s="276">
        <f>Dem!$D150+(DO29/4)</f>
        <v>53.649999999999984</v>
      </c>
      <c r="DI29" s="276">
        <f>Dem!$D190+(DO29/4)</f>
        <v>53.649999999999984</v>
      </c>
      <c r="DJ29" s="275">
        <f>Dem!$D270</f>
        <v>27</v>
      </c>
      <c r="DK29" s="275">
        <f>Dem!$D310</f>
        <v>13.5</v>
      </c>
      <c r="DL29" s="275">
        <f>Dem!$D350</f>
        <v>10.8</v>
      </c>
      <c r="DM29" s="275">
        <f>Dem!$D390</f>
        <v>2.7</v>
      </c>
      <c r="DN29" s="276">
        <f t="shared" si="49"/>
        <v>269.60000000000002</v>
      </c>
      <c r="DO29" s="44">
        <v>-1.0000000000000568</v>
      </c>
    </row>
    <row r="30" spans="1:119">
      <c r="A30" s="46">
        <f t="shared" si="50"/>
        <v>2000</v>
      </c>
      <c r="B30" s="141">
        <f t="shared" si="28"/>
        <v>0.15872355153514295</v>
      </c>
      <c r="C30" s="46"/>
      <c r="D30" s="141">
        <f t="shared" si="29"/>
        <v>0.70429532091884095</v>
      </c>
      <c r="E30" s="141">
        <f t="shared" si="30"/>
        <v>0.545571769383698</v>
      </c>
      <c r="F30" s="46"/>
      <c r="G30" s="157">
        <f t="shared" si="31"/>
        <v>3.783235995981421E-2</v>
      </c>
      <c r="H30" s="157">
        <f t="shared" si="32"/>
        <v>6.7476020931604472E-2</v>
      </c>
      <c r="I30" s="157">
        <f t="shared" si="33"/>
        <v>8.7128885149719532E-2</v>
      </c>
      <c r="J30" s="157">
        <f t="shared" si="34"/>
        <v>9.1529630476534909E-2</v>
      </c>
      <c r="K30" s="157">
        <f t="shared" si="35"/>
        <v>4.1107840206396601E-2</v>
      </c>
      <c r="L30" s="157">
        <f t="shared" si="36"/>
        <v>1.7664803507043282E-2</v>
      </c>
      <c r="M30" s="157">
        <f t="shared" si="37"/>
        <v>9.4081202283074726E-3</v>
      </c>
      <c r="N30" s="157">
        <f t="shared" si="38"/>
        <v>0</v>
      </c>
      <c r="O30" s="46"/>
      <c r="P30" s="154">
        <f t="shared" si="51"/>
        <v>1.0838200200928965E-2</v>
      </c>
      <c r="Q30" s="154">
        <f t="shared" si="52"/>
        <v>6.2619895341977719E-2</v>
      </c>
      <c r="R30" s="154">
        <f t="shared" si="53"/>
        <v>0.16435557425140246</v>
      </c>
      <c r="S30" s="154">
        <f t="shared" si="54"/>
        <v>0.34235184761732551</v>
      </c>
      <c r="T30" s="154">
        <f t="shared" si="55"/>
        <v>0.48892159793603407</v>
      </c>
      <c r="U30" s="154">
        <f t="shared" si="56"/>
        <v>0.59670392985913445</v>
      </c>
      <c r="V30" s="154">
        <f t="shared" si="57"/>
        <v>0.75479699429231328</v>
      </c>
      <c r="W30" s="162">
        <f t="shared" si="58"/>
        <v>1</v>
      </c>
      <c r="X30" s="154"/>
      <c r="Y30" s="142">
        <f t="shared" si="59"/>
        <v>3.2445328031809155E-2</v>
      </c>
      <c r="Z30" s="142">
        <f t="shared" si="60"/>
        <v>5.4950298210735597E-2</v>
      </c>
      <c r="AA30" s="142">
        <f t="shared" si="61"/>
        <v>6.7912524850894648E-2</v>
      </c>
      <c r="AB30" s="142">
        <f t="shared" si="62"/>
        <v>6.8349900596421487E-2</v>
      </c>
      <c r="AC30" s="142">
        <f t="shared" si="63"/>
        <v>2.9960238568588482E-2</v>
      </c>
      <c r="AD30" s="142">
        <f t="shared" si="64"/>
        <v>1.2609343936381717E-2</v>
      </c>
      <c r="AE30" s="142">
        <f t="shared" si="65"/>
        <v>6.5582504970178989E-3</v>
      </c>
      <c r="AF30" s="142">
        <f t="shared" si="66"/>
        <v>0</v>
      </c>
      <c r="AH30" s="158">
        <f t="shared" si="40"/>
        <v>3.7773359840954271E-2</v>
      </c>
      <c r="AI30" s="158">
        <f t="shared" si="41"/>
        <v>0.12524850894632206</v>
      </c>
      <c r="AJ30" s="158">
        <f t="shared" si="42"/>
        <v>0.26043737574552683</v>
      </c>
      <c r="AK30" s="158">
        <f t="shared" si="43"/>
        <v>0.45825049701789261</v>
      </c>
      <c r="AL30" s="158">
        <f t="shared" si="44"/>
        <v>0.6003976143141152</v>
      </c>
      <c r="AM30" s="158">
        <f t="shared" si="45"/>
        <v>0.69781312127236572</v>
      </c>
      <c r="AN30" s="158">
        <f t="shared" si="46"/>
        <v>0.82604373757455263</v>
      </c>
      <c r="AO30" s="158">
        <v>1</v>
      </c>
      <c r="AP30" s="143"/>
      <c r="AQ30" s="143">
        <f t="shared" si="5"/>
        <v>1.0838200200928965E-2</v>
      </c>
      <c r="AR30" s="143">
        <f t="shared" si="6"/>
        <v>5.1781695141048759E-2</v>
      </c>
      <c r="AS30" s="143">
        <f t="shared" si="7"/>
        <v>0.10173567890942474</v>
      </c>
      <c r="AT30" s="143">
        <f t="shared" si="8"/>
        <v>0.17799627336592305</v>
      </c>
      <c r="AU30" s="143">
        <f t="shared" si="9"/>
        <v>0.14656975031870859</v>
      </c>
      <c r="AV30" s="143">
        <f t="shared" si="10"/>
        <v>0.10778233192310038</v>
      </c>
      <c r="AW30" s="143">
        <f t="shared" si="11"/>
        <v>0.1580930644331788</v>
      </c>
      <c r="AX30" s="143">
        <f t="shared" si="12"/>
        <v>0.2452030057076868</v>
      </c>
      <c r="AY30" s="46"/>
      <c r="AZ30" s="152">
        <f>Shares!D71</f>
        <v>3.8</v>
      </c>
      <c r="BA30" s="152">
        <f>Shares!E71</f>
        <v>8.8000000000000007</v>
      </c>
      <c r="BB30" s="152">
        <f>Shares!F71</f>
        <v>13.6</v>
      </c>
      <c r="BC30" s="152">
        <f>Shares!G71</f>
        <v>19.899999999999999</v>
      </c>
      <c r="BD30" s="152">
        <f>Shares!J71</f>
        <v>14.3</v>
      </c>
      <c r="BE30" s="152">
        <f>Shares!K71</f>
        <v>9.8000000000000007</v>
      </c>
      <c r="BF30" s="152">
        <f>Shares!L71</f>
        <v>12.9</v>
      </c>
      <c r="BG30" s="152">
        <f>Shares!M71</f>
        <v>17.5</v>
      </c>
      <c r="BI30" s="146">
        <f>TxRt!B74</f>
        <v>6.6</v>
      </c>
      <c r="BJ30" s="146">
        <f>TxRt!B117</f>
        <v>13.6</v>
      </c>
      <c r="BK30" s="146">
        <f>TxRt!B157</f>
        <v>17.3</v>
      </c>
      <c r="BL30" s="146">
        <f>TxRt!B197</f>
        <v>20.7</v>
      </c>
      <c r="BM30" s="146">
        <f>TxRt!B277</f>
        <v>23.7</v>
      </c>
      <c r="BN30" s="146">
        <f>TxRt!B317</f>
        <v>25.5</v>
      </c>
      <c r="BO30" s="146">
        <f>TxRt!B357</f>
        <v>28</v>
      </c>
      <c r="BP30" s="146">
        <f>TxRt!B397</f>
        <v>32.299999999999997</v>
      </c>
      <c r="BQ30" s="46"/>
      <c r="BR30" s="60">
        <f>Inc!B71</f>
        <v>19300</v>
      </c>
      <c r="BS30" s="60">
        <f>Inc!B111</f>
        <v>43500</v>
      </c>
      <c r="BT30" s="60">
        <f>Inc!B151</f>
        <v>67500</v>
      </c>
      <c r="BU30" s="60">
        <f>Inc!B191</f>
        <v>98700</v>
      </c>
      <c r="BV30" s="60">
        <f>Inc!B271</f>
        <v>138100</v>
      </c>
      <c r="BW30" s="60">
        <f>Inc!B311</f>
        <v>185400</v>
      </c>
      <c r="BX30" s="60">
        <f>Inc!B351</f>
        <v>301500</v>
      </c>
      <c r="BY30" s="60">
        <f>Inc!B391</f>
        <v>1695200</v>
      </c>
      <c r="CA30" s="60">
        <f t="shared" si="13"/>
        <v>1273.8</v>
      </c>
      <c r="CB30" s="60">
        <f t="shared" si="14"/>
        <v>5916</v>
      </c>
      <c r="CC30" s="60">
        <f t="shared" si="15"/>
        <v>11677.5</v>
      </c>
      <c r="CD30" s="60">
        <f t="shared" si="16"/>
        <v>20430.900000000001</v>
      </c>
      <c r="CE30" s="60">
        <f t="shared" si="17"/>
        <v>32729.7</v>
      </c>
      <c r="CF30" s="60">
        <f t="shared" si="18"/>
        <v>47277</v>
      </c>
      <c r="CG30" s="60">
        <f t="shared" si="19"/>
        <v>84420</v>
      </c>
      <c r="CH30" s="60">
        <f t="shared" si="20"/>
        <v>547549.6</v>
      </c>
      <c r="CJ30" s="153">
        <f t="shared" si="47"/>
        <v>26622.419999999991</v>
      </c>
      <c r="CK30" s="153">
        <f t="shared" si="21"/>
        <v>127193.99999999999</v>
      </c>
      <c r="CL30" s="153">
        <f t="shared" si="22"/>
        <v>249898.49999999994</v>
      </c>
      <c r="CM30" s="153">
        <f t="shared" si="23"/>
        <v>437221.25999999995</v>
      </c>
      <c r="CN30" s="153">
        <f t="shared" si="24"/>
        <v>360026.7</v>
      </c>
      <c r="CO30" s="153">
        <f t="shared" si="25"/>
        <v>264751.2</v>
      </c>
      <c r="CP30" s="153">
        <f t="shared" si="26"/>
        <v>388331.99999999994</v>
      </c>
      <c r="CQ30" s="153">
        <f t="shared" si="27"/>
        <v>602304.56000000006</v>
      </c>
      <c r="CR30" s="153">
        <f t="shared" si="48"/>
        <v>2456350.6399999997</v>
      </c>
      <c r="CT30" s="39">
        <v>276.5</v>
      </c>
      <c r="CU30" s="276">
        <f>Dem!B71+(DD30/4)</f>
        <v>20.899999999999995</v>
      </c>
      <c r="CV30" s="276">
        <f>Dem!B111+(DD30/4)</f>
        <v>21.499999999999996</v>
      </c>
      <c r="CW30" s="276">
        <f>Dem!B151+(DD30/4)</f>
        <v>21.399999999999995</v>
      </c>
      <c r="CX30" s="276">
        <f>Dem!B191+(DD30/4)</f>
        <v>21.399999999999995</v>
      </c>
      <c r="CY30" s="276">
        <f>Dem!B271</f>
        <v>11</v>
      </c>
      <c r="CZ30" s="276">
        <f>Dem!B311</f>
        <v>5.6</v>
      </c>
      <c r="DA30" s="276">
        <f>Dem!B351</f>
        <v>4.5999999999999996</v>
      </c>
      <c r="DB30" s="276">
        <f>Dem!B391</f>
        <v>1.1000000000000001</v>
      </c>
      <c r="DC30" s="275">
        <v>108.3</v>
      </c>
      <c r="DD30" s="46">
        <v>-0.4000000000000199</v>
      </c>
      <c r="DE30" s="275"/>
      <c r="DF30" s="276">
        <f>Dem!$D71+(DO30/4)</f>
        <v>54.20000000000001</v>
      </c>
      <c r="DG30" s="276">
        <f>Dem!$D111+(DO30/4)</f>
        <v>55.100000000000009</v>
      </c>
      <c r="DH30" s="276">
        <f>Dem!$D151+(DO30/4)</f>
        <v>55.100000000000009</v>
      </c>
      <c r="DI30" s="276">
        <f>Dem!$D191+(DO30/4)</f>
        <v>55.100000000000009</v>
      </c>
      <c r="DJ30" s="275">
        <f>Dem!$D271</f>
        <v>27.7</v>
      </c>
      <c r="DK30" s="275">
        <f>Dem!$D311</f>
        <v>13.8</v>
      </c>
      <c r="DL30" s="275">
        <f>Dem!$D351</f>
        <v>11.1</v>
      </c>
      <c r="DM30" s="275">
        <f>Dem!$D391</f>
        <v>2.8</v>
      </c>
      <c r="DN30" s="276">
        <f t="shared" si="49"/>
        <v>276.5</v>
      </c>
      <c r="DO30" s="44">
        <v>-0.79999999999995453</v>
      </c>
    </row>
    <row r="31" spans="1:119">
      <c r="A31" s="46">
        <f t="shared" si="50"/>
        <v>2001</v>
      </c>
      <c r="B31" s="141">
        <f t="shared" si="28"/>
        <v>0.17420702507603447</v>
      </c>
      <c r="C31" s="46"/>
      <c r="D31" s="141">
        <f t="shared" si="29"/>
        <v>0.69252233322712808</v>
      </c>
      <c r="E31" s="141">
        <f t="shared" si="30"/>
        <v>0.51831530815109361</v>
      </c>
      <c r="F31" s="46"/>
      <c r="G31" s="157">
        <f t="shared" si="31"/>
        <v>3.7780092409775777E-2</v>
      </c>
      <c r="H31" s="157">
        <f t="shared" si="32"/>
        <v>6.7845843137529963E-2</v>
      </c>
      <c r="I31" s="157">
        <f t="shared" si="33"/>
        <v>8.7060612780412716E-2</v>
      </c>
      <c r="J31" s="157">
        <f t="shared" si="34"/>
        <v>8.9645196307954131E-2</v>
      </c>
      <c r="K31" s="157">
        <f t="shared" si="35"/>
        <v>3.9253043826762063E-2</v>
      </c>
      <c r="L31" s="157">
        <f t="shared" si="36"/>
        <v>1.6374595779399214E-2</v>
      </c>
      <c r="M31" s="157">
        <f t="shared" si="37"/>
        <v>8.3017823717301559E-3</v>
      </c>
      <c r="N31" s="157">
        <f t="shared" si="38"/>
        <v>0</v>
      </c>
      <c r="O31" s="46"/>
      <c r="P31" s="154">
        <f t="shared" si="51"/>
        <v>1.1099537951121154E-2</v>
      </c>
      <c r="Q31" s="154">
        <f t="shared" si="52"/>
        <v>6.0770784312350216E-2</v>
      </c>
      <c r="R31" s="154">
        <f t="shared" si="53"/>
        <v>0.16469693609793656</v>
      </c>
      <c r="S31" s="154">
        <f t="shared" si="54"/>
        <v>0.35177401846022943</v>
      </c>
      <c r="T31" s="154">
        <f t="shared" si="55"/>
        <v>0.50746956173237945</v>
      </c>
      <c r="U31" s="154">
        <f t="shared" si="56"/>
        <v>0.62250808441201577</v>
      </c>
      <c r="V31" s="154">
        <f t="shared" si="57"/>
        <v>0.78245544070674622</v>
      </c>
      <c r="W31" s="162">
        <f t="shared" si="58"/>
        <v>1</v>
      </c>
      <c r="X31" s="154"/>
      <c r="Y31" s="142">
        <f t="shared" si="59"/>
        <v>3.2246520874751494E-2</v>
      </c>
      <c r="Z31" s="142">
        <f t="shared" si="60"/>
        <v>5.3956262425447321E-2</v>
      </c>
      <c r="AA31" s="142">
        <f t="shared" si="61"/>
        <v>6.5526838966202802E-2</v>
      </c>
      <c r="AB31" s="142">
        <f t="shared" si="62"/>
        <v>6.3777335984095435E-2</v>
      </c>
      <c r="AC31" s="142">
        <f t="shared" si="63"/>
        <v>2.7176938369781314E-2</v>
      </c>
      <c r="AD31" s="142">
        <f t="shared" si="64"/>
        <v>1.1068588469184893E-2</v>
      </c>
      <c r="AE31" s="142">
        <f t="shared" si="65"/>
        <v>5.4051689860835014E-3</v>
      </c>
      <c r="AF31" s="142">
        <f t="shared" si="66"/>
        <v>0</v>
      </c>
      <c r="AH31" s="158">
        <f t="shared" si="40"/>
        <v>3.8767395626242547E-2</v>
      </c>
      <c r="AI31" s="158">
        <f t="shared" si="41"/>
        <v>0.13021868787276342</v>
      </c>
      <c r="AJ31" s="158">
        <f t="shared" si="42"/>
        <v>0.27236580516898612</v>
      </c>
      <c r="AK31" s="158">
        <f t="shared" si="43"/>
        <v>0.4811133200795229</v>
      </c>
      <c r="AL31" s="158">
        <f t="shared" si="44"/>
        <v>0.62823061630218691</v>
      </c>
      <c r="AM31" s="158">
        <f t="shared" si="45"/>
        <v>0.72862823061630222</v>
      </c>
      <c r="AN31" s="158">
        <f t="shared" si="46"/>
        <v>0.85487077534791256</v>
      </c>
      <c r="AO31" s="158">
        <v>1</v>
      </c>
      <c r="AP31" s="143"/>
      <c r="AQ31" s="143">
        <f t="shared" si="5"/>
        <v>1.1099537951121154E-2</v>
      </c>
      <c r="AR31" s="143">
        <f t="shared" si="6"/>
        <v>4.9671246361229063E-2</v>
      </c>
      <c r="AS31" s="143">
        <f t="shared" si="7"/>
        <v>0.10392615178558634</v>
      </c>
      <c r="AT31" s="143">
        <f t="shared" si="8"/>
        <v>0.18707708236229287</v>
      </c>
      <c r="AU31" s="143">
        <f t="shared" si="9"/>
        <v>0.15569554327215002</v>
      </c>
      <c r="AV31" s="143">
        <f t="shared" si="10"/>
        <v>0.11503852267963637</v>
      </c>
      <c r="AW31" s="143">
        <f t="shared" si="11"/>
        <v>0.15994735629473045</v>
      </c>
      <c r="AX31" s="143">
        <f t="shared" si="12"/>
        <v>0.21754455929325386</v>
      </c>
      <c r="AY31" s="46"/>
      <c r="AZ31" s="152">
        <f>Shares!D72</f>
        <v>3.9</v>
      </c>
      <c r="BA31" s="152">
        <f>Shares!E72</f>
        <v>9.1999999999999993</v>
      </c>
      <c r="BB31" s="152">
        <f>Shares!F72</f>
        <v>14.3</v>
      </c>
      <c r="BC31" s="152">
        <f>Shares!G72</f>
        <v>21</v>
      </c>
      <c r="BD31" s="152">
        <f>Shares!J72</f>
        <v>14.8</v>
      </c>
      <c r="BE31" s="152">
        <f>Shares!K72</f>
        <v>10.1</v>
      </c>
      <c r="BF31" s="152">
        <f>Shares!L72</f>
        <v>12.7</v>
      </c>
      <c r="BG31" s="152">
        <f>Shares!M72</f>
        <v>14.6</v>
      </c>
      <c r="BI31" s="146">
        <f>TxRt!B75</f>
        <v>6.1</v>
      </c>
      <c r="BJ31" s="146">
        <f>TxRt!B118</f>
        <v>11.7</v>
      </c>
      <c r="BK31" s="146">
        <f>TxRt!B158</f>
        <v>15.7</v>
      </c>
      <c r="BL31" s="146">
        <f>TxRt!B198</f>
        <v>19.3</v>
      </c>
      <c r="BM31" s="146">
        <f>TxRt!B278</f>
        <v>22.5</v>
      </c>
      <c r="BN31" s="146">
        <f>TxRt!B318</f>
        <v>24.6</v>
      </c>
      <c r="BO31" s="146">
        <f>TxRt!B358</f>
        <v>26.8</v>
      </c>
      <c r="BP31" s="146">
        <f>TxRt!B398</f>
        <v>32</v>
      </c>
      <c r="BQ31" s="46"/>
      <c r="BR31" s="60">
        <f>Inc!B72</f>
        <v>19000</v>
      </c>
      <c r="BS31" s="60">
        <f>Inc!B112</f>
        <v>42900</v>
      </c>
      <c r="BT31" s="60">
        <f>Inc!B152</f>
        <v>67200</v>
      </c>
      <c r="BU31" s="60">
        <f>Inc!B192</f>
        <v>97500</v>
      </c>
      <c r="BV31" s="60">
        <f>Inc!B272</f>
        <v>136700</v>
      </c>
      <c r="BW31" s="60">
        <f>Inc!B312</f>
        <v>179900</v>
      </c>
      <c r="BX31" s="60">
        <f>Inc!B352</f>
        <v>284500</v>
      </c>
      <c r="BY31" s="60">
        <f>Inc!B392</f>
        <v>1355200</v>
      </c>
      <c r="CA31" s="60">
        <f t="shared" si="13"/>
        <v>1159</v>
      </c>
      <c r="CB31" s="60">
        <f t="shared" si="14"/>
        <v>5019.2999999999993</v>
      </c>
      <c r="CC31" s="60">
        <f t="shared" si="15"/>
        <v>10550.4</v>
      </c>
      <c r="CD31" s="60">
        <f t="shared" si="16"/>
        <v>18817.5</v>
      </c>
      <c r="CE31" s="60">
        <f t="shared" si="17"/>
        <v>30757.5</v>
      </c>
      <c r="CF31" s="60">
        <f t="shared" si="18"/>
        <v>44255.4</v>
      </c>
      <c r="CG31" s="60">
        <f t="shared" si="19"/>
        <v>76246</v>
      </c>
      <c r="CH31" s="60">
        <f t="shared" si="20"/>
        <v>433664</v>
      </c>
      <c r="CJ31" s="153">
        <f t="shared" si="47"/>
        <v>24338.999999999996</v>
      </c>
      <c r="CK31" s="153">
        <f t="shared" si="21"/>
        <v>108918.80999999997</v>
      </c>
      <c r="CL31" s="153">
        <f t="shared" si="22"/>
        <v>227888.63999999993</v>
      </c>
      <c r="CM31" s="153">
        <f t="shared" si="23"/>
        <v>410221.49999999988</v>
      </c>
      <c r="CN31" s="153">
        <f t="shared" si="24"/>
        <v>341408.25</v>
      </c>
      <c r="CO31" s="153">
        <f t="shared" si="25"/>
        <v>252255.78000000003</v>
      </c>
      <c r="CP31" s="153">
        <f t="shared" si="26"/>
        <v>350731.6</v>
      </c>
      <c r="CQ31" s="153">
        <f t="shared" si="27"/>
        <v>477030.40000000002</v>
      </c>
      <c r="CR31" s="153">
        <f t="shared" si="48"/>
        <v>2192793.9799999995</v>
      </c>
      <c r="CT31" s="39">
        <v>277.8</v>
      </c>
      <c r="CU31" s="276">
        <f>Dem!B72+(DD31/4)</f>
        <v>20.999999999999996</v>
      </c>
      <c r="CV31" s="276">
        <f>Dem!B112+(DD31/4)</f>
        <v>21.699999999999996</v>
      </c>
      <c r="CW31" s="276">
        <f>Dem!B152+(DD31/4)</f>
        <v>21.599999999999994</v>
      </c>
      <c r="CX31" s="276">
        <f>Dem!B192+(DD31/4)</f>
        <v>21.799999999999994</v>
      </c>
      <c r="CY31" s="276">
        <f>Dem!B272</f>
        <v>11.1</v>
      </c>
      <c r="CZ31" s="276">
        <f>Dem!B312</f>
        <v>5.7</v>
      </c>
      <c r="DA31" s="276">
        <f>Dem!B352</f>
        <v>4.5999999999999996</v>
      </c>
      <c r="DB31" s="276">
        <f>Dem!B392</f>
        <v>1.1000000000000001</v>
      </c>
      <c r="DC31" s="275">
        <v>109.4</v>
      </c>
      <c r="DD31" s="46">
        <v>-0.4000000000000199</v>
      </c>
      <c r="DE31" s="275"/>
      <c r="DF31" s="276">
        <f>Dem!$D72+(DO31/4)</f>
        <v>54.275000000000006</v>
      </c>
      <c r="DG31" s="276">
        <f>Dem!$D112+(DO31/4)</f>
        <v>55.375000000000007</v>
      </c>
      <c r="DH31" s="276">
        <f>Dem!$D152+(DO31/4)</f>
        <v>55.375000000000007</v>
      </c>
      <c r="DI31" s="276">
        <f>Dem!$D192+(DO31/4)</f>
        <v>55.375000000000007</v>
      </c>
      <c r="DJ31" s="275">
        <f>Dem!$D272</f>
        <v>27.8</v>
      </c>
      <c r="DK31" s="275">
        <f>Dem!$D312</f>
        <v>13.9</v>
      </c>
      <c r="DL31" s="275">
        <f>Dem!$D352</f>
        <v>11.1</v>
      </c>
      <c r="DM31" s="275">
        <f>Dem!$D392</f>
        <v>2.8</v>
      </c>
      <c r="DN31" s="276">
        <f t="shared" si="49"/>
        <v>277.8</v>
      </c>
      <c r="DO31" s="44">
        <v>-0.89999999999997726</v>
      </c>
    </row>
    <row r="32" spans="1:119">
      <c r="A32" s="46">
        <f t="shared" si="50"/>
        <v>2002</v>
      </c>
      <c r="B32" s="141">
        <f t="shared" si="28"/>
        <v>0.17972427794353285</v>
      </c>
      <c r="C32" s="46"/>
      <c r="D32" s="141">
        <f t="shared" si="29"/>
        <v>0.68633738618583684</v>
      </c>
      <c r="E32" s="141">
        <f t="shared" si="30"/>
        <v>0.50661310824230399</v>
      </c>
      <c r="F32" s="46"/>
      <c r="G32" s="157">
        <f t="shared" si="31"/>
        <v>3.7837402634972574E-2</v>
      </c>
      <c r="H32" s="157">
        <f t="shared" si="32"/>
        <v>6.785658969996225E-2</v>
      </c>
      <c r="I32" s="157">
        <f t="shared" si="33"/>
        <v>8.6675086045957639E-2</v>
      </c>
      <c r="J32" s="157">
        <f t="shared" si="34"/>
        <v>8.8720413159093098E-2</v>
      </c>
      <c r="K32" s="157">
        <f t="shared" si="35"/>
        <v>3.8424797717464244E-2</v>
      </c>
      <c r="L32" s="157">
        <f t="shared" si="36"/>
        <v>1.5869009054920787E-2</v>
      </c>
      <c r="M32" s="157">
        <f t="shared" si="37"/>
        <v>7.7853947805478323E-3</v>
      </c>
      <c r="N32" s="157">
        <f t="shared" si="38"/>
        <v>0</v>
      </c>
      <c r="O32" s="46"/>
      <c r="P32" s="154">
        <f t="shared" si="51"/>
        <v>1.0812986825137148E-2</v>
      </c>
      <c r="Q32" s="154">
        <f t="shared" si="52"/>
        <v>6.0717051500188822E-2</v>
      </c>
      <c r="R32" s="154">
        <f t="shared" si="53"/>
        <v>0.16662456977021195</v>
      </c>
      <c r="S32" s="154">
        <f t="shared" si="54"/>
        <v>0.35639793420453458</v>
      </c>
      <c r="T32" s="154">
        <f t="shared" si="55"/>
        <v>0.51575202282535759</v>
      </c>
      <c r="U32" s="154">
        <f t="shared" si="56"/>
        <v>0.63261981890158436</v>
      </c>
      <c r="V32" s="154">
        <f t="shared" si="57"/>
        <v>0.79536513048630431</v>
      </c>
      <c r="W32" s="162">
        <f t="shared" si="58"/>
        <v>1</v>
      </c>
      <c r="X32" s="154"/>
      <c r="Y32" s="142">
        <f t="shared" si="59"/>
        <v>3.2055610724925521E-2</v>
      </c>
      <c r="Z32" s="142">
        <f t="shared" si="60"/>
        <v>5.3386295928500506E-2</v>
      </c>
      <c r="AA32" s="142">
        <f t="shared" si="61"/>
        <v>6.4389275074478669E-2</v>
      </c>
      <c r="AB32" s="142">
        <f t="shared" si="62"/>
        <v>6.2085402184707067E-2</v>
      </c>
      <c r="AC32" s="142">
        <f t="shared" si="63"/>
        <v>2.6047666335650446E-2</v>
      </c>
      <c r="AD32" s="142">
        <f t="shared" si="64"/>
        <v>1.0459285004965242E-2</v>
      </c>
      <c r="AE32" s="142">
        <f t="shared" si="65"/>
        <v>4.8830188679245268E-3</v>
      </c>
      <c r="AF32" s="142">
        <f t="shared" si="66"/>
        <v>0</v>
      </c>
      <c r="AH32" s="158">
        <f t="shared" si="40"/>
        <v>3.9721946375372401E-2</v>
      </c>
      <c r="AI32" s="158">
        <f t="shared" si="41"/>
        <v>0.13306852035749753</v>
      </c>
      <c r="AJ32" s="158">
        <f t="shared" si="42"/>
        <v>0.27805362462760674</v>
      </c>
      <c r="AK32" s="158">
        <f t="shared" si="43"/>
        <v>0.48957298907646474</v>
      </c>
      <c r="AL32" s="158">
        <f t="shared" si="44"/>
        <v>0.63952333664349559</v>
      </c>
      <c r="AM32" s="158">
        <f t="shared" si="45"/>
        <v>0.74081429990069525</v>
      </c>
      <c r="AN32" s="158">
        <f t="shared" si="46"/>
        <v>0.86792452830188693</v>
      </c>
      <c r="AO32" s="158">
        <v>1</v>
      </c>
      <c r="AP32" s="143"/>
      <c r="AQ32" s="143">
        <f t="shared" si="5"/>
        <v>1.0812986825137148E-2</v>
      </c>
      <c r="AR32" s="143">
        <f t="shared" si="6"/>
        <v>4.9904064675051672E-2</v>
      </c>
      <c r="AS32" s="143">
        <f t="shared" si="7"/>
        <v>0.10590751827002312</v>
      </c>
      <c r="AT32" s="143">
        <f t="shared" si="8"/>
        <v>0.18977336443432263</v>
      </c>
      <c r="AU32" s="143">
        <f t="shared" si="9"/>
        <v>0.15935408862082306</v>
      </c>
      <c r="AV32" s="143">
        <f t="shared" si="10"/>
        <v>0.11686779607622673</v>
      </c>
      <c r="AW32" s="143">
        <f t="shared" si="11"/>
        <v>0.16274531158471997</v>
      </c>
      <c r="AX32" s="143">
        <f t="shared" si="12"/>
        <v>0.20463486951369564</v>
      </c>
      <c r="AY32" s="46"/>
      <c r="AZ32" s="152">
        <f>Shares!D73</f>
        <v>4</v>
      </c>
      <c r="BA32" s="152">
        <f>Shares!E73</f>
        <v>9.4</v>
      </c>
      <c r="BB32" s="152">
        <f>Shares!F73</f>
        <v>14.6</v>
      </c>
      <c r="BC32" s="152">
        <f>Shares!G73</f>
        <v>21.3</v>
      </c>
      <c r="BD32" s="152">
        <f>Shares!J73</f>
        <v>15.1</v>
      </c>
      <c r="BE32" s="152">
        <f>Shares!K73</f>
        <v>10.199999999999999</v>
      </c>
      <c r="BF32" s="152">
        <f>Shares!L73</f>
        <v>12.8</v>
      </c>
      <c r="BG32" s="152">
        <f>Shares!M73</f>
        <v>13.3</v>
      </c>
      <c r="BI32" s="146">
        <f>TxRt!B76</f>
        <v>5.6</v>
      </c>
      <c r="BJ32" s="146">
        <f>TxRt!B119</f>
        <v>11</v>
      </c>
      <c r="BK32" s="146">
        <f>TxRt!B159</f>
        <v>15.1</v>
      </c>
      <c r="BL32" s="146">
        <f>TxRt!B199</f>
        <v>18.5</v>
      </c>
      <c r="BM32" s="146">
        <f>TxRt!B279</f>
        <v>21.8</v>
      </c>
      <c r="BN32" s="146">
        <f>TxRt!B319</f>
        <v>23.8</v>
      </c>
      <c r="BO32" s="146">
        <f>TxRt!B359</f>
        <v>26.1</v>
      </c>
      <c r="BP32" s="146">
        <f>TxRt!B399</f>
        <v>31.9</v>
      </c>
      <c r="BQ32" s="46"/>
      <c r="BR32" s="60">
        <f>Inc!B73</f>
        <v>18800</v>
      </c>
      <c r="BS32" s="60">
        <f>Inc!B113</f>
        <v>41800</v>
      </c>
      <c r="BT32" s="60">
        <f>Inc!B153</f>
        <v>65800</v>
      </c>
      <c r="BU32" s="60">
        <f>Inc!B193</f>
        <v>95800</v>
      </c>
      <c r="BV32" s="60">
        <f>Inc!B273</f>
        <v>134400</v>
      </c>
      <c r="BW32" s="60">
        <f>Inc!B313</f>
        <v>177400</v>
      </c>
      <c r="BX32" s="60">
        <f>Inc!B353</f>
        <v>273200</v>
      </c>
      <c r="BY32" s="60">
        <f>Inc!B393</f>
        <v>1200900</v>
      </c>
      <c r="CA32" s="60">
        <f t="shared" si="13"/>
        <v>1052.8</v>
      </c>
      <c r="CB32" s="60">
        <f t="shared" si="14"/>
        <v>4598</v>
      </c>
      <c r="CC32" s="60">
        <f t="shared" si="15"/>
        <v>9935.7999999999993</v>
      </c>
      <c r="CD32" s="60">
        <f t="shared" si="16"/>
        <v>17723</v>
      </c>
      <c r="CE32" s="60">
        <f t="shared" si="17"/>
        <v>29299.200000000001</v>
      </c>
      <c r="CF32" s="60">
        <f t="shared" si="18"/>
        <v>42221.2</v>
      </c>
      <c r="CG32" s="60">
        <f t="shared" si="19"/>
        <v>71305.2</v>
      </c>
      <c r="CH32" s="60">
        <f t="shared" si="20"/>
        <v>383087.1</v>
      </c>
      <c r="CJ32" s="153">
        <f t="shared" si="47"/>
        <v>22266.720000000001</v>
      </c>
      <c r="CK32" s="153">
        <f t="shared" si="21"/>
        <v>102765.3</v>
      </c>
      <c r="CL32" s="153">
        <f t="shared" si="22"/>
        <v>218090.81000000003</v>
      </c>
      <c r="CM32" s="153">
        <f t="shared" si="23"/>
        <v>390792.15</v>
      </c>
      <c r="CN32" s="153">
        <f t="shared" si="24"/>
        <v>328151.03999999998</v>
      </c>
      <c r="CO32" s="153">
        <f t="shared" si="25"/>
        <v>240660.84</v>
      </c>
      <c r="CP32" s="153">
        <f t="shared" si="26"/>
        <v>335134.44</v>
      </c>
      <c r="CQ32" s="153">
        <f t="shared" si="27"/>
        <v>421395.81</v>
      </c>
      <c r="CR32" s="153">
        <f t="shared" si="48"/>
        <v>2059257.11</v>
      </c>
      <c r="CT32" s="39">
        <v>282.10000000000002</v>
      </c>
      <c r="CU32" s="276">
        <f>Dem!B73+(DD32/4)</f>
        <v>21.150000000000002</v>
      </c>
      <c r="CV32" s="276">
        <f>Dem!B113+(DD32/4)</f>
        <v>22.35</v>
      </c>
      <c r="CW32" s="276">
        <f>Dem!B153+(DD32/4)</f>
        <v>21.950000000000003</v>
      </c>
      <c r="CX32" s="276">
        <f>Dem!B193+(DD32/4)</f>
        <v>22.05</v>
      </c>
      <c r="CY32" s="276">
        <f>Dem!B273</f>
        <v>11.2</v>
      </c>
      <c r="CZ32" s="276">
        <f>Dem!B313</f>
        <v>5.7</v>
      </c>
      <c r="DA32" s="276">
        <f>Dem!B353</f>
        <v>4.7</v>
      </c>
      <c r="DB32" s="276">
        <f>Dem!B393</f>
        <v>1.1000000000000001</v>
      </c>
      <c r="DC32" s="275">
        <v>111.4</v>
      </c>
      <c r="DD32" s="46">
        <v>-0.59999999999999432</v>
      </c>
      <c r="DE32" s="275"/>
      <c r="DF32" s="276">
        <f>Dem!$D73+(DO32/4)</f>
        <v>54.625</v>
      </c>
      <c r="DG32" s="276">
        <f>Dem!$D113+(DO32/4)</f>
        <v>56.024999999999999</v>
      </c>
      <c r="DH32" s="276">
        <f>Dem!$D153+(DO32/4)</f>
        <v>56.024999999999999</v>
      </c>
      <c r="DI32" s="276">
        <f>Dem!$D193+(DO32/4)</f>
        <v>56.024999999999999</v>
      </c>
      <c r="DJ32" s="275">
        <f>Dem!$D273</f>
        <v>28.2</v>
      </c>
      <c r="DK32" s="275">
        <f>Dem!$D313</f>
        <v>14.1</v>
      </c>
      <c r="DL32" s="275">
        <f>Dem!$D353</f>
        <v>11.3</v>
      </c>
      <c r="DM32" s="275">
        <f>Dem!$D393</f>
        <v>2.8</v>
      </c>
      <c r="DN32" s="276">
        <f t="shared" si="49"/>
        <v>282.10000000000002</v>
      </c>
      <c r="DO32" s="44">
        <v>-1.5</v>
      </c>
    </row>
    <row r="33" spans="1:119">
      <c r="A33" s="46">
        <f t="shared" si="50"/>
        <v>2003</v>
      </c>
      <c r="B33" s="141">
        <f t="shared" si="28"/>
        <v>0.17688475127043002</v>
      </c>
      <c r="C33" s="46"/>
      <c r="D33" s="141">
        <f t="shared" si="29"/>
        <v>0.69312840206408077</v>
      </c>
      <c r="E33" s="141">
        <f t="shared" si="30"/>
        <v>0.51624365079365075</v>
      </c>
      <c r="F33" s="46"/>
      <c r="G33" s="157">
        <f t="shared" si="31"/>
        <v>3.7762517350465374E-2</v>
      </c>
      <c r="H33" s="157">
        <f t="shared" si="32"/>
        <v>6.8350646060512749E-2</v>
      </c>
      <c r="I33" s="157">
        <f t="shared" si="33"/>
        <v>8.7576360908421302E-2</v>
      </c>
      <c r="J33" s="157">
        <f t="shared" si="34"/>
        <v>8.9701860467018557E-2</v>
      </c>
      <c r="K33" s="157">
        <f t="shared" si="35"/>
        <v>3.8950290144927735E-2</v>
      </c>
      <c r="L33" s="157">
        <f t="shared" si="36"/>
        <v>1.6163136245441297E-2</v>
      </c>
      <c r="M33" s="157">
        <f t="shared" si="37"/>
        <v>8.059389855253337E-3</v>
      </c>
      <c r="N33" s="157">
        <f t="shared" si="38"/>
        <v>0</v>
      </c>
      <c r="O33" s="46"/>
      <c r="P33" s="154">
        <f t="shared" si="51"/>
        <v>1.1187413247673179E-2</v>
      </c>
      <c r="Q33" s="154">
        <f t="shared" si="52"/>
        <v>5.8246769697436307E-2</v>
      </c>
      <c r="R33" s="154">
        <f t="shared" si="53"/>
        <v>0.16211819545789363</v>
      </c>
      <c r="S33" s="154">
        <f t="shared" si="54"/>
        <v>0.35149069766490731</v>
      </c>
      <c r="T33" s="154">
        <f t="shared" si="55"/>
        <v>0.51049709855072267</v>
      </c>
      <c r="U33" s="154">
        <f t="shared" si="56"/>
        <v>0.62673727509117416</v>
      </c>
      <c r="V33" s="154">
        <f t="shared" si="57"/>
        <v>0.7885152536186667</v>
      </c>
      <c r="W33" s="162">
        <f t="shared" si="58"/>
        <v>1</v>
      </c>
      <c r="X33" s="154"/>
      <c r="Y33" s="142">
        <f t="shared" si="59"/>
        <v>3.2261904761904762E-2</v>
      </c>
      <c r="Z33" s="142">
        <f t="shared" si="60"/>
        <v>5.4007936507936519E-2</v>
      </c>
      <c r="AA33" s="142">
        <f t="shared" si="61"/>
        <v>6.5436507936507946E-2</v>
      </c>
      <c r="AB33" s="142">
        <f t="shared" si="62"/>
        <v>6.357142857142857E-2</v>
      </c>
      <c r="AC33" s="142">
        <f t="shared" si="63"/>
        <v>2.6805555555555551E-2</v>
      </c>
      <c r="AD33" s="142">
        <f t="shared" si="64"/>
        <v>1.0843253968253969E-2</v>
      </c>
      <c r="AE33" s="142">
        <f t="shared" si="65"/>
        <v>5.1952380952380974E-3</v>
      </c>
      <c r="AF33" s="142">
        <f t="shared" si="66"/>
        <v>0</v>
      </c>
      <c r="AH33" s="158">
        <f t="shared" si="40"/>
        <v>3.8690476190476192E-2</v>
      </c>
      <c r="AI33" s="158">
        <f t="shared" si="41"/>
        <v>0.12996031746031744</v>
      </c>
      <c r="AJ33" s="158">
        <f t="shared" si="42"/>
        <v>0.27281746031746035</v>
      </c>
      <c r="AK33" s="158">
        <f t="shared" si="43"/>
        <v>0.48214285714285721</v>
      </c>
      <c r="AL33" s="158">
        <f t="shared" si="44"/>
        <v>0.63194444444444453</v>
      </c>
      <c r="AM33" s="158">
        <f t="shared" si="45"/>
        <v>0.73313492063492069</v>
      </c>
      <c r="AN33" s="158">
        <f t="shared" si="46"/>
        <v>0.86011904761904767</v>
      </c>
      <c r="AO33" s="158">
        <v>1</v>
      </c>
      <c r="AP33" s="143"/>
      <c r="AQ33" s="143">
        <f t="shared" si="5"/>
        <v>1.1187413247673179E-2</v>
      </c>
      <c r="AR33" s="143">
        <f t="shared" si="6"/>
        <v>4.7059356449763126E-2</v>
      </c>
      <c r="AS33" s="143">
        <f t="shared" si="7"/>
        <v>0.10387142576045733</v>
      </c>
      <c r="AT33" s="143">
        <f t="shared" si="8"/>
        <v>0.18937250220701368</v>
      </c>
      <c r="AU33" s="143">
        <f t="shared" si="9"/>
        <v>0.1590064008858153</v>
      </c>
      <c r="AV33" s="143">
        <f t="shared" si="10"/>
        <v>0.11624017654045152</v>
      </c>
      <c r="AW33" s="143">
        <f t="shared" si="11"/>
        <v>0.16177797852749251</v>
      </c>
      <c r="AX33" s="143">
        <f t="shared" si="12"/>
        <v>0.21148474638133333</v>
      </c>
      <c r="AY33" s="46"/>
      <c r="AZ33" s="152">
        <f>Shares!D74</f>
        <v>3.9</v>
      </c>
      <c r="BA33" s="152">
        <f>Shares!E74</f>
        <v>9.1999999999999993</v>
      </c>
      <c r="BB33" s="152">
        <f>Shares!F74</f>
        <v>14.4</v>
      </c>
      <c r="BC33" s="152">
        <f>Shares!G74</f>
        <v>21.1</v>
      </c>
      <c r="BD33" s="152">
        <f>Shares!J74</f>
        <v>15.1</v>
      </c>
      <c r="BE33" s="152">
        <f>Shares!K74</f>
        <v>10.199999999999999</v>
      </c>
      <c r="BF33" s="152">
        <f>Shares!L74</f>
        <v>12.8</v>
      </c>
      <c r="BG33" s="152">
        <f>Shares!M74</f>
        <v>14.1</v>
      </c>
      <c r="BI33" s="146">
        <f>TxRt!B77</f>
        <v>5.7</v>
      </c>
      <c r="BJ33" s="146">
        <f>TxRt!B120</f>
        <v>10.1</v>
      </c>
      <c r="BK33" s="146">
        <f>TxRt!B160</f>
        <v>14.3</v>
      </c>
      <c r="BL33" s="146">
        <f>TxRt!B200</f>
        <v>17.8</v>
      </c>
      <c r="BM33" s="146">
        <f>TxRt!B280</f>
        <v>20.8</v>
      </c>
      <c r="BN33" s="146">
        <f>TxRt!B320</f>
        <v>22.7</v>
      </c>
      <c r="BO33" s="146">
        <f>TxRt!B360</f>
        <v>25.1</v>
      </c>
      <c r="BP33" s="146">
        <f>TxRt!B400</f>
        <v>30.3</v>
      </c>
      <c r="BQ33" s="46"/>
      <c r="BR33" s="60">
        <f>Inc!B74</f>
        <v>18500</v>
      </c>
      <c r="BS33" s="60">
        <f>Inc!B114</f>
        <v>41400</v>
      </c>
      <c r="BT33" s="60">
        <f>Inc!B154</f>
        <v>65700</v>
      </c>
      <c r="BU33" s="60">
        <f>Inc!B194</f>
        <v>97100</v>
      </c>
      <c r="BV33" s="60">
        <f>Inc!B274</f>
        <v>136300</v>
      </c>
      <c r="BW33" s="60">
        <f>Inc!B314</f>
        <v>181000</v>
      </c>
      <c r="BX33" s="60">
        <f>Inc!B354</f>
        <v>282300</v>
      </c>
      <c r="BY33" s="60">
        <f>Inc!B394</f>
        <v>1278400</v>
      </c>
      <c r="CA33" s="60">
        <f t="shared" si="13"/>
        <v>1054.5</v>
      </c>
      <c r="CB33" s="60">
        <f t="shared" si="14"/>
        <v>4181.3999999999996</v>
      </c>
      <c r="CC33" s="60">
        <f t="shared" si="15"/>
        <v>9395.1</v>
      </c>
      <c r="CD33" s="60">
        <f t="shared" si="16"/>
        <v>17283.8</v>
      </c>
      <c r="CE33" s="60">
        <f t="shared" si="17"/>
        <v>28350.400000000001</v>
      </c>
      <c r="CF33" s="60">
        <f t="shared" si="18"/>
        <v>41087</v>
      </c>
      <c r="CG33" s="60">
        <f t="shared" si="19"/>
        <v>70857.3</v>
      </c>
      <c r="CH33" s="60">
        <f t="shared" si="20"/>
        <v>387355.2</v>
      </c>
      <c r="CJ33" s="153">
        <f t="shared" si="47"/>
        <v>22539.937499999996</v>
      </c>
      <c r="CK33" s="153">
        <f t="shared" si="21"/>
        <v>94813.244999999981</v>
      </c>
      <c r="CL33" s="153">
        <f t="shared" si="22"/>
        <v>209275.85249999995</v>
      </c>
      <c r="CM33" s="153">
        <f t="shared" si="23"/>
        <v>381539.88499999989</v>
      </c>
      <c r="CN33" s="153">
        <f t="shared" si="24"/>
        <v>320359.52</v>
      </c>
      <c r="CO33" s="153">
        <f t="shared" si="25"/>
        <v>234195.9</v>
      </c>
      <c r="CP33" s="153">
        <f t="shared" si="26"/>
        <v>325943.58</v>
      </c>
      <c r="CQ33" s="153">
        <f t="shared" si="27"/>
        <v>426090.72000000003</v>
      </c>
      <c r="CR33" s="153">
        <f t="shared" si="48"/>
        <v>2014758.64</v>
      </c>
      <c r="CT33" s="39">
        <v>284</v>
      </c>
      <c r="CU33" s="276">
        <f>Dem!B74+(DD33/4)</f>
        <v>21.374999999999996</v>
      </c>
      <c r="CV33" s="276">
        <f>Dem!B114+(DD33/4)</f>
        <v>22.674999999999997</v>
      </c>
      <c r="CW33" s="276">
        <f>Dem!B154+(DD33/4)</f>
        <v>22.274999999999995</v>
      </c>
      <c r="CX33" s="276">
        <f>Dem!B194+(DD33/4)</f>
        <v>22.074999999999996</v>
      </c>
      <c r="CY33" s="276">
        <f>Dem!B274</f>
        <v>11.3</v>
      </c>
      <c r="CZ33" s="276">
        <f>Dem!B314</f>
        <v>5.7</v>
      </c>
      <c r="DA33" s="276">
        <f>Dem!B354</f>
        <v>4.5999999999999996</v>
      </c>
      <c r="DB33" s="276">
        <f>Dem!B394</f>
        <v>1.1000000000000001</v>
      </c>
      <c r="DC33" s="275">
        <v>112.1</v>
      </c>
      <c r="DD33" s="46">
        <v>-0.50000000000001421</v>
      </c>
      <c r="DE33" s="275"/>
      <c r="DF33" s="276">
        <f>Dem!$D74+(DO33/4)</f>
        <v>55.174999999999997</v>
      </c>
      <c r="DG33" s="276">
        <f>Dem!$D114+(DO33/4)</f>
        <v>56.474999999999994</v>
      </c>
      <c r="DH33" s="276">
        <f>Dem!$D154+(DO33/4)</f>
        <v>56.474999999999994</v>
      </c>
      <c r="DI33" s="276">
        <f>Dem!$D194+(DO33/4)</f>
        <v>56.474999999999994</v>
      </c>
      <c r="DJ33" s="275">
        <f>Dem!$D274</f>
        <v>28.4</v>
      </c>
      <c r="DK33" s="275">
        <f>Dem!$D314</f>
        <v>14.2</v>
      </c>
      <c r="DL33" s="275">
        <f>Dem!$D354</f>
        <v>11.4</v>
      </c>
      <c r="DM33" s="275">
        <f>Dem!$D394</f>
        <v>2.8</v>
      </c>
      <c r="DN33" s="276">
        <f t="shared" si="49"/>
        <v>284</v>
      </c>
      <c r="DO33" s="44">
        <v>-1.3000000000000114</v>
      </c>
    </row>
    <row r="34" spans="1:119">
      <c r="A34" s="46">
        <f t="shared" si="50"/>
        <v>2004</v>
      </c>
      <c r="B34" s="141">
        <f t="shared" si="28"/>
        <v>0.1753293762279543</v>
      </c>
      <c r="C34" s="46"/>
      <c r="D34" s="141">
        <f t="shared" si="29"/>
        <v>0.70732480820412125</v>
      </c>
      <c r="E34" s="141">
        <f t="shared" si="30"/>
        <v>0.53199543197616694</v>
      </c>
      <c r="F34" s="46"/>
      <c r="G34" s="157">
        <f t="shared" si="31"/>
        <v>3.8021025868268631E-2</v>
      </c>
      <c r="H34" s="157">
        <f t="shared" si="32"/>
        <v>6.8785683447487256E-2</v>
      </c>
      <c r="I34" s="157">
        <f t="shared" si="33"/>
        <v>8.8489036399364923E-2</v>
      </c>
      <c r="J34" s="157">
        <f t="shared" si="34"/>
        <v>9.183905248697076E-2</v>
      </c>
      <c r="K34" s="157">
        <f t="shared" si="35"/>
        <v>4.0594995733965994E-2</v>
      </c>
      <c r="L34" s="157">
        <f t="shared" si="36"/>
        <v>1.7091553218220337E-2</v>
      </c>
      <c r="M34" s="157">
        <f t="shared" si="37"/>
        <v>8.8410569477826856E-3</v>
      </c>
      <c r="N34" s="157">
        <f t="shared" si="38"/>
        <v>0</v>
      </c>
      <c r="O34" s="46"/>
      <c r="P34" s="154">
        <f t="shared" si="51"/>
        <v>9.8948706586568669E-3</v>
      </c>
      <c r="Q34" s="154">
        <f t="shared" si="52"/>
        <v>5.6071582762563722E-2</v>
      </c>
      <c r="R34" s="154">
        <f t="shared" si="53"/>
        <v>0.15755481800317553</v>
      </c>
      <c r="S34" s="154">
        <f t="shared" si="54"/>
        <v>0.34080473756514629</v>
      </c>
      <c r="T34" s="154">
        <f t="shared" si="55"/>
        <v>0.49405004266034008</v>
      </c>
      <c r="U34" s="154">
        <f t="shared" si="56"/>
        <v>0.60816893563559338</v>
      </c>
      <c r="V34" s="154">
        <f t="shared" si="57"/>
        <v>0.76897357630543295</v>
      </c>
      <c r="W34" s="162">
        <f t="shared" si="58"/>
        <v>1</v>
      </c>
      <c r="X34" s="154"/>
      <c r="Y34" s="142">
        <f t="shared" si="59"/>
        <v>3.2452830188679248E-2</v>
      </c>
      <c r="Z34" s="142">
        <f t="shared" si="60"/>
        <v>5.4577954319761673E-2</v>
      </c>
      <c r="AA34" s="142">
        <f t="shared" si="61"/>
        <v>6.6772591857001018E-2</v>
      </c>
      <c r="AB34" s="142">
        <f t="shared" si="62"/>
        <v>6.6057596822244311E-2</v>
      </c>
      <c r="AC34" s="142">
        <f t="shared" si="63"/>
        <v>2.8430983118172794E-2</v>
      </c>
      <c r="AD34" s="142">
        <f t="shared" si="64"/>
        <v>1.1750248262164848E-2</v>
      </c>
      <c r="AE34" s="142">
        <f t="shared" si="65"/>
        <v>5.9555114200595853E-3</v>
      </c>
      <c r="AF34" s="142">
        <f t="shared" si="66"/>
        <v>0</v>
      </c>
      <c r="AH34" s="158">
        <f t="shared" si="40"/>
        <v>3.7735849056603772E-2</v>
      </c>
      <c r="AI34" s="158">
        <f t="shared" si="41"/>
        <v>0.12711022840119166</v>
      </c>
      <c r="AJ34" s="158">
        <f t="shared" si="42"/>
        <v>0.266137040714995</v>
      </c>
      <c r="AK34" s="158">
        <f t="shared" si="43"/>
        <v>0.46971201588877853</v>
      </c>
      <c r="AL34" s="158">
        <f t="shared" si="44"/>
        <v>0.6156901688182721</v>
      </c>
      <c r="AM34" s="158">
        <f t="shared" si="45"/>
        <v>0.71499503475670312</v>
      </c>
      <c r="AN34" s="158">
        <f t="shared" si="46"/>
        <v>0.84111221449851048</v>
      </c>
      <c r="AO34" s="158">
        <v>1</v>
      </c>
      <c r="AP34" s="143"/>
      <c r="AQ34" s="143">
        <f t="shared" si="5"/>
        <v>9.8948706586568669E-3</v>
      </c>
      <c r="AR34" s="143">
        <f t="shared" si="6"/>
        <v>4.6176712103906857E-2</v>
      </c>
      <c r="AS34" s="143">
        <f t="shared" si="7"/>
        <v>0.1014832352406118</v>
      </c>
      <c r="AT34" s="143">
        <f t="shared" si="8"/>
        <v>0.18324991956197076</v>
      </c>
      <c r="AU34" s="143">
        <f t="shared" si="9"/>
        <v>0.1532453050951938</v>
      </c>
      <c r="AV34" s="143">
        <f t="shared" si="10"/>
        <v>0.11411889297525329</v>
      </c>
      <c r="AW34" s="143">
        <f t="shared" si="11"/>
        <v>0.16080464066983954</v>
      </c>
      <c r="AX34" s="143">
        <f t="shared" si="12"/>
        <v>0.23102642369456711</v>
      </c>
      <c r="AY34" s="46"/>
      <c r="AZ34" s="152">
        <f>Shares!D75</f>
        <v>3.8</v>
      </c>
      <c r="BA34" s="152">
        <f>Shares!E75</f>
        <v>9</v>
      </c>
      <c r="BB34" s="152">
        <f>Shares!F75</f>
        <v>14</v>
      </c>
      <c r="BC34" s="152">
        <f>Shares!G75</f>
        <v>20.5</v>
      </c>
      <c r="BD34" s="152">
        <f>Shares!J75</f>
        <v>14.7</v>
      </c>
      <c r="BE34" s="152">
        <f>Shares!K75</f>
        <v>10</v>
      </c>
      <c r="BF34" s="152">
        <f>Shares!L75</f>
        <v>12.7</v>
      </c>
      <c r="BG34" s="152">
        <f>Shares!M75</f>
        <v>16</v>
      </c>
      <c r="BI34" s="146">
        <f>TxRt!B78</f>
        <v>5.3</v>
      </c>
      <c r="BJ34" s="146">
        <f>TxRt!B121</f>
        <v>10.3</v>
      </c>
      <c r="BK34" s="146">
        <f>TxRt!B161</f>
        <v>14.6</v>
      </c>
      <c r="BL34" s="146">
        <f>TxRt!B201</f>
        <v>18</v>
      </c>
      <c r="BM34" s="146">
        <f>TxRt!B281</f>
        <v>20.9</v>
      </c>
      <c r="BN34" s="146">
        <f>TxRt!B321</f>
        <v>22.9</v>
      </c>
      <c r="BO34" s="146">
        <f>TxRt!B361</f>
        <v>25.4</v>
      </c>
      <c r="BP34" s="146">
        <f>TxRt!B401</f>
        <v>30</v>
      </c>
      <c r="BQ34" s="46"/>
      <c r="BR34" s="60">
        <f>Inc!B75</f>
        <v>18800</v>
      </c>
      <c r="BS34" s="60">
        <f>Inc!B115</f>
        <v>42400</v>
      </c>
      <c r="BT34" s="60">
        <f>Inc!B155</f>
        <v>67800</v>
      </c>
      <c r="BU34" s="60">
        <f>Inc!B195</f>
        <v>100200</v>
      </c>
      <c r="BV34" s="60">
        <f>Inc!B275</f>
        <v>141300</v>
      </c>
      <c r="BW34" s="60">
        <f>Inc!B315</f>
        <v>187100</v>
      </c>
      <c r="BX34" s="60">
        <f>Inc!B355</f>
        <v>299700</v>
      </c>
      <c r="BY34" s="60">
        <f>Inc!B395</f>
        <v>1524500</v>
      </c>
      <c r="CA34" s="60">
        <f t="shared" si="13"/>
        <v>996.4</v>
      </c>
      <c r="CB34" s="60">
        <f t="shared" si="14"/>
        <v>4367.2000000000007</v>
      </c>
      <c r="CC34" s="60">
        <f t="shared" si="15"/>
        <v>9898.7999999999993</v>
      </c>
      <c r="CD34" s="60">
        <f t="shared" si="16"/>
        <v>18036</v>
      </c>
      <c r="CE34" s="60">
        <f t="shared" si="17"/>
        <v>29531.7</v>
      </c>
      <c r="CF34" s="60">
        <f t="shared" si="18"/>
        <v>42845.9</v>
      </c>
      <c r="CG34" s="60">
        <f t="shared" si="19"/>
        <v>76123.8</v>
      </c>
      <c r="CH34" s="60">
        <f t="shared" si="20"/>
        <v>457350</v>
      </c>
      <c r="CJ34" s="153">
        <f t="shared" si="47"/>
        <v>21547.149999999994</v>
      </c>
      <c r="CK34" s="153">
        <f t="shared" si="21"/>
        <v>100554.78</v>
      </c>
      <c r="CL34" s="153">
        <f t="shared" si="22"/>
        <v>220990.70999999993</v>
      </c>
      <c r="CM34" s="153">
        <f t="shared" si="23"/>
        <v>399046.49999999994</v>
      </c>
      <c r="CN34" s="153">
        <f t="shared" si="24"/>
        <v>333708.21000000002</v>
      </c>
      <c r="CO34" s="153">
        <f t="shared" si="25"/>
        <v>248506.22</v>
      </c>
      <c r="CP34" s="153">
        <f t="shared" si="26"/>
        <v>350169.48</v>
      </c>
      <c r="CQ34" s="153">
        <f t="shared" si="27"/>
        <v>503085.00000000006</v>
      </c>
      <c r="CR34" s="153">
        <f t="shared" si="48"/>
        <v>2177608.0499999998</v>
      </c>
      <c r="CT34" s="39">
        <v>288</v>
      </c>
      <c r="CU34" s="276">
        <f>Dem!B75+(DD34/4)</f>
        <v>21.624999999999996</v>
      </c>
      <c r="CV34" s="276">
        <f>Dem!B115+(DD34/4)</f>
        <v>23.024999999999995</v>
      </c>
      <c r="CW34" s="276">
        <f>Dem!B155+(DD34/4)</f>
        <v>22.324999999999996</v>
      </c>
      <c r="CX34" s="276">
        <f>Dem!B195+(DD34/4)</f>
        <v>22.124999999999996</v>
      </c>
      <c r="CY34" s="276">
        <f>Dem!B275</f>
        <v>11.3</v>
      </c>
      <c r="CZ34" s="276">
        <f>Dem!B315</f>
        <v>5.8</v>
      </c>
      <c r="DA34" s="276">
        <f>Dem!B355</f>
        <v>4.5999999999999996</v>
      </c>
      <c r="DB34" s="276">
        <f>Dem!B395</f>
        <v>1.1000000000000001</v>
      </c>
      <c r="DC34" s="275">
        <v>113.3</v>
      </c>
      <c r="DD34" s="46">
        <v>-0.70000000000001705</v>
      </c>
      <c r="DE34" s="275"/>
      <c r="DF34" s="276">
        <f>Dem!$D75+(DO34/4)</f>
        <v>55.97499999999998</v>
      </c>
      <c r="DG34" s="276">
        <f>Dem!$D115+(DO34/4)</f>
        <v>57.274999999999984</v>
      </c>
      <c r="DH34" s="276">
        <f>Dem!$D155+(DO34/4)</f>
        <v>57.274999999999984</v>
      </c>
      <c r="DI34" s="276">
        <f>Dem!$D195+(DO34/4)</f>
        <v>57.274999999999984</v>
      </c>
      <c r="DJ34" s="275">
        <f>Dem!$D275</f>
        <v>28.8</v>
      </c>
      <c r="DK34" s="275">
        <f>Dem!$D315</f>
        <v>14.4</v>
      </c>
      <c r="DL34" s="275">
        <f>Dem!$D355</f>
        <v>11.5</v>
      </c>
      <c r="DM34" s="275">
        <f>Dem!$D395</f>
        <v>2.9</v>
      </c>
      <c r="DN34" s="276">
        <f t="shared" si="49"/>
        <v>288</v>
      </c>
      <c r="DO34" s="44">
        <v>-1.3000000000000682</v>
      </c>
    </row>
    <row r="35" spans="1:119">
      <c r="A35" s="46">
        <f t="shared" si="50"/>
        <v>2005</v>
      </c>
      <c r="B35" s="141">
        <f t="shared" si="28"/>
        <v>0.17509691743269029</v>
      </c>
      <c r="C35" s="46"/>
      <c r="D35" s="141">
        <f t="shared" si="29"/>
        <v>0.72788818727396021</v>
      </c>
      <c r="E35" s="141">
        <f t="shared" si="30"/>
        <v>0.55279126984126992</v>
      </c>
      <c r="F35" s="46"/>
      <c r="G35" s="157">
        <f t="shared" si="31"/>
        <v>3.8042631265481033E-2</v>
      </c>
      <c r="H35" s="157">
        <f t="shared" si="32"/>
        <v>6.9305382642951011E-2</v>
      </c>
      <c r="I35" s="157">
        <f t="shared" si="33"/>
        <v>9.0133602377626312E-2</v>
      </c>
      <c r="J35" s="157">
        <f t="shared" si="34"/>
        <v>9.5124827715102278E-2</v>
      </c>
      <c r="K35" s="157">
        <f t="shared" si="35"/>
        <v>4.3017728321205373E-2</v>
      </c>
      <c r="L35" s="157">
        <f t="shared" si="36"/>
        <v>1.8497090206691599E-2</v>
      </c>
      <c r="M35" s="157">
        <f t="shared" si="37"/>
        <v>9.8228311079224858E-3</v>
      </c>
      <c r="N35" s="157">
        <f t="shared" si="38"/>
        <v>0</v>
      </c>
      <c r="O35" s="46"/>
      <c r="P35" s="154">
        <f t="shared" si="51"/>
        <v>9.7868436725948478E-3</v>
      </c>
      <c r="Q35" s="154">
        <f t="shared" si="52"/>
        <v>5.3473086785244997E-2</v>
      </c>
      <c r="R35" s="154">
        <f t="shared" si="53"/>
        <v>0.14933198811186851</v>
      </c>
      <c r="S35" s="154">
        <f t="shared" si="54"/>
        <v>0.32437586142448871</v>
      </c>
      <c r="T35" s="154">
        <f t="shared" si="55"/>
        <v>0.46982271678794629</v>
      </c>
      <c r="U35" s="154">
        <f t="shared" si="56"/>
        <v>0.58005819586616814</v>
      </c>
      <c r="V35" s="154">
        <f t="shared" si="57"/>
        <v>0.74442922230193798</v>
      </c>
      <c r="W35" s="162">
        <f t="shared" si="58"/>
        <v>1</v>
      </c>
      <c r="X35" s="154"/>
      <c r="Y35" s="142">
        <f t="shared" si="59"/>
        <v>3.2658730158730165E-2</v>
      </c>
      <c r="Z35" s="142">
        <f t="shared" si="60"/>
        <v>5.55952380952381E-2</v>
      </c>
      <c r="AA35" s="142">
        <f t="shared" si="61"/>
        <v>6.8809523809523834E-2</v>
      </c>
      <c r="AB35" s="142">
        <f t="shared" si="62"/>
        <v>6.9325396825396846E-2</v>
      </c>
      <c r="AC35" s="142">
        <f t="shared" si="63"/>
        <v>3.047619047619049E-2</v>
      </c>
      <c r="AD35" s="142">
        <f t="shared" si="64"/>
        <v>1.2827380952380963E-2</v>
      </c>
      <c r="AE35" s="142">
        <f t="shared" si="65"/>
        <v>6.7031746031746137E-3</v>
      </c>
      <c r="AF35" s="142">
        <f t="shared" si="66"/>
        <v>0</v>
      </c>
      <c r="AH35" s="158">
        <f t="shared" si="40"/>
        <v>3.6706349206349201E-2</v>
      </c>
      <c r="AI35" s="158">
        <f t="shared" si="41"/>
        <v>0.12202380952380951</v>
      </c>
      <c r="AJ35" s="158">
        <f t="shared" si="42"/>
        <v>0.25595238095238093</v>
      </c>
      <c r="AK35" s="158">
        <f t="shared" si="43"/>
        <v>0.45337301587301582</v>
      </c>
      <c r="AL35" s="158">
        <f t="shared" si="44"/>
        <v>0.59523809523809512</v>
      </c>
      <c r="AM35" s="158">
        <f t="shared" si="45"/>
        <v>0.69345238095238082</v>
      </c>
      <c r="AN35" s="158">
        <f t="shared" si="46"/>
        <v>0.82242063492063477</v>
      </c>
      <c r="AO35" s="158">
        <v>1</v>
      </c>
      <c r="AP35" s="143"/>
      <c r="AQ35" s="143">
        <f t="shared" si="5"/>
        <v>9.7868436725948478E-3</v>
      </c>
      <c r="AR35" s="143">
        <f t="shared" si="6"/>
        <v>4.3686243112650153E-2</v>
      </c>
      <c r="AS35" s="143">
        <f t="shared" si="7"/>
        <v>9.5858901326623516E-2</v>
      </c>
      <c r="AT35" s="143">
        <f t="shared" si="8"/>
        <v>0.1750438733126202</v>
      </c>
      <c r="AU35" s="143">
        <f t="shared" si="9"/>
        <v>0.14544685536345758</v>
      </c>
      <c r="AV35" s="143">
        <f t="shared" si="10"/>
        <v>0.11023547907822187</v>
      </c>
      <c r="AW35" s="143">
        <f t="shared" si="11"/>
        <v>0.16437102643576987</v>
      </c>
      <c r="AX35" s="143">
        <f t="shared" si="12"/>
        <v>0.25557077769806197</v>
      </c>
      <c r="AY35" s="46"/>
      <c r="AZ35" s="152">
        <f>Shares!D76</f>
        <v>3.7</v>
      </c>
      <c r="BA35" s="152">
        <f>Shares!E76</f>
        <v>8.6</v>
      </c>
      <c r="BB35" s="152">
        <f>Shares!F76</f>
        <v>13.5</v>
      </c>
      <c r="BC35" s="152">
        <f>Shares!G76</f>
        <v>19.899999999999999</v>
      </c>
      <c r="BD35" s="152">
        <f>Shares!J76</f>
        <v>14.3</v>
      </c>
      <c r="BE35" s="152">
        <f>Shares!K76</f>
        <v>9.9</v>
      </c>
      <c r="BF35" s="152">
        <f>Shares!L76</f>
        <v>13</v>
      </c>
      <c r="BG35" s="152">
        <f>Shares!M76</f>
        <v>17.899999999999999</v>
      </c>
      <c r="BI35" s="146">
        <f>TxRt!B79</f>
        <v>5.5</v>
      </c>
      <c r="BJ35" s="146">
        <f>TxRt!B122</f>
        <v>10.5</v>
      </c>
      <c r="BK35" s="146">
        <f>TxRt!B162</f>
        <v>14.8</v>
      </c>
      <c r="BL35" s="146">
        <f>TxRt!B202</f>
        <v>18.3</v>
      </c>
      <c r="BM35" s="146">
        <f>TxRt!B282</f>
        <v>21</v>
      </c>
      <c r="BN35" s="146">
        <f>TxRt!B322</f>
        <v>23</v>
      </c>
      <c r="BO35" s="146">
        <f>TxRt!B362</f>
        <v>25.9</v>
      </c>
      <c r="BP35" s="146">
        <f>TxRt!B402</f>
        <v>30.2</v>
      </c>
      <c r="BQ35" s="46"/>
      <c r="BR35" s="60">
        <f>Inc!B76</f>
        <v>19300</v>
      </c>
      <c r="BS35" s="60">
        <f>Inc!B116</f>
        <v>42800</v>
      </c>
      <c r="BT35" s="60">
        <f>Inc!B156</f>
        <v>69000</v>
      </c>
      <c r="BU35" s="60">
        <f>Inc!B196</f>
        <v>101900</v>
      </c>
      <c r="BV35" s="60">
        <f>Inc!B276</f>
        <v>144200</v>
      </c>
      <c r="BW35" s="60">
        <f>Inc!B316</f>
        <v>194500</v>
      </c>
      <c r="BX35" s="60">
        <f>Inc!B356</f>
        <v>323300</v>
      </c>
      <c r="BY35" s="60">
        <f>Inc!B396</f>
        <v>1842000</v>
      </c>
      <c r="CA35" s="60">
        <f t="shared" si="13"/>
        <v>1061.5</v>
      </c>
      <c r="CB35" s="60">
        <f t="shared" si="14"/>
        <v>4494</v>
      </c>
      <c r="CC35" s="60">
        <f t="shared" si="15"/>
        <v>10212</v>
      </c>
      <c r="CD35" s="60">
        <f t="shared" si="16"/>
        <v>18647.7</v>
      </c>
      <c r="CE35" s="60">
        <f t="shared" si="17"/>
        <v>30282</v>
      </c>
      <c r="CF35" s="60">
        <f t="shared" si="18"/>
        <v>44735</v>
      </c>
      <c r="CG35" s="60">
        <f t="shared" si="19"/>
        <v>83734.7</v>
      </c>
      <c r="CH35" s="60">
        <f t="shared" si="20"/>
        <v>556284</v>
      </c>
      <c r="CJ35" s="153">
        <f t="shared" si="47"/>
        <v>23432.612499999996</v>
      </c>
      <c r="CK35" s="153">
        <f t="shared" si="21"/>
        <v>104597.84999999998</v>
      </c>
      <c r="CL35" s="153">
        <f t="shared" si="22"/>
        <v>229514.69999999998</v>
      </c>
      <c r="CM35" s="153">
        <f t="shared" si="23"/>
        <v>419107.0575</v>
      </c>
      <c r="CN35" s="153">
        <f t="shared" si="24"/>
        <v>348243</v>
      </c>
      <c r="CO35" s="153">
        <f t="shared" si="25"/>
        <v>263936.5</v>
      </c>
      <c r="CP35" s="153">
        <f t="shared" si="26"/>
        <v>393553.09</v>
      </c>
      <c r="CQ35" s="153">
        <f t="shared" si="27"/>
        <v>611912.4</v>
      </c>
      <c r="CR35" s="153">
        <f t="shared" si="48"/>
        <v>2394297.21</v>
      </c>
      <c r="CT35" s="39">
        <v>289.3</v>
      </c>
      <c r="CU35" s="276">
        <f>Dem!B76+(DD35/4)</f>
        <v>22.074999999999996</v>
      </c>
      <c r="CV35" s="276">
        <f>Dem!B116+(DD35/4)</f>
        <v>23.274999999999995</v>
      </c>
      <c r="CW35" s="276">
        <f>Dem!B156+(DD35/4)</f>
        <v>22.474999999999998</v>
      </c>
      <c r="CX35" s="276">
        <f>Dem!B196+(DD35/4)</f>
        <v>22.474999999999998</v>
      </c>
      <c r="CY35" s="276">
        <f>Dem!B276</f>
        <v>11.5</v>
      </c>
      <c r="CZ35" s="276">
        <f>Dem!B316</f>
        <v>5.9</v>
      </c>
      <c r="DA35" s="276">
        <f>Dem!B356</f>
        <v>4.7</v>
      </c>
      <c r="DB35" s="276">
        <f>Dem!B396</f>
        <v>1.1000000000000001</v>
      </c>
      <c r="DC35" s="275">
        <v>114.5</v>
      </c>
      <c r="DD35" s="46">
        <v>-0.50000000000001421</v>
      </c>
      <c r="DE35" s="275"/>
      <c r="DF35" s="276">
        <f>Dem!$D76+(DO35/4)</f>
        <v>56.324999999999996</v>
      </c>
      <c r="DG35" s="276">
        <f>Dem!$D116+(DO35/4)</f>
        <v>57.624999999999993</v>
      </c>
      <c r="DH35" s="276">
        <f>Dem!$D156+(DO35/4)</f>
        <v>57.624999999999993</v>
      </c>
      <c r="DI35" s="276">
        <f>Dem!$D196+(DO35/4)</f>
        <v>57.624999999999993</v>
      </c>
      <c r="DJ35" s="275">
        <f>Dem!$D276</f>
        <v>28.9</v>
      </c>
      <c r="DK35" s="275">
        <f>Dem!$D316</f>
        <v>14.5</v>
      </c>
      <c r="DL35" s="275">
        <f>Dem!$D356</f>
        <v>11.6</v>
      </c>
      <c r="DM35" s="275">
        <f>Dem!$D396</f>
        <v>2.9</v>
      </c>
      <c r="DN35" s="276">
        <f t="shared" si="49"/>
        <v>289.3</v>
      </c>
      <c r="DO35" s="44">
        <v>-1.1000000000000227</v>
      </c>
    </row>
    <row r="36" spans="1:119">
      <c r="A36" s="46">
        <f t="shared" si="50"/>
        <v>2006</v>
      </c>
      <c r="B36" s="141">
        <f t="shared" si="28"/>
        <v>0.16841486255969706</v>
      </c>
      <c r="C36" s="46"/>
      <c r="D36" s="141">
        <f t="shared" si="29"/>
        <v>0.7290760951640709</v>
      </c>
      <c r="E36" s="141">
        <f t="shared" si="30"/>
        <v>0.56066123260437384</v>
      </c>
      <c r="F36" s="46"/>
      <c r="G36" s="157">
        <f t="shared" si="31"/>
        <v>3.7942874804696471E-2</v>
      </c>
      <c r="H36" s="157">
        <f t="shared" si="32"/>
        <v>6.923361468650914E-2</v>
      </c>
      <c r="I36" s="157">
        <f t="shared" si="33"/>
        <v>9.0081007235926699E-2</v>
      </c>
      <c r="J36" s="157">
        <f t="shared" si="34"/>
        <v>9.5467356013607549E-2</v>
      </c>
      <c r="K36" s="157">
        <f t="shared" si="35"/>
        <v>4.3235108253958709E-2</v>
      </c>
      <c r="L36" s="157">
        <f t="shared" si="36"/>
        <v>1.86351761649747E-2</v>
      </c>
      <c r="M36" s="157">
        <f t="shared" si="37"/>
        <v>9.9429104223621983E-3</v>
      </c>
      <c r="N36" s="157">
        <f t="shared" si="38"/>
        <v>0</v>
      </c>
      <c r="O36" s="46"/>
      <c r="P36" s="154">
        <f t="shared" si="51"/>
        <v>1.0285625976517668E-2</v>
      </c>
      <c r="Q36" s="154">
        <f t="shared" si="52"/>
        <v>5.3831926567454322E-2</v>
      </c>
      <c r="R36" s="154">
        <f t="shared" si="53"/>
        <v>0.14959496382036663</v>
      </c>
      <c r="S36" s="154">
        <f t="shared" si="54"/>
        <v>0.32266321993196234</v>
      </c>
      <c r="T36" s="154">
        <f t="shared" si="55"/>
        <v>0.46764891746041293</v>
      </c>
      <c r="U36" s="154">
        <f t="shared" si="56"/>
        <v>0.5772964767005061</v>
      </c>
      <c r="V36" s="154">
        <f t="shared" si="57"/>
        <v>0.74142723944094513</v>
      </c>
      <c r="W36" s="162">
        <f t="shared" si="58"/>
        <v>1</v>
      </c>
      <c r="X36" s="154"/>
      <c r="Y36" s="142">
        <f t="shared" si="59"/>
        <v>3.2842942345924456E-2</v>
      </c>
      <c r="Z36" s="142">
        <f t="shared" si="60"/>
        <v>5.5944333996023859E-2</v>
      </c>
      <c r="AA36" s="142">
        <f t="shared" si="61"/>
        <v>6.9502982107355879E-2</v>
      </c>
      <c r="AB36" s="142">
        <f t="shared" si="62"/>
        <v>7.0536779324055665E-2</v>
      </c>
      <c r="AC36" s="142">
        <f t="shared" si="63"/>
        <v>3.1252485089463225E-2</v>
      </c>
      <c r="AD36" s="142">
        <f t="shared" si="64"/>
        <v>1.3255467196819089E-2</v>
      </c>
      <c r="AE36" s="142">
        <f t="shared" si="65"/>
        <v>6.9956262425447373E-3</v>
      </c>
      <c r="AF36" s="142">
        <f t="shared" si="66"/>
        <v>0</v>
      </c>
      <c r="AH36" s="158">
        <f t="shared" si="40"/>
        <v>3.5785288270377739E-2</v>
      </c>
      <c r="AI36" s="158">
        <f t="shared" si="41"/>
        <v>0.12027833001988072</v>
      </c>
      <c r="AJ36" s="158">
        <f t="shared" si="42"/>
        <v>0.25248508946322068</v>
      </c>
      <c r="AK36" s="158">
        <f t="shared" si="43"/>
        <v>0.44731610337972172</v>
      </c>
      <c r="AL36" s="158">
        <f t="shared" si="44"/>
        <v>0.5874751491053678</v>
      </c>
      <c r="AM36" s="158">
        <f t="shared" si="45"/>
        <v>0.68489065606361832</v>
      </c>
      <c r="AN36" s="158">
        <f t="shared" si="46"/>
        <v>0.81510934393638168</v>
      </c>
      <c r="AO36" s="158">
        <v>1</v>
      </c>
      <c r="AP36" s="143"/>
      <c r="AQ36" s="143">
        <f t="shared" si="5"/>
        <v>1.0285625976517668E-2</v>
      </c>
      <c r="AR36" s="143">
        <f t="shared" si="6"/>
        <v>4.354630059093665E-2</v>
      </c>
      <c r="AS36" s="143">
        <f t="shared" si="7"/>
        <v>9.5763037252912325E-2</v>
      </c>
      <c r="AT36" s="143">
        <f t="shared" si="8"/>
        <v>0.17306825611159571</v>
      </c>
      <c r="AU36" s="143">
        <f t="shared" si="9"/>
        <v>0.14498569752845061</v>
      </c>
      <c r="AV36" s="143">
        <f t="shared" si="10"/>
        <v>0.10964755924009316</v>
      </c>
      <c r="AW36" s="143">
        <f t="shared" si="11"/>
        <v>0.16413076274043903</v>
      </c>
      <c r="AX36" s="143">
        <f t="shared" si="12"/>
        <v>0.25857276055905493</v>
      </c>
      <c r="AY36" s="46"/>
      <c r="AZ36" s="152">
        <f>Shares!D77</f>
        <v>3.6</v>
      </c>
      <c r="BA36" s="152">
        <f>Shares!E77</f>
        <v>8.5</v>
      </c>
      <c r="BB36" s="152">
        <f>Shares!F77</f>
        <v>13.3</v>
      </c>
      <c r="BC36" s="152">
        <f>Shares!G77</f>
        <v>19.600000000000001</v>
      </c>
      <c r="BD36" s="152">
        <f>Shares!J77</f>
        <v>14.1</v>
      </c>
      <c r="BE36" s="152">
        <f>Shares!K77</f>
        <v>9.8000000000000007</v>
      </c>
      <c r="BF36" s="152">
        <f>Shares!L77</f>
        <v>13.1</v>
      </c>
      <c r="BG36" s="152">
        <f>Shares!M77</f>
        <v>18.600000000000001</v>
      </c>
      <c r="BI36" s="146">
        <f>TxRt!B80</f>
        <v>5.9</v>
      </c>
      <c r="BJ36" s="146">
        <f>TxRt!B123</f>
        <v>10.6</v>
      </c>
      <c r="BK36" s="146">
        <f>TxRt!B163</f>
        <v>14.9</v>
      </c>
      <c r="BL36" s="146">
        <f>TxRt!B203</f>
        <v>18.3</v>
      </c>
      <c r="BM36" s="146">
        <f>TxRt!B283</f>
        <v>21.2</v>
      </c>
      <c r="BN36" s="146">
        <f>TxRt!B323</f>
        <v>23.1</v>
      </c>
      <c r="BO36" s="146">
        <f>TxRt!B363</f>
        <v>25.9</v>
      </c>
      <c r="BP36" s="146">
        <f>TxRt!B403</f>
        <v>29.8</v>
      </c>
      <c r="BQ36" s="46"/>
      <c r="BR36" s="60">
        <f>Inc!B77</f>
        <v>20300</v>
      </c>
      <c r="BS36" s="60">
        <f>Inc!B117</f>
        <v>43800</v>
      </c>
      <c r="BT36" s="60">
        <f>Inc!B157</f>
        <v>69700</v>
      </c>
      <c r="BU36" s="60">
        <f>Inc!B197</f>
        <v>103900</v>
      </c>
      <c r="BV36" s="60">
        <f>Inc!B277</f>
        <v>147700</v>
      </c>
      <c r="BW36" s="60">
        <f>Inc!B317</f>
        <v>199900</v>
      </c>
      <c r="BX36" s="60">
        <f>Inc!B357</f>
        <v>333600</v>
      </c>
      <c r="BY36" s="60">
        <f>Inc!B397</f>
        <v>1993200</v>
      </c>
      <c r="CA36" s="60">
        <f t="shared" si="13"/>
        <v>1197.7</v>
      </c>
      <c r="CB36" s="60">
        <f t="shared" si="14"/>
        <v>4642.8</v>
      </c>
      <c r="CC36" s="60">
        <f t="shared" si="15"/>
        <v>10385.299999999999</v>
      </c>
      <c r="CD36" s="60">
        <f t="shared" si="16"/>
        <v>19013.7</v>
      </c>
      <c r="CE36" s="60">
        <f t="shared" si="17"/>
        <v>31312.400000000001</v>
      </c>
      <c r="CF36" s="60">
        <f t="shared" si="18"/>
        <v>46176.9</v>
      </c>
      <c r="CG36" s="60">
        <f t="shared" si="19"/>
        <v>86402.4</v>
      </c>
      <c r="CH36" s="60">
        <f t="shared" si="20"/>
        <v>593973.6</v>
      </c>
      <c r="CJ36" s="153">
        <f t="shared" si="47"/>
        <v>25990.09</v>
      </c>
      <c r="CK36" s="153">
        <f t="shared" si="21"/>
        <v>110034.36</v>
      </c>
      <c r="CL36" s="153">
        <f t="shared" si="22"/>
        <v>241977.48999999996</v>
      </c>
      <c r="CM36" s="153">
        <f t="shared" si="23"/>
        <v>437315.10000000003</v>
      </c>
      <c r="CN36" s="153">
        <f t="shared" si="24"/>
        <v>366355.08</v>
      </c>
      <c r="CO36" s="153">
        <f t="shared" si="25"/>
        <v>277061.40000000002</v>
      </c>
      <c r="CP36" s="153">
        <f t="shared" si="26"/>
        <v>414731.51999999996</v>
      </c>
      <c r="CQ36" s="153">
        <f t="shared" si="27"/>
        <v>653370.96000000008</v>
      </c>
      <c r="CR36" s="153">
        <f t="shared" si="48"/>
        <v>2526836</v>
      </c>
      <c r="CT36" s="39">
        <v>292.7</v>
      </c>
      <c r="CU36" s="276">
        <f>Dem!B77+(DD36/4)</f>
        <v>21.7</v>
      </c>
      <c r="CV36" s="276">
        <f>Dem!B117+(DD36/4)</f>
        <v>23.7</v>
      </c>
      <c r="CW36" s="276">
        <f>Dem!B157+(DD36/4)</f>
        <v>23.299999999999997</v>
      </c>
      <c r="CX36" s="276">
        <f>Dem!B197+(DD36/4)</f>
        <v>23</v>
      </c>
      <c r="CY36" s="276">
        <f>Dem!B277</f>
        <v>11.7</v>
      </c>
      <c r="CZ36" s="276">
        <f>Dem!B317</f>
        <v>6</v>
      </c>
      <c r="DA36" s="276">
        <f>Dem!B357</f>
        <v>4.8</v>
      </c>
      <c r="DB36" s="276">
        <f>Dem!B397</f>
        <v>1.1000000000000001</v>
      </c>
      <c r="DC36" s="275">
        <v>116.1</v>
      </c>
      <c r="DD36" s="46">
        <v>-0.40000000000000568</v>
      </c>
      <c r="DE36" s="275"/>
      <c r="DF36" s="276">
        <f>Dem!$D77+(DO36/4)</f>
        <v>56.95</v>
      </c>
      <c r="DG36" s="276">
        <f>Dem!$D117+(DO36/4)</f>
        <v>58.150000000000006</v>
      </c>
      <c r="DH36" s="276">
        <f>Dem!$D157+(DO36/4)</f>
        <v>58.150000000000006</v>
      </c>
      <c r="DI36" s="276">
        <f>Dem!$D197+(DO36/4)</f>
        <v>58.150000000000006</v>
      </c>
      <c r="DJ36" s="275">
        <f>Dem!$D277</f>
        <v>29.3</v>
      </c>
      <c r="DK36" s="275">
        <f>Dem!$D317</f>
        <v>14.6</v>
      </c>
      <c r="DL36" s="275">
        <f>Dem!$D357</f>
        <v>11.7</v>
      </c>
      <c r="DM36" s="275">
        <f>Dem!$D397</f>
        <v>2.9</v>
      </c>
      <c r="DN36" s="276">
        <f t="shared" si="49"/>
        <v>292.7</v>
      </c>
      <c r="DO36" s="44">
        <v>-1.3999999999999773</v>
      </c>
    </row>
    <row r="37" spans="1:119">
      <c r="A37" s="46">
        <f t="shared" si="50"/>
        <v>2007</v>
      </c>
      <c r="B37" s="141">
        <f t="shared" si="28"/>
        <v>0.17462052606690648</v>
      </c>
      <c r="C37" s="46"/>
      <c r="D37" s="164">
        <f t="shared" si="29"/>
        <v>0.73312608162246207</v>
      </c>
      <c r="E37" s="164">
        <f t="shared" si="30"/>
        <v>0.55850555555555559</v>
      </c>
      <c r="F37" s="37"/>
      <c r="G37" s="165">
        <f t="shared" si="31"/>
        <v>3.8022174496923196E-2</v>
      </c>
      <c r="H37" s="165">
        <f t="shared" si="32"/>
        <v>6.8874648984435613E-2</v>
      </c>
      <c r="I37" s="165">
        <f t="shared" si="33"/>
        <v>9.0005131036401606E-2</v>
      </c>
      <c r="J37" s="165">
        <f t="shared" si="34"/>
        <v>9.6196437452102102E-2</v>
      </c>
      <c r="K37" s="165">
        <f t="shared" si="35"/>
        <v>4.3892557196267563E-2</v>
      </c>
      <c r="L37" s="165">
        <f t="shared" si="36"/>
        <v>1.9107613358585868E-2</v>
      </c>
      <c r="M37" s="165">
        <f t="shared" si="37"/>
        <v>1.0464478286515085E-2</v>
      </c>
      <c r="N37" s="165">
        <f t="shared" si="38"/>
        <v>0</v>
      </c>
      <c r="O37" s="37"/>
      <c r="P37" s="154">
        <f t="shared" si="51"/>
        <v>9.8891275153840403E-3</v>
      </c>
      <c r="Q37" s="154">
        <f t="shared" si="52"/>
        <v>5.5626755077821985E-2</v>
      </c>
      <c r="R37" s="154">
        <f t="shared" si="53"/>
        <v>0.1499743448179921</v>
      </c>
      <c r="S37" s="154">
        <f t="shared" si="54"/>
        <v>0.31901781273948954</v>
      </c>
      <c r="T37" s="154">
        <f t="shared" si="55"/>
        <v>0.4610744280373244</v>
      </c>
      <c r="U37" s="154">
        <f t="shared" si="56"/>
        <v>0.56784773282828271</v>
      </c>
      <c r="V37" s="154">
        <f t="shared" si="57"/>
        <v>0.728388042837123</v>
      </c>
      <c r="W37" s="162">
        <f t="shared" si="58"/>
        <v>1</v>
      </c>
      <c r="X37" s="154"/>
      <c r="Y37" s="142">
        <f t="shared" si="59"/>
        <v>3.2261904761904762E-2</v>
      </c>
      <c r="Z37" s="142">
        <f t="shared" si="60"/>
        <v>5.5198412698412705E-2</v>
      </c>
      <c r="AA37" s="142">
        <f t="shared" si="61"/>
        <v>6.9007936507936532E-2</v>
      </c>
      <c r="AB37" s="142">
        <f t="shared" si="62"/>
        <v>7.071428571428573E-2</v>
      </c>
      <c r="AC37" s="142">
        <f t="shared" si="63"/>
        <v>3.1468253968253979E-2</v>
      </c>
      <c r="AD37" s="142">
        <f t="shared" si="64"/>
        <v>1.3422619047619056E-2</v>
      </c>
      <c r="AE37" s="142">
        <f t="shared" si="65"/>
        <v>7.1793650793650875E-3</v>
      </c>
      <c r="AF37" s="142">
        <f t="shared" si="66"/>
        <v>0</v>
      </c>
      <c r="AH37" s="158">
        <f t="shared" si="40"/>
        <v>3.8690476190476185E-2</v>
      </c>
      <c r="AI37" s="158">
        <f t="shared" si="41"/>
        <v>0.12400793650793648</v>
      </c>
      <c r="AJ37" s="158">
        <f t="shared" si="42"/>
        <v>0.25496031746031744</v>
      </c>
      <c r="AK37" s="158">
        <f t="shared" si="43"/>
        <v>0.4464285714285714</v>
      </c>
      <c r="AL37" s="158">
        <f t="shared" si="44"/>
        <v>0.58531746031746024</v>
      </c>
      <c r="AM37" s="158">
        <f t="shared" si="45"/>
        <v>0.68154761904761896</v>
      </c>
      <c r="AN37" s="158">
        <f t="shared" si="46"/>
        <v>0.81051587301587291</v>
      </c>
      <c r="AO37" s="158">
        <v>1</v>
      </c>
      <c r="AP37" s="143"/>
      <c r="AQ37" s="143">
        <f t="shared" si="5"/>
        <v>9.8891275153840403E-3</v>
      </c>
      <c r="AR37" s="143">
        <f t="shared" si="6"/>
        <v>4.5737627562437946E-2</v>
      </c>
      <c r="AS37" s="143">
        <f t="shared" si="7"/>
        <v>9.4347589740170101E-2</v>
      </c>
      <c r="AT37" s="143">
        <f t="shared" si="8"/>
        <v>0.16904346792149744</v>
      </c>
      <c r="AU37" s="143">
        <f t="shared" si="9"/>
        <v>0.14205661529783487</v>
      </c>
      <c r="AV37" s="143">
        <f t="shared" si="10"/>
        <v>0.10677330479095831</v>
      </c>
      <c r="AW37" s="143">
        <f t="shared" si="11"/>
        <v>0.16054031000884023</v>
      </c>
      <c r="AX37" s="143">
        <f t="shared" si="12"/>
        <v>0.27161195716287712</v>
      </c>
      <c r="AY37" s="46"/>
      <c r="AZ37" s="152">
        <f>Shares!D78</f>
        <v>3.9</v>
      </c>
      <c r="BA37" s="152">
        <f>Shares!E78</f>
        <v>8.6</v>
      </c>
      <c r="BB37" s="152">
        <f>Shares!F78</f>
        <v>13.2</v>
      </c>
      <c r="BC37" s="152">
        <f>Shares!G78</f>
        <v>19.3</v>
      </c>
      <c r="BD37" s="152">
        <f>Shares!J78</f>
        <v>14</v>
      </c>
      <c r="BE37" s="152">
        <f>Shares!K78</f>
        <v>9.6999999999999993</v>
      </c>
      <c r="BF37" s="152">
        <f>Shares!L78</f>
        <v>13</v>
      </c>
      <c r="BG37" s="152">
        <f>Shares!M78</f>
        <v>19.100000000000001</v>
      </c>
      <c r="BI37" s="146">
        <f>TxRt!B81</f>
        <v>5.3</v>
      </c>
      <c r="BJ37" s="146">
        <f>TxRt!B124</f>
        <v>11</v>
      </c>
      <c r="BK37" s="146">
        <f>TxRt!B164</f>
        <v>14.8</v>
      </c>
      <c r="BL37" s="146">
        <f>TxRt!B204</f>
        <v>18.100000000000001</v>
      </c>
      <c r="BM37" s="146">
        <f>TxRt!B284</f>
        <v>20.9</v>
      </c>
      <c r="BN37" s="146">
        <f>TxRt!B324</f>
        <v>22.7</v>
      </c>
      <c r="BO37" s="146">
        <f>TxRt!B364</f>
        <v>25.4</v>
      </c>
      <c r="BP37" s="146">
        <f>TxRt!B404</f>
        <v>28.2</v>
      </c>
      <c r="BQ37" s="46"/>
      <c r="BR37" s="60">
        <f>Inc!B78</f>
        <v>21600</v>
      </c>
      <c r="BS37" s="60">
        <f>Inc!B118</f>
        <v>45900</v>
      </c>
      <c r="BT37" s="60">
        <f>Inc!B158</f>
        <v>72200</v>
      </c>
      <c r="BU37" s="60">
        <f>Inc!B198</f>
        <v>106700</v>
      </c>
      <c r="BV37" s="60">
        <f>Inc!B278</f>
        <v>150700</v>
      </c>
      <c r="BW37" s="60">
        <f>Inc!B318</f>
        <v>205100</v>
      </c>
      <c r="BX37" s="60">
        <f>Inc!B358</f>
        <v>344500</v>
      </c>
      <c r="BY37" s="60">
        <f>Inc!B398</f>
        <v>2099900</v>
      </c>
      <c r="CA37" s="60">
        <f t="shared" si="13"/>
        <v>1144.8</v>
      </c>
      <c r="CB37" s="60">
        <f t="shared" si="14"/>
        <v>5049</v>
      </c>
      <c r="CC37" s="60">
        <f t="shared" si="15"/>
        <v>10685.6</v>
      </c>
      <c r="CD37" s="60">
        <f t="shared" si="16"/>
        <v>19312.7</v>
      </c>
      <c r="CE37" s="60">
        <f t="shared" si="17"/>
        <v>31496.3</v>
      </c>
      <c r="CF37" s="60">
        <f t="shared" si="18"/>
        <v>46557.7</v>
      </c>
      <c r="CG37" s="60">
        <f t="shared" si="19"/>
        <v>87503</v>
      </c>
      <c r="CH37" s="60">
        <f t="shared" si="20"/>
        <v>592171.80000000005</v>
      </c>
      <c r="CJ37" s="153">
        <f t="shared" si="47"/>
        <v>25872.479999999996</v>
      </c>
      <c r="CK37" s="153">
        <f t="shared" si="21"/>
        <v>119661.3</v>
      </c>
      <c r="CL37" s="153">
        <f t="shared" si="22"/>
        <v>246837.36</v>
      </c>
      <c r="CM37" s="153">
        <f t="shared" si="23"/>
        <v>442260.83</v>
      </c>
      <c r="CN37" s="153">
        <f t="shared" si="24"/>
        <v>371656.34</v>
      </c>
      <c r="CO37" s="153">
        <f t="shared" si="25"/>
        <v>279346.19999999995</v>
      </c>
      <c r="CP37" s="153">
        <f t="shared" si="26"/>
        <v>420014.39999999997</v>
      </c>
      <c r="CQ37" s="153">
        <f t="shared" si="27"/>
        <v>710606.16</v>
      </c>
      <c r="CR37" s="153">
        <f t="shared" si="48"/>
        <v>2616255.0699999998</v>
      </c>
      <c r="CT37" s="39">
        <v>292.89999999999998</v>
      </c>
      <c r="CU37" s="276">
        <f>Dem!B78+(DD37/4)</f>
        <v>22.599999999999998</v>
      </c>
      <c r="CV37" s="276">
        <f>Dem!B118+(DD37/4)</f>
        <v>23.7</v>
      </c>
      <c r="CW37" s="276">
        <f>Dem!B158+(DD37/4)</f>
        <v>23.099999999999998</v>
      </c>
      <c r="CX37" s="276">
        <f>Dem!B198+(DD37/4)</f>
        <v>22.9</v>
      </c>
      <c r="CY37" s="276">
        <f>Dem!B278</f>
        <v>11.8</v>
      </c>
      <c r="CZ37" s="276">
        <f>Dem!B318</f>
        <v>6</v>
      </c>
      <c r="DA37" s="276">
        <f>Dem!B358</f>
        <v>4.8</v>
      </c>
      <c r="DB37" s="276">
        <f>Dem!B398</f>
        <v>1.2</v>
      </c>
      <c r="DC37" s="275">
        <v>116.9</v>
      </c>
      <c r="DD37" s="46">
        <v>-0.40000000000000568</v>
      </c>
      <c r="DE37" s="275"/>
      <c r="DF37" s="276">
        <f>Dem!$D78+(DO37/4)</f>
        <v>56.974999999999994</v>
      </c>
      <c r="DG37" s="276">
        <f>Dem!$D118+(DO37/4)</f>
        <v>58.274999999999999</v>
      </c>
      <c r="DH37" s="276">
        <f>Dem!$D158+(DO37/4)</f>
        <v>58.274999999999999</v>
      </c>
      <c r="DI37" s="276">
        <f>Dem!$D198+(DO37/4)</f>
        <v>58.274999999999999</v>
      </c>
      <c r="DJ37" s="275">
        <f>Dem!$D278</f>
        <v>29.3</v>
      </c>
      <c r="DK37" s="275">
        <f>Dem!$D318</f>
        <v>14.6</v>
      </c>
      <c r="DL37" s="275">
        <f>Dem!$D358</f>
        <v>11.7</v>
      </c>
      <c r="DM37" s="275">
        <f>Dem!$D398</f>
        <v>2.9</v>
      </c>
      <c r="DN37" s="276">
        <f t="shared" si="49"/>
        <v>292.89999999999998</v>
      </c>
      <c r="DO37" s="44">
        <v>-1.3000000000000114</v>
      </c>
    </row>
    <row r="38" spans="1:119">
      <c r="A38" s="46">
        <f t="shared" si="50"/>
        <v>2008</v>
      </c>
      <c r="B38" s="141">
        <f t="shared" si="28"/>
        <v>0.21734212712030798</v>
      </c>
      <c r="C38" s="46"/>
      <c r="D38" s="164">
        <f>SUM(G38:N38)*2</f>
        <v>0.75065279905706705</v>
      </c>
      <c r="E38" s="164">
        <f t="shared" si="30"/>
        <v>0.53331067193675907</v>
      </c>
      <c r="F38" s="37"/>
      <c r="G38" s="165">
        <f>(P$5-P38)*P$4</f>
        <v>3.9606238338162562E-2</v>
      </c>
      <c r="H38" s="165">
        <f t="shared" si="32"/>
        <v>7.1981368930982725E-2</v>
      </c>
      <c r="I38" s="165">
        <f t="shared" si="33"/>
        <v>9.3646526386399656E-2</v>
      </c>
      <c r="J38" s="165">
        <f t="shared" si="34"/>
        <v>9.8349050692142254E-2</v>
      </c>
      <c r="K38" s="165">
        <f t="shared" si="35"/>
        <v>4.389079420887184E-2</v>
      </c>
      <c r="L38" s="165">
        <f t="shared" si="36"/>
        <v>1.8451158059933383E-2</v>
      </c>
      <c r="M38" s="165">
        <f t="shared" si="37"/>
        <v>9.4012629120411931E-3</v>
      </c>
      <c r="N38" s="165">
        <f t="shared" si="38"/>
        <v>0</v>
      </c>
      <c r="O38" s="37"/>
      <c r="P38" s="154">
        <f t="shared" si="51"/>
        <v>1.9688083091872247E-3</v>
      </c>
      <c r="Q38" s="154">
        <f t="shared" si="52"/>
        <v>4.0093155345086395E-2</v>
      </c>
      <c r="R38" s="154">
        <f t="shared" si="53"/>
        <v>0.13176736806800182</v>
      </c>
      <c r="S38" s="154">
        <f t="shared" si="54"/>
        <v>0.3082547465392888</v>
      </c>
      <c r="T38" s="154">
        <f t="shared" si="55"/>
        <v>0.46109205791128166</v>
      </c>
      <c r="U38" s="154">
        <f t="shared" si="56"/>
        <v>0.58097683880133244</v>
      </c>
      <c r="V38" s="154">
        <f t="shared" si="57"/>
        <v>0.75496842719897028</v>
      </c>
      <c r="W38" s="162">
        <f t="shared" si="58"/>
        <v>1</v>
      </c>
      <c r="X38" s="154"/>
      <c r="Y38" s="142">
        <f t="shared" si="59"/>
        <v>3.2094861660079056E-2</v>
      </c>
      <c r="Z38" s="142">
        <f t="shared" si="60"/>
        <v>5.4308300395256928E-2</v>
      </c>
      <c r="AA38" s="142">
        <f t="shared" si="61"/>
        <v>6.6837944664031645E-2</v>
      </c>
      <c r="AB38" s="142">
        <f t="shared" si="62"/>
        <v>6.6521739130434812E-2</v>
      </c>
      <c r="AC38" s="142">
        <f t="shared" si="63"/>
        <v>2.8833992094861673E-2</v>
      </c>
      <c r="AD38" s="142">
        <f t="shared" si="64"/>
        <v>1.1976284584980247E-2</v>
      </c>
      <c r="AE38" s="142">
        <f t="shared" si="65"/>
        <v>6.0822134387351892E-3</v>
      </c>
      <c r="AF38" s="142">
        <f t="shared" si="66"/>
        <v>0</v>
      </c>
      <c r="AH38" s="158">
        <f t="shared" si="40"/>
        <v>3.9525691699604737E-2</v>
      </c>
      <c r="AI38" s="158">
        <f t="shared" si="41"/>
        <v>0.1284584980237154</v>
      </c>
      <c r="AJ38" s="158">
        <f t="shared" si="42"/>
        <v>0.26581027667984186</v>
      </c>
      <c r="AK38" s="158">
        <f t="shared" si="43"/>
        <v>0.467391304347826</v>
      </c>
      <c r="AL38" s="158">
        <f t="shared" si="44"/>
        <v>0.61166007905138331</v>
      </c>
      <c r="AM38" s="158">
        <f t="shared" si="45"/>
        <v>0.71047430830039515</v>
      </c>
      <c r="AN38" s="158">
        <f t="shared" si="46"/>
        <v>0.83794466403162038</v>
      </c>
      <c r="AO38" s="158">
        <v>1</v>
      </c>
      <c r="AP38" s="143"/>
      <c r="AQ38" s="143">
        <f t="shared" si="5"/>
        <v>1.9688083091872243E-3</v>
      </c>
      <c r="AR38" s="143">
        <f t="shared" si="6"/>
        <v>3.8124347035899162E-2</v>
      </c>
      <c r="AS38" s="143">
        <f t="shared" si="7"/>
        <v>9.1674212722915413E-2</v>
      </c>
      <c r="AT38" s="143">
        <f t="shared" si="8"/>
        <v>0.17648737847128695</v>
      </c>
      <c r="AU38" s="143">
        <f t="shared" si="9"/>
        <v>0.15283731137199283</v>
      </c>
      <c r="AV38" s="143">
        <f t="shared" si="10"/>
        <v>0.11988478089005078</v>
      </c>
      <c r="AW38" s="143">
        <f t="shared" si="11"/>
        <v>0.17399158839763779</v>
      </c>
      <c r="AX38" s="143">
        <f t="shared" si="12"/>
        <v>0.24503157280102975</v>
      </c>
      <c r="AY38" s="46"/>
      <c r="AZ38" s="152">
        <f>Shares!D79</f>
        <v>4</v>
      </c>
      <c r="BA38" s="152">
        <f>Shares!E79</f>
        <v>9</v>
      </c>
      <c r="BB38" s="152">
        <f>Shares!F79</f>
        <v>13.9</v>
      </c>
      <c r="BC38" s="152">
        <f>Shares!G79</f>
        <v>20.399999999999999</v>
      </c>
      <c r="BD38" s="152">
        <f>Shares!J79</f>
        <v>14.6</v>
      </c>
      <c r="BE38" s="152">
        <f>Shares!K79</f>
        <v>10</v>
      </c>
      <c r="BF38" s="152">
        <f>Shares!L79</f>
        <v>12.9</v>
      </c>
      <c r="BG38" s="152">
        <f>Shares!M79</f>
        <v>16.399999999999999</v>
      </c>
      <c r="BI38" s="146">
        <f>TxRt!B82</f>
        <v>0.9</v>
      </c>
      <c r="BJ38" s="146">
        <f>TxRt!B125</f>
        <v>7.8</v>
      </c>
      <c r="BK38" s="146">
        <f>TxRt!B165</f>
        <v>12.2</v>
      </c>
      <c r="BL38" s="146">
        <f>TxRt!B205</f>
        <v>16</v>
      </c>
      <c r="BM38" s="146">
        <f>TxRt!B285</f>
        <v>19.3</v>
      </c>
      <c r="BN38" s="146">
        <f>TxRt!B325</f>
        <v>21.8</v>
      </c>
      <c r="BO38" s="146">
        <f>TxRt!B365</f>
        <v>24.6</v>
      </c>
      <c r="BP38" s="146">
        <f>TxRt!B405</f>
        <v>28.1</v>
      </c>
      <c r="BQ38" s="46"/>
      <c r="BR38" s="60">
        <f>Inc!B79</f>
        <v>21200</v>
      </c>
      <c r="BS38" s="60">
        <f>Inc!B119</f>
        <v>44200</v>
      </c>
      <c r="BT38" s="60">
        <f>Inc!B159</f>
        <v>70000</v>
      </c>
      <c r="BU38" s="60">
        <f>Inc!B199</f>
        <v>104100</v>
      </c>
      <c r="BV38" s="60">
        <f>Inc!B279</f>
        <v>147700</v>
      </c>
      <c r="BW38" s="60">
        <f>Inc!B319</f>
        <v>198300</v>
      </c>
      <c r="BX38" s="60">
        <f>Inc!B359</f>
        <v>318800</v>
      </c>
      <c r="BY38" s="60">
        <f>Inc!B399</f>
        <v>1715100</v>
      </c>
      <c r="CA38" s="60">
        <f t="shared" si="13"/>
        <v>190.8</v>
      </c>
      <c r="CB38" s="60">
        <f t="shared" si="14"/>
        <v>3447.6</v>
      </c>
      <c r="CC38" s="60">
        <f t="shared" si="15"/>
        <v>8540</v>
      </c>
      <c r="CD38" s="60">
        <f t="shared" si="16"/>
        <v>16656</v>
      </c>
      <c r="CE38" s="60">
        <f t="shared" si="17"/>
        <v>28506.1</v>
      </c>
      <c r="CF38" s="60">
        <f t="shared" si="18"/>
        <v>43229.4</v>
      </c>
      <c r="CG38" s="60">
        <f t="shared" si="19"/>
        <v>78424.800000000003</v>
      </c>
      <c r="CH38" s="60">
        <f t="shared" si="20"/>
        <v>481943.1</v>
      </c>
      <c r="CJ38" s="153">
        <f t="shared" si="47"/>
        <v>4259.6099999999997</v>
      </c>
      <c r="CK38" s="153">
        <f t="shared" si="21"/>
        <v>82483.829999999987</v>
      </c>
      <c r="CL38" s="153">
        <f t="shared" si="22"/>
        <v>198341.49999999994</v>
      </c>
      <c r="CM38" s="153">
        <f t="shared" si="23"/>
        <v>381838.79999999993</v>
      </c>
      <c r="CN38" s="153">
        <f t="shared" si="24"/>
        <v>330670.75999999995</v>
      </c>
      <c r="CO38" s="153">
        <f t="shared" si="25"/>
        <v>259376.40000000002</v>
      </c>
      <c r="CP38" s="153">
        <f t="shared" si="26"/>
        <v>376439.03999999998</v>
      </c>
      <c r="CQ38" s="153">
        <f t="shared" si="27"/>
        <v>530137.41</v>
      </c>
      <c r="CR38" s="153">
        <f t="shared" si="48"/>
        <v>2163547.35</v>
      </c>
      <c r="CT38" s="39">
        <v>295.10000000000002</v>
      </c>
      <c r="CU38" s="276">
        <f>Dem!B79+(DD38/4)</f>
        <v>22.324999999999996</v>
      </c>
      <c r="CV38" s="276">
        <f>Dem!B119+(DD38/4)</f>
        <v>23.924999999999997</v>
      </c>
      <c r="CW38" s="276">
        <f>Dem!B159+(DD38/4)</f>
        <v>23.224999999999994</v>
      </c>
      <c r="CX38" s="276">
        <f>Dem!B199+(DD38/4)</f>
        <v>22.924999999999997</v>
      </c>
      <c r="CY38" s="276">
        <f>Dem!B279</f>
        <v>11.6</v>
      </c>
      <c r="CZ38" s="276">
        <f>Dem!B319</f>
        <v>6</v>
      </c>
      <c r="DA38" s="276">
        <f>Dem!B359</f>
        <v>4.8</v>
      </c>
      <c r="DB38" s="276">
        <f>Dem!B399</f>
        <v>1.1000000000000001</v>
      </c>
      <c r="DC38" s="275">
        <v>117.3</v>
      </c>
      <c r="DD38" s="46">
        <v>-0.70000000000001705</v>
      </c>
      <c r="DE38" s="275"/>
      <c r="DF38" s="276">
        <f>Dem!$D79+(DO38/4)</f>
        <v>57.125</v>
      </c>
      <c r="DG38" s="276">
        <f>Dem!$D119+(DO38/4)</f>
        <v>58.625</v>
      </c>
      <c r="DH38" s="276">
        <f>Dem!$D159+(DO38/4)</f>
        <v>58.625</v>
      </c>
      <c r="DI38" s="276">
        <f>Dem!$D199+(DO38/4)</f>
        <v>58.625</v>
      </c>
      <c r="DJ38" s="275">
        <f>Dem!$D279</f>
        <v>29.5</v>
      </c>
      <c r="DK38" s="275">
        <f>Dem!$D319</f>
        <v>14.8</v>
      </c>
      <c r="DL38" s="275">
        <f>Dem!$D359</f>
        <v>11.8</v>
      </c>
      <c r="DM38" s="275">
        <f>Dem!$D399</f>
        <v>3</v>
      </c>
      <c r="DN38" s="276">
        <f t="shared" si="49"/>
        <v>295.10000000000002</v>
      </c>
      <c r="DO38" s="44">
        <v>-1.5</v>
      </c>
    </row>
    <row r="39" spans="1:119">
      <c r="A39" s="46">
        <f t="shared" si="50"/>
        <v>2009</v>
      </c>
      <c r="B39" s="141">
        <f t="shared" si="28"/>
        <v>0.22528863785988273</v>
      </c>
      <c r="C39" s="46"/>
      <c r="D39" s="164">
        <f t="shared" si="29"/>
        <v>0.73747878564313418</v>
      </c>
      <c r="E39" s="164">
        <f t="shared" si="30"/>
        <v>0.51219014778325145</v>
      </c>
      <c r="F39" s="37"/>
      <c r="G39" s="165">
        <f t="shared" si="31"/>
        <v>4.0132425916415082E-2</v>
      </c>
      <c r="H39" s="165">
        <f t="shared" si="32"/>
        <v>7.2569462938848445E-2</v>
      </c>
      <c r="I39" s="165">
        <f t="shared" si="33"/>
        <v>9.3298535998309728E-2</v>
      </c>
      <c r="J39" s="165">
        <f t="shared" si="34"/>
        <v>9.5981325929378997E-2</v>
      </c>
      <c r="K39" s="165">
        <f t="shared" si="35"/>
        <v>4.1532593383959475E-2</v>
      </c>
      <c r="L39" s="165">
        <f t="shared" si="36"/>
        <v>1.7046965300247685E-2</v>
      </c>
      <c r="M39" s="165">
        <f t="shared" si="37"/>
        <v>8.1780833544076656E-3</v>
      </c>
      <c r="N39" s="165">
        <f t="shared" si="38"/>
        <v>0</v>
      </c>
      <c r="O39" s="37"/>
      <c r="P39" s="154">
        <f t="shared" si="51"/>
        <v>-6.6212958207535972E-4</v>
      </c>
      <c r="Q39" s="154">
        <f t="shared" si="52"/>
        <v>3.7152685305757834E-2</v>
      </c>
      <c r="R39" s="154">
        <f t="shared" si="53"/>
        <v>0.13350732000845142</v>
      </c>
      <c r="S39" s="154">
        <f t="shared" si="54"/>
        <v>0.32009337035310509</v>
      </c>
      <c r="T39" s="154">
        <f t="shared" si="55"/>
        <v>0.48467406616040531</v>
      </c>
      <c r="U39" s="154">
        <f t="shared" si="56"/>
        <v>0.60906069399504636</v>
      </c>
      <c r="V39" s="154">
        <f t="shared" si="57"/>
        <v>0.78554791613980846</v>
      </c>
      <c r="W39" s="162">
        <f t="shared" si="58"/>
        <v>1</v>
      </c>
      <c r="X39" s="154"/>
      <c r="Y39" s="142">
        <f t="shared" si="59"/>
        <v>3.2315270935960594E-2</v>
      </c>
      <c r="Z39" s="142">
        <f t="shared" si="60"/>
        <v>5.379310344827587E-2</v>
      </c>
      <c r="AA39" s="142">
        <f t="shared" si="61"/>
        <v>6.522167487684731E-2</v>
      </c>
      <c r="AB39" s="142">
        <f t="shared" si="62"/>
        <v>6.2857142857142875E-2</v>
      </c>
      <c r="AC39" s="142">
        <f t="shared" si="63"/>
        <v>2.6354679802955673E-2</v>
      </c>
      <c r="AD39" s="142">
        <f t="shared" si="64"/>
        <v>1.0554187192118231E-2</v>
      </c>
      <c r="AE39" s="142">
        <f t="shared" si="65"/>
        <v>4.9990147783251261E-3</v>
      </c>
      <c r="AF39" s="142">
        <f t="shared" si="66"/>
        <v>0</v>
      </c>
      <c r="AH39" s="158">
        <f t="shared" si="40"/>
        <v>3.8423645320197042E-2</v>
      </c>
      <c r="AI39" s="158">
        <f t="shared" si="41"/>
        <v>0.13103448275862067</v>
      </c>
      <c r="AJ39" s="158">
        <f t="shared" si="42"/>
        <v>0.27389162561576352</v>
      </c>
      <c r="AK39" s="158">
        <f t="shared" si="43"/>
        <v>0.48571428571428565</v>
      </c>
      <c r="AL39" s="158">
        <f t="shared" si="44"/>
        <v>0.63645320197044331</v>
      </c>
      <c r="AM39" s="158">
        <f t="shared" si="45"/>
        <v>0.73891625615763545</v>
      </c>
      <c r="AN39" s="158">
        <f t="shared" si="46"/>
        <v>0.86502463054187195</v>
      </c>
      <c r="AO39" s="158">
        <v>1</v>
      </c>
      <c r="AP39" s="143"/>
      <c r="AQ39" s="143">
        <f t="shared" si="5"/>
        <v>-6.6212958207535972E-4</v>
      </c>
      <c r="AR39" s="143">
        <f t="shared" si="6"/>
        <v>3.7814814887833191E-2</v>
      </c>
      <c r="AS39" s="143">
        <f t="shared" si="7"/>
        <v>9.6354634702693578E-2</v>
      </c>
      <c r="AT39" s="143">
        <f t="shared" si="8"/>
        <v>0.18658605034465367</v>
      </c>
      <c r="AU39" s="143">
        <f t="shared" si="9"/>
        <v>0.1645806958073002</v>
      </c>
      <c r="AV39" s="143">
        <f t="shared" si="10"/>
        <v>0.12438662783464106</v>
      </c>
      <c r="AW39" s="143">
        <f t="shared" si="11"/>
        <v>0.17648722214476212</v>
      </c>
      <c r="AX39" s="143">
        <f t="shared" si="12"/>
        <v>0.21445208386019152</v>
      </c>
      <c r="AY39" s="46"/>
      <c r="AZ39" s="152">
        <f>Shares!D80</f>
        <v>3.9</v>
      </c>
      <c r="BA39" s="152">
        <f>Shares!E80</f>
        <v>9.4</v>
      </c>
      <c r="BB39" s="152">
        <f>Shares!F80</f>
        <v>14.5</v>
      </c>
      <c r="BC39" s="152">
        <f>Shares!G80</f>
        <v>21.5</v>
      </c>
      <c r="BD39" s="152">
        <f>Shares!J80</f>
        <v>15.3</v>
      </c>
      <c r="BE39" s="152">
        <f>Shares!K80</f>
        <v>10.4</v>
      </c>
      <c r="BF39" s="152">
        <f>Shares!L80</f>
        <v>12.8</v>
      </c>
      <c r="BG39" s="152">
        <f>Shares!M80</f>
        <v>13.7</v>
      </c>
      <c r="BI39" s="146">
        <f>TxRt!B83</f>
        <v>-0.3</v>
      </c>
      <c r="BJ39" s="146">
        <f>TxRt!B126</f>
        <v>7.2</v>
      </c>
      <c r="BK39" s="146">
        <f>TxRt!B166</f>
        <v>11.8</v>
      </c>
      <c r="BL39" s="146">
        <f>TxRt!B206</f>
        <v>15.5</v>
      </c>
      <c r="BM39" s="146">
        <f>TxRt!B286</f>
        <v>18.899999999999999</v>
      </c>
      <c r="BN39" s="146">
        <f>TxRt!B326</f>
        <v>21.2</v>
      </c>
      <c r="BO39" s="146">
        <f>TxRt!B366</f>
        <v>24.2</v>
      </c>
      <c r="BP39" s="146">
        <f>TxRt!B406</f>
        <v>28.7</v>
      </c>
      <c r="BQ39" s="46"/>
      <c r="BR39" s="60">
        <f>Inc!B80</f>
        <v>20300</v>
      </c>
      <c r="BS39" s="60">
        <f>Inc!B120</f>
        <v>42900</v>
      </c>
      <c r="BT39" s="60">
        <f>Inc!B160</f>
        <v>68400</v>
      </c>
      <c r="BU39" s="60">
        <f>Inc!B200</f>
        <v>101700</v>
      </c>
      <c r="BV39" s="60">
        <f>Inc!B280</f>
        <v>144200</v>
      </c>
      <c r="BW39" s="60">
        <f>Inc!B320</f>
        <v>192700</v>
      </c>
      <c r="BX39" s="60">
        <f>Inc!B360</f>
        <v>299400</v>
      </c>
      <c r="BY39" s="60">
        <f>Inc!B400</f>
        <v>1338600</v>
      </c>
      <c r="CA39" s="60">
        <f t="shared" si="13"/>
        <v>-60.9</v>
      </c>
      <c r="CB39" s="60">
        <f t="shared" si="14"/>
        <v>3088.8</v>
      </c>
      <c r="CC39" s="60">
        <f t="shared" si="15"/>
        <v>8071.2</v>
      </c>
      <c r="CD39" s="60">
        <f t="shared" si="16"/>
        <v>15763.5</v>
      </c>
      <c r="CE39" s="60">
        <f t="shared" si="17"/>
        <v>27253.8</v>
      </c>
      <c r="CF39" s="60">
        <f t="shared" si="18"/>
        <v>40852.400000000001</v>
      </c>
      <c r="CG39" s="60">
        <f t="shared" si="19"/>
        <v>72454.8</v>
      </c>
      <c r="CH39" s="60">
        <f t="shared" si="20"/>
        <v>384178.2</v>
      </c>
      <c r="CJ39" s="153">
        <f t="shared" si="47"/>
        <v>-1304.7825000000003</v>
      </c>
      <c r="CK39" s="153">
        <f t="shared" si="21"/>
        <v>74517.300000000017</v>
      </c>
      <c r="CL39" s="153">
        <f t="shared" si="22"/>
        <v>189874.98</v>
      </c>
      <c r="CM39" s="153">
        <f t="shared" si="23"/>
        <v>367683.63750000007</v>
      </c>
      <c r="CN39" s="153">
        <f t="shared" si="24"/>
        <v>324320.21999999997</v>
      </c>
      <c r="CO39" s="153">
        <f t="shared" si="25"/>
        <v>245114.40000000002</v>
      </c>
      <c r="CP39" s="153">
        <f t="shared" si="26"/>
        <v>347783.04</v>
      </c>
      <c r="CQ39" s="153">
        <f t="shared" si="27"/>
        <v>422596.02</v>
      </c>
      <c r="CR39" s="153">
        <f t="shared" si="48"/>
        <v>1970584.8150000002</v>
      </c>
      <c r="CT39" s="39">
        <v>298</v>
      </c>
      <c r="CU39" s="276">
        <f>Dem!B80+(DD39/4)</f>
        <v>21.425000000000004</v>
      </c>
      <c r="CV39" s="276">
        <f>Dem!B120+(DD39/4)</f>
        <v>24.125000000000004</v>
      </c>
      <c r="CW39" s="276">
        <f>Dem!B160+(DD39/4)</f>
        <v>23.525000000000002</v>
      </c>
      <c r="CX39" s="276">
        <f>Dem!B200+(DD39/4)</f>
        <v>23.325000000000003</v>
      </c>
      <c r="CY39" s="276">
        <f>Dem!B280</f>
        <v>11.9</v>
      </c>
      <c r="CZ39" s="276">
        <f>Dem!B320</f>
        <v>6</v>
      </c>
      <c r="DA39" s="276">
        <f>Dem!B360</f>
        <v>4.8</v>
      </c>
      <c r="DB39" s="276">
        <f>Dem!B400</f>
        <v>1.1000000000000001</v>
      </c>
      <c r="DC39" s="275">
        <v>117.6</v>
      </c>
      <c r="DD39" s="46">
        <v>-0.69999999999998863</v>
      </c>
      <c r="DE39" s="275"/>
      <c r="DF39" s="276">
        <f>Dem!$D80+(DO39/4)</f>
        <v>57.474999999999987</v>
      </c>
      <c r="DG39" s="276">
        <f>Dem!$D120+(DO39/4)</f>
        <v>59.17499999999999</v>
      </c>
      <c r="DH39" s="276">
        <f>Dem!$D160+(DO39/4)</f>
        <v>59.17499999999999</v>
      </c>
      <c r="DI39" s="276">
        <f>Dem!$D200+(DO39/4)</f>
        <v>59.17499999999999</v>
      </c>
      <c r="DJ39" s="275">
        <f>Dem!$D280</f>
        <v>29.8</v>
      </c>
      <c r="DK39" s="275">
        <f>Dem!$D320</f>
        <v>14.9</v>
      </c>
      <c r="DL39" s="275">
        <f>Dem!$D360</f>
        <v>11.9</v>
      </c>
      <c r="DM39" s="275">
        <f>Dem!$D400</f>
        <v>3</v>
      </c>
      <c r="DN39" s="276">
        <f t="shared" si="49"/>
        <v>298</v>
      </c>
      <c r="DO39" s="44">
        <v>-1.7000000000000455</v>
      </c>
    </row>
    <row r="40" spans="1:119">
      <c r="A40" s="46">
        <f t="shared" si="50"/>
        <v>2010</v>
      </c>
      <c r="B40" s="141">
        <f t="shared" si="28"/>
        <v>0.22774320435924211</v>
      </c>
      <c r="C40" s="46"/>
      <c r="D40" s="141">
        <f t="shared" si="29"/>
        <v>0.75543432861959736</v>
      </c>
      <c r="E40" s="141">
        <f t="shared" si="30"/>
        <v>0.52769112426035525</v>
      </c>
      <c r="F40" s="46"/>
      <c r="G40" s="157">
        <f t="shared" si="31"/>
        <v>4.0000000000000008E-2</v>
      </c>
      <c r="H40" s="157">
        <f t="shared" si="32"/>
        <v>7.2622115852841271E-2</v>
      </c>
      <c r="I40" s="157">
        <f t="shared" si="33"/>
        <v>9.4277664377177939E-2</v>
      </c>
      <c r="J40" s="157">
        <f t="shared" si="34"/>
        <v>9.8840221926168467E-2</v>
      </c>
      <c r="K40" s="157">
        <f t="shared" si="35"/>
        <v>4.3861045074273741E-2</v>
      </c>
      <c r="L40" s="157">
        <f t="shared" si="36"/>
        <v>1.850485844604572E-2</v>
      </c>
      <c r="M40" s="157">
        <f t="shared" si="37"/>
        <v>9.6112586332915573E-3</v>
      </c>
      <c r="N40" s="157">
        <f t="shared" si="38"/>
        <v>0</v>
      </c>
      <c r="O40" s="46"/>
      <c r="P40" s="154">
        <f t="shared" si="51"/>
        <v>0</v>
      </c>
      <c r="Q40" s="154">
        <f t="shared" si="52"/>
        <v>3.6889420735793634E-2</v>
      </c>
      <c r="R40" s="154">
        <f t="shared" si="53"/>
        <v>0.12861167811411042</v>
      </c>
      <c r="S40" s="154">
        <f t="shared" si="54"/>
        <v>0.30579889036915775</v>
      </c>
      <c r="T40" s="154">
        <f t="shared" si="55"/>
        <v>0.46138954925726261</v>
      </c>
      <c r="U40" s="154">
        <f t="shared" si="56"/>
        <v>0.57990283107908569</v>
      </c>
      <c r="V40" s="154">
        <f t="shared" si="57"/>
        <v>0.74971853416771117</v>
      </c>
      <c r="W40" s="162">
        <f t="shared" si="58"/>
        <v>1</v>
      </c>
      <c r="X40" s="154"/>
      <c r="Y40" s="142">
        <f t="shared" si="59"/>
        <v>3.2504930966469434E-2</v>
      </c>
      <c r="Z40" s="142">
        <f t="shared" si="60"/>
        <v>5.4556213017751487E-2</v>
      </c>
      <c r="AA40" s="142">
        <f t="shared" si="61"/>
        <v>6.6548323471400425E-2</v>
      </c>
      <c r="AB40" s="142">
        <f t="shared" si="62"/>
        <v>6.5325443786982268E-2</v>
      </c>
      <c r="AC40" s="142">
        <f t="shared" si="63"/>
        <v>2.786982248520711E-2</v>
      </c>
      <c r="AD40" s="142">
        <f t="shared" si="64"/>
        <v>1.1405325443786991E-2</v>
      </c>
      <c r="AE40" s="142">
        <f t="shared" si="65"/>
        <v>5.6355029585798896E-3</v>
      </c>
      <c r="AF40" s="142">
        <f t="shared" si="66"/>
        <v>0</v>
      </c>
      <c r="AH40" s="158">
        <f t="shared" si="40"/>
        <v>3.7475345167652857E-2</v>
      </c>
      <c r="AI40" s="158">
        <f t="shared" si="41"/>
        <v>0.12721893491124259</v>
      </c>
      <c r="AJ40" s="158">
        <f t="shared" si="42"/>
        <v>0.267258382642998</v>
      </c>
      <c r="AK40" s="158">
        <f t="shared" si="43"/>
        <v>0.47337278106508873</v>
      </c>
      <c r="AL40" s="158">
        <f t="shared" si="44"/>
        <v>0.62130177514792895</v>
      </c>
      <c r="AM40" s="158">
        <f t="shared" si="45"/>
        <v>0.72189349112426027</v>
      </c>
      <c r="AN40" s="158">
        <f t="shared" si="46"/>
        <v>0.84911242603550285</v>
      </c>
      <c r="AO40" s="158">
        <v>1</v>
      </c>
      <c r="AP40" s="143"/>
      <c r="AQ40" s="143">
        <f t="shared" si="5"/>
        <v>0</v>
      </c>
      <c r="AR40" s="143">
        <f t="shared" si="6"/>
        <v>3.6889420735793634E-2</v>
      </c>
      <c r="AS40" s="143">
        <f t="shared" si="7"/>
        <v>9.1722257378316796E-2</v>
      </c>
      <c r="AT40" s="143">
        <f t="shared" si="8"/>
        <v>0.1771872122550473</v>
      </c>
      <c r="AU40" s="143">
        <f t="shared" si="9"/>
        <v>0.15559065888810483</v>
      </c>
      <c r="AV40" s="143">
        <f t="shared" si="10"/>
        <v>0.11851328182182311</v>
      </c>
      <c r="AW40" s="143">
        <f t="shared" si="11"/>
        <v>0.16981570308862548</v>
      </c>
      <c r="AX40" s="143">
        <f t="shared" si="12"/>
        <v>0.25028146583228883</v>
      </c>
      <c r="AY40" s="46"/>
      <c r="AZ40" s="152">
        <f>Shares!D81</f>
        <v>3.8</v>
      </c>
      <c r="BA40" s="152">
        <f>Shares!E81</f>
        <v>9.1</v>
      </c>
      <c r="BB40" s="152">
        <f>Shares!F81</f>
        <v>14.2</v>
      </c>
      <c r="BC40" s="152">
        <f>Shares!G81</f>
        <v>20.9</v>
      </c>
      <c r="BD40" s="152">
        <f>Shares!J81</f>
        <v>15</v>
      </c>
      <c r="BE40" s="152">
        <f>Shares!K81</f>
        <v>10.199999999999999</v>
      </c>
      <c r="BF40" s="152">
        <f>Shares!L81</f>
        <v>12.9</v>
      </c>
      <c r="BG40" s="152">
        <f>Shares!M81</f>
        <v>15.3</v>
      </c>
      <c r="BI40" s="146">
        <f>TxRt!B84</f>
        <v>0</v>
      </c>
      <c r="BJ40" s="146">
        <f>TxRt!B127</f>
        <v>7.6</v>
      </c>
      <c r="BK40" s="146">
        <f>TxRt!B167</f>
        <v>12.1</v>
      </c>
      <c r="BL40" s="146">
        <f>TxRt!B207</f>
        <v>15.9</v>
      </c>
      <c r="BM40" s="146">
        <f>TxRt!B287</f>
        <v>19.399999999999999</v>
      </c>
      <c r="BN40" s="146">
        <f>TxRt!B327</f>
        <v>21.6</v>
      </c>
      <c r="BO40" s="146">
        <f>TxRt!B367</f>
        <v>24.8</v>
      </c>
      <c r="BP40" s="146">
        <f>TxRt!B407</f>
        <v>29.3</v>
      </c>
      <c r="BQ40" s="46"/>
      <c r="BR40" s="60">
        <f>Inc!B81</f>
        <v>19800</v>
      </c>
      <c r="BS40" s="60">
        <f>Inc!B121</f>
        <v>42300</v>
      </c>
      <c r="BT40" s="60">
        <f>Inc!B161</f>
        <v>67700</v>
      </c>
      <c r="BU40" s="60">
        <f>Inc!B201</f>
        <v>101200</v>
      </c>
      <c r="BV40" s="60">
        <f>Inc!B281</f>
        <v>144300</v>
      </c>
      <c r="BW40" s="60">
        <f>Inc!B321</f>
        <v>194200</v>
      </c>
      <c r="BX40" s="60">
        <f>Inc!B361</f>
        <v>308000</v>
      </c>
      <c r="BY40" s="60">
        <f>Inc!B401</f>
        <v>1536900</v>
      </c>
      <c r="CA40" s="60">
        <f t="shared" si="13"/>
        <v>0</v>
      </c>
      <c r="CB40" s="60">
        <f t="shared" si="14"/>
        <v>3214.8</v>
      </c>
      <c r="CC40" s="60">
        <f t="shared" si="15"/>
        <v>8191.7</v>
      </c>
      <c r="CD40" s="60">
        <f t="shared" si="16"/>
        <v>16090.8</v>
      </c>
      <c r="CE40" s="60">
        <f t="shared" si="17"/>
        <v>27994.2</v>
      </c>
      <c r="CF40" s="60">
        <f t="shared" si="18"/>
        <v>41947.199999999997</v>
      </c>
      <c r="CG40" s="60">
        <f t="shared" si="19"/>
        <v>76384</v>
      </c>
      <c r="CH40" s="60">
        <f t="shared" si="20"/>
        <v>450311.7</v>
      </c>
      <c r="CJ40" s="153">
        <f t="shared" si="47"/>
        <v>0</v>
      </c>
      <c r="CK40" s="153">
        <f t="shared" si="21"/>
        <v>79646.67</v>
      </c>
      <c r="CL40" s="153">
        <f t="shared" si="22"/>
        <v>198034.3475</v>
      </c>
      <c r="CM40" s="153">
        <f t="shared" si="23"/>
        <v>382558.76999999996</v>
      </c>
      <c r="CN40" s="153">
        <f t="shared" si="24"/>
        <v>335930.4</v>
      </c>
      <c r="CO40" s="153">
        <f t="shared" si="25"/>
        <v>255877.91999999995</v>
      </c>
      <c r="CP40" s="153">
        <f t="shared" si="26"/>
        <v>366643.20000000001</v>
      </c>
      <c r="CQ40" s="153">
        <f t="shared" si="27"/>
        <v>540374.04</v>
      </c>
      <c r="CR40" s="153">
        <f t="shared" si="48"/>
        <v>2159065.3475000001</v>
      </c>
      <c r="CT40" s="39">
        <v>301.39999999999998</v>
      </c>
      <c r="CU40" s="276">
        <f>Dem!B81+(DD40/4)</f>
        <v>22.175000000000001</v>
      </c>
      <c r="CV40" s="276">
        <f>Dem!B121+(DD40/4)</f>
        <v>24.774999999999999</v>
      </c>
      <c r="CW40" s="276">
        <f>Dem!B161+(DD40/4)</f>
        <v>24.175000000000001</v>
      </c>
      <c r="CX40" s="276">
        <f>Dem!B201+(DD40/4)</f>
        <v>23.774999999999999</v>
      </c>
      <c r="CY40" s="276">
        <f>Dem!B281</f>
        <v>12</v>
      </c>
      <c r="CZ40" s="276">
        <f>Dem!B321</f>
        <v>6.1</v>
      </c>
      <c r="DA40" s="276">
        <f>Dem!B361</f>
        <v>4.8</v>
      </c>
      <c r="DB40" s="276">
        <f>Dem!B401</f>
        <v>1.2</v>
      </c>
      <c r="DC40" s="275">
        <v>120</v>
      </c>
      <c r="DD40" s="46">
        <v>-0.5</v>
      </c>
      <c r="DE40" s="275"/>
      <c r="DF40" s="276">
        <f>Dem!$D81+(DO40/4)</f>
        <v>58.325000000000031</v>
      </c>
      <c r="DG40" s="276">
        <f>Dem!$D121+(DO40/4)</f>
        <v>59.925000000000026</v>
      </c>
      <c r="DH40" s="276">
        <f>Dem!$D161+(DO40/4)</f>
        <v>59.925000000000026</v>
      </c>
      <c r="DI40" s="276">
        <f>Dem!$D201+(DO40/4)</f>
        <v>59.925000000000026</v>
      </c>
      <c r="DJ40" s="275">
        <f>Dem!$D281</f>
        <v>30.1</v>
      </c>
      <c r="DK40" s="275">
        <f>Dem!$D321</f>
        <v>15.1</v>
      </c>
      <c r="DL40" s="275">
        <f>Dem!$D361</f>
        <v>12.1</v>
      </c>
      <c r="DM40" s="275">
        <f>Dem!$D401</f>
        <v>3</v>
      </c>
      <c r="DN40" s="276">
        <f t="shared" si="49"/>
        <v>301.39999999999998</v>
      </c>
      <c r="DO40" s="44">
        <v>-1.4999999999998863</v>
      </c>
    </row>
    <row r="41" spans="1:119">
      <c r="A41" s="46">
        <f t="shared" si="50"/>
        <v>2011</v>
      </c>
      <c r="B41" s="141">
        <f t="shared" si="28"/>
        <v>0.21759084912036042</v>
      </c>
      <c r="C41" s="46"/>
      <c r="D41" s="141">
        <f t="shared" si="29"/>
        <v>0.7447819646188798</v>
      </c>
      <c r="E41" s="141">
        <f t="shared" si="30"/>
        <v>0.52719111549851938</v>
      </c>
      <c r="F41" s="46"/>
      <c r="G41" s="157">
        <f t="shared" si="31"/>
        <v>3.9739144909878898E-2</v>
      </c>
      <c r="H41" s="157">
        <f t="shared" si="32"/>
        <v>7.2048617862236319E-2</v>
      </c>
      <c r="I41" s="157">
        <f t="shared" si="33"/>
        <v>9.3482732356689274E-2</v>
      </c>
      <c r="J41" s="157">
        <f t="shared" si="34"/>
        <v>9.7337512529535153E-2</v>
      </c>
      <c r="K41" s="157">
        <f t="shared" si="35"/>
        <v>4.2942667515572297E-2</v>
      </c>
      <c r="L41" s="157">
        <f t="shared" si="36"/>
        <v>1.7909276323898767E-2</v>
      </c>
      <c r="M41" s="157">
        <f t="shared" si="37"/>
        <v>8.9310308116291957E-3</v>
      </c>
      <c r="N41" s="157">
        <f t="shared" si="38"/>
        <v>0</v>
      </c>
      <c r="O41" s="46"/>
      <c r="P41" s="154">
        <f t="shared" si="51"/>
        <v>1.3042754506055062E-3</v>
      </c>
      <c r="Q41" s="154">
        <f t="shared" si="52"/>
        <v>3.9756910688818418E-2</v>
      </c>
      <c r="R41" s="154">
        <f t="shared" si="53"/>
        <v>0.13258633821655372</v>
      </c>
      <c r="S41" s="154">
        <f t="shared" si="54"/>
        <v>0.31331243735232428</v>
      </c>
      <c r="T41" s="154">
        <f t="shared" si="55"/>
        <v>0.47057332484427711</v>
      </c>
      <c r="U41" s="154">
        <f t="shared" si="56"/>
        <v>0.59181447352202476</v>
      </c>
      <c r="V41" s="154">
        <f t="shared" si="57"/>
        <v>0.76672422970927023</v>
      </c>
      <c r="W41" s="162">
        <f t="shared" si="58"/>
        <v>1</v>
      </c>
      <c r="X41" s="154"/>
      <c r="Y41" s="142">
        <f t="shared" si="59"/>
        <v>3.2300098716683122E-2</v>
      </c>
      <c r="Z41" s="142">
        <f t="shared" si="60"/>
        <v>5.4333662388943743E-2</v>
      </c>
      <c r="AA41" s="142">
        <f t="shared" si="61"/>
        <v>6.6692991115498534E-2</v>
      </c>
      <c r="AB41" s="142">
        <f t="shared" si="62"/>
        <v>6.5429417571569601E-2</v>
      </c>
      <c r="AC41" s="142">
        <f t="shared" si="63"/>
        <v>2.7907206317867729E-2</v>
      </c>
      <c r="AD41" s="142">
        <f t="shared" si="64"/>
        <v>1.1369693978282337E-2</v>
      </c>
      <c r="AE41" s="142">
        <f t="shared" si="65"/>
        <v>5.5624876604146193E-3</v>
      </c>
      <c r="AF41" s="142">
        <f t="shared" si="66"/>
        <v>0</v>
      </c>
      <c r="AH41" s="158">
        <f t="shared" si="40"/>
        <v>3.8499506416584402E-2</v>
      </c>
      <c r="AI41" s="158">
        <f t="shared" si="41"/>
        <v>0.12833168805528133</v>
      </c>
      <c r="AJ41" s="158">
        <f t="shared" si="42"/>
        <v>0.26653504442250742</v>
      </c>
      <c r="AK41" s="158">
        <f t="shared" si="43"/>
        <v>0.47285291214215203</v>
      </c>
      <c r="AL41" s="158">
        <f t="shared" si="44"/>
        <v>0.62092793682132275</v>
      </c>
      <c r="AM41" s="158">
        <f t="shared" si="45"/>
        <v>0.72260612043435335</v>
      </c>
      <c r="AN41" s="158">
        <f t="shared" si="46"/>
        <v>0.85093780848963463</v>
      </c>
      <c r="AO41" s="158">
        <v>1</v>
      </c>
      <c r="AP41" s="143"/>
      <c r="AQ41" s="143">
        <f t="shared" si="5"/>
        <v>1.3042754506055062E-3</v>
      </c>
      <c r="AR41" s="143">
        <f t="shared" si="6"/>
        <v>3.8452635238212914E-2</v>
      </c>
      <c r="AS41" s="143">
        <f t="shared" si="7"/>
        <v>9.2829427527735306E-2</v>
      </c>
      <c r="AT41" s="143">
        <f t="shared" si="8"/>
        <v>0.18072609913577056</v>
      </c>
      <c r="AU41" s="143">
        <f t="shared" si="9"/>
        <v>0.15726088749195283</v>
      </c>
      <c r="AV41" s="143">
        <f t="shared" si="10"/>
        <v>0.1212411486777477</v>
      </c>
      <c r="AW41" s="143">
        <f t="shared" si="11"/>
        <v>0.17490975618724544</v>
      </c>
      <c r="AX41" s="143">
        <f t="shared" si="12"/>
        <v>0.23327577029072985</v>
      </c>
      <c r="AY41" s="46"/>
      <c r="AZ41" s="152">
        <f>Shares!D82</f>
        <v>3.9</v>
      </c>
      <c r="BA41" s="152">
        <f>Shares!E82</f>
        <v>9.1</v>
      </c>
      <c r="BB41" s="152">
        <f>Shares!F82</f>
        <v>14</v>
      </c>
      <c r="BC41" s="152">
        <f>Shares!G82</f>
        <v>20.9</v>
      </c>
      <c r="BD41" s="152">
        <f>Shares!J82</f>
        <v>15</v>
      </c>
      <c r="BE41" s="152">
        <f>Shares!K82</f>
        <v>10.3</v>
      </c>
      <c r="BF41" s="152">
        <f>Shares!L82</f>
        <v>13</v>
      </c>
      <c r="BG41" s="152">
        <f>Shares!M82</f>
        <v>15.1</v>
      </c>
      <c r="BI41" s="146">
        <f>TxRt!B85</f>
        <v>0.6</v>
      </c>
      <c r="BJ41" s="146">
        <f>TxRt!B128</f>
        <v>7.7</v>
      </c>
      <c r="BK41" s="146">
        <f>TxRt!B168</f>
        <v>12</v>
      </c>
      <c r="BL41" s="146">
        <f>TxRt!B208</f>
        <v>15.7</v>
      </c>
      <c r="BM41" s="146">
        <f>TxRt!B288</f>
        <v>18.899999999999999</v>
      </c>
      <c r="BN41" s="146">
        <f>TxRt!B328</f>
        <v>21.2</v>
      </c>
      <c r="BO41" s="146">
        <f>TxRt!B368</f>
        <v>24.3</v>
      </c>
      <c r="BP41" s="146">
        <f>TxRt!B408</f>
        <v>29</v>
      </c>
      <c r="BQ41" s="46"/>
      <c r="BR41" s="60">
        <f>Inc!B82</f>
        <v>20100</v>
      </c>
      <c r="BS41" s="60">
        <f>Inc!B122</f>
        <v>42100</v>
      </c>
      <c r="BT41" s="60">
        <f>Inc!B162</f>
        <v>67100</v>
      </c>
      <c r="BU41" s="60">
        <f>Inc!B202</f>
        <v>101100</v>
      </c>
      <c r="BV41" s="60">
        <f>Inc!B282</f>
        <v>145700</v>
      </c>
      <c r="BW41" s="60">
        <f>Inc!B322</f>
        <v>197000</v>
      </c>
      <c r="BX41" s="60">
        <f>Inc!B362</f>
        <v>315100</v>
      </c>
      <c r="BY41" s="60">
        <f>Inc!B402</f>
        <v>1536600</v>
      </c>
      <c r="CA41" s="60">
        <f t="shared" si="13"/>
        <v>120.6</v>
      </c>
      <c r="CB41" s="60">
        <f t="shared" si="14"/>
        <v>3241.7</v>
      </c>
      <c r="CC41" s="60">
        <f t="shared" si="15"/>
        <v>8052</v>
      </c>
      <c r="CD41" s="60">
        <f t="shared" si="16"/>
        <v>15872.7</v>
      </c>
      <c r="CE41" s="60">
        <f t="shared" si="17"/>
        <v>27537.3</v>
      </c>
      <c r="CF41" s="60">
        <f t="shared" si="18"/>
        <v>41764</v>
      </c>
      <c r="CG41" s="60">
        <f t="shared" si="19"/>
        <v>76569.3</v>
      </c>
      <c r="CH41" s="60">
        <f t="shared" si="20"/>
        <v>445614</v>
      </c>
      <c r="CJ41" s="153">
        <f t="shared" si="47"/>
        <v>2740.6349999999993</v>
      </c>
      <c r="CK41" s="153">
        <f t="shared" si="21"/>
        <v>80799.372499999983</v>
      </c>
      <c r="CL41" s="153">
        <f t="shared" si="22"/>
        <v>195059.69999999995</v>
      </c>
      <c r="CM41" s="153">
        <f t="shared" si="23"/>
        <v>379754.34749999997</v>
      </c>
      <c r="CN41" s="153">
        <f t="shared" si="24"/>
        <v>330447.59999999998</v>
      </c>
      <c r="CO41" s="153">
        <f t="shared" si="25"/>
        <v>254760.4</v>
      </c>
      <c r="CP41" s="153">
        <f t="shared" si="26"/>
        <v>367532.64</v>
      </c>
      <c r="CQ41" s="153">
        <f t="shared" si="27"/>
        <v>490175.4</v>
      </c>
      <c r="CR41" s="153">
        <f t="shared" si="48"/>
        <v>2101270.0949999997</v>
      </c>
      <c r="CT41" s="39">
        <v>302.5</v>
      </c>
      <c r="CU41" s="276">
        <f>Dem!B82+(DD41/4)</f>
        <v>22.724999999999994</v>
      </c>
      <c r="CV41" s="276">
        <f>Dem!B122+(DD41/4)</f>
        <v>24.924999999999997</v>
      </c>
      <c r="CW41" s="276">
        <f>Dem!B162+(DD41/4)</f>
        <v>24.224999999999994</v>
      </c>
      <c r="CX41" s="276">
        <f>Dem!B202+(DD41/4)</f>
        <v>23.924999999999997</v>
      </c>
      <c r="CY41" s="276">
        <f>Dem!B282</f>
        <v>12</v>
      </c>
      <c r="CZ41" s="276">
        <f>Dem!B322</f>
        <v>6.1</v>
      </c>
      <c r="DA41" s="276">
        <f>Dem!B362</f>
        <v>4.8</v>
      </c>
      <c r="DB41" s="276">
        <f>Dem!B402</f>
        <v>1.1000000000000001</v>
      </c>
      <c r="DC41" s="275">
        <v>121.2</v>
      </c>
      <c r="DD41" s="46">
        <v>-0.70000000000001705</v>
      </c>
      <c r="DE41" s="275"/>
      <c r="DF41" s="276">
        <f>Dem!$D82+(DO41/4)</f>
        <v>58.625000000000014</v>
      </c>
      <c r="DG41" s="276">
        <f>Dem!$D122+(DO41/4)</f>
        <v>60.125000000000014</v>
      </c>
      <c r="DH41" s="276">
        <f>Dem!$D162+(DO41/4)</f>
        <v>60.125000000000014</v>
      </c>
      <c r="DI41" s="276">
        <f>Dem!$D202+(DO41/4)</f>
        <v>60.125000000000014</v>
      </c>
      <c r="DJ41" s="275">
        <f>Dem!$D282</f>
        <v>30.3</v>
      </c>
      <c r="DK41" s="275">
        <f>Dem!$D322</f>
        <v>15.1</v>
      </c>
      <c r="DL41" s="275">
        <f>Dem!$D362</f>
        <v>12.1</v>
      </c>
      <c r="DM41" s="275">
        <f>Dem!$D402</f>
        <v>3</v>
      </c>
      <c r="DN41" s="276">
        <f t="shared" si="49"/>
        <v>302.5</v>
      </c>
      <c r="DO41" s="44">
        <v>-1.4999999999999432</v>
      </c>
    </row>
    <row r="42" spans="1:119">
      <c r="A42" s="46">
        <f t="shared" si="50"/>
        <v>2012</v>
      </c>
      <c r="B42" s="141">
        <f t="shared" si="28"/>
        <v>0.21777168724923168</v>
      </c>
      <c r="C42" s="46"/>
      <c r="D42" s="141">
        <f t="shared" si="29"/>
        <v>0.77394602091162057</v>
      </c>
      <c r="E42" s="141">
        <f t="shared" si="30"/>
        <v>0.55617433366238889</v>
      </c>
      <c r="F42" s="46"/>
      <c r="G42" s="157">
        <f t="shared" si="31"/>
        <v>3.9663063288016061E-2</v>
      </c>
      <c r="H42" s="157">
        <f t="shared" si="32"/>
        <v>7.2783649361842895E-2</v>
      </c>
      <c r="I42" s="157">
        <f t="shared" si="33"/>
        <v>9.5565637417198646E-2</v>
      </c>
      <c r="J42" s="157">
        <f t="shared" si="34"/>
        <v>0.10207313221647651</v>
      </c>
      <c r="K42" s="157">
        <f t="shared" si="35"/>
        <v>4.6260940009229493E-2</v>
      </c>
      <c r="L42" s="157">
        <f t="shared" si="36"/>
        <v>1.9922798927291131E-2</v>
      </c>
      <c r="M42" s="157">
        <f t="shared" si="37"/>
        <v>1.0703789235755568E-2</v>
      </c>
      <c r="N42" s="157">
        <f t="shared" si="38"/>
        <v>0</v>
      </c>
      <c r="O42" s="46"/>
      <c r="P42" s="154">
        <f t="shared" si="51"/>
        <v>1.6846835599197139E-3</v>
      </c>
      <c r="Q42" s="154">
        <f t="shared" si="52"/>
        <v>3.6081753190785576E-2</v>
      </c>
      <c r="R42" s="154">
        <f t="shared" si="53"/>
        <v>0.1221718129140069</v>
      </c>
      <c r="S42" s="154">
        <f t="shared" si="54"/>
        <v>0.28963433891761742</v>
      </c>
      <c r="T42" s="154">
        <f t="shared" si="55"/>
        <v>0.43739059990770512</v>
      </c>
      <c r="U42" s="154">
        <f t="shared" si="56"/>
        <v>0.55154402145417747</v>
      </c>
      <c r="V42" s="154">
        <f t="shared" si="57"/>
        <v>0.72240526910611091</v>
      </c>
      <c r="W42" s="162">
        <f t="shared" si="58"/>
        <v>1</v>
      </c>
      <c r="X42" s="154"/>
      <c r="Y42" s="142">
        <f t="shared" si="59"/>
        <v>3.2892398815399806E-2</v>
      </c>
      <c r="Z42" s="142">
        <f t="shared" si="60"/>
        <v>5.6110562685093783E-2</v>
      </c>
      <c r="AA42" s="142">
        <f t="shared" si="61"/>
        <v>6.9457058242843053E-2</v>
      </c>
      <c r="AB42" s="142">
        <f t="shared" si="62"/>
        <v>6.9772951628825269E-2</v>
      </c>
      <c r="AC42" s="142">
        <f t="shared" si="63"/>
        <v>3.0473840078973347E-2</v>
      </c>
      <c r="AD42" s="142">
        <f t="shared" si="64"/>
        <v>1.2751727541954595E-2</v>
      </c>
      <c r="AE42" s="142">
        <f t="shared" si="65"/>
        <v>6.6286278381046462E-3</v>
      </c>
      <c r="AF42" s="142">
        <f t="shared" si="66"/>
        <v>0</v>
      </c>
      <c r="AH42" s="158">
        <f t="shared" si="40"/>
        <v>3.5538005923000986E-2</v>
      </c>
      <c r="AI42" s="158">
        <f t="shared" si="41"/>
        <v>0.1194471865745311</v>
      </c>
      <c r="AJ42" s="158">
        <f t="shared" si="42"/>
        <v>0.25271470878578484</v>
      </c>
      <c r="AK42" s="158">
        <f t="shared" si="43"/>
        <v>0.45113524185587373</v>
      </c>
      <c r="AL42" s="158">
        <f t="shared" si="44"/>
        <v>0.59526159921026656</v>
      </c>
      <c r="AM42" s="158">
        <f t="shared" si="45"/>
        <v>0.69496544916090819</v>
      </c>
      <c r="AN42" s="158">
        <f t="shared" si="46"/>
        <v>0.82428430404738395</v>
      </c>
      <c r="AO42" s="158">
        <v>1</v>
      </c>
      <c r="AP42" s="143"/>
      <c r="AQ42" s="143">
        <f t="shared" si="5"/>
        <v>1.6846835599197139E-3</v>
      </c>
      <c r="AR42" s="143">
        <f t="shared" si="6"/>
        <v>3.4397069630865862E-2</v>
      </c>
      <c r="AS42" s="143">
        <f t="shared" si="7"/>
        <v>8.6090059723221327E-2</v>
      </c>
      <c r="AT42" s="143">
        <f t="shared" si="8"/>
        <v>0.16746252600361053</v>
      </c>
      <c r="AU42" s="143">
        <f t="shared" si="9"/>
        <v>0.14775626099008773</v>
      </c>
      <c r="AV42" s="143">
        <f t="shared" si="10"/>
        <v>0.11415342154647239</v>
      </c>
      <c r="AW42" s="143">
        <f t="shared" si="11"/>
        <v>0.17086124765193342</v>
      </c>
      <c r="AX42" s="143">
        <f t="shared" si="12"/>
        <v>0.27759473089388914</v>
      </c>
      <c r="AY42" s="46"/>
      <c r="AZ42" s="152">
        <f>Shares!D83</f>
        <v>3.6</v>
      </c>
      <c r="BA42" s="152">
        <f>Shares!E83</f>
        <v>8.5</v>
      </c>
      <c r="BB42" s="152">
        <f>Shares!F83</f>
        <v>13.5</v>
      </c>
      <c r="BC42" s="152">
        <f>Shares!G83</f>
        <v>20.100000000000001</v>
      </c>
      <c r="BD42" s="152">
        <f>Shares!J83</f>
        <v>14.6</v>
      </c>
      <c r="BE42" s="152">
        <f>Shares!K83</f>
        <v>10.1</v>
      </c>
      <c r="BF42" s="152">
        <f>Shares!L83</f>
        <v>13.1</v>
      </c>
      <c r="BG42" s="152">
        <f>Shares!M83</f>
        <v>17.8</v>
      </c>
      <c r="BI42" s="146">
        <f>TxRt!B86</f>
        <v>0.9</v>
      </c>
      <c r="BJ42" s="146">
        <f>TxRt!B129</f>
        <v>7.7</v>
      </c>
      <c r="BK42" s="146">
        <f>TxRt!B169</f>
        <v>12.2</v>
      </c>
      <c r="BL42" s="146">
        <f>TxRt!B209</f>
        <v>15.9</v>
      </c>
      <c r="BM42" s="146">
        <f>TxRt!B289</f>
        <v>19.2</v>
      </c>
      <c r="BN42" s="146">
        <f>TxRt!B329</f>
        <v>21.6</v>
      </c>
      <c r="BO42" s="146">
        <f>TxRt!B369</f>
        <v>24.8</v>
      </c>
      <c r="BP42" s="146">
        <f>TxRt!B409</f>
        <v>28.6</v>
      </c>
      <c r="BQ42" s="46"/>
      <c r="BR42" s="60">
        <f>Inc!B83</f>
        <v>19200</v>
      </c>
      <c r="BS42" s="60">
        <f>Inc!B123</f>
        <v>41800</v>
      </c>
      <c r="BT42" s="60">
        <f>Inc!B163</f>
        <v>67100</v>
      </c>
      <c r="BU42" s="60">
        <f>Inc!B203</f>
        <v>101800</v>
      </c>
      <c r="BV42" s="60">
        <f>Inc!B283</f>
        <v>146800</v>
      </c>
      <c r="BW42" s="60">
        <f>Inc!B323</f>
        <v>200000</v>
      </c>
      <c r="BX42" s="60">
        <f>Inc!B363</f>
        <v>329900</v>
      </c>
      <c r="BY42" s="60">
        <f>Inc!B403</f>
        <v>1897800</v>
      </c>
      <c r="CA42" s="60">
        <f t="shared" si="13"/>
        <v>172.8</v>
      </c>
      <c r="CB42" s="60">
        <f t="shared" si="14"/>
        <v>3218.6</v>
      </c>
      <c r="CC42" s="60">
        <f t="shared" si="15"/>
        <v>8186.2</v>
      </c>
      <c r="CD42" s="60">
        <f t="shared" si="16"/>
        <v>16186.2</v>
      </c>
      <c r="CE42" s="60">
        <f t="shared" si="17"/>
        <v>28185.599999999999</v>
      </c>
      <c r="CF42" s="60">
        <f t="shared" si="18"/>
        <v>43200</v>
      </c>
      <c r="CG42" s="60">
        <f t="shared" si="19"/>
        <v>81815.199999999997</v>
      </c>
      <c r="CH42" s="60">
        <f t="shared" si="20"/>
        <v>542770.80000000005</v>
      </c>
      <c r="CJ42" s="153">
        <f t="shared" si="47"/>
        <v>3952.8000000000011</v>
      </c>
      <c r="CK42" s="153">
        <f t="shared" si="21"/>
        <v>80706.395000000004</v>
      </c>
      <c r="CL42" s="153">
        <f t="shared" si="22"/>
        <v>201994.48500000004</v>
      </c>
      <c r="CM42" s="153">
        <f t="shared" si="23"/>
        <v>392920.00500000006</v>
      </c>
      <c r="CN42" s="153">
        <f t="shared" si="24"/>
        <v>346682.88</v>
      </c>
      <c r="CO42" s="153">
        <f t="shared" si="25"/>
        <v>267840</v>
      </c>
      <c r="CP42" s="153">
        <f t="shared" si="26"/>
        <v>400894.48000000004</v>
      </c>
      <c r="CQ42" s="153">
        <f t="shared" si="27"/>
        <v>651324.96000000008</v>
      </c>
      <c r="CR42" s="153">
        <f t="shared" si="48"/>
        <v>2346316.0049999999</v>
      </c>
      <c r="CT42" s="39">
        <v>305.8</v>
      </c>
      <c r="CU42" s="276">
        <f>Dem!B83+(DD42/4)</f>
        <v>22.875000000000004</v>
      </c>
      <c r="CV42" s="276">
        <f>Dem!B123+(DD42/4)</f>
        <v>25.075000000000003</v>
      </c>
      <c r="CW42" s="276">
        <f>Dem!B163+(DD42/4)</f>
        <v>24.675000000000004</v>
      </c>
      <c r="CX42" s="276">
        <f>Dem!B203+(DD42/4)</f>
        <v>24.275000000000002</v>
      </c>
      <c r="CY42" s="276">
        <f>Dem!B283</f>
        <v>12.3</v>
      </c>
      <c r="CZ42" s="276">
        <f>Dem!B323</f>
        <v>6.2</v>
      </c>
      <c r="DA42" s="276">
        <f>Dem!B363</f>
        <v>4.9000000000000004</v>
      </c>
      <c r="DB42" s="276">
        <f>Dem!B403</f>
        <v>1.2</v>
      </c>
      <c r="DC42" s="275">
        <v>122.5</v>
      </c>
      <c r="DD42" s="46">
        <v>-0.49999999999998579</v>
      </c>
      <c r="DE42" s="275"/>
      <c r="DF42" s="276">
        <f>Dem!$D83+(DO42/4)</f>
        <v>59.5</v>
      </c>
      <c r="DG42" s="276">
        <f>Dem!$D123+(DO42/4)</f>
        <v>60.900000000000006</v>
      </c>
      <c r="DH42" s="276">
        <f>Dem!$D163+(DO42/4)</f>
        <v>60.900000000000006</v>
      </c>
      <c r="DI42" s="276">
        <f>Dem!$D203+(DO42/4)</f>
        <v>60.900000000000006</v>
      </c>
      <c r="DJ42" s="275">
        <f>Dem!$D283</f>
        <v>30.6</v>
      </c>
      <c r="DK42" s="275">
        <f>Dem!$D323</f>
        <v>15.3</v>
      </c>
      <c r="DL42" s="275">
        <f>Dem!$D363</f>
        <v>12.2</v>
      </c>
      <c r="DM42" s="275">
        <f>Dem!$D403</f>
        <v>3.1</v>
      </c>
      <c r="DN42" s="276">
        <f t="shared" si="49"/>
        <v>305.8</v>
      </c>
      <c r="DO42" s="44">
        <v>-1.1999999999999886</v>
      </c>
    </row>
    <row r="43" spans="1:119">
      <c r="A43" s="46">
        <f t="shared" si="50"/>
        <v>2013</v>
      </c>
      <c r="B43" s="141">
        <f t="shared" si="28"/>
        <v>0.21346384195179069</v>
      </c>
      <c r="C43" s="46"/>
      <c r="D43" s="141">
        <f t="shared" si="29"/>
        <v>0.74938151223806937</v>
      </c>
      <c r="E43" s="141">
        <f t="shared" si="30"/>
        <v>0.53591767028627868</v>
      </c>
      <c r="F43" s="46"/>
      <c r="G43" s="157">
        <f t="shared" si="31"/>
        <v>3.9167451824540893E-2</v>
      </c>
      <c r="H43" s="157">
        <f t="shared" si="32"/>
        <v>7.1443689397985302E-2</v>
      </c>
      <c r="I43" s="157">
        <f t="shared" si="33"/>
        <v>9.3169350053717737E-2</v>
      </c>
      <c r="J43" s="157">
        <f t="shared" si="34"/>
        <v>9.8507960634906563E-2</v>
      </c>
      <c r="K43" s="157">
        <f t="shared" si="35"/>
        <v>4.3983035087643375E-2</v>
      </c>
      <c r="L43" s="157">
        <f t="shared" si="36"/>
        <v>1.8666218022479281E-2</v>
      </c>
      <c r="M43" s="157">
        <f t="shared" si="37"/>
        <v>9.7530510977615042E-3</v>
      </c>
      <c r="N43" s="157">
        <f t="shared" si="38"/>
        <v>0</v>
      </c>
      <c r="O43" s="46"/>
      <c r="P43" s="154">
        <f t="shared" si="51"/>
        <v>4.1627408772955737E-3</v>
      </c>
      <c r="Q43" s="154">
        <f t="shared" si="52"/>
        <v>4.2781553010073511E-2</v>
      </c>
      <c r="R43" s="154">
        <f t="shared" si="53"/>
        <v>0.13415324973141143</v>
      </c>
      <c r="S43" s="154">
        <f t="shared" si="54"/>
        <v>0.30746019682546727</v>
      </c>
      <c r="T43" s="154">
        <f t="shared" si="55"/>
        <v>0.46016964912356628</v>
      </c>
      <c r="U43" s="154">
        <f t="shared" si="56"/>
        <v>0.57667563955041445</v>
      </c>
      <c r="V43" s="154">
        <f t="shared" si="57"/>
        <v>0.74617372255596248</v>
      </c>
      <c r="W43" s="162">
        <f t="shared" si="58"/>
        <v>1</v>
      </c>
      <c r="X43" s="154"/>
      <c r="Y43" s="142">
        <f t="shared" si="59"/>
        <v>3.2497532082922019E-2</v>
      </c>
      <c r="Z43" s="142">
        <f t="shared" si="60"/>
        <v>5.5123395853899318E-2</v>
      </c>
      <c r="AA43" s="142">
        <f t="shared" si="61"/>
        <v>6.768015794669302E-2</v>
      </c>
      <c r="AB43" s="142">
        <f t="shared" si="62"/>
        <v>6.6811451135241881E-2</v>
      </c>
      <c r="AC43" s="142">
        <f t="shared" si="63"/>
        <v>2.8499506416584421E-2</v>
      </c>
      <c r="AD43" s="142">
        <f t="shared" si="64"/>
        <v>1.1665844027640683E-2</v>
      </c>
      <c r="AE43" s="142">
        <f t="shared" si="65"/>
        <v>5.6809476801579573E-3</v>
      </c>
      <c r="AF43" s="142">
        <f t="shared" si="66"/>
        <v>0</v>
      </c>
      <c r="AH43" s="158">
        <f t="shared" si="40"/>
        <v>3.7512339585389923E-2</v>
      </c>
      <c r="AI43" s="158">
        <f t="shared" si="41"/>
        <v>0.12438302073050345</v>
      </c>
      <c r="AJ43" s="158">
        <f t="shared" si="42"/>
        <v>0.26159921026653499</v>
      </c>
      <c r="AK43" s="158">
        <f t="shared" si="43"/>
        <v>0.46594274432379063</v>
      </c>
      <c r="AL43" s="158">
        <f t="shared" si="44"/>
        <v>0.61500493583415583</v>
      </c>
      <c r="AM43" s="158">
        <f t="shared" si="45"/>
        <v>0.71668311944718643</v>
      </c>
      <c r="AN43" s="158">
        <f t="shared" si="46"/>
        <v>0.84797630799605117</v>
      </c>
      <c r="AO43" s="158">
        <v>1</v>
      </c>
      <c r="AP43" s="143"/>
      <c r="AQ43" s="143">
        <f t="shared" si="5"/>
        <v>4.1627408772955737E-3</v>
      </c>
      <c r="AR43" s="143">
        <f t="shared" si="6"/>
        <v>3.8618812132777937E-2</v>
      </c>
      <c r="AS43" s="143">
        <f t="shared" si="7"/>
        <v>9.1371696721337922E-2</v>
      </c>
      <c r="AT43" s="143">
        <f t="shared" si="8"/>
        <v>0.17330694709405584</v>
      </c>
      <c r="AU43" s="143">
        <f t="shared" si="9"/>
        <v>0.15270945229809901</v>
      </c>
      <c r="AV43" s="143">
        <f t="shared" si="10"/>
        <v>0.11650599042684817</v>
      </c>
      <c r="AW43" s="143">
        <f t="shared" si="11"/>
        <v>0.16949808300554803</v>
      </c>
      <c r="AX43" s="143">
        <f t="shared" si="12"/>
        <v>0.25382627744403752</v>
      </c>
      <c r="AY43" s="46"/>
      <c r="AZ43" s="152">
        <f>Shares!D84</f>
        <v>3.8</v>
      </c>
      <c r="BA43" s="152">
        <f>Shares!E84</f>
        <v>8.8000000000000007</v>
      </c>
      <c r="BB43" s="152">
        <f>Shares!F84</f>
        <v>13.9</v>
      </c>
      <c r="BC43" s="152">
        <f>Shares!G84</f>
        <v>20.7</v>
      </c>
      <c r="BD43" s="152">
        <f>Shares!J84</f>
        <v>15.1</v>
      </c>
      <c r="BE43" s="152">
        <f>Shares!K84</f>
        <v>10.3</v>
      </c>
      <c r="BF43" s="152">
        <f>Shares!L84</f>
        <v>13.3</v>
      </c>
      <c r="BG43" s="152">
        <f>Shares!M84</f>
        <v>15.4</v>
      </c>
      <c r="BI43" s="146">
        <f>TxRt!B87</f>
        <v>2.2999999999999998</v>
      </c>
      <c r="BJ43" s="146">
        <f>TxRt!B130</f>
        <v>9.1</v>
      </c>
      <c r="BK43" s="146">
        <f>TxRt!B170</f>
        <v>13.7</v>
      </c>
      <c r="BL43" s="146">
        <f>TxRt!B210</f>
        <v>17.399999999999999</v>
      </c>
      <c r="BM43" s="146">
        <f>TxRt!B290</f>
        <v>20.9</v>
      </c>
      <c r="BN43" s="146">
        <f>TxRt!B330</f>
        <v>23.2</v>
      </c>
      <c r="BO43" s="146">
        <f>TxRt!B370</f>
        <v>26.3</v>
      </c>
      <c r="BP43" s="146">
        <f>TxRt!B410</f>
        <v>33.6</v>
      </c>
      <c r="BQ43" s="46"/>
      <c r="BR43" s="60">
        <f>Inc!B84</f>
        <v>19900</v>
      </c>
      <c r="BS43" s="60">
        <f>Inc!B124</f>
        <v>42600</v>
      </c>
      <c r="BT43" s="60">
        <f>Inc!B164</f>
        <v>68300</v>
      </c>
      <c r="BU43" s="60">
        <f>Inc!B204</f>
        <v>104100</v>
      </c>
      <c r="BV43" s="60">
        <f>Inc!B284</f>
        <v>149500</v>
      </c>
      <c r="BW43" s="60">
        <f>Inc!B324</f>
        <v>205500</v>
      </c>
      <c r="BX43" s="60">
        <f>Inc!B364</f>
        <v>333700</v>
      </c>
      <c r="BY43" s="60">
        <f>Inc!B404</f>
        <v>1597200</v>
      </c>
      <c r="CA43" s="60">
        <f t="shared" si="13"/>
        <v>457.7</v>
      </c>
      <c r="CB43" s="60">
        <f t="shared" si="14"/>
        <v>3876.6</v>
      </c>
      <c r="CC43" s="60">
        <f t="shared" si="15"/>
        <v>9357.1</v>
      </c>
      <c r="CD43" s="60">
        <f t="shared" si="16"/>
        <v>18113.399999999998</v>
      </c>
      <c r="CE43" s="60">
        <f t="shared" si="17"/>
        <v>31245.5</v>
      </c>
      <c r="CF43" s="60">
        <f t="shared" si="18"/>
        <v>47676</v>
      </c>
      <c r="CG43" s="60">
        <f t="shared" si="19"/>
        <v>87763.1</v>
      </c>
      <c r="CH43" s="60">
        <f t="shared" si="20"/>
        <v>536659.19999999995</v>
      </c>
      <c r="CJ43" s="153">
        <f t="shared" si="47"/>
        <v>10561.427500000003</v>
      </c>
      <c r="CK43" s="153">
        <f t="shared" si="21"/>
        <v>97981.065000000017</v>
      </c>
      <c r="CL43" s="153">
        <f t="shared" si="22"/>
        <v>231822.15250000005</v>
      </c>
      <c r="CM43" s="153">
        <f t="shared" si="23"/>
        <v>439702.78500000003</v>
      </c>
      <c r="CN43" s="153">
        <f t="shared" si="24"/>
        <v>387444.2</v>
      </c>
      <c r="CO43" s="153">
        <f t="shared" si="25"/>
        <v>295591.2</v>
      </c>
      <c r="CP43" s="153">
        <f t="shared" si="26"/>
        <v>430039.19000000006</v>
      </c>
      <c r="CQ43" s="153">
        <f t="shared" si="27"/>
        <v>643991.03999999992</v>
      </c>
      <c r="CR43" s="153">
        <f t="shared" si="48"/>
        <v>2537133.06</v>
      </c>
      <c r="CT43" s="39">
        <v>306</v>
      </c>
      <c r="CU43" s="276">
        <f>Dem!B84+(DD43/4)</f>
        <v>23.075000000000006</v>
      </c>
      <c r="CV43" s="276">
        <f>Dem!B124+(DD43/4)</f>
        <v>25.275000000000006</v>
      </c>
      <c r="CW43" s="276">
        <f>Dem!B164+(DD43/4)</f>
        <v>24.775000000000006</v>
      </c>
      <c r="CX43" s="276">
        <f>Dem!B204+(DD43/4)</f>
        <v>24.275000000000006</v>
      </c>
      <c r="CY43" s="276">
        <f>Dem!B284</f>
        <v>12.4</v>
      </c>
      <c r="CZ43" s="276">
        <f>Dem!B324</f>
        <v>6.2</v>
      </c>
      <c r="DA43" s="276">
        <f>Dem!B364</f>
        <v>4.9000000000000004</v>
      </c>
      <c r="DB43" s="276">
        <f>Dem!B404</f>
        <v>1.2</v>
      </c>
      <c r="DC43" s="275">
        <v>123.1</v>
      </c>
      <c r="DD43" s="46">
        <v>-0.49999999999997158</v>
      </c>
      <c r="DE43" s="275"/>
      <c r="DF43" s="276">
        <f>Dem!$D84+(DO43/4)</f>
        <v>59.57500000000001</v>
      </c>
      <c r="DG43" s="276">
        <f>Dem!$D124+(DO43/4)</f>
        <v>60.875000000000014</v>
      </c>
      <c r="DH43" s="276">
        <f>Dem!$D164+(DO43/4)</f>
        <v>60.875000000000014</v>
      </c>
      <c r="DI43" s="276">
        <f>Dem!$D204+(DO43/4)</f>
        <v>60.875000000000014</v>
      </c>
      <c r="DJ43" s="275">
        <f>Dem!$D284</f>
        <v>30.6</v>
      </c>
      <c r="DK43" s="275">
        <f>Dem!$D324</f>
        <v>15.3</v>
      </c>
      <c r="DL43" s="275">
        <f>Dem!$D364</f>
        <v>12.2</v>
      </c>
      <c r="DM43" s="275">
        <f>Dem!$D404</f>
        <v>3.1</v>
      </c>
      <c r="DN43" s="276">
        <f t="shared" si="49"/>
        <v>306</v>
      </c>
      <c r="DO43" s="44">
        <v>-1.2999999999999545</v>
      </c>
    </row>
    <row r="44" spans="1:119">
      <c r="A44" s="46">
        <f t="shared" si="50"/>
        <v>2014</v>
      </c>
      <c r="B44" s="141">
        <f t="shared" si="28"/>
        <v>0.20951340414220065</v>
      </c>
      <c r="C44" s="46"/>
      <c r="D44" s="141">
        <f t="shared" si="29"/>
        <v>0.76173711955722045</v>
      </c>
      <c r="E44" s="141">
        <f t="shared" si="30"/>
        <v>0.5522237154150198</v>
      </c>
      <c r="F44" s="46"/>
      <c r="G44" s="157">
        <f t="shared" si="31"/>
        <v>3.935982890885021E-2</v>
      </c>
      <c r="H44" s="157">
        <f t="shared" si="32"/>
        <v>7.2034286801735001E-2</v>
      </c>
      <c r="I44" s="157">
        <f t="shared" si="33"/>
        <v>9.4321639998792423E-2</v>
      </c>
      <c r="J44" s="157">
        <f t="shared" si="34"/>
        <v>0.1002268340810098</v>
      </c>
      <c r="K44" s="157">
        <f t="shared" si="35"/>
        <v>4.5278834074703657E-2</v>
      </c>
      <c r="L44" s="157">
        <f t="shared" si="36"/>
        <v>1.9369274435314589E-2</v>
      </c>
      <c r="M44" s="157">
        <f t="shared" si="37"/>
        <v>1.0277861478204468E-2</v>
      </c>
      <c r="N44" s="157">
        <f t="shared" si="38"/>
        <v>0</v>
      </c>
      <c r="O44" s="46"/>
      <c r="P44" s="154">
        <f t="shared" si="51"/>
        <v>3.2008554557489636E-3</v>
      </c>
      <c r="Q44" s="154">
        <f t="shared" si="52"/>
        <v>3.9828565991325039E-2</v>
      </c>
      <c r="R44" s="154">
        <f t="shared" si="53"/>
        <v>0.12839180000603798</v>
      </c>
      <c r="S44" s="154">
        <f t="shared" si="54"/>
        <v>0.29886582959495112</v>
      </c>
      <c r="T44" s="154">
        <f t="shared" si="55"/>
        <v>0.44721165925296347</v>
      </c>
      <c r="U44" s="154">
        <f t="shared" si="56"/>
        <v>0.56261451129370832</v>
      </c>
      <c r="V44" s="154">
        <f t="shared" si="57"/>
        <v>0.73305346304488839</v>
      </c>
      <c r="W44" s="162">
        <f t="shared" si="58"/>
        <v>1</v>
      </c>
      <c r="X44" s="154"/>
      <c r="Y44" s="142">
        <f t="shared" si="59"/>
        <v>3.2885375494071147E-2</v>
      </c>
      <c r="Z44" s="142">
        <f t="shared" si="60"/>
        <v>5.5889328063241123E-2</v>
      </c>
      <c r="AA44" s="142">
        <f t="shared" si="61"/>
        <v>6.9407114624505953E-2</v>
      </c>
      <c r="AB44" s="142">
        <f t="shared" si="62"/>
        <v>6.9288537549407128E-2</v>
      </c>
      <c r="AC44" s="142">
        <f t="shared" si="63"/>
        <v>3.0019762845849809E-2</v>
      </c>
      <c r="AD44" s="142">
        <f t="shared" si="64"/>
        <v>1.2420948616600798E-2</v>
      </c>
      <c r="AE44" s="142">
        <f t="shared" si="65"/>
        <v>6.2007905138339982E-3</v>
      </c>
      <c r="AF44" s="142">
        <f t="shared" si="66"/>
        <v>0</v>
      </c>
      <c r="AH44" s="158">
        <f t="shared" si="40"/>
        <v>3.5573122529644272E-2</v>
      </c>
      <c r="AI44" s="158">
        <f t="shared" si="41"/>
        <v>0.12055335968379446</v>
      </c>
      <c r="AJ44" s="158">
        <f t="shared" si="42"/>
        <v>0.25296442687747034</v>
      </c>
      <c r="AK44" s="158">
        <f t="shared" si="43"/>
        <v>0.45355731225296442</v>
      </c>
      <c r="AL44" s="158">
        <f t="shared" si="44"/>
        <v>0.59980237154150196</v>
      </c>
      <c r="AM44" s="158">
        <f t="shared" si="45"/>
        <v>0.70158102766798414</v>
      </c>
      <c r="AN44" s="158">
        <f t="shared" si="46"/>
        <v>0.83498023715415015</v>
      </c>
      <c r="AO44" s="158">
        <v>1</v>
      </c>
      <c r="AP44" s="143"/>
      <c r="AQ44" s="143">
        <f t="shared" si="5"/>
        <v>3.2008554557489632E-3</v>
      </c>
      <c r="AR44" s="143">
        <f t="shared" si="6"/>
        <v>3.662771053557607E-2</v>
      </c>
      <c r="AS44" s="143">
        <f t="shared" si="7"/>
        <v>8.856323401471293E-2</v>
      </c>
      <c r="AT44" s="143">
        <f t="shared" si="8"/>
        <v>0.17047402958891308</v>
      </c>
      <c r="AU44" s="143">
        <f t="shared" si="9"/>
        <v>0.14834582965801232</v>
      </c>
      <c r="AV44" s="143">
        <f t="shared" si="10"/>
        <v>0.11540285204074482</v>
      </c>
      <c r="AW44" s="143">
        <f t="shared" si="11"/>
        <v>0.17043895175118007</v>
      </c>
      <c r="AX44" s="143">
        <f t="shared" si="12"/>
        <v>0.26694653695511161</v>
      </c>
      <c r="AY44" s="46"/>
      <c r="AZ44" s="152">
        <f>Shares!D85</f>
        <v>3.6</v>
      </c>
      <c r="BA44" s="152">
        <f>Shares!E85</f>
        <v>8.6</v>
      </c>
      <c r="BB44" s="152">
        <f>Shares!F85</f>
        <v>13.4</v>
      </c>
      <c r="BC44" s="152">
        <f>Shares!G85</f>
        <v>20.3</v>
      </c>
      <c r="BD44" s="152">
        <f>Shares!J85</f>
        <v>14.8</v>
      </c>
      <c r="BE44" s="152">
        <f>Shares!K85</f>
        <v>10.3</v>
      </c>
      <c r="BF44" s="152">
        <f>Shares!L85</f>
        <v>13.5</v>
      </c>
      <c r="BG44" s="152">
        <f>Shares!M85</f>
        <v>16.7</v>
      </c>
      <c r="BI44" s="146">
        <f>TxRt!B88</f>
        <v>1.9</v>
      </c>
      <c r="BJ44" s="146">
        <f>TxRt!B131</f>
        <v>9</v>
      </c>
      <c r="BK44" s="146">
        <f>TxRt!B171</f>
        <v>14</v>
      </c>
      <c r="BL44" s="146">
        <f>TxRt!B211</f>
        <v>17.8</v>
      </c>
      <c r="BM44" s="146">
        <f>TxRt!B291</f>
        <v>21.2</v>
      </c>
      <c r="BN44" s="146">
        <f>TxRt!B331</f>
        <v>23.4</v>
      </c>
      <c r="BO44" s="146">
        <f>TxRt!B371</f>
        <v>26.7</v>
      </c>
      <c r="BP44" s="146">
        <f>TxRt!B411</f>
        <v>33.6</v>
      </c>
      <c r="BQ44" s="46"/>
      <c r="BR44" s="60">
        <f>Inc!B85</f>
        <v>19400</v>
      </c>
      <c r="BS44" s="60">
        <f>Inc!B125</f>
        <v>42700</v>
      </c>
      <c r="BT44" s="60">
        <f>Inc!B165</f>
        <v>69600</v>
      </c>
      <c r="BU44" s="60">
        <f>Inc!B205</f>
        <v>105800</v>
      </c>
      <c r="BV44" s="60">
        <f>Inc!B285</f>
        <v>153200</v>
      </c>
      <c r="BW44" s="60">
        <f>Inc!B325</f>
        <v>209200</v>
      </c>
      <c r="BX44" s="60">
        <f>Inc!B365</f>
        <v>346600</v>
      </c>
      <c r="BY44" s="60">
        <f>Inc!B405</f>
        <v>1797400</v>
      </c>
      <c r="CA44" s="60">
        <f t="shared" si="13"/>
        <v>368.6</v>
      </c>
      <c r="CB44" s="60">
        <f t="shared" si="14"/>
        <v>3843</v>
      </c>
      <c r="CC44" s="60">
        <f t="shared" si="15"/>
        <v>9744</v>
      </c>
      <c r="CD44" s="60">
        <f t="shared" si="16"/>
        <v>18832.400000000001</v>
      </c>
      <c r="CE44" s="60">
        <f t="shared" si="17"/>
        <v>32478.400000000001</v>
      </c>
      <c r="CF44" s="60">
        <f t="shared" si="18"/>
        <v>48952.800000000003</v>
      </c>
      <c r="CG44" s="60">
        <f t="shared" si="19"/>
        <v>92542.2</v>
      </c>
      <c r="CH44" s="60">
        <f t="shared" si="20"/>
        <v>603926.4</v>
      </c>
      <c r="CJ44" s="153">
        <f t="shared" si="47"/>
        <v>8689.7450000000008</v>
      </c>
      <c r="CK44" s="153">
        <f t="shared" si="21"/>
        <v>99437.625000000015</v>
      </c>
      <c r="CL44" s="153">
        <f t="shared" si="22"/>
        <v>240433.20000000004</v>
      </c>
      <c r="CM44" s="153">
        <f t="shared" si="23"/>
        <v>462806.2300000001</v>
      </c>
      <c r="CN44" s="153">
        <f t="shared" si="24"/>
        <v>402732.16000000003</v>
      </c>
      <c r="CO44" s="153">
        <f t="shared" si="25"/>
        <v>313297.92000000004</v>
      </c>
      <c r="CP44" s="153">
        <f t="shared" si="26"/>
        <v>462711</v>
      </c>
      <c r="CQ44" s="153">
        <f t="shared" si="27"/>
        <v>724711.68</v>
      </c>
      <c r="CR44" s="153">
        <f t="shared" si="48"/>
        <v>2714819.5600000005</v>
      </c>
      <c r="CT44" s="39">
        <v>310.39999999999998</v>
      </c>
      <c r="CU44" s="276">
        <f>Dem!B85+(DD44/4)</f>
        <v>23.575000000000003</v>
      </c>
      <c r="CV44" s="276">
        <f>Dem!B125+(DD44/4)</f>
        <v>25.875000000000004</v>
      </c>
      <c r="CW44" s="276">
        <f>Dem!B165+(DD44/4)</f>
        <v>24.675000000000004</v>
      </c>
      <c r="CX44" s="276">
        <f>Dem!B205+(DD44/4)</f>
        <v>24.575000000000003</v>
      </c>
      <c r="CY44" s="276">
        <f>Dem!B285</f>
        <v>12.4</v>
      </c>
      <c r="CZ44" s="276">
        <f>Dem!B325</f>
        <v>6.4</v>
      </c>
      <c r="DA44" s="276">
        <f>Dem!B365</f>
        <v>5</v>
      </c>
      <c r="DB44" s="276">
        <f>Dem!B405</f>
        <v>1.2</v>
      </c>
      <c r="DC44" s="275">
        <v>124.7</v>
      </c>
      <c r="DD44" s="46">
        <v>-0.49999999999998579</v>
      </c>
      <c r="DE44" s="275"/>
      <c r="DF44" s="276">
        <f>Dem!$D85+(DO44/4)</f>
        <v>60.350000000000009</v>
      </c>
      <c r="DG44" s="276">
        <f>Dem!$D125+(DO44/4)</f>
        <v>61.750000000000007</v>
      </c>
      <c r="DH44" s="276">
        <f>Dem!$D165+(DO44/4)</f>
        <v>61.750000000000007</v>
      </c>
      <c r="DI44" s="276">
        <f>Dem!$D205+(DO44/4)</f>
        <v>61.750000000000007</v>
      </c>
      <c r="DJ44" s="275">
        <f>Dem!$D285</f>
        <v>31</v>
      </c>
      <c r="DK44" s="275">
        <f>Dem!$D325</f>
        <v>15.5</v>
      </c>
      <c r="DL44" s="275">
        <f>Dem!$D365</f>
        <v>12.4</v>
      </c>
      <c r="DM44" s="275">
        <f>Dem!$D405</f>
        <v>3.1</v>
      </c>
      <c r="DN44" s="276">
        <f t="shared" si="49"/>
        <v>310.39999999999998</v>
      </c>
      <c r="DO44" s="44">
        <v>-1.3999999999999773</v>
      </c>
    </row>
    <row r="45" spans="1:119">
      <c r="A45" s="46">
        <f t="shared" si="50"/>
        <v>2015</v>
      </c>
      <c r="B45" s="141">
        <f t="shared" si="28"/>
        <v>0.21223535792582549</v>
      </c>
      <c r="C45" s="46"/>
      <c r="D45" s="141">
        <f t="shared" si="29"/>
        <v>0.75936724341447315</v>
      </c>
      <c r="E45" s="141">
        <f t="shared" si="30"/>
        <v>0.54713188548864766</v>
      </c>
      <c r="F45" s="46"/>
      <c r="G45" s="157">
        <f t="shared" si="31"/>
        <v>3.9474333244956833E-2</v>
      </c>
      <c r="H45" s="157">
        <f t="shared" si="32"/>
        <v>7.1937163352158565E-2</v>
      </c>
      <c r="I45" s="157">
        <f t="shared" si="33"/>
        <v>9.406337879891985E-2</v>
      </c>
      <c r="J45" s="157">
        <f t="shared" si="34"/>
        <v>9.9786864335558612E-2</v>
      </c>
      <c r="K45" s="157">
        <f t="shared" si="35"/>
        <v>4.4938487725523335E-2</v>
      </c>
      <c r="L45" s="157">
        <f t="shared" si="36"/>
        <v>1.9267604699874361E-2</v>
      </c>
      <c r="M45" s="157">
        <f t="shared" si="37"/>
        <v>1.0215789550245016E-2</v>
      </c>
      <c r="N45" s="157">
        <f t="shared" si="38"/>
        <v>0</v>
      </c>
      <c r="O45" s="161">
        <v>0</v>
      </c>
      <c r="P45" s="154">
        <f t="shared" si="51"/>
        <v>2.6283337752158391E-3</v>
      </c>
      <c r="Q45" s="154">
        <f t="shared" si="52"/>
        <v>4.0314183239207234E-2</v>
      </c>
      <c r="R45" s="154">
        <f t="shared" si="53"/>
        <v>0.12968310600540092</v>
      </c>
      <c r="S45" s="154">
        <f t="shared" si="54"/>
        <v>0.30106567832220699</v>
      </c>
      <c r="T45" s="154">
        <f t="shared" si="55"/>
        <v>0.45061512274476673</v>
      </c>
      <c r="U45" s="154">
        <f t="shared" si="56"/>
        <v>0.56464790600251291</v>
      </c>
      <c r="V45" s="154">
        <f t="shared" si="57"/>
        <v>0.73460526124387471</v>
      </c>
      <c r="W45" s="162">
        <f t="shared" si="58"/>
        <v>1</v>
      </c>
      <c r="X45" s="154"/>
      <c r="Y45" s="142">
        <f t="shared" si="59"/>
        <v>3.2694965449160909E-2</v>
      </c>
      <c r="Z45" s="142">
        <f t="shared" si="60"/>
        <v>5.5518262586377098E-2</v>
      </c>
      <c r="AA45" s="142">
        <f t="shared" si="61"/>
        <v>6.8667324777887478E-2</v>
      </c>
      <c r="AB45" s="142">
        <f t="shared" si="62"/>
        <v>6.85883514313919E-2</v>
      </c>
      <c r="AC45" s="142">
        <f t="shared" si="63"/>
        <v>2.9684106614017759E-2</v>
      </c>
      <c r="AD45" s="142">
        <f t="shared" si="64"/>
        <v>1.2258144126357352E-2</v>
      </c>
      <c r="AE45" s="142">
        <f t="shared" si="65"/>
        <v>6.1547877591312927E-3</v>
      </c>
      <c r="AF45" s="142">
        <f t="shared" si="66"/>
        <v>0</v>
      </c>
      <c r="AG45" s="161">
        <v>0</v>
      </c>
      <c r="AH45" s="158">
        <f t="shared" si="40"/>
        <v>3.6525172754195465E-2</v>
      </c>
      <c r="AI45" s="158">
        <f t="shared" si="41"/>
        <v>0.12240868706811453</v>
      </c>
      <c r="AJ45" s="158">
        <f t="shared" si="42"/>
        <v>0.25666337611056272</v>
      </c>
      <c r="AK45" s="158">
        <f t="shared" si="43"/>
        <v>0.45705824284304053</v>
      </c>
      <c r="AL45" s="158">
        <f t="shared" si="44"/>
        <v>0.60315893385982244</v>
      </c>
      <c r="AM45" s="158">
        <f t="shared" si="45"/>
        <v>0.70483711747285305</v>
      </c>
      <c r="AN45" s="158">
        <f t="shared" si="46"/>
        <v>0.83613030602171778</v>
      </c>
      <c r="AO45" s="158">
        <v>1</v>
      </c>
      <c r="AP45" s="143"/>
      <c r="AQ45" s="143">
        <f t="shared" si="5"/>
        <v>2.6283337752158391E-3</v>
      </c>
      <c r="AR45" s="143">
        <f t="shared" si="6"/>
        <v>3.7685849463991394E-2</v>
      </c>
      <c r="AS45" s="143">
        <f t="shared" si="7"/>
        <v>8.9368922766193695E-2</v>
      </c>
      <c r="AT45" s="143">
        <f t="shared" si="8"/>
        <v>0.17138257231680609</v>
      </c>
      <c r="AU45" s="143">
        <f t="shared" si="9"/>
        <v>0.14954944442255974</v>
      </c>
      <c r="AV45" s="143">
        <f t="shared" si="10"/>
        <v>0.11403278325774613</v>
      </c>
      <c r="AW45" s="143">
        <f t="shared" si="11"/>
        <v>0.16995735524136182</v>
      </c>
      <c r="AX45" s="143">
        <f t="shared" si="12"/>
        <v>0.26539473875612529</v>
      </c>
      <c r="AY45" s="46"/>
      <c r="AZ45" s="152">
        <f>Shares!D86</f>
        <v>3.7</v>
      </c>
      <c r="BA45" s="152">
        <f>Shares!E86</f>
        <v>8.6999999999999993</v>
      </c>
      <c r="BB45" s="152">
        <f>Shares!F86</f>
        <v>13.6</v>
      </c>
      <c r="BC45" s="152">
        <f>Shares!G86</f>
        <v>20.3</v>
      </c>
      <c r="BD45" s="152">
        <f>Shares!J86</f>
        <v>14.8</v>
      </c>
      <c r="BE45" s="152">
        <f>Shares!K86</f>
        <v>10.3</v>
      </c>
      <c r="BF45" s="152">
        <f>Shares!L86</f>
        <v>13.3</v>
      </c>
      <c r="BG45" s="152">
        <f>Shares!M86</f>
        <v>16.600000000000001</v>
      </c>
      <c r="BI45" s="146">
        <f>TxRt!B89</f>
        <v>1.5</v>
      </c>
      <c r="BJ45" s="146">
        <f>TxRt!B132</f>
        <v>9.1999999999999993</v>
      </c>
      <c r="BK45" s="146">
        <f>TxRt!B172</f>
        <v>14</v>
      </c>
      <c r="BL45" s="146">
        <f>TxRt!B212</f>
        <v>17.899999999999999</v>
      </c>
      <c r="BM45" s="146">
        <f>TxRt!B292</f>
        <v>21.3</v>
      </c>
      <c r="BN45" s="146">
        <f>TxRt!B332</f>
        <v>23.6</v>
      </c>
      <c r="BO45" s="146">
        <f>TxRt!B372</f>
        <v>26.7</v>
      </c>
      <c r="BP45" s="146">
        <f>TxRt!B412</f>
        <v>33.299999999999997</v>
      </c>
      <c r="BQ45" s="46"/>
      <c r="BR45" s="60">
        <f>Inc!B86</f>
        <v>20500</v>
      </c>
      <c r="BS45" s="60">
        <f>Inc!B126</f>
        <v>44600</v>
      </c>
      <c r="BT45" s="60">
        <f>Inc!B166</f>
        <v>72000</v>
      </c>
      <c r="BU45" s="60">
        <f>Inc!B206</f>
        <v>109300</v>
      </c>
      <c r="BV45" s="60">
        <f>Inc!B286</f>
        <v>158700</v>
      </c>
      <c r="BW45" s="60">
        <f>Inc!B326</f>
        <v>216700</v>
      </c>
      <c r="BX45" s="60">
        <f>Inc!B366</f>
        <v>359700</v>
      </c>
      <c r="BY45" s="60">
        <f>Inc!B406</f>
        <v>1876500</v>
      </c>
      <c r="CA45" s="60">
        <f t="shared" si="13"/>
        <v>307.5</v>
      </c>
      <c r="CB45" s="60">
        <f t="shared" si="14"/>
        <v>4103.2</v>
      </c>
      <c r="CC45" s="60">
        <f t="shared" si="15"/>
        <v>10080</v>
      </c>
      <c r="CD45" s="60">
        <f t="shared" si="16"/>
        <v>19564.699999999997</v>
      </c>
      <c r="CE45" s="60">
        <f t="shared" si="17"/>
        <v>33803.1</v>
      </c>
      <c r="CF45" s="60">
        <f t="shared" si="18"/>
        <v>51141.2</v>
      </c>
      <c r="CG45" s="60">
        <f t="shared" si="19"/>
        <v>96039.9</v>
      </c>
      <c r="CH45" s="60">
        <f t="shared" si="20"/>
        <v>624874.49999999988</v>
      </c>
      <c r="CJ45" s="153">
        <f t="shared" si="47"/>
        <v>7426.1250000000009</v>
      </c>
      <c r="CK45" s="153">
        <f t="shared" si="21"/>
        <v>106478.04000000001</v>
      </c>
      <c r="CL45" s="153">
        <f t="shared" si="22"/>
        <v>252504</v>
      </c>
      <c r="CM45" s="153">
        <f t="shared" si="23"/>
        <v>484226.32499999995</v>
      </c>
      <c r="CN45" s="153">
        <f t="shared" si="24"/>
        <v>422538.75</v>
      </c>
      <c r="CO45" s="153">
        <f t="shared" si="25"/>
        <v>322189.56</v>
      </c>
      <c r="CP45" s="153">
        <f t="shared" si="26"/>
        <v>480199.5</v>
      </c>
      <c r="CQ45" s="153">
        <f t="shared" si="27"/>
        <v>749849.39999999979</v>
      </c>
      <c r="CR45" s="153">
        <f t="shared" si="48"/>
        <v>2825411.6999999997</v>
      </c>
      <c r="CT45" s="39">
        <v>311.5</v>
      </c>
      <c r="CU45" s="276">
        <f>Dem!B86+(DD45/4)</f>
        <v>24.150000000000002</v>
      </c>
      <c r="CV45" s="276">
        <f>Dem!B126+(DD45/4)</f>
        <v>25.950000000000003</v>
      </c>
      <c r="CW45" s="276">
        <f>Dem!B166+(DD45/4)</f>
        <v>25.05</v>
      </c>
      <c r="CX45" s="276">
        <f>Dem!B206+(DD45/4)</f>
        <v>24.75</v>
      </c>
      <c r="CY45" s="276">
        <f>Dem!B286</f>
        <v>12.5</v>
      </c>
      <c r="CZ45" s="276">
        <f>Dem!B326</f>
        <v>6.3</v>
      </c>
      <c r="DA45" s="276">
        <f>Dem!B366</f>
        <v>5</v>
      </c>
      <c r="DB45" s="276">
        <f>Dem!B406</f>
        <v>1.2</v>
      </c>
      <c r="DC45" s="275">
        <v>126.1</v>
      </c>
      <c r="DD45" s="46">
        <v>-0.59999999999999432</v>
      </c>
      <c r="DE45" s="275"/>
      <c r="DF45" s="276">
        <f>Dem!$D86+(DO45/4)</f>
        <v>60.7</v>
      </c>
      <c r="DG45" s="276">
        <f>Dem!$D126+(DO45/4)</f>
        <v>62</v>
      </c>
      <c r="DH45" s="276">
        <f>Dem!$D166+(DO45/4)</f>
        <v>62</v>
      </c>
      <c r="DI45" s="276">
        <f>Dem!$D206+(DO45/4)</f>
        <v>62</v>
      </c>
      <c r="DJ45" s="275">
        <f>Dem!$D286</f>
        <v>31.2</v>
      </c>
      <c r="DK45" s="275">
        <f>Dem!$D326</f>
        <v>15.6</v>
      </c>
      <c r="DL45" s="275">
        <f>Dem!$D366</f>
        <v>12.5</v>
      </c>
      <c r="DM45" s="275">
        <f>Dem!$D406</f>
        <v>3.1</v>
      </c>
      <c r="DN45" s="276">
        <f t="shared" si="49"/>
        <v>311.5</v>
      </c>
      <c r="DO45" s="44">
        <v>-1.1999999999999886</v>
      </c>
    </row>
    <row r="46" spans="1:119">
      <c r="A46" s="46">
        <f t="shared" si="50"/>
        <v>2016</v>
      </c>
      <c r="B46" s="141">
        <f t="shared" si="28"/>
        <v>0.21200505671314096</v>
      </c>
      <c r="C46" s="46"/>
      <c r="D46" s="141">
        <f t="shared" si="29"/>
        <v>0.75093304880018352</v>
      </c>
      <c r="E46" s="141">
        <f t="shared" si="30"/>
        <v>0.53892799208704256</v>
      </c>
      <c r="F46" s="46"/>
      <c r="G46" s="157">
        <f t="shared" si="31"/>
        <v>3.9378803390721508E-2</v>
      </c>
      <c r="H46" s="157">
        <f t="shared" si="32"/>
        <v>7.1459611191213621E-2</v>
      </c>
      <c r="I46" s="157">
        <f t="shared" si="33"/>
        <v>9.3439495480560034E-2</v>
      </c>
      <c r="J46" s="157">
        <f t="shared" si="34"/>
        <v>9.8499250460784893E-2</v>
      </c>
      <c r="K46" s="157">
        <f t="shared" si="35"/>
        <v>4.4108852627149003E-2</v>
      </c>
      <c r="L46" s="157">
        <f t="shared" si="36"/>
        <v>1.8744835184537918E-2</v>
      </c>
      <c r="M46" s="157">
        <f t="shared" si="37"/>
        <v>9.83567606512477E-3</v>
      </c>
      <c r="N46" s="157">
        <f t="shared" si="38"/>
        <v>0</v>
      </c>
      <c r="O46" s="161">
        <v>0</v>
      </c>
      <c r="P46" s="154">
        <f t="shared" si="51"/>
        <v>3.1059830463924863E-3</v>
      </c>
      <c r="Q46" s="154">
        <f t="shared" si="52"/>
        <v>4.2701944043931947E-2</v>
      </c>
      <c r="R46" s="154">
        <f t="shared" si="53"/>
        <v>0.13280252259719993</v>
      </c>
      <c r="S46" s="154">
        <f t="shared" si="54"/>
        <v>0.30750374769607558</v>
      </c>
      <c r="T46" s="154">
        <f t="shared" si="55"/>
        <v>0.45891147372851004</v>
      </c>
      <c r="U46" s="154">
        <f t="shared" si="56"/>
        <v>0.57510329630924173</v>
      </c>
      <c r="V46" s="154">
        <f t="shared" si="57"/>
        <v>0.74410809837188086</v>
      </c>
      <c r="W46" s="162">
        <f t="shared" si="58"/>
        <v>1</v>
      </c>
      <c r="X46" s="154"/>
      <c r="Y46" s="142">
        <f t="shared" si="59"/>
        <v>3.2482690405539076E-2</v>
      </c>
      <c r="Z46" s="142">
        <f t="shared" si="60"/>
        <v>5.4876360039564788E-2</v>
      </c>
      <c r="AA46" s="142">
        <f t="shared" si="61"/>
        <v>6.797230464886253E-2</v>
      </c>
      <c r="AB46" s="142">
        <f t="shared" si="62"/>
        <v>6.7418397626112778E-2</v>
      </c>
      <c r="AC46" s="142">
        <f t="shared" si="63"/>
        <v>2.8971315529179031E-2</v>
      </c>
      <c r="AD46" s="142">
        <f t="shared" si="64"/>
        <v>1.1891691394658755E-2</v>
      </c>
      <c r="AE46" s="142">
        <f t="shared" si="65"/>
        <v>5.8512363996043558E-3</v>
      </c>
      <c r="AF46" s="142">
        <f t="shared" si="66"/>
        <v>0</v>
      </c>
      <c r="AG46" s="161">
        <v>0</v>
      </c>
      <c r="AH46" s="158">
        <f t="shared" si="40"/>
        <v>3.7586547972304651E-2</v>
      </c>
      <c r="AI46" s="158">
        <f t="shared" si="41"/>
        <v>0.12561819980217609</v>
      </c>
      <c r="AJ46" s="158">
        <f t="shared" si="42"/>
        <v>0.26013847675568746</v>
      </c>
      <c r="AK46" s="158">
        <f t="shared" si="43"/>
        <v>0.4629080118694362</v>
      </c>
      <c r="AL46" s="158">
        <f t="shared" si="44"/>
        <v>0.61028684470820971</v>
      </c>
      <c r="AM46" s="158">
        <f t="shared" si="45"/>
        <v>0.71216617210682498</v>
      </c>
      <c r="AN46" s="158">
        <f t="shared" si="46"/>
        <v>0.8437190900098912</v>
      </c>
      <c r="AO46" s="158">
        <v>1</v>
      </c>
      <c r="AP46" s="143"/>
      <c r="AQ46" s="143">
        <f t="shared" si="5"/>
        <v>3.1059830463924863E-3</v>
      </c>
      <c r="AR46" s="143">
        <f t="shared" si="6"/>
        <v>3.959596099753946E-2</v>
      </c>
      <c r="AS46" s="143">
        <f t="shared" si="7"/>
        <v>9.0100578553267988E-2</v>
      </c>
      <c r="AT46" s="143">
        <f t="shared" si="8"/>
        <v>0.17470122509887565</v>
      </c>
      <c r="AU46" s="143">
        <f t="shared" si="9"/>
        <v>0.15140772603243444</v>
      </c>
      <c r="AV46" s="143">
        <f t="shared" si="10"/>
        <v>0.11619182258073166</v>
      </c>
      <c r="AW46" s="143">
        <f t="shared" si="11"/>
        <v>0.16900480206263907</v>
      </c>
      <c r="AX46" s="143">
        <f t="shared" si="12"/>
        <v>0.25589190162811926</v>
      </c>
      <c r="AY46" s="46"/>
      <c r="AZ46" s="152">
        <f>Shares!D87</f>
        <v>3.8</v>
      </c>
      <c r="BA46" s="152">
        <f>Shares!E87</f>
        <v>8.9</v>
      </c>
      <c r="BB46" s="152">
        <f>Shares!F87</f>
        <v>13.6</v>
      </c>
      <c r="BC46" s="152">
        <f>Shares!G87</f>
        <v>20.5</v>
      </c>
      <c r="BD46" s="152">
        <f>Shares!J87</f>
        <v>14.9</v>
      </c>
      <c r="BE46" s="152">
        <f>Shares!K87</f>
        <v>10.3</v>
      </c>
      <c r="BF46" s="152">
        <f>Shares!L87</f>
        <v>13.3</v>
      </c>
      <c r="BG46" s="152">
        <f>Shares!M87</f>
        <v>15.8</v>
      </c>
      <c r="BI46" s="146">
        <f>TxRt!B90</f>
        <v>1.7</v>
      </c>
      <c r="BJ46" s="146">
        <f>TxRt!B133</f>
        <v>9.4</v>
      </c>
      <c r="BK46" s="146">
        <f>TxRt!B173</f>
        <v>13.9</v>
      </c>
      <c r="BL46" s="146">
        <f>TxRt!B213</f>
        <v>17.899999999999999</v>
      </c>
      <c r="BM46" s="146">
        <f>TxRt!B293</f>
        <v>21.2</v>
      </c>
      <c r="BN46" s="146">
        <f>TxRt!B333</f>
        <v>23.6</v>
      </c>
      <c r="BO46" s="146">
        <f>TxRt!B373</f>
        <v>26.8</v>
      </c>
      <c r="BP46" s="146">
        <f>TxRt!B413</f>
        <v>33.299999999999997</v>
      </c>
      <c r="BQ46" s="46"/>
      <c r="BR46" s="60">
        <f>Inc!B87</f>
        <v>20600</v>
      </c>
      <c r="BS46" s="60">
        <f>Inc!B127</f>
        <v>45300</v>
      </c>
      <c r="BT46" s="60">
        <f>Inc!B167</f>
        <v>72500</v>
      </c>
      <c r="BU46" s="60">
        <f>Inc!B207</f>
        <v>109600</v>
      </c>
      <c r="BV46" s="60">
        <f>Inc!B287</f>
        <v>159600</v>
      </c>
      <c r="BW46" s="60">
        <f>Inc!B327</f>
        <v>218300</v>
      </c>
      <c r="BX46" s="60">
        <f>Inc!B367</f>
        <v>359500</v>
      </c>
      <c r="BY46" s="60">
        <f>Inc!B407</f>
        <v>1788800</v>
      </c>
      <c r="CA46" s="60">
        <f t="shared" si="13"/>
        <v>350.2</v>
      </c>
      <c r="CB46" s="60">
        <f t="shared" si="14"/>
        <v>4258.2</v>
      </c>
      <c r="CC46" s="60">
        <f t="shared" si="15"/>
        <v>10077.5</v>
      </c>
      <c r="CD46" s="60">
        <f t="shared" si="16"/>
        <v>19618.399999999998</v>
      </c>
      <c r="CE46" s="60">
        <f t="shared" si="17"/>
        <v>33835.199999999997</v>
      </c>
      <c r="CF46" s="60">
        <f t="shared" si="18"/>
        <v>51518.8</v>
      </c>
      <c r="CG46" s="60">
        <f t="shared" si="19"/>
        <v>96346</v>
      </c>
      <c r="CH46" s="60">
        <f t="shared" si="20"/>
        <v>595670.39999999991</v>
      </c>
      <c r="CJ46" s="153">
        <f>CA46*CU46</f>
        <v>8676.2049999999999</v>
      </c>
      <c r="CK46" s="153">
        <f t="shared" ref="CK46:CQ46" si="67">CB46*CV46</f>
        <v>110606.745</v>
      </c>
      <c r="CL46" s="153">
        <f t="shared" si="67"/>
        <v>251685.5625</v>
      </c>
      <c r="CM46" s="153">
        <f t="shared" si="67"/>
        <v>488007.69999999995</v>
      </c>
      <c r="CN46" s="153">
        <f t="shared" si="67"/>
        <v>422939.99999999994</v>
      </c>
      <c r="CO46" s="153">
        <f t="shared" si="67"/>
        <v>324568.44</v>
      </c>
      <c r="CP46" s="153">
        <f t="shared" si="67"/>
        <v>472095.4</v>
      </c>
      <c r="CQ46" s="153">
        <f t="shared" si="67"/>
        <v>714804.47999999986</v>
      </c>
      <c r="CR46" s="153">
        <f t="shared" si="48"/>
        <v>2793384.5324999997</v>
      </c>
      <c r="CT46" s="39">
        <v>311.89999999999998</v>
      </c>
      <c r="CU46" s="276">
        <f>Dem!B87+(DD46/4)</f>
        <v>24.774999999999999</v>
      </c>
      <c r="CV46" s="276">
        <f>Dem!B127+(DD46/4)</f>
        <v>25.975000000000001</v>
      </c>
      <c r="CW46" s="276">
        <f>Dem!B167+(DD46/4)</f>
        <v>24.975000000000001</v>
      </c>
      <c r="CX46" s="276">
        <f>Dem!B207+(DD46/4)</f>
        <v>24.875</v>
      </c>
      <c r="CY46" s="276">
        <f>Dem!B287</f>
        <v>12.5</v>
      </c>
      <c r="CZ46" s="276">
        <f>Dem!B327</f>
        <v>6.3</v>
      </c>
      <c r="DA46" s="276">
        <f>Dem!B367</f>
        <v>4.9000000000000004</v>
      </c>
      <c r="DB46" s="276">
        <f>Dem!B407</f>
        <v>1.2</v>
      </c>
      <c r="DC46" s="275">
        <v>126.5</v>
      </c>
      <c r="DD46" s="46">
        <v>-0.5</v>
      </c>
      <c r="DE46" s="275"/>
      <c r="DF46" s="276">
        <f>Dem!$D87+(DO46/4)</f>
        <v>60.925000000000026</v>
      </c>
      <c r="DG46" s="276">
        <f>Dem!$D127+(DO46/4)</f>
        <v>62.125000000000021</v>
      </c>
      <c r="DH46" s="276">
        <f>Dem!$D167+(DO46/4)</f>
        <v>62.125000000000021</v>
      </c>
      <c r="DI46" s="276">
        <f>Dem!$D207+(DO46/4)</f>
        <v>62.125000000000021</v>
      </c>
      <c r="DJ46" s="275">
        <f>Dem!$D287</f>
        <v>31.2</v>
      </c>
      <c r="DK46" s="275">
        <f>Dem!$D327</f>
        <v>15.6</v>
      </c>
      <c r="DL46" s="275">
        <f>Dem!$D367</f>
        <v>12.5</v>
      </c>
      <c r="DM46" s="275">
        <f>Dem!$D407</f>
        <v>3.1</v>
      </c>
      <c r="DN46" s="276">
        <f t="shared" si="49"/>
        <v>311.89999999999998</v>
      </c>
      <c r="DO46" s="44">
        <v>-1.0999999999999091</v>
      </c>
    </row>
    <row r="47" spans="1:119">
      <c r="A47" s="201" t="s">
        <v>154</v>
      </c>
      <c r="B47" s="451">
        <f>(B46-B9)/B9</f>
        <v>0.46436492067840435</v>
      </c>
      <c r="C47" s="451"/>
      <c r="AZ47" s="148" t="s">
        <v>651</v>
      </c>
    </row>
    <row r="48" spans="1:119" s="556" customFormat="1">
      <c r="A48" s="201" t="s">
        <v>791</v>
      </c>
      <c r="B48" s="451">
        <f>(B46-B16)/B16</f>
        <v>1.2032915181500177</v>
      </c>
      <c r="C48" s="451"/>
      <c r="AZ48" s="148" t="s">
        <v>652</v>
      </c>
      <c r="CJ48" s="191"/>
      <c r="CK48" s="191"/>
      <c r="CL48" s="191"/>
      <c r="CM48" s="191"/>
      <c r="CN48" s="191"/>
      <c r="CO48" s="191"/>
      <c r="CP48" s="191"/>
      <c r="CQ48" s="191"/>
      <c r="CR48" s="191"/>
    </row>
    <row r="49" spans="1:118" s="556" customFormat="1">
      <c r="A49" s="144"/>
      <c r="B49" s="729" t="s">
        <v>193</v>
      </c>
      <c r="C49" s="486"/>
      <c r="D49" s="733" t="s">
        <v>194</v>
      </c>
      <c r="E49" s="733" t="s">
        <v>195</v>
      </c>
      <c r="F49" s="487"/>
      <c r="G49" s="731" t="s">
        <v>201</v>
      </c>
      <c r="H49" s="731"/>
      <c r="I49" s="731"/>
      <c r="J49" s="731"/>
      <c r="K49" s="731"/>
      <c r="L49" s="731"/>
      <c r="M49" s="731"/>
      <c r="N49" s="731"/>
      <c r="O49" s="486"/>
      <c r="P49" s="731" t="s">
        <v>199</v>
      </c>
      <c r="Q49" s="731"/>
      <c r="R49" s="731"/>
      <c r="S49" s="731"/>
      <c r="T49" s="731"/>
      <c r="U49" s="731"/>
      <c r="V49" s="731"/>
      <c r="W49" s="731"/>
      <c r="X49" s="485"/>
      <c r="Y49" s="731" t="s">
        <v>202</v>
      </c>
      <c r="Z49" s="731"/>
      <c r="AA49" s="731"/>
      <c r="AB49" s="731"/>
      <c r="AC49" s="731"/>
      <c r="AD49" s="731"/>
      <c r="AE49" s="731"/>
      <c r="AF49" s="731"/>
      <c r="AG49" s="134"/>
      <c r="AH49" s="736" t="s">
        <v>634</v>
      </c>
      <c r="AI49" s="736"/>
      <c r="AJ49" s="736"/>
      <c r="AK49" s="736"/>
      <c r="AL49" s="736"/>
      <c r="AM49" s="736"/>
      <c r="AN49" s="736"/>
      <c r="AO49" s="736"/>
      <c r="AP49" s="485"/>
      <c r="AQ49" s="731" t="s">
        <v>196</v>
      </c>
      <c r="AR49" s="731"/>
      <c r="AS49" s="731"/>
      <c r="AT49" s="731"/>
      <c r="AU49" s="731"/>
      <c r="AV49" s="731"/>
      <c r="AW49" s="731"/>
      <c r="AX49" s="731"/>
      <c r="AY49" s="134"/>
      <c r="AZ49" s="736" t="s">
        <v>633</v>
      </c>
      <c r="BA49" s="736"/>
      <c r="BB49" s="736"/>
      <c r="BC49" s="736"/>
      <c r="BD49" s="736"/>
      <c r="BE49" s="736"/>
      <c r="BF49" s="736"/>
      <c r="BG49" s="736"/>
      <c r="BH49" s="134"/>
      <c r="BI49" s="731" t="s">
        <v>635</v>
      </c>
      <c r="BJ49" s="731"/>
      <c r="BK49" s="731"/>
      <c r="BL49" s="731"/>
      <c r="BM49" s="731"/>
      <c r="BN49" s="731"/>
      <c r="BO49" s="731"/>
      <c r="BP49" s="731"/>
      <c r="BQ49" s="486"/>
      <c r="BR49" s="731" t="s">
        <v>636</v>
      </c>
      <c r="BS49" s="731"/>
      <c r="BT49" s="731"/>
      <c r="BU49" s="731"/>
      <c r="BV49" s="731"/>
      <c r="BW49" s="731"/>
      <c r="BX49" s="731"/>
      <c r="BY49" s="731"/>
      <c r="BZ49" s="486"/>
      <c r="CA49" s="731" t="s">
        <v>187</v>
      </c>
      <c r="CB49" s="731"/>
      <c r="CC49" s="731"/>
      <c r="CD49" s="731"/>
      <c r="CE49" s="731"/>
      <c r="CF49" s="731"/>
      <c r="CG49" s="731"/>
      <c r="CH49" s="731"/>
      <c r="CI49" s="486"/>
      <c r="CJ49" s="735" t="s">
        <v>198</v>
      </c>
      <c r="CK49" s="735"/>
      <c r="CL49" s="735"/>
      <c r="CM49" s="735"/>
      <c r="CN49" s="735"/>
      <c r="CO49" s="735"/>
      <c r="CP49" s="735"/>
      <c r="CQ49" s="735"/>
      <c r="CR49" s="735"/>
      <c r="CT49" s="733" t="s">
        <v>259</v>
      </c>
      <c r="CU49" s="728" t="s">
        <v>283</v>
      </c>
      <c r="CV49" s="728"/>
      <c r="CW49" s="728"/>
      <c r="CX49" s="728"/>
      <c r="CY49" s="728"/>
      <c r="CZ49" s="728"/>
      <c r="DA49" s="728"/>
      <c r="DB49" s="728"/>
      <c r="DC49" s="728"/>
      <c r="DD49" s="483"/>
      <c r="DF49" s="728" t="s">
        <v>259</v>
      </c>
      <c r="DG49" s="728"/>
      <c r="DH49" s="728"/>
      <c r="DI49" s="728"/>
      <c r="DJ49" s="728"/>
      <c r="DK49" s="728"/>
      <c r="DL49" s="728"/>
      <c r="DM49" s="728"/>
      <c r="DN49" s="728"/>
    </row>
    <row r="50" spans="1:118" s="556" customFormat="1" ht="15" customHeight="1">
      <c r="A50" s="53"/>
      <c r="B50" s="730"/>
      <c r="C50" s="6"/>
      <c r="D50" s="734"/>
      <c r="E50" s="734"/>
      <c r="F50" s="488"/>
      <c r="G50" s="6" t="s">
        <v>158</v>
      </c>
      <c r="H50" s="6" t="s">
        <v>159</v>
      </c>
      <c r="I50" s="6" t="s">
        <v>160</v>
      </c>
      <c r="J50" s="6" t="s">
        <v>161</v>
      </c>
      <c r="K50" s="51" t="s">
        <v>33</v>
      </c>
      <c r="L50" s="51" t="s">
        <v>51</v>
      </c>
      <c r="M50" s="51" t="s">
        <v>52</v>
      </c>
      <c r="N50" s="51" t="s">
        <v>28</v>
      </c>
      <c r="O50" s="6"/>
      <c r="P50" s="6" t="s">
        <v>158</v>
      </c>
      <c r="Q50" s="6" t="s">
        <v>159</v>
      </c>
      <c r="R50" s="6" t="s">
        <v>160</v>
      </c>
      <c r="S50" s="6" t="s">
        <v>161</v>
      </c>
      <c r="T50" s="51" t="s">
        <v>33</v>
      </c>
      <c r="U50" s="51" t="s">
        <v>51</v>
      </c>
      <c r="V50" s="51" t="s">
        <v>52</v>
      </c>
      <c r="W50" s="51" t="s">
        <v>28</v>
      </c>
      <c r="X50" s="51"/>
      <c r="Y50" s="6" t="s">
        <v>158</v>
      </c>
      <c r="Z50" s="6" t="s">
        <v>159</v>
      </c>
      <c r="AA50" s="6" t="s">
        <v>160</v>
      </c>
      <c r="AB50" s="6" t="s">
        <v>161</v>
      </c>
      <c r="AC50" s="51" t="s">
        <v>33</v>
      </c>
      <c r="AD50" s="51" t="s">
        <v>51</v>
      </c>
      <c r="AE50" s="51" t="s">
        <v>52</v>
      </c>
      <c r="AF50" s="51" t="s">
        <v>28</v>
      </c>
      <c r="AG50" s="5"/>
      <c r="AH50" s="6" t="s">
        <v>158</v>
      </c>
      <c r="AI50" s="6" t="s">
        <v>159</v>
      </c>
      <c r="AJ50" s="6" t="s">
        <v>160</v>
      </c>
      <c r="AK50" s="6" t="s">
        <v>161</v>
      </c>
      <c r="AL50" s="51" t="s">
        <v>33</v>
      </c>
      <c r="AM50" s="51" t="s">
        <v>51</v>
      </c>
      <c r="AN50" s="51" t="s">
        <v>52</v>
      </c>
      <c r="AO50" s="51" t="s">
        <v>28</v>
      </c>
      <c r="AP50" s="51"/>
      <c r="AQ50" s="6" t="s">
        <v>158</v>
      </c>
      <c r="AR50" s="6" t="s">
        <v>159</v>
      </c>
      <c r="AS50" s="6" t="s">
        <v>160</v>
      </c>
      <c r="AT50" s="6" t="s">
        <v>161</v>
      </c>
      <c r="AU50" s="51" t="s">
        <v>33</v>
      </c>
      <c r="AV50" s="51" t="s">
        <v>51</v>
      </c>
      <c r="AW50" s="51" t="s">
        <v>52</v>
      </c>
      <c r="AX50" s="51" t="s">
        <v>28</v>
      </c>
      <c r="AY50" s="5"/>
      <c r="AZ50" s="6" t="s">
        <v>158</v>
      </c>
      <c r="BA50" s="6" t="s">
        <v>159</v>
      </c>
      <c r="BB50" s="6" t="s">
        <v>160</v>
      </c>
      <c r="BC50" s="6" t="s">
        <v>161</v>
      </c>
      <c r="BD50" s="51" t="s">
        <v>33</v>
      </c>
      <c r="BE50" s="51" t="s">
        <v>51</v>
      </c>
      <c r="BF50" s="51" t="s">
        <v>52</v>
      </c>
      <c r="BG50" s="51" t="s">
        <v>28</v>
      </c>
      <c r="BH50" s="5"/>
      <c r="BI50" s="6" t="s">
        <v>158</v>
      </c>
      <c r="BJ50" s="6" t="s">
        <v>159</v>
      </c>
      <c r="BK50" s="6" t="s">
        <v>160</v>
      </c>
      <c r="BL50" s="6" t="s">
        <v>161</v>
      </c>
      <c r="BM50" s="51" t="s">
        <v>33</v>
      </c>
      <c r="BN50" s="51" t="s">
        <v>51</v>
      </c>
      <c r="BO50" s="51" t="s">
        <v>52</v>
      </c>
      <c r="BP50" s="51" t="s">
        <v>28</v>
      </c>
      <c r="BQ50" s="6"/>
      <c r="BR50" s="6" t="s">
        <v>158</v>
      </c>
      <c r="BS50" s="6" t="s">
        <v>159</v>
      </c>
      <c r="BT50" s="6" t="s">
        <v>160</v>
      </c>
      <c r="BU50" s="6" t="s">
        <v>161</v>
      </c>
      <c r="BV50" s="51" t="s">
        <v>33</v>
      </c>
      <c r="BW50" s="51" t="s">
        <v>51</v>
      </c>
      <c r="BX50" s="51" t="s">
        <v>52</v>
      </c>
      <c r="BY50" s="51" t="s">
        <v>28</v>
      </c>
      <c r="BZ50" s="6"/>
      <c r="CA50" s="6" t="s">
        <v>158</v>
      </c>
      <c r="CB50" s="6" t="s">
        <v>159</v>
      </c>
      <c r="CC50" s="6" t="s">
        <v>160</v>
      </c>
      <c r="CD50" s="6" t="s">
        <v>161</v>
      </c>
      <c r="CE50" s="51" t="s">
        <v>33</v>
      </c>
      <c r="CF50" s="51" t="s">
        <v>51</v>
      </c>
      <c r="CG50" s="51" t="s">
        <v>52</v>
      </c>
      <c r="CH50" s="51" t="s">
        <v>28</v>
      </c>
      <c r="CI50" s="6"/>
      <c r="CJ50" s="6" t="s">
        <v>158</v>
      </c>
      <c r="CK50" s="6" t="s">
        <v>159</v>
      </c>
      <c r="CL50" s="6" t="s">
        <v>160</v>
      </c>
      <c r="CM50" s="6" t="s">
        <v>161</v>
      </c>
      <c r="CN50" s="51" t="s">
        <v>33</v>
      </c>
      <c r="CO50" s="51" t="s">
        <v>51</v>
      </c>
      <c r="CP50" s="51" t="s">
        <v>52</v>
      </c>
      <c r="CQ50" s="51" t="s">
        <v>28</v>
      </c>
      <c r="CR50" s="51" t="s">
        <v>143</v>
      </c>
      <c r="CT50" s="734"/>
      <c r="CU50" s="6" t="s">
        <v>158</v>
      </c>
      <c r="CV50" s="6" t="s">
        <v>159</v>
      </c>
      <c r="CW50" s="6" t="s">
        <v>160</v>
      </c>
      <c r="CX50" s="6" t="s">
        <v>161</v>
      </c>
      <c r="CY50" s="51" t="s">
        <v>33</v>
      </c>
      <c r="CZ50" s="51" t="s">
        <v>51</v>
      </c>
      <c r="DA50" s="51" t="s">
        <v>52</v>
      </c>
      <c r="DB50" s="51" t="s">
        <v>28</v>
      </c>
      <c r="DC50" s="51" t="s">
        <v>143</v>
      </c>
      <c r="DD50" s="489" t="s">
        <v>293</v>
      </c>
      <c r="DF50" s="6" t="s">
        <v>158</v>
      </c>
      <c r="DG50" s="6" t="s">
        <v>159</v>
      </c>
      <c r="DH50" s="6" t="s">
        <v>160</v>
      </c>
      <c r="DI50" s="6" t="s">
        <v>161</v>
      </c>
      <c r="DJ50" s="51" t="s">
        <v>33</v>
      </c>
      <c r="DK50" s="51" t="s">
        <v>51</v>
      </c>
      <c r="DL50" s="51" t="s">
        <v>52</v>
      </c>
      <c r="DM50" s="51" t="s">
        <v>28</v>
      </c>
      <c r="DN50" s="51" t="s">
        <v>143</v>
      </c>
    </row>
    <row r="51" spans="1:118" s="556" customFormat="1" ht="15" customHeight="1">
      <c r="A51" s="490" t="s">
        <v>631</v>
      </c>
      <c r="B51" s="427"/>
      <c r="C51" s="490"/>
      <c r="D51" s="483"/>
      <c r="E51" s="483"/>
      <c r="F51" s="483"/>
      <c r="G51" s="490"/>
      <c r="H51" s="490"/>
      <c r="I51" s="490"/>
      <c r="J51" s="490"/>
      <c r="K51" s="489"/>
      <c r="L51" s="489"/>
      <c r="M51" s="489"/>
      <c r="N51" s="489"/>
      <c r="O51" s="490"/>
      <c r="P51" s="490"/>
      <c r="Q51" s="490"/>
      <c r="R51" s="490"/>
      <c r="S51" s="490"/>
      <c r="T51" s="489"/>
      <c r="U51" s="489"/>
      <c r="V51" s="489"/>
      <c r="W51" s="489"/>
      <c r="X51" s="489"/>
      <c r="Y51" s="490"/>
      <c r="Z51" s="490"/>
      <c r="AA51" s="490"/>
      <c r="AB51" s="490"/>
      <c r="AC51" s="489"/>
      <c r="AD51" s="489"/>
      <c r="AE51" s="489"/>
      <c r="AF51" s="489"/>
      <c r="AG51" s="4"/>
      <c r="AH51" s="490"/>
      <c r="AI51" s="490"/>
      <c r="AJ51" s="490"/>
      <c r="AK51" s="490"/>
      <c r="AL51" s="489"/>
      <c r="AM51" s="489"/>
      <c r="AN51" s="489"/>
      <c r="AO51" s="489"/>
      <c r="AP51" s="489"/>
      <c r="AQ51" s="490"/>
      <c r="AR51" s="490"/>
      <c r="AS51" s="490"/>
      <c r="AT51" s="490"/>
      <c r="AU51" s="489"/>
      <c r="AV51" s="489"/>
      <c r="AW51" s="489"/>
      <c r="AX51" s="489"/>
      <c r="AY51" s="4"/>
      <c r="AZ51" s="490"/>
      <c r="BA51" s="490"/>
      <c r="BB51" s="490"/>
      <c r="BC51" s="490"/>
      <c r="BD51" s="489"/>
      <c r="BE51" s="489"/>
      <c r="BF51" s="489"/>
      <c r="BG51" s="489"/>
      <c r="BH51" s="4"/>
      <c r="BI51" s="490"/>
      <c r="BJ51" s="490"/>
      <c r="BK51" s="490"/>
      <c r="BL51" s="490"/>
      <c r="BM51" s="489"/>
      <c r="BN51" s="489"/>
      <c r="BO51" s="489"/>
      <c r="BP51" s="489"/>
      <c r="BQ51" s="490"/>
      <c r="BR51" s="490"/>
      <c r="BS51" s="490"/>
      <c r="BT51" s="490"/>
      <c r="BU51" s="490"/>
      <c r="BV51" s="489"/>
      <c r="BW51" s="489"/>
      <c r="BX51" s="489"/>
      <c r="BY51" s="489"/>
      <c r="BZ51" s="490"/>
      <c r="CA51" s="490"/>
      <c r="CB51" s="490"/>
      <c r="CC51" s="490"/>
      <c r="CD51" s="490"/>
      <c r="CE51" s="489"/>
      <c r="CF51" s="489"/>
      <c r="CG51" s="489"/>
      <c r="CH51" s="489"/>
      <c r="CI51" s="490"/>
      <c r="CJ51" s="490"/>
      <c r="CK51" s="490"/>
      <c r="CL51" s="490"/>
      <c r="CM51" s="490"/>
      <c r="CN51" s="489"/>
      <c r="CO51" s="489"/>
      <c r="CP51" s="489"/>
      <c r="CQ51" s="489"/>
      <c r="CR51" s="489"/>
      <c r="CT51" s="483"/>
      <c r="CU51" s="490"/>
      <c r="CV51" s="490"/>
      <c r="CW51" s="490"/>
      <c r="CX51" s="490"/>
      <c r="CY51" s="489"/>
      <c r="CZ51" s="489"/>
      <c r="DA51" s="489"/>
      <c r="DB51" s="489"/>
      <c r="DC51" s="489"/>
      <c r="DD51" s="489"/>
      <c r="DF51" s="490"/>
      <c r="DG51" s="490"/>
      <c r="DH51" s="490"/>
      <c r="DI51" s="490"/>
      <c r="DJ51" s="489"/>
      <c r="DK51" s="489"/>
      <c r="DL51" s="489"/>
      <c r="DM51" s="489"/>
      <c r="DN51" s="489"/>
    </row>
    <row r="52" spans="1:118" s="556" customFormat="1">
      <c r="A52" s="245" t="s">
        <v>48</v>
      </c>
      <c r="B52" s="141">
        <f>D52-E52</f>
        <v>0.21686575108417627</v>
      </c>
      <c r="D52" s="141">
        <f>SUM(G52:N52)*2</f>
        <v>0.76173711955722045</v>
      </c>
      <c r="E52" s="141">
        <f>SUM(Y52:AF52)*2</f>
        <v>0.54487136847304418</v>
      </c>
      <c r="F52" s="46"/>
      <c r="G52" s="157">
        <f t="shared" ref="G52:N52" si="68">(P$5-P52)*P$4</f>
        <v>3.935982890885021E-2</v>
      </c>
      <c r="H52" s="157">
        <f t="shared" si="68"/>
        <v>7.2034286801735001E-2</v>
      </c>
      <c r="I52" s="157">
        <f t="shared" si="68"/>
        <v>9.4321639998792436E-2</v>
      </c>
      <c r="J52" s="157">
        <f t="shared" si="68"/>
        <v>0.10022683408100981</v>
      </c>
      <c r="K52" s="157">
        <f t="shared" si="68"/>
        <v>4.5278834074703671E-2</v>
      </c>
      <c r="L52" s="157">
        <f t="shared" si="68"/>
        <v>1.9369274435314596E-2</v>
      </c>
      <c r="M52" s="157">
        <f t="shared" si="68"/>
        <v>1.0277861478204474E-2</v>
      </c>
      <c r="N52" s="157">
        <f t="shared" si="68"/>
        <v>1.1102230246251566E-18</v>
      </c>
      <c r="O52" s="46"/>
      <c r="P52" s="154">
        <f>AQ52</f>
        <v>3.2008554557489632E-3</v>
      </c>
      <c r="Q52" s="154">
        <f t="shared" ref="Q52:W52" si="69">P52+AR52</f>
        <v>3.9828565991325032E-2</v>
      </c>
      <c r="R52" s="154">
        <f t="shared" si="69"/>
        <v>0.12839180000603795</v>
      </c>
      <c r="S52" s="154">
        <f t="shared" si="69"/>
        <v>0.298865829594951</v>
      </c>
      <c r="T52" s="154">
        <f t="shared" si="69"/>
        <v>0.44721165925296336</v>
      </c>
      <c r="U52" s="154">
        <f t="shared" si="69"/>
        <v>0.56261451129370821</v>
      </c>
      <c r="V52" s="154">
        <f t="shared" si="69"/>
        <v>0.73305346304488828</v>
      </c>
      <c r="W52" s="154">
        <f t="shared" si="69"/>
        <v>0.99999999999999989</v>
      </c>
      <c r="X52" s="154"/>
      <c r="Y52" s="142">
        <f t="shared" ref="Y52:AF52" si="70">(P$5-AH52)*P$4</f>
        <v>3.2861051520825788E-2</v>
      </c>
      <c r="Z52" s="142">
        <f t="shared" si="70"/>
        <v>5.5615024989856134E-2</v>
      </c>
      <c r="AA52" s="142">
        <f t="shared" si="70"/>
        <v>6.8808086530313312E-2</v>
      </c>
      <c r="AB52" s="142">
        <f t="shared" si="70"/>
        <v>6.8223604215591177E-2</v>
      </c>
      <c r="AC52" s="142">
        <f t="shared" si="70"/>
        <v>2.928555373736378E-2</v>
      </c>
      <c r="AD52" s="142">
        <f t="shared" si="70"/>
        <v>1.1918063385831163E-2</v>
      </c>
      <c r="AE52" s="142">
        <f t="shared" si="70"/>
        <v>5.7242998567407491E-3</v>
      </c>
      <c r="AF52" s="142">
        <f t="shared" si="70"/>
        <v>0</v>
      </c>
      <c r="AH52" s="158">
        <f>AZ52/100</f>
        <v>3.5694742395871087E-2</v>
      </c>
      <c r="AI52" s="158">
        <f t="shared" ref="AI52:AN52" si="71">AH52+BA52/100</f>
        <v>0.12192487505071935</v>
      </c>
      <c r="AJ52" s="158">
        <f t="shared" si="71"/>
        <v>0.25595956734843356</v>
      </c>
      <c r="AK52" s="158">
        <f t="shared" si="71"/>
        <v>0.45888197892204419</v>
      </c>
      <c r="AL52" s="158">
        <f t="shared" si="71"/>
        <v>0.60714446262636224</v>
      </c>
      <c r="AM52" s="158">
        <f t="shared" si="71"/>
        <v>0.71163873228337682</v>
      </c>
      <c r="AN52" s="158">
        <f t="shared" si="71"/>
        <v>0.84689250358148138</v>
      </c>
      <c r="AO52" s="158">
        <v>1</v>
      </c>
      <c r="AP52" s="143"/>
      <c r="AQ52" s="143">
        <f t="shared" ref="AQ52:AX52" si="72">CJ52/$CR52</f>
        <v>3.2008554557489632E-3</v>
      </c>
      <c r="AR52" s="143">
        <f t="shared" si="72"/>
        <v>3.662771053557607E-2</v>
      </c>
      <c r="AS52" s="143">
        <f t="shared" si="72"/>
        <v>8.856323401471293E-2</v>
      </c>
      <c r="AT52" s="143">
        <f t="shared" si="72"/>
        <v>0.17047402958891308</v>
      </c>
      <c r="AU52" s="143">
        <f t="shared" si="72"/>
        <v>0.14834582965801232</v>
      </c>
      <c r="AV52" s="143">
        <f t="shared" si="72"/>
        <v>0.11540285204074482</v>
      </c>
      <c r="AW52" s="143">
        <f t="shared" si="72"/>
        <v>0.17043895175118007</v>
      </c>
      <c r="AX52" s="143">
        <f t="shared" si="72"/>
        <v>0.26694653695511161</v>
      </c>
      <c r="AY52" s="46"/>
      <c r="AZ52" s="152">
        <f t="shared" ref="AZ52:BG52" si="73">BR52*CU52/$BR54*100</f>
        <v>3.5694742395871089</v>
      </c>
      <c r="BA52" s="152">
        <f t="shared" si="73"/>
        <v>8.6230132654848255</v>
      </c>
      <c r="BB52" s="152">
        <f t="shared" si="73"/>
        <v>13.403469229771423</v>
      </c>
      <c r="BC52" s="152">
        <f t="shared" si="73"/>
        <v>20.292241157361062</v>
      </c>
      <c r="BD52" s="152">
        <f t="shared" si="73"/>
        <v>14.826248370431806</v>
      </c>
      <c r="BE52" s="152">
        <f t="shared" si="73"/>
        <v>10.449426965701452</v>
      </c>
      <c r="BF52" s="152">
        <f t="shared" si="73"/>
        <v>13.525377129810451</v>
      </c>
      <c r="BG52" s="152">
        <f t="shared" si="73"/>
        <v>16.833592281445796</v>
      </c>
      <c r="BI52" s="573">
        <f>BI44</f>
        <v>1.9</v>
      </c>
      <c r="BJ52" s="573">
        <f t="shared" ref="BJ52:BP52" si="74">BJ44</f>
        <v>9</v>
      </c>
      <c r="BK52" s="573">
        <f t="shared" si="74"/>
        <v>14</v>
      </c>
      <c r="BL52" s="573">
        <f t="shared" si="74"/>
        <v>17.8</v>
      </c>
      <c r="BM52" s="573">
        <f t="shared" si="74"/>
        <v>21.2</v>
      </c>
      <c r="BN52" s="573">
        <f t="shared" si="74"/>
        <v>23.4</v>
      </c>
      <c r="BO52" s="573">
        <f t="shared" si="74"/>
        <v>26.7</v>
      </c>
      <c r="BP52" s="573">
        <f t="shared" si="74"/>
        <v>33.6</v>
      </c>
      <c r="BQ52" s="46"/>
      <c r="BR52" s="60">
        <f>BR$44</f>
        <v>19400</v>
      </c>
      <c r="BS52" s="60">
        <f t="shared" ref="BS52:BY52" si="75">BS$44</f>
        <v>42700</v>
      </c>
      <c r="BT52" s="60">
        <f t="shared" si="75"/>
        <v>69600</v>
      </c>
      <c r="BU52" s="60">
        <f t="shared" si="75"/>
        <v>105800</v>
      </c>
      <c r="BV52" s="60">
        <f t="shared" si="75"/>
        <v>153200</v>
      </c>
      <c r="BW52" s="60">
        <f t="shared" si="75"/>
        <v>209200</v>
      </c>
      <c r="BX52" s="60">
        <f t="shared" si="75"/>
        <v>346600</v>
      </c>
      <c r="BY52" s="60">
        <f t="shared" si="75"/>
        <v>1797400</v>
      </c>
      <c r="CA52" s="60">
        <f t="shared" ref="CA52:CH52" si="76">BI52*BR52/100</f>
        <v>368.6</v>
      </c>
      <c r="CB52" s="60">
        <f t="shared" si="76"/>
        <v>3843</v>
      </c>
      <c r="CC52" s="60">
        <f t="shared" si="76"/>
        <v>9744</v>
      </c>
      <c r="CD52" s="60">
        <f t="shared" si="76"/>
        <v>18832.400000000001</v>
      </c>
      <c r="CE52" s="60">
        <f t="shared" si="76"/>
        <v>32478.400000000001</v>
      </c>
      <c r="CF52" s="60">
        <f t="shared" si="76"/>
        <v>48952.800000000003</v>
      </c>
      <c r="CG52" s="60">
        <f t="shared" si="76"/>
        <v>92542.2</v>
      </c>
      <c r="CH52" s="60">
        <f t="shared" si="76"/>
        <v>603926.4</v>
      </c>
      <c r="CJ52" s="153">
        <f t="shared" ref="CJ52:CQ52" si="77">CA52*CU52</f>
        <v>8689.7450000000008</v>
      </c>
      <c r="CK52" s="153">
        <f t="shared" si="77"/>
        <v>99437.625000000015</v>
      </c>
      <c r="CL52" s="153">
        <f t="shared" si="77"/>
        <v>240433.20000000004</v>
      </c>
      <c r="CM52" s="153">
        <f t="shared" si="77"/>
        <v>462806.2300000001</v>
      </c>
      <c r="CN52" s="153">
        <f t="shared" si="77"/>
        <v>402732.16000000003</v>
      </c>
      <c r="CO52" s="153">
        <f t="shared" si="77"/>
        <v>313297.92000000004</v>
      </c>
      <c r="CP52" s="153">
        <f t="shared" si="77"/>
        <v>462711</v>
      </c>
      <c r="CQ52" s="153">
        <f t="shared" si="77"/>
        <v>724711.68</v>
      </c>
      <c r="CR52" s="153">
        <f>SUM(CJ52:CQ52)</f>
        <v>2714819.5600000005</v>
      </c>
      <c r="CT52" s="403">
        <f>CT$44</f>
        <v>310.39999999999998</v>
      </c>
      <c r="CU52" s="403">
        <f t="shared" ref="CU52:DC52" si="78">CU$44</f>
        <v>23.575000000000003</v>
      </c>
      <c r="CV52" s="403">
        <f t="shared" si="78"/>
        <v>25.875000000000004</v>
      </c>
      <c r="CW52" s="403">
        <f t="shared" si="78"/>
        <v>24.675000000000004</v>
      </c>
      <c r="CX52" s="403">
        <f t="shared" si="78"/>
        <v>24.575000000000003</v>
      </c>
      <c r="CY52" s="403">
        <f t="shared" si="78"/>
        <v>12.4</v>
      </c>
      <c r="CZ52" s="403">
        <f t="shared" si="78"/>
        <v>6.4</v>
      </c>
      <c r="DA52" s="403">
        <f t="shared" si="78"/>
        <v>5</v>
      </c>
      <c r="DB52" s="403">
        <f t="shared" si="78"/>
        <v>1.2</v>
      </c>
      <c r="DC52" s="403">
        <f t="shared" si="78"/>
        <v>124.7</v>
      </c>
      <c r="DD52" s="403"/>
      <c r="DE52" s="403"/>
      <c r="DF52" s="403"/>
      <c r="DG52" s="403"/>
      <c r="DH52" s="403"/>
      <c r="DI52" s="403"/>
      <c r="DJ52" s="403"/>
      <c r="DK52" s="403"/>
      <c r="DL52" s="403"/>
      <c r="DM52" s="275">
        <f>Dem!$D436</f>
        <v>0</v>
      </c>
      <c r="DN52" s="276">
        <f>CT52</f>
        <v>310.39999999999998</v>
      </c>
    </row>
    <row r="53" spans="1:118" s="556" customFormat="1" ht="15" customHeight="1">
      <c r="A53" s="64"/>
      <c r="B53" s="427"/>
      <c r="C53" s="490"/>
      <c r="D53" s="483"/>
      <c r="E53" s="483"/>
      <c r="F53" s="483"/>
      <c r="G53" s="490"/>
      <c r="H53" s="490"/>
      <c r="I53" s="490"/>
      <c r="J53" s="490"/>
      <c r="K53" s="489"/>
      <c r="L53" s="489"/>
      <c r="M53" s="489"/>
      <c r="N53" s="489"/>
      <c r="O53" s="490"/>
      <c r="P53" s="490"/>
      <c r="Q53" s="490"/>
      <c r="R53" s="490"/>
      <c r="S53" s="490"/>
      <c r="T53" s="489"/>
      <c r="U53" s="489"/>
      <c r="V53" s="489"/>
      <c r="W53" s="489"/>
      <c r="X53" s="489"/>
      <c r="Y53" s="490"/>
      <c r="Z53" s="490"/>
      <c r="AA53" s="490"/>
      <c r="AB53" s="490"/>
      <c r="AC53" s="489"/>
      <c r="AD53" s="489"/>
      <c r="AE53" s="489"/>
      <c r="AF53" s="489"/>
      <c r="AG53" s="4"/>
      <c r="AH53" s="490"/>
      <c r="AI53" s="490"/>
      <c r="AJ53" s="490"/>
      <c r="AK53" s="490"/>
      <c r="AL53" s="489"/>
      <c r="AM53" s="489"/>
      <c r="AN53" s="489"/>
      <c r="AO53" s="489"/>
      <c r="AP53" s="489"/>
      <c r="AQ53" s="490"/>
      <c r="AR53" s="490"/>
      <c r="AS53" s="490"/>
      <c r="AT53" s="490"/>
      <c r="AU53" s="489"/>
      <c r="AV53" s="489"/>
      <c r="AW53" s="489"/>
      <c r="AX53" s="489"/>
      <c r="AY53" s="4"/>
      <c r="AZ53" s="490"/>
      <c r="BA53" s="490"/>
      <c r="BB53" s="490"/>
      <c r="BC53" s="490"/>
      <c r="BD53" s="489"/>
      <c r="BE53" s="489"/>
      <c r="BF53" s="489"/>
      <c r="BG53" s="489"/>
      <c r="BH53" s="4"/>
      <c r="BI53" s="490"/>
      <c r="BJ53" s="490"/>
      <c r="BK53" s="490"/>
      <c r="BL53" s="490"/>
      <c r="BM53" s="489"/>
      <c r="BN53" s="489"/>
      <c r="BO53" s="489"/>
      <c r="BP53" s="489"/>
      <c r="BQ53" s="490"/>
      <c r="BR53" s="490"/>
      <c r="BS53" s="490"/>
      <c r="BT53" s="490"/>
      <c r="BU53" s="490"/>
      <c r="BV53" s="489"/>
      <c r="BW53" s="489"/>
      <c r="BX53" s="489"/>
      <c r="BY53" s="489"/>
      <c r="BZ53" s="490"/>
      <c r="CA53" s="490"/>
      <c r="CB53" s="490"/>
      <c r="CC53" s="490"/>
      <c r="CD53" s="490"/>
      <c r="CE53" s="489"/>
      <c r="CF53" s="489"/>
      <c r="CG53" s="489"/>
      <c r="CH53" s="489"/>
      <c r="CI53" s="490"/>
      <c r="CJ53" s="490"/>
      <c r="CK53" s="490"/>
      <c r="CL53" s="490"/>
      <c r="CM53" s="490"/>
      <c r="CN53" s="489"/>
      <c r="CO53" s="489"/>
      <c r="CP53" s="489"/>
      <c r="CQ53" s="489"/>
      <c r="CR53" s="489"/>
      <c r="CT53" s="483"/>
      <c r="CU53" s="490"/>
      <c r="CV53" s="490"/>
      <c r="CW53" s="490"/>
      <c r="CX53" s="490"/>
      <c r="CY53" s="489"/>
      <c r="CZ53" s="489"/>
      <c r="DA53" s="489"/>
      <c r="DB53" s="489"/>
      <c r="DC53" s="489"/>
      <c r="DD53" s="489"/>
      <c r="DF53" s="490"/>
      <c r="DG53" s="490"/>
      <c r="DH53" s="490"/>
      <c r="DI53" s="490"/>
      <c r="DJ53" s="489"/>
      <c r="DK53" s="489"/>
      <c r="DL53" s="489"/>
      <c r="DM53" s="489"/>
      <c r="DN53" s="489"/>
    </row>
    <row r="54" spans="1:118">
      <c r="A54" s="244" t="s">
        <v>278</v>
      </c>
      <c r="B54" s="109"/>
      <c r="C54" s="109"/>
      <c r="D54" s="109"/>
      <c r="E54" s="109"/>
      <c r="F54" s="109"/>
      <c r="G54" s="109"/>
      <c r="H54" s="109"/>
      <c r="I54" s="109"/>
      <c r="J54" s="109"/>
      <c r="K54" s="109"/>
      <c r="L54" s="109"/>
      <c r="BR54" s="577">
        <f>SUMPRODUCT(BR52:BY52,CU52:DB52)*0.985</f>
        <v>12812951.4125</v>
      </c>
      <c r="CU54" s="140"/>
      <c r="CV54" s="140"/>
      <c r="CW54" s="140"/>
      <c r="CX54" s="140"/>
      <c r="CY54" s="140"/>
      <c r="CZ54" s="140"/>
      <c r="DA54" s="140"/>
      <c r="DB54" s="140"/>
      <c r="DC54" s="140"/>
      <c r="DD54" s="140"/>
      <c r="DE54" s="140"/>
      <c r="DF54" s="140"/>
      <c r="DG54" s="140"/>
      <c r="DH54" s="140"/>
      <c r="DI54" s="140"/>
      <c r="DJ54" s="140"/>
      <c r="DK54" s="140"/>
      <c r="DL54" s="140"/>
    </row>
    <row r="55" spans="1:118">
      <c r="A55" s="245" t="s">
        <v>48</v>
      </c>
      <c r="B55" s="141">
        <f>D55-E55</f>
        <v>0.21686575108417627</v>
      </c>
      <c r="D55" s="141">
        <f>SUM(G55:N55)*2</f>
        <v>0.76173711955722045</v>
      </c>
      <c r="E55" s="141">
        <f>SUM(Y55:AF55)*2</f>
        <v>0.54487136847304418</v>
      </c>
      <c r="F55" s="46"/>
      <c r="G55" s="157">
        <f t="shared" ref="G55:N55" si="79">(P$5-P55)*P$4</f>
        <v>3.935982890885021E-2</v>
      </c>
      <c r="H55" s="157">
        <f t="shared" si="79"/>
        <v>7.2034286801735001E-2</v>
      </c>
      <c r="I55" s="157">
        <f t="shared" si="79"/>
        <v>9.4321639998792423E-2</v>
      </c>
      <c r="J55" s="157">
        <f t="shared" si="79"/>
        <v>0.1002268340810098</v>
      </c>
      <c r="K55" s="157">
        <f t="shared" si="79"/>
        <v>4.5278834074703657E-2</v>
      </c>
      <c r="L55" s="157">
        <f t="shared" si="79"/>
        <v>1.9369274435314589E-2</v>
      </c>
      <c r="M55" s="157">
        <f t="shared" si="79"/>
        <v>1.0277861478204468E-2</v>
      </c>
      <c r="N55" s="157">
        <f t="shared" si="79"/>
        <v>0</v>
      </c>
      <c r="O55" s="46"/>
      <c r="P55" s="154">
        <f>AQ55</f>
        <v>3.2008554557489632E-3</v>
      </c>
      <c r="Q55" s="154">
        <f t="shared" ref="Q55:W55" si="80">P55+AR55</f>
        <v>3.9828565991325039E-2</v>
      </c>
      <c r="R55" s="154">
        <f t="shared" si="80"/>
        <v>0.12839180000603798</v>
      </c>
      <c r="S55" s="154">
        <f t="shared" si="80"/>
        <v>0.29886582959495112</v>
      </c>
      <c r="T55" s="154">
        <f t="shared" si="80"/>
        <v>0.44721165925296347</v>
      </c>
      <c r="U55" s="154">
        <f t="shared" si="80"/>
        <v>0.56261451129370832</v>
      </c>
      <c r="V55" s="154">
        <f t="shared" si="80"/>
        <v>0.73305346304488839</v>
      </c>
      <c r="W55" s="154">
        <f t="shared" si="80"/>
        <v>1</v>
      </c>
      <c r="X55" s="154"/>
      <c r="Y55" s="142">
        <f t="shared" ref="Y55:AF55" si="81">(P$5-AH55)*P$4</f>
        <v>3.2861051520825788E-2</v>
      </c>
      <c r="Z55" s="142">
        <f t="shared" si="81"/>
        <v>5.5615024989856134E-2</v>
      </c>
      <c r="AA55" s="142">
        <f t="shared" si="81"/>
        <v>6.8808086530313312E-2</v>
      </c>
      <c r="AB55" s="142">
        <f t="shared" si="81"/>
        <v>6.8223604215591177E-2</v>
      </c>
      <c r="AC55" s="142">
        <f t="shared" si="81"/>
        <v>2.928555373736378E-2</v>
      </c>
      <c r="AD55" s="142">
        <f t="shared" si="81"/>
        <v>1.1918063385831163E-2</v>
      </c>
      <c r="AE55" s="142">
        <f t="shared" si="81"/>
        <v>5.7242998567407491E-3</v>
      </c>
      <c r="AF55" s="142">
        <f t="shared" si="81"/>
        <v>0</v>
      </c>
      <c r="AH55" s="158">
        <f>AZ55/100</f>
        <v>3.5694742395871087E-2</v>
      </c>
      <c r="AI55" s="158">
        <f t="shared" ref="AI55:AN55" si="82">AH55+BA55/100</f>
        <v>0.12192487505071935</v>
      </c>
      <c r="AJ55" s="158">
        <f t="shared" si="82"/>
        <v>0.25595956734843356</v>
      </c>
      <c r="AK55" s="158">
        <f t="shared" si="82"/>
        <v>0.45888197892204419</v>
      </c>
      <c r="AL55" s="158">
        <f t="shared" si="82"/>
        <v>0.60714446262636224</v>
      </c>
      <c r="AM55" s="158">
        <f t="shared" si="82"/>
        <v>0.71163873228337682</v>
      </c>
      <c r="AN55" s="158">
        <f t="shared" si="82"/>
        <v>0.84689250358148138</v>
      </c>
      <c r="AO55" s="158">
        <v>1</v>
      </c>
      <c r="AP55" s="143"/>
      <c r="AQ55" s="143">
        <f t="shared" ref="AQ55:AX55" si="83">CJ55/$CR55</f>
        <v>3.2008554557489632E-3</v>
      </c>
      <c r="AR55" s="143">
        <f t="shared" si="83"/>
        <v>3.6627710535576077E-2</v>
      </c>
      <c r="AS55" s="143">
        <f t="shared" si="83"/>
        <v>8.8563234014712944E-2</v>
      </c>
      <c r="AT55" s="143">
        <f t="shared" si="83"/>
        <v>0.17047402958891311</v>
      </c>
      <c r="AU55" s="143">
        <f t="shared" si="83"/>
        <v>0.14834582965801232</v>
      </c>
      <c r="AV55" s="143">
        <f t="shared" si="83"/>
        <v>0.11540285204074484</v>
      </c>
      <c r="AW55" s="143">
        <f t="shared" si="83"/>
        <v>0.17043895175118007</v>
      </c>
      <c r="AX55" s="143">
        <f t="shared" si="83"/>
        <v>0.26694653695511167</v>
      </c>
      <c r="AY55" s="46"/>
      <c r="AZ55" s="152">
        <f>AZ52</f>
        <v>3.5694742395871089</v>
      </c>
      <c r="BA55" s="152">
        <f t="shared" ref="BA55:BG55" si="84">BA52</f>
        <v>8.6230132654848255</v>
      </c>
      <c r="BB55" s="152">
        <f t="shared" si="84"/>
        <v>13.403469229771423</v>
      </c>
      <c r="BC55" s="152">
        <f t="shared" si="84"/>
        <v>20.292241157361062</v>
      </c>
      <c r="BD55" s="152">
        <f t="shared" si="84"/>
        <v>14.826248370431806</v>
      </c>
      <c r="BE55" s="152">
        <f t="shared" si="84"/>
        <v>10.449426965701452</v>
      </c>
      <c r="BF55" s="152">
        <f t="shared" si="84"/>
        <v>13.525377129810451</v>
      </c>
      <c r="BG55" s="152">
        <f t="shared" si="84"/>
        <v>16.833592281445796</v>
      </c>
      <c r="BI55" s="268">
        <f t="shared" ref="BI55:BP55" si="85">BI$44*$BI$56</f>
        <v>2.09</v>
      </c>
      <c r="BJ55" s="268">
        <f t="shared" si="85"/>
        <v>9.9</v>
      </c>
      <c r="BK55" s="268">
        <f t="shared" si="85"/>
        <v>15.400000000000002</v>
      </c>
      <c r="BL55" s="268">
        <f t="shared" si="85"/>
        <v>19.580000000000002</v>
      </c>
      <c r="BM55" s="268">
        <f t="shared" si="85"/>
        <v>23.32</v>
      </c>
      <c r="BN55" s="268">
        <f t="shared" si="85"/>
        <v>25.740000000000002</v>
      </c>
      <c r="BO55" s="268">
        <f t="shared" si="85"/>
        <v>29.37</v>
      </c>
      <c r="BP55" s="268">
        <f t="shared" si="85"/>
        <v>36.960000000000008</v>
      </c>
      <c r="BQ55" s="46"/>
      <c r="BR55" s="60">
        <f>BR$44</f>
        <v>19400</v>
      </c>
      <c r="BS55" s="60">
        <f t="shared" ref="BS55:BY55" si="86">BS$44</f>
        <v>42700</v>
      </c>
      <c r="BT55" s="60">
        <f t="shared" si="86"/>
        <v>69600</v>
      </c>
      <c r="BU55" s="60">
        <f t="shared" si="86"/>
        <v>105800</v>
      </c>
      <c r="BV55" s="60">
        <f t="shared" si="86"/>
        <v>153200</v>
      </c>
      <c r="BW55" s="60">
        <f t="shared" si="86"/>
        <v>209200</v>
      </c>
      <c r="BX55" s="60">
        <f t="shared" si="86"/>
        <v>346600</v>
      </c>
      <c r="BY55" s="60">
        <f t="shared" si="86"/>
        <v>1797400</v>
      </c>
      <c r="CA55" s="60">
        <f t="shared" ref="CA55:CH55" si="87">BI55*BR55/100</f>
        <v>405.46</v>
      </c>
      <c r="CB55" s="60">
        <f t="shared" si="87"/>
        <v>4227.3</v>
      </c>
      <c r="CC55" s="60">
        <f t="shared" si="87"/>
        <v>10718.400000000001</v>
      </c>
      <c r="CD55" s="60">
        <f t="shared" si="87"/>
        <v>20715.640000000003</v>
      </c>
      <c r="CE55" s="60">
        <f t="shared" si="87"/>
        <v>35726.239999999998</v>
      </c>
      <c r="CF55" s="60">
        <f t="shared" si="87"/>
        <v>53848.08</v>
      </c>
      <c r="CG55" s="60">
        <f t="shared" si="87"/>
        <v>101796.42</v>
      </c>
      <c r="CH55" s="60">
        <f t="shared" si="87"/>
        <v>664319.04000000015</v>
      </c>
      <c r="CJ55" s="153">
        <f t="shared" ref="CJ55:CQ55" si="88">CA55*CU55</f>
        <v>9558.7195000000011</v>
      </c>
      <c r="CK55" s="153">
        <f t="shared" si="88"/>
        <v>109381.38750000003</v>
      </c>
      <c r="CL55" s="153">
        <f t="shared" si="88"/>
        <v>264476.52000000008</v>
      </c>
      <c r="CM55" s="153">
        <f t="shared" si="88"/>
        <v>509086.85300000012</v>
      </c>
      <c r="CN55" s="153">
        <f t="shared" si="88"/>
        <v>443005.37599999999</v>
      </c>
      <c r="CO55" s="153">
        <f t="shared" si="88"/>
        <v>344627.71200000006</v>
      </c>
      <c r="CP55" s="153">
        <f t="shared" si="88"/>
        <v>508982.1</v>
      </c>
      <c r="CQ55" s="153">
        <f t="shared" si="88"/>
        <v>797182.84800000011</v>
      </c>
      <c r="CR55" s="153">
        <f>SUM(CJ55:CQ55)</f>
        <v>2986301.5160000003</v>
      </c>
      <c r="CT55" s="39">
        <f>CT$44</f>
        <v>310.39999999999998</v>
      </c>
      <c r="CU55" s="39">
        <f t="shared" ref="CU55:DC55" si="89">CU$44</f>
        <v>23.575000000000003</v>
      </c>
      <c r="CV55" s="39">
        <f t="shared" si="89"/>
        <v>25.875000000000004</v>
      </c>
      <c r="CW55" s="39">
        <f t="shared" si="89"/>
        <v>24.675000000000004</v>
      </c>
      <c r="CX55" s="39">
        <f t="shared" si="89"/>
        <v>24.575000000000003</v>
      </c>
      <c r="CY55" s="39">
        <f t="shared" si="89"/>
        <v>12.4</v>
      </c>
      <c r="CZ55" s="39">
        <f t="shared" si="89"/>
        <v>6.4</v>
      </c>
      <c r="DA55" s="39">
        <f t="shared" si="89"/>
        <v>5</v>
      </c>
      <c r="DB55" s="39">
        <f t="shared" si="89"/>
        <v>1.2</v>
      </c>
      <c r="DC55" s="39">
        <f t="shared" si="89"/>
        <v>124.7</v>
      </c>
      <c r="DD55" s="39"/>
      <c r="DE55" s="39"/>
      <c r="DF55" s="39"/>
      <c r="DG55" s="39"/>
      <c r="DH55" s="39"/>
      <c r="DI55" s="39"/>
      <c r="DJ55" s="39"/>
      <c r="DK55" s="39"/>
      <c r="DL55" s="39"/>
      <c r="DM55" s="275">
        <f>Dem!$D439</f>
        <v>0</v>
      </c>
      <c r="DN55" s="276">
        <f>CT55</f>
        <v>310.39999999999998</v>
      </c>
    </row>
    <row r="56" spans="1:118">
      <c r="BI56" s="109">
        <v>1.1000000000000001</v>
      </c>
      <c r="CU56" s="140"/>
      <c r="CV56" s="140"/>
      <c r="CW56" s="140"/>
      <c r="CX56" s="140"/>
      <c r="CY56" s="140"/>
      <c r="CZ56" s="140"/>
      <c r="DA56" s="140"/>
      <c r="DB56" s="140"/>
      <c r="DC56" s="140"/>
      <c r="DD56" s="140"/>
      <c r="DE56" s="140"/>
      <c r="DF56" s="140"/>
      <c r="DG56" s="140"/>
      <c r="DH56" s="140"/>
      <c r="DI56" s="140"/>
      <c r="DJ56" s="140"/>
      <c r="DK56" s="140"/>
      <c r="DL56" s="140"/>
    </row>
    <row r="57" spans="1:118">
      <c r="BR57" s="26"/>
      <c r="CU57" s="140"/>
      <c r="CV57" s="140"/>
      <c r="CW57" s="140"/>
      <c r="CX57" s="140"/>
      <c r="CY57" s="140"/>
      <c r="CZ57" s="140"/>
      <c r="DA57" s="140"/>
      <c r="DB57" s="140"/>
      <c r="DC57" s="140"/>
      <c r="DD57" s="140"/>
      <c r="DE57" s="140"/>
      <c r="DF57" s="140"/>
      <c r="DG57" s="140"/>
      <c r="DH57" s="140"/>
      <c r="DI57" s="140"/>
      <c r="DJ57" s="140"/>
      <c r="DK57" s="140"/>
      <c r="DL57" s="140"/>
    </row>
    <row r="58" spans="1:118">
      <c r="A58" s="270" t="s">
        <v>279</v>
      </c>
      <c r="B58" s="107"/>
      <c r="C58" s="107"/>
      <c r="D58" s="107"/>
      <c r="E58" s="107"/>
      <c r="F58" s="107"/>
      <c r="G58" s="107"/>
      <c r="H58" s="107"/>
      <c r="I58" s="107"/>
      <c r="J58" s="107"/>
      <c r="K58" s="107"/>
      <c r="L58" s="107"/>
      <c r="CU58" s="140"/>
      <c r="CV58" s="140"/>
      <c r="CW58" s="140"/>
      <c r="CX58" s="140"/>
      <c r="CY58" s="140"/>
      <c r="CZ58" s="140"/>
      <c r="DA58" s="140"/>
      <c r="DB58" s="140"/>
      <c r="DC58" s="140"/>
      <c r="DD58" s="140"/>
      <c r="DE58" s="140"/>
      <c r="DF58" s="140"/>
      <c r="DG58" s="140"/>
      <c r="DH58" s="140"/>
      <c r="DI58" s="140"/>
      <c r="DJ58" s="140"/>
      <c r="DK58" s="140"/>
      <c r="DL58" s="140"/>
    </row>
    <row r="59" spans="1:118">
      <c r="A59" s="245" t="s">
        <v>48</v>
      </c>
      <c r="B59" s="141">
        <f>D59-E59</f>
        <v>0.21686575108417627</v>
      </c>
      <c r="D59" s="141">
        <f>SUM(G59:N59)*2</f>
        <v>0.76173711955722045</v>
      </c>
      <c r="E59" s="141">
        <f>SUM(Y59:AF59)*2</f>
        <v>0.54487136847304418</v>
      </c>
      <c r="F59" s="46"/>
      <c r="G59" s="157">
        <f t="shared" ref="G59:N59" si="90">(P$5-P59)*P$4</f>
        <v>3.935982890885021E-2</v>
      </c>
      <c r="H59" s="157">
        <f t="shared" si="90"/>
        <v>7.2034286801735001E-2</v>
      </c>
      <c r="I59" s="157">
        <f t="shared" si="90"/>
        <v>9.4321639998792423E-2</v>
      </c>
      <c r="J59" s="157">
        <f t="shared" si="90"/>
        <v>0.1002268340810098</v>
      </c>
      <c r="K59" s="157">
        <f t="shared" si="90"/>
        <v>4.5278834074703657E-2</v>
      </c>
      <c r="L59" s="157">
        <f t="shared" si="90"/>
        <v>1.9369274435314589E-2</v>
      </c>
      <c r="M59" s="157">
        <f t="shared" si="90"/>
        <v>1.0277861478204468E-2</v>
      </c>
      <c r="N59" s="157">
        <f t="shared" si="90"/>
        <v>0</v>
      </c>
      <c r="O59" s="46"/>
      <c r="P59" s="154">
        <f>AQ59</f>
        <v>3.200855455748964E-3</v>
      </c>
      <c r="Q59" s="154">
        <f t="shared" ref="Q59:W59" si="91">P59+AR59</f>
        <v>3.9828565991325039E-2</v>
      </c>
      <c r="R59" s="154">
        <f t="shared" si="91"/>
        <v>0.128391800006038</v>
      </c>
      <c r="S59" s="154">
        <f t="shared" si="91"/>
        <v>0.29886582959495112</v>
      </c>
      <c r="T59" s="154">
        <f t="shared" si="91"/>
        <v>0.44721165925296347</v>
      </c>
      <c r="U59" s="154">
        <f t="shared" si="91"/>
        <v>0.56261451129370832</v>
      </c>
      <c r="V59" s="154">
        <f t="shared" si="91"/>
        <v>0.73305346304488839</v>
      </c>
      <c r="W59" s="154">
        <f t="shared" si="91"/>
        <v>1</v>
      </c>
      <c r="X59" s="154"/>
      <c r="Y59" s="142">
        <f t="shared" ref="Y59:AF59" si="92">(P$5-AH59)*P$4</f>
        <v>3.2861051520825788E-2</v>
      </c>
      <c r="Z59" s="142">
        <f t="shared" si="92"/>
        <v>5.5615024989856134E-2</v>
      </c>
      <c r="AA59" s="142">
        <f t="shared" si="92"/>
        <v>6.8808086530313312E-2</v>
      </c>
      <c r="AB59" s="142">
        <f t="shared" si="92"/>
        <v>6.8223604215591177E-2</v>
      </c>
      <c r="AC59" s="142">
        <f t="shared" si="92"/>
        <v>2.928555373736378E-2</v>
      </c>
      <c r="AD59" s="142">
        <f t="shared" si="92"/>
        <v>1.1918063385831163E-2</v>
      </c>
      <c r="AE59" s="142">
        <f t="shared" si="92"/>
        <v>5.7242998567407491E-3</v>
      </c>
      <c r="AF59" s="142">
        <f t="shared" si="92"/>
        <v>0</v>
      </c>
      <c r="AH59" s="158">
        <f>AZ59/100</f>
        <v>3.5694742395871087E-2</v>
      </c>
      <c r="AI59" s="158">
        <f t="shared" ref="AI59:AN59" si="93">AH59+BA59/100</f>
        <v>0.12192487505071935</v>
      </c>
      <c r="AJ59" s="158">
        <f t="shared" si="93"/>
        <v>0.25595956734843356</v>
      </c>
      <c r="AK59" s="158">
        <f t="shared" si="93"/>
        <v>0.45888197892204419</v>
      </c>
      <c r="AL59" s="158">
        <f t="shared" si="93"/>
        <v>0.60714446262636224</v>
      </c>
      <c r="AM59" s="158">
        <f t="shared" si="93"/>
        <v>0.71163873228337682</v>
      </c>
      <c r="AN59" s="158">
        <f t="shared" si="93"/>
        <v>0.84689250358148138</v>
      </c>
      <c r="AO59" s="158">
        <v>1</v>
      </c>
      <c r="AP59" s="143"/>
      <c r="AQ59" s="143">
        <f t="shared" ref="AQ59:AX59" si="94">CJ59/$CR59</f>
        <v>3.200855455748964E-3</v>
      </c>
      <c r="AR59" s="143">
        <f t="shared" si="94"/>
        <v>3.6627710535576077E-2</v>
      </c>
      <c r="AS59" s="143">
        <f t="shared" si="94"/>
        <v>8.8563234014712958E-2</v>
      </c>
      <c r="AT59" s="143">
        <f t="shared" si="94"/>
        <v>0.17047402958891311</v>
      </c>
      <c r="AU59" s="143">
        <f t="shared" si="94"/>
        <v>0.14834582965801232</v>
      </c>
      <c r="AV59" s="143">
        <f t="shared" si="94"/>
        <v>0.11540285204074484</v>
      </c>
      <c r="AW59" s="143">
        <f t="shared" si="94"/>
        <v>0.1704389517511801</v>
      </c>
      <c r="AX59" s="143">
        <f t="shared" si="94"/>
        <v>0.26694653695511167</v>
      </c>
      <c r="AY59" s="46"/>
      <c r="AZ59" s="152">
        <f>AZ55</f>
        <v>3.5694742395871089</v>
      </c>
      <c r="BA59" s="152">
        <f t="shared" ref="BA59:BG59" si="95">BA55</f>
        <v>8.6230132654848255</v>
      </c>
      <c r="BB59" s="152">
        <f t="shared" si="95"/>
        <v>13.403469229771423</v>
      </c>
      <c r="BC59" s="152">
        <f t="shared" si="95"/>
        <v>20.292241157361062</v>
      </c>
      <c r="BD59" s="152">
        <f t="shared" si="95"/>
        <v>14.826248370431806</v>
      </c>
      <c r="BE59" s="152">
        <f t="shared" si="95"/>
        <v>10.449426965701452</v>
      </c>
      <c r="BF59" s="152">
        <f t="shared" si="95"/>
        <v>13.525377129810451</v>
      </c>
      <c r="BG59" s="152">
        <f t="shared" si="95"/>
        <v>16.833592281445796</v>
      </c>
      <c r="BI59" s="269">
        <f t="shared" ref="BI59:BP59" si="96">BI$44*$BI$60</f>
        <v>1.71</v>
      </c>
      <c r="BJ59" s="269">
        <f t="shared" si="96"/>
        <v>8.1</v>
      </c>
      <c r="BK59" s="269">
        <f t="shared" si="96"/>
        <v>12.6</v>
      </c>
      <c r="BL59" s="269">
        <f t="shared" si="96"/>
        <v>16.02</v>
      </c>
      <c r="BM59" s="269">
        <f t="shared" si="96"/>
        <v>19.079999999999998</v>
      </c>
      <c r="BN59" s="269">
        <f t="shared" si="96"/>
        <v>21.06</v>
      </c>
      <c r="BO59" s="269">
        <f t="shared" si="96"/>
        <v>24.03</v>
      </c>
      <c r="BP59" s="269">
        <f t="shared" si="96"/>
        <v>30.240000000000002</v>
      </c>
      <c r="BQ59" s="46"/>
      <c r="BR59" s="60">
        <f>BR$44</f>
        <v>19400</v>
      </c>
      <c r="BS59" s="60">
        <f t="shared" ref="BS59:BY59" si="97">BS$44</f>
        <v>42700</v>
      </c>
      <c r="BT59" s="60">
        <f t="shared" si="97"/>
        <v>69600</v>
      </c>
      <c r="BU59" s="60">
        <f t="shared" si="97"/>
        <v>105800</v>
      </c>
      <c r="BV59" s="60">
        <f t="shared" si="97"/>
        <v>153200</v>
      </c>
      <c r="BW59" s="60">
        <f t="shared" si="97"/>
        <v>209200</v>
      </c>
      <c r="BX59" s="60">
        <f t="shared" si="97"/>
        <v>346600</v>
      </c>
      <c r="BY59" s="60">
        <f t="shared" si="97"/>
        <v>1797400</v>
      </c>
      <c r="CA59" s="60">
        <f t="shared" ref="CA59:CH59" si="98">BI59*BR59/100</f>
        <v>331.74</v>
      </c>
      <c r="CB59" s="60">
        <f t="shared" si="98"/>
        <v>3458.7</v>
      </c>
      <c r="CC59" s="60">
        <f t="shared" si="98"/>
        <v>8769.6</v>
      </c>
      <c r="CD59" s="60">
        <f t="shared" si="98"/>
        <v>16949.16</v>
      </c>
      <c r="CE59" s="60">
        <f t="shared" si="98"/>
        <v>29230.559999999994</v>
      </c>
      <c r="CF59" s="60">
        <f t="shared" si="98"/>
        <v>44057.52</v>
      </c>
      <c r="CG59" s="60">
        <f t="shared" si="98"/>
        <v>83287.98</v>
      </c>
      <c r="CH59" s="60">
        <f t="shared" si="98"/>
        <v>543533.76</v>
      </c>
      <c r="CJ59" s="153">
        <f t="shared" ref="CJ59:CQ59" si="99">CA59*CU59</f>
        <v>7820.7705000000014</v>
      </c>
      <c r="CK59" s="153">
        <f t="shared" si="99"/>
        <v>89493.862500000003</v>
      </c>
      <c r="CL59" s="153">
        <f t="shared" si="99"/>
        <v>216389.88000000003</v>
      </c>
      <c r="CM59" s="153">
        <f t="shared" si="99"/>
        <v>416525.60700000002</v>
      </c>
      <c r="CN59" s="153">
        <f t="shared" si="99"/>
        <v>362458.94399999996</v>
      </c>
      <c r="CO59" s="153">
        <f t="shared" si="99"/>
        <v>281968.12799999997</v>
      </c>
      <c r="CP59" s="153">
        <f t="shared" si="99"/>
        <v>416439.89999999997</v>
      </c>
      <c r="CQ59" s="153">
        <f t="shared" si="99"/>
        <v>652240.51199999999</v>
      </c>
      <c r="CR59" s="153">
        <f>SUM(CJ59:CQ59)</f>
        <v>2443337.6039999998</v>
      </c>
      <c r="CT59" s="39">
        <f>CT$44</f>
        <v>310.39999999999998</v>
      </c>
      <c r="CU59" s="39">
        <f t="shared" ref="CU59:DC59" si="100">CU$44</f>
        <v>23.575000000000003</v>
      </c>
      <c r="CV59" s="39">
        <f t="shared" si="100"/>
        <v>25.875000000000004</v>
      </c>
      <c r="CW59" s="39">
        <f t="shared" si="100"/>
        <v>24.675000000000004</v>
      </c>
      <c r="CX59" s="39">
        <f t="shared" si="100"/>
        <v>24.575000000000003</v>
      </c>
      <c r="CY59" s="39">
        <f t="shared" si="100"/>
        <v>12.4</v>
      </c>
      <c r="CZ59" s="39">
        <f t="shared" si="100"/>
        <v>6.4</v>
      </c>
      <c r="DA59" s="39">
        <f t="shared" si="100"/>
        <v>5</v>
      </c>
      <c r="DB59" s="39">
        <f t="shared" si="100"/>
        <v>1.2</v>
      </c>
      <c r="DC59" s="39">
        <f t="shared" si="100"/>
        <v>124.7</v>
      </c>
      <c r="DD59" s="39"/>
      <c r="DE59" s="39"/>
      <c r="DF59" s="39"/>
      <c r="DG59" s="39"/>
      <c r="DH59" s="39"/>
      <c r="DI59" s="39"/>
      <c r="DJ59" s="39"/>
      <c r="DK59" s="39"/>
      <c r="DL59" s="39"/>
      <c r="DM59" s="275">
        <f>Dem!$D452</f>
        <v>0</v>
      </c>
      <c r="DN59" s="276">
        <f>CT59</f>
        <v>310.39999999999998</v>
      </c>
    </row>
    <row r="60" spans="1:118">
      <c r="BI60" s="107">
        <v>0.9</v>
      </c>
    </row>
    <row r="61" spans="1:118">
      <c r="BG61" s="44"/>
    </row>
    <row r="62" spans="1:118" s="556" customFormat="1">
      <c r="A62" s="572" t="s">
        <v>646</v>
      </c>
      <c r="B62" s="419"/>
      <c r="C62" s="419"/>
      <c r="D62" s="419"/>
      <c r="E62" s="419"/>
      <c r="F62" s="419"/>
      <c r="G62" s="419"/>
      <c r="H62" s="419"/>
      <c r="I62" s="419"/>
      <c r="J62" s="419"/>
      <c r="K62" s="419"/>
      <c r="L62" s="419"/>
    </row>
    <row r="63" spans="1:118" s="556" customFormat="1">
      <c r="A63" s="245" t="s">
        <v>48</v>
      </c>
      <c r="B63" s="141">
        <f>D63-E63</f>
        <v>0.21686575108417627</v>
      </c>
      <c r="D63" s="141">
        <f>SUM(G63:N63)*2</f>
        <v>0.76173711955722045</v>
      </c>
      <c r="E63" s="141">
        <f>SUM(Y63:AF63)*2</f>
        <v>0.54487136847304418</v>
      </c>
      <c r="F63" s="46"/>
      <c r="G63" s="157">
        <f t="shared" ref="G63:N63" si="101">(P$5-P63)*P$4</f>
        <v>3.935982890885021E-2</v>
      </c>
      <c r="H63" s="157">
        <f t="shared" si="101"/>
        <v>7.2034286801735001E-2</v>
      </c>
      <c r="I63" s="157">
        <f t="shared" si="101"/>
        <v>9.4321639998792423E-2</v>
      </c>
      <c r="J63" s="157">
        <f t="shared" si="101"/>
        <v>0.1002268340810098</v>
      </c>
      <c r="K63" s="157">
        <f t="shared" si="101"/>
        <v>4.5278834074703671E-2</v>
      </c>
      <c r="L63" s="157">
        <f t="shared" si="101"/>
        <v>1.9369274435314596E-2</v>
      </c>
      <c r="M63" s="157">
        <f t="shared" si="101"/>
        <v>1.0277861478204474E-2</v>
      </c>
      <c r="N63" s="157">
        <f t="shared" si="101"/>
        <v>1.1102230246251566E-18</v>
      </c>
      <c r="O63" s="46"/>
      <c r="P63" s="154">
        <f>AQ63</f>
        <v>3.2008554557489636E-3</v>
      </c>
      <c r="Q63" s="154">
        <f t="shared" ref="Q63:W63" si="102">P63+AR63</f>
        <v>3.9828565991325032E-2</v>
      </c>
      <c r="R63" s="154">
        <f t="shared" si="102"/>
        <v>0.12839180000603798</v>
      </c>
      <c r="S63" s="154">
        <f t="shared" si="102"/>
        <v>0.29886582959495106</v>
      </c>
      <c r="T63" s="154">
        <f t="shared" si="102"/>
        <v>0.44721165925296336</v>
      </c>
      <c r="U63" s="154">
        <f t="shared" si="102"/>
        <v>0.56261451129370821</v>
      </c>
      <c r="V63" s="154">
        <f t="shared" si="102"/>
        <v>0.73305346304488828</v>
      </c>
      <c r="W63" s="154">
        <f t="shared" si="102"/>
        <v>0.99999999999999989</v>
      </c>
      <c r="X63" s="154"/>
      <c r="Y63" s="142">
        <f t="shared" ref="Y63:AF63" si="103">(P$5-AH63)*P$4</f>
        <v>3.2861051520825788E-2</v>
      </c>
      <c r="Z63" s="142">
        <f t="shared" si="103"/>
        <v>5.5615024989856147E-2</v>
      </c>
      <c r="AA63" s="142">
        <f t="shared" si="103"/>
        <v>6.8808086530313312E-2</v>
      </c>
      <c r="AB63" s="142">
        <f t="shared" si="103"/>
        <v>6.8223604215591177E-2</v>
      </c>
      <c r="AC63" s="142">
        <f t="shared" si="103"/>
        <v>2.928555373736378E-2</v>
      </c>
      <c r="AD63" s="142">
        <f t="shared" si="103"/>
        <v>1.1918063385831163E-2</v>
      </c>
      <c r="AE63" s="142">
        <f t="shared" si="103"/>
        <v>5.7242998567407491E-3</v>
      </c>
      <c r="AF63" s="142">
        <f t="shared" si="103"/>
        <v>0</v>
      </c>
      <c r="AH63" s="158">
        <f>AZ63/100</f>
        <v>3.5694742395871087E-2</v>
      </c>
      <c r="AI63" s="158">
        <f t="shared" ref="AI63:AN63" si="104">AH63+BA63/100</f>
        <v>0.12192487505071932</v>
      </c>
      <c r="AJ63" s="158">
        <f t="shared" si="104"/>
        <v>0.25595956734843356</v>
      </c>
      <c r="AK63" s="158">
        <f t="shared" si="104"/>
        <v>0.45888197892204419</v>
      </c>
      <c r="AL63" s="158">
        <f t="shared" si="104"/>
        <v>0.60714446262636224</v>
      </c>
      <c r="AM63" s="158">
        <f t="shared" si="104"/>
        <v>0.71163873228337682</v>
      </c>
      <c r="AN63" s="158">
        <f t="shared" si="104"/>
        <v>0.84689250358148138</v>
      </c>
      <c r="AO63" s="158">
        <v>1</v>
      </c>
      <c r="AP63" s="143"/>
      <c r="AQ63" s="143">
        <f t="shared" ref="AQ63:AX63" si="105">CJ63/$CR63</f>
        <v>3.2008554557489636E-3</v>
      </c>
      <c r="AR63" s="143">
        <f t="shared" si="105"/>
        <v>3.662771053557607E-2</v>
      </c>
      <c r="AS63" s="143">
        <f t="shared" si="105"/>
        <v>8.8563234014712944E-2</v>
      </c>
      <c r="AT63" s="143">
        <f t="shared" si="105"/>
        <v>0.17047402958891308</v>
      </c>
      <c r="AU63" s="143">
        <f t="shared" si="105"/>
        <v>0.14834582965801232</v>
      </c>
      <c r="AV63" s="143">
        <f t="shared" si="105"/>
        <v>0.11540285204074481</v>
      </c>
      <c r="AW63" s="143">
        <f t="shared" si="105"/>
        <v>0.17043895175118007</v>
      </c>
      <c r="AX63" s="143">
        <f t="shared" si="105"/>
        <v>0.26694653695511161</v>
      </c>
      <c r="AY63" s="46"/>
      <c r="AZ63" s="152">
        <f>BR63*CU63/$BR65*100</f>
        <v>3.5694742395871089</v>
      </c>
      <c r="BA63" s="152">
        <f t="shared" ref="BA63:BG63" si="106">BS63*CV63/$BR65*100</f>
        <v>8.6230132654848237</v>
      </c>
      <c r="BB63" s="152">
        <f t="shared" si="106"/>
        <v>13.403469229771423</v>
      </c>
      <c r="BC63" s="152">
        <f t="shared" si="106"/>
        <v>20.292241157361062</v>
      </c>
      <c r="BD63" s="152">
        <f t="shared" si="106"/>
        <v>14.826248370431802</v>
      </c>
      <c r="BE63" s="152">
        <f t="shared" si="106"/>
        <v>10.449426965701452</v>
      </c>
      <c r="BF63" s="152">
        <f t="shared" si="106"/>
        <v>13.525377129810451</v>
      </c>
      <c r="BG63" s="152">
        <f t="shared" si="106"/>
        <v>16.833592281445796</v>
      </c>
      <c r="BI63" s="573">
        <f>BI$44</f>
        <v>1.9</v>
      </c>
      <c r="BJ63" s="573">
        <f t="shared" ref="BJ63:BP63" si="107">BJ$44</f>
        <v>9</v>
      </c>
      <c r="BK63" s="573">
        <f t="shared" si="107"/>
        <v>14</v>
      </c>
      <c r="BL63" s="573">
        <f t="shared" si="107"/>
        <v>17.8</v>
      </c>
      <c r="BM63" s="573">
        <f t="shared" si="107"/>
        <v>21.2</v>
      </c>
      <c r="BN63" s="573">
        <f t="shared" si="107"/>
        <v>23.4</v>
      </c>
      <c r="BO63" s="573">
        <f t="shared" si="107"/>
        <v>26.7</v>
      </c>
      <c r="BP63" s="573">
        <f t="shared" si="107"/>
        <v>33.6</v>
      </c>
      <c r="BQ63" s="46"/>
      <c r="BR63" s="576">
        <f>BR$44*$BR64</f>
        <v>17460</v>
      </c>
      <c r="BS63" s="576">
        <f t="shared" ref="BS63:BY63" si="108">BS$44*$BR64</f>
        <v>38430</v>
      </c>
      <c r="BT63" s="576">
        <f t="shared" si="108"/>
        <v>62640</v>
      </c>
      <c r="BU63" s="576">
        <f t="shared" si="108"/>
        <v>95220</v>
      </c>
      <c r="BV63" s="576">
        <f t="shared" si="108"/>
        <v>137880</v>
      </c>
      <c r="BW63" s="576">
        <f t="shared" si="108"/>
        <v>188280</v>
      </c>
      <c r="BX63" s="576">
        <f t="shared" si="108"/>
        <v>311940</v>
      </c>
      <c r="BY63" s="576">
        <f t="shared" si="108"/>
        <v>1617660</v>
      </c>
      <c r="CA63" s="60">
        <f t="shared" ref="CA63:CH63" si="109">BI63*BR63/100</f>
        <v>331.74</v>
      </c>
      <c r="CB63" s="60">
        <f t="shared" si="109"/>
        <v>3458.7</v>
      </c>
      <c r="CC63" s="60">
        <f t="shared" si="109"/>
        <v>8769.6</v>
      </c>
      <c r="CD63" s="60">
        <f t="shared" si="109"/>
        <v>16949.16</v>
      </c>
      <c r="CE63" s="60">
        <f t="shared" si="109"/>
        <v>29230.560000000001</v>
      </c>
      <c r="CF63" s="60">
        <f t="shared" si="109"/>
        <v>44057.52</v>
      </c>
      <c r="CG63" s="60">
        <f t="shared" si="109"/>
        <v>83287.98</v>
      </c>
      <c r="CH63" s="60">
        <f t="shared" si="109"/>
        <v>543533.76</v>
      </c>
      <c r="CJ63" s="153">
        <f t="shared" ref="CJ63:CQ63" si="110">CA63*CU63</f>
        <v>7820.7705000000014</v>
      </c>
      <c r="CK63" s="153">
        <f t="shared" si="110"/>
        <v>89493.862500000003</v>
      </c>
      <c r="CL63" s="153">
        <f t="shared" si="110"/>
        <v>216389.88000000003</v>
      </c>
      <c r="CM63" s="153">
        <f t="shared" si="110"/>
        <v>416525.60700000002</v>
      </c>
      <c r="CN63" s="153">
        <f t="shared" si="110"/>
        <v>362458.94400000002</v>
      </c>
      <c r="CO63" s="153">
        <f t="shared" si="110"/>
        <v>281968.12799999997</v>
      </c>
      <c r="CP63" s="153">
        <f t="shared" si="110"/>
        <v>416439.89999999997</v>
      </c>
      <c r="CQ63" s="153">
        <f t="shared" si="110"/>
        <v>652240.51199999999</v>
      </c>
      <c r="CR63" s="153">
        <f>SUM(CJ63:CQ63)</f>
        <v>2443337.6040000003</v>
      </c>
      <c r="CT63" s="403">
        <f>CT$44</f>
        <v>310.39999999999998</v>
      </c>
      <c r="CU63" s="403">
        <f t="shared" ref="CU63:DC63" si="111">CU$44</f>
        <v>23.575000000000003</v>
      </c>
      <c r="CV63" s="403">
        <f t="shared" si="111"/>
        <v>25.875000000000004</v>
      </c>
      <c r="CW63" s="403">
        <f t="shared" si="111"/>
        <v>24.675000000000004</v>
      </c>
      <c r="CX63" s="403">
        <f t="shared" si="111"/>
        <v>24.575000000000003</v>
      </c>
      <c r="CY63" s="403">
        <f t="shared" si="111"/>
        <v>12.4</v>
      </c>
      <c r="CZ63" s="403">
        <f t="shared" si="111"/>
        <v>6.4</v>
      </c>
      <c r="DA63" s="403">
        <f t="shared" si="111"/>
        <v>5</v>
      </c>
      <c r="DB63" s="403">
        <f t="shared" si="111"/>
        <v>1.2</v>
      </c>
      <c r="DC63" s="403">
        <f t="shared" si="111"/>
        <v>124.7</v>
      </c>
      <c r="DD63" s="403"/>
      <c r="DE63" s="403"/>
      <c r="DF63" s="403"/>
      <c r="DG63" s="403"/>
      <c r="DH63" s="403"/>
      <c r="DI63" s="403"/>
      <c r="DJ63" s="403"/>
      <c r="DK63" s="403"/>
      <c r="DL63" s="403"/>
      <c r="DM63" s="275">
        <f>Dem!$D447</f>
        <v>0</v>
      </c>
      <c r="DN63" s="276">
        <f>CT63</f>
        <v>310.39999999999998</v>
      </c>
    </row>
    <row r="64" spans="1:118" s="556" customFormat="1">
      <c r="A64" s="46"/>
      <c r="AZ64" s="44"/>
      <c r="BA64" s="44"/>
      <c r="BB64" s="44"/>
      <c r="BC64" s="44"/>
      <c r="BD64" s="44"/>
      <c r="BE64" s="44"/>
      <c r="BF64" s="44"/>
      <c r="BG64" s="44"/>
      <c r="BI64" s="12"/>
      <c r="BR64" s="109">
        <v>0.9</v>
      </c>
    </row>
    <row r="65" spans="1:118" s="556" customFormat="1">
      <c r="A65" s="46"/>
      <c r="BG65" s="44"/>
      <c r="BR65" s="577">
        <f>SUMPRODUCT(BR63:BY63,CU63:DB63)*0.985</f>
        <v>11531656.27125</v>
      </c>
      <c r="BS65" s="578"/>
    </row>
    <row r="66" spans="1:118" s="556" customFormat="1">
      <c r="A66" s="575" t="s">
        <v>647</v>
      </c>
      <c r="B66" s="271"/>
      <c r="C66" s="271"/>
      <c r="D66" s="271"/>
      <c r="E66" s="271"/>
      <c r="F66" s="271"/>
      <c r="G66" s="271"/>
      <c r="H66" s="271"/>
      <c r="I66" s="271"/>
      <c r="J66" s="271"/>
      <c r="K66" s="271"/>
      <c r="L66" s="271"/>
      <c r="BS66" s="113"/>
    </row>
    <row r="67" spans="1:118" s="556" customFormat="1">
      <c r="A67" s="245" t="s">
        <v>48</v>
      </c>
      <c r="B67" s="141">
        <f>D67-E67</f>
        <v>0.21686575108417627</v>
      </c>
      <c r="D67" s="141">
        <f>SUM(G67:N67)*2</f>
        <v>0.76173711955722045</v>
      </c>
      <c r="E67" s="141">
        <f>SUM(Y67:AF67)*2</f>
        <v>0.54487136847304418</v>
      </c>
      <c r="F67" s="46"/>
      <c r="G67" s="157">
        <f t="shared" ref="G67:N67" si="112">(P$5-P67)*P$4</f>
        <v>3.935982890885021E-2</v>
      </c>
      <c r="H67" s="157">
        <f t="shared" si="112"/>
        <v>7.2034286801735001E-2</v>
      </c>
      <c r="I67" s="157">
        <f t="shared" si="112"/>
        <v>9.4321639998792436E-2</v>
      </c>
      <c r="J67" s="157">
        <f t="shared" si="112"/>
        <v>0.10022683408100981</v>
      </c>
      <c r="K67" s="157">
        <f t="shared" si="112"/>
        <v>4.5278834074703671E-2</v>
      </c>
      <c r="L67" s="157">
        <f t="shared" si="112"/>
        <v>1.9369274435314596E-2</v>
      </c>
      <c r="M67" s="157">
        <f t="shared" si="112"/>
        <v>1.0277861478204474E-2</v>
      </c>
      <c r="N67" s="157">
        <f t="shared" si="112"/>
        <v>1.1102230246251566E-18</v>
      </c>
      <c r="O67" s="46"/>
      <c r="P67" s="154">
        <f>AQ67</f>
        <v>3.2008554557489632E-3</v>
      </c>
      <c r="Q67" s="154">
        <f t="shared" ref="Q67:W67" si="113">P67+AR67</f>
        <v>3.9828565991325032E-2</v>
      </c>
      <c r="R67" s="154">
        <f t="shared" si="113"/>
        <v>0.12839180000603795</v>
      </c>
      <c r="S67" s="154">
        <f t="shared" si="113"/>
        <v>0.298865829594951</v>
      </c>
      <c r="T67" s="154">
        <f t="shared" si="113"/>
        <v>0.44721165925296336</v>
      </c>
      <c r="U67" s="154">
        <f t="shared" si="113"/>
        <v>0.56261451129370821</v>
      </c>
      <c r="V67" s="154">
        <f t="shared" si="113"/>
        <v>0.73305346304488828</v>
      </c>
      <c r="W67" s="154">
        <f t="shared" si="113"/>
        <v>0.99999999999999989</v>
      </c>
      <c r="X67" s="154"/>
      <c r="Y67" s="142">
        <f t="shared" ref="Y67:AF67" si="114">(P$5-AH67)*P$4</f>
        <v>3.2861051520825788E-2</v>
      </c>
      <c r="Z67" s="142">
        <f t="shared" si="114"/>
        <v>5.5615024989856134E-2</v>
      </c>
      <c r="AA67" s="142">
        <f t="shared" si="114"/>
        <v>6.8808086530313312E-2</v>
      </c>
      <c r="AB67" s="142">
        <f t="shared" si="114"/>
        <v>6.8223604215591177E-2</v>
      </c>
      <c r="AC67" s="142">
        <f t="shared" si="114"/>
        <v>2.928555373736378E-2</v>
      </c>
      <c r="AD67" s="142">
        <f t="shared" si="114"/>
        <v>1.1918063385831163E-2</v>
      </c>
      <c r="AE67" s="142">
        <f t="shared" si="114"/>
        <v>5.7242998567407491E-3</v>
      </c>
      <c r="AF67" s="142">
        <f t="shared" si="114"/>
        <v>0</v>
      </c>
      <c r="AH67" s="158">
        <f>AZ67/100</f>
        <v>3.5694742395871087E-2</v>
      </c>
      <c r="AI67" s="158">
        <f t="shared" ref="AI67:AN67" si="115">AH67+BA67/100</f>
        <v>0.12192487505071935</v>
      </c>
      <c r="AJ67" s="158">
        <f t="shared" si="115"/>
        <v>0.25595956734843356</v>
      </c>
      <c r="AK67" s="158">
        <f t="shared" si="115"/>
        <v>0.45888197892204419</v>
      </c>
      <c r="AL67" s="158">
        <f t="shared" si="115"/>
        <v>0.60714446262636224</v>
      </c>
      <c r="AM67" s="158">
        <f t="shared" si="115"/>
        <v>0.71163873228337682</v>
      </c>
      <c r="AN67" s="158">
        <f t="shared" si="115"/>
        <v>0.84689250358148138</v>
      </c>
      <c r="AO67" s="158">
        <v>1</v>
      </c>
      <c r="AP67" s="143"/>
      <c r="AQ67" s="143">
        <f t="shared" ref="AQ67:AX67" si="116">CJ67/$CR67</f>
        <v>3.2008554557489632E-3</v>
      </c>
      <c r="AR67" s="143">
        <f t="shared" si="116"/>
        <v>3.662771053557607E-2</v>
      </c>
      <c r="AS67" s="143">
        <f t="shared" si="116"/>
        <v>8.856323401471293E-2</v>
      </c>
      <c r="AT67" s="143">
        <f t="shared" si="116"/>
        <v>0.17047402958891308</v>
      </c>
      <c r="AU67" s="143">
        <f t="shared" si="116"/>
        <v>0.14834582965801232</v>
      </c>
      <c r="AV67" s="143">
        <f t="shared" si="116"/>
        <v>0.11540285204074482</v>
      </c>
      <c r="AW67" s="143">
        <f t="shared" si="116"/>
        <v>0.17043895175118007</v>
      </c>
      <c r="AX67" s="143">
        <f t="shared" si="116"/>
        <v>0.26694653695511161</v>
      </c>
      <c r="AY67" s="46"/>
      <c r="AZ67" s="152">
        <f>BR67*CU67/$BR69*100</f>
        <v>3.5694742395871089</v>
      </c>
      <c r="BA67" s="152">
        <f t="shared" ref="BA67:BG67" si="117">BS67*CV67/$BR69*100</f>
        <v>8.6230132654848255</v>
      </c>
      <c r="BB67" s="152">
        <f t="shared" si="117"/>
        <v>13.403469229771423</v>
      </c>
      <c r="BC67" s="152">
        <f t="shared" si="117"/>
        <v>20.292241157361062</v>
      </c>
      <c r="BD67" s="152">
        <f t="shared" si="117"/>
        <v>14.826248370431806</v>
      </c>
      <c r="BE67" s="152">
        <f t="shared" si="117"/>
        <v>10.449426965701452</v>
      </c>
      <c r="BF67" s="152">
        <f t="shared" si="117"/>
        <v>13.525377129810451</v>
      </c>
      <c r="BG67" s="152">
        <f t="shared" si="117"/>
        <v>16.833592281445796</v>
      </c>
      <c r="BI67" s="573">
        <f>BI$44</f>
        <v>1.9</v>
      </c>
      <c r="BJ67" s="573">
        <f t="shared" ref="BJ67:BP67" si="118">BJ$44</f>
        <v>9</v>
      </c>
      <c r="BK67" s="573">
        <f t="shared" si="118"/>
        <v>14</v>
      </c>
      <c r="BL67" s="573">
        <f t="shared" si="118"/>
        <v>17.8</v>
      </c>
      <c r="BM67" s="573">
        <f t="shared" si="118"/>
        <v>21.2</v>
      </c>
      <c r="BN67" s="573">
        <f t="shared" si="118"/>
        <v>23.4</v>
      </c>
      <c r="BO67" s="573">
        <f t="shared" si="118"/>
        <v>26.7</v>
      </c>
      <c r="BP67" s="573">
        <f t="shared" si="118"/>
        <v>33.6</v>
      </c>
      <c r="BQ67" s="46"/>
      <c r="BR67" s="60">
        <f>BR$44</f>
        <v>19400</v>
      </c>
      <c r="BS67" s="60">
        <f t="shared" ref="BS67:BY67" si="119">BS$44</f>
        <v>42700</v>
      </c>
      <c r="BT67" s="60">
        <f t="shared" si="119"/>
        <v>69600</v>
      </c>
      <c r="BU67" s="60">
        <f t="shared" si="119"/>
        <v>105800</v>
      </c>
      <c r="BV67" s="60">
        <f t="shared" si="119"/>
        <v>153200</v>
      </c>
      <c r="BW67" s="60">
        <f t="shared" si="119"/>
        <v>209200</v>
      </c>
      <c r="BX67" s="60">
        <f t="shared" si="119"/>
        <v>346600</v>
      </c>
      <c r="BY67" s="60">
        <f t="shared" si="119"/>
        <v>1797400</v>
      </c>
      <c r="CA67" s="60">
        <f t="shared" ref="CA67:CH67" si="120">BI67*BR67/100</f>
        <v>368.6</v>
      </c>
      <c r="CB67" s="60">
        <f t="shared" si="120"/>
        <v>3843</v>
      </c>
      <c r="CC67" s="60">
        <f t="shared" si="120"/>
        <v>9744</v>
      </c>
      <c r="CD67" s="60">
        <f t="shared" si="120"/>
        <v>18832.400000000001</v>
      </c>
      <c r="CE67" s="60">
        <f t="shared" si="120"/>
        <v>32478.400000000001</v>
      </c>
      <c r="CF67" s="60">
        <f t="shared" si="120"/>
        <v>48952.800000000003</v>
      </c>
      <c r="CG67" s="60">
        <f t="shared" si="120"/>
        <v>92542.2</v>
      </c>
      <c r="CH67" s="60">
        <f t="shared" si="120"/>
        <v>603926.4</v>
      </c>
      <c r="CJ67" s="153">
        <f t="shared" ref="CJ67:CQ67" si="121">CA67*CU67</f>
        <v>8689.7450000000008</v>
      </c>
      <c r="CK67" s="153">
        <f t="shared" si="121"/>
        <v>99437.625000000015</v>
      </c>
      <c r="CL67" s="153">
        <f t="shared" si="121"/>
        <v>240433.20000000004</v>
      </c>
      <c r="CM67" s="153">
        <f t="shared" si="121"/>
        <v>462806.2300000001</v>
      </c>
      <c r="CN67" s="153">
        <f t="shared" si="121"/>
        <v>402732.16000000003</v>
      </c>
      <c r="CO67" s="153">
        <f t="shared" si="121"/>
        <v>313297.92000000004</v>
      </c>
      <c r="CP67" s="153">
        <f t="shared" si="121"/>
        <v>462711</v>
      </c>
      <c r="CQ67" s="153">
        <f t="shared" si="121"/>
        <v>724711.68</v>
      </c>
      <c r="CR67" s="153">
        <f>SUM(CJ67:CQ67)</f>
        <v>2714819.5600000005</v>
      </c>
      <c r="CT67" s="403">
        <f>CT$44</f>
        <v>310.39999999999998</v>
      </c>
      <c r="CU67" s="403">
        <f t="shared" ref="CU67:DC67" si="122">CU$44</f>
        <v>23.575000000000003</v>
      </c>
      <c r="CV67" s="403">
        <f t="shared" si="122"/>
        <v>25.875000000000004</v>
      </c>
      <c r="CW67" s="403">
        <f t="shared" si="122"/>
        <v>24.675000000000004</v>
      </c>
      <c r="CX67" s="403">
        <f t="shared" si="122"/>
        <v>24.575000000000003</v>
      </c>
      <c r="CY67" s="403">
        <f t="shared" si="122"/>
        <v>12.4</v>
      </c>
      <c r="CZ67" s="403">
        <f t="shared" si="122"/>
        <v>6.4</v>
      </c>
      <c r="DA67" s="403">
        <f t="shared" si="122"/>
        <v>5</v>
      </c>
      <c r="DB67" s="403">
        <f t="shared" si="122"/>
        <v>1.2</v>
      </c>
      <c r="DC67" s="403">
        <f t="shared" si="122"/>
        <v>124.7</v>
      </c>
      <c r="DD67" s="403"/>
      <c r="DE67" s="403"/>
      <c r="DF67" s="403"/>
      <c r="DG67" s="403"/>
      <c r="DH67" s="403"/>
      <c r="DI67" s="403"/>
      <c r="DJ67" s="403"/>
      <c r="DK67" s="403"/>
      <c r="DL67" s="403"/>
      <c r="DM67" s="275">
        <f>Dem!$D460</f>
        <v>0</v>
      </c>
      <c r="DN67" s="276">
        <f>CT67</f>
        <v>310.39999999999998</v>
      </c>
    </row>
    <row r="68" spans="1:118" s="556" customFormat="1">
      <c r="A68" s="46"/>
      <c r="BI68" s="12"/>
      <c r="BJ68" s="12"/>
      <c r="BK68" s="12"/>
      <c r="BL68" s="12"/>
      <c r="BM68" s="12"/>
      <c r="BN68" s="12"/>
      <c r="BO68" s="12"/>
      <c r="BP68" s="12"/>
      <c r="BR68" s="109">
        <v>1.1000000000000001</v>
      </c>
      <c r="BS68" s="113"/>
    </row>
    <row r="69" spans="1:118">
      <c r="BR69" s="577">
        <f>SUMPRODUCT(BR67:BY67,CU67:DB67)*0.985</f>
        <v>12812951.4125</v>
      </c>
      <c r="BS69" s="578" t="s">
        <v>630</v>
      </c>
    </row>
  </sheetData>
  <mergeCells count="32">
    <mergeCell ref="DF49:DN49"/>
    <mergeCell ref="BR49:BY49"/>
    <mergeCell ref="CA49:CH49"/>
    <mergeCell ref="CJ49:CR49"/>
    <mergeCell ref="CT49:CT50"/>
    <mergeCell ref="CU49:DC49"/>
    <mergeCell ref="Y49:AF49"/>
    <mergeCell ref="AH49:AO49"/>
    <mergeCell ref="AQ49:AX49"/>
    <mergeCell ref="AZ49:BG49"/>
    <mergeCell ref="BI49:BP49"/>
    <mergeCell ref="B49:B50"/>
    <mergeCell ref="D49:D50"/>
    <mergeCell ref="E49:E50"/>
    <mergeCell ref="G49:N49"/>
    <mergeCell ref="P49:W49"/>
    <mergeCell ref="CU7:DC7"/>
    <mergeCell ref="DF7:DN7"/>
    <mergeCell ref="B7:B8"/>
    <mergeCell ref="P7:W7"/>
    <mergeCell ref="AH7:AO7"/>
    <mergeCell ref="BI7:BP7"/>
    <mergeCell ref="BR7:BY7"/>
    <mergeCell ref="D7:D8"/>
    <mergeCell ref="E7:E8"/>
    <mergeCell ref="CJ7:CR7"/>
    <mergeCell ref="CT7:CT8"/>
    <mergeCell ref="AQ7:AX7"/>
    <mergeCell ref="AZ7:BG7"/>
    <mergeCell ref="G7:N7"/>
    <mergeCell ref="Y7:AF7"/>
    <mergeCell ref="CA7:CH7"/>
  </mergeCells>
  <phoneticPr fontId="46" type="noConversion"/>
  <hyperlinks>
    <hyperlink ref="F1" location="Index!A1" display="index" xr:uid="{AE99AF06-FDFB-4877-8EE7-AF98F5A1FB10}"/>
  </hyperlinks>
  <pageMargins left="0.7" right="0.7" top="0.75" bottom="0.75" header="0.3" footer="0.3"/>
  <pageSetup orientation="portrait" horizontalDpi="1200" verticalDpi="120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AC1D86-85EC-400F-9993-8F4C45C7153C}">
  <sheetPr>
    <tabColor theme="4" tint="0.79998168889431442"/>
  </sheetPr>
  <dimension ref="A1:O184"/>
  <sheetViews>
    <sheetView zoomScale="70" zoomScaleNormal="70" workbookViewId="0">
      <selection activeCell="L1" sqref="L1"/>
    </sheetView>
  </sheetViews>
  <sheetFormatPr defaultRowHeight="15"/>
  <cols>
    <col min="1" max="1" width="12.7109375" style="132" customWidth="1"/>
    <col min="2" max="2" width="12.7109375" style="139" customWidth="1"/>
    <col min="3" max="3" width="2.7109375" style="140" customWidth="1"/>
    <col min="4" max="8" width="12.7109375" style="139" customWidth="1"/>
    <col min="9" max="9" width="2.7109375" style="140" customWidth="1"/>
    <col min="10" max="13" width="12.7109375" style="139" customWidth="1"/>
    <col min="14" max="16384" width="9.140625" style="140"/>
  </cols>
  <sheetData>
    <row r="1" spans="1:15" ht="14.25" customHeight="1">
      <c r="A1" s="770" t="s">
        <v>0</v>
      </c>
      <c r="B1" s="771"/>
      <c r="C1" s="771"/>
      <c r="D1" s="771"/>
      <c r="E1" s="771"/>
      <c r="F1" s="771"/>
      <c r="G1" s="771"/>
      <c r="H1" s="771"/>
      <c r="I1" s="771"/>
      <c r="J1" s="771"/>
      <c r="K1" s="771"/>
      <c r="L1" s="641" t="s">
        <v>762</v>
      </c>
    </row>
    <row r="2" spans="1:15" ht="14.25" customHeight="1">
      <c r="A2" s="779" t="s">
        <v>1</v>
      </c>
      <c r="B2" s="773"/>
      <c r="C2" s="776"/>
      <c r="D2" s="773"/>
    </row>
    <row r="4" spans="1:15" ht="14.25" customHeight="1">
      <c r="A4" s="133" t="s">
        <v>350</v>
      </c>
    </row>
    <row r="5" spans="1:15" ht="14.25" customHeight="1">
      <c r="A5" s="133" t="s">
        <v>351</v>
      </c>
    </row>
    <row r="6" spans="1:15" ht="14.25" customHeight="1">
      <c r="A6" s="135" t="s">
        <v>22</v>
      </c>
    </row>
    <row r="7" spans="1:15" ht="14.25" customHeight="1"/>
    <row r="8" spans="1:15" ht="30" customHeight="1">
      <c r="A8" s="136" t="s">
        <v>3</v>
      </c>
      <c r="B8" s="136" t="s">
        <v>4</v>
      </c>
      <c r="C8" s="136"/>
      <c r="D8" s="136" t="s">
        <v>5</v>
      </c>
      <c r="E8" s="136" t="s">
        <v>6</v>
      </c>
      <c r="F8" s="136" t="s">
        <v>7</v>
      </c>
      <c r="G8" s="136" t="s">
        <v>8</v>
      </c>
      <c r="H8" s="136" t="s">
        <v>9</v>
      </c>
      <c r="I8" s="136"/>
      <c r="J8" s="136" t="s">
        <v>10</v>
      </c>
      <c r="K8" s="136" t="s">
        <v>11</v>
      </c>
      <c r="L8" s="136" t="s">
        <v>12</v>
      </c>
      <c r="M8" s="136" t="s">
        <v>13</v>
      </c>
    </row>
    <row r="9" spans="1:15" ht="14.25" customHeight="1">
      <c r="B9" s="774" t="s">
        <v>167</v>
      </c>
      <c r="C9" s="774"/>
      <c r="D9" s="774"/>
      <c r="E9" s="774"/>
      <c r="F9" s="774"/>
      <c r="G9" s="774"/>
      <c r="H9" s="774"/>
      <c r="I9" s="774"/>
      <c r="J9" s="774"/>
      <c r="K9" s="774"/>
      <c r="L9" s="774"/>
      <c r="M9" s="774"/>
    </row>
    <row r="10" spans="1:15" ht="14.25" customHeight="1">
      <c r="A10" s="132">
        <v>1979</v>
      </c>
      <c r="B10" s="139">
        <v>100</v>
      </c>
      <c r="D10" s="139">
        <v>3.5</v>
      </c>
      <c r="E10" s="139">
        <v>10</v>
      </c>
      <c r="F10" s="139">
        <v>15.9</v>
      </c>
      <c r="G10" s="139">
        <v>22.9</v>
      </c>
      <c r="H10" s="139">
        <v>47.9</v>
      </c>
      <c r="J10" s="139">
        <v>15.9</v>
      </c>
      <c r="K10" s="139">
        <v>10.4</v>
      </c>
      <c r="L10" s="139">
        <v>12</v>
      </c>
      <c r="M10" s="139">
        <v>9.6</v>
      </c>
      <c r="O10" s="127"/>
    </row>
    <row r="11" spans="1:15" ht="14.25" customHeight="1">
      <c r="A11" s="132">
        <v>1980</v>
      </c>
      <c r="B11" s="139">
        <v>100</v>
      </c>
      <c r="D11" s="139">
        <v>3.4</v>
      </c>
      <c r="E11" s="139">
        <v>9.6999999999999993</v>
      </c>
      <c r="F11" s="139">
        <v>15.8</v>
      </c>
      <c r="G11" s="139">
        <v>23</v>
      </c>
      <c r="H11" s="139">
        <v>48.5</v>
      </c>
      <c r="J11" s="139">
        <v>16.100000000000001</v>
      </c>
      <c r="K11" s="139">
        <v>10.5</v>
      </c>
      <c r="L11" s="139">
        <v>12.3</v>
      </c>
      <c r="M11" s="139">
        <v>9.6</v>
      </c>
      <c r="O11" s="127"/>
    </row>
    <row r="12" spans="1:15" ht="14.25" customHeight="1">
      <c r="A12" s="132">
        <v>1981</v>
      </c>
      <c r="B12" s="139">
        <v>100</v>
      </c>
      <c r="D12" s="139">
        <v>3.3</v>
      </c>
      <c r="E12" s="139">
        <v>9.6</v>
      </c>
      <c r="F12" s="139">
        <v>15.8</v>
      </c>
      <c r="G12" s="139">
        <v>23</v>
      </c>
      <c r="H12" s="139">
        <v>48.8</v>
      </c>
      <c r="J12" s="139">
        <v>16.2</v>
      </c>
      <c r="K12" s="139">
        <v>10.6</v>
      </c>
      <c r="L12" s="139">
        <v>12.3</v>
      </c>
      <c r="M12" s="139">
        <v>9.6999999999999993</v>
      </c>
      <c r="O12" s="127"/>
    </row>
    <row r="13" spans="1:15" ht="14.25" customHeight="1">
      <c r="A13" s="132">
        <v>1982</v>
      </c>
      <c r="B13" s="139">
        <v>100</v>
      </c>
      <c r="D13" s="139">
        <v>3.2</v>
      </c>
      <c r="E13" s="139">
        <v>9.1999999999999993</v>
      </c>
      <c r="F13" s="139">
        <v>15.6</v>
      </c>
      <c r="G13" s="139">
        <v>22.9</v>
      </c>
      <c r="H13" s="139">
        <v>49.7</v>
      </c>
      <c r="J13" s="139">
        <v>16.399999999999999</v>
      </c>
      <c r="K13" s="139">
        <v>10.7</v>
      </c>
      <c r="L13" s="139">
        <v>12.4</v>
      </c>
      <c r="M13" s="139">
        <v>10.3</v>
      </c>
      <c r="O13" s="127"/>
    </row>
    <row r="14" spans="1:15" ht="14.25" customHeight="1">
      <c r="A14" s="132">
        <v>1983</v>
      </c>
      <c r="B14" s="139">
        <v>100</v>
      </c>
      <c r="D14" s="139">
        <v>3.1</v>
      </c>
      <c r="E14" s="139">
        <v>8.9</v>
      </c>
      <c r="F14" s="139">
        <v>15.2</v>
      </c>
      <c r="G14" s="139">
        <v>22.9</v>
      </c>
      <c r="H14" s="139">
        <v>50.7</v>
      </c>
      <c r="J14" s="139">
        <v>16.3</v>
      </c>
      <c r="K14" s="139">
        <v>10.7</v>
      </c>
      <c r="L14" s="139">
        <v>12.6</v>
      </c>
      <c r="M14" s="139">
        <v>11.1</v>
      </c>
      <c r="O14" s="127"/>
    </row>
    <row r="15" spans="1:15" ht="14.25" customHeight="1">
      <c r="A15" s="132">
        <v>1984</v>
      </c>
      <c r="B15" s="139">
        <v>100</v>
      </c>
      <c r="D15" s="139">
        <v>3.3</v>
      </c>
      <c r="E15" s="139">
        <v>9.1</v>
      </c>
      <c r="F15" s="139">
        <v>15.2</v>
      </c>
      <c r="G15" s="139">
        <v>22.7</v>
      </c>
      <c r="H15" s="139">
        <v>50.5</v>
      </c>
      <c r="J15" s="139">
        <v>16.100000000000001</v>
      </c>
      <c r="K15" s="139">
        <v>10.5</v>
      </c>
      <c r="L15" s="139">
        <v>12.4</v>
      </c>
      <c r="M15" s="139">
        <v>11.4</v>
      </c>
      <c r="O15" s="127"/>
    </row>
    <row r="16" spans="1:15" ht="14.25" customHeight="1">
      <c r="A16" s="132">
        <v>1985</v>
      </c>
      <c r="B16" s="139">
        <v>100</v>
      </c>
      <c r="D16" s="139">
        <v>3.1</v>
      </c>
      <c r="E16" s="139">
        <v>8.9</v>
      </c>
      <c r="F16" s="139">
        <v>15</v>
      </c>
      <c r="G16" s="139">
        <v>22.4</v>
      </c>
      <c r="H16" s="139">
        <v>51.4</v>
      </c>
      <c r="J16" s="139">
        <v>16.100000000000001</v>
      </c>
      <c r="K16" s="139">
        <v>10.6</v>
      </c>
      <c r="L16" s="139">
        <v>12.6</v>
      </c>
      <c r="M16" s="139">
        <v>12.2</v>
      </c>
      <c r="O16" s="127"/>
    </row>
    <row r="17" spans="1:15" ht="14.25" customHeight="1">
      <c r="A17" s="132">
        <v>1986</v>
      </c>
      <c r="B17" s="139">
        <v>100</v>
      </c>
      <c r="D17" s="139">
        <v>2.9</v>
      </c>
      <c r="E17" s="139">
        <v>8.3000000000000007</v>
      </c>
      <c r="F17" s="139">
        <v>14.3</v>
      </c>
      <c r="G17" s="139">
        <v>21.5</v>
      </c>
      <c r="H17" s="139">
        <v>53.6</v>
      </c>
      <c r="J17" s="139">
        <v>15.6</v>
      </c>
      <c r="K17" s="139">
        <v>10.4</v>
      </c>
      <c r="L17" s="139">
        <v>12.8</v>
      </c>
      <c r="M17" s="139">
        <v>14.8</v>
      </c>
      <c r="O17" s="127"/>
    </row>
    <row r="18" spans="1:15" ht="14.25" customHeight="1">
      <c r="A18" s="132">
        <v>1987</v>
      </c>
      <c r="B18" s="139">
        <v>100</v>
      </c>
      <c r="D18" s="139">
        <v>2.8</v>
      </c>
      <c r="E18" s="139">
        <v>8.5</v>
      </c>
      <c r="F18" s="139">
        <v>14.9</v>
      </c>
      <c r="G18" s="139">
        <v>22.7</v>
      </c>
      <c r="H18" s="139">
        <v>51.9</v>
      </c>
      <c r="J18" s="139">
        <v>16.3</v>
      </c>
      <c r="K18" s="139">
        <v>10.7</v>
      </c>
      <c r="L18" s="139">
        <v>12.9</v>
      </c>
      <c r="M18" s="139">
        <v>11.9</v>
      </c>
      <c r="O18" s="127"/>
    </row>
    <row r="19" spans="1:15" ht="14.25" customHeight="1">
      <c r="A19" s="132">
        <v>1988</v>
      </c>
      <c r="B19" s="139">
        <v>100</v>
      </c>
      <c r="D19" s="139">
        <v>2.7</v>
      </c>
      <c r="E19" s="139">
        <v>8.4</v>
      </c>
      <c r="F19" s="139">
        <v>14.5</v>
      </c>
      <c r="G19" s="139">
        <v>22.1</v>
      </c>
      <c r="H19" s="139">
        <v>53.2</v>
      </c>
      <c r="J19" s="139">
        <v>15.9</v>
      </c>
      <c r="K19" s="139">
        <v>10.4</v>
      </c>
      <c r="L19" s="139">
        <v>12.7</v>
      </c>
      <c r="M19" s="139">
        <v>14.2</v>
      </c>
      <c r="O19" s="127"/>
    </row>
    <row r="20" spans="1:15" ht="14.25" customHeight="1">
      <c r="A20" s="132">
        <v>1989</v>
      </c>
      <c r="B20" s="139">
        <v>100</v>
      </c>
      <c r="D20" s="139">
        <v>2.9</v>
      </c>
      <c r="E20" s="139">
        <v>8.5</v>
      </c>
      <c r="F20" s="139">
        <v>14.6</v>
      </c>
      <c r="G20" s="139">
        <v>22.2</v>
      </c>
      <c r="H20" s="139">
        <v>52.7</v>
      </c>
      <c r="J20" s="139">
        <v>15.9</v>
      </c>
      <c r="K20" s="139">
        <v>10.6</v>
      </c>
      <c r="L20" s="139">
        <v>13</v>
      </c>
      <c r="M20" s="139">
        <v>13.3</v>
      </c>
      <c r="O20" s="127"/>
    </row>
    <row r="21" spans="1:15" ht="14.25" customHeight="1">
      <c r="A21" s="132">
        <v>1990</v>
      </c>
      <c r="B21" s="139">
        <v>100</v>
      </c>
      <c r="D21" s="139">
        <v>3</v>
      </c>
      <c r="E21" s="139">
        <v>8.6999999999999993</v>
      </c>
      <c r="F21" s="139">
        <v>14.6</v>
      </c>
      <c r="G21" s="139">
        <v>22.2</v>
      </c>
      <c r="H21" s="139">
        <v>52.3</v>
      </c>
      <c r="J21" s="139">
        <v>15.9</v>
      </c>
      <c r="K21" s="139">
        <v>10.6</v>
      </c>
      <c r="L21" s="139">
        <v>12.9</v>
      </c>
      <c r="M21" s="139">
        <v>12.9</v>
      </c>
      <c r="O21" s="127"/>
    </row>
    <row r="22" spans="1:15" ht="14.25" customHeight="1">
      <c r="A22" s="132">
        <v>1991</v>
      </c>
      <c r="B22" s="139">
        <v>100</v>
      </c>
      <c r="D22" s="139">
        <v>3.1</v>
      </c>
      <c r="E22" s="139">
        <v>8.6</v>
      </c>
      <c r="F22" s="139">
        <v>14.8</v>
      </c>
      <c r="G22" s="139">
        <v>22.4</v>
      </c>
      <c r="H22" s="139">
        <v>52.1</v>
      </c>
      <c r="J22" s="139">
        <v>16.100000000000001</v>
      </c>
      <c r="K22" s="139">
        <v>10.8</v>
      </c>
      <c r="L22" s="139">
        <v>13.1</v>
      </c>
      <c r="M22" s="139">
        <v>12.1</v>
      </c>
      <c r="O22" s="127"/>
    </row>
    <row r="23" spans="1:15" ht="14.25" customHeight="1">
      <c r="A23" s="132">
        <v>1992</v>
      </c>
      <c r="B23" s="139">
        <v>100</v>
      </c>
      <c r="D23" s="139">
        <v>3</v>
      </c>
      <c r="E23" s="139">
        <v>8.3000000000000007</v>
      </c>
      <c r="F23" s="139">
        <v>14.5</v>
      </c>
      <c r="G23" s="139">
        <v>22</v>
      </c>
      <c r="H23" s="139">
        <v>53.2</v>
      </c>
      <c r="J23" s="139">
        <v>16</v>
      </c>
      <c r="K23" s="139">
        <v>10.7</v>
      </c>
      <c r="L23" s="139">
        <v>13.3</v>
      </c>
      <c r="M23" s="139">
        <v>13.2</v>
      </c>
      <c r="O23" s="127"/>
    </row>
    <row r="24" spans="1:15" ht="14.25" customHeight="1">
      <c r="A24" s="132">
        <v>1993</v>
      </c>
      <c r="B24" s="139">
        <v>100</v>
      </c>
      <c r="D24" s="139">
        <v>3</v>
      </c>
      <c r="E24" s="139">
        <v>8.1999999999999993</v>
      </c>
      <c r="F24" s="139">
        <v>14.5</v>
      </c>
      <c r="G24" s="139">
        <v>22.2</v>
      </c>
      <c r="H24" s="139">
        <v>53</v>
      </c>
      <c r="J24" s="139">
        <v>16.100000000000001</v>
      </c>
      <c r="K24" s="139">
        <v>10.8</v>
      </c>
      <c r="L24" s="139">
        <v>13.3</v>
      </c>
      <c r="M24" s="139">
        <v>12.8</v>
      </c>
      <c r="O24" s="127"/>
    </row>
    <row r="25" spans="1:15" ht="14.25" customHeight="1">
      <c r="A25" s="132">
        <v>1994</v>
      </c>
      <c r="B25" s="139">
        <v>100</v>
      </c>
      <c r="D25" s="139">
        <v>3</v>
      </c>
      <c r="E25" s="139">
        <v>8.1</v>
      </c>
      <c r="F25" s="139">
        <v>14.6</v>
      </c>
      <c r="G25" s="139">
        <v>22.3</v>
      </c>
      <c r="H25" s="139">
        <v>52.9</v>
      </c>
      <c r="J25" s="139">
        <v>16</v>
      </c>
      <c r="K25" s="139">
        <v>10.8</v>
      </c>
      <c r="L25" s="139">
        <v>13.2</v>
      </c>
      <c r="M25" s="139">
        <v>12.9</v>
      </c>
      <c r="O25" s="127"/>
    </row>
    <row r="26" spans="1:15" ht="14.25" customHeight="1">
      <c r="A26" s="132">
        <v>1995</v>
      </c>
      <c r="B26" s="139">
        <v>100</v>
      </c>
      <c r="D26" s="139">
        <v>3.2</v>
      </c>
      <c r="E26" s="139">
        <v>8.1999999999999993</v>
      </c>
      <c r="F26" s="139">
        <v>14.3</v>
      </c>
      <c r="G26" s="139">
        <v>21.8</v>
      </c>
      <c r="H26" s="139">
        <v>53.3</v>
      </c>
      <c r="J26" s="139">
        <v>15.8</v>
      </c>
      <c r="K26" s="139">
        <v>10.7</v>
      </c>
      <c r="L26" s="139">
        <v>13.4</v>
      </c>
      <c r="M26" s="139">
        <v>13.4</v>
      </c>
      <c r="O26" s="127"/>
    </row>
    <row r="27" spans="1:15" ht="14.25" customHeight="1">
      <c r="A27" s="132">
        <v>1996</v>
      </c>
      <c r="B27" s="139">
        <v>100</v>
      </c>
      <c r="D27" s="139">
        <v>3.1</v>
      </c>
      <c r="E27" s="139">
        <v>8</v>
      </c>
      <c r="F27" s="139">
        <v>14</v>
      </c>
      <c r="G27" s="139">
        <v>21.4</v>
      </c>
      <c r="H27" s="139">
        <v>54.3</v>
      </c>
      <c r="J27" s="139">
        <v>15.6</v>
      </c>
      <c r="K27" s="139">
        <v>10.6</v>
      </c>
      <c r="L27" s="139">
        <v>13.4</v>
      </c>
      <c r="M27" s="139">
        <v>14.8</v>
      </c>
      <c r="O27" s="127"/>
    </row>
    <row r="28" spans="1:15" ht="14.25" customHeight="1">
      <c r="A28" s="132">
        <v>1997</v>
      </c>
      <c r="B28" s="139">
        <v>100</v>
      </c>
      <c r="D28" s="139">
        <v>3.2</v>
      </c>
      <c r="E28" s="139">
        <v>7.8</v>
      </c>
      <c r="F28" s="139">
        <v>13.7</v>
      </c>
      <c r="G28" s="139">
        <v>20.7</v>
      </c>
      <c r="H28" s="139">
        <v>55.3</v>
      </c>
      <c r="J28" s="139">
        <v>15.4</v>
      </c>
      <c r="K28" s="139">
        <v>10.6</v>
      </c>
      <c r="L28" s="139">
        <v>13.5</v>
      </c>
      <c r="M28" s="139">
        <v>15.9</v>
      </c>
      <c r="O28" s="127"/>
    </row>
    <row r="29" spans="1:15" ht="14.25" customHeight="1">
      <c r="A29" s="132">
        <v>1998</v>
      </c>
      <c r="B29" s="139">
        <v>100</v>
      </c>
      <c r="D29" s="139">
        <v>3.3</v>
      </c>
      <c r="E29" s="139">
        <v>7.8</v>
      </c>
      <c r="F29" s="139">
        <v>13.4</v>
      </c>
      <c r="G29" s="139">
        <v>20.5</v>
      </c>
      <c r="H29" s="139">
        <v>55.7</v>
      </c>
      <c r="J29" s="139">
        <v>15.1</v>
      </c>
      <c r="K29" s="139">
        <v>10.4</v>
      </c>
      <c r="L29" s="139">
        <v>13.5</v>
      </c>
      <c r="M29" s="139">
        <v>16.8</v>
      </c>
      <c r="O29" s="127"/>
    </row>
    <row r="30" spans="1:15" ht="14.25" customHeight="1">
      <c r="A30" s="132">
        <v>1999</v>
      </c>
      <c r="B30" s="139">
        <v>100</v>
      </c>
      <c r="D30" s="139">
        <v>3.2</v>
      </c>
      <c r="E30" s="139">
        <v>7.7</v>
      </c>
      <c r="F30" s="139">
        <v>13.1</v>
      </c>
      <c r="G30" s="139">
        <v>20.2</v>
      </c>
      <c r="H30" s="139">
        <v>56.5</v>
      </c>
      <c r="J30" s="139">
        <v>14.9</v>
      </c>
      <c r="K30" s="139">
        <v>10.3</v>
      </c>
      <c r="L30" s="139">
        <v>13.6</v>
      </c>
      <c r="M30" s="139">
        <v>17.7</v>
      </c>
      <c r="O30" s="127"/>
    </row>
    <row r="31" spans="1:15" ht="14.25" customHeight="1">
      <c r="A31" s="132">
        <v>2000</v>
      </c>
      <c r="B31" s="139">
        <v>100</v>
      </c>
      <c r="D31" s="139">
        <v>3.1</v>
      </c>
      <c r="E31" s="139">
        <v>7.6</v>
      </c>
      <c r="F31" s="139">
        <v>12.9</v>
      </c>
      <c r="G31" s="139">
        <v>19.899999999999999</v>
      </c>
      <c r="H31" s="139">
        <v>57.2</v>
      </c>
      <c r="J31" s="139">
        <v>14.6</v>
      </c>
      <c r="K31" s="139">
        <v>10.199999999999999</v>
      </c>
      <c r="L31" s="139">
        <v>13.5</v>
      </c>
      <c r="M31" s="139">
        <v>18.8</v>
      </c>
      <c r="O31" s="127"/>
    </row>
    <row r="32" spans="1:15" ht="14.25" customHeight="1">
      <c r="A32" s="132">
        <v>2001</v>
      </c>
      <c r="B32" s="139">
        <v>100</v>
      </c>
      <c r="D32" s="139">
        <v>3.2</v>
      </c>
      <c r="E32" s="139">
        <v>7.8</v>
      </c>
      <c r="F32" s="139">
        <v>13.5</v>
      </c>
      <c r="G32" s="139">
        <v>21</v>
      </c>
      <c r="H32" s="139">
        <v>55.4</v>
      </c>
      <c r="J32" s="139">
        <v>15.4</v>
      </c>
      <c r="K32" s="139">
        <v>10.6</v>
      </c>
      <c r="L32" s="139">
        <v>13.5</v>
      </c>
      <c r="M32" s="139">
        <v>15.8</v>
      </c>
      <c r="O32" s="127"/>
    </row>
    <row r="33" spans="1:15" ht="14.25" customHeight="1">
      <c r="A33" s="132">
        <v>2002</v>
      </c>
      <c r="B33" s="139">
        <v>100</v>
      </c>
      <c r="D33" s="139">
        <v>3.3</v>
      </c>
      <c r="E33" s="139">
        <v>7.9</v>
      </c>
      <c r="F33" s="139">
        <v>13.6</v>
      </c>
      <c r="G33" s="139">
        <v>21.3</v>
      </c>
      <c r="H33" s="139">
        <v>54.8</v>
      </c>
      <c r="J33" s="139">
        <v>15.7</v>
      </c>
      <c r="K33" s="139">
        <v>10.8</v>
      </c>
      <c r="L33" s="139">
        <v>13.7</v>
      </c>
      <c r="M33" s="139">
        <v>14.5</v>
      </c>
      <c r="O33" s="127"/>
    </row>
    <row r="34" spans="1:15" ht="14.25" customHeight="1">
      <c r="A34" s="132">
        <v>2003</v>
      </c>
      <c r="B34" s="139">
        <v>100</v>
      </c>
      <c r="D34" s="139">
        <v>3.2</v>
      </c>
      <c r="E34" s="139">
        <v>7.6</v>
      </c>
      <c r="F34" s="139">
        <v>13.4</v>
      </c>
      <c r="G34" s="139">
        <v>21.1</v>
      </c>
      <c r="H34" s="139">
        <v>55.6</v>
      </c>
      <c r="J34" s="139">
        <v>15.8</v>
      </c>
      <c r="K34" s="139">
        <v>10.7</v>
      </c>
      <c r="L34" s="139">
        <v>13.7</v>
      </c>
      <c r="M34" s="139">
        <v>15.4</v>
      </c>
      <c r="O34" s="127"/>
    </row>
    <row r="35" spans="1:15" ht="14.25" customHeight="1">
      <c r="A35" s="132">
        <v>2004</v>
      </c>
      <c r="B35" s="139">
        <v>100</v>
      </c>
      <c r="D35" s="139">
        <v>3.1</v>
      </c>
      <c r="E35" s="139">
        <v>7.5</v>
      </c>
      <c r="F35" s="139">
        <v>13.1</v>
      </c>
      <c r="G35" s="139">
        <v>20.5</v>
      </c>
      <c r="H35" s="139">
        <v>56.8</v>
      </c>
      <c r="J35" s="139">
        <v>15.2</v>
      </c>
      <c r="K35" s="139">
        <v>10.5</v>
      </c>
      <c r="L35" s="139">
        <v>13.6</v>
      </c>
      <c r="M35" s="139">
        <v>17.399999999999999</v>
      </c>
      <c r="O35" s="127"/>
    </row>
    <row r="36" spans="1:15" ht="14.25" customHeight="1">
      <c r="A36" s="132">
        <v>2005</v>
      </c>
      <c r="B36" s="139">
        <v>100</v>
      </c>
      <c r="D36" s="139">
        <v>3</v>
      </c>
      <c r="E36" s="139">
        <v>7.2</v>
      </c>
      <c r="F36" s="139">
        <v>12.6</v>
      </c>
      <c r="G36" s="139">
        <v>19.8</v>
      </c>
      <c r="H36" s="139">
        <v>58.2</v>
      </c>
      <c r="J36" s="139">
        <v>14.7</v>
      </c>
      <c r="K36" s="139">
        <v>10.3</v>
      </c>
      <c r="L36" s="139">
        <v>13.8</v>
      </c>
      <c r="M36" s="139">
        <v>19.399999999999999</v>
      </c>
      <c r="O36" s="127"/>
    </row>
    <row r="37" spans="1:15" ht="14.25" customHeight="1">
      <c r="A37" s="132">
        <v>2006</v>
      </c>
      <c r="B37" s="139">
        <v>100</v>
      </c>
      <c r="D37" s="139">
        <v>3.1</v>
      </c>
      <c r="E37" s="139">
        <v>7</v>
      </c>
      <c r="F37" s="139">
        <v>12.4</v>
      </c>
      <c r="G37" s="139">
        <v>19.399999999999999</v>
      </c>
      <c r="H37" s="139">
        <v>58.8</v>
      </c>
      <c r="J37" s="139">
        <v>14.6</v>
      </c>
      <c r="K37" s="139">
        <v>10.3</v>
      </c>
      <c r="L37" s="139">
        <v>13.9</v>
      </c>
      <c r="M37" s="139">
        <v>20.100000000000001</v>
      </c>
      <c r="O37" s="127"/>
    </row>
    <row r="38" spans="1:15" ht="14.25" customHeight="1">
      <c r="A38" s="132">
        <v>2007</v>
      </c>
      <c r="B38" s="139">
        <v>100</v>
      </c>
      <c r="D38" s="139">
        <v>3.3</v>
      </c>
      <c r="E38" s="139">
        <v>7.3</v>
      </c>
      <c r="F38" s="139">
        <v>12.3</v>
      </c>
      <c r="G38" s="139">
        <v>19.100000000000001</v>
      </c>
      <c r="H38" s="139">
        <v>58.9</v>
      </c>
      <c r="J38" s="139">
        <v>14.3</v>
      </c>
      <c r="K38" s="139">
        <v>10.1</v>
      </c>
      <c r="L38" s="139">
        <v>13.8</v>
      </c>
      <c r="M38" s="139">
        <v>20.7</v>
      </c>
      <c r="O38" s="127"/>
    </row>
    <row r="39" spans="1:15" ht="14.25" customHeight="1">
      <c r="A39" s="132">
        <v>2008</v>
      </c>
      <c r="B39" s="139">
        <v>100</v>
      </c>
      <c r="D39" s="139">
        <v>3.4</v>
      </c>
      <c r="E39" s="139">
        <v>7.5</v>
      </c>
      <c r="F39" s="139">
        <v>12.8</v>
      </c>
      <c r="G39" s="139">
        <v>20.2</v>
      </c>
      <c r="H39" s="139">
        <v>57.4</v>
      </c>
      <c r="J39" s="139">
        <v>15.1</v>
      </c>
      <c r="K39" s="139">
        <v>10.6</v>
      </c>
      <c r="L39" s="139">
        <v>13.8</v>
      </c>
      <c r="M39" s="139">
        <v>18</v>
      </c>
      <c r="O39" s="127"/>
    </row>
    <row r="40" spans="1:15" ht="14.25" customHeight="1">
      <c r="A40" s="132">
        <v>2009</v>
      </c>
      <c r="B40" s="139">
        <v>100</v>
      </c>
      <c r="D40" s="139">
        <v>3.4</v>
      </c>
      <c r="E40" s="139">
        <v>7.6</v>
      </c>
      <c r="F40" s="139">
        <v>13.2</v>
      </c>
      <c r="G40" s="139">
        <v>21.1</v>
      </c>
      <c r="H40" s="139">
        <v>56.4</v>
      </c>
      <c r="J40" s="139">
        <v>16</v>
      </c>
      <c r="K40" s="139">
        <v>11.1</v>
      </c>
      <c r="L40" s="139">
        <v>14</v>
      </c>
      <c r="M40" s="139">
        <v>15.3</v>
      </c>
      <c r="O40" s="127"/>
    </row>
    <row r="41" spans="1:15" ht="14.25" customHeight="1">
      <c r="A41" s="132">
        <v>2010</v>
      </c>
      <c r="B41" s="139">
        <v>100</v>
      </c>
      <c r="D41" s="139">
        <v>3.3</v>
      </c>
      <c r="E41" s="139">
        <v>7.3</v>
      </c>
      <c r="F41" s="139">
        <v>12.7</v>
      </c>
      <c r="G41" s="139">
        <v>20.5</v>
      </c>
      <c r="H41" s="139">
        <v>57.7</v>
      </c>
      <c r="J41" s="139">
        <v>15.6</v>
      </c>
      <c r="K41" s="139">
        <v>10.9</v>
      </c>
      <c r="L41" s="139">
        <v>14</v>
      </c>
      <c r="M41" s="139">
        <v>17.100000000000001</v>
      </c>
      <c r="O41" s="127"/>
    </row>
    <row r="42" spans="1:15" ht="14.25" customHeight="1">
      <c r="A42" s="132">
        <v>2011</v>
      </c>
      <c r="B42" s="139">
        <v>100</v>
      </c>
      <c r="D42" s="139">
        <v>3.4</v>
      </c>
      <c r="E42" s="139">
        <v>7.3</v>
      </c>
      <c r="F42" s="139">
        <v>12.7</v>
      </c>
      <c r="G42" s="139">
        <v>20.6</v>
      </c>
      <c r="H42" s="139">
        <v>57.6</v>
      </c>
      <c r="J42" s="139">
        <v>15.6</v>
      </c>
      <c r="K42" s="139">
        <v>11</v>
      </c>
      <c r="L42" s="139">
        <v>14.2</v>
      </c>
      <c r="M42" s="139">
        <v>16.8</v>
      </c>
      <c r="O42" s="127"/>
    </row>
    <row r="43" spans="1:15" ht="14.25" customHeight="1">
      <c r="A43" s="132">
        <v>2012</v>
      </c>
      <c r="B43" s="139">
        <v>100</v>
      </c>
      <c r="D43" s="139">
        <v>3.1</v>
      </c>
      <c r="E43" s="139">
        <v>6.8</v>
      </c>
      <c r="F43" s="139">
        <v>12.1</v>
      </c>
      <c r="G43" s="139">
        <v>19.7</v>
      </c>
      <c r="H43" s="139">
        <v>59.8</v>
      </c>
      <c r="J43" s="139">
        <v>15.1</v>
      </c>
      <c r="K43" s="139">
        <v>10.7</v>
      </c>
      <c r="L43" s="139">
        <v>14.2</v>
      </c>
      <c r="M43" s="139">
        <v>19.8</v>
      </c>
      <c r="O43" s="127"/>
    </row>
    <row r="44" spans="1:15" ht="14.25" customHeight="1">
      <c r="A44" s="132">
        <v>2013</v>
      </c>
      <c r="B44" s="139">
        <v>100</v>
      </c>
      <c r="D44" s="139">
        <v>3.3</v>
      </c>
      <c r="E44" s="139">
        <v>7.1</v>
      </c>
      <c r="F44" s="139">
        <v>12.6</v>
      </c>
      <c r="G44" s="139">
        <v>20.3</v>
      </c>
      <c r="H44" s="139">
        <v>58.2</v>
      </c>
      <c r="J44" s="139">
        <v>15.6</v>
      </c>
      <c r="K44" s="139">
        <v>11</v>
      </c>
      <c r="L44" s="139">
        <v>14.4</v>
      </c>
      <c r="M44" s="139">
        <v>17.100000000000001</v>
      </c>
      <c r="O44" s="127"/>
    </row>
    <row r="45" spans="1:15" ht="14.25" customHeight="1">
      <c r="A45" s="132">
        <v>2014</v>
      </c>
      <c r="B45" s="139">
        <v>100</v>
      </c>
      <c r="D45" s="139">
        <v>3.1</v>
      </c>
      <c r="E45" s="139">
        <v>7</v>
      </c>
      <c r="F45" s="139">
        <v>12.3</v>
      </c>
      <c r="G45" s="139">
        <v>20</v>
      </c>
      <c r="H45" s="139">
        <v>59.2</v>
      </c>
      <c r="J45" s="139">
        <v>15.2</v>
      </c>
      <c r="K45" s="139">
        <v>10.9</v>
      </c>
      <c r="L45" s="139">
        <v>14.5</v>
      </c>
      <c r="M45" s="139">
        <v>18.5</v>
      </c>
      <c r="O45" s="127"/>
    </row>
    <row r="46" spans="1:15" ht="14.25" customHeight="1">
      <c r="A46" s="132">
        <v>2015</v>
      </c>
      <c r="B46" s="139">
        <v>100</v>
      </c>
      <c r="D46" s="312">
        <v>3.2</v>
      </c>
      <c r="E46" s="312">
        <v>7</v>
      </c>
      <c r="F46" s="312">
        <v>12.4</v>
      </c>
      <c r="G46" s="312">
        <v>19.899999999999999</v>
      </c>
      <c r="H46" s="312">
        <v>58.9</v>
      </c>
      <c r="J46" s="139">
        <v>15.2</v>
      </c>
      <c r="K46" s="139">
        <v>10.9</v>
      </c>
      <c r="L46" s="139">
        <v>14.4</v>
      </c>
      <c r="M46" s="139">
        <v>18.399999999999999</v>
      </c>
      <c r="O46" s="127"/>
    </row>
    <row r="47" spans="1:15" ht="14.25" customHeight="1">
      <c r="A47" s="132">
        <v>2016</v>
      </c>
      <c r="B47" s="139">
        <v>100</v>
      </c>
      <c r="D47" s="139">
        <v>3.2</v>
      </c>
      <c r="E47" s="139">
        <v>7.3</v>
      </c>
      <c r="F47" s="139">
        <v>12.4</v>
      </c>
      <c r="G47" s="139">
        <v>20.100000000000001</v>
      </c>
      <c r="H47" s="139">
        <v>58.4</v>
      </c>
      <c r="J47" s="139">
        <v>15.5</v>
      </c>
      <c r="K47" s="139">
        <v>11</v>
      </c>
      <c r="L47" s="139">
        <v>14.4</v>
      </c>
      <c r="M47" s="139">
        <v>17.5</v>
      </c>
      <c r="O47" s="127"/>
    </row>
    <row r="49" spans="1:13" ht="14.25" customHeight="1">
      <c r="B49" s="774" t="s">
        <v>352</v>
      </c>
      <c r="C49" s="774"/>
      <c r="D49" s="774"/>
      <c r="E49" s="774"/>
      <c r="F49" s="774"/>
      <c r="G49" s="774"/>
      <c r="H49" s="774"/>
      <c r="I49" s="774"/>
      <c r="J49" s="774"/>
      <c r="K49" s="774"/>
      <c r="L49" s="774"/>
      <c r="M49" s="774"/>
    </row>
    <row r="50" spans="1:13" ht="14.25" customHeight="1">
      <c r="A50" s="132">
        <v>1979</v>
      </c>
      <c r="B50" s="139">
        <v>100</v>
      </c>
      <c r="D50" s="139">
        <v>5</v>
      </c>
      <c r="E50" s="139">
        <v>11.2</v>
      </c>
      <c r="F50" s="139">
        <v>16</v>
      </c>
      <c r="G50" s="139">
        <v>22.4</v>
      </c>
      <c r="H50" s="139">
        <v>45.6</v>
      </c>
      <c r="J50" s="139">
        <v>15.3</v>
      </c>
      <c r="K50" s="139">
        <v>9.9</v>
      </c>
      <c r="L50" s="139">
        <v>11.5</v>
      </c>
      <c r="M50" s="139">
        <v>9</v>
      </c>
    </row>
    <row r="51" spans="1:13" ht="14.25" customHeight="1">
      <c r="A51" s="132">
        <v>1980</v>
      </c>
      <c r="B51" s="139">
        <v>100</v>
      </c>
      <c r="D51" s="139">
        <v>4.9000000000000004</v>
      </c>
      <c r="E51" s="139">
        <v>11</v>
      </c>
      <c r="F51" s="139">
        <v>16</v>
      </c>
      <c r="G51" s="139">
        <v>22.4</v>
      </c>
      <c r="H51" s="139">
        <v>46</v>
      </c>
      <c r="J51" s="139">
        <v>15.4</v>
      </c>
      <c r="K51" s="139">
        <v>10</v>
      </c>
      <c r="L51" s="139">
        <v>11.6</v>
      </c>
      <c r="M51" s="139">
        <v>9</v>
      </c>
    </row>
    <row r="52" spans="1:13" ht="14.25" customHeight="1">
      <c r="A52" s="132">
        <v>1981</v>
      </c>
      <c r="B52" s="139">
        <v>100</v>
      </c>
      <c r="D52" s="139">
        <v>4.7</v>
      </c>
      <c r="E52" s="139">
        <v>10.9</v>
      </c>
      <c r="F52" s="139">
        <v>16.100000000000001</v>
      </c>
      <c r="G52" s="139">
        <v>22.5</v>
      </c>
      <c r="H52" s="139">
        <v>46.2</v>
      </c>
      <c r="J52" s="139">
        <v>15.5</v>
      </c>
      <c r="K52" s="139">
        <v>10.1</v>
      </c>
      <c r="L52" s="139">
        <v>11.7</v>
      </c>
      <c r="M52" s="139">
        <v>9</v>
      </c>
    </row>
    <row r="53" spans="1:13" ht="14.25" customHeight="1">
      <c r="A53" s="132">
        <v>1982</v>
      </c>
      <c r="B53" s="139">
        <v>100</v>
      </c>
      <c r="D53" s="139">
        <v>4.4000000000000004</v>
      </c>
      <c r="E53" s="139">
        <v>10.7</v>
      </c>
      <c r="F53" s="139">
        <v>15.9</v>
      </c>
      <c r="G53" s="139">
        <v>22.5</v>
      </c>
      <c r="H53" s="139">
        <v>47</v>
      </c>
      <c r="J53" s="139">
        <v>15.7</v>
      </c>
      <c r="K53" s="139">
        <v>10.1</v>
      </c>
      <c r="L53" s="139">
        <v>11.7</v>
      </c>
      <c r="M53" s="139">
        <v>9.5</v>
      </c>
    </row>
    <row r="54" spans="1:13" ht="14.25" customHeight="1">
      <c r="A54" s="132">
        <v>1983</v>
      </c>
      <c r="B54" s="139">
        <v>100</v>
      </c>
      <c r="D54" s="139">
        <v>4.0999999999999996</v>
      </c>
      <c r="E54" s="139">
        <v>10.5</v>
      </c>
      <c r="F54" s="139">
        <v>15.7</v>
      </c>
      <c r="G54" s="139">
        <v>22.5</v>
      </c>
      <c r="H54" s="139">
        <v>47.9</v>
      </c>
      <c r="J54" s="139">
        <v>15.7</v>
      </c>
      <c r="K54" s="139">
        <v>10.1</v>
      </c>
      <c r="L54" s="139">
        <v>11.9</v>
      </c>
      <c r="M54" s="139">
        <v>10.199999999999999</v>
      </c>
    </row>
    <row r="55" spans="1:13" ht="14.25" customHeight="1">
      <c r="A55" s="132">
        <v>1984</v>
      </c>
      <c r="B55" s="139">
        <v>100</v>
      </c>
      <c r="D55" s="139">
        <v>4.3</v>
      </c>
      <c r="E55" s="139">
        <v>10.4</v>
      </c>
      <c r="F55" s="139">
        <v>15.6</v>
      </c>
      <c r="G55" s="139">
        <v>22.4</v>
      </c>
      <c r="H55" s="139">
        <v>48</v>
      </c>
      <c r="J55" s="139">
        <v>15.5</v>
      </c>
      <c r="K55" s="139">
        <v>10.1</v>
      </c>
      <c r="L55" s="139">
        <v>11.8</v>
      </c>
      <c r="M55" s="139">
        <v>10.6</v>
      </c>
    </row>
    <row r="56" spans="1:13" ht="14.25" customHeight="1">
      <c r="A56" s="132">
        <v>1985</v>
      </c>
      <c r="B56" s="139">
        <v>100</v>
      </c>
      <c r="D56" s="139">
        <v>4.0999999999999996</v>
      </c>
      <c r="E56" s="139">
        <v>10.199999999999999</v>
      </c>
      <c r="F56" s="139">
        <v>15.4</v>
      </c>
      <c r="G56" s="139">
        <v>22.1</v>
      </c>
      <c r="H56" s="139">
        <v>48.8</v>
      </c>
      <c r="J56" s="139">
        <v>15.5</v>
      </c>
      <c r="K56" s="139">
        <v>10.1</v>
      </c>
      <c r="L56" s="139">
        <v>11.9</v>
      </c>
      <c r="M56" s="139">
        <v>11.3</v>
      </c>
    </row>
    <row r="57" spans="1:13" ht="14.25" customHeight="1">
      <c r="A57" s="132">
        <v>1986</v>
      </c>
      <c r="B57" s="139">
        <v>100</v>
      </c>
      <c r="D57" s="139">
        <v>3.9</v>
      </c>
      <c r="E57" s="139">
        <v>9.6999999999999993</v>
      </c>
      <c r="F57" s="139">
        <v>14.9</v>
      </c>
      <c r="G57" s="139">
        <v>21.4</v>
      </c>
      <c r="H57" s="139">
        <v>50.8</v>
      </c>
      <c r="J57" s="139">
        <v>15</v>
      </c>
      <c r="K57" s="139">
        <v>9.9</v>
      </c>
      <c r="L57" s="139">
        <v>12.1</v>
      </c>
      <c r="M57" s="139">
        <v>13.8</v>
      </c>
    </row>
    <row r="58" spans="1:13" ht="14.25" customHeight="1">
      <c r="A58" s="132">
        <v>1987</v>
      </c>
      <c r="B58" s="139">
        <v>100</v>
      </c>
      <c r="D58" s="139">
        <v>3.7</v>
      </c>
      <c r="E58" s="139">
        <v>10.1</v>
      </c>
      <c r="F58" s="139">
        <v>15.6</v>
      </c>
      <c r="G58" s="139">
        <v>22.4</v>
      </c>
      <c r="H58" s="139">
        <v>49</v>
      </c>
      <c r="J58" s="139">
        <v>15.7</v>
      </c>
      <c r="K58" s="139">
        <v>10.199999999999999</v>
      </c>
      <c r="L58" s="139">
        <v>12.1</v>
      </c>
      <c r="M58" s="139">
        <v>11.1</v>
      </c>
    </row>
    <row r="59" spans="1:13" ht="14.25" customHeight="1">
      <c r="A59" s="132">
        <v>1988</v>
      </c>
      <c r="B59" s="139">
        <v>100</v>
      </c>
      <c r="D59" s="139">
        <v>3.7</v>
      </c>
      <c r="E59" s="139">
        <v>9.8000000000000007</v>
      </c>
      <c r="F59" s="139">
        <v>15.1</v>
      </c>
      <c r="G59" s="139">
        <v>21.8</v>
      </c>
      <c r="H59" s="139">
        <v>50.4</v>
      </c>
      <c r="J59" s="139">
        <v>15.3</v>
      </c>
      <c r="K59" s="139">
        <v>9.9</v>
      </c>
      <c r="L59" s="139">
        <v>12</v>
      </c>
      <c r="M59" s="139">
        <v>13.2</v>
      </c>
    </row>
    <row r="60" spans="1:13" ht="14.25" customHeight="1">
      <c r="A60" s="132">
        <v>1989</v>
      </c>
      <c r="B60" s="139">
        <v>100</v>
      </c>
      <c r="D60" s="139">
        <v>3.8</v>
      </c>
      <c r="E60" s="139">
        <v>9.9</v>
      </c>
      <c r="F60" s="139">
        <v>15.2</v>
      </c>
      <c r="G60" s="139">
        <v>21.9</v>
      </c>
      <c r="H60" s="139">
        <v>50</v>
      </c>
      <c r="J60" s="139">
        <v>15.3</v>
      </c>
      <c r="K60" s="139">
        <v>10.1</v>
      </c>
      <c r="L60" s="139">
        <v>12.2</v>
      </c>
      <c r="M60" s="139">
        <v>12.3</v>
      </c>
    </row>
    <row r="61" spans="1:13" ht="14.25" customHeight="1">
      <c r="A61" s="132">
        <v>1990</v>
      </c>
      <c r="B61" s="139">
        <v>100</v>
      </c>
      <c r="D61" s="139">
        <v>3.9</v>
      </c>
      <c r="E61" s="139">
        <v>10.1</v>
      </c>
      <c r="F61" s="139">
        <v>15.2</v>
      </c>
      <c r="G61" s="139">
        <v>22</v>
      </c>
      <c r="H61" s="139">
        <v>49.5</v>
      </c>
      <c r="J61" s="139">
        <v>15.3</v>
      </c>
      <c r="K61" s="139">
        <v>10.1</v>
      </c>
      <c r="L61" s="139">
        <v>12.2</v>
      </c>
      <c r="M61" s="139">
        <v>12</v>
      </c>
    </row>
    <row r="62" spans="1:13" ht="14.25" customHeight="1">
      <c r="A62" s="132">
        <v>1991</v>
      </c>
      <c r="B62" s="139">
        <v>100</v>
      </c>
      <c r="D62" s="139">
        <v>4</v>
      </c>
      <c r="E62" s="139">
        <v>10.1</v>
      </c>
      <c r="F62" s="139">
        <v>15.6</v>
      </c>
      <c r="G62" s="139">
        <v>22.1</v>
      </c>
      <c r="H62" s="139">
        <v>49</v>
      </c>
      <c r="J62" s="139">
        <v>15.4</v>
      </c>
      <c r="K62" s="139">
        <v>10.199999999999999</v>
      </c>
      <c r="L62" s="139">
        <v>12.3</v>
      </c>
      <c r="M62" s="139">
        <v>11.1</v>
      </c>
    </row>
    <row r="63" spans="1:13" ht="14.25" customHeight="1">
      <c r="A63" s="132">
        <v>1992</v>
      </c>
      <c r="B63" s="139">
        <v>100</v>
      </c>
      <c r="D63" s="139">
        <v>3.8</v>
      </c>
      <c r="E63" s="139">
        <v>9.9</v>
      </c>
      <c r="F63" s="139">
        <v>15.3</v>
      </c>
      <c r="G63" s="139">
        <v>21.9</v>
      </c>
      <c r="H63" s="139">
        <v>49.9</v>
      </c>
      <c r="J63" s="139">
        <v>15.3</v>
      </c>
      <c r="K63" s="139">
        <v>10.1</v>
      </c>
      <c r="L63" s="139">
        <v>12.4</v>
      </c>
      <c r="M63" s="139">
        <v>12.1</v>
      </c>
    </row>
    <row r="64" spans="1:13" ht="14.25" customHeight="1">
      <c r="A64" s="132">
        <v>1993</v>
      </c>
      <c r="B64" s="139">
        <v>100</v>
      </c>
      <c r="D64" s="139">
        <v>3.8</v>
      </c>
      <c r="E64" s="139">
        <v>10</v>
      </c>
      <c r="F64" s="139">
        <v>15.3</v>
      </c>
      <c r="G64" s="139">
        <v>22</v>
      </c>
      <c r="H64" s="139">
        <v>49.8</v>
      </c>
      <c r="J64" s="139">
        <v>15.4</v>
      </c>
      <c r="K64" s="139">
        <v>10.199999999999999</v>
      </c>
      <c r="L64" s="139">
        <v>12.4</v>
      </c>
      <c r="M64" s="139">
        <v>11.7</v>
      </c>
    </row>
    <row r="65" spans="1:13" ht="14.25" customHeight="1">
      <c r="A65" s="132">
        <v>1994</v>
      </c>
      <c r="B65" s="139">
        <v>100</v>
      </c>
      <c r="D65" s="139">
        <v>3.7</v>
      </c>
      <c r="E65" s="139">
        <v>9.9</v>
      </c>
      <c r="F65" s="139">
        <v>15.3</v>
      </c>
      <c r="G65" s="139">
        <v>22</v>
      </c>
      <c r="H65" s="139">
        <v>49.8</v>
      </c>
      <c r="J65" s="139">
        <v>15.4</v>
      </c>
      <c r="K65" s="139">
        <v>10.199999999999999</v>
      </c>
      <c r="L65" s="139">
        <v>12.4</v>
      </c>
      <c r="M65" s="139">
        <v>11.8</v>
      </c>
    </row>
    <row r="66" spans="1:13" ht="14.25" customHeight="1">
      <c r="A66" s="132">
        <v>1995</v>
      </c>
      <c r="B66" s="139">
        <v>100</v>
      </c>
      <c r="D66" s="139">
        <v>4</v>
      </c>
      <c r="E66" s="139">
        <v>9.9</v>
      </c>
      <c r="F66" s="139">
        <v>15.1</v>
      </c>
      <c r="G66" s="139">
        <v>21.7</v>
      </c>
      <c r="H66" s="139">
        <v>50.2</v>
      </c>
      <c r="J66" s="139">
        <v>15.2</v>
      </c>
      <c r="K66" s="139">
        <v>10.199999999999999</v>
      </c>
      <c r="L66" s="139">
        <v>12.5</v>
      </c>
      <c r="M66" s="139">
        <v>12.3</v>
      </c>
    </row>
    <row r="67" spans="1:13" ht="14.25" customHeight="1">
      <c r="A67" s="132">
        <v>1996</v>
      </c>
      <c r="B67" s="139">
        <v>100</v>
      </c>
      <c r="D67" s="139">
        <v>3.8</v>
      </c>
      <c r="E67" s="139">
        <v>9.6</v>
      </c>
      <c r="F67" s="139">
        <v>14.7</v>
      </c>
      <c r="G67" s="139">
        <v>21.3</v>
      </c>
      <c r="H67" s="139">
        <v>51.3</v>
      </c>
      <c r="J67" s="139">
        <v>15</v>
      </c>
      <c r="K67" s="139">
        <v>10.1</v>
      </c>
      <c r="L67" s="139">
        <v>12.6</v>
      </c>
      <c r="M67" s="139">
        <v>13.6</v>
      </c>
    </row>
    <row r="68" spans="1:13" ht="14.25" customHeight="1">
      <c r="A68" s="132">
        <v>1997</v>
      </c>
      <c r="B68" s="139">
        <v>100</v>
      </c>
      <c r="D68" s="139">
        <v>3.9</v>
      </c>
      <c r="E68" s="139">
        <v>9.3000000000000007</v>
      </c>
      <c r="F68" s="139">
        <v>14.4</v>
      </c>
      <c r="G68" s="139">
        <v>20.7</v>
      </c>
      <c r="H68" s="139">
        <v>52.4</v>
      </c>
      <c r="J68" s="139">
        <v>14.9</v>
      </c>
      <c r="K68" s="139">
        <v>10.1</v>
      </c>
      <c r="L68" s="139">
        <v>12.7</v>
      </c>
      <c r="M68" s="139">
        <v>14.7</v>
      </c>
    </row>
    <row r="69" spans="1:13" ht="14.25" customHeight="1">
      <c r="A69" s="132">
        <v>1998</v>
      </c>
      <c r="B69" s="139">
        <v>100</v>
      </c>
      <c r="D69" s="139">
        <v>4</v>
      </c>
      <c r="E69" s="139">
        <v>9.1</v>
      </c>
      <c r="F69" s="139">
        <v>14.2</v>
      </c>
      <c r="G69" s="139">
        <v>20.5</v>
      </c>
      <c r="H69" s="139">
        <v>52.9</v>
      </c>
      <c r="J69" s="139">
        <v>14.7</v>
      </c>
      <c r="K69" s="139">
        <v>10</v>
      </c>
      <c r="L69" s="139">
        <v>12.7</v>
      </c>
      <c r="M69" s="139">
        <v>15.5</v>
      </c>
    </row>
    <row r="70" spans="1:13" ht="14.25" customHeight="1">
      <c r="A70" s="132">
        <v>1999</v>
      </c>
      <c r="B70" s="139">
        <v>100</v>
      </c>
      <c r="D70" s="139">
        <v>4</v>
      </c>
      <c r="E70" s="139">
        <v>8.9</v>
      </c>
      <c r="F70" s="139">
        <v>13.8</v>
      </c>
      <c r="G70" s="139">
        <v>20.2</v>
      </c>
      <c r="H70" s="139">
        <v>53.7</v>
      </c>
      <c r="J70" s="139">
        <v>14.4</v>
      </c>
      <c r="K70" s="139">
        <v>9.9</v>
      </c>
      <c r="L70" s="139">
        <v>12.9</v>
      </c>
      <c r="M70" s="139">
        <v>16.5</v>
      </c>
    </row>
    <row r="71" spans="1:13" ht="14.25" customHeight="1">
      <c r="A71" s="132">
        <v>2000</v>
      </c>
      <c r="B71" s="139">
        <v>100</v>
      </c>
      <c r="D71" s="139">
        <v>3.8</v>
      </c>
      <c r="E71" s="139">
        <v>8.8000000000000007</v>
      </c>
      <c r="F71" s="139">
        <v>13.6</v>
      </c>
      <c r="G71" s="139">
        <v>19.899999999999999</v>
      </c>
      <c r="H71" s="139">
        <v>54.4</v>
      </c>
      <c r="J71" s="139">
        <v>14.3</v>
      </c>
      <c r="K71" s="139">
        <v>9.8000000000000007</v>
      </c>
      <c r="L71" s="139">
        <v>12.9</v>
      </c>
      <c r="M71" s="139">
        <v>17.5</v>
      </c>
    </row>
    <row r="72" spans="1:13" ht="14.25" customHeight="1">
      <c r="A72" s="132">
        <v>2001</v>
      </c>
      <c r="B72" s="139">
        <v>100</v>
      </c>
      <c r="D72" s="139">
        <v>3.9</v>
      </c>
      <c r="E72" s="139">
        <v>9.1999999999999993</v>
      </c>
      <c r="F72" s="139">
        <v>14.3</v>
      </c>
      <c r="G72" s="139">
        <v>21</v>
      </c>
      <c r="H72" s="139">
        <v>52.3</v>
      </c>
      <c r="J72" s="139">
        <v>14.8</v>
      </c>
      <c r="K72" s="139">
        <v>10.1</v>
      </c>
      <c r="L72" s="139">
        <v>12.7</v>
      </c>
      <c r="M72" s="139">
        <v>14.6</v>
      </c>
    </row>
    <row r="73" spans="1:13" ht="14.25" customHeight="1">
      <c r="A73" s="132">
        <v>2002</v>
      </c>
      <c r="B73" s="139">
        <v>100</v>
      </c>
      <c r="D73" s="139">
        <v>4</v>
      </c>
      <c r="E73" s="139">
        <v>9.4</v>
      </c>
      <c r="F73" s="139">
        <v>14.6</v>
      </c>
      <c r="G73" s="139">
        <v>21.3</v>
      </c>
      <c r="H73" s="139">
        <v>51.4</v>
      </c>
      <c r="J73" s="139">
        <v>15.1</v>
      </c>
      <c r="K73" s="139">
        <v>10.199999999999999</v>
      </c>
      <c r="L73" s="139">
        <v>12.8</v>
      </c>
      <c r="M73" s="139">
        <v>13.3</v>
      </c>
    </row>
    <row r="74" spans="1:13" ht="14.25" customHeight="1">
      <c r="A74" s="132">
        <v>2003</v>
      </c>
      <c r="B74" s="139">
        <v>100</v>
      </c>
      <c r="D74" s="139">
        <v>3.9</v>
      </c>
      <c r="E74" s="139">
        <v>9.1999999999999993</v>
      </c>
      <c r="F74" s="139">
        <v>14.4</v>
      </c>
      <c r="G74" s="139">
        <v>21.1</v>
      </c>
      <c r="H74" s="139">
        <v>52.1</v>
      </c>
      <c r="J74" s="139">
        <v>15.1</v>
      </c>
      <c r="K74" s="139">
        <v>10.199999999999999</v>
      </c>
      <c r="L74" s="139">
        <v>12.8</v>
      </c>
      <c r="M74" s="139">
        <v>14.1</v>
      </c>
    </row>
    <row r="75" spans="1:13" ht="14.25" customHeight="1">
      <c r="A75" s="132">
        <v>2004</v>
      </c>
      <c r="B75" s="139">
        <v>100</v>
      </c>
      <c r="D75" s="139">
        <v>3.8</v>
      </c>
      <c r="E75" s="139">
        <v>9</v>
      </c>
      <c r="F75" s="139">
        <v>14</v>
      </c>
      <c r="G75" s="139">
        <v>20.5</v>
      </c>
      <c r="H75" s="139">
        <v>53.4</v>
      </c>
      <c r="J75" s="139">
        <v>14.7</v>
      </c>
      <c r="K75" s="139">
        <v>10</v>
      </c>
      <c r="L75" s="139">
        <v>12.7</v>
      </c>
      <c r="M75" s="139">
        <v>16</v>
      </c>
    </row>
    <row r="76" spans="1:13" ht="14.25" customHeight="1">
      <c r="A76" s="132">
        <v>2005</v>
      </c>
      <c r="B76" s="139">
        <v>100</v>
      </c>
      <c r="D76" s="139">
        <v>3.7</v>
      </c>
      <c r="E76" s="139">
        <v>8.6</v>
      </c>
      <c r="F76" s="139">
        <v>13.5</v>
      </c>
      <c r="G76" s="139">
        <v>19.899999999999999</v>
      </c>
      <c r="H76" s="139">
        <v>55</v>
      </c>
      <c r="J76" s="139">
        <v>14.3</v>
      </c>
      <c r="K76" s="139">
        <v>9.9</v>
      </c>
      <c r="L76" s="139">
        <v>13</v>
      </c>
      <c r="M76" s="139">
        <v>17.899999999999999</v>
      </c>
    </row>
    <row r="77" spans="1:13" ht="14.25" customHeight="1">
      <c r="A77" s="132">
        <v>2006</v>
      </c>
      <c r="B77" s="139">
        <v>100</v>
      </c>
      <c r="D77" s="139">
        <v>3.6</v>
      </c>
      <c r="E77" s="139">
        <v>8.5</v>
      </c>
      <c r="F77" s="139">
        <v>13.3</v>
      </c>
      <c r="G77" s="139">
        <v>19.600000000000001</v>
      </c>
      <c r="H77" s="139">
        <v>55.6</v>
      </c>
      <c r="J77" s="139">
        <v>14.1</v>
      </c>
      <c r="K77" s="139">
        <v>9.8000000000000007</v>
      </c>
      <c r="L77" s="139">
        <v>13.1</v>
      </c>
      <c r="M77" s="139">
        <v>18.600000000000001</v>
      </c>
    </row>
    <row r="78" spans="1:13" ht="14.25" customHeight="1">
      <c r="A78" s="132">
        <v>2007</v>
      </c>
      <c r="B78" s="139">
        <v>100</v>
      </c>
      <c r="D78" s="139">
        <v>3.9</v>
      </c>
      <c r="E78" s="139">
        <v>8.6</v>
      </c>
      <c r="F78" s="139">
        <v>13.2</v>
      </c>
      <c r="G78" s="139">
        <v>19.3</v>
      </c>
      <c r="H78" s="139">
        <v>55.7</v>
      </c>
      <c r="J78" s="139">
        <v>14</v>
      </c>
      <c r="K78" s="139">
        <v>9.6999999999999993</v>
      </c>
      <c r="L78" s="139">
        <v>13</v>
      </c>
      <c r="M78" s="139">
        <v>19.100000000000001</v>
      </c>
    </row>
    <row r="79" spans="1:13" ht="14.25" customHeight="1">
      <c r="A79" s="132">
        <v>2008</v>
      </c>
      <c r="B79" s="139">
        <v>100</v>
      </c>
      <c r="D79" s="139">
        <v>4</v>
      </c>
      <c r="E79" s="139">
        <v>9</v>
      </c>
      <c r="F79" s="139">
        <v>13.9</v>
      </c>
      <c r="G79" s="139">
        <v>20.399999999999999</v>
      </c>
      <c r="H79" s="139">
        <v>53.9</v>
      </c>
      <c r="J79" s="139">
        <v>14.6</v>
      </c>
      <c r="K79" s="139">
        <v>10</v>
      </c>
      <c r="L79" s="139">
        <v>12.9</v>
      </c>
      <c r="M79" s="139">
        <v>16.399999999999999</v>
      </c>
    </row>
    <row r="80" spans="1:13" ht="14.25" customHeight="1">
      <c r="A80" s="132">
        <v>2009</v>
      </c>
      <c r="B80" s="139">
        <v>100</v>
      </c>
      <c r="D80" s="139">
        <v>3.9</v>
      </c>
      <c r="E80" s="139">
        <v>9.4</v>
      </c>
      <c r="F80" s="139">
        <v>14.5</v>
      </c>
      <c r="G80" s="139">
        <v>21.5</v>
      </c>
      <c r="H80" s="139">
        <v>52.3</v>
      </c>
      <c r="J80" s="139">
        <v>15.3</v>
      </c>
      <c r="K80" s="139">
        <v>10.4</v>
      </c>
      <c r="L80" s="139">
        <v>12.8</v>
      </c>
      <c r="M80" s="139">
        <v>13.7</v>
      </c>
    </row>
    <row r="81" spans="1:13" ht="14.25" customHeight="1">
      <c r="A81" s="132">
        <v>2010</v>
      </c>
      <c r="B81" s="139">
        <v>100</v>
      </c>
      <c r="D81" s="139">
        <v>3.8</v>
      </c>
      <c r="E81" s="139">
        <v>9.1</v>
      </c>
      <c r="F81" s="139">
        <v>14.2</v>
      </c>
      <c r="G81" s="139">
        <v>20.9</v>
      </c>
      <c r="H81" s="139">
        <v>53.4</v>
      </c>
      <c r="J81" s="139">
        <v>15</v>
      </c>
      <c r="K81" s="139">
        <v>10.199999999999999</v>
      </c>
      <c r="L81" s="139">
        <v>12.9</v>
      </c>
      <c r="M81" s="139">
        <v>15.3</v>
      </c>
    </row>
    <row r="82" spans="1:13" ht="14.25" customHeight="1">
      <c r="A82" s="313">
        <v>2011</v>
      </c>
      <c r="B82" s="312">
        <v>100</v>
      </c>
      <c r="C82" s="12"/>
      <c r="D82" s="312">
        <v>3.9</v>
      </c>
      <c r="E82" s="312">
        <v>9.1</v>
      </c>
      <c r="F82" s="312">
        <v>14</v>
      </c>
      <c r="G82" s="312">
        <v>20.9</v>
      </c>
      <c r="H82" s="312">
        <v>53.5</v>
      </c>
      <c r="I82" s="12"/>
      <c r="J82" s="312">
        <v>15</v>
      </c>
      <c r="K82" s="312">
        <v>10.3</v>
      </c>
      <c r="L82" s="312">
        <v>13</v>
      </c>
      <c r="M82" s="312">
        <v>15.1</v>
      </c>
    </row>
    <row r="83" spans="1:13" ht="14.25" customHeight="1">
      <c r="A83" s="313">
        <v>2012</v>
      </c>
      <c r="B83" s="312">
        <v>100</v>
      </c>
      <c r="C83" s="12"/>
      <c r="D83" s="312">
        <v>3.6</v>
      </c>
      <c r="E83" s="312">
        <v>8.5</v>
      </c>
      <c r="F83" s="312">
        <v>13.5</v>
      </c>
      <c r="G83" s="312">
        <v>20.100000000000001</v>
      </c>
      <c r="H83" s="312">
        <v>55.6</v>
      </c>
      <c r="I83" s="12"/>
      <c r="J83" s="312">
        <v>14.6</v>
      </c>
      <c r="K83" s="312">
        <v>10.1</v>
      </c>
      <c r="L83" s="312">
        <v>13.1</v>
      </c>
      <c r="M83" s="312">
        <v>17.8</v>
      </c>
    </row>
    <row r="84" spans="1:13" ht="14.25" customHeight="1">
      <c r="A84" s="313">
        <v>2013</v>
      </c>
      <c r="B84" s="312">
        <v>100</v>
      </c>
      <c r="C84" s="12"/>
      <c r="D84" s="312">
        <v>3.8</v>
      </c>
      <c r="E84" s="312">
        <v>8.8000000000000007</v>
      </c>
      <c r="F84" s="312">
        <v>13.9</v>
      </c>
      <c r="G84" s="312">
        <v>20.7</v>
      </c>
      <c r="H84" s="312">
        <v>54.2</v>
      </c>
      <c r="I84" s="12"/>
      <c r="J84" s="312">
        <v>15.1</v>
      </c>
      <c r="K84" s="312">
        <v>10.3</v>
      </c>
      <c r="L84" s="312">
        <v>13.3</v>
      </c>
      <c r="M84" s="312">
        <v>15.4</v>
      </c>
    </row>
    <row r="85" spans="1:13" ht="14.25" customHeight="1">
      <c r="A85" s="313">
        <v>2014</v>
      </c>
      <c r="B85" s="312">
        <v>100</v>
      </c>
      <c r="C85" s="12"/>
      <c r="D85" s="312">
        <v>3.6</v>
      </c>
      <c r="E85" s="312">
        <v>8.6</v>
      </c>
      <c r="F85" s="312">
        <v>13.4</v>
      </c>
      <c r="G85" s="312">
        <v>20.3</v>
      </c>
      <c r="H85" s="312">
        <v>55.3</v>
      </c>
      <c r="I85" s="12"/>
      <c r="J85" s="312">
        <v>14.8</v>
      </c>
      <c r="K85" s="312">
        <v>10.3</v>
      </c>
      <c r="L85" s="312">
        <v>13.5</v>
      </c>
      <c r="M85" s="312">
        <v>16.7</v>
      </c>
    </row>
    <row r="86" spans="1:13" ht="14.25" customHeight="1">
      <c r="A86" s="313">
        <v>2015</v>
      </c>
      <c r="B86" s="312">
        <v>100</v>
      </c>
      <c r="C86" s="12"/>
      <c r="D86" s="312">
        <v>3.7</v>
      </c>
      <c r="E86" s="312">
        <v>8.6999999999999993</v>
      </c>
      <c r="F86" s="312">
        <v>13.6</v>
      </c>
      <c r="G86" s="312">
        <v>20.3</v>
      </c>
      <c r="H86" s="312">
        <v>55</v>
      </c>
      <c r="I86" s="12"/>
      <c r="J86" s="312">
        <v>14.8</v>
      </c>
      <c r="K86" s="312">
        <v>10.3</v>
      </c>
      <c r="L86" s="312">
        <v>13.3</v>
      </c>
      <c r="M86" s="312">
        <v>16.600000000000001</v>
      </c>
    </row>
    <row r="87" spans="1:13" ht="14.25" customHeight="1">
      <c r="A87" s="313">
        <v>2016</v>
      </c>
      <c r="B87" s="312">
        <v>100</v>
      </c>
      <c r="C87" s="12"/>
      <c r="D87" s="312">
        <v>3.8</v>
      </c>
      <c r="E87" s="312">
        <v>8.9</v>
      </c>
      <c r="F87" s="312">
        <v>13.6</v>
      </c>
      <c r="G87" s="312">
        <v>20.5</v>
      </c>
      <c r="H87" s="312">
        <v>54.4</v>
      </c>
      <c r="I87" s="12"/>
      <c r="J87" s="312">
        <v>14.9</v>
      </c>
      <c r="K87" s="312">
        <v>10.3</v>
      </c>
      <c r="L87" s="312">
        <v>13.3</v>
      </c>
      <c r="M87" s="312">
        <v>15.8</v>
      </c>
    </row>
    <row r="88" spans="1:13">
      <c r="A88" s="313"/>
      <c r="B88" s="312"/>
      <c r="C88" s="12"/>
      <c r="D88" s="312"/>
      <c r="E88" s="312"/>
      <c r="F88" s="312"/>
      <c r="G88" s="312"/>
      <c r="H88" s="312"/>
      <c r="I88" s="12"/>
      <c r="J88" s="312"/>
      <c r="K88" s="312"/>
      <c r="L88" s="312"/>
      <c r="M88" s="312"/>
    </row>
    <row r="89" spans="1:13" ht="14.25" customHeight="1">
      <c r="A89" s="313"/>
      <c r="B89" s="780" t="s">
        <v>353</v>
      </c>
      <c r="C89" s="780"/>
      <c r="D89" s="780"/>
      <c r="E89" s="780"/>
      <c r="F89" s="780"/>
      <c r="G89" s="780"/>
      <c r="H89" s="780"/>
      <c r="I89" s="780"/>
      <c r="J89" s="780"/>
      <c r="K89" s="780"/>
      <c r="L89" s="780"/>
      <c r="M89" s="780"/>
    </row>
    <row r="90" spans="1:13" ht="14.25" customHeight="1">
      <c r="A90" s="313">
        <v>1979</v>
      </c>
      <c r="B90" s="312">
        <v>100</v>
      </c>
      <c r="C90" s="12"/>
      <c r="D90" s="312">
        <v>7.8</v>
      </c>
      <c r="E90" s="312">
        <v>12.3</v>
      </c>
      <c r="F90" s="312">
        <v>16.399999999999999</v>
      </c>
      <c r="G90" s="312">
        <v>22.1</v>
      </c>
      <c r="H90" s="312">
        <v>41.8</v>
      </c>
      <c r="I90" s="12"/>
      <c r="J90" s="312">
        <v>14.6</v>
      </c>
      <c r="K90" s="312">
        <v>9.3000000000000007</v>
      </c>
      <c r="L90" s="312">
        <v>10.5</v>
      </c>
      <c r="M90" s="312">
        <v>7.4</v>
      </c>
    </row>
    <row r="91" spans="1:13" ht="14.25" customHeight="1">
      <c r="A91" s="313">
        <v>1980</v>
      </c>
      <c r="B91" s="312">
        <v>100</v>
      </c>
      <c r="C91" s="12"/>
      <c r="D91" s="312">
        <v>7.8</v>
      </c>
      <c r="E91" s="312">
        <v>12.2</v>
      </c>
      <c r="F91" s="312">
        <v>16.399999999999999</v>
      </c>
      <c r="G91" s="312">
        <v>22</v>
      </c>
      <c r="H91" s="312">
        <v>42.1</v>
      </c>
      <c r="I91" s="12"/>
      <c r="J91" s="312">
        <v>14.7</v>
      </c>
      <c r="K91" s="312">
        <v>9.3000000000000007</v>
      </c>
      <c r="L91" s="312">
        <v>10.6</v>
      </c>
      <c r="M91" s="312">
        <v>7.5</v>
      </c>
    </row>
    <row r="92" spans="1:13" ht="14.25" customHeight="1">
      <c r="A92" s="313">
        <v>1981</v>
      </c>
      <c r="B92" s="312">
        <v>100</v>
      </c>
      <c r="C92" s="12"/>
      <c r="D92" s="312">
        <v>7.5</v>
      </c>
      <c r="E92" s="312">
        <v>12.1</v>
      </c>
      <c r="F92" s="312">
        <v>16.399999999999999</v>
      </c>
      <c r="G92" s="312">
        <v>22</v>
      </c>
      <c r="H92" s="312">
        <v>42.6</v>
      </c>
      <c r="I92" s="12"/>
      <c r="J92" s="312">
        <v>14.7</v>
      </c>
      <c r="K92" s="312">
        <v>9.4</v>
      </c>
      <c r="L92" s="312">
        <v>10.7</v>
      </c>
      <c r="M92" s="312">
        <v>7.8</v>
      </c>
    </row>
    <row r="93" spans="1:13" ht="14.25" customHeight="1">
      <c r="A93" s="313">
        <v>1982</v>
      </c>
      <c r="B93" s="312">
        <v>100</v>
      </c>
      <c r="C93" s="12"/>
      <c r="D93" s="312">
        <v>7.1</v>
      </c>
      <c r="E93" s="312">
        <v>11.7</v>
      </c>
      <c r="F93" s="312">
        <v>16.100000000000001</v>
      </c>
      <c r="G93" s="312">
        <v>22</v>
      </c>
      <c r="H93" s="312">
        <v>43.8</v>
      </c>
      <c r="I93" s="12"/>
      <c r="J93" s="312">
        <v>14.9</v>
      </c>
      <c r="K93" s="312">
        <v>9.5</v>
      </c>
      <c r="L93" s="312">
        <v>10.8</v>
      </c>
      <c r="M93" s="312">
        <v>8.5</v>
      </c>
    </row>
    <row r="94" spans="1:13" ht="14.25" customHeight="1">
      <c r="A94" s="313">
        <v>1983</v>
      </c>
      <c r="B94" s="312">
        <v>100</v>
      </c>
      <c r="C94" s="12"/>
      <c r="D94" s="312">
        <v>6.6</v>
      </c>
      <c r="E94" s="312">
        <v>11.3</v>
      </c>
      <c r="F94" s="312">
        <v>16</v>
      </c>
      <c r="G94" s="312">
        <v>22</v>
      </c>
      <c r="H94" s="312">
        <v>44.7</v>
      </c>
      <c r="I94" s="12"/>
      <c r="J94" s="312">
        <v>14.9</v>
      </c>
      <c r="K94" s="312">
        <v>9.6</v>
      </c>
      <c r="L94" s="312">
        <v>11.1</v>
      </c>
      <c r="M94" s="312">
        <v>9.1</v>
      </c>
    </row>
    <row r="95" spans="1:13" ht="14.25" customHeight="1">
      <c r="A95" s="313">
        <v>1984</v>
      </c>
      <c r="B95" s="312">
        <v>100</v>
      </c>
      <c r="C95" s="12"/>
      <c r="D95" s="312">
        <v>6.7</v>
      </c>
      <c r="E95" s="312">
        <v>11.3</v>
      </c>
      <c r="F95" s="312">
        <v>15.8</v>
      </c>
      <c r="G95" s="312">
        <v>22</v>
      </c>
      <c r="H95" s="312">
        <v>45</v>
      </c>
      <c r="I95" s="12"/>
      <c r="J95" s="312">
        <v>14.9</v>
      </c>
      <c r="K95" s="312">
        <v>9.5</v>
      </c>
      <c r="L95" s="312">
        <v>11.1</v>
      </c>
      <c r="M95" s="312">
        <v>9.5</v>
      </c>
    </row>
    <row r="96" spans="1:13" ht="14.25" customHeight="1">
      <c r="A96" s="313">
        <v>1985</v>
      </c>
      <c r="B96" s="312">
        <v>100</v>
      </c>
      <c r="C96" s="12"/>
      <c r="D96" s="312">
        <v>6.6</v>
      </c>
      <c r="E96" s="312">
        <v>11</v>
      </c>
      <c r="F96" s="312">
        <v>15.7</v>
      </c>
      <c r="G96" s="312">
        <v>21.7</v>
      </c>
      <c r="H96" s="312">
        <v>45.9</v>
      </c>
      <c r="I96" s="12"/>
      <c r="J96" s="312">
        <v>14.8</v>
      </c>
      <c r="K96" s="312">
        <v>9.6</v>
      </c>
      <c r="L96" s="312">
        <v>11.2</v>
      </c>
      <c r="M96" s="312">
        <v>10.3</v>
      </c>
    </row>
    <row r="97" spans="1:13" ht="14.25" customHeight="1">
      <c r="A97" s="313">
        <v>1986</v>
      </c>
      <c r="B97" s="312">
        <v>100</v>
      </c>
      <c r="C97" s="12"/>
      <c r="D97" s="312">
        <v>6.2</v>
      </c>
      <c r="E97" s="312">
        <v>10.5</v>
      </c>
      <c r="F97" s="312">
        <v>15.2</v>
      </c>
      <c r="G97" s="312">
        <v>21</v>
      </c>
      <c r="H97" s="312">
        <v>47.9</v>
      </c>
      <c r="I97" s="12"/>
      <c r="J97" s="312">
        <v>14.3</v>
      </c>
      <c r="K97" s="312">
        <v>9.4</v>
      </c>
      <c r="L97" s="312">
        <v>11.4</v>
      </c>
      <c r="M97" s="312">
        <v>12.8</v>
      </c>
    </row>
    <row r="98" spans="1:13" ht="14.25" customHeight="1">
      <c r="A98" s="313">
        <v>1987</v>
      </c>
      <c r="B98" s="312">
        <v>100</v>
      </c>
      <c r="C98" s="12"/>
      <c r="D98" s="312">
        <v>6.2</v>
      </c>
      <c r="E98" s="312">
        <v>11.1</v>
      </c>
      <c r="F98" s="312">
        <v>16</v>
      </c>
      <c r="G98" s="312">
        <v>22.2</v>
      </c>
      <c r="H98" s="312">
        <v>45.4</v>
      </c>
      <c r="I98" s="12"/>
      <c r="J98" s="312">
        <v>15</v>
      </c>
      <c r="K98" s="312">
        <v>9.6</v>
      </c>
      <c r="L98" s="312">
        <v>11.2</v>
      </c>
      <c r="M98" s="312">
        <v>9.6</v>
      </c>
    </row>
    <row r="99" spans="1:13" ht="14.25" customHeight="1">
      <c r="A99" s="313">
        <v>1988</v>
      </c>
      <c r="B99" s="312">
        <v>100</v>
      </c>
      <c r="C99" s="12"/>
      <c r="D99" s="312">
        <v>6.2</v>
      </c>
      <c r="E99" s="312">
        <v>10.8</v>
      </c>
      <c r="F99" s="312">
        <v>15.5</v>
      </c>
      <c r="G99" s="312">
        <v>21.6</v>
      </c>
      <c r="H99" s="312">
        <v>46.9</v>
      </c>
      <c r="I99" s="12"/>
      <c r="J99" s="312">
        <v>14.7</v>
      </c>
      <c r="K99" s="312">
        <v>9.4</v>
      </c>
      <c r="L99" s="312">
        <v>11.2</v>
      </c>
      <c r="M99" s="312">
        <v>11.7</v>
      </c>
    </row>
    <row r="100" spans="1:13" ht="14.25" customHeight="1">
      <c r="A100" s="313">
        <v>1989</v>
      </c>
      <c r="B100" s="312">
        <v>100</v>
      </c>
      <c r="C100" s="12"/>
      <c r="D100" s="312">
        <v>6.3</v>
      </c>
      <c r="E100" s="312">
        <v>10.9</v>
      </c>
      <c r="F100" s="312">
        <v>15.6</v>
      </c>
      <c r="G100" s="312">
        <v>21.6</v>
      </c>
      <c r="H100" s="312">
        <v>46.5</v>
      </c>
      <c r="I100" s="12"/>
      <c r="J100" s="312">
        <v>14.7</v>
      </c>
      <c r="K100" s="312">
        <v>9.5</v>
      </c>
      <c r="L100" s="312">
        <v>11.4</v>
      </c>
      <c r="M100" s="312">
        <v>11</v>
      </c>
    </row>
    <row r="101" spans="1:13" ht="14.25" customHeight="1">
      <c r="A101" s="313">
        <v>1990</v>
      </c>
      <c r="B101" s="312">
        <v>100</v>
      </c>
      <c r="C101" s="12"/>
      <c r="D101" s="312">
        <v>6.6</v>
      </c>
      <c r="E101" s="312">
        <v>11.1</v>
      </c>
      <c r="F101" s="312">
        <v>15.6</v>
      </c>
      <c r="G101" s="312">
        <v>21.7</v>
      </c>
      <c r="H101" s="312">
        <v>46</v>
      </c>
      <c r="I101" s="12"/>
      <c r="J101" s="312">
        <v>14.6</v>
      </c>
      <c r="K101" s="312">
        <v>9.5</v>
      </c>
      <c r="L101" s="312">
        <v>11.3</v>
      </c>
      <c r="M101" s="312">
        <v>10.7</v>
      </c>
    </row>
    <row r="102" spans="1:13" ht="14.25" customHeight="1">
      <c r="A102" s="313">
        <v>1991</v>
      </c>
      <c r="B102" s="312">
        <v>100</v>
      </c>
      <c r="C102" s="12"/>
      <c r="D102" s="312">
        <v>7</v>
      </c>
      <c r="E102" s="312">
        <v>11.2</v>
      </c>
      <c r="F102" s="312">
        <v>16</v>
      </c>
      <c r="G102" s="312">
        <v>21.8</v>
      </c>
      <c r="H102" s="312">
        <v>45.2</v>
      </c>
      <c r="I102" s="12"/>
      <c r="J102" s="312">
        <v>14.7</v>
      </c>
      <c r="K102" s="312">
        <v>9.5</v>
      </c>
      <c r="L102" s="312">
        <v>11.3</v>
      </c>
      <c r="M102" s="312">
        <v>9.6999999999999993</v>
      </c>
    </row>
    <row r="103" spans="1:13" ht="14.25" customHeight="1">
      <c r="A103" s="313">
        <v>1992</v>
      </c>
      <c r="B103" s="312">
        <v>100</v>
      </c>
      <c r="C103" s="12"/>
      <c r="D103" s="312">
        <v>6.8</v>
      </c>
      <c r="E103" s="312">
        <v>11.2</v>
      </c>
      <c r="F103" s="312">
        <v>15.7</v>
      </c>
      <c r="G103" s="312">
        <v>21.6</v>
      </c>
      <c r="H103" s="312">
        <v>45.8</v>
      </c>
      <c r="I103" s="12"/>
      <c r="J103" s="312">
        <v>14.6</v>
      </c>
      <c r="K103" s="312">
        <v>9.5</v>
      </c>
      <c r="L103" s="312">
        <v>11.3</v>
      </c>
      <c r="M103" s="312">
        <v>10.5</v>
      </c>
    </row>
    <row r="104" spans="1:13" ht="14.25" customHeight="1">
      <c r="A104" s="313">
        <v>1993</v>
      </c>
      <c r="B104" s="312">
        <v>100</v>
      </c>
      <c r="C104" s="12"/>
      <c r="D104" s="312">
        <v>7</v>
      </c>
      <c r="E104" s="312">
        <v>11.3</v>
      </c>
      <c r="F104" s="312">
        <v>15.8</v>
      </c>
      <c r="G104" s="312">
        <v>21.8</v>
      </c>
      <c r="H104" s="312">
        <v>45.2</v>
      </c>
      <c r="I104" s="12"/>
      <c r="J104" s="312">
        <v>14.7</v>
      </c>
      <c r="K104" s="312">
        <v>9.6</v>
      </c>
      <c r="L104" s="312">
        <v>11.3</v>
      </c>
      <c r="M104" s="312">
        <v>9.6999999999999993</v>
      </c>
    </row>
    <row r="105" spans="1:13" ht="14.25" customHeight="1">
      <c r="A105" s="313">
        <v>1994</v>
      </c>
      <c r="B105" s="312">
        <v>100</v>
      </c>
      <c r="C105" s="12"/>
      <c r="D105" s="312">
        <v>7</v>
      </c>
      <c r="E105" s="312">
        <v>11.3</v>
      </c>
      <c r="F105" s="312">
        <v>15.8</v>
      </c>
      <c r="G105" s="312">
        <v>21.8</v>
      </c>
      <c r="H105" s="312">
        <v>45</v>
      </c>
      <c r="I105" s="12"/>
      <c r="J105" s="312">
        <v>14.7</v>
      </c>
      <c r="K105" s="312">
        <v>9.5</v>
      </c>
      <c r="L105" s="312">
        <v>11.3</v>
      </c>
      <c r="M105" s="312">
        <v>9.6</v>
      </c>
    </row>
    <row r="106" spans="1:13" ht="14.25" customHeight="1">
      <c r="A106" s="313">
        <v>1995</v>
      </c>
      <c r="B106" s="312">
        <v>100</v>
      </c>
      <c r="C106" s="12"/>
      <c r="D106" s="312">
        <v>7.3</v>
      </c>
      <c r="E106" s="312">
        <v>11.3</v>
      </c>
      <c r="F106" s="312">
        <v>15.6</v>
      </c>
      <c r="G106" s="312">
        <v>21.5</v>
      </c>
      <c r="H106" s="312">
        <v>45.3</v>
      </c>
      <c r="I106" s="12"/>
      <c r="J106" s="312">
        <v>14.5</v>
      </c>
      <c r="K106" s="312">
        <v>9.5</v>
      </c>
      <c r="L106" s="312">
        <v>11.4</v>
      </c>
      <c r="M106" s="312">
        <v>9.9</v>
      </c>
    </row>
    <row r="107" spans="1:13" ht="14.25" customHeight="1">
      <c r="A107" s="313">
        <v>1996</v>
      </c>
      <c r="B107" s="312">
        <v>100</v>
      </c>
      <c r="C107" s="12"/>
      <c r="D107" s="312">
        <v>6.9</v>
      </c>
      <c r="E107" s="312">
        <v>11</v>
      </c>
      <c r="F107" s="312">
        <v>15.4</v>
      </c>
      <c r="G107" s="312">
        <v>21.2</v>
      </c>
      <c r="H107" s="312">
        <v>46.4</v>
      </c>
      <c r="I107" s="12"/>
      <c r="J107" s="312">
        <v>14.4</v>
      </c>
      <c r="K107" s="312">
        <v>9.5</v>
      </c>
      <c r="L107" s="312">
        <v>11.4</v>
      </c>
      <c r="M107" s="312">
        <v>11</v>
      </c>
    </row>
    <row r="108" spans="1:13" ht="14.25" customHeight="1">
      <c r="A108" s="313">
        <v>1997</v>
      </c>
      <c r="B108" s="312">
        <v>100</v>
      </c>
      <c r="C108" s="12"/>
      <c r="D108" s="312">
        <v>6.8</v>
      </c>
      <c r="E108" s="312">
        <v>10.7</v>
      </c>
      <c r="F108" s="312">
        <v>15</v>
      </c>
      <c r="G108" s="312">
        <v>20.8</v>
      </c>
      <c r="H108" s="312">
        <v>47.6</v>
      </c>
      <c r="I108" s="12"/>
      <c r="J108" s="312">
        <v>14.3</v>
      </c>
      <c r="K108" s="312">
        <v>9.5</v>
      </c>
      <c r="L108" s="312">
        <v>11.6</v>
      </c>
      <c r="M108" s="312">
        <v>12.2</v>
      </c>
    </row>
    <row r="109" spans="1:13" ht="14.25" customHeight="1">
      <c r="A109" s="313">
        <v>1998</v>
      </c>
      <c r="B109" s="312">
        <v>100</v>
      </c>
      <c r="C109" s="12"/>
      <c r="D109" s="312">
        <v>6.9</v>
      </c>
      <c r="E109" s="312">
        <v>10.6</v>
      </c>
      <c r="F109" s="312">
        <v>14.8</v>
      </c>
      <c r="G109" s="312">
        <v>20.5</v>
      </c>
      <c r="H109" s="312">
        <v>48</v>
      </c>
      <c r="I109" s="12"/>
      <c r="J109" s="312">
        <v>14.1</v>
      </c>
      <c r="K109" s="312">
        <v>9.3000000000000007</v>
      </c>
      <c r="L109" s="312">
        <v>11.6</v>
      </c>
      <c r="M109" s="312">
        <v>13.1</v>
      </c>
    </row>
    <row r="110" spans="1:13" ht="14.25" customHeight="1">
      <c r="A110" s="313">
        <v>1999</v>
      </c>
      <c r="B110" s="312">
        <v>100</v>
      </c>
      <c r="C110" s="12"/>
      <c r="D110" s="312">
        <v>6.7</v>
      </c>
      <c r="E110" s="312">
        <v>10.4</v>
      </c>
      <c r="F110" s="312">
        <v>14.6</v>
      </c>
      <c r="G110" s="312">
        <v>20.2</v>
      </c>
      <c r="H110" s="312">
        <v>48.8</v>
      </c>
      <c r="I110" s="12"/>
      <c r="J110" s="312">
        <v>13.9</v>
      </c>
      <c r="K110" s="312">
        <v>9.3000000000000007</v>
      </c>
      <c r="L110" s="312">
        <v>11.7</v>
      </c>
      <c r="M110" s="312">
        <v>13.9</v>
      </c>
    </row>
    <row r="111" spans="1:13" ht="14.25" customHeight="1">
      <c r="A111" s="313">
        <v>2000</v>
      </c>
      <c r="B111" s="312">
        <v>100</v>
      </c>
      <c r="C111" s="12"/>
      <c r="D111" s="312">
        <v>6.6</v>
      </c>
      <c r="E111" s="312">
        <v>10.3</v>
      </c>
      <c r="F111" s="312">
        <v>14.5</v>
      </c>
      <c r="G111" s="312">
        <v>19.899999999999999</v>
      </c>
      <c r="H111" s="312">
        <v>49.4</v>
      </c>
      <c r="I111" s="12"/>
      <c r="J111" s="312">
        <v>13.7</v>
      </c>
      <c r="K111" s="312">
        <v>9.1999999999999993</v>
      </c>
      <c r="L111" s="312">
        <v>11.6</v>
      </c>
      <c r="M111" s="312">
        <v>14.9</v>
      </c>
    </row>
    <row r="112" spans="1:13" ht="14.25" customHeight="1">
      <c r="A112" s="313">
        <v>2001</v>
      </c>
      <c r="B112" s="312">
        <v>100</v>
      </c>
      <c r="C112" s="12"/>
      <c r="D112" s="312">
        <v>6.8</v>
      </c>
      <c r="E112" s="312">
        <v>10.8</v>
      </c>
      <c r="F112" s="312">
        <v>15.1</v>
      </c>
      <c r="G112" s="312">
        <v>20.9</v>
      </c>
      <c r="H112" s="312">
        <v>47.2</v>
      </c>
      <c r="I112" s="12"/>
      <c r="J112" s="312">
        <v>14.2</v>
      </c>
      <c r="K112" s="312">
        <v>9.4</v>
      </c>
      <c r="L112" s="312">
        <v>11.5</v>
      </c>
      <c r="M112" s="312">
        <v>12.2</v>
      </c>
    </row>
    <row r="113" spans="1:13" ht="14.25" customHeight="1">
      <c r="A113" s="313">
        <v>2002</v>
      </c>
      <c r="B113" s="312">
        <v>100</v>
      </c>
      <c r="C113" s="12"/>
      <c r="D113" s="312">
        <v>7.1</v>
      </c>
      <c r="E113" s="312">
        <v>11.1</v>
      </c>
      <c r="F113" s="312">
        <v>15.4</v>
      </c>
      <c r="G113" s="312">
        <v>21.2</v>
      </c>
      <c r="H113" s="312">
        <v>46.2</v>
      </c>
      <c r="I113" s="12"/>
      <c r="J113" s="312">
        <v>14.3</v>
      </c>
      <c r="K113" s="312">
        <v>9.4</v>
      </c>
      <c r="L113" s="312">
        <v>11.5</v>
      </c>
      <c r="M113" s="312">
        <v>11</v>
      </c>
    </row>
    <row r="114" spans="1:13" ht="14.25" customHeight="1">
      <c r="A114" s="313">
        <v>2003</v>
      </c>
      <c r="B114" s="312">
        <v>100</v>
      </c>
      <c r="C114" s="12"/>
      <c r="D114" s="312">
        <v>7</v>
      </c>
      <c r="E114" s="312">
        <v>10.9</v>
      </c>
      <c r="F114" s="312">
        <v>15.2</v>
      </c>
      <c r="G114" s="312">
        <v>20.9</v>
      </c>
      <c r="H114" s="312">
        <v>47</v>
      </c>
      <c r="I114" s="12"/>
      <c r="J114" s="312">
        <v>14.4</v>
      </c>
      <c r="K114" s="312">
        <v>9.4</v>
      </c>
      <c r="L114" s="312">
        <v>11.4</v>
      </c>
      <c r="M114" s="312">
        <v>11.7</v>
      </c>
    </row>
    <row r="115" spans="1:13" ht="14.25" customHeight="1">
      <c r="A115" s="313">
        <v>2004</v>
      </c>
      <c r="B115" s="312">
        <v>100</v>
      </c>
      <c r="C115" s="12"/>
      <c r="D115" s="312">
        <v>6.8</v>
      </c>
      <c r="E115" s="312">
        <v>10.8</v>
      </c>
      <c r="F115" s="312">
        <v>14.8</v>
      </c>
      <c r="G115" s="312">
        <v>20.399999999999999</v>
      </c>
      <c r="H115" s="312">
        <v>48.2</v>
      </c>
      <c r="I115" s="12"/>
      <c r="J115" s="312">
        <v>14</v>
      </c>
      <c r="K115" s="312">
        <v>9.1999999999999993</v>
      </c>
      <c r="L115" s="312">
        <v>11.4</v>
      </c>
      <c r="M115" s="312">
        <v>13.5</v>
      </c>
    </row>
    <row r="116" spans="1:13" ht="14.25" customHeight="1">
      <c r="A116" s="313">
        <v>2005</v>
      </c>
      <c r="B116" s="312">
        <v>100</v>
      </c>
      <c r="C116" s="12"/>
      <c r="D116" s="312">
        <v>6.6</v>
      </c>
      <c r="E116" s="312">
        <v>10.3</v>
      </c>
      <c r="F116" s="312">
        <v>14.3</v>
      </c>
      <c r="G116" s="312">
        <v>19.8</v>
      </c>
      <c r="H116" s="312">
        <v>49.7</v>
      </c>
      <c r="I116" s="12"/>
      <c r="J116" s="312">
        <v>13.7</v>
      </c>
      <c r="K116" s="312">
        <v>9.1999999999999993</v>
      </c>
      <c r="L116" s="312">
        <v>11.7</v>
      </c>
      <c r="M116" s="312">
        <v>15.1</v>
      </c>
    </row>
    <row r="117" spans="1:13" ht="14.25" customHeight="1">
      <c r="A117" s="313">
        <v>2006</v>
      </c>
      <c r="B117" s="312">
        <v>100</v>
      </c>
      <c r="C117" s="12"/>
      <c r="D117" s="312">
        <v>6.4</v>
      </c>
      <c r="E117" s="312">
        <v>10.199999999999999</v>
      </c>
      <c r="F117" s="312">
        <v>14.2</v>
      </c>
      <c r="G117" s="312">
        <v>19.7</v>
      </c>
      <c r="H117" s="312">
        <v>50.4</v>
      </c>
      <c r="I117" s="12"/>
      <c r="J117" s="312">
        <v>13.6</v>
      </c>
      <c r="K117" s="312">
        <v>9.1999999999999993</v>
      </c>
      <c r="L117" s="312">
        <v>11.8</v>
      </c>
      <c r="M117" s="312">
        <v>15.8</v>
      </c>
    </row>
    <row r="118" spans="1:13" ht="14.25" customHeight="1">
      <c r="A118" s="313">
        <v>2007</v>
      </c>
      <c r="B118" s="312">
        <v>100</v>
      </c>
      <c r="C118" s="12"/>
      <c r="D118" s="312">
        <v>6.6</v>
      </c>
      <c r="E118" s="312">
        <v>10.199999999999999</v>
      </c>
      <c r="F118" s="312">
        <v>14</v>
      </c>
      <c r="G118" s="312">
        <v>19.3</v>
      </c>
      <c r="H118" s="312">
        <v>50.8</v>
      </c>
      <c r="I118" s="12"/>
      <c r="J118" s="312">
        <v>13.4</v>
      </c>
      <c r="K118" s="312">
        <v>9.1</v>
      </c>
      <c r="L118" s="312">
        <v>11.7</v>
      </c>
      <c r="M118" s="312">
        <v>16.600000000000001</v>
      </c>
    </row>
    <row r="119" spans="1:13" ht="14.25" customHeight="1">
      <c r="A119" s="313">
        <v>2008</v>
      </c>
      <c r="B119" s="312">
        <v>100</v>
      </c>
      <c r="C119" s="12"/>
      <c r="D119" s="312">
        <v>7.1</v>
      </c>
      <c r="E119" s="312">
        <v>10.9</v>
      </c>
      <c r="F119" s="312">
        <v>14.8</v>
      </c>
      <c r="G119" s="312">
        <v>20.3</v>
      </c>
      <c r="H119" s="312">
        <v>48.4</v>
      </c>
      <c r="I119" s="12"/>
      <c r="J119" s="312">
        <v>13.9</v>
      </c>
      <c r="K119" s="312">
        <v>9.1999999999999993</v>
      </c>
      <c r="L119" s="312">
        <v>11.4</v>
      </c>
      <c r="M119" s="312">
        <v>13.9</v>
      </c>
    </row>
    <row r="120" spans="1:13" ht="14.25" customHeight="1">
      <c r="A120" s="313">
        <v>2009</v>
      </c>
      <c r="B120" s="312">
        <v>100</v>
      </c>
      <c r="C120" s="12"/>
      <c r="D120" s="312">
        <v>7.2</v>
      </c>
      <c r="E120" s="312">
        <v>11.4</v>
      </c>
      <c r="F120" s="312">
        <v>15.4</v>
      </c>
      <c r="G120" s="312">
        <v>21.2</v>
      </c>
      <c r="H120" s="312">
        <v>46.5</v>
      </c>
      <c r="I120" s="12"/>
      <c r="J120" s="312">
        <v>14.5</v>
      </c>
      <c r="K120" s="312">
        <v>9.5</v>
      </c>
      <c r="L120" s="312">
        <v>11.3</v>
      </c>
      <c r="M120" s="312">
        <v>11.3</v>
      </c>
    </row>
    <row r="121" spans="1:13" ht="14.25" customHeight="1">
      <c r="A121" s="313">
        <v>2010</v>
      </c>
      <c r="B121" s="312">
        <v>100</v>
      </c>
      <c r="C121" s="12"/>
      <c r="D121" s="312">
        <v>7.2</v>
      </c>
      <c r="E121" s="312">
        <v>11.2</v>
      </c>
      <c r="F121" s="312">
        <v>15.1</v>
      </c>
      <c r="G121" s="312">
        <v>20.7</v>
      </c>
      <c r="H121" s="312">
        <v>47.4</v>
      </c>
      <c r="I121" s="12"/>
      <c r="J121" s="312">
        <v>14.2</v>
      </c>
      <c r="K121" s="312">
        <v>9.3000000000000007</v>
      </c>
      <c r="L121" s="312">
        <v>11.3</v>
      </c>
      <c r="M121" s="312">
        <v>12.6</v>
      </c>
    </row>
    <row r="122" spans="1:13" ht="14.25" customHeight="1">
      <c r="A122" s="313">
        <v>2011</v>
      </c>
      <c r="B122" s="312">
        <v>100</v>
      </c>
      <c r="C122" s="12"/>
      <c r="D122" s="312">
        <v>7.3</v>
      </c>
      <c r="E122" s="312">
        <v>11.1</v>
      </c>
      <c r="F122" s="312">
        <v>14.9</v>
      </c>
      <c r="G122" s="312">
        <v>20.7</v>
      </c>
      <c r="H122" s="312">
        <v>47.6</v>
      </c>
      <c r="I122" s="12"/>
      <c r="J122" s="312">
        <v>14.2</v>
      </c>
      <c r="K122" s="312">
        <v>9.5</v>
      </c>
      <c r="L122" s="312">
        <v>11.5</v>
      </c>
      <c r="M122" s="312">
        <v>12.5</v>
      </c>
    </row>
    <row r="123" spans="1:13" ht="14.25" customHeight="1">
      <c r="A123" s="313">
        <v>2012</v>
      </c>
      <c r="B123" s="312">
        <v>100</v>
      </c>
      <c r="C123" s="12"/>
      <c r="D123" s="312">
        <v>6.8</v>
      </c>
      <c r="E123" s="312">
        <v>10.6</v>
      </c>
      <c r="F123" s="312">
        <v>14.4</v>
      </c>
      <c r="G123" s="312">
        <v>20.100000000000001</v>
      </c>
      <c r="H123" s="312">
        <v>49.6</v>
      </c>
      <c r="I123" s="12"/>
      <c r="J123" s="312">
        <v>13.9</v>
      </c>
      <c r="K123" s="312">
        <v>9.3000000000000007</v>
      </c>
      <c r="L123" s="312">
        <v>11.6</v>
      </c>
      <c r="M123" s="312">
        <v>14.9</v>
      </c>
    </row>
    <row r="124" spans="1:13" ht="14.25" customHeight="1">
      <c r="A124" s="313">
        <v>2013</v>
      </c>
      <c r="B124" s="312">
        <v>100</v>
      </c>
      <c r="C124" s="12"/>
      <c r="D124" s="312">
        <v>7.2</v>
      </c>
      <c r="E124" s="312">
        <v>11</v>
      </c>
      <c r="F124" s="312">
        <v>14.9</v>
      </c>
      <c r="G124" s="312">
        <v>20.7</v>
      </c>
      <c r="H124" s="312">
        <v>47.8</v>
      </c>
      <c r="I124" s="12"/>
      <c r="J124" s="312">
        <v>14.4</v>
      </c>
      <c r="K124" s="312">
        <v>9.5</v>
      </c>
      <c r="L124" s="312">
        <v>11.7</v>
      </c>
      <c r="M124" s="312">
        <v>12.2</v>
      </c>
    </row>
    <row r="125" spans="1:13" ht="14.25" customHeight="1">
      <c r="A125" s="313">
        <v>2014</v>
      </c>
      <c r="B125" s="312">
        <v>100</v>
      </c>
      <c r="C125" s="12"/>
      <c r="D125" s="312">
        <v>7.3</v>
      </c>
      <c r="E125" s="312">
        <v>10.9</v>
      </c>
      <c r="F125" s="312">
        <v>14.5</v>
      </c>
      <c r="G125" s="312">
        <v>20.3</v>
      </c>
      <c r="H125" s="312">
        <v>48.5</v>
      </c>
      <c r="I125" s="12"/>
      <c r="J125" s="312">
        <v>14</v>
      </c>
      <c r="K125" s="312">
        <v>9.5</v>
      </c>
      <c r="L125" s="312">
        <v>11.8</v>
      </c>
      <c r="M125" s="312">
        <v>13.3</v>
      </c>
    </row>
    <row r="126" spans="1:13" ht="14.25" customHeight="1">
      <c r="A126" s="313">
        <v>2015</v>
      </c>
      <c r="B126" s="312">
        <v>100</v>
      </c>
      <c r="C126" s="12"/>
      <c r="D126" s="312">
        <v>7.5</v>
      </c>
      <c r="E126" s="312">
        <v>11</v>
      </c>
      <c r="F126" s="312">
        <v>14.6</v>
      </c>
      <c r="G126" s="312">
        <v>20.2</v>
      </c>
      <c r="H126" s="312">
        <v>48.2</v>
      </c>
      <c r="I126" s="12"/>
      <c r="J126" s="312">
        <v>13.9</v>
      </c>
      <c r="K126" s="312">
        <v>9.4</v>
      </c>
      <c r="L126" s="312">
        <v>11.7</v>
      </c>
      <c r="M126" s="312">
        <v>13.2</v>
      </c>
    </row>
    <row r="127" spans="1:13" ht="14.25" customHeight="1">
      <c r="A127" s="313">
        <v>2016</v>
      </c>
      <c r="B127" s="312">
        <v>100</v>
      </c>
      <c r="C127" s="12"/>
      <c r="D127" s="312">
        <v>7.7</v>
      </c>
      <c r="E127" s="312">
        <v>11.1</v>
      </c>
      <c r="F127" s="312">
        <v>14.7</v>
      </c>
      <c r="G127" s="312">
        <v>20.3</v>
      </c>
      <c r="H127" s="312">
        <v>47.6</v>
      </c>
      <c r="I127" s="12"/>
      <c r="J127" s="312">
        <v>14.1</v>
      </c>
      <c r="K127" s="312">
        <v>9.4</v>
      </c>
      <c r="L127" s="312">
        <v>11.6</v>
      </c>
      <c r="M127" s="312">
        <v>12.5</v>
      </c>
    </row>
    <row r="128" spans="1:13" ht="14.25" customHeight="1">
      <c r="A128" s="314"/>
      <c r="B128" s="314"/>
      <c r="C128" s="314"/>
      <c r="D128" s="314"/>
      <c r="E128" s="314"/>
      <c r="F128" s="314"/>
      <c r="G128" s="314"/>
      <c r="H128" s="314"/>
      <c r="I128" s="314"/>
      <c r="J128" s="314"/>
      <c r="K128" s="314"/>
      <c r="L128" s="314"/>
      <c r="M128" s="314"/>
    </row>
    <row r="129" spans="1:13" ht="14.25" customHeight="1">
      <c r="A129" s="315" t="s">
        <v>14</v>
      </c>
      <c r="B129" s="312"/>
      <c r="C129" s="12"/>
      <c r="D129" s="312"/>
      <c r="E129" s="312"/>
      <c r="F129" s="312"/>
      <c r="G129" s="312"/>
      <c r="H129" s="312"/>
      <c r="I129" s="12"/>
      <c r="J129" s="312"/>
      <c r="K129" s="312"/>
      <c r="L129" s="312"/>
      <c r="M129" s="312"/>
    </row>
    <row r="130" spans="1:13">
      <c r="A130" s="313"/>
      <c r="B130" s="312"/>
      <c r="C130" s="12"/>
      <c r="D130" s="312"/>
      <c r="E130" s="312"/>
      <c r="F130" s="312"/>
      <c r="G130" s="312"/>
      <c r="H130" s="312"/>
      <c r="I130" s="12"/>
      <c r="J130" s="312"/>
      <c r="K130" s="312"/>
      <c r="L130" s="312"/>
      <c r="M130" s="312"/>
    </row>
    <row r="131" spans="1:13" ht="14.25" customHeight="1">
      <c r="A131" s="314"/>
      <c r="B131" s="314"/>
      <c r="C131" s="314"/>
      <c r="D131" s="314"/>
      <c r="E131" s="314"/>
      <c r="F131" s="314"/>
      <c r="G131" s="314"/>
      <c r="H131" s="314"/>
      <c r="I131" s="314"/>
      <c r="J131" s="314"/>
      <c r="K131" s="314"/>
      <c r="L131" s="314"/>
      <c r="M131" s="314"/>
    </row>
    <row r="132" spans="1:13">
      <c r="A132" s="313"/>
      <c r="B132" s="312"/>
      <c r="C132" s="12"/>
      <c r="D132" s="312"/>
      <c r="E132" s="312"/>
      <c r="F132" s="312"/>
      <c r="G132" s="312"/>
      <c r="H132" s="312"/>
      <c r="I132" s="12"/>
      <c r="J132" s="312"/>
      <c r="K132" s="312"/>
      <c r="L132" s="312"/>
      <c r="M132" s="312"/>
    </row>
    <row r="133" spans="1:13" ht="14.25" customHeight="1">
      <c r="A133" s="778" t="s">
        <v>2</v>
      </c>
      <c r="B133" s="778"/>
      <c r="C133" s="778"/>
      <c r="D133" s="312"/>
      <c r="E133" s="312"/>
      <c r="F133" s="312"/>
      <c r="G133" s="312"/>
      <c r="H133" s="312"/>
      <c r="I133" s="12"/>
      <c r="J133" s="312"/>
      <c r="K133" s="312"/>
      <c r="L133" s="312"/>
      <c r="M133" s="312"/>
    </row>
    <row r="134" spans="1:13">
      <c r="A134" s="313"/>
      <c r="B134" s="312"/>
      <c r="C134" s="12"/>
      <c r="D134" s="312"/>
      <c r="E134" s="312"/>
      <c r="F134" s="312"/>
      <c r="G134" s="312"/>
      <c r="H134" s="312"/>
      <c r="I134" s="12"/>
      <c r="J134" s="312"/>
      <c r="K134" s="312"/>
      <c r="L134" s="312"/>
      <c r="M134" s="312"/>
    </row>
    <row r="135" spans="1:13">
      <c r="A135" s="313"/>
      <c r="B135" s="312"/>
      <c r="C135" s="12"/>
      <c r="D135" s="312"/>
      <c r="E135" s="312"/>
      <c r="F135" s="312"/>
      <c r="G135" s="312"/>
      <c r="H135" s="312"/>
      <c r="I135" s="12"/>
      <c r="J135" s="312"/>
      <c r="K135" s="312"/>
      <c r="L135" s="312"/>
      <c r="M135" s="312"/>
    </row>
    <row r="136" spans="1:13">
      <c r="A136" s="313"/>
      <c r="B136" s="312"/>
      <c r="C136" s="12"/>
      <c r="D136" s="312"/>
      <c r="E136" s="312"/>
      <c r="F136" s="312"/>
      <c r="G136" s="312"/>
      <c r="H136" s="312"/>
      <c r="I136" s="12"/>
      <c r="J136" s="312"/>
      <c r="K136" s="312"/>
      <c r="L136" s="312"/>
      <c r="M136" s="312"/>
    </row>
    <row r="137" spans="1:13">
      <c r="A137" s="313"/>
      <c r="B137" s="312"/>
      <c r="C137" s="12"/>
      <c r="D137" s="312"/>
      <c r="E137" s="312"/>
      <c r="F137" s="312"/>
      <c r="G137" s="312"/>
      <c r="H137" s="312"/>
      <c r="I137" s="12"/>
      <c r="J137" s="312"/>
      <c r="K137" s="312"/>
      <c r="L137" s="312"/>
      <c r="M137" s="312"/>
    </row>
    <row r="138" spans="1:13">
      <c r="A138" s="313"/>
      <c r="B138" s="312"/>
      <c r="C138" s="12"/>
      <c r="D138" s="312"/>
      <c r="E138" s="312"/>
      <c r="F138" s="312"/>
      <c r="G138" s="312"/>
      <c r="H138" s="312"/>
      <c r="I138" s="12"/>
      <c r="J138" s="312"/>
      <c r="K138" s="312"/>
      <c r="L138" s="312"/>
      <c r="M138" s="312"/>
    </row>
    <row r="139" spans="1:13">
      <c r="A139" s="313"/>
      <c r="B139" s="312"/>
      <c r="C139" s="12"/>
      <c r="D139" s="312"/>
      <c r="E139" s="312"/>
      <c r="F139" s="312"/>
      <c r="G139" s="312"/>
      <c r="H139" s="312"/>
      <c r="I139" s="12"/>
      <c r="J139" s="312"/>
      <c r="K139" s="312"/>
      <c r="L139" s="312"/>
      <c r="M139" s="312"/>
    </row>
    <row r="140" spans="1:13">
      <c r="A140" s="313"/>
      <c r="B140" s="312"/>
      <c r="C140" s="12"/>
      <c r="D140" s="312"/>
      <c r="E140" s="312"/>
      <c r="F140" s="312"/>
      <c r="G140" s="312"/>
      <c r="H140" s="312"/>
      <c r="I140" s="12"/>
      <c r="J140" s="312"/>
      <c r="K140" s="312"/>
      <c r="L140" s="312"/>
      <c r="M140" s="312"/>
    </row>
    <row r="141" spans="1:13">
      <c r="A141" s="313"/>
      <c r="B141" s="312"/>
      <c r="C141" s="12"/>
      <c r="D141" s="312"/>
      <c r="E141" s="312"/>
      <c r="F141" s="312"/>
      <c r="G141" s="312"/>
      <c r="H141" s="312"/>
      <c r="I141" s="12"/>
      <c r="J141" s="312"/>
      <c r="K141" s="312"/>
      <c r="L141" s="312"/>
      <c r="M141" s="312"/>
    </row>
    <row r="142" spans="1:13">
      <c r="A142" s="313"/>
      <c r="B142" s="312"/>
      <c r="C142" s="12"/>
      <c r="D142" s="312"/>
      <c r="E142" s="312"/>
      <c r="F142" s="312"/>
      <c r="G142" s="312"/>
      <c r="H142" s="312"/>
      <c r="I142" s="12"/>
      <c r="J142" s="312"/>
      <c r="K142" s="312"/>
      <c r="L142" s="312"/>
      <c r="M142" s="312"/>
    </row>
    <row r="143" spans="1:13">
      <c r="A143" s="313"/>
      <c r="B143" s="312"/>
      <c r="C143" s="12"/>
      <c r="D143" s="312"/>
      <c r="E143" s="312"/>
      <c r="F143" s="312"/>
      <c r="G143" s="312"/>
      <c r="H143" s="312"/>
      <c r="I143" s="12"/>
      <c r="J143" s="312"/>
      <c r="K143" s="312"/>
      <c r="L143" s="312"/>
      <c r="M143" s="312"/>
    </row>
    <row r="144" spans="1:13">
      <c r="A144" s="313"/>
      <c r="B144" s="312"/>
      <c r="C144" s="12"/>
      <c r="D144" s="312"/>
      <c r="E144" s="312"/>
      <c r="F144" s="312"/>
      <c r="G144" s="312"/>
      <c r="H144" s="312"/>
      <c r="I144" s="12"/>
      <c r="J144" s="312"/>
      <c r="K144" s="312"/>
      <c r="L144" s="312"/>
      <c r="M144" s="312"/>
    </row>
    <row r="145" spans="1:13">
      <c r="A145" s="313"/>
      <c r="B145" s="312"/>
      <c r="C145" s="12"/>
      <c r="D145" s="312"/>
      <c r="E145" s="312"/>
      <c r="F145" s="312"/>
      <c r="G145" s="312"/>
      <c r="H145" s="312"/>
      <c r="I145" s="12"/>
      <c r="J145" s="312"/>
      <c r="K145" s="312"/>
      <c r="L145" s="312"/>
      <c r="M145" s="312"/>
    </row>
    <row r="146" spans="1:13">
      <c r="A146" s="313"/>
      <c r="B146" s="312"/>
      <c r="C146" s="12"/>
      <c r="D146" s="312"/>
      <c r="E146" s="312"/>
      <c r="F146" s="312"/>
      <c r="G146" s="312"/>
      <c r="H146" s="312"/>
      <c r="I146" s="12"/>
      <c r="J146" s="312"/>
      <c r="K146" s="312"/>
      <c r="L146" s="312"/>
      <c r="M146" s="312"/>
    </row>
    <row r="147" spans="1:13">
      <c r="A147" s="313"/>
      <c r="B147" s="312"/>
      <c r="C147" s="12"/>
      <c r="D147" s="312"/>
      <c r="E147" s="312"/>
      <c r="F147" s="312"/>
      <c r="G147" s="312"/>
      <c r="H147" s="312"/>
      <c r="I147" s="12"/>
      <c r="J147" s="312"/>
      <c r="K147" s="312"/>
      <c r="L147" s="312"/>
      <c r="M147" s="312"/>
    </row>
    <row r="148" spans="1:13">
      <c r="A148" s="313"/>
      <c r="B148" s="312"/>
      <c r="C148" s="12"/>
      <c r="D148" s="312"/>
      <c r="E148" s="312"/>
      <c r="F148" s="312"/>
      <c r="G148" s="312"/>
      <c r="H148" s="312"/>
      <c r="I148" s="12"/>
      <c r="J148" s="312"/>
      <c r="K148" s="312"/>
      <c r="L148" s="312"/>
      <c r="M148" s="312"/>
    </row>
    <row r="149" spans="1:13">
      <c r="A149" s="313"/>
      <c r="B149" s="312"/>
      <c r="C149" s="12"/>
      <c r="D149" s="312"/>
      <c r="E149" s="312"/>
      <c r="F149" s="312"/>
      <c r="G149" s="312"/>
      <c r="H149" s="312"/>
      <c r="I149" s="12"/>
      <c r="J149" s="312"/>
      <c r="K149" s="312"/>
      <c r="L149" s="312"/>
      <c r="M149" s="312"/>
    </row>
    <row r="150" spans="1:13">
      <c r="A150" s="313"/>
      <c r="B150" s="312"/>
      <c r="C150" s="12"/>
      <c r="D150" s="312"/>
      <c r="E150" s="312"/>
      <c r="F150" s="312"/>
      <c r="G150" s="312"/>
      <c r="H150" s="312"/>
      <c r="I150" s="12"/>
      <c r="J150" s="312"/>
      <c r="K150" s="312"/>
      <c r="L150" s="312"/>
      <c r="M150" s="312"/>
    </row>
    <row r="151" spans="1:13">
      <c r="A151" s="313"/>
      <c r="B151" s="312"/>
      <c r="C151" s="12"/>
      <c r="D151" s="312"/>
      <c r="E151" s="312"/>
      <c r="F151" s="312"/>
      <c r="G151" s="312"/>
      <c r="H151" s="312"/>
      <c r="I151" s="12"/>
      <c r="J151" s="312"/>
      <c r="K151" s="312"/>
      <c r="L151" s="312"/>
      <c r="M151" s="312"/>
    </row>
    <row r="152" spans="1:13">
      <c r="A152" s="313"/>
      <c r="B152" s="312"/>
      <c r="C152" s="12"/>
      <c r="D152" s="312"/>
      <c r="E152" s="312"/>
      <c r="F152" s="312"/>
      <c r="G152" s="312"/>
      <c r="H152" s="312"/>
      <c r="I152" s="12"/>
      <c r="J152" s="312"/>
      <c r="K152" s="312"/>
      <c r="L152" s="312"/>
      <c r="M152" s="312"/>
    </row>
    <row r="153" spans="1:13">
      <c r="A153" s="313"/>
      <c r="B153" s="312"/>
      <c r="C153" s="12"/>
      <c r="D153" s="312"/>
      <c r="E153" s="312"/>
      <c r="F153" s="312"/>
      <c r="G153" s="312"/>
      <c r="H153" s="312"/>
      <c r="I153" s="12"/>
      <c r="J153" s="312"/>
      <c r="K153" s="312"/>
      <c r="L153" s="312"/>
      <c r="M153" s="312"/>
    </row>
    <row r="154" spans="1:13">
      <c r="A154" s="313"/>
      <c r="B154" s="312"/>
      <c r="C154" s="12"/>
      <c r="D154" s="312"/>
      <c r="E154" s="312"/>
      <c r="F154" s="312"/>
      <c r="G154" s="312"/>
      <c r="H154" s="312"/>
      <c r="I154" s="12"/>
      <c r="J154" s="312"/>
      <c r="K154" s="312"/>
      <c r="L154" s="312"/>
      <c r="M154" s="312"/>
    </row>
    <row r="155" spans="1:13">
      <c r="A155" s="313"/>
      <c r="B155" s="312"/>
      <c r="C155" s="12"/>
      <c r="D155" s="312"/>
      <c r="E155" s="312"/>
      <c r="F155" s="312"/>
      <c r="G155" s="312"/>
      <c r="H155" s="312"/>
      <c r="I155" s="12"/>
      <c r="J155" s="312"/>
      <c r="K155" s="312"/>
      <c r="L155" s="312"/>
      <c r="M155" s="312"/>
    </row>
    <row r="156" spans="1:13">
      <c r="A156" s="313"/>
      <c r="B156" s="312"/>
      <c r="C156" s="12"/>
      <c r="D156" s="312"/>
      <c r="E156" s="312"/>
      <c r="F156" s="312"/>
      <c r="G156" s="312"/>
      <c r="H156" s="312"/>
      <c r="I156" s="12"/>
      <c r="J156" s="312"/>
      <c r="K156" s="312"/>
      <c r="L156" s="312"/>
      <c r="M156" s="312"/>
    </row>
    <row r="157" spans="1:13">
      <c r="A157" s="313"/>
      <c r="B157" s="312"/>
      <c r="C157" s="12"/>
      <c r="D157" s="312"/>
      <c r="E157" s="312"/>
      <c r="F157" s="312"/>
      <c r="G157" s="312"/>
      <c r="H157" s="312"/>
      <c r="I157" s="12"/>
      <c r="J157" s="312"/>
      <c r="K157" s="312"/>
      <c r="L157" s="312"/>
      <c r="M157" s="312"/>
    </row>
    <row r="158" spans="1:13">
      <c r="A158" s="313"/>
      <c r="B158" s="312"/>
      <c r="C158" s="12"/>
      <c r="D158" s="312"/>
      <c r="E158" s="312"/>
      <c r="F158" s="312"/>
      <c r="G158" s="312"/>
      <c r="H158" s="312"/>
      <c r="I158" s="12"/>
      <c r="J158" s="312"/>
      <c r="K158" s="312"/>
      <c r="L158" s="312"/>
      <c r="M158" s="312"/>
    </row>
    <row r="159" spans="1:13">
      <c r="A159" s="313"/>
      <c r="B159" s="312"/>
      <c r="C159" s="12"/>
      <c r="D159" s="312"/>
      <c r="E159" s="312"/>
      <c r="F159" s="312"/>
      <c r="G159" s="312"/>
      <c r="H159" s="312"/>
      <c r="I159" s="12"/>
      <c r="J159" s="312"/>
      <c r="K159" s="312"/>
      <c r="L159" s="312"/>
      <c r="M159" s="312"/>
    </row>
    <row r="160" spans="1:13">
      <c r="A160" s="313"/>
      <c r="B160" s="312"/>
      <c r="C160" s="12"/>
      <c r="D160" s="312"/>
      <c r="E160" s="312"/>
      <c r="F160" s="312"/>
      <c r="G160" s="312"/>
      <c r="H160" s="312"/>
      <c r="I160" s="12"/>
      <c r="J160" s="312"/>
      <c r="K160" s="312"/>
      <c r="L160" s="312"/>
      <c r="M160" s="312"/>
    </row>
    <row r="161" spans="1:13">
      <c r="A161" s="313"/>
      <c r="B161" s="312"/>
      <c r="C161" s="12"/>
      <c r="D161" s="312"/>
      <c r="E161" s="312"/>
      <c r="F161" s="312"/>
      <c r="G161" s="312"/>
      <c r="H161" s="312"/>
      <c r="I161" s="12"/>
      <c r="J161" s="312"/>
      <c r="K161" s="312"/>
      <c r="L161" s="312"/>
      <c r="M161" s="312"/>
    </row>
    <row r="162" spans="1:13">
      <c r="A162" s="313"/>
      <c r="B162" s="312"/>
      <c r="C162" s="12"/>
      <c r="D162" s="312"/>
      <c r="E162" s="312"/>
      <c r="F162" s="312"/>
      <c r="G162" s="312"/>
      <c r="H162" s="312"/>
      <c r="I162" s="12"/>
      <c r="J162" s="312"/>
      <c r="K162" s="312"/>
      <c r="L162" s="312"/>
      <c r="M162" s="312"/>
    </row>
    <row r="163" spans="1:13">
      <c r="A163" s="313"/>
      <c r="B163" s="312"/>
      <c r="C163" s="12"/>
      <c r="D163" s="312"/>
      <c r="E163" s="312"/>
      <c r="F163" s="312"/>
      <c r="G163" s="312"/>
      <c r="H163" s="312"/>
      <c r="I163" s="12"/>
      <c r="J163" s="312"/>
      <c r="K163" s="312"/>
      <c r="L163" s="312"/>
      <c r="M163" s="312"/>
    </row>
    <row r="164" spans="1:13">
      <c r="A164" s="313"/>
      <c r="B164" s="312"/>
      <c r="C164" s="12"/>
      <c r="D164" s="312"/>
      <c r="E164" s="312"/>
      <c r="F164" s="312"/>
      <c r="G164" s="312"/>
      <c r="H164" s="312"/>
      <c r="I164" s="12"/>
      <c r="J164" s="312"/>
      <c r="K164" s="312"/>
      <c r="L164" s="312"/>
      <c r="M164" s="312"/>
    </row>
    <row r="165" spans="1:13">
      <c r="A165" s="313"/>
      <c r="B165" s="312"/>
      <c r="C165" s="12"/>
      <c r="D165" s="312"/>
      <c r="E165" s="312"/>
      <c r="F165" s="312"/>
      <c r="G165" s="312"/>
      <c r="H165" s="312"/>
      <c r="I165" s="12"/>
      <c r="J165" s="312"/>
      <c r="K165" s="312"/>
      <c r="L165" s="312"/>
      <c r="M165" s="312"/>
    </row>
    <row r="166" spans="1:13">
      <c r="A166" s="313"/>
      <c r="B166" s="312"/>
      <c r="C166" s="12"/>
      <c r="D166" s="312"/>
      <c r="E166" s="312"/>
      <c r="F166" s="312"/>
      <c r="G166" s="312"/>
      <c r="H166" s="312"/>
      <c r="I166" s="12"/>
      <c r="J166" s="312"/>
      <c r="K166" s="312"/>
      <c r="L166" s="312"/>
      <c r="M166" s="312"/>
    </row>
    <row r="167" spans="1:13">
      <c r="A167" s="313"/>
      <c r="B167" s="312"/>
      <c r="C167" s="12"/>
      <c r="D167" s="312"/>
      <c r="E167" s="312"/>
      <c r="F167" s="312"/>
      <c r="G167" s="312"/>
      <c r="H167" s="312"/>
      <c r="I167" s="12"/>
      <c r="J167" s="312"/>
      <c r="K167" s="312"/>
      <c r="L167" s="312"/>
      <c r="M167" s="312"/>
    </row>
    <row r="168" spans="1:13">
      <c r="A168" s="313"/>
      <c r="B168" s="312"/>
      <c r="C168" s="12"/>
      <c r="D168" s="312"/>
      <c r="E168" s="312"/>
      <c r="F168" s="312"/>
      <c r="G168" s="312"/>
      <c r="H168" s="312"/>
      <c r="I168" s="12"/>
      <c r="J168" s="312"/>
      <c r="K168" s="312"/>
      <c r="L168" s="312"/>
      <c r="M168" s="312"/>
    </row>
    <row r="169" spans="1:13">
      <c r="A169" s="313"/>
      <c r="B169" s="312"/>
      <c r="C169" s="12"/>
      <c r="D169" s="312"/>
      <c r="E169" s="312"/>
      <c r="F169" s="312"/>
      <c r="G169" s="312"/>
      <c r="H169" s="312"/>
      <c r="I169" s="12"/>
      <c r="J169" s="312"/>
      <c r="K169" s="312"/>
      <c r="L169" s="312"/>
      <c r="M169" s="312"/>
    </row>
    <row r="170" spans="1:13">
      <c r="A170" s="313"/>
      <c r="B170" s="312"/>
      <c r="C170" s="12"/>
      <c r="D170" s="312"/>
      <c r="E170" s="312"/>
      <c r="F170" s="312"/>
      <c r="G170" s="312"/>
      <c r="H170" s="312"/>
      <c r="I170" s="12"/>
      <c r="J170" s="312"/>
      <c r="K170" s="312"/>
      <c r="L170" s="312"/>
      <c r="M170" s="312"/>
    </row>
    <row r="171" spans="1:13">
      <c r="A171" s="313"/>
      <c r="B171" s="312"/>
      <c r="C171" s="12"/>
      <c r="D171" s="312"/>
      <c r="E171" s="312"/>
      <c r="F171" s="312"/>
      <c r="G171" s="312"/>
      <c r="H171" s="312"/>
      <c r="I171" s="12"/>
      <c r="J171" s="312"/>
      <c r="K171" s="312"/>
      <c r="L171" s="312"/>
      <c r="M171" s="312"/>
    </row>
    <row r="172" spans="1:13">
      <c r="A172" s="313"/>
      <c r="B172" s="312"/>
      <c r="C172" s="12"/>
      <c r="D172" s="312"/>
      <c r="E172" s="312"/>
      <c r="F172" s="312"/>
      <c r="G172" s="312"/>
      <c r="H172" s="312"/>
      <c r="I172" s="12"/>
      <c r="J172" s="312"/>
      <c r="K172" s="312"/>
      <c r="L172" s="312"/>
      <c r="M172" s="312"/>
    </row>
    <row r="173" spans="1:13">
      <c r="A173" s="313"/>
      <c r="B173" s="312"/>
      <c r="C173" s="12"/>
      <c r="D173" s="312"/>
      <c r="E173" s="312"/>
      <c r="F173" s="312"/>
      <c r="G173" s="312"/>
      <c r="H173" s="312"/>
      <c r="I173" s="12"/>
      <c r="J173" s="312"/>
      <c r="K173" s="312"/>
      <c r="L173" s="312"/>
      <c r="M173" s="312"/>
    </row>
    <row r="174" spans="1:13">
      <c r="A174" s="313"/>
      <c r="B174" s="312"/>
      <c r="C174" s="12"/>
      <c r="D174" s="312"/>
      <c r="E174" s="312"/>
      <c r="F174" s="312"/>
      <c r="G174" s="312"/>
      <c r="H174" s="312"/>
      <c r="I174" s="12"/>
      <c r="J174" s="312"/>
      <c r="K174" s="312"/>
      <c r="L174" s="312"/>
      <c r="M174" s="312"/>
    </row>
    <row r="175" spans="1:13">
      <c r="A175" s="313"/>
      <c r="B175" s="312"/>
      <c r="C175" s="12"/>
      <c r="D175" s="312"/>
      <c r="E175" s="312"/>
      <c r="F175" s="312"/>
      <c r="G175" s="312"/>
      <c r="H175" s="312"/>
      <c r="I175" s="12"/>
      <c r="J175" s="312"/>
      <c r="K175" s="312"/>
      <c r="L175" s="312"/>
      <c r="M175" s="312"/>
    </row>
    <row r="176" spans="1:13">
      <c r="A176" s="313"/>
      <c r="B176" s="312"/>
      <c r="C176" s="12"/>
      <c r="D176" s="312"/>
      <c r="E176" s="312"/>
      <c r="F176" s="312"/>
      <c r="G176" s="312"/>
      <c r="H176" s="312"/>
      <c r="I176" s="12"/>
      <c r="J176" s="312"/>
      <c r="K176" s="312"/>
      <c r="L176" s="312"/>
      <c r="M176" s="312"/>
    </row>
    <row r="177" spans="1:13">
      <c r="A177" s="313"/>
      <c r="B177" s="312"/>
      <c r="C177" s="12"/>
      <c r="D177" s="312"/>
      <c r="E177" s="312"/>
      <c r="F177" s="312"/>
      <c r="G177" s="312"/>
      <c r="H177" s="312"/>
      <c r="I177" s="12"/>
      <c r="J177" s="312"/>
      <c r="K177" s="312"/>
      <c r="L177" s="312"/>
      <c r="M177" s="312"/>
    </row>
    <row r="178" spans="1:13">
      <c r="A178" s="313"/>
      <c r="B178" s="312"/>
      <c r="C178" s="12"/>
      <c r="D178" s="312"/>
      <c r="E178" s="312"/>
      <c r="F178" s="312"/>
      <c r="G178" s="312"/>
      <c r="H178" s="312"/>
      <c r="I178" s="12"/>
      <c r="J178" s="312"/>
      <c r="K178" s="312"/>
      <c r="L178" s="312"/>
      <c r="M178" s="312"/>
    </row>
    <row r="179" spans="1:13">
      <c r="A179" s="313"/>
      <c r="B179" s="312"/>
      <c r="C179" s="12"/>
      <c r="D179" s="312"/>
      <c r="E179" s="312"/>
      <c r="F179" s="312"/>
      <c r="G179" s="312"/>
      <c r="H179" s="312"/>
      <c r="I179" s="12"/>
      <c r="J179" s="312"/>
      <c r="K179" s="312"/>
      <c r="L179" s="312"/>
      <c r="M179" s="312"/>
    </row>
    <row r="180" spans="1:13">
      <c r="A180" s="313"/>
      <c r="B180" s="312"/>
      <c r="C180" s="12"/>
      <c r="D180" s="312"/>
      <c r="E180" s="312"/>
      <c r="F180" s="312"/>
      <c r="G180" s="312"/>
      <c r="H180" s="312"/>
      <c r="I180" s="12"/>
      <c r="J180" s="312"/>
      <c r="K180" s="312"/>
      <c r="L180" s="312"/>
      <c r="M180" s="312"/>
    </row>
    <row r="181" spans="1:13">
      <c r="A181" s="313"/>
      <c r="B181" s="312"/>
      <c r="C181" s="12"/>
      <c r="D181" s="312"/>
      <c r="E181" s="312"/>
      <c r="F181" s="312"/>
      <c r="G181" s="312"/>
      <c r="H181" s="312"/>
      <c r="I181" s="12"/>
      <c r="J181" s="312"/>
      <c r="K181" s="312"/>
      <c r="L181" s="312"/>
      <c r="M181" s="312"/>
    </row>
    <row r="182" spans="1:13">
      <c r="A182" s="313"/>
      <c r="B182" s="312"/>
      <c r="C182" s="12"/>
      <c r="D182" s="312"/>
      <c r="E182" s="312"/>
      <c r="F182" s="312"/>
      <c r="G182" s="312"/>
      <c r="H182" s="312"/>
      <c r="I182" s="12"/>
      <c r="J182" s="312"/>
      <c r="K182" s="312"/>
      <c r="L182" s="312"/>
      <c r="M182" s="312"/>
    </row>
    <row r="183" spans="1:13">
      <c r="A183" s="313"/>
      <c r="B183" s="312"/>
      <c r="C183" s="12"/>
      <c r="D183" s="312"/>
      <c r="E183" s="312"/>
      <c r="F183" s="312"/>
      <c r="G183" s="312"/>
      <c r="H183" s="312"/>
      <c r="I183" s="12"/>
      <c r="J183" s="312"/>
      <c r="K183" s="312"/>
      <c r="L183" s="312"/>
      <c r="M183" s="312"/>
    </row>
    <row r="184" spans="1:13">
      <c r="A184" s="313"/>
      <c r="B184" s="312"/>
      <c r="C184" s="12"/>
      <c r="D184" s="312"/>
      <c r="E184" s="312"/>
      <c r="F184" s="312"/>
      <c r="G184" s="312"/>
      <c r="H184" s="312"/>
      <c r="I184" s="12"/>
      <c r="J184" s="312"/>
      <c r="K184" s="312"/>
      <c r="L184" s="312"/>
      <c r="M184" s="312"/>
    </row>
  </sheetData>
  <mergeCells count="6">
    <mergeCell ref="A133:C133"/>
    <mergeCell ref="A1:K1"/>
    <mergeCell ref="A2:D2"/>
    <mergeCell ref="B9:M9"/>
    <mergeCell ref="B49:M49"/>
    <mergeCell ref="B89:M89"/>
  </mergeCells>
  <hyperlinks>
    <hyperlink ref="A2" r:id="rId1" xr:uid="{826B3BB5-D4FB-4145-A389-4CAB0437BC9D}"/>
    <hyperlink ref="A133" location="'Contents and Notes'!A1" display="Return to Contents and Notes" xr:uid="{4CAA82D4-5140-436E-A207-34E35369CD90}"/>
    <hyperlink ref="L1" location="Index!A1" display="index" xr:uid="{09609F01-18EC-41D1-B0AA-946C17D36CFE}"/>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80D0B-ABB0-4061-AE0E-469587621E22}">
  <sheetPr>
    <tabColor theme="4" tint="0.79998168889431442"/>
  </sheetPr>
  <dimension ref="A1:L416"/>
  <sheetViews>
    <sheetView workbookViewId="0">
      <selection activeCell="L1" sqref="L1"/>
    </sheetView>
  </sheetViews>
  <sheetFormatPr defaultRowHeight="15"/>
  <cols>
    <col min="1" max="1" width="15.7109375" style="132" customWidth="1"/>
    <col min="2" max="6" width="15.7109375" style="138" customWidth="1"/>
    <col min="7" max="16384" width="9.140625" style="131"/>
  </cols>
  <sheetData>
    <row r="1" spans="1:12" ht="14.25" customHeight="1">
      <c r="A1" s="770" t="s">
        <v>0</v>
      </c>
      <c r="B1" s="771"/>
      <c r="C1" s="771"/>
      <c r="D1" s="771"/>
      <c r="E1" s="771"/>
      <c r="F1" s="771"/>
      <c r="G1" s="771"/>
      <c r="H1" s="771"/>
      <c r="I1" s="771"/>
      <c r="J1" s="771"/>
      <c r="K1" s="771"/>
      <c r="L1" s="641" t="s">
        <v>762</v>
      </c>
    </row>
    <row r="2" spans="1:12" ht="14.25" customHeight="1">
      <c r="A2" s="772" t="s">
        <v>1</v>
      </c>
      <c r="B2" s="781"/>
      <c r="C2" s="781"/>
      <c r="D2" s="781"/>
    </row>
    <row r="4" spans="1:12" ht="14.25" customHeight="1">
      <c r="A4" s="133" t="s">
        <v>248</v>
      </c>
    </row>
    <row r="5" spans="1:12" ht="14.25" customHeight="1">
      <c r="A5" s="133" t="s">
        <v>249</v>
      </c>
    </row>
    <row r="6" spans="1:12" ht="14.25" customHeight="1">
      <c r="A6" s="135" t="s">
        <v>165</v>
      </c>
    </row>
    <row r="8" spans="1:12" ht="28.5" customHeight="1">
      <c r="A8" s="136" t="s">
        <v>3</v>
      </c>
      <c r="B8" s="136" t="s">
        <v>242</v>
      </c>
      <c r="C8" s="136" t="s">
        <v>243</v>
      </c>
      <c r="D8" s="136" t="s">
        <v>244</v>
      </c>
      <c r="E8" s="136" t="s">
        <v>245</v>
      </c>
      <c r="F8" s="136" t="s">
        <v>246</v>
      </c>
    </row>
    <row r="9" spans="1:12" ht="14.25" customHeight="1">
      <c r="B9" s="774" t="s">
        <v>4</v>
      </c>
      <c r="C9" s="774"/>
      <c r="D9" s="774"/>
      <c r="E9" s="774"/>
      <c r="F9" s="774"/>
    </row>
    <row r="10" spans="1:12" ht="14.25" customHeight="1">
      <c r="A10" s="132">
        <v>1979</v>
      </c>
      <c r="B10" s="138">
        <v>1400</v>
      </c>
      <c r="C10" s="138">
        <v>400</v>
      </c>
      <c r="D10" s="138">
        <v>200</v>
      </c>
      <c r="E10" s="138">
        <v>200</v>
      </c>
      <c r="F10" s="138">
        <v>500</v>
      </c>
    </row>
    <row r="11" spans="1:12" ht="14.25" customHeight="1">
      <c r="A11" s="132">
        <v>1980</v>
      </c>
      <c r="B11" s="138">
        <v>1500</v>
      </c>
      <c r="C11" s="138">
        <v>400</v>
      </c>
      <c r="D11" s="138">
        <v>300</v>
      </c>
      <c r="E11" s="138">
        <v>200</v>
      </c>
      <c r="F11" s="138">
        <v>600</v>
      </c>
    </row>
    <row r="12" spans="1:12" ht="14.25" customHeight="1">
      <c r="A12" s="132">
        <v>1981</v>
      </c>
      <c r="B12" s="138">
        <v>1500</v>
      </c>
      <c r="C12" s="138">
        <v>400</v>
      </c>
      <c r="D12" s="138">
        <v>300</v>
      </c>
      <c r="E12" s="138">
        <v>200</v>
      </c>
      <c r="F12" s="138">
        <v>600</v>
      </c>
    </row>
    <row r="13" spans="1:12" ht="14.25" customHeight="1">
      <c r="A13" s="132">
        <v>1982</v>
      </c>
      <c r="B13" s="138">
        <v>1500</v>
      </c>
      <c r="C13" s="138">
        <v>400</v>
      </c>
      <c r="D13" s="138">
        <v>300</v>
      </c>
      <c r="E13" s="138">
        <v>200</v>
      </c>
      <c r="F13" s="138">
        <v>600</v>
      </c>
    </row>
    <row r="14" spans="1:12" ht="14.25" customHeight="1">
      <c r="A14" s="132">
        <v>1983</v>
      </c>
      <c r="B14" s="138">
        <v>1500</v>
      </c>
      <c r="C14" s="138">
        <v>500</v>
      </c>
      <c r="D14" s="138">
        <v>300</v>
      </c>
      <c r="E14" s="138">
        <v>200</v>
      </c>
      <c r="F14" s="138">
        <v>600</v>
      </c>
    </row>
    <row r="15" spans="1:12" ht="14.25" customHeight="1">
      <c r="A15" s="132">
        <v>1984</v>
      </c>
      <c r="B15" s="138">
        <v>1500</v>
      </c>
      <c r="C15" s="138">
        <v>500</v>
      </c>
      <c r="D15" s="138">
        <v>200</v>
      </c>
      <c r="E15" s="138">
        <v>200</v>
      </c>
      <c r="F15" s="138">
        <v>600</v>
      </c>
    </row>
    <row r="16" spans="1:12" ht="14.25" customHeight="1">
      <c r="A16" s="132">
        <v>1985</v>
      </c>
      <c r="B16" s="138">
        <v>1600</v>
      </c>
      <c r="C16" s="138">
        <v>500</v>
      </c>
      <c r="D16" s="138">
        <v>200</v>
      </c>
      <c r="E16" s="138">
        <v>200</v>
      </c>
      <c r="F16" s="138">
        <v>600</v>
      </c>
    </row>
    <row r="17" spans="1:6" ht="14.25" customHeight="1">
      <c r="A17" s="132">
        <v>1986</v>
      </c>
      <c r="B17" s="138">
        <v>1600</v>
      </c>
      <c r="C17" s="138">
        <v>500</v>
      </c>
      <c r="D17" s="138">
        <v>200</v>
      </c>
      <c r="E17" s="138">
        <v>200</v>
      </c>
      <c r="F17" s="138">
        <v>600</v>
      </c>
    </row>
    <row r="18" spans="1:6" ht="14.25" customHeight="1">
      <c r="A18" s="132">
        <v>1987</v>
      </c>
      <c r="B18" s="138">
        <v>1600</v>
      </c>
      <c r="C18" s="138">
        <v>500</v>
      </c>
      <c r="D18" s="138">
        <v>200</v>
      </c>
      <c r="E18" s="138">
        <v>200</v>
      </c>
      <c r="F18" s="138">
        <v>600</v>
      </c>
    </row>
    <row r="19" spans="1:6" ht="14.25" customHeight="1">
      <c r="A19" s="132">
        <v>1988</v>
      </c>
      <c r="B19" s="138">
        <v>1600</v>
      </c>
      <c r="C19" s="138">
        <v>600</v>
      </c>
      <c r="D19" s="138">
        <v>200</v>
      </c>
      <c r="E19" s="138">
        <v>200</v>
      </c>
      <c r="F19" s="138">
        <v>600</v>
      </c>
    </row>
    <row r="20" spans="1:6" ht="14.25" customHeight="1">
      <c r="A20" s="132">
        <v>1989</v>
      </c>
      <c r="B20" s="138">
        <v>1700</v>
      </c>
      <c r="C20" s="138">
        <v>600</v>
      </c>
      <c r="D20" s="138">
        <v>200</v>
      </c>
      <c r="E20" s="138">
        <v>300</v>
      </c>
      <c r="F20" s="138">
        <v>600</v>
      </c>
    </row>
    <row r="21" spans="1:6" ht="14.25" customHeight="1">
      <c r="A21" s="132">
        <v>1990</v>
      </c>
      <c r="B21" s="138">
        <v>1900</v>
      </c>
      <c r="C21" s="138">
        <v>700</v>
      </c>
      <c r="D21" s="138">
        <v>300</v>
      </c>
      <c r="E21" s="138">
        <v>300</v>
      </c>
      <c r="F21" s="138">
        <v>600</v>
      </c>
    </row>
    <row r="22" spans="1:6" ht="14.25" customHeight="1">
      <c r="A22" s="132">
        <v>1991</v>
      </c>
      <c r="B22" s="138">
        <v>2100</v>
      </c>
      <c r="C22" s="138">
        <v>900</v>
      </c>
      <c r="D22" s="138">
        <v>300</v>
      </c>
      <c r="E22" s="138">
        <v>300</v>
      </c>
      <c r="F22" s="138">
        <v>700</v>
      </c>
    </row>
    <row r="23" spans="1:6" ht="14.25" customHeight="1">
      <c r="A23" s="132">
        <v>1992</v>
      </c>
      <c r="B23" s="138">
        <v>2300</v>
      </c>
      <c r="C23" s="138">
        <v>1000</v>
      </c>
      <c r="D23" s="138">
        <v>300</v>
      </c>
      <c r="E23" s="138">
        <v>300</v>
      </c>
      <c r="F23" s="138">
        <v>700</v>
      </c>
    </row>
    <row r="24" spans="1:6" ht="14.25" customHeight="1">
      <c r="A24" s="132">
        <v>1993</v>
      </c>
      <c r="B24" s="138">
        <v>2500</v>
      </c>
      <c r="C24" s="138">
        <v>1100</v>
      </c>
      <c r="D24" s="138">
        <v>300</v>
      </c>
      <c r="E24" s="138">
        <v>400</v>
      </c>
      <c r="F24" s="138">
        <v>700</v>
      </c>
    </row>
    <row r="25" spans="1:6" ht="14.25" customHeight="1">
      <c r="A25" s="132">
        <v>1994</v>
      </c>
      <c r="B25" s="138">
        <v>2500</v>
      </c>
      <c r="C25" s="138">
        <v>1100</v>
      </c>
      <c r="D25" s="138">
        <v>300</v>
      </c>
      <c r="E25" s="138">
        <v>400</v>
      </c>
      <c r="F25" s="138">
        <v>700</v>
      </c>
    </row>
    <row r="26" spans="1:6" ht="14.25" customHeight="1">
      <c r="A26" s="132">
        <v>1995</v>
      </c>
      <c r="B26" s="138">
        <v>2600</v>
      </c>
      <c r="C26" s="138">
        <v>1200</v>
      </c>
      <c r="D26" s="138">
        <v>300</v>
      </c>
      <c r="E26" s="138">
        <v>400</v>
      </c>
      <c r="F26" s="138">
        <v>700</v>
      </c>
    </row>
    <row r="27" spans="1:6" ht="14.25" customHeight="1">
      <c r="A27" s="132">
        <v>1996</v>
      </c>
      <c r="B27" s="138">
        <v>2500</v>
      </c>
      <c r="C27" s="138">
        <v>1200</v>
      </c>
      <c r="D27" s="138">
        <v>300</v>
      </c>
      <c r="E27" s="138">
        <v>400</v>
      </c>
      <c r="F27" s="138">
        <v>600</v>
      </c>
    </row>
    <row r="28" spans="1:6" ht="14.25" customHeight="1">
      <c r="A28" s="132">
        <v>1997</v>
      </c>
      <c r="B28" s="138">
        <v>2400</v>
      </c>
      <c r="C28" s="138">
        <v>1200</v>
      </c>
      <c r="D28" s="138">
        <v>300</v>
      </c>
      <c r="E28" s="138">
        <v>400</v>
      </c>
      <c r="F28" s="138">
        <v>600</v>
      </c>
    </row>
    <row r="29" spans="1:6" ht="14.25" customHeight="1">
      <c r="A29" s="132">
        <v>1998</v>
      </c>
      <c r="B29" s="138">
        <v>2500</v>
      </c>
      <c r="C29" s="138">
        <v>1400</v>
      </c>
      <c r="D29" s="138">
        <v>200</v>
      </c>
      <c r="E29" s="138">
        <v>400</v>
      </c>
      <c r="F29" s="138">
        <v>500</v>
      </c>
    </row>
    <row r="30" spans="1:6" ht="14.25" customHeight="1">
      <c r="A30" s="132">
        <v>1999</v>
      </c>
      <c r="B30" s="138">
        <v>2600</v>
      </c>
      <c r="C30" s="138">
        <v>1500</v>
      </c>
      <c r="D30" s="138">
        <v>200</v>
      </c>
      <c r="E30" s="138">
        <v>400</v>
      </c>
      <c r="F30" s="138">
        <v>500</v>
      </c>
    </row>
    <row r="31" spans="1:6" ht="14.25" customHeight="1">
      <c r="A31" s="132">
        <v>2000</v>
      </c>
      <c r="B31" s="138">
        <v>2600</v>
      </c>
      <c r="C31" s="138">
        <v>1600</v>
      </c>
      <c r="D31" s="138">
        <v>200</v>
      </c>
      <c r="E31" s="138">
        <v>400</v>
      </c>
      <c r="F31" s="138">
        <v>500</v>
      </c>
    </row>
    <row r="32" spans="1:6" ht="14.25" customHeight="1">
      <c r="A32" s="132">
        <v>2001</v>
      </c>
      <c r="B32" s="138">
        <v>2800</v>
      </c>
      <c r="C32" s="138">
        <v>1800</v>
      </c>
      <c r="D32" s="138">
        <v>200</v>
      </c>
      <c r="E32" s="138">
        <v>400</v>
      </c>
      <c r="F32" s="138">
        <v>500</v>
      </c>
    </row>
    <row r="33" spans="1:6" ht="14.25" customHeight="1">
      <c r="A33" s="132">
        <v>2002</v>
      </c>
      <c r="B33" s="138">
        <v>3100</v>
      </c>
      <c r="C33" s="138">
        <v>2000</v>
      </c>
      <c r="D33" s="138">
        <v>200</v>
      </c>
      <c r="E33" s="138">
        <v>400</v>
      </c>
      <c r="F33" s="138">
        <v>500</v>
      </c>
    </row>
    <row r="34" spans="1:6" ht="14.25" customHeight="1">
      <c r="A34" s="132">
        <v>2003</v>
      </c>
      <c r="B34" s="138">
        <v>3300</v>
      </c>
      <c r="C34" s="138">
        <v>2200</v>
      </c>
      <c r="D34" s="138">
        <v>300</v>
      </c>
      <c r="E34" s="138">
        <v>400</v>
      </c>
      <c r="F34" s="138">
        <v>500</v>
      </c>
    </row>
    <row r="35" spans="1:6" ht="14.25" customHeight="1">
      <c r="A35" s="132">
        <v>2004</v>
      </c>
      <c r="B35" s="138">
        <v>3500</v>
      </c>
      <c r="C35" s="138">
        <v>2300</v>
      </c>
      <c r="D35" s="138">
        <v>300</v>
      </c>
      <c r="E35" s="138">
        <v>400</v>
      </c>
      <c r="F35" s="138">
        <v>500</v>
      </c>
    </row>
    <row r="36" spans="1:6" ht="14.25" customHeight="1">
      <c r="A36" s="132">
        <v>2005</v>
      </c>
      <c r="B36" s="138">
        <v>3500</v>
      </c>
      <c r="C36" s="138">
        <v>2300</v>
      </c>
      <c r="D36" s="138">
        <v>300</v>
      </c>
      <c r="E36" s="138">
        <v>400</v>
      </c>
      <c r="F36" s="138">
        <v>500</v>
      </c>
    </row>
    <row r="37" spans="1:6" ht="14.25" customHeight="1">
      <c r="A37" s="132">
        <v>2006</v>
      </c>
      <c r="B37" s="138">
        <v>3500</v>
      </c>
      <c r="C37" s="138">
        <v>2200</v>
      </c>
      <c r="D37" s="138">
        <v>300</v>
      </c>
      <c r="E37" s="138">
        <v>400</v>
      </c>
      <c r="F37" s="138">
        <v>600</v>
      </c>
    </row>
    <row r="38" spans="1:6" ht="14.25" customHeight="1">
      <c r="A38" s="132">
        <v>2007</v>
      </c>
      <c r="B38" s="138">
        <v>3500</v>
      </c>
      <c r="C38" s="138">
        <v>2300</v>
      </c>
      <c r="D38" s="138">
        <v>300</v>
      </c>
      <c r="E38" s="138">
        <v>400</v>
      </c>
      <c r="F38" s="138">
        <v>600</v>
      </c>
    </row>
    <row r="39" spans="1:6" ht="14.25" customHeight="1">
      <c r="A39" s="132">
        <v>2008</v>
      </c>
      <c r="B39" s="138">
        <v>3700</v>
      </c>
      <c r="C39" s="138">
        <v>2400</v>
      </c>
      <c r="D39" s="138">
        <v>400</v>
      </c>
      <c r="E39" s="138">
        <v>400</v>
      </c>
      <c r="F39" s="138">
        <v>600</v>
      </c>
    </row>
    <row r="40" spans="1:6" ht="14.25" customHeight="1">
      <c r="A40" s="132">
        <v>2009</v>
      </c>
      <c r="B40" s="138">
        <v>4200</v>
      </c>
      <c r="C40" s="138">
        <v>2600</v>
      </c>
      <c r="D40" s="138">
        <v>500</v>
      </c>
      <c r="E40" s="138">
        <v>400</v>
      </c>
      <c r="F40" s="138">
        <v>600</v>
      </c>
    </row>
    <row r="41" spans="1:6" ht="14.25" customHeight="1">
      <c r="A41" s="132">
        <v>2010</v>
      </c>
      <c r="B41" s="138">
        <v>4400</v>
      </c>
      <c r="C41" s="138">
        <v>2700</v>
      </c>
      <c r="D41" s="138">
        <v>600</v>
      </c>
      <c r="E41" s="138">
        <v>400</v>
      </c>
      <c r="F41" s="138">
        <v>700</v>
      </c>
    </row>
    <row r="42" spans="1:6" ht="14.25" customHeight="1">
      <c r="A42" s="132">
        <v>2011</v>
      </c>
      <c r="B42" s="138">
        <v>4300</v>
      </c>
      <c r="C42" s="138">
        <v>2600</v>
      </c>
      <c r="D42" s="138">
        <v>600</v>
      </c>
      <c r="E42" s="138">
        <v>400</v>
      </c>
      <c r="F42" s="138">
        <v>700</v>
      </c>
    </row>
    <row r="43" spans="1:6" ht="14.25" customHeight="1">
      <c r="A43" s="132">
        <v>2012</v>
      </c>
      <c r="B43" s="138">
        <v>4300</v>
      </c>
      <c r="C43" s="138">
        <v>2600</v>
      </c>
      <c r="D43" s="138">
        <v>600</v>
      </c>
      <c r="E43" s="138">
        <v>400</v>
      </c>
      <c r="F43" s="138">
        <v>600</v>
      </c>
    </row>
    <row r="44" spans="1:6" ht="14.25" customHeight="1">
      <c r="A44" s="132">
        <v>2013</v>
      </c>
      <c r="B44" s="138">
        <v>4400</v>
      </c>
      <c r="C44" s="138">
        <v>2700</v>
      </c>
      <c r="D44" s="138">
        <v>600</v>
      </c>
      <c r="E44" s="138">
        <v>500</v>
      </c>
      <c r="F44" s="138">
        <v>600</v>
      </c>
    </row>
    <row r="45" spans="1:6" ht="14.25" customHeight="1">
      <c r="A45" s="132">
        <v>2014</v>
      </c>
      <c r="B45" s="138">
        <v>5100</v>
      </c>
      <c r="C45" s="138">
        <v>3400</v>
      </c>
      <c r="D45" s="138">
        <v>600</v>
      </c>
      <c r="E45" s="138">
        <v>400</v>
      </c>
      <c r="F45" s="138">
        <v>600</v>
      </c>
    </row>
    <row r="46" spans="1:6" ht="14.25" customHeight="1">
      <c r="A46" s="132">
        <v>2015</v>
      </c>
      <c r="B46" s="138">
        <v>5500</v>
      </c>
      <c r="C46" s="138">
        <v>3800</v>
      </c>
      <c r="D46" s="138">
        <v>600</v>
      </c>
      <c r="E46" s="138">
        <v>400</v>
      </c>
      <c r="F46" s="138">
        <v>700</v>
      </c>
    </row>
    <row r="47" spans="1:6" ht="14.25" customHeight="1">
      <c r="A47" s="132">
        <v>2016</v>
      </c>
      <c r="B47" s="138">
        <v>5600</v>
      </c>
      <c r="C47" s="138">
        <v>3900</v>
      </c>
      <c r="D47" s="138">
        <v>500</v>
      </c>
      <c r="E47" s="138">
        <v>400</v>
      </c>
      <c r="F47" s="138">
        <v>700</v>
      </c>
    </row>
    <row r="49" spans="1:6" ht="14.25" customHeight="1">
      <c r="B49" s="774" t="s">
        <v>5</v>
      </c>
      <c r="C49" s="774"/>
      <c r="D49" s="774"/>
      <c r="E49" s="774"/>
      <c r="F49" s="774"/>
    </row>
    <row r="50" spans="1:6" ht="14.25" customHeight="1">
      <c r="A50" s="132">
        <v>1979</v>
      </c>
      <c r="B50" s="138">
        <v>4900</v>
      </c>
      <c r="C50" s="138">
        <v>1400</v>
      </c>
      <c r="D50" s="138">
        <v>900</v>
      </c>
      <c r="E50" s="138">
        <v>700</v>
      </c>
      <c r="F50" s="138">
        <v>1900</v>
      </c>
    </row>
    <row r="51" spans="1:6" ht="14.25" customHeight="1">
      <c r="A51" s="132">
        <v>1980</v>
      </c>
      <c r="B51" s="138">
        <v>5300</v>
      </c>
      <c r="C51" s="138">
        <v>1500</v>
      </c>
      <c r="D51" s="138">
        <v>1000</v>
      </c>
      <c r="E51" s="138">
        <v>800</v>
      </c>
      <c r="F51" s="138">
        <v>2000</v>
      </c>
    </row>
    <row r="52" spans="1:6" ht="14.25" customHeight="1">
      <c r="A52" s="132">
        <v>1981</v>
      </c>
      <c r="B52" s="138">
        <v>5400</v>
      </c>
      <c r="C52" s="138">
        <v>1500</v>
      </c>
      <c r="D52" s="138">
        <v>1100</v>
      </c>
      <c r="E52" s="138">
        <v>800</v>
      </c>
      <c r="F52" s="138">
        <v>2100</v>
      </c>
    </row>
    <row r="53" spans="1:6" ht="14.25" customHeight="1">
      <c r="A53" s="132">
        <v>1982</v>
      </c>
      <c r="B53" s="138">
        <v>5700</v>
      </c>
      <c r="C53" s="138">
        <v>1600</v>
      </c>
      <c r="D53" s="138">
        <v>1100</v>
      </c>
      <c r="E53" s="138">
        <v>800</v>
      </c>
      <c r="F53" s="138">
        <v>2200</v>
      </c>
    </row>
    <row r="54" spans="1:6" ht="14.25" customHeight="1">
      <c r="A54" s="132">
        <v>1983</v>
      </c>
      <c r="B54" s="138">
        <v>6100</v>
      </c>
      <c r="C54" s="138">
        <v>1700</v>
      </c>
      <c r="D54" s="138">
        <v>1100</v>
      </c>
      <c r="E54" s="138">
        <v>800</v>
      </c>
      <c r="F54" s="138">
        <v>2400</v>
      </c>
    </row>
    <row r="55" spans="1:6" ht="14.25" customHeight="1">
      <c r="A55" s="132">
        <v>1984</v>
      </c>
      <c r="B55" s="138">
        <v>5600</v>
      </c>
      <c r="C55" s="138">
        <v>1600</v>
      </c>
      <c r="D55" s="138">
        <v>1000</v>
      </c>
      <c r="E55" s="138">
        <v>800</v>
      </c>
      <c r="F55" s="138">
        <v>2300</v>
      </c>
    </row>
    <row r="56" spans="1:6" ht="14.25" customHeight="1">
      <c r="A56" s="132">
        <v>1985</v>
      </c>
      <c r="B56" s="138">
        <v>6000</v>
      </c>
      <c r="C56" s="138">
        <v>1800</v>
      </c>
      <c r="D56" s="138">
        <v>1000</v>
      </c>
      <c r="E56" s="138">
        <v>800</v>
      </c>
      <c r="F56" s="138">
        <v>2400</v>
      </c>
    </row>
    <row r="57" spans="1:6" ht="14.25" customHeight="1">
      <c r="A57" s="132">
        <v>1986</v>
      </c>
      <c r="B57" s="138">
        <v>6100</v>
      </c>
      <c r="C57" s="138">
        <v>1900</v>
      </c>
      <c r="D57" s="138">
        <v>900</v>
      </c>
      <c r="E57" s="138">
        <v>800</v>
      </c>
      <c r="F57" s="138">
        <v>2400</v>
      </c>
    </row>
    <row r="58" spans="1:6" ht="14.25" customHeight="1">
      <c r="A58" s="132">
        <v>1987</v>
      </c>
      <c r="B58" s="138">
        <v>6400</v>
      </c>
      <c r="C58" s="138">
        <v>2100</v>
      </c>
      <c r="D58" s="138">
        <v>1000</v>
      </c>
      <c r="E58" s="138">
        <v>900</v>
      </c>
      <c r="F58" s="138">
        <v>2500</v>
      </c>
    </row>
    <row r="59" spans="1:6" ht="14.25" customHeight="1">
      <c r="A59" s="132">
        <v>1988</v>
      </c>
      <c r="B59" s="138">
        <v>6400</v>
      </c>
      <c r="C59" s="138">
        <v>2100</v>
      </c>
      <c r="D59" s="138">
        <v>1000</v>
      </c>
      <c r="E59" s="138">
        <v>900</v>
      </c>
      <c r="F59" s="138">
        <v>2400</v>
      </c>
    </row>
    <row r="60" spans="1:6" ht="14.25" customHeight="1">
      <c r="A60" s="132">
        <v>1989</v>
      </c>
      <c r="B60" s="138">
        <v>6800</v>
      </c>
      <c r="C60" s="138">
        <v>2400</v>
      </c>
      <c r="D60" s="138">
        <v>1000</v>
      </c>
      <c r="E60" s="138">
        <v>900</v>
      </c>
      <c r="F60" s="138">
        <v>2500</v>
      </c>
    </row>
    <row r="61" spans="1:6" ht="14.25" customHeight="1">
      <c r="A61" s="132">
        <v>1990</v>
      </c>
      <c r="B61" s="138">
        <v>7300</v>
      </c>
      <c r="C61" s="138">
        <v>2700</v>
      </c>
      <c r="D61" s="138">
        <v>1100</v>
      </c>
      <c r="E61" s="138">
        <v>900</v>
      </c>
      <c r="F61" s="138">
        <v>2600</v>
      </c>
    </row>
    <row r="62" spans="1:6" ht="14.25" customHeight="1">
      <c r="A62" s="132">
        <v>1991</v>
      </c>
      <c r="B62" s="138">
        <v>8000</v>
      </c>
      <c r="C62" s="138">
        <v>3000</v>
      </c>
      <c r="D62" s="138">
        <v>1300</v>
      </c>
      <c r="E62" s="138">
        <v>1000</v>
      </c>
      <c r="F62" s="138">
        <v>2700</v>
      </c>
    </row>
    <row r="63" spans="1:6" ht="14.25" customHeight="1">
      <c r="A63" s="132">
        <v>1992</v>
      </c>
      <c r="B63" s="138">
        <v>8700</v>
      </c>
      <c r="C63" s="138">
        <v>3500</v>
      </c>
      <c r="D63" s="138">
        <v>1400</v>
      </c>
      <c r="E63" s="138">
        <v>1200</v>
      </c>
      <c r="F63" s="138">
        <v>2700</v>
      </c>
    </row>
    <row r="64" spans="1:6" ht="14.25" customHeight="1">
      <c r="A64" s="132">
        <v>1993</v>
      </c>
      <c r="B64" s="138">
        <v>9400</v>
      </c>
      <c r="C64" s="138">
        <v>3800</v>
      </c>
      <c r="D64" s="138">
        <v>1400</v>
      </c>
      <c r="E64" s="138">
        <v>1200</v>
      </c>
      <c r="F64" s="138">
        <v>2900</v>
      </c>
    </row>
    <row r="65" spans="1:6" ht="14.25" customHeight="1">
      <c r="A65" s="132">
        <v>1994</v>
      </c>
      <c r="B65" s="138">
        <v>9400</v>
      </c>
      <c r="C65" s="138">
        <v>3800</v>
      </c>
      <c r="D65" s="138">
        <v>1400</v>
      </c>
      <c r="E65" s="138">
        <v>1300</v>
      </c>
      <c r="F65" s="138">
        <v>2900</v>
      </c>
    </row>
    <row r="66" spans="1:6" ht="14.25" customHeight="1">
      <c r="A66" s="132">
        <v>1995</v>
      </c>
      <c r="B66" s="138">
        <v>9200</v>
      </c>
      <c r="C66" s="138">
        <v>3800</v>
      </c>
      <c r="D66" s="138">
        <v>1300</v>
      </c>
      <c r="E66" s="138">
        <v>1300</v>
      </c>
      <c r="F66" s="138">
        <v>2800</v>
      </c>
    </row>
    <row r="67" spans="1:6" ht="14.25" customHeight="1">
      <c r="A67" s="132">
        <v>1996</v>
      </c>
      <c r="B67" s="138">
        <v>9000</v>
      </c>
      <c r="C67" s="138">
        <v>3800</v>
      </c>
      <c r="D67" s="138">
        <v>1200</v>
      </c>
      <c r="E67" s="138">
        <v>1400</v>
      </c>
      <c r="F67" s="138">
        <v>2600</v>
      </c>
    </row>
    <row r="68" spans="1:6" ht="14.25" customHeight="1">
      <c r="A68" s="132">
        <v>1997</v>
      </c>
      <c r="B68" s="138">
        <v>8400</v>
      </c>
      <c r="C68" s="138">
        <v>3800</v>
      </c>
      <c r="D68" s="138">
        <v>1000</v>
      </c>
      <c r="E68" s="138">
        <v>1300</v>
      </c>
      <c r="F68" s="138">
        <v>2300</v>
      </c>
    </row>
    <row r="69" spans="1:6" ht="14.25" customHeight="1">
      <c r="A69" s="132">
        <v>1998</v>
      </c>
      <c r="B69" s="138">
        <v>8600</v>
      </c>
      <c r="C69" s="138">
        <v>4200</v>
      </c>
      <c r="D69" s="138">
        <v>900</v>
      </c>
      <c r="E69" s="138">
        <v>1300</v>
      </c>
      <c r="F69" s="138">
        <v>2200</v>
      </c>
    </row>
    <row r="70" spans="1:6" ht="14.25" customHeight="1">
      <c r="A70" s="132">
        <v>1999</v>
      </c>
      <c r="B70" s="138">
        <v>8400</v>
      </c>
      <c r="C70" s="138">
        <v>4400</v>
      </c>
      <c r="D70" s="138">
        <v>800</v>
      </c>
      <c r="E70" s="138">
        <v>1300</v>
      </c>
      <c r="F70" s="138">
        <v>1900</v>
      </c>
    </row>
    <row r="71" spans="1:6" ht="14.25" customHeight="1">
      <c r="A71" s="132">
        <v>2000</v>
      </c>
      <c r="B71" s="138">
        <v>8500</v>
      </c>
      <c r="C71" s="138">
        <v>4700</v>
      </c>
      <c r="D71" s="138">
        <v>700</v>
      </c>
      <c r="E71" s="138">
        <v>1200</v>
      </c>
      <c r="F71" s="138">
        <v>1800</v>
      </c>
    </row>
    <row r="72" spans="1:6" ht="14.25" customHeight="1">
      <c r="A72" s="132">
        <v>2001</v>
      </c>
      <c r="B72" s="138">
        <v>9100</v>
      </c>
      <c r="C72" s="138">
        <v>5200</v>
      </c>
      <c r="D72" s="138">
        <v>800</v>
      </c>
      <c r="E72" s="138">
        <v>1300</v>
      </c>
      <c r="F72" s="138">
        <v>1800</v>
      </c>
    </row>
    <row r="73" spans="1:6" ht="14.25" customHeight="1">
      <c r="A73" s="132">
        <v>2002</v>
      </c>
      <c r="B73" s="138">
        <v>9600</v>
      </c>
      <c r="C73" s="138">
        <v>5700</v>
      </c>
      <c r="D73" s="138">
        <v>800</v>
      </c>
      <c r="E73" s="138">
        <v>1300</v>
      </c>
      <c r="F73" s="138">
        <v>1800</v>
      </c>
    </row>
    <row r="74" spans="1:6" ht="14.25" customHeight="1">
      <c r="A74" s="132">
        <v>2003</v>
      </c>
      <c r="B74" s="138">
        <v>10100</v>
      </c>
      <c r="C74" s="138">
        <v>6000</v>
      </c>
      <c r="D74" s="138">
        <v>1000</v>
      </c>
      <c r="E74" s="138">
        <v>1200</v>
      </c>
      <c r="F74" s="138">
        <v>1900</v>
      </c>
    </row>
    <row r="75" spans="1:6" ht="14.25" customHeight="1">
      <c r="A75" s="132">
        <v>2004</v>
      </c>
      <c r="B75" s="138">
        <v>10400</v>
      </c>
      <c r="C75" s="138">
        <v>6300</v>
      </c>
      <c r="D75" s="138">
        <v>1100</v>
      </c>
      <c r="E75" s="138">
        <v>1200</v>
      </c>
      <c r="F75" s="138">
        <v>1800</v>
      </c>
    </row>
    <row r="76" spans="1:6" ht="14.25" customHeight="1">
      <c r="A76" s="132">
        <v>2005</v>
      </c>
      <c r="B76" s="138">
        <v>10400</v>
      </c>
      <c r="C76" s="138">
        <v>6200</v>
      </c>
      <c r="D76" s="138">
        <v>1200</v>
      </c>
      <c r="E76" s="138">
        <v>1200</v>
      </c>
      <c r="F76" s="138">
        <v>1800</v>
      </c>
    </row>
    <row r="77" spans="1:6" ht="14.25" customHeight="1">
      <c r="A77" s="132">
        <v>2006</v>
      </c>
      <c r="B77" s="138">
        <v>10300</v>
      </c>
      <c r="C77" s="138">
        <v>5900</v>
      </c>
      <c r="D77" s="138">
        <v>1200</v>
      </c>
      <c r="E77" s="138">
        <v>1200</v>
      </c>
      <c r="F77" s="138">
        <v>2000</v>
      </c>
    </row>
    <row r="78" spans="1:6" ht="14.25" customHeight="1">
      <c r="A78" s="132">
        <v>2007</v>
      </c>
      <c r="B78" s="138">
        <v>10100</v>
      </c>
      <c r="C78" s="138">
        <v>5800</v>
      </c>
      <c r="D78" s="138">
        <v>1100</v>
      </c>
      <c r="E78" s="138">
        <v>1200</v>
      </c>
      <c r="F78" s="138">
        <v>1900</v>
      </c>
    </row>
    <row r="79" spans="1:6" ht="14.25" customHeight="1">
      <c r="A79" s="132">
        <v>2008</v>
      </c>
      <c r="B79" s="138">
        <v>10500</v>
      </c>
      <c r="C79" s="138">
        <v>6100</v>
      </c>
      <c r="D79" s="138">
        <v>1300</v>
      </c>
      <c r="E79" s="138">
        <v>1200</v>
      </c>
      <c r="F79" s="138">
        <v>1900</v>
      </c>
    </row>
    <row r="80" spans="1:6" ht="14.25" customHeight="1">
      <c r="A80" s="132">
        <v>2009</v>
      </c>
      <c r="B80" s="138">
        <v>11900</v>
      </c>
      <c r="C80" s="138">
        <v>6700</v>
      </c>
      <c r="D80" s="138">
        <v>1900</v>
      </c>
      <c r="E80" s="138">
        <v>1400</v>
      </c>
      <c r="F80" s="138">
        <v>2000</v>
      </c>
    </row>
    <row r="81" spans="1:6" ht="14.25" customHeight="1">
      <c r="A81" s="132">
        <v>2010</v>
      </c>
      <c r="B81" s="138">
        <v>12500</v>
      </c>
      <c r="C81" s="138">
        <v>6900</v>
      </c>
      <c r="D81" s="138">
        <v>2100</v>
      </c>
      <c r="E81" s="138">
        <v>1400</v>
      </c>
      <c r="F81" s="138">
        <v>2100</v>
      </c>
    </row>
    <row r="82" spans="1:6" ht="14.25" customHeight="1">
      <c r="A82" s="132">
        <v>2011</v>
      </c>
      <c r="B82" s="138">
        <v>12000</v>
      </c>
      <c r="C82" s="138">
        <v>6400</v>
      </c>
      <c r="D82" s="138">
        <v>2200</v>
      </c>
      <c r="E82" s="138">
        <v>1300</v>
      </c>
      <c r="F82" s="138">
        <v>2000</v>
      </c>
    </row>
    <row r="83" spans="1:6" ht="14.25" customHeight="1">
      <c r="A83" s="132">
        <v>2012</v>
      </c>
      <c r="B83" s="138">
        <v>12100</v>
      </c>
      <c r="C83" s="138">
        <v>6600</v>
      </c>
      <c r="D83" s="138">
        <v>2200</v>
      </c>
      <c r="E83" s="138">
        <v>1400</v>
      </c>
      <c r="F83" s="138">
        <v>1800</v>
      </c>
    </row>
    <row r="84" spans="1:6" ht="14.25" customHeight="1">
      <c r="A84" s="132">
        <v>2013</v>
      </c>
      <c r="B84" s="138">
        <v>12500</v>
      </c>
      <c r="C84" s="138">
        <v>7100</v>
      </c>
      <c r="D84" s="138">
        <v>2100</v>
      </c>
      <c r="E84" s="138">
        <v>1500</v>
      </c>
      <c r="F84" s="138">
        <v>1800</v>
      </c>
    </row>
    <row r="85" spans="1:6" ht="14.25" customHeight="1">
      <c r="A85" s="132">
        <v>2014</v>
      </c>
      <c r="B85" s="138">
        <v>14000</v>
      </c>
      <c r="C85" s="138">
        <v>8900</v>
      </c>
      <c r="D85" s="138">
        <v>1900</v>
      </c>
      <c r="E85" s="138">
        <v>1400</v>
      </c>
      <c r="F85" s="138">
        <v>1900</v>
      </c>
    </row>
    <row r="86" spans="1:6" ht="14.25" customHeight="1">
      <c r="A86" s="132">
        <v>2015</v>
      </c>
      <c r="B86" s="138">
        <v>14700</v>
      </c>
      <c r="C86" s="138">
        <v>9500</v>
      </c>
      <c r="D86" s="138">
        <v>1800</v>
      </c>
      <c r="E86" s="138">
        <v>1400</v>
      </c>
      <c r="F86" s="138">
        <v>2000</v>
      </c>
    </row>
    <row r="87" spans="1:6" ht="14.25" customHeight="1">
      <c r="A87" s="132">
        <v>2016</v>
      </c>
      <c r="B87" s="138">
        <v>14800</v>
      </c>
      <c r="C87" s="138">
        <v>9600</v>
      </c>
      <c r="D87" s="138">
        <v>1700</v>
      </c>
      <c r="E87" s="138">
        <v>1300</v>
      </c>
      <c r="F87" s="138">
        <v>2100</v>
      </c>
    </row>
    <row r="89" spans="1:6" ht="14.25" customHeight="1">
      <c r="B89" s="774" t="s">
        <v>6</v>
      </c>
      <c r="C89" s="774"/>
      <c r="D89" s="774"/>
      <c r="E89" s="774"/>
      <c r="F89" s="774"/>
    </row>
    <row r="90" spans="1:6" ht="14.25" customHeight="1">
      <c r="A90" s="132">
        <v>1979</v>
      </c>
      <c r="B90" s="138">
        <v>900</v>
      </c>
      <c r="C90" s="138">
        <v>300</v>
      </c>
      <c r="D90" s="138">
        <v>200</v>
      </c>
      <c r="E90" s="138">
        <v>100</v>
      </c>
      <c r="F90" s="138">
        <v>300</v>
      </c>
    </row>
    <row r="91" spans="1:6" ht="14.25" customHeight="1">
      <c r="A91" s="132">
        <v>1980</v>
      </c>
      <c r="B91" s="138">
        <v>1000</v>
      </c>
      <c r="C91" s="138">
        <v>300</v>
      </c>
      <c r="D91" s="138">
        <v>200</v>
      </c>
      <c r="E91" s="138">
        <v>100</v>
      </c>
      <c r="F91" s="138">
        <v>400</v>
      </c>
    </row>
    <row r="92" spans="1:6" ht="14.25" customHeight="1">
      <c r="A92" s="132">
        <v>1981</v>
      </c>
      <c r="B92" s="138">
        <v>1100</v>
      </c>
      <c r="C92" s="138">
        <v>300</v>
      </c>
      <c r="D92" s="138">
        <v>200</v>
      </c>
      <c r="E92" s="138">
        <v>100</v>
      </c>
      <c r="F92" s="138">
        <v>400</v>
      </c>
    </row>
    <row r="93" spans="1:6" ht="14.25" customHeight="1">
      <c r="A93" s="132">
        <v>1982</v>
      </c>
      <c r="B93" s="138">
        <v>1000</v>
      </c>
      <c r="C93" s="138">
        <v>300</v>
      </c>
      <c r="D93" s="138">
        <v>200</v>
      </c>
      <c r="E93" s="138">
        <v>100</v>
      </c>
      <c r="F93" s="138">
        <v>300</v>
      </c>
    </row>
    <row r="94" spans="1:6" ht="14.25" customHeight="1">
      <c r="A94" s="132">
        <v>1983</v>
      </c>
      <c r="B94" s="138">
        <v>900</v>
      </c>
      <c r="C94" s="138">
        <v>300</v>
      </c>
      <c r="D94" s="138">
        <v>200</v>
      </c>
      <c r="E94" s="138">
        <v>100</v>
      </c>
      <c r="F94" s="138">
        <v>300</v>
      </c>
    </row>
    <row r="95" spans="1:6" ht="14.25" customHeight="1">
      <c r="A95" s="132">
        <v>1984</v>
      </c>
      <c r="B95" s="138">
        <v>1000</v>
      </c>
      <c r="C95" s="138">
        <v>300</v>
      </c>
      <c r="D95" s="138">
        <v>200</v>
      </c>
      <c r="E95" s="138">
        <v>100</v>
      </c>
      <c r="F95" s="138">
        <v>400</v>
      </c>
    </row>
    <row r="96" spans="1:6" ht="14.25" customHeight="1">
      <c r="A96" s="132">
        <v>1985</v>
      </c>
      <c r="B96" s="138">
        <v>1000</v>
      </c>
      <c r="C96" s="138">
        <v>300</v>
      </c>
      <c r="D96" s="138">
        <v>100</v>
      </c>
      <c r="E96" s="138">
        <v>100</v>
      </c>
      <c r="F96" s="138">
        <v>300</v>
      </c>
    </row>
    <row r="97" spans="1:6" ht="14.25" customHeight="1">
      <c r="A97" s="132">
        <v>1986</v>
      </c>
      <c r="B97" s="138">
        <v>1100</v>
      </c>
      <c r="C97" s="138">
        <v>400</v>
      </c>
      <c r="D97" s="138">
        <v>100</v>
      </c>
      <c r="E97" s="138">
        <v>200</v>
      </c>
      <c r="F97" s="138">
        <v>400</v>
      </c>
    </row>
    <row r="98" spans="1:6" ht="14.25" customHeight="1">
      <c r="A98" s="132">
        <v>1987</v>
      </c>
      <c r="B98" s="138">
        <v>1000</v>
      </c>
      <c r="C98" s="138">
        <v>400</v>
      </c>
      <c r="D98" s="138">
        <v>100</v>
      </c>
      <c r="E98" s="138">
        <v>200</v>
      </c>
      <c r="F98" s="138">
        <v>300</v>
      </c>
    </row>
    <row r="99" spans="1:6" ht="14.25" customHeight="1">
      <c r="A99" s="132">
        <v>1988</v>
      </c>
      <c r="B99" s="138">
        <v>1000</v>
      </c>
      <c r="C99" s="138">
        <v>400</v>
      </c>
      <c r="D99" s="138">
        <v>100</v>
      </c>
      <c r="E99" s="138">
        <v>200</v>
      </c>
      <c r="F99" s="138">
        <v>300</v>
      </c>
    </row>
    <row r="100" spans="1:6" ht="14.25" customHeight="1">
      <c r="A100" s="132">
        <v>1989</v>
      </c>
      <c r="B100" s="138">
        <v>1100</v>
      </c>
      <c r="C100" s="138">
        <v>500</v>
      </c>
      <c r="D100" s="138">
        <v>100</v>
      </c>
      <c r="E100" s="138">
        <v>200</v>
      </c>
      <c r="F100" s="138">
        <v>300</v>
      </c>
    </row>
    <row r="101" spans="1:6" ht="14.25" customHeight="1">
      <c r="A101" s="132">
        <v>1990</v>
      </c>
      <c r="B101" s="138">
        <v>1300</v>
      </c>
      <c r="C101" s="138">
        <v>600</v>
      </c>
      <c r="D101" s="138">
        <v>100</v>
      </c>
      <c r="E101" s="138">
        <v>200</v>
      </c>
      <c r="F101" s="138">
        <v>400</v>
      </c>
    </row>
    <row r="102" spans="1:6" ht="14.25" customHeight="1">
      <c r="A102" s="132">
        <v>1991</v>
      </c>
      <c r="B102" s="138">
        <v>1600</v>
      </c>
      <c r="C102" s="138">
        <v>700</v>
      </c>
      <c r="D102" s="138">
        <v>200</v>
      </c>
      <c r="E102" s="138">
        <v>300</v>
      </c>
      <c r="F102" s="138">
        <v>400</v>
      </c>
    </row>
    <row r="103" spans="1:6" ht="14.25" customHeight="1">
      <c r="A103" s="132">
        <v>1992</v>
      </c>
      <c r="B103" s="138">
        <v>2000</v>
      </c>
      <c r="C103" s="138">
        <v>900</v>
      </c>
      <c r="D103" s="138">
        <v>300</v>
      </c>
      <c r="E103" s="138">
        <v>300</v>
      </c>
      <c r="F103" s="138">
        <v>500</v>
      </c>
    </row>
    <row r="104" spans="1:6" ht="14.25" customHeight="1">
      <c r="A104" s="132">
        <v>1993</v>
      </c>
      <c r="B104" s="138">
        <v>2200</v>
      </c>
      <c r="C104" s="138">
        <v>1000</v>
      </c>
      <c r="D104" s="138">
        <v>300</v>
      </c>
      <c r="E104" s="138">
        <v>300</v>
      </c>
      <c r="F104" s="138">
        <v>500</v>
      </c>
    </row>
    <row r="105" spans="1:6" ht="14.25" customHeight="1">
      <c r="A105" s="132">
        <v>1994</v>
      </c>
      <c r="B105" s="138">
        <v>2200</v>
      </c>
      <c r="C105" s="138">
        <v>1100</v>
      </c>
      <c r="D105" s="138">
        <v>300</v>
      </c>
      <c r="E105" s="138">
        <v>300</v>
      </c>
      <c r="F105" s="138">
        <v>500</v>
      </c>
    </row>
    <row r="106" spans="1:6" ht="14.25" customHeight="1">
      <c r="A106" s="132">
        <v>1995</v>
      </c>
      <c r="B106" s="138">
        <v>2400</v>
      </c>
      <c r="C106" s="138">
        <v>1200</v>
      </c>
      <c r="D106" s="138">
        <v>300</v>
      </c>
      <c r="E106" s="138">
        <v>400</v>
      </c>
      <c r="F106" s="138">
        <v>500</v>
      </c>
    </row>
    <row r="107" spans="1:6" ht="14.25" customHeight="1">
      <c r="A107" s="132">
        <v>1996</v>
      </c>
      <c r="B107" s="138">
        <v>2300</v>
      </c>
      <c r="C107" s="138">
        <v>1200</v>
      </c>
      <c r="D107" s="138">
        <v>300</v>
      </c>
      <c r="E107" s="138">
        <v>300</v>
      </c>
      <c r="F107" s="138">
        <v>500</v>
      </c>
    </row>
    <row r="108" spans="1:6" ht="14.25" customHeight="1">
      <c r="A108" s="132">
        <v>1997</v>
      </c>
      <c r="B108" s="138">
        <v>2300</v>
      </c>
      <c r="C108" s="138">
        <v>1300</v>
      </c>
      <c r="D108" s="138">
        <v>200</v>
      </c>
      <c r="E108" s="138">
        <v>300</v>
      </c>
      <c r="F108" s="138">
        <v>400</v>
      </c>
    </row>
    <row r="109" spans="1:6" ht="14.25" customHeight="1">
      <c r="A109" s="132">
        <v>1998</v>
      </c>
      <c r="B109" s="138">
        <v>2500</v>
      </c>
      <c r="C109" s="138">
        <v>1600</v>
      </c>
      <c r="D109" s="138">
        <v>200</v>
      </c>
      <c r="E109" s="138">
        <v>400</v>
      </c>
      <c r="F109" s="138">
        <v>400</v>
      </c>
    </row>
    <row r="110" spans="1:6" ht="14.25" customHeight="1">
      <c r="A110" s="132">
        <v>1999</v>
      </c>
      <c r="B110" s="138">
        <v>2600</v>
      </c>
      <c r="C110" s="138">
        <v>1700</v>
      </c>
      <c r="D110" s="138">
        <v>200</v>
      </c>
      <c r="E110" s="138">
        <v>400</v>
      </c>
      <c r="F110" s="138">
        <v>400</v>
      </c>
    </row>
    <row r="111" spans="1:6" ht="14.25" customHeight="1">
      <c r="A111" s="132">
        <v>2000</v>
      </c>
      <c r="B111" s="138">
        <v>2800</v>
      </c>
      <c r="C111" s="138">
        <v>1900</v>
      </c>
      <c r="D111" s="138">
        <v>200</v>
      </c>
      <c r="E111" s="138">
        <v>400</v>
      </c>
      <c r="F111" s="138">
        <v>400</v>
      </c>
    </row>
    <row r="112" spans="1:6" ht="14.25" customHeight="1">
      <c r="A112" s="132">
        <v>2001</v>
      </c>
      <c r="B112" s="138">
        <v>3100</v>
      </c>
      <c r="C112" s="138">
        <v>2200</v>
      </c>
      <c r="D112" s="138">
        <v>200</v>
      </c>
      <c r="E112" s="138">
        <v>400</v>
      </c>
      <c r="F112" s="138">
        <v>400</v>
      </c>
    </row>
    <row r="113" spans="1:6" ht="14.25" customHeight="1">
      <c r="A113" s="132">
        <v>2002</v>
      </c>
      <c r="B113" s="138">
        <v>3500</v>
      </c>
      <c r="C113" s="138">
        <v>2500</v>
      </c>
      <c r="D113" s="138">
        <v>200</v>
      </c>
      <c r="E113" s="138">
        <v>400</v>
      </c>
      <c r="F113" s="138">
        <v>400</v>
      </c>
    </row>
    <row r="114" spans="1:6" ht="14.25" customHeight="1">
      <c r="A114" s="132">
        <v>2003</v>
      </c>
      <c r="B114" s="138">
        <v>3800</v>
      </c>
      <c r="C114" s="138">
        <v>2700</v>
      </c>
      <c r="D114" s="138">
        <v>200</v>
      </c>
      <c r="E114" s="138">
        <v>400</v>
      </c>
      <c r="F114" s="138">
        <v>500</v>
      </c>
    </row>
    <row r="115" spans="1:6" ht="14.25" customHeight="1">
      <c r="A115" s="132">
        <v>2004</v>
      </c>
      <c r="B115" s="138">
        <v>4100</v>
      </c>
      <c r="C115" s="138">
        <v>3000</v>
      </c>
      <c r="D115" s="138">
        <v>300</v>
      </c>
      <c r="E115" s="138">
        <v>400</v>
      </c>
      <c r="F115" s="138">
        <v>500</v>
      </c>
    </row>
    <row r="116" spans="1:6" ht="14.25" customHeight="1">
      <c r="A116" s="132">
        <v>2005</v>
      </c>
      <c r="B116" s="138">
        <v>4000</v>
      </c>
      <c r="C116" s="138">
        <v>2900</v>
      </c>
      <c r="D116" s="138">
        <v>300</v>
      </c>
      <c r="E116" s="138">
        <v>400</v>
      </c>
      <c r="F116" s="138">
        <v>400</v>
      </c>
    </row>
    <row r="117" spans="1:6" ht="14.25" customHeight="1">
      <c r="A117" s="132">
        <v>2006</v>
      </c>
      <c r="B117" s="138">
        <v>4200</v>
      </c>
      <c r="C117" s="138">
        <v>2800</v>
      </c>
      <c r="D117" s="138">
        <v>300</v>
      </c>
      <c r="E117" s="138">
        <v>400</v>
      </c>
      <c r="F117" s="138">
        <v>700</v>
      </c>
    </row>
    <row r="118" spans="1:6" ht="14.25" customHeight="1">
      <c r="A118" s="132">
        <v>2007</v>
      </c>
      <c r="B118" s="138">
        <v>4100</v>
      </c>
      <c r="C118" s="138">
        <v>2900</v>
      </c>
      <c r="D118" s="138">
        <v>300</v>
      </c>
      <c r="E118" s="138">
        <v>400</v>
      </c>
      <c r="F118" s="138">
        <v>600</v>
      </c>
    </row>
    <row r="119" spans="1:6" ht="14.25" customHeight="1">
      <c r="A119" s="132">
        <v>2008</v>
      </c>
      <c r="B119" s="138">
        <v>4700</v>
      </c>
      <c r="C119" s="138">
        <v>3200</v>
      </c>
      <c r="D119" s="138">
        <v>400</v>
      </c>
      <c r="E119" s="138">
        <v>400</v>
      </c>
      <c r="F119" s="138">
        <v>700</v>
      </c>
    </row>
    <row r="120" spans="1:6" ht="14.25" customHeight="1">
      <c r="A120" s="132">
        <v>2009</v>
      </c>
      <c r="B120" s="138">
        <v>5400</v>
      </c>
      <c r="C120" s="138">
        <v>3600</v>
      </c>
      <c r="D120" s="138">
        <v>600</v>
      </c>
      <c r="E120" s="138">
        <v>500</v>
      </c>
      <c r="F120" s="138">
        <v>800</v>
      </c>
    </row>
    <row r="121" spans="1:6" ht="14.25" customHeight="1">
      <c r="A121" s="132">
        <v>2010</v>
      </c>
      <c r="B121" s="138">
        <v>5600</v>
      </c>
      <c r="C121" s="138">
        <v>3600</v>
      </c>
      <c r="D121" s="138">
        <v>700</v>
      </c>
      <c r="E121" s="138">
        <v>500</v>
      </c>
      <c r="F121" s="138">
        <v>900</v>
      </c>
    </row>
    <row r="122" spans="1:6" ht="14.25" customHeight="1">
      <c r="A122" s="132">
        <v>2011</v>
      </c>
      <c r="B122" s="138">
        <v>5700</v>
      </c>
      <c r="C122" s="138">
        <v>3600</v>
      </c>
      <c r="D122" s="138">
        <v>800</v>
      </c>
      <c r="E122" s="138">
        <v>500</v>
      </c>
      <c r="F122" s="138">
        <v>900</v>
      </c>
    </row>
    <row r="123" spans="1:6" ht="14.25" customHeight="1">
      <c r="A123" s="132">
        <v>2012</v>
      </c>
      <c r="B123" s="138">
        <v>5700</v>
      </c>
      <c r="C123" s="138">
        <v>3700</v>
      </c>
      <c r="D123" s="138">
        <v>800</v>
      </c>
      <c r="E123" s="138">
        <v>500</v>
      </c>
      <c r="F123" s="138">
        <v>800</v>
      </c>
    </row>
    <row r="124" spans="1:6" ht="14.25" customHeight="1">
      <c r="A124" s="132">
        <v>2013</v>
      </c>
      <c r="B124" s="138">
        <v>5700</v>
      </c>
      <c r="C124" s="138">
        <v>3700</v>
      </c>
      <c r="D124" s="138">
        <v>800</v>
      </c>
      <c r="E124" s="138">
        <v>400</v>
      </c>
      <c r="F124" s="138">
        <v>800</v>
      </c>
    </row>
    <row r="125" spans="1:6" ht="14.25" customHeight="1">
      <c r="A125" s="132">
        <v>2014</v>
      </c>
      <c r="B125" s="138">
        <v>6500</v>
      </c>
      <c r="C125" s="138">
        <v>4500</v>
      </c>
      <c r="D125" s="138">
        <v>700</v>
      </c>
      <c r="E125" s="138">
        <v>500</v>
      </c>
      <c r="F125" s="138">
        <v>800</v>
      </c>
    </row>
    <row r="126" spans="1:6" ht="14.25" customHeight="1">
      <c r="A126" s="132">
        <v>2015</v>
      </c>
      <c r="B126" s="138">
        <v>6900</v>
      </c>
      <c r="C126" s="138">
        <v>5000</v>
      </c>
      <c r="D126" s="138">
        <v>600</v>
      </c>
      <c r="E126" s="138">
        <v>400</v>
      </c>
      <c r="F126" s="138">
        <v>900</v>
      </c>
    </row>
    <row r="127" spans="1:6" ht="14.25" customHeight="1">
      <c r="A127" s="132">
        <v>2016</v>
      </c>
      <c r="B127" s="138">
        <v>6900</v>
      </c>
      <c r="C127" s="138">
        <v>5100</v>
      </c>
      <c r="D127" s="138">
        <v>600</v>
      </c>
      <c r="E127" s="138">
        <v>400</v>
      </c>
      <c r="F127" s="138">
        <v>900</v>
      </c>
    </row>
    <row r="129" spans="1:6" ht="14.25" customHeight="1">
      <c r="B129" s="774" t="s">
        <v>7</v>
      </c>
      <c r="C129" s="774"/>
      <c r="D129" s="774"/>
      <c r="E129" s="774"/>
      <c r="F129" s="774"/>
    </row>
    <row r="130" spans="1:6" ht="14.25" customHeight="1">
      <c r="A130" s="132">
        <v>1979</v>
      </c>
      <c r="B130" s="138">
        <v>500</v>
      </c>
      <c r="C130" s="138">
        <v>100</v>
      </c>
      <c r="D130" s="138">
        <v>100</v>
      </c>
      <c r="E130" s="138">
        <v>100</v>
      </c>
      <c r="F130" s="138">
        <v>200</v>
      </c>
    </row>
    <row r="131" spans="1:6" ht="14.25" customHeight="1">
      <c r="A131" s="132">
        <v>1980</v>
      </c>
      <c r="B131" s="138">
        <v>400</v>
      </c>
      <c r="C131" s="138">
        <v>100</v>
      </c>
      <c r="D131" s="138">
        <v>100</v>
      </c>
      <c r="E131" s="138">
        <v>100</v>
      </c>
      <c r="F131" s="138">
        <v>200</v>
      </c>
    </row>
    <row r="132" spans="1:6" ht="14.25" customHeight="1">
      <c r="A132" s="132">
        <v>1981</v>
      </c>
      <c r="B132" s="138">
        <v>400</v>
      </c>
      <c r="C132" s="138">
        <v>100</v>
      </c>
      <c r="D132" s="138">
        <v>100</v>
      </c>
      <c r="E132" s="138">
        <v>100</v>
      </c>
      <c r="F132" s="138">
        <v>100</v>
      </c>
    </row>
    <row r="133" spans="1:6" ht="14.25" customHeight="1">
      <c r="A133" s="132">
        <v>1982</v>
      </c>
      <c r="B133" s="138">
        <v>300</v>
      </c>
      <c r="C133" s="138">
        <v>100</v>
      </c>
      <c r="D133" s="138">
        <v>0</v>
      </c>
      <c r="E133" s="138">
        <v>100</v>
      </c>
      <c r="F133" s="138">
        <v>100</v>
      </c>
    </row>
    <row r="134" spans="1:6" ht="14.25" customHeight="1">
      <c r="A134" s="132">
        <v>1983</v>
      </c>
      <c r="B134" s="138">
        <v>400</v>
      </c>
      <c r="C134" s="138">
        <v>100</v>
      </c>
      <c r="D134" s="138">
        <v>0</v>
      </c>
      <c r="E134" s="138">
        <v>100</v>
      </c>
      <c r="F134" s="138">
        <v>100</v>
      </c>
    </row>
    <row r="135" spans="1:6" ht="14.25" customHeight="1">
      <c r="A135" s="132">
        <v>1984</v>
      </c>
      <c r="B135" s="138">
        <v>400</v>
      </c>
      <c r="C135" s="138">
        <v>100</v>
      </c>
      <c r="D135" s="138">
        <v>0</v>
      </c>
      <c r="E135" s="138">
        <v>100</v>
      </c>
      <c r="F135" s="138">
        <v>100</v>
      </c>
    </row>
    <row r="136" spans="1:6" ht="14.25" customHeight="1">
      <c r="A136" s="132">
        <v>1985</v>
      </c>
      <c r="B136" s="138">
        <v>400</v>
      </c>
      <c r="C136" s="138">
        <v>100</v>
      </c>
      <c r="D136" s="138">
        <v>0</v>
      </c>
      <c r="E136" s="138">
        <v>100</v>
      </c>
      <c r="F136" s="138">
        <v>100</v>
      </c>
    </row>
    <row r="137" spans="1:6" ht="14.25" customHeight="1">
      <c r="A137" s="132">
        <v>1986</v>
      </c>
      <c r="B137" s="138">
        <v>400</v>
      </c>
      <c r="C137" s="138">
        <v>100</v>
      </c>
      <c r="D137" s="138">
        <v>0</v>
      </c>
      <c r="E137" s="138">
        <v>100</v>
      </c>
      <c r="F137" s="138">
        <v>100</v>
      </c>
    </row>
    <row r="138" spans="1:6" ht="14.25" customHeight="1">
      <c r="A138" s="132">
        <v>1987</v>
      </c>
      <c r="B138" s="138">
        <v>400</v>
      </c>
      <c r="C138" s="138">
        <v>100</v>
      </c>
      <c r="D138" s="138">
        <v>0</v>
      </c>
      <c r="E138" s="138">
        <v>100</v>
      </c>
      <c r="F138" s="138">
        <v>100</v>
      </c>
    </row>
    <row r="139" spans="1:6" ht="14.25" customHeight="1">
      <c r="A139" s="132">
        <v>1988</v>
      </c>
      <c r="B139" s="138">
        <v>400</v>
      </c>
      <c r="C139" s="138">
        <v>200</v>
      </c>
      <c r="D139" s="138">
        <v>0</v>
      </c>
      <c r="E139" s="138">
        <v>100</v>
      </c>
      <c r="F139" s="138">
        <v>100</v>
      </c>
    </row>
    <row r="140" spans="1:6" ht="14.25" customHeight="1">
      <c r="A140" s="132">
        <v>1989</v>
      </c>
      <c r="B140" s="138">
        <v>400</v>
      </c>
      <c r="C140" s="138">
        <v>200</v>
      </c>
      <c r="D140" s="138">
        <v>0</v>
      </c>
      <c r="E140" s="138">
        <v>100</v>
      </c>
      <c r="F140" s="138">
        <v>100</v>
      </c>
    </row>
    <row r="141" spans="1:6" ht="14.25" customHeight="1">
      <c r="A141" s="132">
        <v>1990</v>
      </c>
      <c r="B141" s="138">
        <v>500</v>
      </c>
      <c r="C141" s="138">
        <v>200</v>
      </c>
      <c r="D141" s="138">
        <v>0</v>
      </c>
      <c r="E141" s="138">
        <v>100</v>
      </c>
      <c r="F141" s="138">
        <v>100</v>
      </c>
    </row>
    <row r="142" spans="1:6" ht="14.25" customHeight="1">
      <c r="A142" s="132">
        <v>1991</v>
      </c>
      <c r="B142" s="138">
        <v>600</v>
      </c>
      <c r="C142" s="138">
        <v>300</v>
      </c>
      <c r="D142" s="138">
        <v>100</v>
      </c>
      <c r="E142" s="138">
        <v>100</v>
      </c>
      <c r="F142" s="138">
        <v>100</v>
      </c>
    </row>
    <row r="143" spans="1:6" ht="14.25" customHeight="1">
      <c r="A143" s="132">
        <v>1992</v>
      </c>
      <c r="B143" s="138">
        <v>700</v>
      </c>
      <c r="C143" s="138">
        <v>400</v>
      </c>
      <c r="D143" s="138">
        <v>100</v>
      </c>
      <c r="E143" s="138">
        <v>100</v>
      </c>
      <c r="F143" s="138">
        <v>100</v>
      </c>
    </row>
    <row r="144" spans="1:6" ht="14.25" customHeight="1">
      <c r="A144" s="132">
        <v>1993</v>
      </c>
      <c r="B144" s="138">
        <v>800</v>
      </c>
      <c r="C144" s="138">
        <v>400</v>
      </c>
      <c r="D144" s="138">
        <v>100</v>
      </c>
      <c r="E144" s="138">
        <v>200</v>
      </c>
      <c r="F144" s="138">
        <v>200</v>
      </c>
    </row>
    <row r="145" spans="1:6" ht="14.25" customHeight="1">
      <c r="A145" s="132">
        <v>1994</v>
      </c>
      <c r="B145" s="138">
        <v>800</v>
      </c>
      <c r="C145" s="138">
        <v>500</v>
      </c>
      <c r="D145" s="138">
        <v>100</v>
      </c>
      <c r="E145" s="138">
        <v>100</v>
      </c>
      <c r="F145" s="138">
        <v>200</v>
      </c>
    </row>
    <row r="146" spans="1:6" ht="14.25" customHeight="1">
      <c r="A146" s="132">
        <v>1995</v>
      </c>
      <c r="B146" s="138">
        <v>1000</v>
      </c>
      <c r="C146" s="138">
        <v>500</v>
      </c>
      <c r="D146" s="138">
        <v>100</v>
      </c>
      <c r="E146" s="138">
        <v>200</v>
      </c>
      <c r="F146" s="138">
        <v>200</v>
      </c>
    </row>
    <row r="147" spans="1:6" ht="14.25" customHeight="1">
      <c r="A147" s="132">
        <v>1996</v>
      </c>
      <c r="B147" s="138">
        <v>900</v>
      </c>
      <c r="C147" s="138">
        <v>500</v>
      </c>
      <c r="D147" s="138">
        <v>100</v>
      </c>
      <c r="E147" s="138">
        <v>200</v>
      </c>
      <c r="F147" s="138">
        <v>200</v>
      </c>
    </row>
    <row r="148" spans="1:6" ht="14.25" customHeight="1">
      <c r="A148" s="132">
        <v>1997</v>
      </c>
      <c r="B148" s="138">
        <v>800</v>
      </c>
      <c r="C148" s="138">
        <v>500</v>
      </c>
      <c r="D148" s="138">
        <v>100</v>
      </c>
      <c r="E148" s="138">
        <v>100</v>
      </c>
      <c r="F148" s="138">
        <v>100</v>
      </c>
    </row>
    <row r="149" spans="1:6" ht="14.25" customHeight="1">
      <c r="A149" s="132">
        <v>1998</v>
      </c>
      <c r="B149" s="138">
        <v>900</v>
      </c>
      <c r="C149" s="138">
        <v>600</v>
      </c>
      <c r="D149" s="138">
        <v>0</v>
      </c>
      <c r="E149" s="138">
        <v>100</v>
      </c>
      <c r="F149" s="138">
        <v>100</v>
      </c>
    </row>
    <row r="150" spans="1:6" ht="14.25" customHeight="1">
      <c r="A150" s="132">
        <v>1999</v>
      </c>
      <c r="B150" s="138">
        <v>1100</v>
      </c>
      <c r="C150" s="138">
        <v>700</v>
      </c>
      <c r="D150" s="138">
        <v>0</v>
      </c>
      <c r="E150" s="138">
        <v>200</v>
      </c>
      <c r="F150" s="138">
        <v>100</v>
      </c>
    </row>
    <row r="151" spans="1:6" ht="14.25" customHeight="1">
      <c r="A151" s="132">
        <v>2000</v>
      </c>
      <c r="B151" s="138">
        <v>1200</v>
      </c>
      <c r="C151" s="138">
        <v>800</v>
      </c>
      <c r="D151" s="138">
        <v>0</v>
      </c>
      <c r="E151" s="138">
        <v>200</v>
      </c>
      <c r="F151" s="138">
        <v>100</v>
      </c>
    </row>
    <row r="152" spans="1:6" ht="14.25" customHeight="1">
      <c r="A152" s="132">
        <v>2001</v>
      </c>
      <c r="B152" s="138">
        <v>1200</v>
      </c>
      <c r="C152" s="138">
        <v>900</v>
      </c>
      <c r="D152" s="138">
        <v>0</v>
      </c>
      <c r="E152" s="138">
        <v>100</v>
      </c>
      <c r="F152" s="138">
        <v>100</v>
      </c>
    </row>
    <row r="153" spans="1:6" ht="14.25" customHeight="1">
      <c r="A153" s="132">
        <v>2002</v>
      </c>
      <c r="B153" s="138">
        <v>1400</v>
      </c>
      <c r="C153" s="138">
        <v>1100</v>
      </c>
      <c r="D153" s="138">
        <v>100</v>
      </c>
      <c r="E153" s="138">
        <v>200</v>
      </c>
      <c r="F153" s="138">
        <v>100</v>
      </c>
    </row>
    <row r="154" spans="1:6" ht="14.25" customHeight="1">
      <c r="A154" s="132">
        <v>2003</v>
      </c>
      <c r="B154" s="138">
        <v>1600</v>
      </c>
      <c r="C154" s="138">
        <v>1300</v>
      </c>
      <c r="D154" s="138">
        <v>100</v>
      </c>
      <c r="E154" s="138">
        <v>200</v>
      </c>
      <c r="F154" s="138">
        <v>100</v>
      </c>
    </row>
    <row r="155" spans="1:6" ht="14.25" customHeight="1">
      <c r="A155" s="132">
        <v>2004</v>
      </c>
      <c r="B155" s="138">
        <v>1800</v>
      </c>
      <c r="C155" s="138">
        <v>1400</v>
      </c>
      <c r="D155" s="138">
        <v>100</v>
      </c>
      <c r="E155" s="138">
        <v>200</v>
      </c>
      <c r="F155" s="138">
        <v>100</v>
      </c>
    </row>
    <row r="156" spans="1:6" ht="14.25" customHeight="1">
      <c r="A156" s="132">
        <v>2005</v>
      </c>
      <c r="B156" s="138">
        <v>1800</v>
      </c>
      <c r="C156" s="138">
        <v>1500</v>
      </c>
      <c r="D156" s="138">
        <v>100</v>
      </c>
      <c r="E156" s="138">
        <v>200</v>
      </c>
      <c r="F156" s="138">
        <v>100</v>
      </c>
    </row>
    <row r="157" spans="1:6" ht="14.25" customHeight="1">
      <c r="A157" s="132">
        <v>2006</v>
      </c>
      <c r="B157" s="138">
        <v>1700</v>
      </c>
      <c r="C157" s="138">
        <v>1300</v>
      </c>
      <c r="D157" s="138">
        <v>100</v>
      </c>
      <c r="E157" s="138">
        <v>200</v>
      </c>
      <c r="F157" s="138">
        <v>200</v>
      </c>
    </row>
    <row r="158" spans="1:6" ht="14.25" customHeight="1">
      <c r="A158" s="132">
        <v>2007</v>
      </c>
      <c r="B158" s="138">
        <v>1900</v>
      </c>
      <c r="C158" s="138">
        <v>1400</v>
      </c>
      <c r="D158" s="138">
        <v>100</v>
      </c>
      <c r="E158" s="138">
        <v>200</v>
      </c>
      <c r="F158" s="138">
        <v>200</v>
      </c>
    </row>
    <row r="159" spans="1:6" ht="14.25" customHeight="1">
      <c r="A159" s="132">
        <v>2008</v>
      </c>
      <c r="B159" s="138">
        <v>2000</v>
      </c>
      <c r="C159" s="138">
        <v>1500</v>
      </c>
      <c r="D159" s="138">
        <v>100</v>
      </c>
      <c r="E159" s="138">
        <v>200</v>
      </c>
      <c r="F159" s="138">
        <v>200</v>
      </c>
    </row>
    <row r="160" spans="1:6" ht="14.25" customHeight="1">
      <c r="A160" s="132">
        <v>2009</v>
      </c>
      <c r="B160" s="138">
        <v>2400</v>
      </c>
      <c r="C160" s="138">
        <v>1700</v>
      </c>
      <c r="D160" s="138">
        <v>200</v>
      </c>
      <c r="E160" s="138">
        <v>200</v>
      </c>
      <c r="F160" s="138">
        <v>200</v>
      </c>
    </row>
    <row r="161" spans="1:6" ht="14.25" customHeight="1">
      <c r="A161" s="132">
        <v>2010</v>
      </c>
      <c r="B161" s="138">
        <v>2400</v>
      </c>
      <c r="C161" s="138">
        <v>1700</v>
      </c>
      <c r="D161" s="138">
        <v>200</v>
      </c>
      <c r="E161" s="138">
        <v>200</v>
      </c>
      <c r="F161" s="138">
        <v>300</v>
      </c>
    </row>
    <row r="162" spans="1:6" ht="14.25" customHeight="1">
      <c r="A162" s="132">
        <v>2011</v>
      </c>
      <c r="B162" s="138">
        <v>2400</v>
      </c>
      <c r="C162" s="138">
        <v>1700</v>
      </c>
      <c r="D162" s="138">
        <v>200</v>
      </c>
      <c r="E162" s="138">
        <v>200</v>
      </c>
      <c r="F162" s="138">
        <v>300</v>
      </c>
    </row>
    <row r="163" spans="1:6" ht="14.25" customHeight="1">
      <c r="A163" s="132">
        <v>2012</v>
      </c>
      <c r="B163" s="138">
        <v>2400</v>
      </c>
      <c r="C163" s="138">
        <v>1700</v>
      </c>
      <c r="D163" s="138">
        <v>200</v>
      </c>
      <c r="E163" s="138">
        <v>200</v>
      </c>
      <c r="F163" s="138">
        <v>300</v>
      </c>
    </row>
    <row r="164" spans="1:6" ht="14.25" customHeight="1">
      <c r="A164" s="132">
        <v>2013</v>
      </c>
      <c r="B164" s="138">
        <v>2500</v>
      </c>
      <c r="C164" s="138">
        <v>1800</v>
      </c>
      <c r="D164" s="138">
        <v>200</v>
      </c>
      <c r="E164" s="138">
        <v>200</v>
      </c>
      <c r="F164" s="138">
        <v>300</v>
      </c>
    </row>
    <row r="165" spans="1:6" ht="14.25" customHeight="1">
      <c r="A165" s="132">
        <v>2014</v>
      </c>
      <c r="B165" s="138">
        <v>2900</v>
      </c>
      <c r="C165" s="138">
        <v>2200</v>
      </c>
      <c r="D165" s="138">
        <v>200</v>
      </c>
      <c r="E165" s="138">
        <v>200</v>
      </c>
      <c r="F165" s="138">
        <v>300</v>
      </c>
    </row>
    <row r="166" spans="1:6" ht="14.25" customHeight="1">
      <c r="A166" s="132">
        <v>2015</v>
      </c>
      <c r="B166" s="138">
        <v>3300</v>
      </c>
      <c r="C166" s="138">
        <v>2500</v>
      </c>
      <c r="D166" s="138">
        <v>200</v>
      </c>
      <c r="E166" s="138">
        <v>200</v>
      </c>
      <c r="F166" s="138">
        <v>300</v>
      </c>
    </row>
    <row r="167" spans="1:6" ht="14.25" customHeight="1">
      <c r="A167" s="132">
        <v>2016</v>
      </c>
      <c r="B167" s="138">
        <v>3400</v>
      </c>
      <c r="C167" s="138">
        <v>2700</v>
      </c>
      <c r="D167" s="138">
        <v>200</v>
      </c>
      <c r="E167" s="138">
        <v>200</v>
      </c>
      <c r="F167" s="138">
        <v>400</v>
      </c>
    </row>
    <row r="169" spans="1:6" ht="14.25" customHeight="1">
      <c r="B169" s="774" t="s">
        <v>8</v>
      </c>
      <c r="C169" s="774"/>
      <c r="D169" s="774"/>
      <c r="E169" s="774"/>
      <c r="F169" s="774"/>
    </row>
    <row r="170" spans="1:6" ht="14.25" customHeight="1">
      <c r="A170" s="132">
        <v>1979</v>
      </c>
      <c r="B170" s="138">
        <v>300</v>
      </c>
      <c r="C170" s="138">
        <v>100</v>
      </c>
      <c r="D170" s="138">
        <v>0</v>
      </c>
      <c r="E170" s="138">
        <v>100</v>
      </c>
      <c r="F170" s="138">
        <v>100</v>
      </c>
    </row>
    <row r="171" spans="1:6" ht="14.25" customHeight="1">
      <c r="A171" s="132">
        <v>1980</v>
      </c>
      <c r="B171" s="138">
        <v>200</v>
      </c>
      <c r="C171" s="138">
        <v>100</v>
      </c>
      <c r="D171" s="138">
        <v>0</v>
      </c>
      <c r="E171" s="138">
        <v>100</v>
      </c>
      <c r="F171" s="138">
        <v>100</v>
      </c>
    </row>
    <row r="172" spans="1:6" ht="14.25" customHeight="1">
      <c r="A172" s="132">
        <v>1981</v>
      </c>
      <c r="B172" s="138">
        <v>200</v>
      </c>
      <c r="C172" s="138">
        <v>100</v>
      </c>
      <c r="D172" s="138">
        <v>0</v>
      </c>
      <c r="E172" s="138">
        <v>100</v>
      </c>
      <c r="F172" s="138">
        <v>100</v>
      </c>
    </row>
    <row r="173" spans="1:6" ht="14.25" customHeight="1">
      <c r="A173" s="132">
        <v>1982</v>
      </c>
      <c r="B173" s="138">
        <v>200</v>
      </c>
      <c r="C173" s="138">
        <v>100</v>
      </c>
      <c r="D173" s="138">
        <v>0</v>
      </c>
      <c r="E173" s="138">
        <v>0</v>
      </c>
      <c r="F173" s="138">
        <v>100</v>
      </c>
    </row>
    <row r="174" spans="1:6" ht="14.25" customHeight="1">
      <c r="A174" s="132">
        <v>1983</v>
      </c>
      <c r="B174" s="138">
        <v>200</v>
      </c>
      <c r="C174" s="138">
        <v>100</v>
      </c>
      <c r="D174" s="138">
        <v>0</v>
      </c>
      <c r="E174" s="138">
        <v>100</v>
      </c>
      <c r="F174" s="138">
        <v>100</v>
      </c>
    </row>
    <row r="175" spans="1:6" ht="14.25" customHeight="1">
      <c r="A175" s="132">
        <v>1984</v>
      </c>
      <c r="B175" s="138">
        <v>200</v>
      </c>
      <c r="C175" s="138">
        <v>100</v>
      </c>
      <c r="D175" s="138">
        <v>0</v>
      </c>
      <c r="E175" s="138">
        <v>100</v>
      </c>
      <c r="F175" s="138">
        <v>100</v>
      </c>
    </row>
    <row r="176" spans="1:6" ht="14.25" customHeight="1">
      <c r="A176" s="132">
        <v>1985</v>
      </c>
      <c r="B176" s="138">
        <v>200</v>
      </c>
      <c r="C176" s="138">
        <v>100</v>
      </c>
      <c r="D176" s="138">
        <v>0</v>
      </c>
      <c r="E176" s="138">
        <v>100</v>
      </c>
      <c r="F176" s="138">
        <v>100</v>
      </c>
    </row>
    <row r="177" spans="1:6" ht="14.25" customHeight="1">
      <c r="A177" s="132">
        <v>1986</v>
      </c>
      <c r="B177" s="138">
        <v>200</v>
      </c>
      <c r="C177" s="138">
        <v>100</v>
      </c>
      <c r="D177" s="138">
        <v>0</v>
      </c>
      <c r="E177" s="138">
        <v>100</v>
      </c>
      <c r="F177" s="138">
        <v>100</v>
      </c>
    </row>
    <row r="178" spans="1:6" ht="14.25" customHeight="1">
      <c r="A178" s="132">
        <v>1987</v>
      </c>
      <c r="B178" s="138">
        <v>200</v>
      </c>
      <c r="C178" s="138">
        <v>100</v>
      </c>
      <c r="D178" s="138">
        <v>0</v>
      </c>
      <c r="E178" s="138">
        <v>100</v>
      </c>
      <c r="F178" s="138">
        <v>100</v>
      </c>
    </row>
    <row r="179" spans="1:6" ht="14.25" customHeight="1">
      <c r="A179" s="132">
        <v>1988</v>
      </c>
      <c r="B179" s="138">
        <v>200</v>
      </c>
      <c r="C179" s="138">
        <v>100</v>
      </c>
      <c r="D179" s="138">
        <v>0</v>
      </c>
      <c r="E179" s="138">
        <v>100</v>
      </c>
      <c r="F179" s="138">
        <v>100</v>
      </c>
    </row>
    <row r="180" spans="1:6" ht="14.25" customHeight="1">
      <c r="A180" s="132">
        <v>1989</v>
      </c>
      <c r="B180" s="138">
        <v>300</v>
      </c>
      <c r="C180" s="138">
        <v>100</v>
      </c>
      <c r="D180" s="138">
        <v>0</v>
      </c>
      <c r="E180" s="138">
        <v>100</v>
      </c>
      <c r="F180" s="138">
        <v>100</v>
      </c>
    </row>
    <row r="181" spans="1:6" ht="14.25" customHeight="1">
      <c r="A181" s="132">
        <v>1990</v>
      </c>
      <c r="B181" s="138">
        <v>300</v>
      </c>
      <c r="C181" s="138">
        <v>100</v>
      </c>
      <c r="D181" s="138">
        <v>0</v>
      </c>
      <c r="E181" s="138">
        <v>100</v>
      </c>
      <c r="F181" s="138">
        <v>100</v>
      </c>
    </row>
    <row r="182" spans="1:6" ht="14.25" customHeight="1">
      <c r="A182" s="132">
        <v>1991</v>
      </c>
      <c r="B182" s="138">
        <v>300</v>
      </c>
      <c r="C182" s="138">
        <v>200</v>
      </c>
      <c r="D182" s="138">
        <v>0</v>
      </c>
      <c r="E182" s="138">
        <v>100</v>
      </c>
      <c r="F182" s="138">
        <v>100</v>
      </c>
    </row>
    <row r="183" spans="1:6" ht="14.25" customHeight="1">
      <c r="A183" s="132">
        <v>1992</v>
      </c>
      <c r="B183" s="138">
        <v>400</v>
      </c>
      <c r="C183" s="138">
        <v>200</v>
      </c>
      <c r="D183" s="138">
        <v>0</v>
      </c>
      <c r="E183" s="138">
        <v>100</v>
      </c>
      <c r="F183" s="138">
        <v>100</v>
      </c>
    </row>
    <row r="184" spans="1:6" ht="14.25" customHeight="1">
      <c r="A184" s="132">
        <v>1993</v>
      </c>
      <c r="B184" s="138">
        <v>400</v>
      </c>
      <c r="C184" s="138">
        <v>200</v>
      </c>
      <c r="D184" s="138">
        <v>0</v>
      </c>
      <c r="E184" s="138">
        <v>100</v>
      </c>
      <c r="F184" s="138">
        <v>100</v>
      </c>
    </row>
    <row r="185" spans="1:6" ht="14.25" customHeight="1">
      <c r="A185" s="132">
        <v>1994</v>
      </c>
      <c r="B185" s="138">
        <v>500</v>
      </c>
      <c r="C185" s="138">
        <v>300</v>
      </c>
      <c r="D185" s="138">
        <v>0</v>
      </c>
      <c r="E185" s="138">
        <v>100</v>
      </c>
      <c r="F185" s="138">
        <v>100</v>
      </c>
    </row>
    <row r="186" spans="1:6" ht="14.25" customHeight="1">
      <c r="A186" s="132">
        <v>1995</v>
      </c>
      <c r="B186" s="138">
        <v>500</v>
      </c>
      <c r="C186" s="138">
        <v>300</v>
      </c>
      <c r="D186" s="138">
        <v>0</v>
      </c>
      <c r="E186" s="138">
        <v>100</v>
      </c>
      <c r="F186" s="138">
        <v>100</v>
      </c>
    </row>
    <row r="187" spans="1:6" ht="14.25" customHeight="1">
      <c r="A187" s="132">
        <v>1996</v>
      </c>
      <c r="B187" s="138">
        <v>500</v>
      </c>
      <c r="C187" s="138">
        <v>300</v>
      </c>
      <c r="D187" s="138">
        <v>0</v>
      </c>
      <c r="E187" s="138">
        <v>100</v>
      </c>
      <c r="F187" s="138">
        <v>100</v>
      </c>
    </row>
    <row r="188" spans="1:6" ht="14.25" customHeight="1">
      <c r="A188" s="132">
        <v>1997</v>
      </c>
      <c r="B188" s="138">
        <v>500</v>
      </c>
      <c r="C188" s="138">
        <v>400</v>
      </c>
      <c r="D188" s="138">
        <v>0</v>
      </c>
      <c r="E188" s="138">
        <v>100</v>
      </c>
      <c r="F188" s="138">
        <v>100</v>
      </c>
    </row>
    <row r="189" spans="1:6" ht="14.25" customHeight="1">
      <c r="A189" s="132">
        <v>1998</v>
      </c>
      <c r="B189" s="138">
        <v>500</v>
      </c>
      <c r="C189" s="138">
        <v>400</v>
      </c>
      <c r="D189" s="138">
        <v>0</v>
      </c>
      <c r="E189" s="138">
        <v>100</v>
      </c>
      <c r="F189" s="138">
        <v>0</v>
      </c>
    </row>
    <row r="190" spans="1:6" ht="14.25" customHeight="1">
      <c r="A190" s="132">
        <v>1999</v>
      </c>
      <c r="B190" s="138">
        <v>500</v>
      </c>
      <c r="C190" s="138">
        <v>400</v>
      </c>
      <c r="D190" s="138">
        <v>0</v>
      </c>
      <c r="E190" s="138">
        <v>100</v>
      </c>
      <c r="F190" s="138">
        <v>0</v>
      </c>
    </row>
    <row r="191" spans="1:6" ht="14.25" customHeight="1">
      <c r="A191" s="132">
        <v>2000</v>
      </c>
      <c r="B191" s="138">
        <v>600</v>
      </c>
      <c r="C191" s="138">
        <v>500</v>
      </c>
      <c r="D191" s="138">
        <v>0</v>
      </c>
      <c r="E191" s="138">
        <v>100</v>
      </c>
      <c r="F191" s="138">
        <v>100</v>
      </c>
    </row>
    <row r="192" spans="1:6" ht="14.25" customHeight="1">
      <c r="A192" s="132">
        <v>2001</v>
      </c>
      <c r="B192" s="138">
        <v>600</v>
      </c>
      <c r="C192" s="138">
        <v>500</v>
      </c>
      <c r="D192" s="138">
        <v>0</v>
      </c>
      <c r="E192" s="138">
        <v>100</v>
      </c>
      <c r="F192" s="138">
        <v>0</v>
      </c>
    </row>
    <row r="193" spans="1:6" ht="14.25" customHeight="1">
      <c r="A193" s="132">
        <v>2002</v>
      </c>
      <c r="B193" s="138">
        <v>700</v>
      </c>
      <c r="C193" s="138">
        <v>600</v>
      </c>
      <c r="D193" s="138">
        <v>0</v>
      </c>
      <c r="E193" s="138">
        <v>100</v>
      </c>
      <c r="F193" s="138">
        <v>100</v>
      </c>
    </row>
    <row r="194" spans="1:6" ht="14.25" customHeight="1">
      <c r="A194" s="132">
        <v>2003</v>
      </c>
      <c r="B194" s="138">
        <v>800</v>
      </c>
      <c r="C194" s="138">
        <v>600</v>
      </c>
      <c r="D194" s="138">
        <v>0</v>
      </c>
      <c r="E194" s="138">
        <v>100</v>
      </c>
      <c r="F194" s="138">
        <v>100</v>
      </c>
    </row>
    <row r="195" spans="1:6" ht="14.25" customHeight="1">
      <c r="A195" s="132">
        <v>2004</v>
      </c>
      <c r="B195" s="138">
        <v>900</v>
      </c>
      <c r="C195" s="138">
        <v>700</v>
      </c>
      <c r="D195" s="138">
        <v>0</v>
      </c>
      <c r="E195" s="138">
        <v>100</v>
      </c>
      <c r="F195" s="138">
        <v>100</v>
      </c>
    </row>
    <row r="196" spans="1:6" ht="14.25" customHeight="1">
      <c r="A196" s="132">
        <v>2005</v>
      </c>
      <c r="B196" s="138">
        <v>900</v>
      </c>
      <c r="C196" s="138">
        <v>800</v>
      </c>
      <c r="D196" s="138">
        <v>0</v>
      </c>
      <c r="E196" s="138">
        <v>100</v>
      </c>
      <c r="F196" s="138">
        <v>0</v>
      </c>
    </row>
    <row r="197" spans="1:6" ht="14.25" customHeight="1">
      <c r="A197" s="132">
        <v>2006</v>
      </c>
      <c r="B197" s="138">
        <v>1000</v>
      </c>
      <c r="C197" s="138">
        <v>700</v>
      </c>
      <c r="D197" s="138">
        <v>0</v>
      </c>
      <c r="E197" s="138">
        <v>100</v>
      </c>
      <c r="F197" s="138">
        <v>100</v>
      </c>
    </row>
    <row r="198" spans="1:6" ht="14.25" customHeight="1">
      <c r="A198" s="132">
        <v>2007</v>
      </c>
      <c r="B198" s="138">
        <v>1000</v>
      </c>
      <c r="C198" s="138">
        <v>800</v>
      </c>
      <c r="D198" s="138">
        <v>0</v>
      </c>
      <c r="E198" s="138">
        <v>100</v>
      </c>
      <c r="F198" s="138">
        <v>100</v>
      </c>
    </row>
    <row r="199" spans="1:6" ht="14.25" customHeight="1">
      <c r="A199" s="132">
        <v>2008</v>
      </c>
      <c r="B199" s="138">
        <v>1000</v>
      </c>
      <c r="C199" s="138">
        <v>700</v>
      </c>
      <c r="D199" s="138">
        <v>0</v>
      </c>
      <c r="E199" s="138">
        <v>100</v>
      </c>
      <c r="F199" s="138">
        <v>100</v>
      </c>
    </row>
    <row r="200" spans="1:6" ht="14.25" customHeight="1">
      <c r="A200" s="132">
        <v>2009</v>
      </c>
      <c r="B200" s="138">
        <v>1100</v>
      </c>
      <c r="C200" s="138">
        <v>900</v>
      </c>
      <c r="D200" s="138">
        <v>0</v>
      </c>
      <c r="E200" s="138">
        <v>100</v>
      </c>
      <c r="F200" s="138">
        <v>100</v>
      </c>
    </row>
    <row r="201" spans="1:6" ht="14.25" customHeight="1">
      <c r="A201" s="132">
        <v>2010</v>
      </c>
      <c r="B201" s="138">
        <v>1200</v>
      </c>
      <c r="C201" s="138">
        <v>900</v>
      </c>
      <c r="D201" s="138">
        <v>100</v>
      </c>
      <c r="E201" s="138">
        <v>100</v>
      </c>
      <c r="F201" s="138">
        <v>100</v>
      </c>
    </row>
    <row r="202" spans="1:6" ht="14.25" customHeight="1">
      <c r="A202" s="132">
        <v>2011</v>
      </c>
      <c r="B202" s="138">
        <v>1200</v>
      </c>
      <c r="C202" s="138">
        <v>900</v>
      </c>
      <c r="D202" s="138">
        <v>100</v>
      </c>
      <c r="E202" s="138">
        <v>100</v>
      </c>
      <c r="F202" s="138">
        <v>100</v>
      </c>
    </row>
    <row r="203" spans="1:6" ht="14.25" customHeight="1">
      <c r="A203" s="132">
        <v>2012</v>
      </c>
      <c r="B203" s="138">
        <v>1100</v>
      </c>
      <c r="C203" s="138">
        <v>900</v>
      </c>
      <c r="D203" s="138">
        <v>100</v>
      </c>
      <c r="E203" s="138">
        <v>100</v>
      </c>
      <c r="F203" s="138">
        <v>100</v>
      </c>
    </row>
    <row r="204" spans="1:6" ht="14.25" customHeight="1">
      <c r="A204" s="132">
        <v>2013</v>
      </c>
      <c r="B204" s="138">
        <v>1100</v>
      </c>
      <c r="C204" s="138">
        <v>800</v>
      </c>
      <c r="D204" s="138">
        <v>100</v>
      </c>
      <c r="E204" s="138">
        <v>100</v>
      </c>
      <c r="F204" s="138">
        <v>100</v>
      </c>
    </row>
    <row r="205" spans="1:6" ht="14.25" customHeight="1">
      <c r="A205" s="132">
        <v>2014</v>
      </c>
      <c r="B205" s="138">
        <v>1500</v>
      </c>
      <c r="C205" s="138">
        <v>1200</v>
      </c>
      <c r="D205" s="138">
        <v>100</v>
      </c>
      <c r="E205" s="138">
        <v>100</v>
      </c>
      <c r="F205" s="138">
        <v>100</v>
      </c>
    </row>
    <row r="206" spans="1:6" ht="14.25" customHeight="1">
      <c r="A206" s="132">
        <v>2015</v>
      </c>
      <c r="B206" s="138">
        <v>1600</v>
      </c>
      <c r="C206" s="138">
        <v>1300</v>
      </c>
      <c r="D206" s="138">
        <v>100</v>
      </c>
      <c r="E206" s="138">
        <v>100</v>
      </c>
      <c r="F206" s="138">
        <v>200</v>
      </c>
    </row>
    <row r="207" spans="1:6" ht="14.25" customHeight="1">
      <c r="A207" s="132">
        <v>2016</v>
      </c>
      <c r="B207" s="138">
        <v>1700</v>
      </c>
      <c r="C207" s="138">
        <v>1300</v>
      </c>
      <c r="D207" s="138">
        <v>100</v>
      </c>
      <c r="E207" s="138">
        <v>100</v>
      </c>
      <c r="F207" s="138">
        <v>200</v>
      </c>
    </row>
    <row r="209" spans="1:6" ht="14.25" customHeight="1">
      <c r="B209" s="774" t="s">
        <v>9</v>
      </c>
      <c r="C209" s="774"/>
      <c r="D209" s="774"/>
      <c r="E209" s="774"/>
      <c r="F209" s="774"/>
    </row>
    <row r="210" spans="1:6" ht="14.25" customHeight="1">
      <c r="A210" s="132">
        <v>1979</v>
      </c>
      <c r="B210" s="138">
        <v>100</v>
      </c>
      <c r="C210" s="138">
        <v>100</v>
      </c>
      <c r="D210" s="138">
        <v>0</v>
      </c>
      <c r="E210" s="138">
        <v>0</v>
      </c>
      <c r="F210" s="138">
        <v>100</v>
      </c>
    </row>
    <row r="211" spans="1:6" ht="14.25" customHeight="1">
      <c r="A211" s="132">
        <v>1980</v>
      </c>
      <c r="B211" s="138">
        <v>100</v>
      </c>
      <c r="C211" s="138">
        <v>0</v>
      </c>
      <c r="D211" s="138">
        <v>0</v>
      </c>
      <c r="E211" s="138">
        <v>0</v>
      </c>
      <c r="F211" s="138">
        <v>0</v>
      </c>
    </row>
    <row r="212" spans="1:6" ht="14.25" customHeight="1">
      <c r="A212" s="132">
        <v>1981</v>
      </c>
      <c r="B212" s="138">
        <v>100</v>
      </c>
      <c r="C212" s="138">
        <v>0</v>
      </c>
      <c r="D212" s="138">
        <v>0</v>
      </c>
      <c r="E212" s="138">
        <v>0</v>
      </c>
      <c r="F212" s="138">
        <v>0</v>
      </c>
    </row>
    <row r="213" spans="1:6" ht="14.25" customHeight="1">
      <c r="A213" s="132">
        <v>1982</v>
      </c>
      <c r="B213" s="138">
        <v>100</v>
      </c>
      <c r="C213" s="138">
        <v>100</v>
      </c>
      <c r="D213" s="138">
        <v>0</v>
      </c>
      <c r="E213" s="138">
        <v>0</v>
      </c>
      <c r="F213" s="138">
        <v>0</v>
      </c>
    </row>
    <row r="214" spans="1:6" ht="14.25" customHeight="1">
      <c r="A214" s="132">
        <v>1983</v>
      </c>
      <c r="B214" s="138">
        <v>100</v>
      </c>
      <c r="C214" s="138">
        <v>0</v>
      </c>
      <c r="D214" s="138">
        <v>0</v>
      </c>
      <c r="E214" s="138">
        <v>0</v>
      </c>
      <c r="F214" s="138">
        <v>0</v>
      </c>
    </row>
    <row r="215" spans="1:6" ht="14.25" customHeight="1">
      <c r="A215" s="132">
        <v>1984</v>
      </c>
      <c r="B215" s="138">
        <v>100</v>
      </c>
      <c r="C215" s="138">
        <v>0</v>
      </c>
      <c r="D215" s="138">
        <v>0</v>
      </c>
      <c r="E215" s="138">
        <v>0</v>
      </c>
      <c r="F215" s="138">
        <v>0</v>
      </c>
    </row>
    <row r="216" spans="1:6" ht="14.25" customHeight="1">
      <c r="A216" s="132">
        <v>1985</v>
      </c>
      <c r="B216" s="138">
        <v>100</v>
      </c>
      <c r="C216" s="138">
        <v>0</v>
      </c>
      <c r="D216" s="138">
        <v>0</v>
      </c>
      <c r="E216" s="138">
        <v>0</v>
      </c>
      <c r="F216" s="138">
        <v>0</v>
      </c>
    </row>
    <row r="217" spans="1:6" ht="14.25" customHeight="1">
      <c r="A217" s="132">
        <v>1986</v>
      </c>
      <c r="B217" s="138">
        <v>100</v>
      </c>
      <c r="C217" s="138">
        <v>0</v>
      </c>
      <c r="D217" s="138">
        <v>0</v>
      </c>
      <c r="E217" s="138">
        <v>0</v>
      </c>
      <c r="F217" s="138">
        <v>0</v>
      </c>
    </row>
    <row r="218" spans="1:6" ht="14.25" customHeight="1">
      <c r="A218" s="132">
        <v>1987</v>
      </c>
      <c r="B218" s="138">
        <v>100</v>
      </c>
      <c r="C218" s="138">
        <v>0</v>
      </c>
      <c r="D218" s="138">
        <v>0</v>
      </c>
      <c r="E218" s="138">
        <v>0</v>
      </c>
      <c r="F218" s="138">
        <v>0</v>
      </c>
    </row>
    <row r="219" spans="1:6" ht="14.25" customHeight="1">
      <c r="A219" s="132">
        <v>1988</v>
      </c>
      <c r="B219" s="138">
        <v>100</v>
      </c>
      <c r="C219" s="138">
        <v>0</v>
      </c>
      <c r="D219" s="138">
        <v>0</v>
      </c>
      <c r="E219" s="138">
        <v>0</v>
      </c>
      <c r="F219" s="138">
        <v>0</v>
      </c>
    </row>
    <row r="220" spans="1:6" ht="14.25" customHeight="1">
      <c r="A220" s="132">
        <v>1989</v>
      </c>
      <c r="B220" s="138">
        <v>200</v>
      </c>
      <c r="C220" s="138">
        <v>100</v>
      </c>
      <c r="D220" s="138">
        <v>0</v>
      </c>
      <c r="E220" s="138">
        <v>0</v>
      </c>
      <c r="F220" s="138">
        <v>0</v>
      </c>
    </row>
    <row r="221" spans="1:6" ht="14.25" customHeight="1">
      <c r="A221" s="132">
        <v>1990</v>
      </c>
      <c r="B221" s="138">
        <v>200</v>
      </c>
      <c r="C221" s="138">
        <v>100</v>
      </c>
      <c r="D221" s="138">
        <v>0</v>
      </c>
      <c r="E221" s="138">
        <v>0</v>
      </c>
      <c r="F221" s="138">
        <v>0</v>
      </c>
    </row>
    <row r="222" spans="1:6" ht="14.25" customHeight="1">
      <c r="A222" s="132">
        <v>1991</v>
      </c>
      <c r="B222" s="138">
        <v>200</v>
      </c>
      <c r="C222" s="138">
        <v>100</v>
      </c>
      <c r="D222" s="138">
        <v>0</v>
      </c>
      <c r="E222" s="138">
        <v>0</v>
      </c>
      <c r="F222" s="138">
        <v>100</v>
      </c>
    </row>
    <row r="223" spans="1:6" ht="14.25" customHeight="1">
      <c r="A223" s="132">
        <v>1992</v>
      </c>
      <c r="B223" s="138">
        <v>200</v>
      </c>
      <c r="C223" s="138">
        <v>100</v>
      </c>
      <c r="D223" s="138">
        <v>0</v>
      </c>
      <c r="E223" s="138">
        <v>100</v>
      </c>
      <c r="F223" s="138">
        <v>0</v>
      </c>
    </row>
    <row r="224" spans="1:6" ht="14.25" customHeight="1">
      <c r="A224" s="132">
        <v>1993</v>
      </c>
      <c r="B224" s="138">
        <v>300</v>
      </c>
      <c r="C224" s="138">
        <v>100</v>
      </c>
      <c r="D224" s="138">
        <v>0</v>
      </c>
      <c r="E224" s="138">
        <v>100</v>
      </c>
      <c r="F224" s="138">
        <v>0</v>
      </c>
    </row>
    <row r="225" spans="1:6" ht="14.25" customHeight="1">
      <c r="A225" s="132">
        <v>1994</v>
      </c>
      <c r="B225" s="138">
        <v>300</v>
      </c>
      <c r="C225" s="138">
        <v>200</v>
      </c>
      <c r="D225" s="138">
        <v>0</v>
      </c>
      <c r="E225" s="138">
        <v>100</v>
      </c>
      <c r="F225" s="138">
        <v>0</v>
      </c>
    </row>
    <row r="226" spans="1:6" ht="14.25" customHeight="1">
      <c r="A226" s="132">
        <v>1995</v>
      </c>
      <c r="B226" s="138">
        <v>300</v>
      </c>
      <c r="C226" s="138">
        <v>200</v>
      </c>
      <c r="D226" s="138">
        <v>0</v>
      </c>
      <c r="E226" s="138">
        <v>100</v>
      </c>
      <c r="F226" s="138">
        <v>0</v>
      </c>
    </row>
    <row r="227" spans="1:6" ht="14.25" customHeight="1">
      <c r="A227" s="132">
        <v>1996</v>
      </c>
      <c r="B227" s="138">
        <v>300</v>
      </c>
      <c r="C227" s="138">
        <v>200</v>
      </c>
      <c r="D227" s="138">
        <v>0</v>
      </c>
      <c r="E227" s="138">
        <v>100</v>
      </c>
      <c r="F227" s="138">
        <v>0</v>
      </c>
    </row>
    <row r="228" spans="1:6" ht="14.25" customHeight="1">
      <c r="A228" s="132">
        <v>1997</v>
      </c>
      <c r="B228" s="138">
        <v>300</v>
      </c>
      <c r="C228" s="138">
        <v>200</v>
      </c>
      <c r="D228" s="138">
        <v>0</v>
      </c>
      <c r="E228" s="138">
        <v>100</v>
      </c>
      <c r="F228" s="138">
        <v>0</v>
      </c>
    </row>
    <row r="229" spans="1:6" ht="14.25" customHeight="1">
      <c r="A229" s="132">
        <v>1998</v>
      </c>
      <c r="B229" s="138">
        <v>300</v>
      </c>
      <c r="C229" s="138">
        <v>200</v>
      </c>
      <c r="D229" s="138">
        <v>0</v>
      </c>
      <c r="E229" s="138">
        <v>100</v>
      </c>
      <c r="F229" s="138">
        <v>0</v>
      </c>
    </row>
    <row r="230" spans="1:6" ht="14.25" customHeight="1">
      <c r="A230" s="132">
        <v>1999</v>
      </c>
      <c r="B230" s="138">
        <v>300</v>
      </c>
      <c r="C230" s="138">
        <v>200</v>
      </c>
      <c r="D230" s="138">
        <v>0</v>
      </c>
      <c r="E230" s="138">
        <v>100</v>
      </c>
      <c r="F230" s="138">
        <v>0</v>
      </c>
    </row>
    <row r="231" spans="1:6" ht="14.25" customHeight="1">
      <c r="A231" s="132">
        <v>2000</v>
      </c>
      <c r="B231" s="138">
        <v>400</v>
      </c>
      <c r="C231" s="138">
        <v>300</v>
      </c>
      <c r="D231" s="138">
        <v>0</v>
      </c>
      <c r="E231" s="138">
        <v>100</v>
      </c>
      <c r="F231" s="138">
        <v>0</v>
      </c>
    </row>
    <row r="232" spans="1:6" ht="14.25" customHeight="1">
      <c r="A232" s="132">
        <v>2001</v>
      </c>
      <c r="B232" s="138">
        <v>400</v>
      </c>
      <c r="C232" s="138">
        <v>300</v>
      </c>
      <c r="D232" s="138">
        <v>0</v>
      </c>
      <c r="E232" s="138">
        <v>100</v>
      </c>
      <c r="F232" s="138">
        <v>0</v>
      </c>
    </row>
    <row r="233" spans="1:6" ht="14.25" customHeight="1">
      <c r="A233" s="132">
        <v>2002</v>
      </c>
      <c r="B233" s="138">
        <v>400</v>
      </c>
      <c r="C233" s="138">
        <v>300</v>
      </c>
      <c r="D233" s="138">
        <v>0</v>
      </c>
      <c r="E233" s="138">
        <v>100</v>
      </c>
      <c r="F233" s="138">
        <v>0</v>
      </c>
    </row>
    <row r="234" spans="1:6" ht="14.25" customHeight="1">
      <c r="A234" s="132">
        <v>2003</v>
      </c>
      <c r="B234" s="138">
        <v>400</v>
      </c>
      <c r="C234" s="138">
        <v>400</v>
      </c>
      <c r="D234" s="138">
        <v>0</v>
      </c>
      <c r="E234" s="138">
        <v>100</v>
      </c>
      <c r="F234" s="138">
        <v>0</v>
      </c>
    </row>
    <row r="235" spans="1:6" ht="14.25" customHeight="1">
      <c r="A235" s="132">
        <v>2004</v>
      </c>
      <c r="B235" s="138">
        <v>500</v>
      </c>
      <c r="C235" s="138">
        <v>400</v>
      </c>
      <c r="D235" s="138">
        <v>0</v>
      </c>
      <c r="E235" s="138">
        <v>100</v>
      </c>
      <c r="F235" s="138">
        <v>0</v>
      </c>
    </row>
    <row r="236" spans="1:6" ht="14.25" customHeight="1">
      <c r="A236" s="132">
        <v>2005</v>
      </c>
      <c r="B236" s="138">
        <v>500</v>
      </c>
      <c r="C236" s="138">
        <v>400</v>
      </c>
      <c r="D236" s="138">
        <v>0</v>
      </c>
      <c r="E236" s="138">
        <v>100</v>
      </c>
      <c r="F236" s="138">
        <v>0</v>
      </c>
    </row>
    <row r="237" spans="1:6" ht="14.25" customHeight="1">
      <c r="A237" s="132">
        <v>2006</v>
      </c>
      <c r="B237" s="138">
        <v>600</v>
      </c>
      <c r="C237" s="138">
        <v>400</v>
      </c>
      <c r="D237" s="138">
        <v>0</v>
      </c>
      <c r="E237" s="138">
        <v>100</v>
      </c>
      <c r="F237" s="138">
        <v>100</v>
      </c>
    </row>
    <row r="238" spans="1:6" ht="14.25" customHeight="1">
      <c r="A238" s="132">
        <v>2007</v>
      </c>
      <c r="B238" s="138">
        <v>600</v>
      </c>
      <c r="C238" s="138">
        <v>400</v>
      </c>
      <c r="D238" s="138">
        <v>0</v>
      </c>
      <c r="E238" s="138">
        <v>100</v>
      </c>
      <c r="F238" s="138">
        <v>100</v>
      </c>
    </row>
    <row r="239" spans="1:6" ht="14.25" customHeight="1">
      <c r="A239" s="132">
        <v>2008</v>
      </c>
      <c r="B239" s="138">
        <v>600</v>
      </c>
      <c r="C239" s="138">
        <v>400</v>
      </c>
      <c r="D239" s="138">
        <v>0</v>
      </c>
      <c r="E239" s="138">
        <v>100</v>
      </c>
      <c r="F239" s="138">
        <v>100</v>
      </c>
    </row>
    <row r="240" spans="1:6" ht="14.25" customHeight="1">
      <c r="A240" s="132">
        <v>2009</v>
      </c>
      <c r="B240" s="138">
        <v>700</v>
      </c>
      <c r="C240" s="138">
        <v>500</v>
      </c>
      <c r="D240" s="138">
        <v>0</v>
      </c>
      <c r="E240" s="138">
        <v>100</v>
      </c>
      <c r="F240" s="138">
        <v>100</v>
      </c>
    </row>
    <row r="241" spans="1:6" ht="14.25" customHeight="1">
      <c r="A241" s="132">
        <v>2010</v>
      </c>
      <c r="B241" s="138">
        <v>700</v>
      </c>
      <c r="C241" s="138">
        <v>500</v>
      </c>
      <c r="D241" s="138">
        <v>0</v>
      </c>
      <c r="E241" s="138">
        <v>100</v>
      </c>
      <c r="F241" s="138">
        <v>100</v>
      </c>
    </row>
    <row r="242" spans="1:6" ht="14.25" customHeight="1">
      <c r="A242" s="132">
        <v>2011</v>
      </c>
      <c r="B242" s="138">
        <v>600</v>
      </c>
      <c r="C242" s="138">
        <v>400</v>
      </c>
      <c r="D242" s="138">
        <v>0</v>
      </c>
      <c r="E242" s="138">
        <v>100</v>
      </c>
      <c r="F242" s="138">
        <v>100</v>
      </c>
    </row>
    <row r="243" spans="1:6" ht="14.25" customHeight="1">
      <c r="A243" s="132">
        <v>2012</v>
      </c>
      <c r="B243" s="138">
        <v>600</v>
      </c>
      <c r="C243" s="138">
        <v>500</v>
      </c>
      <c r="D243" s="138">
        <v>0</v>
      </c>
      <c r="E243" s="138">
        <v>100</v>
      </c>
      <c r="F243" s="138">
        <v>100</v>
      </c>
    </row>
    <row r="244" spans="1:6" ht="14.25" customHeight="1">
      <c r="A244" s="132">
        <v>2013</v>
      </c>
      <c r="B244" s="138">
        <v>500</v>
      </c>
      <c r="C244" s="138">
        <v>400</v>
      </c>
      <c r="D244" s="138">
        <v>0</v>
      </c>
      <c r="E244" s="138">
        <v>0</v>
      </c>
      <c r="F244" s="138">
        <v>100</v>
      </c>
    </row>
    <row r="245" spans="1:6" ht="14.25" customHeight="1">
      <c r="A245" s="132">
        <v>2014</v>
      </c>
      <c r="B245" s="138">
        <v>800</v>
      </c>
      <c r="C245" s="138">
        <v>600</v>
      </c>
      <c r="D245" s="138">
        <v>0</v>
      </c>
      <c r="E245" s="138">
        <v>100</v>
      </c>
      <c r="F245" s="138">
        <v>100</v>
      </c>
    </row>
    <row r="246" spans="1:6" ht="14.25" customHeight="1">
      <c r="A246" s="132">
        <v>2015</v>
      </c>
      <c r="B246" s="138">
        <v>900</v>
      </c>
      <c r="C246" s="138">
        <v>700</v>
      </c>
      <c r="D246" s="138">
        <v>0</v>
      </c>
      <c r="E246" s="138">
        <v>100</v>
      </c>
      <c r="F246" s="138">
        <v>100</v>
      </c>
    </row>
    <row r="247" spans="1:6" ht="14.25" customHeight="1">
      <c r="A247" s="132">
        <v>2016</v>
      </c>
      <c r="B247" s="138">
        <v>1000</v>
      </c>
      <c r="C247" s="138">
        <v>800</v>
      </c>
      <c r="D247" s="138">
        <v>0</v>
      </c>
      <c r="E247" s="138">
        <v>100</v>
      </c>
      <c r="F247" s="138">
        <v>100</v>
      </c>
    </row>
    <row r="249" spans="1:6" ht="14.25" customHeight="1">
      <c r="B249" s="774" t="s">
        <v>10</v>
      </c>
      <c r="C249" s="774"/>
      <c r="D249" s="774"/>
      <c r="E249" s="774"/>
      <c r="F249" s="774"/>
    </row>
    <row r="250" spans="1:6" ht="14.25" customHeight="1">
      <c r="A250" s="132">
        <v>1979</v>
      </c>
      <c r="B250" s="138">
        <v>200</v>
      </c>
      <c r="C250" s="138">
        <v>100</v>
      </c>
      <c r="D250" s="138">
        <v>0</v>
      </c>
      <c r="E250" s="138">
        <v>0</v>
      </c>
      <c r="F250" s="138">
        <v>100</v>
      </c>
    </row>
    <row r="251" spans="1:6" ht="14.25" customHeight="1">
      <c r="A251" s="132">
        <v>1980</v>
      </c>
      <c r="B251" s="138">
        <v>100</v>
      </c>
      <c r="C251" s="138">
        <v>0</v>
      </c>
      <c r="D251" s="138">
        <v>0</v>
      </c>
      <c r="E251" s="138">
        <v>0</v>
      </c>
      <c r="F251" s="138">
        <v>100</v>
      </c>
    </row>
    <row r="252" spans="1:6" ht="14.25" customHeight="1">
      <c r="A252" s="132">
        <v>1981</v>
      </c>
      <c r="B252" s="138">
        <v>200</v>
      </c>
      <c r="C252" s="138">
        <v>100</v>
      </c>
      <c r="D252" s="138">
        <v>0</v>
      </c>
      <c r="E252" s="138">
        <v>100</v>
      </c>
      <c r="F252" s="138">
        <v>0</v>
      </c>
    </row>
    <row r="253" spans="1:6" ht="14.25" customHeight="1">
      <c r="A253" s="132">
        <v>1982</v>
      </c>
      <c r="B253" s="138">
        <v>100</v>
      </c>
      <c r="C253" s="138">
        <v>100</v>
      </c>
      <c r="D253" s="138">
        <v>0</v>
      </c>
      <c r="E253" s="138">
        <v>0</v>
      </c>
      <c r="F253" s="138">
        <v>0</v>
      </c>
    </row>
    <row r="254" spans="1:6" ht="14.25" customHeight="1">
      <c r="A254" s="132">
        <v>1983</v>
      </c>
      <c r="B254" s="138">
        <v>100</v>
      </c>
      <c r="C254" s="138">
        <v>0</v>
      </c>
      <c r="D254" s="138">
        <v>0</v>
      </c>
      <c r="E254" s="138">
        <v>0</v>
      </c>
      <c r="F254" s="138">
        <v>0</v>
      </c>
    </row>
    <row r="255" spans="1:6" ht="14.25" customHeight="1">
      <c r="A255" s="132">
        <v>1984</v>
      </c>
      <c r="B255" s="138">
        <v>100</v>
      </c>
      <c r="C255" s="138">
        <v>0</v>
      </c>
      <c r="D255" s="138">
        <v>0</v>
      </c>
      <c r="E255" s="138">
        <v>0</v>
      </c>
      <c r="F255" s="138">
        <v>0</v>
      </c>
    </row>
    <row r="256" spans="1:6" ht="14.25" customHeight="1">
      <c r="A256" s="132">
        <v>1985</v>
      </c>
      <c r="B256" s="138">
        <v>200</v>
      </c>
      <c r="C256" s="138">
        <v>0</v>
      </c>
      <c r="D256" s="138">
        <v>0</v>
      </c>
      <c r="E256" s="138">
        <v>100</v>
      </c>
      <c r="F256" s="138">
        <v>0</v>
      </c>
    </row>
    <row r="257" spans="1:6" ht="14.25" customHeight="1">
      <c r="A257" s="132">
        <v>1986</v>
      </c>
      <c r="B257" s="138">
        <v>100</v>
      </c>
      <c r="C257" s="138">
        <v>100</v>
      </c>
      <c r="D257" s="138">
        <v>0</v>
      </c>
      <c r="E257" s="138">
        <v>0</v>
      </c>
      <c r="F257" s="138">
        <v>0</v>
      </c>
    </row>
    <row r="258" spans="1:6" ht="14.25" customHeight="1">
      <c r="A258" s="132">
        <v>1987</v>
      </c>
      <c r="B258" s="138">
        <v>100</v>
      </c>
      <c r="C258" s="138">
        <v>0</v>
      </c>
      <c r="D258" s="138">
        <v>0</v>
      </c>
      <c r="E258" s="138">
        <v>0</v>
      </c>
      <c r="F258" s="138">
        <v>0</v>
      </c>
    </row>
    <row r="259" spans="1:6" ht="14.25" customHeight="1">
      <c r="A259" s="132">
        <v>1988</v>
      </c>
      <c r="B259" s="138">
        <v>100</v>
      </c>
      <c r="C259" s="138">
        <v>100</v>
      </c>
      <c r="D259" s="138">
        <v>0</v>
      </c>
      <c r="E259" s="138">
        <v>0</v>
      </c>
      <c r="F259" s="138">
        <v>0</v>
      </c>
    </row>
    <row r="260" spans="1:6" ht="14.25" customHeight="1">
      <c r="A260" s="132">
        <v>1989</v>
      </c>
      <c r="B260" s="138">
        <v>200</v>
      </c>
      <c r="C260" s="138">
        <v>100</v>
      </c>
      <c r="D260" s="138">
        <v>0</v>
      </c>
      <c r="E260" s="138">
        <v>0</v>
      </c>
      <c r="F260" s="138">
        <v>0</v>
      </c>
    </row>
    <row r="261" spans="1:6" ht="14.25" customHeight="1">
      <c r="A261" s="132">
        <v>1990</v>
      </c>
      <c r="B261" s="138">
        <v>200</v>
      </c>
      <c r="C261" s="138">
        <v>100</v>
      </c>
      <c r="D261" s="138">
        <v>0</v>
      </c>
      <c r="E261" s="138">
        <v>0</v>
      </c>
      <c r="F261" s="138">
        <v>0</v>
      </c>
    </row>
    <row r="262" spans="1:6" ht="14.25" customHeight="1">
      <c r="A262" s="132">
        <v>1991</v>
      </c>
      <c r="B262" s="138">
        <v>200</v>
      </c>
      <c r="C262" s="138">
        <v>100</v>
      </c>
      <c r="D262" s="138">
        <v>0</v>
      </c>
      <c r="E262" s="138">
        <v>0</v>
      </c>
      <c r="F262" s="138">
        <v>100</v>
      </c>
    </row>
    <row r="263" spans="1:6" ht="14.25" customHeight="1">
      <c r="A263" s="132">
        <v>1992</v>
      </c>
      <c r="B263" s="138">
        <v>300</v>
      </c>
      <c r="C263" s="138">
        <v>100</v>
      </c>
      <c r="D263" s="138">
        <v>0</v>
      </c>
      <c r="E263" s="138">
        <v>100</v>
      </c>
      <c r="F263" s="138">
        <v>100</v>
      </c>
    </row>
    <row r="264" spans="1:6" ht="14.25" customHeight="1">
      <c r="A264" s="132">
        <v>1993</v>
      </c>
      <c r="B264" s="138">
        <v>300</v>
      </c>
      <c r="C264" s="138">
        <v>200</v>
      </c>
      <c r="D264" s="138">
        <v>0</v>
      </c>
      <c r="E264" s="138">
        <v>100</v>
      </c>
      <c r="F264" s="138">
        <v>0</v>
      </c>
    </row>
    <row r="265" spans="1:6" ht="14.25" customHeight="1">
      <c r="A265" s="132">
        <v>1994</v>
      </c>
      <c r="B265" s="138">
        <v>300</v>
      </c>
      <c r="C265" s="138">
        <v>200</v>
      </c>
      <c r="D265" s="138">
        <v>0</v>
      </c>
      <c r="E265" s="138">
        <v>100</v>
      </c>
      <c r="F265" s="138">
        <v>100</v>
      </c>
    </row>
    <row r="266" spans="1:6" ht="14.25" customHeight="1">
      <c r="A266" s="132">
        <v>1995</v>
      </c>
      <c r="B266" s="138">
        <v>300</v>
      </c>
      <c r="C266" s="138">
        <v>200</v>
      </c>
      <c r="D266" s="138">
        <v>0</v>
      </c>
      <c r="E266" s="138">
        <v>100</v>
      </c>
      <c r="F266" s="138">
        <v>0</v>
      </c>
    </row>
    <row r="267" spans="1:6" ht="14.25" customHeight="1">
      <c r="A267" s="132">
        <v>1996</v>
      </c>
      <c r="B267" s="138">
        <v>400</v>
      </c>
      <c r="C267" s="138">
        <v>200</v>
      </c>
      <c r="D267" s="138">
        <v>0</v>
      </c>
      <c r="E267" s="138">
        <v>100</v>
      </c>
      <c r="F267" s="138">
        <v>0</v>
      </c>
    </row>
    <row r="268" spans="1:6" ht="14.25" customHeight="1">
      <c r="A268" s="132">
        <v>1997</v>
      </c>
      <c r="B268" s="138">
        <v>300</v>
      </c>
      <c r="C268" s="138">
        <v>200</v>
      </c>
      <c r="D268" s="138">
        <v>0</v>
      </c>
      <c r="E268" s="138">
        <v>100</v>
      </c>
      <c r="F268" s="138">
        <v>0</v>
      </c>
    </row>
    <row r="269" spans="1:6" ht="14.25" customHeight="1">
      <c r="A269" s="132">
        <v>1998</v>
      </c>
      <c r="B269" s="138">
        <v>400</v>
      </c>
      <c r="C269" s="138">
        <v>300</v>
      </c>
      <c r="D269" s="138">
        <v>0</v>
      </c>
      <c r="E269" s="138">
        <v>100</v>
      </c>
      <c r="F269" s="138">
        <v>0</v>
      </c>
    </row>
    <row r="270" spans="1:6" ht="14.25" customHeight="1">
      <c r="A270" s="132">
        <v>1999</v>
      </c>
      <c r="B270" s="138">
        <v>400</v>
      </c>
      <c r="C270" s="138">
        <v>200</v>
      </c>
      <c r="D270" s="138">
        <v>0</v>
      </c>
      <c r="E270" s="138">
        <v>100</v>
      </c>
      <c r="F270" s="138">
        <v>0</v>
      </c>
    </row>
    <row r="271" spans="1:6" ht="14.25" customHeight="1">
      <c r="A271" s="132">
        <v>2000</v>
      </c>
      <c r="B271" s="138">
        <v>400</v>
      </c>
      <c r="C271" s="138">
        <v>300</v>
      </c>
      <c r="D271" s="138">
        <v>0</v>
      </c>
      <c r="E271" s="138">
        <v>100</v>
      </c>
      <c r="F271" s="138">
        <v>0</v>
      </c>
    </row>
    <row r="272" spans="1:6" ht="14.25" customHeight="1">
      <c r="A272" s="132">
        <v>2001</v>
      </c>
      <c r="B272" s="138">
        <v>400</v>
      </c>
      <c r="C272" s="138">
        <v>300</v>
      </c>
      <c r="D272" s="138">
        <v>0</v>
      </c>
      <c r="E272" s="138">
        <v>100</v>
      </c>
      <c r="F272" s="138">
        <v>0</v>
      </c>
    </row>
    <row r="273" spans="1:6" ht="14.25" customHeight="1">
      <c r="A273" s="132">
        <v>2002</v>
      </c>
      <c r="B273" s="138">
        <v>500</v>
      </c>
      <c r="C273" s="138">
        <v>400</v>
      </c>
      <c r="D273" s="138">
        <v>0</v>
      </c>
      <c r="E273" s="138">
        <v>100</v>
      </c>
      <c r="F273" s="138">
        <v>0</v>
      </c>
    </row>
    <row r="274" spans="1:6" ht="14.25" customHeight="1">
      <c r="A274" s="132">
        <v>2003</v>
      </c>
      <c r="B274" s="138">
        <v>500</v>
      </c>
      <c r="C274" s="138">
        <v>400</v>
      </c>
      <c r="D274" s="138">
        <v>0</v>
      </c>
      <c r="E274" s="138">
        <v>100</v>
      </c>
      <c r="F274" s="138">
        <v>0</v>
      </c>
    </row>
    <row r="275" spans="1:6" ht="14.25" customHeight="1">
      <c r="A275" s="132">
        <v>2004</v>
      </c>
      <c r="B275" s="138">
        <v>600</v>
      </c>
      <c r="C275" s="138">
        <v>400</v>
      </c>
      <c r="D275" s="138">
        <v>0</v>
      </c>
      <c r="E275" s="138">
        <v>100</v>
      </c>
      <c r="F275" s="138">
        <v>0</v>
      </c>
    </row>
    <row r="276" spans="1:6" ht="14.25" customHeight="1">
      <c r="A276" s="132">
        <v>2005</v>
      </c>
      <c r="B276" s="138">
        <v>600</v>
      </c>
      <c r="C276" s="138">
        <v>400</v>
      </c>
      <c r="D276" s="138">
        <v>0</v>
      </c>
      <c r="E276" s="138">
        <v>100</v>
      </c>
      <c r="F276" s="138">
        <v>0</v>
      </c>
    </row>
    <row r="277" spans="1:6" ht="14.25" customHeight="1">
      <c r="A277" s="132">
        <v>2006</v>
      </c>
      <c r="B277" s="138">
        <v>600</v>
      </c>
      <c r="C277" s="138">
        <v>500</v>
      </c>
      <c r="D277" s="138">
        <v>0</v>
      </c>
      <c r="E277" s="138">
        <v>100</v>
      </c>
      <c r="F277" s="138">
        <v>100</v>
      </c>
    </row>
    <row r="278" spans="1:6" ht="14.25" customHeight="1">
      <c r="A278" s="132">
        <v>2007</v>
      </c>
      <c r="B278" s="138">
        <v>700</v>
      </c>
      <c r="C278" s="138">
        <v>500</v>
      </c>
      <c r="D278" s="138">
        <v>0</v>
      </c>
      <c r="E278" s="138">
        <v>100</v>
      </c>
      <c r="F278" s="138">
        <v>100</v>
      </c>
    </row>
    <row r="279" spans="1:6" ht="14.25" customHeight="1">
      <c r="A279" s="132">
        <v>2008</v>
      </c>
      <c r="B279" s="138">
        <v>600</v>
      </c>
      <c r="C279" s="138">
        <v>500</v>
      </c>
      <c r="D279" s="138">
        <v>0</v>
      </c>
      <c r="E279" s="138">
        <v>100</v>
      </c>
      <c r="F279" s="138">
        <v>100</v>
      </c>
    </row>
    <row r="280" spans="1:6" ht="14.25" customHeight="1">
      <c r="A280" s="132">
        <v>2009</v>
      </c>
      <c r="B280" s="138">
        <v>800</v>
      </c>
      <c r="C280" s="138">
        <v>600</v>
      </c>
      <c r="D280" s="138">
        <v>0</v>
      </c>
      <c r="E280" s="138">
        <v>100</v>
      </c>
      <c r="F280" s="138">
        <v>100</v>
      </c>
    </row>
    <row r="281" spans="1:6" ht="14.25" customHeight="1">
      <c r="A281" s="132">
        <v>2010</v>
      </c>
      <c r="B281" s="138">
        <v>800</v>
      </c>
      <c r="C281" s="138">
        <v>600</v>
      </c>
      <c r="D281" s="138">
        <v>0</v>
      </c>
      <c r="E281" s="138">
        <v>100</v>
      </c>
      <c r="F281" s="138">
        <v>100</v>
      </c>
    </row>
    <row r="282" spans="1:6" ht="14.25" customHeight="1">
      <c r="A282" s="132">
        <v>2011</v>
      </c>
      <c r="B282" s="138">
        <v>700</v>
      </c>
      <c r="C282" s="138">
        <v>500</v>
      </c>
      <c r="D282" s="138">
        <v>0</v>
      </c>
      <c r="E282" s="138">
        <v>100</v>
      </c>
      <c r="F282" s="138">
        <v>100</v>
      </c>
    </row>
    <row r="283" spans="1:6" ht="14.25" customHeight="1">
      <c r="A283" s="132">
        <v>2012</v>
      </c>
      <c r="B283" s="138">
        <v>700</v>
      </c>
      <c r="C283" s="138">
        <v>600</v>
      </c>
      <c r="D283" s="138">
        <v>0</v>
      </c>
      <c r="E283" s="138">
        <v>100</v>
      </c>
      <c r="F283" s="138">
        <v>100</v>
      </c>
    </row>
    <row r="284" spans="1:6" ht="14.25" customHeight="1">
      <c r="A284" s="132">
        <v>2013</v>
      </c>
      <c r="B284" s="138">
        <v>600</v>
      </c>
      <c r="C284" s="138">
        <v>400</v>
      </c>
      <c r="D284" s="138">
        <v>0</v>
      </c>
      <c r="E284" s="138">
        <v>100</v>
      </c>
      <c r="F284" s="138">
        <v>100</v>
      </c>
    </row>
    <row r="285" spans="1:6" ht="14.25" customHeight="1">
      <c r="A285" s="132">
        <v>2014</v>
      </c>
      <c r="B285" s="138">
        <v>900</v>
      </c>
      <c r="C285" s="138">
        <v>700</v>
      </c>
      <c r="D285" s="138">
        <v>0</v>
      </c>
      <c r="E285" s="138">
        <v>100</v>
      </c>
      <c r="F285" s="138">
        <v>100</v>
      </c>
    </row>
    <row r="286" spans="1:6" ht="14.25" customHeight="1">
      <c r="A286" s="132">
        <v>2015</v>
      </c>
      <c r="B286" s="138">
        <v>1000</v>
      </c>
      <c r="C286" s="138">
        <v>800</v>
      </c>
      <c r="D286" s="138">
        <v>0</v>
      </c>
      <c r="E286" s="138">
        <v>100</v>
      </c>
      <c r="F286" s="138">
        <v>100</v>
      </c>
    </row>
    <row r="287" spans="1:6" ht="14.25" customHeight="1">
      <c r="A287" s="132">
        <v>2016</v>
      </c>
      <c r="B287" s="138">
        <v>1100</v>
      </c>
      <c r="C287" s="138">
        <v>900</v>
      </c>
      <c r="D287" s="138">
        <v>0</v>
      </c>
      <c r="E287" s="138">
        <v>100</v>
      </c>
      <c r="F287" s="138">
        <v>100</v>
      </c>
    </row>
    <row r="289" spans="1:6" ht="14.25" customHeight="1">
      <c r="B289" s="774" t="s">
        <v>11</v>
      </c>
      <c r="C289" s="774"/>
      <c r="D289" s="774"/>
      <c r="E289" s="774"/>
      <c r="F289" s="774"/>
    </row>
    <row r="290" spans="1:6" ht="14.25" customHeight="1">
      <c r="A290" s="132">
        <v>1979</v>
      </c>
      <c r="B290" s="138">
        <v>100</v>
      </c>
      <c r="C290" s="138">
        <v>0</v>
      </c>
      <c r="D290" s="138">
        <v>0</v>
      </c>
      <c r="E290" s="138">
        <v>0</v>
      </c>
      <c r="F290" s="138">
        <v>0</v>
      </c>
    </row>
    <row r="291" spans="1:6" ht="14.25" customHeight="1">
      <c r="A291" s="132">
        <v>1980</v>
      </c>
      <c r="B291" s="138">
        <v>100</v>
      </c>
      <c r="C291" s="138">
        <v>0</v>
      </c>
      <c r="D291" s="138">
        <v>0</v>
      </c>
      <c r="E291" s="138">
        <v>0</v>
      </c>
      <c r="F291" s="138">
        <v>0</v>
      </c>
    </row>
    <row r="292" spans="1:6" ht="14.25" customHeight="1">
      <c r="A292" s="132">
        <v>1981</v>
      </c>
      <c r="B292" s="138">
        <v>100</v>
      </c>
      <c r="C292" s="138">
        <v>0</v>
      </c>
      <c r="D292" s="138">
        <v>0</v>
      </c>
      <c r="E292" s="138">
        <v>0</v>
      </c>
      <c r="F292" s="138">
        <v>0</v>
      </c>
    </row>
    <row r="293" spans="1:6" ht="14.25" customHeight="1">
      <c r="A293" s="132">
        <v>1982</v>
      </c>
      <c r="B293" s="138">
        <v>100</v>
      </c>
      <c r="C293" s="138">
        <v>100</v>
      </c>
      <c r="D293" s="138">
        <v>0</v>
      </c>
      <c r="E293" s="138">
        <v>0</v>
      </c>
      <c r="F293" s="138">
        <v>0</v>
      </c>
    </row>
    <row r="294" spans="1:6" ht="14.25" customHeight="1">
      <c r="A294" s="132">
        <v>1983</v>
      </c>
      <c r="B294" s="138">
        <v>100</v>
      </c>
      <c r="C294" s="138">
        <v>0</v>
      </c>
      <c r="D294" s="138">
        <v>0</v>
      </c>
      <c r="E294" s="138">
        <v>0</v>
      </c>
      <c r="F294" s="138">
        <v>0</v>
      </c>
    </row>
    <row r="295" spans="1:6" ht="14.25" customHeight="1">
      <c r="A295" s="132">
        <v>1984</v>
      </c>
      <c r="B295" s="138">
        <v>100</v>
      </c>
      <c r="C295" s="138">
        <v>0</v>
      </c>
      <c r="D295" s="138">
        <v>0</v>
      </c>
      <c r="E295" s="138">
        <v>0</v>
      </c>
      <c r="F295" s="138">
        <v>0</v>
      </c>
    </row>
    <row r="296" spans="1:6" ht="14.25" customHeight="1">
      <c r="A296" s="132">
        <v>1985</v>
      </c>
      <c r="B296" s="138">
        <v>100</v>
      </c>
      <c r="C296" s="138">
        <v>0</v>
      </c>
      <c r="D296" s="138">
        <v>0</v>
      </c>
      <c r="E296" s="138">
        <v>0</v>
      </c>
      <c r="F296" s="138">
        <v>0</v>
      </c>
    </row>
    <row r="297" spans="1:6" ht="14.25" customHeight="1">
      <c r="A297" s="132">
        <v>1986</v>
      </c>
      <c r="B297" s="138">
        <v>100</v>
      </c>
      <c r="C297" s="138">
        <v>0</v>
      </c>
      <c r="D297" s="138">
        <v>0</v>
      </c>
      <c r="E297" s="138">
        <v>0</v>
      </c>
      <c r="F297" s="138">
        <v>0</v>
      </c>
    </row>
    <row r="298" spans="1:6" ht="14.25" customHeight="1">
      <c r="A298" s="132">
        <v>1987</v>
      </c>
      <c r="B298" s="138">
        <v>100</v>
      </c>
      <c r="C298" s="138">
        <v>0</v>
      </c>
      <c r="D298" s="138">
        <v>0</v>
      </c>
      <c r="E298" s="138">
        <v>0</v>
      </c>
      <c r="F298" s="138">
        <v>0</v>
      </c>
    </row>
    <row r="299" spans="1:6" ht="14.25" customHeight="1">
      <c r="A299" s="132">
        <v>1988</v>
      </c>
      <c r="B299" s="138">
        <v>100</v>
      </c>
      <c r="C299" s="138">
        <v>0</v>
      </c>
      <c r="D299" s="138">
        <v>0</v>
      </c>
      <c r="E299" s="138">
        <v>0</v>
      </c>
      <c r="F299" s="138">
        <v>0</v>
      </c>
    </row>
    <row r="300" spans="1:6" ht="14.25" customHeight="1">
      <c r="A300" s="132">
        <v>1989</v>
      </c>
      <c r="B300" s="138">
        <v>100</v>
      </c>
      <c r="C300" s="138">
        <v>100</v>
      </c>
      <c r="D300" s="138">
        <v>0</v>
      </c>
      <c r="E300" s="138">
        <v>0</v>
      </c>
      <c r="F300" s="138">
        <v>0</v>
      </c>
    </row>
    <row r="301" spans="1:6" ht="14.25" customHeight="1">
      <c r="A301" s="132">
        <v>1990</v>
      </c>
      <c r="B301" s="138">
        <v>200</v>
      </c>
      <c r="C301" s="138">
        <v>100</v>
      </c>
      <c r="D301" s="138">
        <v>0</v>
      </c>
      <c r="E301" s="138">
        <v>0</v>
      </c>
      <c r="F301" s="138">
        <v>0</v>
      </c>
    </row>
    <row r="302" spans="1:6" ht="14.25" customHeight="1">
      <c r="A302" s="132">
        <v>1991</v>
      </c>
      <c r="B302" s="138">
        <v>100</v>
      </c>
      <c r="C302" s="138">
        <v>100</v>
      </c>
      <c r="D302" s="138">
        <v>0</v>
      </c>
      <c r="E302" s="138">
        <v>0</v>
      </c>
      <c r="F302" s="138">
        <v>0</v>
      </c>
    </row>
    <row r="303" spans="1:6" ht="14.25" customHeight="1">
      <c r="A303" s="132">
        <v>1992</v>
      </c>
      <c r="B303" s="138">
        <v>200</v>
      </c>
      <c r="C303" s="138">
        <v>100</v>
      </c>
      <c r="D303" s="138">
        <v>0</v>
      </c>
      <c r="E303" s="138">
        <v>100</v>
      </c>
      <c r="F303" s="138">
        <v>0</v>
      </c>
    </row>
    <row r="304" spans="1:6" ht="14.25" customHeight="1">
      <c r="A304" s="132">
        <v>1993</v>
      </c>
      <c r="B304" s="138">
        <v>200</v>
      </c>
      <c r="C304" s="138">
        <v>100</v>
      </c>
      <c r="D304" s="138">
        <v>0</v>
      </c>
      <c r="E304" s="138">
        <v>100</v>
      </c>
      <c r="F304" s="138">
        <v>0</v>
      </c>
    </row>
    <row r="305" spans="1:6" ht="14.25" customHeight="1">
      <c r="A305" s="132">
        <v>1994</v>
      </c>
      <c r="B305" s="138">
        <v>300</v>
      </c>
      <c r="C305" s="138">
        <v>200</v>
      </c>
      <c r="D305" s="138">
        <v>0</v>
      </c>
      <c r="E305" s="138">
        <v>100</v>
      </c>
      <c r="F305" s="138">
        <v>0</v>
      </c>
    </row>
    <row r="306" spans="1:6" ht="14.25" customHeight="1">
      <c r="A306" s="132">
        <v>1995</v>
      </c>
      <c r="B306" s="138">
        <v>300</v>
      </c>
      <c r="C306" s="138">
        <v>200</v>
      </c>
      <c r="D306" s="138">
        <v>0</v>
      </c>
      <c r="E306" s="138">
        <v>0</v>
      </c>
      <c r="F306" s="138">
        <v>0</v>
      </c>
    </row>
    <row r="307" spans="1:6" ht="14.25" customHeight="1">
      <c r="A307" s="132">
        <v>1996</v>
      </c>
      <c r="B307" s="138">
        <v>200</v>
      </c>
      <c r="C307" s="138">
        <v>200</v>
      </c>
      <c r="D307" s="138">
        <v>0</v>
      </c>
      <c r="E307" s="138">
        <v>0</v>
      </c>
      <c r="F307" s="138">
        <v>0</v>
      </c>
    </row>
    <row r="308" spans="1:6" ht="14.25" customHeight="1">
      <c r="A308" s="132">
        <v>1997</v>
      </c>
      <c r="B308" s="138">
        <v>200</v>
      </c>
      <c r="C308" s="138">
        <v>200</v>
      </c>
      <c r="D308" s="138">
        <v>0</v>
      </c>
      <c r="E308" s="138">
        <v>0</v>
      </c>
      <c r="F308" s="138">
        <v>0</v>
      </c>
    </row>
    <row r="309" spans="1:6" ht="14.25" customHeight="1">
      <c r="A309" s="132">
        <v>1998</v>
      </c>
      <c r="B309" s="138">
        <v>300</v>
      </c>
      <c r="C309" s="138">
        <v>200</v>
      </c>
      <c r="D309" s="138">
        <v>0</v>
      </c>
      <c r="E309" s="138">
        <v>100</v>
      </c>
      <c r="F309" s="138">
        <v>0</v>
      </c>
    </row>
    <row r="310" spans="1:6" ht="14.25" customHeight="1">
      <c r="A310" s="132">
        <v>1999</v>
      </c>
      <c r="B310" s="138">
        <v>300</v>
      </c>
      <c r="C310" s="138">
        <v>200</v>
      </c>
      <c r="D310" s="138">
        <v>0</v>
      </c>
      <c r="E310" s="138">
        <v>100</v>
      </c>
      <c r="F310" s="138">
        <v>0</v>
      </c>
    </row>
    <row r="311" spans="1:6" ht="14.25" customHeight="1">
      <c r="A311" s="132">
        <v>2000</v>
      </c>
      <c r="B311" s="138">
        <v>300</v>
      </c>
      <c r="C311" s="138">
        <v>200</v>
      </c>
      <c r="D311" s="138">
        <v>0</v>
      </c>
      <c r="E311" s="138">
        <v>0</v>
      </c>
      <c r="F311" s="138">
        <v>0</v>
      </c>
    </row>
    <row r="312" spans="1:6" ht="14.25" customHeight="1">
      <c r="A312" s="132">
        <v>2001</v>
      </c>
      <c r="B312" s="138">
        <v>400</v>
      </c>
      <c r="C312" s="138">
        <v>300</v>
      </c>
      <c r="D312" s="138">
        <v>0</v>
      </c>
      <c r="E312" s="138">
        <v>100</v>
      </c>
      <c r="F312" s="138">
        <v>0</v>
      </c>
    </row>
    <row r="313" spans="1:6" ht="14.25" customHeight="1">
      <c r="A313" s="132">
        <v>2002</v>
      </c>
      <c r="B313" s="138">
        <v>400</v>
      </c>
      <c r="C313" s="138">
        <v>300</v>
      </c>
      <c r="D313" s="138">
        <v>0</v>
      </c>
      <c r="E313" s="138">
        <v>100</v>
      </c>
      <c r="F313" s="138">
        <v>0</v>
      </c>
    </row>
    <row r="314" spans="1:6" ht="14.25" customHeight="1">
      <c r="A314" s="132">
        <v>2003</v>
      </c>
      <c r="B314" s="138">
        <v>400</v>
      </c>
      <c r="C314" s="138">
        <v>300</v>
      </c>
      <c r="D314" s="138">
        <v>0</v>
      </c>
      <c r="E314" s="138">
        <v>100</v>
      </c>
      <c r="F314" s="138">
        <v>0</v>
      </c>
    </row>
    <row r="315" spans="1:6" ht="14.25" customHeight="1">
      <c r="A315" s="132">
        <v>2004</v>
      </c>
      <c r="B315" s="138">
        <v>400</v>
      </c>
      <c r="C315" s="138">
        <v>300</v>
      </c>
      <c r="D315" s="138">
        <v>0</v>
      </c>
      <c r="E315" s="138">
        <v>0</v>
      </c>
      <c r="F315" s="138">
        <v>0</v>
      </c>
    </row>
    <row r="316" spans="1:6" ht="14.25" customHeight="1">
      <c r="A316" s="132">
        <v>2005</v>
      </c>
      <c r="B316" s="138">
        <v>500</v>
      </c>
      <c r="C316" s="138">
        <v>400</v>
      </c>
      <c r="D316" s="138">
        <v>0</v>
      </c>
      <c r="E316" s="138">
        <v>100</v>
      </c>
      <c r="F316" s="138">
        <v>0</v>
      </c>
    </row>
    <row r="317" spans="1:6" ht="14.25" customHeight="1">
      <c r="A317" s="132">
        <v>2006</v>
      </c>
      <c r="B317" s="138">
        <v>500</v>
      </c>
      <c r="C317" s="138">
        <v>400</v>
      </c>
      <c r="D317" s="138">
        <v>0</v>
      </c>
      <c r="E317" s="138">
        <v>100</v>
      </c>
      <c r="F317" s="138">
        <v>100</v>
      </c>
    </row>
    <row r="318" spans="1:6" ht="14.25" customHeight="1">
      <c r="A318" s="132">
        <v>2007</v>
      </c>
      <c r="B318" s="138">
        <v>600</v>
      </c>
      <c r="C318" s="138">
        <v>400</v>
      </c>
      <c r="D318" s="138">
        <v>0</v>
      </c>
      <c r="E318" s="138">
        <v>100</v>
      </c>
      <c r="F318" s="138">
        <v>100</v>
      </c>
    </row>
    <row r="319" spans="1:6" ht="14.25" customHeight="1">
      <c r="A319" s="132">
        <v>2008</v>
      </c>
      <c r="B319" s="138">
        <v>600</v>
      </c>
      <c r="C319" s="138">
        <v>400</v>
      </c>
      <c r="D319" s="138">
        <v>0</v>
      </c>
      <c r="E319" s="138">
        <v>100</v>
      </c>
      <c r="F319" s="138">
        <v>0</v>
      </c>
    </row>
    <row r="320" spans="1:6" ht="14.25" customHeight="1">
      <c r="A320" s="132">
        <v>2009</v>
      </c>
      <c r="B320" s="138">
        <v>600</v>
      </c>
      <c r="C320" s="138">
        <v>400</v>
      </c>
      <c r="D320" s="138">
        <v>0</v>
      </c>
      <c r="E320" s="138">
        <v>0</v>
      </c>
      <c r="F320" s="138">
        <v>100</v>
      </c>
    </row>
    <row r="321" spans="1:6" ht="14.25" customHeight="1">
      <c r="A321" s="132">
        <v>2010</v>
      </c>
      <c r="B321" s="138">
        <v>500</v>
      </c>
      <c r="C321" s="138">
        <v>400</v>
      </c>
      <c r="D321" s="138">
        <v>0</v>
      </c>
      <c r="E321" s="138">
        <v>100</v>
      </c>
      <c r="F321" s="138">
        <v>100</v>
      </c>
    </row>
    <row r="322" spans="1:6" ht="14.25" customHeight="1">
      <c r="A322" s="132">
        <v>2011</v>
      </c>
      <c r="B322" s="138">
        <v>500</v>
      </c>
      <c r="C322" s="138">
        <v>400</v>
      </c>
      <c r="D322" s="138">
        <v>0</v>
      </c>
      <c r="E322" s="138">
        <v>0</v>
      </c>
      <c r="F322" s="138">
        <v>100</v>
      </c>
    </row>
    <row r="323" spans="1:6" ht="14.25" customHeight="1">
      <c r="A323" s="132">
        <v>2012</v>
      </c>
      <c r="B323" s="138">
        <v>500</v>
      </c>
      <c r="C323" s="138">
        <v>400</v>
      </c>
      <c r="D323" s="138">
        <v>0</v>
      </c>
      <c r="E323" s="138">
        <v>100</v>
      </c>
      <c r="F323" s="138">
        <v>100</v>
      </c>
    </row>
    <row r="324" spans="1:6" ht="14.25" customHeight="1">
      <c r="A324" s="132">
        <v>2013</v>
      </c>
      <c r="B324" s="138">
        <v>500</v>
      </c>
      <c r="C324" s="138">
        <v>400</v>
      </c>
      <c r="D324" s="138">
        <v>0</v>
      </c>
      <c r="E324" s="138">
        <v>0</v>
      </c>
      <c r="F324" s="138">
        <v>0</v>
      </c>
    </row>
    <row r="325" spans="1:6" ht="14.25" customHeight="1">
      <c r="A325" s="132">
        <v>2014</v>
      </c>
      <c r="B325" s="138">
        <v>700</v>
      </c>
      <c r="C325" s="138">
        <v>500</v>
      </c>
      <c r="D325" s="138">
        <v>0</v>
      </c>
      <c r="E325" s="138">
        <v>100</v>
      </c>
      <c r="F325" s="138">
        <v>100</v>
      </c>
    </row>
    <row r="326" spans="1:6" ht="14.25" customHeight="1">
      <c r="A326" s="132">
        <v>2015</v>
      </c>
      <c r="B326" s="138">
        <v>800</v>
      </c>
      <c r="C326" s="138">
        <v>700</v>
      </c>
      <c r="D326" s="138">
        <v>0</v>
      </c>
      <c r="E326" s="138">
        <v>100</v>
      </c>
      <c r="F326" s="138">
        <v>100</v>
      </c>
    </row>
    <row r="327" spans="1:6" ht="14.25" customHeight="1">
      <c r="A327" s="132">
        <v>2016</v>
      </c>
      <c r="B327" s="138">
        <v>900</v>
      </c>
      <c r="C327" s="138">
        <v>700</v>
      </c>
      <c r="D327" s="138">
        <v>0</v>
      </c>
      <c r="E327" s="138">
        <v>100</v>
      </c>
      <c r="F327" s="138">
        <v>100</v>
      </c>
    </row>
    <row r="329" spans="1:6" ht="14.25" customHeight="1">
      <c r="B329" s="774" t="s">
        <v>12</v>
      </c>
      <c r="C329" s="774"/>
      <c r="D329" s="774"/>
      <c r="E329" s="774"/>
      <c r="F329" s="774"/>
    </row>
    <row r="330" spans="1:6" ht="14.25" customHeight="1">
      <c r="A330" s="132">
        <v>1979</v>
      </c>
      <c r="B330" s="138">
        <v>100</v>
      </c>
      <c r="C330" s="138">
        <v>100</v>
      </c>
      <c r="D330" s="138">
        <v>0</v>
      </c>
      <c r="E330" s="138">
        <v>0</v>
      </c>
      <c r="F330" s="138">
        <v>100</v>
      </c>
    </row>
    <row r="331" spans="1:6" ht="14.25" customHeight="1">
      <c r="A331" s="132">
        <v>1980</v>
      </c>
      <c r="B331" s="138">
        <v>100</v>
      </c>
      <c r="C331" s="138">
        <v>0</v>
      </c>
      <c r="D331" s="138">
        <v>0</v>
      </c>
      <c r="E331" s="138">
        <v>0</v>
      </c>
      <c r="F331" s="138">
        <v>0</v>
      </c>
    </row>
    <row r="332" spans="1:6" ht="14.25" customHeight="1">
      <c r="A332" s="132">
        <v>1981</v>
      </c>
      <c r="B332" s="138">
        <v>100</v>
      </c>
      <c r="C332" s="138">
        <v>0</v>
      </c>
      <c r="D332" s="138">
        <v>0</v>
      </c>
      <c r="E332" s="138">
        <v>0</v>
      </c>
      <c r="F332" s="138">
        <v>0</v>
      </c>
    </row>
    <row r="333" spans="1:6" ht="14.25" customHeight="1">
      <c r="A333" s="132">
        <v>1982</v>
      </c>
      <c r="B333" s="138">
        <v>100</v>
      </c>
      <c r="C333" s="138">
        <v>0</v>
      </c>
      <c r="D333" s="138">
        <v>0</v>
      </c>
      <c r="E333" s="138">
        <v>0</v>
      </c>
      <c r="F333" s="138">
        <v>0</v>
      </c>
    </row>
    <row r="334" spans="1:6" ht="14.25" customHeight="1">
      <c r="A334" s="132">
        <v>1983</v>
      </c>
      <c r="B334" s="138">
        <v>100</v>
      </c>
      <c r="C334" s="138">
        <v>0</v>
      </c>
      <c r="D334" s="138">
        <v>0</v>
      </c>
      <c r="E334" s="138">
        <v>0</v>
      </c>
      <c r="F334" s="138">
        <v>0</v>
      </c>
    </row>
    <row r="335" spans="1:6" ht="14.25" customHeight="1">
      <c r="A335" s="132">
        <v>1984</v>
      </c>
      <c r="B335" s="138">
        <v>100</v>
      </c>
      <c r="C335" s="138">
        <v>0</v>
      </c>
      <c r="D335" s="138">
        <v>0</v>
      </c>
      <c r="E335" s="138">
        <v>0</v>
      </c>
      <c r="F335" s="138">
        <v>0</v>
      </c>
    </row>
    <row r="336" spans="1:6" ht="14.25" customHeight="1">
      <c r="A336" s="132">
        <v>1985</v>
      </c>
      <c r="B336" s="138">
        <v>100</v>
      </c>
      <c r="C336" s="138">
        <v>0</v>
      </c>
      <c r="D336" s="138">
        <v>0</v>
      </c>
      <c r="E336" s="138">
        <v>0</v>
      </c>
      <c r="F336" s="138">
        <v>0</v>
      </c>
    </row>
    <row r="337" spans="1:6" ht="14.25" customHeight="1">
      <c r="A337" s="132">
        <v>1986</v>
      </c>
      <c r="B337" s="138">
        <v>100</v>
      </c>
      <c r="C337" s="138">
        <v>0</v>
      </c>
      <c r="D337" s="138">
        <v>0</v>
      </c>
      <c r="E337" s="138">
        <v>0</v>
      </c>
      <c r="F337" s="138">
        <v>0</v>
      </c>
    </row>
    <row r="338" spans="1:6" ht="14.25" customHeight="1">
      <c r="A338" s="132">
        <v>1987</v>
      </c>
      <c r="B338" s="138">
        <v>200</v>
      </c>
      <c r="C338" s="138">
        <v>100</v>
      </c>
      <c r="D338" s="138">
        <v>0</v>
      </c>
      <c r="E338" s="138">
        <v>100</v>
      </c>
      <c r="F338" s="138">
        <v>0</v>
      </c>
    </row>
    <row r="339" spans="1:6" ht="14.25" customHeight="1">
      <c r="A339" s="132">
        <v>1988</v>
      </c>
      <c r="B339" s="138">
        <v>100</v>
      </c>
      <c r="C339" s="138">
        <v>0</v>
      </c>
      <c r="D339" s="138">
        <v>0</v>
      </c>
      <c r="E339" s="138">
        <v>0</v>
      </c>
      <c r="F339" s="138">
        <v>0</v>
      </c>
    </row>
    <row r="340" spans="1:6" ht="14.25" customHeight="1">
      <c r="A340" s="132">
        <v>1989</v>
      </c>
      <c r="B340" s="138">
        <v>200</v>
      </c>
      <c r="C340" s="138">
        <v>100</v>
      </c>
      <c r="D340" s="138">
        <v>0</v>
      </c>
      <c r="E340" s="138">
        <v>0</v>
      </c>
      <c r="F340" s="138">
        <v>100</v>
      </c>
    </row>
    <row r="341" spans="1:6" ht="14.25" customHeight="1">
      <c r="A341" s="132">
        <v>1990</v>
      </c>
      <c r="B341" s="138">
        <v>200</v>
      </c>
      <c r="C341" s="138">
        <v>100</v>
      </c>
      <c r="D341" s="138">
        <v>0</v>
      </c>
      <c r="E341" s="138">
        <v>0</v>
      </c>
      <c r="F341" s="138">
        <v>100</v>
      </c>
    </row>
    <row r="342" spans="1:6" ht="14.25" customHeight="1">
      <c r="A342" s="132">
        <v>1991</v>
      </c>
      <c r="B342" s="138">
        <v>200</v>
      </c>
      <c r="C342" s="138">
        <v>100</v>
      </c>
      <c r="D342" s="138">
        <v>0</v>
      </c>
      <c r="E342" s="138">
        <v>0</v>
      </c>
      <c r="F342" s="138">
        <v>100</v>
      </c>
    </row>
    <row r="343" spans="1:6" ht="14.25" customHeight="1">
      <c r="A343" s="132">
        <v>1992</v>
      </c>
      <c r="B343" s="138">
        <v>200</v>
      </c>
      <c r="C343" s="138">
        <v>100</v>
      </c>
      <c r="D343" s="138">
        <v>0</v>
      </c>
      <c r="E343" s="138">
        <v>0</v>
      </c>
      <c r="F343" s="138">
        <v>0</v>
      </c>
    </row>
    <row r="344" spans="1:6" ht="14.25" customHeight="1">
      <c r="A344" s="132">
        <v>1993</v>
      </c>
      <c r="B344" s="138">
        <v>200</v>
      </c>
      <c r="C344" s="138">
        <v>100</v>
      </c>
      <c r="D344" s="138">
        <v>0</v>
      </c>
      <c r="E344" s="138">
        <v>0</v>
      </c>
      <c r="F344" s="138">
        <v>0</v>
      </c>
    </row>
    <row r="345" spans="1:6" ht="14.25" customHeight="1">
      <c r="A345" s="132">
        <v>1994</v>
      </c>
      <c r="B345" s="138">
        <v>300</v>
      </c>
      <c r="C345" s="138">
        <v>200</v>
      </c>
      <c r="D345" s="138">
        <v>0</v>
      </c>
      <c r="E345" s="138">
        <v>0</v>
      </c>
      <c r="F345" s="138">
        <v>0</v>
      </c>
    </row>
    <row r="346" spans="1:6" ht="14.25" customHeight="1">
      <c r="A346" s="132">
        <v>1995</v>
      </c>
      <c r="B346" s="138">
        <v>300</v>
      </c>
      <c r="C346" s="138">
        <v>200</v>
      </c>
      <c r="D346" s="138">
        <v>0</v>
      </c>
      <c r="E346" s="138">
        <v>0</v>
      </c>
      <c r="F346" s="138">
        <v>0</v>
      </c>
    </row>
    <row r="347" spans="1:6" ht="14.25" customHeight="1">
      <c r="A347" s="132">
        <v>1996</v>
      </c>
      <c r="B347" s="138">
        <v>200</v>
      </c>
      <c r="C347" s="138">
        <v>200</v>
      </c>
      <c r="D347" s="138">
        <v>0</v>
      </c>
      <c r="E347" s="138">
        <v>0</v>
      </c>
      <c r="F347" s="138">
        <v>0</v>
      </c>
    </row>
    <row r="348" spans="1:6" ht="14.25" customHeight="1">
      <c r="A348" s="132">
        <v>1997</v>
      </c>
      <c r="B348" s="138">
        <v>300</v>
      </c>
      <c r="C348" s="138">
        <v>200</v>
      </c>
      <c r="D348" s="138">
        <v>0</v>
      </c>
      <c r="E348" s="138">
        <v>0</v>
      </c>
      <c r="F348" s="138">
        <v>0</v>
      </c>
    </row>
    <row r="349" spans="1:6" ht="14.25" customHeight="1">
      <c r="A349" s="132">
        <v>1998</v>
      </c>
      <c r="B349" s="138">
        <v>300</v>
      </c>
      <c r="C349" s="138">
        <v>200</v>
      </c>
      <c r="D349" s="138">
        <v>0</v>
      </c>
      <c r="E349" s="138">
        <v>0</v>
      </c>
      <c r="F349" s="138">
        <v>0</v>
      </c>
    </row>
    <row r="350" spans="1:6" ht="14.25" customHeight="1">
      <c r="A350" s="132">
        <v>1999</v>
      </c>
      <c r="B350" s="138">
        <v>300</v>
      </c>
      <c r="C350" s="138">
        <v>200</v>
      </c>
      <c r="D350" s="138">
        <v>0</v>
      </c>
      <c r="E350" s="138">
        <v>0</v>
      </c>
      <c r="F350" s="138">
        <v>0</v>
      </c>
    </row>
    <row r="351" spans="1:6" ht="14.25" customHeight="1">
      <c r="A351" s="132">
        <v>2000</v>
      </c>
      <c r="B351" s="138">
        <v>300</v>
      </c>
      <c r="C351" s="138">
        <v>200</v>
      </c>
      <c r="D351" s="138">
        <v>0</v>
      </c>
      <c r="E351" s="138">
        <v>0</v>
      </c>
      <c r="F351" s="138">
        <v>0</v>
      </c>
    </row>
    <row r="352" spans="1:6" ht="14.25" customHeight="1">
      <c r="A352" s="132">
        <v>2001</v>
      </c>
      <c r="B352" s="138">
        <v>400</v>
      </c>
      <c r="C352" s="138">
        <v>300</v>
      </c>
      <c r="D352" s="138">
        <v>0</v>
      </c>
      <c r="E352" s="138">
        <v>100</v>
      </c>
      <c r="F352" s="138">
        <v>0</v>
      </c>
    </row>
    <row r="353" spans="1:6" ht="14.25" customHeight="1">
      <c r="A353" s="132">
        <v>2002</v>
      </c>
      <c r="B353" s="138">
        <v>300</v>
      </c>
      <c r="C353" s="138">
        <v>200</v>
      </c>
      <c r="D353" s="138">
        <v>0</v>
      </c>
      <c r="E353" s="138">
        <v>0</v>
      </c>
      <c r="F353" s="138">
        <v>0</v>
      </c>
    </row>
    <row r="354" spans="1:6" ht="14.25" customHeight="1">
      <c r="A354" s="132">
        <v>2003</v>
      </c>
      <c r="B354" s="138">
        <v>400</v>
      </c>
      <c r="C354" s="138">
        <v>300</v>
      </c>
      <c r="D354" s="138">
        <v>0</v>
      </c>
      <c r="E354" s="138">
        <v>0</v>
      </c>
      <c r="F354" s="138">
        <v>0</v>
      </c>
    </row>
    <row r="355" spans="1:6" ht="14.25" customHeight="1">
      <c r="A355" s="132">
        <v>2004</v>
      </c>
      <c r="B355" s="138">
        <v>400</v>
      </c>
      <c r="C355" s="138">
        <v>300</v>
      </c>
      <c r="D355" s="138">
        <v>0</v>
      </c>
      <c r="E355" s="138">
        <v>0</v>
      </c>
      <c r="F355" s="138">
        <v>0</v>
      </c>
    </row>
    <row r="356" spans="1:6" ht="14.25" customHeight="1">
      <c r="A356" s="132">
        <v>2005</v>
      </c>
      <c r="B356" s="138">
        <v>500</v>
      </c>
      <c r="C356" s="138">
        <v>400</v>
      </c>
      <c r="D356" s="138">
        <v>0</v>
      </c>
      <c r="E356" s="138">
        <v>100</v>
      </c>
      <c r="F356" s="138">
        <v>0</v>
      </c>
    </row>
    <row r="357" spans="1:6" ht="14.25" customHeight="1">
      <c r="A357" s="132">
        <v>2006</v>
      </c>
      <c r="B357" s="138">
        <v>400</v>
      </c>
      <c r="C357" s="138">
        <v>300</v>
      </c>
      <c r="D357" s="138">
        <v>0</v>
      </c>
      <c r="E357" s="138">
        <v>100</v>
      </c>
      <c r="F357" s="138">
        <v>100</v>
      </c>
    </row>
    <row r="358" spans="1:6" ht="14.25" customHeight="1">
      <c r="A358" s="132">
        <v>2007</v>
      </c>
      <c r="B358" s="138">
        <v>500</v>
      </c>
      <c r="C358" s="138">
        <v>400</v>
      </c>
      <c r="D358" s="138">
        <v>0</v>
      </c>
      <c r="E358" s="138">
        <v>100</v>
      </c>
      <c r="F358" s="138">
        <v>100</v>
      </c>
    </row>
    <row r="359" spans="1:6" ht="14.25" customHeight="1">
      <c r="A359" s="132">
        <v>2008</v>
      </c>
      <c r="B359" s="138">
        <v>500</v>
      </c>
      <c r="C359" s="138">
        <v>400</v>
      </c>
      <c r="D359" s="138">
        <v>0</v>
      </c>
      <c r="E359" s="138">
        <v>100</v>
      </c>
      <c r="F359" s="138">
        <v>100</v>
      </c>
    </row>
    <row r="360" spans="1:6" ht="14.25" customHeight="1">
      <c r="A360" s="132">
        <v>2009</v>
      </c>
      <c r="B360" s="138">
        <v>600</v>
      </c>
      <c r="C360" s="138">
        <v>400</v>
      </c>
      <c r="D360" s="138">
        <v>0</v>
      </c>
      <c r="E360" s="138">
        <v>0</v>
      </c>
      <c r="F360" s="138">
        <v>100</v>
      </c>
    </row>
    <row r="361" spans="1:6" ht="14.25" customHeight="1">
      <c r="A361" s="132">
        <v>2010</v>
      </c>
      <c r="B361" s="138">
        <v>500</v>
      </c>
      <c r="C361" s="138">
        <v>300</v>
      </c>
      <c r="D361" s="138">
        <v>0</v>
      </c>
      <c r="E361" s="138">
        <v>0</v>
      </c>
      <c r="F361" s="138">
        <v>0</v>
      </c>
    </row>
    <row r="362" spans="1:6" ht="14.25" customHeight="1">
      <c r="A362" s="132">
        <v>2011</v>
      </c>
      <c r="B362" s="138">
        <v>500</v>
      </c>
      <c r="C362" s="138">
        <v>400</v>
      </c>
      <c r="D362" s="138">
        <v>0</v>
      </c>
      <c r="E362" s="138">
        <v>0</v>
      </c>
      <c r="F362" s="138">
        <v>0</v>
      </c>
    </row>
    <row r="363" spans="1:6" ht="14.25" customHeight="1">
      <c r="A363" s="132">
        <v>2012</v>
      </c>
      <c r="B363" s="138">
        <v>400</v>
      </c>
      <c r="C363" s="138">
        <v>300</v>
      </c>
      <c r="D363" s="138">
        <v>0</v>
      </c>
      <c r="E363" s="138">
        <v>0</v>
      </c>
      <c r="F363" s="138">
        <v>0</v>
      </c>
    </row>
    <row r="364" spans="1:6" ht="14.25" customHeight="1">
      <c r="A364" s="132">
        <v>2013</v>
      </c>
      <c r="B364" s="138">
        <v>400</v>
      </c>
      <c r="C364" s="138">
        <v>300</v>
      </c>
      <c r="D364" s="138">
        <v>0</v>
      </c>
      <c r="E364" s="138">
        <v>0</v>
      </c>
      <c r="F364" s="138">
        <v>0</v>
      </c>
    </row>
    <row r="365" spans="1:6" ht="14.25" customHeight="1">
      <c r="A365" s="132">
        <v>2014</v>
      </c>
      <c r="B365" s="138">
        <v>600</v>
      </c>
      <c r="C365" s="138">
        <v>500</v>
      </c>
      <c r="D365" s="138">
        <v>0</v>
      </c>
      <c r="E365" s="138">
        <v>0</v>
      </c>
      <c r="F365" s="138">
        <v>100</v>
      </c>
    </row>
    <row r="366" spans="1:6" ht="14.25" customHeight="1">
      <c r="A366" s="132">
        <v>2015</v>
      </c>
      <c r="B366" s="138">
        <v>800</v>
      </c>
      <c r="C366" s="138">
        <v>600</v>
      </c>
      <c r="D366" s="138">
        <v>0</v>
      </c>
      <c r="E366" s="138">
        <v>100</v>
      </c>
      <c r="F366" s="138">
        <v>100</v>
      </c>
    </row>
    <row r="367" spans="1:6" ht="14.25" customHeight="1">
      <c r="A367" s="132">
        <v>2016</v>
      </c>
      <c r="B367" s="138">
        <v>800</v>
      </c>
      <c r="C367" s="138">
        <v>700</v>
      </c>
      <c r="D367" s="138">
        <v>0</v>
      </c>
      <c r="E367" s="138">
        <v>100</v>
      </c>
      <c r="F367" s="138">
        <v>100</v>
      </c>
    </row>
    <row r="369" spans="1:6" ht="14.25" customHeight="1">
      <c r="B369" s="774" t="s">
        <v>13</v>
      </c>
      <c r="C369" s="774"/>
      <c r="D369" s="774"/>
      <c r="E369" s="774"/>
      <c r="F369" s="774"/>
    </row>
    <row r="370" spans="1:6" ht="14.25" customHeight="1">
      <c r="A370" s="132">
        <v>1979</v>
      </c>
      <c r="B370" s="138">
        <v>200</v>
      </c>
      <c r="C370" s="138">
        <v>100</v>
      </c>
      <c r="D370" s="138">
        <v>0</v>
      </c>
      <c r="E370" s="138">
        <v>0</v>
      </c>
      <c r="F370" s="138">
        <v>100</v>
      </c>
    </row>
    <row r="371" spans="1:6" ht="14.25" customHeight="1">
      <c r="A371" s="132">
        <v>1980</v>
      </c>
      <c r="B371" s="138">
        <v>200</v>
      </c>
      <c r="C371" s="138">
        <v>0</v>
      </c>
      <c r="D371" s="138">
        <v>0</v>
      </c>
      <c r="E371" s="138">
        <v>0</v>
      </c>
      <c r="F371" s="138">
        <v>100</v>
      </c>
    </row>
    <row r="372" spans="1:6" ht="14.25" customHeight="1">
      <c r="A372" s="132">
        <v>1981</v>
      </c>
      <c r="B372" s="138">
        <v>200</v>
      </c>
      <c r="C372" s="138">
        <v>100</v>
      </c>
      <c r="D372" s="138">
        <v>0</v>
      </c>
      <c r="E372" s="138">
        <v>0</v>
      </c>
      <c r="F372" s="138">
        <v>100</v>
      </c>
    </row>
    <row r="373" spans="1:6" ht="14.25" customHeight="1">
      <c r="A373" s="132">
        <v>1982</v>
      </c>
      <c r="B373" s="138">
        <v>200</v>
      </c>
      <c r="C373" s="138">
        <v>100</v>
      </c>
      <c r="D373" s="138">
        <v>0</v>
      </c>
      <c r="E373" s="138">
        <v>0</v>
      </c>
      <c r="F373" s="138">
        <v>0</v>
      </c>
    </row>
    <row r="374" spans="1:6" ht="14.25" customHeight="1">
      <c r="A374" s="132">
        <v>1983</v>
      </c>
      <c r="B374" s="138">
        <v>200</v>
      </c>
      <c r="C374" s="138">
        <v>0</v>
      </c>
      <c r="D374" s="138">
        <v>0</v>
      </c>
      <c r="E374" s="138">
        <v>0</v>
      </c>
      <c r="F374" s="138">
        <v>100</v>
      </c>
    </row>
    <row r="375" spans="1:6" ht="14.25" customHeight="1">
      <c r="A375" s="132">
        <v>1984</v>
      </c>
      <c r="B375" s="138">
        <v>200</v>
      </c>
      <c r="C375" s="138">
        <v>100</v>
      </c>
      <c r="D375" s="138">
        <v>0</v>
      </c>
      <c r="E375" s="138">
        <v>0</v>
      </c>
      <c r="F375" s="138">
        <v>100</v>
      </c>
    </row>
    <row r="376" spans="1:6" ht="14.25" customHeight="1">
      <c r="A376" s="132">
        <v>1985</v>
      </c>
      <c r="B376" s="138">
        <v>200</v>
      </c>
      <c r="C376" s="138">
        <v>100</v>
      </c>
      <c r="D376" s="138">
        <v>0</v>
      </c>
      <c r="E376" s="138">
        <v>0</v>
      </c>
      <c r="F376" s="138">
        <v>100</v>
      </c>
    </row>
    <row r="377" spans="1:6" ht="14.25" customHeight="1">
      <c r="A377" s="132">
        <v>1986</v>
      </c>
      <c r="B377" s="138">
        <v>200</v>
      </c>
      <c r="C377" s="138">
        <v>100</v>
      </c>
      <c r="D377" s="138">
        <v>0</v>
      </c>
      <c r="E377" s="138">
        <v>0</v>
      </c>
      <c r="F377" s="138">
        <v>100</v>
      </c>
    </row>
    <row r="378" spans="1:6" ht="14.25" customHeight="1">
      <c r="A378" s="132">
        <v>1987</v>
      </c>
      <c r="B378" s="138">
        <v>200</v>
      </c>
      <c r="C378" s="138">
        <v>100</v>
      </c>
      <c r="D378" s="138">
        <v>0</v>
      </c>
      <c r="E378" s="138">
        <v>100</v>
      </c>
      <c r="F378" s="138">
        <v>100</v>
      </c>
    </row>
    <row r="379" spans="1:6" ht="14.25" customHeight="1">
      <c r="A379" s="132">
        <v>1988</v>
      </c>
      <c r="B379" s="138">
        <v>200</v>
      </c>
      <c r="C379" s="138">
        <v>100</v>
      </c>
      <c r="D379" s="138">
        <v>0</v>
      </c>
      <c r="E379" s="138">
        <v>0</v>
      </c>
      <c r="F379" s="138">
        <v>100</v>
      </c>
    </row>
    <row r="380" spans="1:6" ht="14.25" customHeight="1">
      <c r="A380" s="132">
        <v>1989</v>
      </c>
      <c r="B380" s="138">
        <v>200</v>
      </c>
      <c r="C380" s="138">
        <v>100</v>
      </c>
      <c r="D380" s="138">
        <v>0</v>
      </c>
      <c r="E380" s="138">
        <v>100</v>
      </c>
      <c r="F380" s="138">
        <v>100</v>
      </c>
    </row>
    <row r="381" spans="1:6" ht="14.25" customHeight="1">
      <c r="A381" s="132">
        <v>1990</v>
      </c>
      <c r="B381" s="138">
        <v>200</v>
      </c>
      <c r="C381" s="138">
        <v>100</v>
      </c>
      <c r="D381" s="138">
        <v>0</v>
      </c>
      <c r="E381" s="138">
        <v>0</v>
      </c>
      <c r="F381" s="138">
        <v>100</v>
      </c>
    </row>
    <row r="382" spans="1:6" ht="14.25" customHeight="1">
      <c r="A382" s="132">
        <v>1991</v>
      </c>
      <c r="B382" s="138">
        <v>300</v>
      </c>
      <c r="C382" s="138">
        <v>200</v>
      </c>
      <c r="D382" s="138">
        <v>0</v>
      </c>
      <c r="E382" s="138">
        <v>100</v>
      </c>
      <c r="F382" s="138">
        <v>100</v>
      </c>
    </row>
    <row r="383" spans="1:6" ht="14.25" customHeight="1">
      <c r="A383" s="132">
        <v>1992</v>
      </c>
      <c r="B383" s="138">
        <v>200</v>
      </c>
      <c r="C383" s="138">
        <v>100</v>
      </c>
      <c r="D383" s="138">
        <v>0</v>
      </c>
      <c r="E383" s="138">
        <v>100</v>
      </c>
      <c r="F383" s="138">
        <v>0</v>
      </c>
    </row>
    <row r="384" spans="1:6" ht="14.25" customHeight="1">
      <c r="A384" s="132">
        <v>1993</v>
      </c>
      <c r="B384" s="138">
        <v>300</v>
      </c>
      <c r="C384" s="138">
        <v>200</v>
      </c>
      <c r="D384" s="138">
        <v>0</v>
      </c>
      <c r="E384" s="138">
        <v>100</v>
      </c>
      <c r="F384" s="138">
        <v>100</v>
      </c>
    </row>
    <row r="385" spans="1:6" ht="14.25" customHeight="1">
      <c r="A385" s="132">
        <v>1994</v>
      </c>
      <c r="B385" s="138">
        <v>300</v>
      </c>
      <c r="C385" s="138">
        <v>200</v>
      </c>
      <c r="D385" s="138">
        <v>0</v>
      </c>
      <c r="E385" s="138">
        <v>100</v>
      </c>
      <c r="F385" s="138">
        <v>100</v>
      </c>
    </row>
    <row r="386" spans="1:6" ht="14.25" customHeight="1">
      <c r="A386" s="132">
        <v>1995</v>
      </c>
      <c r="B386" s="138">
        <v>400</v>
      </c>
      <c r="C386" s="138">
        <v>200</v>
      </c>
      <c r="D386" s="138">
        <v>0</v>
      </c>
      <c r="E386" s="138">
        <v>100</v>
      </c>
      <c r="F386" s="138">
        <v>100</v>
      </c>
    </row>
    <row r="387" spans="1:6" ht="14.25" customHeight="1">
      <c r="A387" s="132">
        <v>1996</v>
      </c>
      <c r="B387" s="138">
        <v>300</v>
      </c>
      <c r="C387" s="138">
        <v>200</v>
      </c>
      <c r="D387" s="138">
        <v>0</v>
      </c>
      <c r="E387" s="138">
        <v>0</v>
      </c>
      <c r="F387" s="138">
        <v>0</v>
      </c>
    </row>
    <row r="388" spans="1:6" ht="14.25" customHeight="1">
      <c r="A388" s="132">
        <v>1997</v>
      </c>
      <c r="B388" s="138">
        <v>200</v>
      </c>
      <c r="C388" s="138">
        <v>100</v>
      </c>
      <c r="D388" s="138">
        <v>0</v>
      </c>
      <c r="E388" s="138">
        <v>0</v>
      </c>
      <c r="F388" s="138">
        <v>0</v>
      </c>
    </row>
    <row r="389" spans="1:6" ht="14.25" customHeight="1">
      <c r="A389" s="132">
        <v>1998</v>
      </c>
      <c r="B389" s="138">
        <v>300</v>
      </c>
      <c r="C389" s="138">
        <v>200</v>
      </c>
      <c r="D389" s="138">
        <v>0</v>
      </c>
      <c r="E389" s="138">
        <v>0</v>
      </c>
      <c r="F389" s="138">
        <v>100</v>
      </c>
    </row>
    <row r="390" spans="1:6" ht="14.25" customHeight="1">
      <c r="A390" s="132">
        <v>1999</v>
      </c>
      <c r="B390" s="138">
        <v>300</v>
      </c>
      <c r="C390" s="138">
        <v>200</v>
      </c>
      <c r="D390" s="138">
        <v>0</v>
      </c>
      <c r="E390" s="138">
        <v>100</v>
      </c>
      <c r="F390" s="138">
        <v>0</v>
      </c>
    </row>
    <row r="391" spans="1:6" ht="14.25" customHeight="1">
      <c r="A391" s="132">
        <v>2000</v>
      </c>
      <c r="B391" s="138">
        <v>400</v>
      </c>
      <c r="C391" s="138">
        <v>300</v>
      </c>
      <c r="D391" s="138">
        <v>0</v>
      </c>
      <c r="E391" s="138">
        <v>100</v>
      </c>
      <c r="F391" s="138">
        <v>0</v>
      </c>
    </row>
    <row r="392" spans="1:6" ht="14.25" customHeight="1">
      <c r="A392" s="132">
        <v>2001</v>
      </c>
      <c r="B392" s="138">
        <v>400</v>
      </c>
      <c r="C392" s="138">
        <v>300</v>
      </c>
      <c r="D392" s="138">
        <v>0</v>
      </c>
      <c r="E392" s="138">
        <v>100</v>
      </c>
      <c r="F392" s="138">
        <v>0</v>
      </c>
    </row>
    <row r="393" spans="1:6" ht="14.25" customHeight="1">
      <c r="A393" s="132">
        <v>2002</v>
      </c>
      <c r="B393" s="138">
        <v>500</v>
      </c>
      <c r="C393" s="138">
        <v>400</v>
      </c>
      <c r="D393" s="138">
        <v>0</v>
      </c>
      <c r="E393" s="138">
        <v>100</v>
      </c>
      <c r="F393" s="138">
        <v>100</v>
      </c>
    </row>
    <row r="394" spans="1:6" ht="14.25" customHeight="1">
      <c r="A394" s="132">
        <v>2003</v>
      </c>
      <c r="B394" s="138">
        <v>400</v>
      </c>
      <c r="C394" s="138">
        <v>300</v>
      </c>
      <c r="D394" s="138">
        <v>0</v>
      </c>
      <c r="E394" s="138">
        <v>100</v>
      </c>
      <c r="F394" s="138">
        <v>0</v>
      </c>
    </row>
    <row r="395" spans="1:6" ht="14.25" customHeight="1">
      <c r="A395" s="132">
        <v>2004</v>
      </c>
      <c r="B395" s="138">
        <v>400</v>
      </c>
      <c r="C395" s="138">
        <v>300</v>
      </c>
      <c r="D395" s="138">
        <v>0</v>
      </c>
      <c r="E395" s="138">
        <v>0</v>
      </c>
      <c r="F395" s="138">
        <v>0</v>
      </c>
    </row>
    <row r="396" spans="1:6" ht="14.25" customHeight="1">
      <c r="A396" s="132">
        <v>2005</v>
      </c>
      <c r="B396" s="138">
        <v>400</v>
      </c>
      <c r="C396" s="138">
        <v>300</v>
      </c>
      <c r="D396" s="138">
        <v>0</v>
      </c>
      <c r="E396" s="138">
        <v>0</v>
      </c>
      <c r="F396" s="138">
        <v>0</v>
      </c>
    </row>
    <row r="397" spans="1:6" ht="14.25" customHeight="1">
      <c r="A397" s="132">
        <v>2006</v>
      </c>
      <c r="B397" s="138">
        <v>500</v>
      </c>
      <c r="C397" s="138">
        <v>400</v>
      </c>
      <c r="D397" s="138">
        <v>0</v>
      </c>
      <c r="E397" s="138">
        <v>100</v>
      </c>
      <c r="F397" s="138">
        <v>100</v>
      </c>
    </row>
    <row r="398" spans="1:6" ht="14.25" customHeight="1">
      <c r="A398" s="132">
        <v>2007</v>
      </c>
      <c r="B398" s="138">
        <v>500</v>
      </c>
      <c r="C398" s="138">
        <v>400</v>
      </c>
      <c r="D398" s="138">
        <v>0</v>
      </c>
      <c r="E398" s="138">
        <v>0</v>
      </c>
      <c r="F398" s="138">
        <v>100</v>
      </c>
    </row>
    <row r="399" spans="1:6" ht="14.25" customHeight="1">
      <c r="A399" s="132">
        <v>2008</v>
      </c>
      <c r="B399" s="138">
        <v>600</v>
      </c>
      <c r="C399" s="138">
        <v>400</v>
      </c>
      <c r="D399" s="138">
        <v>0</v>
      </c>
      <c r="E399" s="138">
        <v>100</v>
      </c>
      <c r="F399" s="138">
        <v>100</v>
      </c>
    </row>
    <row r="400" spans="1:6" ht="14.25" customHeight="1">
      <c r="A400" s="132">
        <v>2009</v>
      </c>
      <c r="B400" s="138">
        <v>600</v>
      </c>
      <c r="C400" s="138">
        <v>400</v>
      </c>
      <c r="D400" s="138">
        <v>0</v>
      </c>
      <c r="E400" s="138">
        <v>100</v>
      </c>
      <c r="F400" s="138">
        <v>100</v>
      </c>
    </row>
    <row r="401" spans="1:6" ht="14.25" customHeight="1">
      <c r="A401" s="132">
        <v>2010</v>
      </c>
      <c r="B401" s="138">
        <v>800</v>
      </c>
      <c r="C401" s="138">
        <v>600</v>
      </c>
      <c r="D401" s="138">
        <v>0</v>
      </c>
      <c r="E401" s="138">
        <v>100</v>
      </c>
      <c r="F401" s="138">
        <v>100</v>
      </c>
    </row>
    <row r="402" spans="1:6" ht="14.25" customHeight="1">
      <c r="A402" s="132">
        <v>2011</v>
      </c>
      <c r="B402" s="138">
        <v>800</v>
      </c>
      <c r="C402" s="138">
        <v>500</v>
      </c>
      <c r="D402" s="138">
        <v>0</v>
      </c>
      <c r="E402" s="138">
        <v>100</v>
      </c>
      <c r="F402" s="138">
        <v>100</v>
      </c>
    </row>
    <row r="403" spans="1:6" ht="14.25" customHeight="1">
      <c r="A403" s="132">
        <v>2012</v>
      </c>
      <c r="B403" s="138">
        <v>700</v>
      </c>
      <c r="C403" s="138">
        <v>500</v>
      </c>
      <c r="D403" s="138">
        <v>0</v>
      </c>
      <c r="E403" s="138">
        <v>100</v>
      </c>
      <c r="F403" s="138">
        <v>100</v>
      </c>
    </row>
    <row r="404" spans="1:6" ht="14.25" customHeight="1">
      <c r="A404" s="132">
        <v>2013</v>
      </c>
      <c r="B404" s="138">
        <v>700</v>
      </c>
      <c r="C404" s="138">
        <v>500</v>
      </c>
      <c r="D404" s="138">
        <v>0</v>
      </c>
      <c r="E404" s="138">
        <v>0</v>
      </c>
      <c r="F404" s="138">
        <v>100</v>
      </c>
    </row>
    <row r="405" spans="1:6" ht="14.25" customHeight="1">
      <c r="A405" s="132">
        <v>2014</v>
      </c>
      <c r="B405" s="138">
        <v>900</v>
      </c>
      <c r="C405" s="138">
        <v>700</v>
      </c>
      <c r="D405" s="138">
        <v>100</v>
      </c>
      <c r="E405" s="138">
        <v>0</v>
      </c>
      <c r="F405" s="138">
        <v>100</v>
      </c>
    </row>
    <row r="406" spans="1:6" ht="14.25" customHeight="1">
      <c r="A406" s="132">
        <v>2015</v>
      </c>
      <c r="B406" s="138">
        <v>1000</v>
      </c>
      <c r="C406" s="138">
        <v>800</v>
      </c>
      <c r="D406" s="138">
        <v>0</v>
      </c>
      <c r="E406" s="138">
        <v>100</v>
      </c>
      <c r="F406" s="138">
        <v>100</v>
      </c>
    </row>
    <row r="407" spans="1:6" ht="14.25" customHeight="1">
      <c r="A407" s="132">
        <v>2016</v>
      </c>
      <c r="B407" s="138">
        <v>1000</v>
      </c>
      <c r="C407" s="138">
        <v>800</v>
      </c>
      <c r="D407" s="138">
        <v>0</v>
      </c>
      <c r="E407" s="138">
        <v>0</v>
      </c>
      <c r="F407" s="138">
        <v>100</v>
      </c>
    </row>
    <row r="408" spans="1:6" ht="14.25" customHeight="1">
      <c r="A408" s="209"/>
      <c r="B408" s="209"/>
      <c r="C408" s="209"/>
      <c r="D408" s="209"/>
      <c r="E408" s="209"/>
      <c r="F408" s="209"/>
    </row>
    <row r="409" spans="1:6" ht="14.25" customHeight="1">
      <c r="A409" s="135" t="s">
        <v>14</v>
      </c>
    </row>
    <row r="411" spans="1:6" ht="14.25" customHeight="1">
      <c r="A411" s="770" t="s">
        <v>247</v>
      </c>
      <c r="B411" s="770"/>
      <c r="C411" s="770"/>
      <c r="D411" s="770"/>
      <c r="E411" s="770"/>
      <c r="F411" s="770"/>
    </row>
    <row r="412" spans="1:6" ht="14.25" customHeight="1">
      <c r="A412" s="770"/>
      <c r="B412" s="770"/>
      <c r="C412" s="770"/>
      <c r="D412" s="770"/>
      <c r="E412" s="770"/>
      <c r="F412" s="770"/>
    </row>
    <row r="414" spans="1:6" ht="14.25" customHeight="1">
      <c r="A414" s="209"/>
      <c r="B414" s="209"/>
      <c r="C414" s="209"/>
      <c r="D414" s="209"/>
      <c r="E414" s="209"/>
      <c r="F414" s="209"/>
    </row>
    <row r="416" spans="1:6" ht="14.25" customHeight="1">
      <c r="A416" s="772" t="s">
        <v>2</v>
      </c>
      <c r="B416" s="772"/>
      <c r="C416" s="772"/>
    </row>
  </sheetData>
  <mergeCells count="14">
    <mergeCell ref="B89:F89"/>
    <mergeCell ref="A1:K1"/>
    <mergeCell ref="A2:D2"/>
    <mergeCell ref="B9:F9"/>
    <mergeCell ref="B49:F49"/>
    <mergeCell ref="B369:F369"/>
    <mergeCell ref="A411:F412"/>
    <mergeCell ref="A416:C416"/>
    <mergeCell ref="B129:F129"/>
    <mergeCell ref="B169:F169"/>
    <mergeCell ref="B209:F209"/>
    <mergeCell ref="B249:F249"/>
    <mergeCell ref="B289:F289"/>
    <mergeCell ref="B329:F329"/>
  </mergeCells>
  <hyperlinks>
    <hyperlink ref="A2" r:id="rId1" xr:uid="{E8A33BAD-EC94-40CF-8EDA-59FB53AC3F7A}"/>
    <hyperlink ref="A416" location="'Contents and Notes'!A1" display="Return to Contents and Notes" xr:uid="{6F0DB11E-8D8C-49B1-BA34-A4069721FE57}"/>
    <hyperlink ref="L1" location="Index!A1" display="index" xr:uid="{BFE2EE87-41C4-4EB2-A176-C4239281162D}"/>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8D8E20-955E-4BD8-9E6F-CC261F699502}">
  <sheetPr>
    <tabColor theme="4" tint="0.79998168889431442"/>
  </sheetPr>
  <dimension ref="A1:L415"/>
  <sheetViews>
    <sheetView topLeftCell="A124" zoomScale="70" zoomScaleNormal="70" workbookViewId="0">
      <selection activeCell="B167" sqref="B167"/>
    </sheetView>
  </sheetViews>
  <sheetFormatPr defaultRowHeight="15"/>
  <cols>
    <col min="3" max="3" width="11.85546875" customWidth="1"/>
    <col min="4" max="4" width="13.42578125" customWidth="1"/>
    <col min="5" max="5" width="7.140625" customWidth="1"/>
    <col min="6" max="6" width="12.42578125" customWidth="1"/>
    <col min="9" max="9" width="16.42578125" customWidth="1"/>
  </cols>
  <sheetData>
    <row r="1" spans="1:12">
      <c r="A1" s="770" t="s">
        <v>0</v>
      </c>
      <c r="B1" s="770"/>
      <c r="C1" s="770"/>
      <c r="D1" s="770"/>
      <c r="E1" s="770"/>
      <c r="F1" s="770"/>
      <c r="G1" s="770"/>
      <c r="H1" s="770"/>
      <c r="I1" s="770"/>
      <c r="J1" s="770"/>
      <c r="K1" s="770"/>
      <c r="L1" s="641" t="s">
        <v>762</v>
      </c>
    </row>
    <row r="2" spans="1:12">
      <c r="A2" s="772" t="s">
        <v>1</v>
      </c>
      <c r="B2" s="777"/>
      <c r="C2" s="777"/>
      <c r="D2" s="777"/>
      <c r="E2" s="140"/>
      <c r="F2" s="137"/>
      <c r="G2" s="137"/>
      <c r="H2" s="140"/>
      <c r="I2" s="137"/>
    </row>
    <row r="3" spans="1:12">
      <c r="A3" s="132"/>
      <c r="B3" s="137"/>
      <c r="C3" s="137"/>
      <c r="D3" s="137"/>
      <c r="E3" s="140"/>
      <c r="F3" s="137"/>
      <c r="G3" s="137"/>
      <c r="H3" s="140"/>
      <c r="I3" s="137"/>
    </row>
    <row r="4" spans="1:12">
      <c r="A4" s="133" t="s">
        <v>294</v>
      </c>
      <c r="B4" s="137"/>
      <c r="C4" s="137"/>
      <c r="D4" s="137"/>
      <c r="E4" s="140"/>
      <c r="F4" s="137"/>
      <c r="G4" s="137"/>
      <c r="H4" s="140"/>
      <c r="I4" s="137"/>
    </row>
    <row r="5" spans="1:12">
      <c r="A5" s="133" t="s">
        <v>295</v>
      </c>
      <c r="B5" s="137"/>
      <c r="C5" s="137"/>
      <c r="D5" s="137"/>
      <c r="E5" s="140"/>
      <c r="F5" s="137"/>
      <c r="G5" s="137"/>
      <c r="H5" s="140"/>
      <c r="I5" s="137"/>
    </row>
    <row r="6" spans="1:12">
      <c r="A6" s="135" t="s">
        <v>165</v>
      </c>
      <c r="B6" s="137"/>
      <c r="C6" s="137"/>
      <c r="D6" s="137"/>
      <c r="E6" s="140"/>
      <c r="F6" s="137"/>
      <c r="G6" s="137"/>
      <c r="H6" s="140"/>
      <c r="I6" s="137"/>
    </row>
    <row r="7" spans="1:12">
      <c r="A7" s="132"/>
      <c r="B7" s="137"/>
      <c r="C7" s="137"/>
      <c r="D7" s="137"/>
      <c r="E7" s="140"/>
      <c r="F7" s="137"/>
      <c r="G7" s="137"/>
      <c r="H7" s="140"/>
      <c r="I7" s="137"/>
    </row>
    <row r="8" spans="1:12" ht="75" customHeight="1">
      <c r="A8" s="136" t="s">
        <v>3</v>
      </c>
      <c r="B8" s="136" t="s">
        <v>167</v>
      </c>
      <c r="C8" s="136" t="s">
        <v>182</v>
      </c>
      <c r="D8" s="136" t="s">
        <v>166</v>
      </c>
      <c r="E8" s="136"/>
      <c r="F8" s="136" t="s">
        <v>242</v>
      </c>
      <c r="G8" s="136" t="s">
        <v>15</v>
      </c>
      <c r="H8" s="136"/>
      <c r="I8" s="136" t="s">
        <v>296</v>
      </c>
    </row>
    <row r="9" spans="1:12">
      <c r="A9" s="132"/>
      <c r="B9" s="774" t="s">
        <v>4</v>
      </c>
      <c r="C9" s="774"/>
      <c r="D9" s="774"/>
      <c r="E9" s="774"/>
      <c r="F9" s="774"/>
      <c r="G9" s="774"/>
      <c r="H9" s="774"/>
      <c r="I9" s="774"/>
    </row>
    <row r="10" spans="1:12">
      <c r="A10" s="132">
        <v>1979</v>
      </c>
      <c r="B10" s="137">
        <v>61400</v>
      </c>
      <c r="C10" s="137">
        <v>4600</v>
      </c>
      <c r="D10" s="137">
        <v>66000</v>
      </c>
      <c r="E10" s="140"/>
      <c r="F10" s="137">
        <v>1400</v>
      </c>
      <c r="G10" s="137">
        <v>14800</v>
      </c>
      <c r="H10" s="140"/>
      <c r="I10" s="137">
        <v>52600</v>
      </c>
    </row>
    <row r="11" spans="1:12">
      <c r="A11" s="132">
        <v>1980</v>
      </c>
      <c r="B11" s="137">
        <v>59100</v>
      </c>
      <c r="C11" s="137">
        <v>4900</v>
      </c>
      <c r="D11" s="137">
        <v>64100</v>
      </c>
      <c r="E11" s="140"/>
      <c r="F11" s="137">
        <v>1500</v>
      </c>
      <c r="G11" s="137">
        <v>14400</v>
      </c>
      <c r="H11" s="140"/>
      <c r="I11" s="137">
        <v>51200</v>
      </c>
    </row>
    <row r="12" spans="1:12">
      <c r="A12" s="132">
        <v>1981</v>
      </c>
      <c r="B12" s="137">
        <v>59100</v>
      </c>
      <c r="C12" s="137">
        <v>5200</v>
      </c>
      <c r="D12" s="137">
        <v>64300</v>
      </c>
      <c r="E12" s="140"/>
      <c r="F12" s="137">
        <v>1500</v>
      </c>
      <c r="G12" s="137">
        <v>14500</v>
      </c>
      <c r="H12" s="140"/>
      <c r="I12" s="137">
        <v>51300</v>
      </c>
    </row>
    <row r="13" spans="1:12">
      <c r="A13" s="132">
        <v>1982</v>
      </c>
      <c r="B13" s="137">
        <v>58700</v>
      </c>
      <c r="C13" s="137">
        <v>5700</v>
      </c>
      <c r="D13" s="137">
        <v>64400</v>
      </c>
      <c r="E13" s="140"/>
      <c r="F13" s="137">
        <v>1500</v>
      </c>
      <c r="G13" s="137">
        <v>13400</v>
      </c>
      <c r="H13" s="140"/>
      <c r="I13" s="137">
        <v>52500</v>
      </c>
    </row>
    <row r="14" spans="1:12">
      <c r="A14" s="132">
        <v>1983</v>
      </c>
      <c r="B14" s="137">
        <v>59300</v>
      </c>
      <c r="C14" s="137">
        <v>5800</v>
      </c>
      <c r="D14" s="137">
        <v>65100</v>
      </c>
      <c r="E14" s="140"/>
      <c r="F14" s="137">
        <v>1500</v>
      </c>
      <c r="G14" s="137">
        <v>13300</v>
      </c>
      <c r="H14" s="140"/>
      <c r="I14" s="137">
        <v>53200</v>
      </c>
    </row>
    <row r="15" spans="1:12">
      <c r="A15" s="132">
        <v>1984</v>
      </c>
      <c r="B15" s="137">
        <v>63100</v>
      </c>
      <c r="C15" s="137">
        <v>5600</v>
      </c>
      <c r="D15" s="137">
        <v>68700</v>
      </c>
      <c r="E15" s="140"/>
      <c r="F15" s="137">
        <v>1500</v>
      </c>
      <c r="G15" s="137">
        <v>14300</v>
      </c>
      <c r="H15" s="140"/>
      <c r="I15" s="137">
        <v>55900</v>
      </c>
    </row>
    <row r="16" spans="1:12">
      <c r="A16" s="132">
        <v>1985</v>
      </c>
      <c r="B16" s="137">
        <v>64100</v>
      </c>
      <c r="C16" s="137">
        <v>5700</v>
      </c>
      <c r="D16" s="137">
        <v>69800</v>
      </c>
      <c r="E16" s="140"/>
      <c r="F16" s="137">
        <v>1600</v>
      </c>
      <c r="G16" s="137">
        <v>14600</v>
      </c>
      <c r="H16" s="140"/>
      <c r="I16" s="137">
        <v>56800</v>
      </c>
    </row>
    <row r="17" spans="1:9">
      <c r="A17" s="132">
        <v>1986</v>
      </c>
      <c r="B17" s="137">
        <v>68700</v>
      </c>
      <c r="C17" s="137">
        <v>5900</v>
      </c>
      <c r="D17" s="137">
        <v>74500</v>
      </c>
      <c r="E17" s="140"/>
      <c r="F17" s="137">
        <v>1600</v>
      </c>
      <c r="G17" s="137">
        <v>15600</v>
      </c>
      <c r="H17" s="140"/>
      <c r="I17" s="137">
        <v>60500</v>
      </c>
    </row>
    <row r="18" spans="1:9">
      <c r="A18" s="132">
        <v>1987</v>
      </c>
      <c r="B18" s="137">
        <v>66400</v>
      </c>
      <c r="C18" s="137">
        <v>5800</v>
      </c>
      <c r="D18" s="137">
        <v>72100</v>
      </c>
      <c r="E18" s="140"/>
      <c r="F18" s="137">
        <v>1600</v>
      </c>
      <c r="G18" s="137">
        <v>15700</v>
      </c>
      <c r="H18" s="140"/>
      <c r="I18" s="137">
        <v>58000</v>
      </c>
    </row>
    <row r="19" spans="1:9">
      <c r="A19" s="132">
        <v>1988</v>
      </c>
      <c r="B19" s="137">
        <v>69400</v>
      </c>
      <c r="C19" s="137">
        <v>5800</v>
      </c>
      <c r="D19" s="137">
        <v>75200</v>
      </c>
      <c r="E19" s="140"/>
      <c r="F19" s="137">
        <v>1600</v>
      </c>
      <c r="G19" s="137">
        <v>16500</v>
      </c>
      <c r="H19" s="140"/>
      <c r="I19" s="137">
        <v>60300</v>
      </c>
    </row>
    <row r="20" spans="1:9">
      <c r="A20" s="132">
        <v>1989</v>
      </c>
      <c r="B20" s="137">
        <v>69800</v>
      </c>
      <c r="C20" s="137">
        <v>5900</v>
      </c>
      <c r="D20" s="137">
        <v>75700</v>
      </c>
      <c r="E20" s="140"/>
      <c r="F20" s="137">
        <v>1700</v>
      </c>
      <c r="G20" s="137">
        <v>16400</v>
      </c>
      <c r="H20" s="140"/>
      <c r="I20" s="137">
        <v>61000</v>
      </c>
    </row>
    <row r="21" spans="1:9">
      <c r="A21" s="132">
        <v>1990</v>
      </c>
      <c r="B21" s="137">
        <v>69200</v>
      </c>
      <c r="C21" s="137">
        <v>6100</v>
      </c>
      <c r="D21" s="137">
        <v>75300</v>
      </c>
      <c r="E21" s="140"/>
      <c r="F21" s="137">
        <v>1900</v>
      </c>
      <c r="G21" s="137">
        <v>16300</v>
      </c>
      <c r="H21" s="140"/>
      <c r="I21" s="137">
        <v>60900</v>
      </c>
    </row>
    <row r="22" spans="1:9">
      <c r="A22" s="132">
        <v>1991</v>
      </c>
      <c r="B22" s="137">
        <v>67100</v>
      </c>
      <c r="C22" s="137">
        <v>6500</v>
      </c>
      <c r="D22" s="137">
        <v>73500</v>
      </c>
      <c r="E22" s="140"/>
      <c r="F22" s="137">
        <v>2100</v>
      </c>
      <c r="G22" s="137">
        <v>15900</v>
      </c>
      <c r="H22" s="140"/>
      <c r="I22" s="137">
        <v>59800</v>
      </c>
    </row>
    <row r="23" spans="1:9">
      <c r="A23" s="132">
        <v>1992</v>
      </c>
      <c r="B23" s="137">
        <v>68700</v>
      </c>
      <c r="C23" s="137">
        <v>6800</v>
      </c>
      <c r="D23" s="137">
        <v>75500</v>
      </c>
      <c r="E23" s="140"/>
      <c r="F23" s="137">
        <v>2300</v>
      </c>
      <c r="G23" s="137">
        <v>16300</v>
      </c>
      <c r="H23" s="140"/>
      <c r="I23" s="137">
        <v>61500</v>
      </c>
    </row>
    <row r="24" spans="1:9">
      <c r="A24" s="132">
        <v>1993</v>
      </c>
      <c r="B24" s="137">
        <v>68800</v>
      </c>
      <c r="C24" s="137">
        <v>7000</v>
      </c>
      <c r="D24" s="137">
        <v>75800</v>
      </c>
      <c r="E24" s="140"/>
      <c r="F24" s="137">
        <v>2500</v>
      </c>
      <c r="G24" s="137">
        <v>16800</v>
      </c>
      <c r="H24" s="140"/>
      <c r="I24" s="137">
        <v>61500</v>
      </c>
    </row>
    <row r="25" spans="1:9">
      <c r="A25" s="132">
        <v>1994</v>
      </c>
      <c r="B25" s="137">
        <v>69700</v>
      </c>
      <c r="C25" s="137">
        <v>6900</v>
      </c>
      <c r="D25" s="137">
        <v>76600</v>
      </c>
      <c r="E25" s="140"/>
      <c r="F25" s="137">
        <v>2500</v>
      </c>
      <c r="G25" s="137">
        <v>17200</v>
      </c>
      <c r="H25" s="140"/>
      <c r="I25" s="137">
        <v>62000</v>
      </c>
    </row>
    <row r="26" spans="1:9">
      <c r="A26" s="132">
        <v>1995</v>
      </c>
      <c r="B26" s="137">
        <v>72800</v>
      </c>
      <c r="C26" s="137">
        <v>7100</v>
      </c>
      <c r="D26" s="137">
        <v>79900</v>
      </c>
      <c r="E26" s="140"/>
      <c r="F26" s="137">
        <v>2600</v>
      </c>
      <c r="G26" s="137">
        <v>18100</v>
      </c>
      <c r="H26" s="140"/>
      <c r="I26" s="137">
        <v>64400</v>
      </c>
    </row>
    <row r="27" spans="1:9">
      <c r="A27" s="132">
        <v>1996</v>
      </c>
      <c r="B27" s="137">
        <v>75700</v>
      </c>
      <c r="C27" s="137">
        <v>7200</v>
      </c>
      <c r="D27" s="137">
        <v>83000</v>
      </c>
      <c r="E27" s="140"/>
      <c r="F27" s="137">
        <v>2500</v>
      </c>
      <c r="G27" s="137">
        <v>19000</v>
      </c>
      <c r="H27" s="140"/>
      <c r="I27" s="137">
        <v>66500</v>
      </c>
    </row>
    <row r="28" spans="1:9">
      <c r="A28" s="132">
        <v>1997</v>
      </c>
      <c r="B28" s="137">
        <v>79500</v>
      </c>
      <c r="C28" s="137">
        <v>7300</v>
      </c>
      <c r="D28" s="137">
        <v>86800</v>
      </c>
      <c r="E28" s="140"/>
      <c r="F28" s="137">
        <v>2400</v>
      </c>
      <c r="G28" s="137">
        <v>20000</v>
      </c>
      <c r="H28" s="140"/>
      <c r="I28" s="137">
        <v>69200</v>
      </c>
    </row>
    <row r="29" spans="1:9">
      <c r="A29" s="132">
        <v>1998</v>
      </c>
      <c r="B29" s="137">
        <v>84200</v>
      </c>
      <c r="C29" s="137">
        <v>7300</v>
      </c>
      <c r="D29" s="137">
        <v>91500</v>
      </c>
      <c r="E29" s="140"/>
      <c r="F29" s="137">
        <v>2500</v>
      </c>
      <c r="G29" s="137">
        <v>20700</v>
      </c>
      <c r="H29" s="140"/>
      <c r="I29" s="137">
        <v>73300</v>
      </c>
    </row>
    <row r="30" spans="1:9">
      <c r="A30" s="132">
        <v>1999</v>
      </c>
      <c r="B30" s="137">
        <v>88800</v>
      </c>
      <c r="C30" s="137">
        <v>7100</v>
      </c>
      <c r="D30" s="137">
        <v>95900</v>
      </c>
      <c r="E30" s="140"/>
      <c r="F30" s="137">
        <v>2600</v>
      </c>
      <c r="G30" s="137">
        <v>22100</v>
      </c>
      <c r="H30" s="140"/>
      <c r="I30" s="137">
        <v>76300</v>
      </c>
    </row>
    <row r="31" spans="1:9">
      <c r="A31" s="132">
        <v>2000</v>
      </c>
      <c r="B31" s="137">
        <v>91300</v>
      </c>
      <c r="C31" s="137">
        <v>7200</v>
      </c>
      <c r="D31" s="137">
        <v>98500</v>
      </c>
      <c r="E31" s="140"/>
      <c r="F31" s="137">
        <v>2600</v>
      </c>
      <c r="G31" s="137">
        <v>22700</v>
      </c>
      <c r="H31" s="140"/>
      <c r="I31" s="137">
        <v>78500</v>
      </c>
    </row>
    <row r="32" spans="1:9">
      <c r="A32" s="132">
        <v>2001</v>
      </c>
      <c r="B32" s="137">
        <v>85500</v>
      </c>
      <c r="C32" s="137">
        <v>7600</v>
      </c>
      <c r="D32" s="137">
        <v>93100</v>
      </c>
      <c r="E32" s="140"/>
      <c r="F32" s="137">
        <v>2800</v>
      </c>
      <c r="G32" s="137">
        <v>20100</v>
      </c>
      <c r="H32" s="140"/>
      <c r="I32" s="137">
        <v>75900</v>
      </c>
    </row>
    <row r="33" spans="1:9">
      <c r="A33" s="132">
        <v>2002</v>
      </c>
      <c r="B33" s="137">
        <v>81500</v>
      </c>
      <c r="C33" s="137">
        <v>8000</v>
      </c>
      <c r="D33" s="137">
        <v>89500</v>
      </c>
      <c r="E33" s="140"/>
      <c r="F33" s="137">
        <v>3100</v>
      </c>
      <c r="G33" s="137">
        <v>18600</v>
      </c>
      <c r="H33" s="140"/>
      <c r="I33" s="137">
        <v>74000</v>
      </c>
    </row>
    <row r="34" spans="1:9">
      <c r="A34" s="132">
        <v>2003</v>
      </c>
      <c r="B34" s="137">
        <v>82900</v>
      </c>
      <c r="C34" s="137">
        <v>8100</v>
      </c>
      <c r="D34" s="137">
        <v>91000</v>
      </c>
      <c r="E34" s="140"/>
      <c r="F34" s="137">
        <v>3300</v>
      </c>
      <c r="G34" s="137">
        <v>18100</v>
      </c>
      <c r="H34" s="140"/>
      <c r="I34" s="137">
        <v>76200</v>
      </c>
    </row>
    <row r="35" spans="1:9">
      <c r="A35" s="132">
        <v>2004</v>
      </c>
      <c r="B35" s="137">
        <v>88000</v>
      </c>
      <c r="C35" s="137">
        <v>8100</v>
      </c>
      <c r="D35" s="137">
        <v>96100</v>
      </c>
      <c r="E35" s="140"/>
      <c r="F35" s="137">
        <v>3500</v>
      </c>
      <c r="G35" s="137">
        <v>19500</v>
      </c>
      <c r="H35" s="140"/>
      <c r="I35" s="137">
        <v>80100</v>
      </c>
    </row>
    <row r="36" spans="1:9">
      <c r="A36" s="132">
        <v>2005</v>
      </c>
      <c r="B36" s="137">
        <v>93000</v>
      </c>
      <c r="C36" s="137">
        <v>8200</v>
      </c>
      <c r="D36" s="137">
        <v>101300</v>
      </c>
      <c r="E36" s="140"/>
      <c r="F36" s="137">
        <v>3500</v>
      </c>
      <c r="G36" s="137">
        <v>21100</v>
      </c>
      <c r="H36" s="140"/>
      <c r="I36" s="137">
        <v>83700</v>
      </c>
    </row>
    <row r="37" spans="1:9">
      <c r="A37" s="132">
        <v>2006</v>
      </c>
      <c r="B37" s="137">
        <v>96600</v>
      </c>
      <c r="C37" s="137">
        <v>8600</v>
      </c>
      <c r="D37" s="137">
        <v>105200</v>
      </c>
      <c r="E37" s="140"/>
      <c r="F37" s="137">
        <v>3500</v>
      </c>
      <c r="G37" s="137">
        <v>22000</v>
      </c>
      <c r="H37" s="140"/>
      <c r="I37" s="137">
        <v>86700</v>
      </c>
    </row>
    <row r="38" spans="1:9">
      <c r="A38" s="132">
        <v>2007</v>
      </c>
      <c r="B38" s="137">
        <v>99700</v>
      </c>
      <c r="C38" s="137">
        <v>8800</v>
      </c>
      <c r="D38" s="137">
        <v>108500</v>
      </c>
      <c r="E38" s="140"/>
      <c r="F38" s="137">
        <v>3500</v>
      </c>
      <c r="G38" s="137">
        <v>22200</v>
      </c>
      <c r="H38" s="140"/>
      <c r="I38" s="137">
        <v>89800</v>
      </c>
    </row>
    <row r="39" spans="1:9">
      <c r="A39" s="132">
        <v>2008</v>
      </c>
      <c r="B39" s="137">
        <v>91600</v>
      </c>
      <c r="C39" s="137">
        <v>9200</v>
      </c>
      <c r="D39" s="137">
        <v>100800</v>
      </c>
      <c r="E39" s="140"/>
      <c r="F39" s="137">
        <v>3700</v>
      </c>
      <c r="G39" s="137">
        <v>18700</v>
      </c>
      <c r="H39" s="140"/>
      <c r="I39" s="137">
        <v>85800</v>
      </c>
    </row>
    <row r="40" spans="1:9">
      <c r="A40" s="132">
        <v>2009</v>
      </c>
      <c r="B40" s="137">
        <v>84200</v>
      </c>
      <c r="C40" s="137">
        <v>10600</v>
      </c>
      <c r="D40" s="137">
        <v>94800</v>
      </c>
      <c r="E40" s="140"/>
      <c r="F40" s="137">
        <v>4200</v>
      </c>
      <c r="G40" s="137">
        <v>17000</v>
      </c>
      <c r="H40" s="140"/>
      <c r="I40" s="137">
        <v>82000</v>
      </c>
    </row>
    <row r="41" spans="1:9">
      <c r="A41" s="132">
        <v>2010</v>
      </c>
      <c r="B41" s="137">
        <v>85800</v>
      </c>
      <c r="C41" s="137">
        <v>10600</v>
      </c>
      <c r="D41" s="137">
        <v>96400</v>
      </c>
      <c r="E41" s="140"/>
      <c r="F41" s="137">
        <v>4400</v>
      </c>
      <c r="G41" s="137">
        <v>17900</v>
      </c>
      <c r="H41" s="140"/>
      <c r="I41" s="137">
        <v>82900</v>
      </c>
    </row>
    <row r="42" spans="1:9">
      <c r="A42" s="132">
        <v>2011</v>
      </c>
      <c r="B42" s="137">
        <v>86000</v>
      </c>
      <c r="C42" s="137">
        <v>10300</v>
      </c>
      <c r="D42" s="137">
        <v>96300</v>
      </c>
      <c r="E42" s="140"/>
      <c r="F42" s="137">
        <v>4300</v>
      </c>
      <c r="G42" s="137">
        <v>17600</v>
      </c>
      <c r="H42" s="140"/>
      <c r="I42" s="137">
        <v>83000</v>
      </c>
    </row>
    <row r="43" spans="1:9">
      <c r="A43" s="132">
        <v>2012</v>
      </c>
      <c r="B43" s="137">
        <v>90400</v>
      </c>
      <c r="C43" s="137">
        <v>10400</v>
      </c>
      <c r="D43" s="137">
        <v>100800</v>
      </c>
      <c r="E43" s="140"/>
      <c r="F43" s="137">
        <v>4300</v>
      </c>
      <c r="G43" s="137">
        <v>19100</v>
      </c>
      <c r="H43" s="140"/>
      <c r="I43" s="137">
        <v>86100</v>
      </c>
    </row>
    <row r="44" spans="1:9">
      <c r="A44" s="132">
        <v>2013</v>
      </c>
      <c r="B44" s="137">
        <v>89200</v>
      </c>
      <c r="C44" s="137">
        <v>10400</v>
      </c>
      <c r="D44" s="137">
        <v>99600</v>
      </c>
      <c r="E44" s="140"/>
      <c r="F44" s="137">
        <v>4400</v>
      </c>
      <c r="G44" s="137">
        <v>20600</v>
      </c>
      <c r="H44" s="140"/>
      <c r="I44" s="137">
        <v>83400</v>
      </c>
    </row>
    <row r="45" spans="1:9">
      <c r="A45" s="132">
        <v>2014</v>
      </c>
      <c r="B45" s="137">
        <v>92700</v>
      </c>
      <c r="C45" s="137">
        <v>10400</v>
      </c>
      <c r="D45" s="137">
        <v>103100</v>
      </c>
      <c r="E45" s="140"/>
      <c r="F45" s="137">
        <v>5100</v>
      </c>
      <c r="G45" s="137">
        <v>21800</v>
      </c>
      <c r="H45" s="140"/>
      <c r="I45" s="137">
        <v>86400</v>
      </c>
    </row>
    <row r="46" spans="1:9">
      <c r="A46" s="132">
        <v>2015</v>
      </c>
      <c r="B46" s="137">
        <v>95600</v>
      </c>
      <c r="C46" s="137">
        <v>10700</v>
      </c>
      <c r="D46" s="137">
        <v>106200</v>
      </c>
      <c r="E46" s="140"/>
      <c r="F46" s="137">
        <v>5500</v>
      </c>
      <c r="G46" s="137">
        <v>22400</v>
      </c>
      <c r="H46" s="140"/>
      <c r="I46" s="137">
        <v>89300</v>
      </c>
    </row>
    <row r="47" spans="1:9">
      <c r="A47" s="132">
        <v>2016</v>
      </c>
      <c r="B47" s="137">
        <v>94600</v>
      </c>
      <c r="C47" s="137">
        <v>10900</v>
      </c>
      <c r="D47" s="137">
        <v>105500</v>
      </c>
      <c r="E47" s="140"/>
      <c r="F47" s="137">
        <v>5600</v>
      </c>
      <c r="G47" s="137">
        <v>22100</v>
      </c>
      <c r="H47" s="140"/>
      <c r="I47" s="137">
        <v>89000</v>
      </c>
    </row>
    <row r="48" spans="1:9">
      <c r="A48" s="132"/>
      <c r="B48" s="137"/>
      <c r="C48" s="137"/>
      <c r="D48" s="137"/>
      <c r="E48" s="140"/>
      <c r="F48" s="137"/>
      <c r="G48" s="137"/>
      <c r="H48" s="140"/>
      <c r="I48" s="137"/>
    </row>
    <row r="49" spans="1:9">
      <c r="A49" s="132"/>
      <c r="B49" s="774" t="s">
        <v>5</v>
      </c>
      <c r="C49" s="774"/>
      <c r="D49" s="774"/>
      <c r="E49" s="774"/>
      <c r="F49" s="774"/>
      <c r="G49" s="774"/>
      <c r="H49" s="774"/>
      <c r="I49" s="774"/>
    </row>
    <row r="50" spans="1:9">
      <c r="A50" s="132">
        <v>1979</v>
      </c>
      <c r="B50" s="137">
        <v>10000</v>
      </c>
      <c r="C50" s="137">
        <v>5500</v>
      </c>
      <c r="D50" s="137">
        <v>15500</v>
      </c>
      <c r="E50" s="140"/>
      <c r="F50" s="137">
        <v>4900</v>
      </c>
      <c r="G50" s="137">
        <v>1400</v>
      </c>
      <c r="H50" s="140"/>
      <c r="I50" s="137">
        <v>19000</v>
      </c>
    </row>
    <row r="51" spans="1:9">
      <c r="A51" s="132">
        <v>1980</v>
      </c>
      <c r="B51" s="137">
        <v>9500</v>
      </c>
      <c r="C51" s="137">
        <v>5300</v>
      </c>
      <c r="D51" s="137">
        <v>14900</v>
      </c>
      <c r="E51" s="140"/>
      <c r="F51" s="137">
        <v>5300</v>
      </c>
      <c r="G51" s="137">
        <v>1300</v>
      </c>
      <c r="H51" s="140"/>
      <c r="I51" s="137">
        <v>18800</v>
      </c>
    </row>
    <row r="52" spans="1:9">
      <c r="A52" s="132">
        <v>1981</v>
      </c>
      <c r="B52" s="137">
        <v>9600</v>
      </c>
      <c r="C52" s="137">
        <v>5200</v>
      </c>
      <c r="D52" s="137">
        <v>14700</v>
      </c>
      <c r="E52" s="140"/>
      <c r="F52" s="137">
        <v>5400</v>
      </c>
      <c r="G52" s="137">
        <v>1400</v>
      </c>
      <c r="H52" s="140"/>
      <c r="I52" s="137">
        <v>18700</v>
      </c>
    </row>
    <row r="53" spans="1:9">
      <c r="A53" s="132">
        <v>1982</v>
      </c>
      <c r="B53" s="137">
        <v>9500</v>
      </c>
      <c r="C53" s="137">
        <v>4700</v>
      </c>
      <c r="D53" s="137">
        <v>14200</v>
      </c>
      <c r="E53" s="140"/>
      <c r="F53" s="137">
        <v>5700</v>
      </c>
      <c r="G53" s="137">
        <v>1400</v>
      </c>
      <c r="H53" s="140"/>
      <c r="I53" s="137">
        <v>18500</v>
      </c>
    </row>
    <row r="54" spans="1:9">
      <c r="A54" s="132">
        <v>1983</v>
      </c>
      <c r="B54" s="137">
        <v>9400</v>
      </c>
      <c r="C54" s="137">
        <v>4200</v>
      </c>
      <c r="D54" s="137">
        <v>13600</v>
      </c>
      <c r="E54" s="140"/>
      <c r="F54" s="137">
        <v>6100</v>
      </c>
      <c r="G54" s="137">
        <v>1500</v>
      </c>
      <c r="H54" s="140"/>
      <c r="I54" s="137">
        <v>18100</v>
      </c>
    </row>
    <row r="55" spans="1:9">
      <c r="A55" s="132">
        <v>1984</v>
      </c>
      <c r="B55" s="137">
        <v>10300</v>
      </c>
      <c r="C55" s="137">
        <v>4300</v>
      </c>
      <c r="D55" s="137">
        <v>14600</v>
      </c>
      <c r="E55" s="140"/>
      <c r="F55" s="137">
        <v>5600</v>
      </c>
      <c r="G55" s="137">
        <v>1800</v>
      </c>
      <c r="H55" s="140"/>
      <c r="I55" s="137">
        <v>18500</v>
      </c>
    </row>
    <row r="56" spans="1:9">
      <c r="A56" s="132">
        <v>1985</v>
      </c>
      <c r="B56" s="137">
        <v>10000</v>
      </c>
      <c r="C56" s="137">
        <v>4500</v>
      </c>
      <c r="D56" s="137">
        <v>14500</v>
      </c>
      <c r="E56" s="140"/>
      <c r="F56" s="137">
        <v>6000</v>
      </c>
      <c r="G56" s="137">
        <v>1700</v>
      </c>
      <c r="H56" s="140"/>
      <c r="I56" s="137">
        <v>18800</v>
      </c>
    </row>
    <row r="57" spans="1:9">
      <c r="A57" s="132">
        <v>1986</v>
      </c>
      <c r="B57" s="137">
        <v>10100</v>
      </c>
      <c r="C57" s="137">
        <v>4300</v>
      </c>
      <c r="D57" s="137">
        <v>14400</v>
      </c>
      <c r="E57" s="140"/>
      <c r="F57" s="137">
        <v>6100</v>
      </c>
      <c r="G57" s="137">
        <v>1700</v>
      </c>
      <c r="H57" s="140"/>
      <c r="I57" s="137">
        <v>18800</v>
      </c>
    </row>
    <row r="58" spans="1:9">
      <c r="A58" s="132">
        <v>1987</v>
      </c>
      <c r="B58" s="137">
        <v>9500</v>
      </c>
      <c r="C58" s="137">
        <v>4300</v>
      </c>
      <c r="D58" s="137">
        <v>13800</v>
      </c>
      <c r="E58" s="140"/>
      <c r="F58" s="137">
        <v>6400</v>
      </c>
      <c r="G58" s="137">
        <v>1500</v>
      </c>
      <c r="H58" s="140"/>
      <c r="I58" s="137">
        <v>18700</v>
      </c>
    </row>
    <row r="59" spans="1:9">
      <c r="A59" s="132">
        <v>1988</v>
      </c>
      <c r="B59" s="137">
        <v>9700</v>
      </c>
      <c r="C59" s="137">
        <v>4600</v>
      </c>
      <c r="D59" s="137">
        <v>14300</v>
      </c>
      <c r="E59" s="140"/>
      <c r="F59" s="137">
        <v>6400</v>
      </c>
      <c r="G59" s="137">
        <v>1500</v>
      </c>
      <c r="H59" s="140"/>
      <c r="I59" s="137">
        <v>19300</v>
      </c>
    </row>
    <row r="60" spans="1:9">
      <c r="A60" s="132">
        <v>1989</v>
      </c>
      <c r="B60" s="137">
        <v>10500</v>
      </c>
      <c r="C60" s="137">
        <v>4500</v>
      </c>
      <c r="D60" s="137">
        <v>15000</v>
      </c>
      <c r="E60" s="140"/>
      <c r="F60" s="137">
        <v>6800</v>
      </c>
      <c r="G60" s="137">
        <v>1400</v>
      </c>
      <c r="H60" s="140"/>
      <c r="I60" s="137">
        <v>20300</v>
      </c>
    </row>
    <row r="61" spans="1:9">
      <c r="A61" s="132">
        <v>1990</v>
      </c>
      <c r="B61" s="137">
        <v>10800</v>
      </c>
      <c r="C61" s="137">
        <v>4600</v>
      </c>
      <c r="D61" s="137">
        <v>15400</v>
      </c>
      <c r="E61" s="140"/>
      <c r="F61" s="137">
        <v>7300</v>
      </c>
      <c r="G61" s="137">
        <v>1600</v>
      </c>
      <c r="H61" s="140"/>
      <c r="I61" s="137">
        <v>21100</v>
      </c>
    </row>
    <row r="62" spans="1:9">
      <c r="A62" s="132">
        <v>1991</v>
      </c>
      <c r="B62" s="137">
        <v>11100</v>
      </c>
      <c r="C62" s="137">
        <v>4400</v>
      </c>
      <c r="D62" s="137">
        <v>15500</v>
      </c>
      <c r="E62" s="140"/>
      <c r="F62" s="137">
        <v>8000</v>
      </c>
      <c r="G62" s="137">
        <v>1600</v>
      </c>
      <c r="H62" s="140"/>
      <c r="I62" s="137">
        <v>21900</v>
      </c>
    </row>
    <row r="63" spans="1:9">
      <c r="A63" s="132">
        <v>1992</v>
      </c>
      <c r="B63" s="137">
        <v>11200</v>
      </c>
      <c r="C63" s="137">
        <v>4300</v>
      </c>
      <c r="D63" s="137">
        <v>15600</v>
      </c>
      <c r="E63" s="140"/>
      <c r="F63" s="137">
        <v>8700</v>
      </c>
      <c r="G63" s="137">
        <v>1600</v>
      </c>
      <c r="H63" s="140"/>
      <c r="I63" s="137">
        <v>22700</v>
      </c>
    </row>
    <row r="64" spans="1:9">
      <c r="A64" s="132">
        <v>1993</v>
      </c>
      <c r="B64" s="137">
        <v>11500</v>
      </c>
      <c r="C64" s="137">
        <v>4100</v>
      </c>
      <c r="D64" s="137">
        <v>15600</v>
      </c>
      <c r="E64" s="140"/>
      <c r="F64" s="137">
        <v>9400</v>
      </c>
      <c r="G64" s="137">
        <v>1600</v>
      </c>
      <c r="H64" s="140"/>
      <c r="I64" s="137">
        <v>23400</v>
      </c>
    </row>
    <row r="65" spans="1:9">
      <c r="A65" s="132">
        <v>1994</v>
      </c>
      <c r="B65" s="137">
        <v>11300</v>
      </c>
      <c r="C65" s="137">
        <v>4200</v>
      </c>
      <c r="D65" s="137">
        <v>15500</v>
      </c>
      <c r="E65" s="140"/>
      <c r="F65" s="137">
        <v>9400</v>
      </c>
      <c r="G65" s="137">
        <v>1300</v>
      </c>
      <c r="H65" s="140"/>
      <c r="I65" s="137">
        <v>23600</v>
      </c>
    </row>
    <row r="66" spans="1:9">
      <c r="A66" s="132">
        <v>1995</v>
      </c>
      <c r="B66" s="137">
        <v>12300</v>
      </c>
      <c r="C66" s="137">
        <v>4400</v>
      </c>
      <c r="D66" s="137">
        <v>16700</v>
      </c>
      <c r="E66" s="140"/>
      <c r="F66" s="137">
        <v>9200</v>
      </c>
      <c r="G66" s="137">
        <v>1300</v>
      </c>
      <c r="H66" s="140"/>
      <c r="I66" s="137">
        <v>24700</v>
      </c>
    </row>
    <row r="67" spans="1:9">
      <c r="A67" s="132">
        <v>1996</v>
      </c>
      <c r="B67" s="137">
        <v>12500</v>
      </c>
      <c r="C67" s="137">
        <v>4200</v>
      </c>
      <c r="D67" s="137">
        <v>16700</v>
      </c>
      <c r="E67" s="140"/>
      <c r="F67" s="137">
        <v>9000</v>
      </c>
      <c r="G67" s="137">
        <v>1100</v>
      </c>
      <c r="H67" s="140"/>
      <c r="I67" s="137">
        <v>24600</v>
      </c>
    </row>
    <row r="68" spans="1:9">
      <c r="A68" s="132">
        <v>1997</v>
      </c>
      <c r="B68" s="137">
        <v>13200</v>
      </c>
      <c r="C68" s="137">
        <v>4500</v>
      </c>
      <c r="D68" s="137">
        <v>17600</v>
      </c>
      <c r="E68" s="140"/>
      <c r="F68" s="137">
        <v>8400</v>
      </c>
      <c r="G68" s="137">
        <v>1200</v>
      </c>
      <c r="H68" s="140"/>
      <c r="I68" s="137">
        <v>24900</v>
      </c>
    </row>
    <row r="69" spans="1:9">
      <c r="A69" s="132">
        <v>1998</v>
      </c>
      <c r="B69" s="137">
        <v>14300</v>
      </c>
      <c r="C69" s="137">
        <v>4500</v>
      </c>
      <c r="D69" s="137">
        <v>18800</v>
      </c>
      <c r="E69" s="140"/>
      <c r="F69" s="137">
        <v>8600</v>
      </c>
      <c r="G69" s="137">
        <v>1300</v>
      </c>
      <c r="H69" s="140"/>
      <c r="I69" s="137">
        <v>26200</v>
      </c>
    </row>
    <row r="70" spans="1:9">
      <c r="A70" s="132">
        <v>1999</v>
      </c>
      <c r="B70" s="137">
        <v>14600</v>
      </c>
      <c r="C70" s="137">
        <v>4900</v>
      </c>
      <c r="D70" s="137">
        <v>19500</v>
      </c>
      <c r="E70" s="140"/>
      <c r="F70" s="137">
        <v>8400</v>
      </c>
      <c r="G70" s="137">
        <v>1400</v>
      </c>
      <c r="H70" s="140"/>
      <c r="I70" s="137">
        <v>26500</v>
      </c>
    </row>
    <row r="71" spans="1:9">
      <c r="A71" s="132">
        <v>2000</v>
      </c>
      <c r="B71" s="137">
        <v>14400</v>
      </c>
      <c r="C71" s="137">
        <v>4900</v>
      </c>
      <c r="D71" s="137">
        <v>19300</v>
      </c>
      <c r="E71" s="140"/>
      <c r="F71" s="137">
        <v>8500</v>
      </c>
      <c r="G71" s="137">
        <v>1300</v>
      </c>
      <c r="H71" s="140"/>
      <c r="I71" s="137">
        <v>26500</v>
      </c>
    </row>
    <row r="72" spans="1:9">
      <c r="A72" s="132">
        <v>2001</v>
      </c>
      <c r="B72" s="137">
        <v>14000</v>
      </c>
      <c r="C72" s="137">
        <v>5000</v>
      </c>
      <c r="D72" s="137">
        <v>19000</v>
      </c>
      <c r="E72" s="140"/>
      <c r="F72" s="137">
        <v>9100</v>
      </c>
      <c r="G72" s="137">
        <v>1200</v>
      </c>
      <c r="H72" s="140"/>
      <c r="I72" s="137">
        <v>26900</v>
      </c>
    </row>
    <row r="73" spans="1:9">
      <c r="A73" s="132">
        <v>2002</v>
      </c>
      <c r="B73" s="137">
        <v>14000</v>
      </c>
      <c r="C73" s="137">
        <v>4800</v>
      </c>
      <c r="D73" s="137">
        <v>18800</v>
      </c>
      <c r="E73" s="140"/>
      <c r="F73" s="137">
        <v>9600</v>
      </c>
      <c r="G73" s="137">
        <v>1100</v>
      </c>
      <c r="H73" s="140"/>
      <c r="I73" s="137">
        <v>27400</v>
      </c>
    </row>
    <row r="74" spans="1:9">
      <c r="A74" s="132">
        <v>2003</v>
      </c>
      <c r="B74" s="137">
        <v>13800</v>
      </c>
      <c r="C74" s="137">
        <v>4700</v>
      </c>
      <c r="D74" s="137">
        <v>18500</v>
      </c>
      <c r="E74" s="140"/>
      <c r="F74" s="137">
        <v>10100</v>
      </c>
      <c r="G74" s="137">
        <v>1000</v>
      </c>
      <c r="H74" s="140"/>
      <c r="I74" s="137">
        <v>27600</v>
      </c>
    </row>
    <row r="75" spans="1:9">
      <c r="A75" s="132">
        <v>2004</v>
      </c>
      <c r="B75" s="137">
        <v>14100</v>
      </c>
      <c r="C75" s="137">
        <v>4700</v>
      </c>
      <c r="D75" s="137">
        <v>18800</v>
      </c>
      <c r="E75" s="140"/>
      <c r="F75" s="137">
        <v>10400</v>
      </c>
      <c r="G75" s="137">
        <v>1000</v>
      </c>
      <c r="H75" s="140"/>
      <c r="I75" s="137">
        <v>28200</v>
      </c>
    </row>
    <row r="76" spans="1:9">
      <c r="A76" s="132">
        <v>2005</v>
      </c>
      <c r="B76" s="137">
        <v>14600</v>
      </c>
      <c r="C76" s="137">
        <v>4700</v>
      </c>
      <c r="D76" s="137">
        <v>19300</v>
      </c>
      <c r="E76" s="140"/>
      <c r="F76" s="137">
        <v>10400</v>
      </c>
      <c r="G76" s="137">
        <v>1100</v>
      </c>
      <c r="H76" s="140"/>
      <c r="I76" s="137">
        <v>28700</v>
      </c>
    </row>
    <row r="77" spans="1:9">
      <c r="A77" s="132">
        <v>2006</v>
      </c>
      <c r="B77" s="137">
        <v>15900</v>
      </c>
      <c r="C77" s="137">
        <v>4300</v>
      </c>
      <c r="D77" s="137">
        <v>20300</v>
      </c>
      <c r="E77" s="140"/>
      <c r="F77" s="137">
        <v>10300</v>
      </c>
      <c r="G77" s="137">
        <v>1200</v>
      </c>
      <c r="H77" s="140"/>
      <c r="I77" s="137">
        <v>29300</v>
      </c>
    </row>
    <row r="78" spans="1:9">
      <c r="A78" s="132">
        <v>2007</v>
      </c>
      <c r="B78" s="137">
        <v>17000</v>
      </c>
      <c r="C78" s="137">
        <v>4700</v>
      </c>
      <c r="D78" s="137">
        <v>21600</v>
      </c>
      <c r="E78" s="140"/>
      <c r="F78" s="137">
        <v>10100</v>
      </c>
      <c r="G78" s="137">
        <v>1100</v>
      </c>
      <c r="H78" s="140"/>
      <c r="I78" s="137">
        <v>30600</v>
      </c>
    </row>
    <row r="79" spans="1:9">
      <c r="A79" s="132">
        <v>2008</v>
      </c>
      <c r="B79" s="137">
        <v>16400</v>
      </c>
      <c r="C79" s="137">
        <v>4800</v>
      </c>
      <c r="D79" s="137">
        <v>21200</v>
      </c>
      <c r="E79" s="140"/>
      <c r="F79" s="137">
        <v>10500</v>
      </c>
      <c r="G79" s="137">
        <v>200</v>
      </c>
      <c r="H79" s="140"/>
      <c r="I79" s="137">
        <v>31500</v>
      </c>
    </row>
    <row r="80" spans="1:9">
      <c r="A80" s="132">
        <v>2009</v>
      </c>
      <c r="B80" s="137">
        <v>15500</v>
      </c>
      <c r="C80" s="137">
        <v>4800</v>
      </c>
      <c r="D80" s="137">
        <v>20300</v>
      </c>
      <c r="E80" s="140"/>
      <c r="F80" s="137">
        <v>11900</v>
      </c>
      <c r="G80" s="137">
        <v>-100</v>
      </c>
      <c r="H80" s="140"/>
      <c r="I80" s="137">
        <v>32300</v>
      </c>
    </row>
    <row r="81" spans="1:9">
      <c r="A81" s="132">
        <v>2010</v>
      </c>
      <c r="B81" s="137">
        <v>15200</v>
      </c>
      <c r="C81" s="137">
        <v>4500</v>
      </c>
      <c r="D81" s="137">
        <v>19800</v>
      </c>
      <c r="E81" s="140"/>
      <c r="F81" s="137">
        <v>12500</v>
      </c>
      <c r="G81" s="137">
        <v>0</v>
      </c>
      <c r="H81" s="140"/>
      <c r="I81" s="137">
        <v>32300</v>
      </c>
    </row>
    <row r="82" spans="1:9">
      <c r="A82" s="132">
        <v>2011</v>
      </c>
      <c r="B82" s="137">
        <v>15400</v>
      </c>
      <c r="C82" s="137">
        <v>4700</v>
      </c>
      <c r="D82" s="137">
        <v>20100</v>
      </c>
      <c r="E82" s="140"/>
      <c r="F82" s="137">
        <v>12000</v>
      </c>
      <c r="G82" s="137">
        <v>100</v>
      </c>
      <c r="H82" s="140"/>
      <c r="I82" s="137">
        <v>31900</v>
      </c>
    </row>
    <row r="83" spans="1:9">
      <c r="A83" s="132">
        <v>2012</v>
      </c>
      <c r="B83" s="137">
        <v>14800</v>
      </c>
      <c r="C83" s="137">
        <v>4400</v>
      </c>
      <c r="D83" s="137">
        <v>19200</v>
      </c>
      <c r="E83" s="140"/>
      <c r="F83" s="137">
        <v>12100</v>
      </c>
      <c r="G83" s="137">
        <v>200</v>
      </c>
      <c r="H83" s="140"/>
      <c r="I83" s="137">
        <v>31200</v>
      </c>
    </row>
    <row r="84" spans="1:9">
      <c r="A84" s="132">
        <v>2013</v>
      </c>
      <c r="B84" s="137">
        <v>15700</v>
      </c>
      <c r="C84" s="137">
        <v>4200</v>
      </c>
      <c r="D84" s="137">
        <v>19900</v>
      </c>
      <c r="E84" s="140"/>
      <c r="F84" s="137">
        <v>12500</v>
      </c>
      <c r="G84" s="137">
        <v>500</v>
      </c>
      <c r="H84" s="140"/>
      <c r="I84" s="137">
        <v>32000</v>
      </c>
    </row>
    <row r="85" spans="1:9">
      <c r="A85" s="132">
        <v>2014</v>
      </c>
      <c r="B85" s="137">
        <v>15000</v>
      </c>
      <c r="C85" s="137">
        <v>4400</v>
      </c>
      <c r="D85" s="137">
        <v>19400</v>
      </c>
      <c r="E85" s="140"/>
      <c r="F85" s="137">
        <v>14000</v>
      </c>
      <c r="G85" s="137">
        <v>400</v>
      </c>
      <c r="H85" s="140"/>
      <c r="I85" s="137">
        <v>33100</v>
      </c>
    </row>
    <row r="86" spans="1:9">
      <c r="A86" s="132">
        <v>2015</v>
      </c>
      <c r="B86" s="137">
        <v>15800</v>
      </c>
      <c r="C86" s="137">
        <v>4600</v>
      </c>
      <c r="D86" s="137">
        <v>20500</v>
      </c>
      <c r="E86" s="140"/>
      <c r="F86" s="137">
        <v>14700</v>
      </c>
      <c r="G86" s="137">
        <v>300</v>
      </c>
      <c r="H86" s="140"/>
      <c r="I86" s="137">
        <v>34900</v>
      </c>
    </row>
    <row r="87" spans="1:9">
      <c r="A87" s="132">
        <v>2016</v>
      </c>
      <c r="B87" s="137">
        <v>15600</v>
      </c>
      <c r="C87" s="137">
        <v>5000</v>
      </c>
      <c r="D87" s="137">
        <v>20600</v>
      </c>
      <c r="E87" s="140"/>
      <c r="F87" s="137">
        <v>14800</v>
      </c>
      <c r="G87" s="137">
        <v>300</v>
      </c>
      <c r="H87" s="140"/>
      <c r="I87" s="137">
        <v>35000</v>
      </c>
    </row>
    <row r="88" spans="1:9">
      <c r="A88" s="132"/>
      <c r="B88" s="137"/>
      <c r="C88" s="137"/>
      <c r="D88" s="137"/>
      <c r="E88" s="140"/>
      <c r="F88" s="137"/>
      <c r="G88" s="137"/>
      <c r="H88" s="140"/>
      <c r="I88" s="137"/>
    </row>
    <row r="89" spans="1:9">
      <c r="A89" s="132"/>
      <c r="B89" s="774" t="s">
        <v>6</v>
      </c>
      <c r="C89" s="774"/>
      <c r="D89" s="774"/>
      <c r="E89" s="774"/>
      <c r="F89" s="774"/>
      <c r="G89" s="774"/>
      <c r="H89" s="774"/>
      <c r="I89" s="774"/>
    </row>
    <row r="90" spans="1:9">
      <c r="A90" s="132">
        <v>1979</v>
      </c>
      <c r="B90" s="137">
        <v>30800</v>
      </c>
      <c r="C90" s="137">
        <v>6300</v>
      </c>
      <c r="D90" s="137">
        <v>37100</v>
      </c>
      <c r="E90" s="140"/>
      <c r="F90" s="137">
        <v>900</v>
      </c>
      <c r="G90" s="137">
        <v>5600</v>
      </c>
      <c r="H90" s="140"/>
      <c r="I90" s="137">
        <v>32500</v>
      </c>
    </row>
    <row r="91" spans="1:9">
      <c r="A91" s="132">
        <v>1980</v>
      </c>
      <c r="B91" s="137">
        <v>28800</v>
      </c>
      <c r="C91" s="137">
        <v>6700</v>
      </c>
      <c r="D91" s="137">
        <v>35600</v>
      </c>
      <c r="E91" s="140"/>
      <c r="F91" s="137">
        <v>1000</v>
      </c>
      <c r="G91" s="137">
        <v>5200</v>
      </c>
      <c r="H91" s="140"/>
      <c r="I91" s="137">
        <v>31300</v>
      </c>
    </row>
    <row r="92" spans="1:9">
      <c r="A92" s="132">
        <v>1981</v>
      </c>
      <c r="B92" s="137">
        <v>28400</v>
      </c>
      <c r="C92" s="137">
        <v>6900</v>
      </c>
      <c r="D92" s="137">
        <v>35300</v>
      </c>
      <c r="E92" s="140"/>
      <c r="F92" s="137">
        <v>1100</v>
      </c>
      <c r="G92" s="137">
        <v>5400</v>
      </c>
      <c r="H92" s="140"/>
      <c r="I92" s="137">
        <v>31100</v>
      </c>
    </row>
    <row r="93" spans="1:9">
      <c r="A93" s="132">
        <v>1982</v>
      </c>
      <c r="B93" s="137">
        <v>26900</v>
      </c>
      <c r="C93" s="137">
        <v>7600</v>
      </c>
      <c r="D93" s="137">
        <v>34500</v>
      </c>
      <c r="E93" s="140"/>
      <c r="F93" s="137">
        <v>1000</v>
      </c>
      <c r="G93" s="137">
        <v>4800</v>
      </c>
      <c r="H93" s="140"/>
      <c r="I93" s="137">
        <v>30700</v>
      </c>
    </row>
    <row r="94" spans="1:9">
      <c r="A94" s="132">
        <v>1983</v>
      </c>
      <c r="B94" s="137">
        <v>26100</v>
      </c>
      <c r="C94" s="137">
        <v>7700</v>
      </c>
      <c r="D94" s="137">
        <v>33700</v>
      </c>
      <c r="E94" s="140"/>
      <c r="F94" s="137">
        <v>900</v>
      </c>
      <c r="G94" s="137">
        <v>4700</v>
      </c>
      <c r="H94" s="140"/>
      <c r="I94" s="137">
        <v>30000</v>
      </c>
    </row>
    <row r="95" spans="1:9">
      <c r="A95" s="132">
        <v>1984</v>
      </c>
      <c r="B95" s="137">
        <v>28700</v>
      </c>
      <c r="C95" s="137">
        <v>7100</v>
      </c>
      <c r="D95" s="137">
        <v>35800</v>
      </c>
      <c r="E95" s="140"/>
      <c r="F95" s="137">
        <v>1000</v>
      </c>
      <c r="G95" s="137">
        <v>5300</v>
      </c>
      <c r="H95" s="140"/>
      <c r="I95" s="137">
        <v>31500</v>
      </c>
    </row>
    <row r="96" spans="1:9">
      <c r="A96" s="132">
        <v>1985</v>
      </c>
      <c r="B96" s="137">
        <v>28700</v>
      </c>
      <c r="C96" s="137">
        <v>7100</v>
      </c>
      <c r="D96" s="137">
        <v>35800</v>
      </c>
      <c r="E96" s="140"/>
      <c r="F96" s="137">
        <v>1000</v>
      </c>
      <c r="G96" s="137">
        <v>5400</v>
      </c>
      <c r="H96" s="140"/>
      <c r="I96" s="137">
        <v>31400</v>
      </c>
    </row>
    <row r="97" spans="1:9">
      <c r="A97" s="132">
        <v>1986</v>
      </c>
      <c r="B97" s="137">
        <v>28700</v>
      </c>
      <c r="C97" s="137">
        <v>7600</v>
      </c>
      <c r="D97" s="137">
        <v>36300</v>
      </c>
      <c r="E97" s="140"/>
      <c r="F97" s="137">
        <v>1100</v>
      </c>
      <c r="G97" s="137">
        <v>5400</v>
      </c>
      <c r="H97" s="140"/>
      <c r="I97" s="137">
        <v>31900</v>
      </c>
    </row>
    <row r="98" spans="1:9">
      <c r="A98" s="132">
        <v>1987</v>
      </c>
      <c r="B98" s="137">
        <v>27600</v>
      </c>
      <c r="C98" s="137">
        <v>7800</v>
      </c>
      <c r="D98" s="137">
        <v>35400</v>
      </c>
      <c r="E98" s="140"/>
      <c r="F98" s="137">
        <v>1000</v>
      </c>
      <c r="G98" s="137">
        <v>5100</v>
      </c>
      <c r="H98" s="140"/>
      <c r="I98" s="137">
        <v>31400</v>
      </c>
    </row>
    <row r="99" spans="1:9">
      <c r="A99" s="132">
        <v>1988</v>
      </c>
      <c r="B99" s="137">
        <v>28300</v>
      </c>
      <c r="C99" s="137">
        <v>7700</v>
      </c>
      <c r="D99" s="137">
        <v>36000</v>
      </c>
      <c r="E99" s="140"/>
      <c r="F99" s="137">
        <v>1000</v>
      </c>
      <c r="G99" s="137">
        <v>5300</v>
      </c>
      <c r="H99" s="140"/>
      <c r="I99" s="137">
        <v>31700</v>
      </c>
    </row>
    <row r="100" spans="1:9">
      <c r="A100" s="132">
        <v>1989</v>
      </c>
      <c r="B100" s="137">
        <v>28700</v>
      </c>
      <c r="C100" s="137">
        <v>7700</v>
      </c>
      <c r="D100" s="137">
        <v>36300</v>
      </c>
      <c r="E100" s="140"/>
      <c r="F100" s="137">
        <v>1100</v>
      </c>
      <c r="G100" s="137">
        <v>5200</v>
      </c>
      <c r="H100" s="140"/>
      <c r="I100" s="137">
        <v>32300</v>
      </c>
    </row>
    <row r="101" spans="1:9">
      <c r="A101" s="132">
        <v>1990</v>
      </c>
      <c r="B101" s="137">
        <v>29700</v>
      </c>
      <c r="C101" s="137">
        <v>7800</v>
      </c>
      <c r="D101" s="137">
        <v>37500</v>
      </c>
      <c r="E101" s="140"/>
      <c r="F101" s="137">
        <v>1300</v>
      </c>
      <c r="G101" s="137">
        <v>5600</v>
      </c>
      <c r="H101" s="140"/>
      <c r="I101" s="137">
        <v>33200</v>
      </c>
    </row>
    <row r="102" spans="1:9">
      <c r="A102" s="132">
        <v>1991</v>
      </c>
      <c r="B102" s="137">
        <v>28400</v>
      </c>
      <c r="C102" s="137">
        <v>8300</v>
      </c>
      <c r="D102" s="137">
        <v>36600</v>
      </c>
      <c r="E102" s="140"/>
      <c r="F102" s="137">
        <v>1600</v>
      </c>
      <c r="G102" s="137">
        <v>5300</v>
      </c>
      <c r="H102" s="140"/>
      <c r="I102" s="137">
        <v>32900</v>
      </c>
    </row>
    <row r="103" spans="1:9">
      <c r="A103" s="132">
        <v>1992</v>
      </c>
      <c r="B103" s="137">
        <v>27500</v>
      </c>
      <c r="C103" s="137">
        <v>8800</v>
      </c>
      <c r="D103" s="137">
        <v>36300</v>
      </c>
      <c r="E103" s="140"/>
      <c r="F103" s="137">
        <v>2000</v>
      </c>
      <c r="G103" s="137">
        <v>5100</v>
      </c>
      <c r="H103" s="140"/>
      <c r="I103" s="137">
        <v>33200</v>
      </c>
    </row>
    <row r="104" spans="1:9">
      <c r="A104" s="132">
        <v>1993</v>
      </c>
      <c r="B104" s="137">
        <v>27200</v>
      </c>
      <c r="C104" s="137">
        <v>9200</v>
      </c>
      <c r="D104" s="137">
        <v>36400</v>
      </c>
      <c r="E104" s="140"/>
      <c r="F104" s="137">
        <v>2200</v>
      </c>
      <c r="G104" s="137">
        <v>5000</v>
      </c>
      <c r="H104" s="140"/>
      <c r="I104" s="137">
        <v>33500</v>
      </c>
    </row>
    <row r="105" spans="1:9">
      <c r="A105" s="132">
        <v>1994</v>
      </c>
      <c r="B105" s="137">
        <v>27400</v>
      </c>
      <c r="C105" s="137">
        <v>9300</v>
      </c>
      <c r="D105" s="137">
        <v>36700</v>
      </c>
      <c r="E105" s="140"/>
      <c r="F105" s="137">
        <v>2200</v>
      </c>
      <c r="G105" s="137">
        <v>5000</v>
      </c>
      <c r="H105" s="140"/>
      <c r="I105" s="137">
        <v>34000</v>
      </c>
    </row>
    <row r="106" spans="1:9">
      <c r="A106" s="132">
        <v>1995</v>
      </c>
      <c r="B106" s="137">
        <v>29300</v>
      </c>
      <c r="C106" s="137">
        <v>9300</v>
      </c>
      <c r="D106" s="137">
        <v>38600</v>
      </c>
      <c r="E106" s="140"/>
      <c r="F106" s="137">
        <v>2400</v>
      </c>
      <c r="G106" s="137">
        <v>5300</v>
      </c>
      <c r="H106" s="140"/>
      <c r="I106" s="137">
        <v>35700</v>
      </c>
    </row>
    <row r="107" spans="1:9">
      <c r="A107" s="132">
        <v>1996</v>
      </c>
      <c r="B107" s="137">
        <v>29600</v>
      </c>
      <c r="C107" s="137">
        <v>9000</v>
      </c>
      <c r="D107" s="137">
        <v>38600</v>
      </c>
      <c r="E107" s="140"/>
      <c r="F107" s="137">
        <v>2300</v>
      </c>
      <c r="G107" s="137">
        <v>5300</v>
      </c>
      <c r="H107" s="140"/>
      <c r="I107" s="137">
        <v>35600</v>
      </c>
    </row>
    <row r="108" spans="1:9">
      <c r="A108" s="132">
        <v>1997</v>
      </c>
      <c r="B108" s="137">
        <v>30900</v>
      </c>
      <c r="C108" s="137">
        <v>9100</v>
      </c>
      <c r="D108" s="137">
        <v>40000</v>
      </c>
      <c r="E108" s="140"/>
      <c r="F108" s="137">
        <v>2300</v>
      </c>
      <c r="G108" s="137">
        <v>5600</v>
      </c>
      <c r="H108" s="140"/>
      <c r="I108" s="137">
        <v>36700</v>
      </c>
    </row>
    <row r="109" spans="1:9">
      <c r="A109" s="132">
        <v>1998</v>
      </c>
      <c r="B109" s="137">
        <v>32800</v>
      </c>
      <c r="C109" s="137">
        <v>9200</v>
      </c>
      <c r="D109" s="137">
        <v>41900</v>
      </c>
      <c r="E109" s="140"/>
      <c r="F109" s="137">
        <v>2500</v>
      </c>
      <c r="G109" s="137">
        <v>5600</v>
      </c>
      <c r="H109" s="140"/>
      <c r="I109" s="137">
        <v>38900</v>
      </c>
    </row>
    <row r="110" spans="1:9">
      <c r="A110" s="132">
        <v>1999</v>
      </c>
      <c r="B110" s="137">
        <v>34600</v>
      </c>
      <c r="C110" s="137">
        <v>8800</v>
      </c>
      <c r="D110" s="137">
        <v>43400</v>
      </c>
      <c r="E110" s="140"/>
      <c r="F110" s="137">
        <v>2600</v>
      </c>
      <c r="G110" s="137">
        <v>5900</v>
      </c>
      <c r="H110" s="140"/>
      <c r="I110" s="137">
        <v>40000</v>
      </c>
    </row>
    <row r="111" spans="1:9">
      <c r="A111" s="132">
        <v>2000</v>
      </c>
      <c r="B111" s="137">
        <v>34900</v>
      </c>
      <c r="C111" s="137">
        <v>8600</v>
      </c>
      <c r="D111" s="137">
        <v>43500</v>
      </c>
      <c r="E111" s="140"/>
      <c r="F111" s="137">
        <v>2800</v>
      </c>
      <c r="G111" s="137">
        <v>5900</v>
      </c>
      <c r="H111" s="140"/>
      <c r="I111" s="137">
        <v>40300</v>
      </c>
    </row>
    <row r="112" spans="1:9">
      <c r="A112" s="132">
        <v>2001</v>
      </c>
      <c r="B112" s="137">
        <v>33400</v>
      </c>
      <c r="C112" s="137">
        <v>9500</v>
      </c>
      <c r="D112" s="137">
        <v>42900</v>
      </c>
      <c r="E112" s="140"/>
      <c r="F112" s="137">
        <v>3100</v>
      </c>
      <c r="G112" s="137">
        <v>5000</v>
      </c>
      <c r="H112" s="140"/>
      <c r="I112" s="137">
        <v>41000</v>
      </c>
    </row>
    <row r="113" spans="1:9">
      <c r="A113" s="132">
        <v>2002</v>
      </c>
      <c r="B113" s="137">
        <v>32000</v>
      </c>
      <c r="C113" s="137">
        <v>9800</v>
      </c>
      <c r="D113" s="137">
        <v>41800</v>
      </c>
      <c r="E113" s="140"/>
      <c r="F113" s="137">
        <v>3500</v>
      </c>
      <c r="G113" s="137">
        <v>4600</v>
      </c>
      <c r="H113" s="140"/>
      <c r="I113" s="137">
        <v>40600</v>
      </c>
    </row>
    <row r="114" spans="1:9">
      <c r="A114" s="132">
        <v>2003</v>
      </c>
      <c r="B114" s="137">
        <v>31000</v>
      </c>
      <c r="C114" s="137">
        <v>10400</v>
      </c>
      <c r="D114" s="137">
        <v>41400</v>
      </c>
      <c r="E114" s="140"/>
      <c r="F114" s="137">
        <v>3800</v>
      </c>
      <c r="G114" s="137">
        <v>4200</v>
      </c>
      <c r="H114" s="140"/>
      <c r="I114" s="137">
        <v>41000</v>
      </c>
    </row>
    <row r="115" spans="1:9">
      <c r="A115" s="132">
        <v>2004</v>
      </c>
      <c r="B115" s="137">
        <v>32000</v>
      </c>
      <c r="C115" s="137">
        <v>10300</v>
      </c>
      <c r="D115" s="137">
        <v>42400</v>
      </c>
      <c r="E115" s="140"/>
      <c r="F115" s="137">
        <v>4100</v>
      </c>
      <c r="G115" s="137">
        <v>4300</v>
      </c>
      <c r="H115" s="140"/>
      <c r="I115" s="137">
        <v>42100</v>
      </c>
    </row>
    <row r="116" spans="1:9">
      <c r="A116" s="132">
        <v>2005</v>
      </c>
      <c r="B116" s="137">
        <v>32600</v>
      </c>
      <c r="C116" s="137">
        <v>10200</v>
      </c>
      <c r="D116" s="137">
        <v>42800</v>
      </c>
      <c r="E116" s="140"/>
      <c r="F116" s="137">
        <v>4000</v>
      </c>
      <c r="G116" s="137">
        <v>4500</v>
      </c>
      <c r="H116" s="140"/>
      <c r="I116" s="137">
        <v>42300</v>
      </c>
    </row>
    <row r="117" spans="1:9">
      <c r="A117" s="132">
        <v>2006</v>
      </c>
      <c r="B117" s="137">
        <v>33300</v>
      </c>
      <c r="C117" s="137">
        <v>10500</v>
      </c>
      <c r="D117" s="137">
        <v>43800</v>
      </c>
      <c r="E117" s="140"/>
      <c r="F117" s="137">
        <v>4200</v>
      </c>
      <c r="G117" s="137">
        <v>4600</v>
      </c>
      <c r="H117" s="140"/>
      <c r="I117" s="137">
        <v>43300</v>
      </c>
    </row>
    <row r="118" spans="1:9">
      <c r="A118" s="132">
        <v>2007</v>
      </c>
      <c r="B118" s="137">
        <v>35800</v>
      </c>
      <c r="C118" s="137">
        <v>10100</v>
      </c>
      <c r="D118" s="137">
        <v>45900</v>
      </c>
      <c r="E118" s="140"/>
      <c r="F118" s="137">
        <v>4100</v>
      </c>
      <c r="G118" s="137">
        <v>5000</v>
      </c>
      <c r="H118" s="140"/>
      <c r="I118" s="137">
        <v>45000</v>
      </c>
    </row>
    <row r="119" spans="1:9">
      <c r="A119" s="132">
        <v>2008</v>
      </c>
      <c r="B119" s="137">
        <v>33500</v>
      </c>
      <c r="C119" s="137">
        <v>10800</v>
      </c>
      <c r="D119" s="137">
        <v>44200</v>
      </c>
      <c r="E119" s="140"/>
      <c r="F119" s="137">
        <v>4700</v>
      </c>
      <c r="G119" s="137">
        <v>3400</v>
      </c>
      <c r="H119" s="140"/>
      <c r="I119" s="137">
        <v>45500</v>
      </c>
    </row>
    <row r="120" spans="1:9">
      <c r="A120" s="132">
        <v>2009</v>
      </c>
      <c r="B120" s="137">
        <v>31000</v>
      </c>
      <c r="C120" s="137">
        <v>11900</v>
      </c>
      <c r="D120" s="137">
        <v>42900</v>
      </c>
      <c r="E120" s="140"/>
      <c r="F120" s="137">
        <v>5400</v>
      </c>
      <c r="G120" s="137">
        <v>3100</v>
      </c>
      <c r="H120" s="140"/>
      <c r="I120" s="137">
        <v>45200</v>
      </c>
    </row>
    <row r="121" spans="1:9">
      <c r="A121" s="132">
        <v>2010</v>
      </c>
      <c r="B121" s="137">
        <v>30400</v>
      </c>
      <c r="C121" s="137">
        <v>11900</v>
      </c>
      <c r="D121" s="137">
        <v>42300</v>
      </c>
      <c r="E121" s="140"/>
      <c r="F121" s="137">
        <v>5600</v>
      </c>
      <c r="G121" s="137">
        <v>3200</v>
      </c>
      <c r="H121" s="140"/>
      <c r="I121" s="137">
        <v>44700</v>
      </c>
    </row>
    <row r="122" spans="1:9">
      <c r="A122" s="132">
        <v>2011</v>
      </c>
      <c r="B122" s="137">
        <v>30300</v>
      </c>
      <c r="C122" s="137">
        <v>11800</v>
      </c>
      <c r="D122" s="137">
        <v>42100</v>
      </c>
      <c r="E122" s="140"/>
      <c r="F122" s="137">
        <v>5700</v>
      </c>
      <c r="G122" s="137">
        <v>3200</v>
      </c>
      <c r="H122" s="140"/>
      <c r="I122" s="137">
        <v>44600</v>
      </c>
    </row>
    <row r="123" spans="1:9">
      <c r="A123" s="132">
        <v>2012</v>
      </c>
      <c r="B123" s="137">
        <v>30100</v>
      </c>
      <c r="C123" s="137">
        <v>11700</v>
      </c>
      <c r="D123" s="137">
        <v>41800</v>
      </c>
      <c r="E123" s="140"/>
      <c r="F123" s="137">
        <v>5700</v>
      </c>
      <c r="G123" s="137">
        <v>3200</v>
      </c>
      <c r="H123" s="140"/>
      <c r="I123" s="137">
        <v>44300</v>
      </c>
    </row>
    <row r="124" spans="1:9">
      <c r="A124" s="132">
        <v>2013</v>
      </c>
      <c r="B124" s="137">
        <v>30700</v>
      </c>
      <c r="C124" s="137">
        <v>11900</v>
      </c>
      <c r="D124" s="137">
        <v>42600</v>
      </c>
      <c r="E124" s="140"/>
      <c r="F124" s="137">
        <v>5700</v>
      </c>
      <c r="G124" s="137">
        <v>3900</v>
      </c>
      <c r="H124" s="140"/>
      <c r="I124" s="137">
        <v>44400</v>
      </c>
    </row>
    <row r="125" spans="1:9">
      <c r="A125" s="132">
        <v>2014</v>
      </c>
      <c r="B125" s="137">
        <v>31100</v>
      </c>
      <c r="C125" s="137">
        <v>11600</v>
      </c>
      <c r="D125" s="137">
        <v>42700</v>
      </c>
      <c r="E125" s="140"/>
      <c r="F125" s="137">
        <v>6500</v>
      </c>
      <c r="G125" s="137">
        <v>3900</v>
      </c>
      <c r="H125" s="140"/>
      <c r="I125" s="137">
        <v>45300</v>
      </c>
    </row>
    <row r="126" spans="1:9">
      <c r="A126" s="132">
        <v>2015</v>
      </c>
      <c r="B126" s="137">
        <v>32500</v>
      </c>
      <c r="C126" s="137">
        <v>12100</v>
      </c>
      <c r="D126" s="137">
        <v>44600</v>
      </c>
      <c r="E126" s="140"/>
      <c r="F126" s="137">
        <v>6900</v>
      </c>
      <c r="G126" s="137">
        <v>4100</v>
      </c>
      <c r="H126" s="140"/>
      <c r="I126" s="137">
        <v>47300</v>
      </c>
    </row>
    <row r="127" spans="1:9">
      <c r="A127" s="132">
        <v>2016</v>
      </c>
      <c r="B127" s="137">
        <v>33300</v>
      </c>
      <c r="C127" s="137">
        <v>12100</v>
      </c>
      <c r="D127" s="137">
        <v>45300</v>
      </c>
      <c r="E127" s="140"/>
      <c r="F127" s="137">
        <v>6900</v>
      </c>
      <c r="G127" s="137">
        <v>4200</v>
      </c>
      <c r="H127" s="140"/>
      <c r="I127" s="137">
        <v>48000</v>
      </c>
    </row>
    <row r="128" spans="1:9">
      <c r="A128" s="132"/>
      <c r="B128" s="137"/>
      <c r="C128" s="137"/>
      <c r="D128" s="137"/>
      <c r="E128" s="140"/>
      <c r="F128" s="137"/>
      <c r="G128" s="137"/>
      <c r="H128" s="140"/>
      <c r="I128" s="137"/>
    </row>
    <row r="129" spans="1:9">
      <c r="A129" s="132"/>
      <c r="B129" s="774" t="s">
        <v>7</v>
      </c>
      <c r="C129" s="774"/>
      <c r="D129" s="774"/>
      <c r="E129" s="774"/>
      <c r="F129" s="774"/>
      <c r="G129" s="774"/>
      <c r="H129" s="774"/>
      <c r="I129" s="774"/>
    </row>
    <row r="130" spans="1:9">
      <c r="A130" s="132">
        <v>1979</v>
      </c>
      <c r="B130" s="137">
        <v>52600</v>
      </c>
      <c r="C130" s="137">
        <v>4300</v>
      </c>
      <c r="D130" s="137">
        <v>56900</v>
      </c>
      <c r="E130" s="140"/>
      <c r="F130" s="137">
        <v>500</v>
      </c>
      <c r="G130" s="137">
        <v>10900</v>
      </c>
      <c r="H130" s="140"/>
      <c r="I130" s="137">
        <v>46500</v>
      </c>
    </row>
    <row r="131" spans="1:9">
      <c r="A131" s="132">
        <v>1980</v>
      </c>
      <c r="B131" s="137">
        <v>50200</v>
      </c>
      <c r="C131" s="137">
        <v>4800</v>
      </c>
      <c r="D131" s="137">
        <v>55000</v>
      </c>
      <c r="E131" s="140"/>
      <c r="F131" s="137">
        <v>400</v>
      </c>
      <c r="G131" s="137">
        <v>10500</v>
      </c>
      <c r="H131" s="140"/>
      <c r="I131" s="137">
        <v>45000</v>
      </c>
    </row>
    <row r="132" spans="1:9">
      <c r="A132" s="132">
        <v>1981</v>
      </c>
      <c r="B132" s="137">
        <v>49500</v>
      </c>
      <c r="C132" s="137">
        <v>5200</v>
      </c>
      <c r="D132" s="137">
        <v>54700</v>
      </c>
      <c r="E132" s="140"/>
      <c r="F132" s="137">
        <v>400</v>
      </c>
      <c r="G132" s="137">
        <v>10600</v>
      </c>
      <c r="H132" s="140"/>
      <c r="I132" s="137">
        <v>44500</v>
      </c>
    </row>
    <row r="133" spans="1:9">
      <c r="A133" s="132">
        <v>1982</v>
      </c>
      <c r="B133" s="137">
        <v>48100</v>
      </c>
      <c r="C133" s="137">
        <v>5900</v>
      </c>
      <c r="D133" s="137">
        <v>53900</v>
      </c>
      <c r="E133" s="140"/>
      <c r="F133" s="137">
        <v>300</v>
      </c>
      <c r="G133" s="137">
        <v>9800</v>
      </c>
      <c r="H133" s="140"/>
      <c r="I133" s="137">
        <v>44500</v>
      </c>
    </row>
    <row r="134" spans="1:9">
      <c r="A134" s="132">
        <v>1983</v>
      </c>
      <c r="B134" s="137">
        <v>46900</v>
      </c>
      <c r="C134" s="137">
        <v>6300</v>
      </c>
      <c r="D134" s="137">
        <v>53200</v>
      </c>
      <c r="E134" s="140"/>
      <c r="F134" s="137">
        <v>400</v>
      </c>
      <c r="G134" s="137">
        <v>9300</v>
      </c>
      <c r="H134" s="140"/>
      <c r="I134" s="137">
        <v>44200</v>
      </c>
    </row>
    <row r="135" spans="1:9">
      <c r="A135" s="132">
        <v>1984</v>
      </c>
      <c r="B135" s="137">
        <v>50300</v>
      </c>
      <c r="C135" s="137">
        <v>5900</v>
      </c>
      <c r="D135" s="137">
        <v>56300</v>
      </c>
      <c r="E135" s="140"/>
      <c r="F135" s="137">
        <v>400</v>
      </c>
      <c r="G135" s="137">
        <v>10100</v>
      </c>
      <c r="H135" s="140"/>
      <c r="I135" s="137">
        <v>46500</v>
      </c>
    </row>
    <row r="136" spans="1:9">
      <c r="A136" s="132">
        <v>1985</v>
      </c>
      <c r="B136" s="137">
        <v>50200</v>
      </c>
      <c r="C136" s="137">
        <v>6200</v>
      </c>
      <c r="D136" s="137">
        <v>56400</v>
      </c>
      <c r="E136" s="140"/>
      <c r="F136" s="137">
        <v>400</v>
      </c>
      <c r="G136" s="137">
        <v>10200</v>
      </c>
      <c r="H136" s="140"/>
      <c r="I136" s="137">
        <v>46500</v>
      </c>
    </row>
    <row r="137" spans="1:9">
      <c r="A137" s="132">
        <v>1986</v>
      </c>
      <c r="B137" s="137">
        <v>50900</v>
      </c>
      <c r="C137" s="137">
        <v>6700</v>
      </c>
      <c r="D137" s="137">
        <v>57500</v>
      </c>
      <c r="E137" s="140"/>
      <c r="F137" s="137">
        <v>400</v>
      </c>
      <c r="G137" s="137">
        <v>10400</v>
      </c>
      <c r="H137" s="140"/>
      <c r="I137" s="137">
        <v>47500</v>
      </c>
    </row>
    <row r="138" spans="1:9">
      <c r="A138" s="132">
        <v>1987</v>
      </c>
      <c r="B138" s="137">
        <v>50500</v>
      </c>
      <c r="C138" s="137">
        <v>6700</v>
      </c>
      <c r="D138" s="137">
        <v>57200</v>
      </c>
      <c r="E138" s="140"/>
      <c r="F138" s="137">
        <v>400</v>
      </c>
      <c r="G138" s="137">
        <v>10200</v>
      </c>
      <c r="H138" s="140"/>
      <c r="I138" s="137">
        <v>47400</v>
      </c>
    </row>
    <row r="139" spans="1:9">
      <c r="A139" s="132">
        <v>1988</v>
      </c>
      <c r="B139" s="137">
        <v>51600</v>
      </c>
      <c r="C139" s="137">
        <v>6500</v>
      </c>
      <c r="D139" s="137">
        <v>58100</v>
      </c>
      <c r="E139" s="140"/>
      <c r="F139" s="137">
        <v>400</v>
      </c>
      <c r="G139" s="137">
        <v>10600</v>
      </c>
      <c r="H139" s="140"/>
      <c r="I139" s="137">
        <v>48000</v>
      </c>
    </row>
    <row r="140" spans="1:9">
      <c r="A140" s="132">
        <v>1989</v>
      </c>
      <c r="B140" s="137">
        <v>52000</v>
      </c>
      <c r="C140" s="137">
        <v>6700</v>
      </c>
      <c r="D140" s="137">
        <v>58700</v>
      </c>
      <c r="E140" s="140"/>
      <c r="F140" s="137">
        <v>400</v>
      </c>
      <c r="G140" s="137">
        <v>10600</v>
      </c>
      <c r="H140" s="140"/>
      <c r="I140" s="137">
        <v>48500</v>
      </c>
    </row>
    <row r="141" spans="1:9">
      <c r="A141" s="132">
        <v>1990</v>
      </c>
      <c r="B141" s="137">
        <v>52100</v>
      </c>
      <c r="C141" s="137">
        <v>7000</v>
      </c>
      <c r="D141" s="137">
        <v>59100</v>
      </c>
      <c r="E141" s="140"/>
      <c r="F141" s="137">
        <v>500</v>
      </c>
      <c r="G141" s="137">
        <v>10700</v>
      </c>
      <c r="H141" s="140"/>
      <c r="I141" s="137">
        <v>48900</v>
      </c>
    </row>
    <row r="142" spans="1:9">
      <c r="A142" s="132">
        <v>1991</v>
      </c>
      <c r="B142" s="137">
        <v>50300</v>
      </c>
      <c r="C142" s="137">
        <v>7700</v>
      </c>
      <c r="D142" s="137">
        <v>58000</v>
      </c>
      <c r="E142" s="140"/>
      <c r="F142" s="137">
        <v>600</v>
      </c>
      <c r="G142" s="137">
        <v>10300</v>
      </c>
      <c r="H142" s="140"/>
      <c r="I142" s="137">
        <v>48300</v>
      </c>
    </row>
    <row r="143" spans="1:9">
      <c r="A143" s="132">
        <v>1992</v>
      </c>
      <c r="B143" s="137">
        <v>50300</v>
      </c>
      <c r="C143" s="137">
        <v>8000</v>
      </c>
      <c r="D143" s="137">
        <v>58300</v>
      </c>
      <c r="E143" s="140"/>
      <c r="F143" s="137">
        <v>700</v>
      </c>
      <c r="G143" s="137">
        <v>10300</v>
      </c>
      <c r="H143" s="140"/>
      <c r="I143" s="137">
        <v>48700</v>
      </c>
    </row>
    <row r="144" spans="1:9">
      <c r="A144" s="132">
        <v>1993</v>
      </c>
      <c r="B144" s="137">
        <v>50200</v>
      </c>
      <c r="C144" s="137">
        <v>8200</v>
      </c>
      <c r="D144" s="137">
        <v>58500</v>
      </c>
      <c r="E144" s="140"/>
      <c r="F144" s="137">
        <v>800</v>
      </c>
      <c r="G144" s="137">
        <v>10300</v>
      </c>
      <c r="H144" s="140"/>
      <c r="I144" s="137">
        <v>49000</v>
      </c>
    </row>
    <row r="145" spans="1:9">
      <c r="A145" s="132">
        <v>1994</v>
      </c>
      <c r="B145" s="137">
        <v>50700</v>
      </c>
      <c r="C145" s="137">
        <v>8000</v>
      </c>
      <c r="D145" s="137">
        <v>58700</v>
      </c>
      <c r="E145" s="140"/>
      <c r="F145" s="137">
        <v>800</v>
      </c>
      <c r="G145" s="137">
        <v>10400</v>
      </c>
      <c r="H145" s="140"/>
      <c r="I145" s="137">
        <v>49100</v>
      </c>
    </row>
    <row r="146" spans="1:9">
      <c r="A146" s="132">
        <v>1995</v>
      </c>
      <c r="B146" s="137">
        <v>52600</v>
      </c>
      <c r="C146" s="137">
        <v>8200</v>
      </c>
      <c r="D146" s="137">
        <v>60800</v>
      </c>
      <c r="E146" s="140"/>
      <c r="F146" s="137">
        <v>1000</v>
      </c>
      <c r="G146" s="137">
        <v>10900</v>
      </c>
      <c r="H146" s="140"/>
      <c r="I146" s="137">
        <v>50900</v>
      </c>
    </row>
    <row r="147" spans="1:9">
      <c r="A147" s="132">
        <v>1996</v>
      </c>
      <c r="B147" s="137">
        <v>53400</v>
      </c>
      <c r="C147" s="137">
        <v>8400</v>
      </c>
      <c r="D147" s="137">
        <v>61700</v>
      </c>
      <c r="E147" s="140"/>
      <c r="F147" s="137">
        <v>900</v>
      </c>
      <c r="G147" s="137">
        <v>11000</v>
      </c>
      <c r="H147" s="140"/>
      <c r="I147" s="137">
        <v>51700</v>
      </c>
    </row>
    <row r="148" spans="1:9">
      <c r="A148" s="132">
        <v>1997</v>
      </c>
      <c r="B148" s="137">
        <v>54900</v>
      </c>
      <c r="C148" s="137">
        <v>8100</v>
      </c>
      <c r="D148" s="137">
        <v>63000</v>
      </c>
      <c r="E148" s="140"/>
      <c r="F148" s="137">
        <v>800</v>
      </c>
      <c r="G148" s="137">
        <v>11400</v>
      </c>
      <c r="H148" s="140"/>
      <c r="I148" s="137">
        <v>52400</v>
      </c>
    </row>
    <row r="149" spans="1:9">
      <c r="A149" s="132">
        <v>1998</v>
      </c>
      <c r="B149" s="137">
        <v>56800</v>
      </c>
      <c r="C149" s="137">
        <v>8300</v>
      </c>
      <c r="D149" s="137">
        <v>65200</v>
      </c>
      <c r="E149" s="140"/>
      <c r="F149" s="137">
        <v>900</v>
      </c>
      <c r="G149" s="137">
        <v>11400</v>
      </c>
      <c r="H149" s="140"/>
      <c r="I149" s="137">
        <v>54700</v>
      </c>
    </row>
    <row r="150" spans="1:9">
      <c r="A150" s="132">
        <v>1999</v>
      </c>
      <c r="B150" s="137">
        <v>58800</v>
      </c>
      <c r="C150" s="137">
        <v>8300</v>
      </c>
      <c r="D150" s="137">
        <v>67100</v>
      </c>
      <c r="E150" s="140"/>
      <c r="F150" s="137">
        <v>1100</v>
      </c>
      <c r="G150" s="137">
        <v>11800</v>
      </c>
      <c r="H150" s="140"/>
      <c r="I150" s="137">
        <v>56400</v>
      </c>
    </row>
    <row r="151" spans="1:9">
      <c r="A151" s="132">
        <v>2000</v>
      </c>
      <c r="B151" s="137">
        <v>59000</v>
      </c>
      <c r="C151" s="137">
        <v>8500</v>
      </c>
      <c r="D151" s="137">
        <v>67500</v>
      </c>
      <c r="E151" s="140"/>
      <c r="F151" s="137">
        <v>1200</v>
      </c>
      <c r="G151" s="137">
        <v>11700</v>
      </c>
      <c r="H151" s="140"/>
      <c r="I151" s="137">
        <v>57000</v>
      </c>
    </row>
    <row r="152" spans="1:9">
      <c r="A152" s="132">
        <v>2001</v>
      </c>
      <c r="B152" s="137">
        <v>58200</v>
      </c>
      <c r="C152" s="137">
        <v>9000</v>
      </c>
      <c r="D152" s="137">
        <v>67200</v>
      </c>
      <c r="E152" s="140"/>
      <c r="F152" s="137">
        <v>1200</v>
      </c>
      <c r="G152" s="137">
        <v>10600</v>
      </c>
      <c r="H152" s="140"/>
      <c r="I152" s="137">
        <v>57800</v>
      </c>
    </row>
    <row r="153" spans="1:9">
      <c r="A153" s="132">
        <v>2002</v>
      </c>
      <c r="B153" s="137">
        <v>55900</v>
      </c>
      <c r="C153" s="137">
        <v>9900</v>
      </c>
      <c r="D153" s="137">
        <v>65800</v>
      </c>
      <c r="E153" s="140"/>
      <c r="F153" s="137">
        <v>1400</v>
      </c>
      <c r="G153" s="137">
        <v>9900</v>
      </c>
      <c r="H153" s="140"/>
      <c r="I153" s="137">
        <v>57300</v>
      </c>
    </row>
    <row r="154" spans="1:9">
      <c r="A154" s="132">
        <v>2003</v>
      </c>
      <c r="B154" s="137">
        <v>55700</v>
      </c>
      <c r="C154" s="137">
        <v>10000</v>
      </c>
      <c r="D154" s="137">
        <v>65700</v>
      </c>
      <c r="E154" s="140"/>
      <c r="F154" s="137">
        <v>1600</v>
      </c>
      <c r="G154" s="137">
        <v>9400</v>
      </c>
      <c r="H154" s="140"/>
      <c r="I154" s="137">
        <v>57900</v>
      </c>
    </row>
    <row r="155" spans="1:9">
      <c r="A155" s="132">
        <v>2004</v>
      </c>
      <c r="B155" s="137">
        <v>57900</v>
      </c>
      <c r="C155" s="137">
        <v>9800</v>
      </c>
      <c r="D155" s="137">
        <v>67800</v>
      </c>
      <c r="E155" s="140"/>
      <c r="F155" s="137">
        <v>1800</v>
      </c>
      <c r="G155" s="137">
        <v>9900</v>
      </c>
      <c r="H155" s="140"/>
      <c r="I155" s="137">
        <v>59700</v>
      </c>
    </row>
    <row r="156" spans="1:9">
      <c r="A156" s="132">
        <v>2005</v>
      </c>
      <c r="B156" s="137">
        <v>59200</v>
      </c>
      <c r="C156" s="137">
        <v>9800</v>
      </c>
      <c r="D156" s="137">
        <v>69000</v>
      </c>
      <c r="E156" s="140"/>
      <c r="F156" s="137">
        <v>1800</v>
      </c>
      <c r="G156" s="137">
        <v>10200</v>
      </c>
      <c r="H156" s="140"/>
      <c r="I156" s="137">
        <v>60600</v>
      </c>
    </row>
    <row r="157" spans="1:9">
      <c r="A157" s="132">
        <v>2006</v>
      </c>
      <c r="B157" s="137">
        <v>59300</v>
      </c>
      <c r="C157" s="137">
        <v>10400</v>
      </c>
      <c r="D157" s="137">
        <v>69700</v>
      </c>
      <c r="E157" s="140"/>
      <c r="F157" s="137">
        <v>1700</v>
      </c>
      <c r="G157" s="137">
        <v>10400</v>
      </c>
      <c r="H157" s="140"/>
      <c r="I157" s="137">
        <v>61100</v>
      </c>
    </row>
    <row r="158" spans="1:9">
      <c r="A158" s="132">
        <v>2007</v>
      </c>
      <c r="B158" s="137">
        <v>61800</v>
      </c>
      <c r="C158" s="137">
        <v>10400</v>
      </c>
      <c r="D158" s="137">
        <v>72200</v>
      </c>
      <c r="E158" s="140"/>
      <c r="F158" s="137">
        <v>1900</v>
      </c>
      <c r="G158" s="137">
        <v>10700</v>
      </c>
      <c r="H158" s="140"/>
      <c r="I158" s="137">
        <v>63400</v>
      </c>
    </row>
    <row r="159" spans="1:9">
      <c r="A159" s="132">
        <v>2008</v>
      </c>
      <c r="B159" s="137">
        <v>58800</v>
      </c>
      <c r="C159" s="137">
        <v>11200</v>
      </c>
      <c r="D159" s="137">
        <v>70000</v>
      </c>
      <c r="E159" s="140"/>
      <c r="F159" s="137">
        <v>2000</v>
      </c>
      <c r="G159" s="137">
        <v>8600</v>
      </c>
      <c r="H159" s="140"/>
      <c r="I159" s="137">
        <v>63400</v>
      </c>
    </row>
    <row r="160" spans="1:9">
      <c r="A160" s="132">
        <v>2009</v>
      </c>
      <c r="B160" s="137">
        <v>55400</v>
      </c>
      <c r="C160" s="137">
        <v>13100</v>
      </c>
      <c r="D160" s="137">
        <v>68400</v>
      </c>
      <c r="E160" s="140"/>
      <c r="F160" s="137">
        <v>2400</v>
      </c>
      <c r="G160" s="137">
        <v>8100</v>
      </c>
      <c r="H160" s="140"/>
      <c r="I160" s="137">
        <v>62700</v>
      </c>
    </row>
    <row r="161" spans="1:9">
      <c r="A161" s="132">
        <v>2010</v>
      </c>
      <c r="B161" s="137">
        <v>54000</v>
      </c>
      <c r="C161" s="137">
        <v>13700</v>
      </c>
      <c r="D161" s="137">
        <v>67700</v>
      </c>
      <c r="E161" s="140"/>
      <c r="F161" s="137">
        <v>2400</v>
      </c>
      <c r="G161" s="137">
        <v>8200</v>
      </c>
      <c r="H161" s="140"/>
      <c r="I161" s="137">
        <v>61900</v>
      </c>
    </row>
    <row r="162" spans="1:9">
      <c r="A162" s="132">
        <v>2011</v>
      </c>
      <c r="B162" s="137">
        <v>54100</v>
      </c>
      <c r="C162" s="137">
        <v>13000</v>
      </c>
      <c r="D162" s="137">
        <v>67100</v>
      </c>
      <c r="E162" s="140"/>
      <c r="F162" s="137">
        <v>2400</v>
      </c>
      <c r="G162" s="137">
        <v>8100</v>
      </c>
      <c r="H162" s="140"/>
      <c r="I162" s="137">
        <v>61400</v>
      </c>
    </row>
    <row r="163" spans="1:9">
      <c r="A163" s="132">
        <v>2012</v>
      </c>
      <c r="B163" s="137">
        <v>54100</v>
      </c>
      <c r="C163" s="137">
        <v>13100</v>
      </c>
      <c r="D163" s="137">
        <v>67100</v>
      </c>
      <c r="E163" s="140"/>
      <c r="F163" s="137">
        <v>2400</v>
      </c>
      <c r="G163" s="137">
        <v>8200</v>
      </c>
      <c r="H163" s="140"/>
      <c r="I163" s="137">
        <v>61300</v>
      </c>
    </row>
    <row r="164" spans="1:9">
      <c r="A164" s="132">
        <v>2013</v>
      </c>
      <c r="B164" s="137">
        <v>55700</v>
      </c>
      <c r="C164" s="137">
        <v>12600</v>
      </c>
      <c r="D164" s="137">
        <v>68300</v>
      </c>
      <c r="E164" s="140"/>
      <c r="F164" s="137">
        <v>2500</v>
      </c>
      <c r="G164" s="137">
        <v>9400</v>
      </c>
      <c r="H164" s="140"/>
      <c r="I164" s="137">
        <v>61400</v>
      </c>
    </row>
    <row r="165" spans="1:9">
      <c r="A165" s="132">
        <v>2014</v>
      </c>
      <c r="B165" s="137">
        <v>57200</v>
      </c>
      <c r="C165" s="137">
        <v>12400</v>
      </c>
      <c r="D165" s="137">
        <v>69600</v>
      </c>
      <c r="E165" s="140"/>
      <c r="F165" s="137">
        <v>2900</v>
      </c>
      <c r="G165" s="137">
        <v>9700</v>
      </c>
      <c r="H165" s="140"/>
      <c r="I165" s="137">
        <v>62800</v>
      </c>
    </row>
    <row r="166" spans="1:9">
      <c r="A166" s="132">
        <v>2015</v>
      </c>
      <c r="B166" s="137">
        <v>59200</v>
      </c>
      <c r="C166" s="137">
        <v>12800</v>
      </c>
      <c r="D166" s="137">
        <v>72000</v>
      </c>
      <c r="E166" s="140"/>
      <c r="F166" s="137">
        <v>3300</v>
      </c>
      <c r="G166" s="137">
        <v>10100</v>
      </c>
      <c r="H166" s="140"/>
      <c r="I166" s="137">
        <v>65200</v>
      </c>
    </row>
    <row r="167" spans="1:9">
      <c r="A167" s="132">
        <v>2016</v>
      </c>
      <c r="B167" s="137">
        <v>59300</v>
      </c>
      <c r="C167" s="137">
        <v>13200</v>
      </c>
      <c r="D167" s="137">
        <v>72500</v>
      </c>
      <c r="E167" s="140"/>
      <c r="F167" s="137">
        <v>3400</v>
      </c>
      <c r="G167" s="137">
        <v>10100</v>
      </c>
      <c r="H167" s="140"/>
      <c r="I167" s="137">
        <v>65900</v>
      </c>
    </row>
    <row r="168" spans="1:9">
      <c r="A168" s="132"/>
      <c r="B168" s="137"/>
      <c r="C168" s="137"/>
      <c r="D168" s="137"/>
      <c r="E168" s="140"/>
      <c r="F168" s="137"/>
      <c r="G168" s="137"/>
      <c r="H168" s="140"/>
      <c r="I168" s="137"/>
    </row>
    <row r="169" spans="1:9">
      <c r="A169" s="132"/>
      <c r="B169" s="774" t="s">
        <v>8</v>
      </c>
      <c r="C169" s="774"/>
      <c r="D169" s="774"/>
      <c r="E169" s="774"/>
      <c r="F169" s="774"/>
      <c r="G169" s="774"/>
      <c r="H169" s="774"/>
      <c r="I169" s="774"/>
    </row>
    <row r="170" spans="1:9">
      <c r="A170" s="132">
        <v>1979</v>
      </c>
      <c r="B170" s="137">
        <v>73800</v>
      </c>
      <c r="C170" s="137">
        <v>3500</v>
      </c>
      <c r="D170" s="137">
        <v>77300</v>
      </c>
      <c r="E170" s="140"/>
      <c r="F170" s="137">
        <v>300</v>
      </c>
      <c r="G170" s="137">
        <v>16700</v>
      </c>
      <c r="H170" s="140"/>
      <c r="I170" s="137">
        <v>60800</v>
      </c>
    </row>
    <row r="171" spans="1:9">
      <c r="A171" s="132">
        <v>1980</v>
      </c>
      <c r="B171" s="137">
        <v>71100</v>
      </c>
      <c r="C171" s="137">
        <v>4000</v>
      </c>
      <c r="D171" s="137">
        <v>75100</v>
      </c>
      <c r="E171" s="140"/>
      <c r="F171" s="137">
        <v>200</v>
      </c>
      <c r="G171" s="137">
        <v>16400</v>
      </c>
      <c r="H171" s="140"/>
      <c r="I171" s="137">
        <v>59000</v>
      </c>
    </row>
    <row r="172" spans="1:9">
      <c r="A172" s="132">
        <v>1981</v>
      </c>
      <c r="B172" s="137">
        <v>71500</v>
      </c>
      <c r="C172" s="137">
        <v>4500</v>
      </c>
      <c r="D172" s="137">
        <v>76000</v>
      </c>
      <c r="E172" s="140"/>
      <c r="F172" s="137">
        <v>200</v>
      </c>
      <c r="G172" s="137">
        <v>16900</v>
      </c>
      <c r="H172" s="140"/>
      <c r="I172" s="137">
        <v>59300</v>
      </c>
    </row>
    <row r="173" spans="1:9">
      <c r="A173" s="132">
        <v>1982</v>
      </c>
      <c r="B173" s="137">
        <v>69900</v>
      </c>
      <c r="C173" s="137">
        <v>5300</v>
      </c>
      <c r="D173" s="137">
        <v>75200</v>
      </c>
      <c r="E173" s="140"/>
      <c r="F173" s="137">
        <v>200</v>
      </c>
      <c r="G173" s="137">
        <v>15500</v>
      </c>
      <c r="H173" s="140"/>
      <c r="I173" s="137">
        <v>59900</v>
      </c>
    </row>
    <row r="174" spans="1:9">
      <c r="A174" s="132">
        <v>1983</v>
      </c>
      <c r="B174" s="137">
        <v>69300</v>
      </c>
      <c r="C174" s="137">
        <v>5600</v>
      </c>
      <c r="D174" s="137">
        <v>74900</v>
      </c>
      <c r="E174" s="140"/>
      <c r="F174" s="137">
        <v>200</v>
      </c>
      <c r="G174" s="137">
        <v>15100</v>
      </c>
      <c r="H174" s="140"/>
      <c r="I174" s="137">
        <v>60000</v>
      </c>
    </row>
    <row r="175" spans="1:9">
      <c r="A175" s="132">
        <v>1984</v>
      </c>
      <c r="B175" s="137">
        <v>73400</v>
      </c>
      <c r="C175" s="137">
        <v>5500</v>
      </c>
      <c r="D175" s="137">
        <v>78900</v>
      </c>
      <c r="E175" s="140"/>
      <c r="F175" s="137">
        <v>200</v>
      </c>
      <c r="G175" s="137">
        <v>16000</v>
      </c>
      <c r="H175" s="140"/>
      <c r="I175" s="137">
        <v>63100</v>
      </c>
    </row>
    <row r="176" spans="1:9">
      <c r="A176" s="132">
        <v>1985</v>
      </c>
      <c r="B176" s="137">
        <v>73700</v>
      </c>
      <c r="C176" s="137">
        <v>5600</v>
      </c>
      <c r="D176" s="137">
        <v>79200</v>
      </c>
      <c r="E176" s="140"/>
      <c r="F176" s="137">
        <v>200</v>
      </c>
      <c r="G176" s="137">
        <v>16200</v>
      </c>
      <c r="H176" s="140"/>
      <c r="I176" s="137">
        <v>63200</v>
      </c>
    </row>
    <row r="177" spans="1:9">
      <c r="A177" s="132">
        <v>1986</v>
      </c>
      <c r="B177" s="137">
        <v>76100</v>
      </c>
      <c r="C177" s="137">
        <v>5900</v>
      </c>
      <c r="D177" s="137">
        <v>82000</v>
      </c>
      <c r="E177" s="140"/>
      <c r="F177" s="137">
        <v>200</v>
      </c>
      <c r="G177" s="137">
        <v>16900</v>
      </c>
      <c r="H177" s="140"/>
      <c r="I177" s="137">
        <v>65300</v>
      </c>
    </row>
    <row r="178" spans="1:9">
      <c r="A178" s="132">
        <v>1987</v>
      </c>
      <c r="B178" s="137">
        <v>77100</v>
      </c>
      <c r="C178" s="137">
        <v>5400</v>
      </c>
      <c r="D178" s="137">
        <v>82500</v>
      </c>
      <c r="E178" s="140"/>
      <c r="F178" s="137">
        <v>200</v>
      </c>
      <c r="G178" s="137">
        <v>16900</v>
      </c>
      <c r="H178" s="140"/>
      <c r="I178" s="137">
        <v>65900</v>
      </c>
    </row>
    <row r="179" spans="1:9">
      <c r="A179" s="132">
        <v>1988</v>
      </c>
      <c r="B179" s="137">
        <v>77700</v>
      </c>
      <c r="C179" s="137">
        <v>5400</v>
      </c>
      <c r="D179" s="137">
        <v>83100</v>
      </c>
      <c r="E179" s="140"/>
      <c r="F179" s="137">
        <v>200</v>
      </c>
      <c r="G179" s="137">
        <v>17300</v>
      </c>
      <c r="H179" s="140"/>
      <c r="I179" s="137">
        <v>66000</v>
      </c>
    </row>
    <row r="180" spans="1:9">
      <c r="A180" s="132">
        <v>1989</v>
      </c>
      <c r="B180" s="137">
        <v>78500</v>
      </c>
      <c r="C180" s="137">
        <v>5600</v>
      </c>
      <c r="D180" s="137">
        <v>84100</v>
      </c>
      <c r="E180" s="140"/>
      <c r="F180" s="137">
        <v>300</v>
      </c>
      <c r="G180" s="137">
        <v>17500</v>
      </c>
      <c r="H180" s="140"/>
      <c r="I180" s="137">
        <v>66900</v>
      </c>
    </row>
    <row r="181" spans="1:9">
      <c r="A181" s="132">
        <v>1990</v>
      </c>
      <c r="B181" s="137">
        <v>77400</v>
      </c>
      <c r="C181" s="137">
        <v>6100</v>
      </c>
      <c r="D181" s="137">
        <v>83500</v>
      </c>
      <c r="E181" s="140"/>
      <c r="F181" s="137">
        <v>300</v>
      </c>
      <c r="G181" s="137">
        <v>17300</v>
      </c>
      <c r="H181" s="140"/>
      <c r="I181" s="137">
        <v>66400</v>
      </c>
    </row>
    <row r="182" spans="1:9">
      <c r="A182" s="132">
        <v>1991</v>
      </c>
      <c r="B182" s="137">
        <v>76200</v>
      </c>
      <c r="C182" s="137">
        <v>6500</v>
      </c>
      <c r="D182" s="137">
        <v>82700</v>
      </c>
      <c r="E182" s="140"/>
      <c r="F182" s="137">
        <v>300</v>
      </c>
      <c r="G182" s="137">
        <v>17000</v>
      </c>
      <c r="H182" s="140"/>
      <c r="I182" s="137">
        <v>66000</v>
      </c>
    </row>
    <row r="183" spans="1:9">
      <c r="A183" s="132">
        <v>1992</v>
      </c>
      <c r="B183" s="137">
        <v>76500</v>
      </c>
      <c r="C183" s="137">
        <v>7000</v>
      </c>
      <c r="D183" s="137">
        <v>83500</v>
      </c>
      <c r="E183" s="140"/>
      <c r="F183" s="137">
        <v>400</v>
      </c>
      <c r="G183" s="137">
        <v>16900</v>
      </c>
      <c r="H183" s="140"/>
      <c r="I183" s="137">
        <v>67000</v>
      </c>
    </row>
    <row r="184" spans="1:9">
      <c r="A184" s="132">
        <v>1993</v>
      </c>
      <c r="B184" s="137">
        <v>77100</v>
      </c>
      <c r="C184" s="137">
        <v>7100</v>
      </c>
      <c r="D184" s="137">
        <v>84200</v>
      </c>
      <c r="E184" s="140"/>
      <c r="F184" s="137">
        <v>400</v>
      </c>
      <c r="G184" s="137">
        <v>17100</v>
      </c>
      <c r="H184" s="140"/>
      <c r="I184" s="137">
        <v>67600</v>
      </c>
    </row>
    <row r="185" spans="1:9">
      <c r="A185" s="132">
        <v>1994</v>
      </c>
      <c r="B185" s="137">
        <v>78600</v>
      </c>
      <c r="C185" s="137">
        <v>6600</v>
      </c>
      <c r="D185" s="137">
        <v>85300</v>
      </c>
      <c r="E185" s="140"/>
      <c r="F185" s="137">
        <v>500</v>
      </c>
      <c r="G185" s="137">
        <v>17600</v>
      </c>
      <c r="H185" s="140"/>
      <c r="I185" s="137">
        <v>68100</v>
      </c>
    </row>
    <row r="186" spans="1:9">
      <c r="A186" s="132">
        <v>1995</v>
      </c>
      <c r="B186" s="137">
        <v>80000</v>
      </c>
      <c r="C186" s="137">
        <v>7100</v>
      </c>
      <c r="D186" s="137">
        <v>87100</v>
      </c>
      <c r="E186" s="140"/>
      <c r="F186" s="137">
        <v>500</v>
      </c>
      <c r="G186" s="137">
        <v>18000</v>
      </c>
      <c r="H186" s="140"/>
      <c r="I186" s="137">
        <v>69600</v>
      </c>
    </row>
    <row r="187" spans="1:9">
      <c r="A187" s="132">
        <v>1996</v>
      </c>
      <c r="B187" s="137">
        <v>81400</v>
      </c>
      <c r="C187" s="137">
        <v>7500</v>
      </c>
      <c r="D187" s="137">
        <v>88900</v>
      </c>
      <c r="E187" s="140"/>
      <c r="F187" s="137">
        <v>500</v>
      </c>
      <c r="G187" s="137">
        <v>18400</v>
      </c>
      <c r="H187" s="140"/>
      <c r="I187" s="137">
        <v>71000</v>
      </c>
    </row>
    <row r="188" spans="1:9">
      <c r="A188" s="132">
        <v>1997</v>
      </c>
      <c r="B188" s="137">
        <v>83300</v>
      </c>
      <c r="C188" s="137">
        <v>7700</v>
      </c>
      <c r="D188" s="137">
        <v>91000</v>
      </c>
      <c r="E188" s="140"/>
      <c r="F188" s="137">
        <v>500</v>
      </c>
      <c r="G188" s="137">
        <v>18900</v>
      </c>
      <c r="H188" s="140"/>
      <c r="I188" s="137">
        <v>72700</v>
      </c>
    </row>
    <row r="189" spans="1:9">
      <c r="A189" s="132">
        <v>1998</v>
      </c>
      <c r="B189" s="137">
        <v>87100</v>
      </c>
      <c r="C189" s="137">
        <v>7400</v>
      </c>
      <c r="D189" s="137">
        <v>94500</v>
      </c>
      <c r="E189" s="140"/>
      <c r="F189" s="137">
        <v>500</v>
      </c>
      <c r="G189" s="137">
        <v>19400</v>
      </c>
      <c r="H189" s="140"/>
      <c r="I189" s="137">
        <v>75600</v>
      </c>
    </row>
    <row r="190" spans="1:9">
      <c r="A190" s="132">
        <v>1999</v>
      </c>
      <c r="B190" s="137">
        <v>89900</v>
      </c>
      <c r="C190" s="137">
        <v>7100</v>
      </c>
      <c r="D190" s="137">
        <v>97000</v>
      </c>
      <c r="E190" s="140"/>
      <c r="F190" s="137">
        <v>500</v>
      </c>
      <c r="G190" s="137">
        <v>20100</v>
      </c>
      <c r="H190" s="140"/>
      <c r="I190" s="137">
        <v>77500</v>
      </c>
    </row>
    <row r="191" spans="1:9">
      <c r="A191" s="132">
        <v>2000</v>
      </c>
      <c r="B191" s="137">
        <v>91500</v>
      </c>
      <c r="C191" s="137">
        <v>7200</v>
      </c>
      <c r="D191" s="137">
        <v>98700</v>
      </c>
      <c r="E191" s="140"/>
      <c r="F191" s="137">
        <v>600</v>
      </c>
      <c r="G191" s="137">
        <v>20400</v>
      </c>
      <c r="H191" s="140"/>
      <c r="I191" s="137">
        <v>78900</v>
      </c>
    </row>
    <row r="192" spans="1:9">
      <c r="A192" s="132">
        <v>2001</v>
      </c>
      <c r="B192" s="137">
        <v>89800</v>
      </c>
      <c r="C192" s="137">
        <v>7800</v>
      </c>
      <c r="D192" s="137">
        <v>97500</v>
      </c>
      <c r="E192" s="140"/>
      <c r="F192" s="137">
        <v>600</v>
      </c>
      <c r="G192" s="137">
        <v>18800</v>
      </c>
      <c r="H192" s="140"/>
      <c r="I192" s="137">
        <v>79300</v>
      </c>
    </row>
    <row r="193" spans="1:9">
      <c r="A193" s="132">
        <v>2002</v>
      </c>
      <c r="B193" s="137">
        <v>87200</v>
      </c>
      <c r="C193" s="137">
        <v>8600</v>
      </c>
      <c r="D193" s="137">
        <v>95800</v>
      </c>
      <c r="E193" s="140"/>
      <c r="F193" s="137">
        <v>700</v>
      </c>
      <c r="G193" s="137">
        <v>17700</v>
      </c>
      <c r="H193" s="140"/>
      <c r="I193" s="137">
        <v>78800</v>
      </c>
    </row>
    <row r="194" spans="1:9">
      <c r="A194" s="132">
        <v>2003</v>
      </c>
      <c r="B194" s="137">
        <v>88600</v>
      </c>
      <c r="C194" s="137">
        <v>8500</v>
      </c>
      <c r="D194" s="137">
        <v>97100</v>
      </c>
      <c r="E194" s="140"/>
      <c r="F194" s="137">
        <v>800</v>
      </c>
      <c r="G194" s="137">
        <v>17300</v>
      </c>
      <c r="H194" s="140"/>
      <c r="I194" s="137">
        <v>80600</v>
      </c>
    </row>
    <row r="195" spans="1:9">
      <c r="A195" s="132">
        <v>2004</v>
      </c>
      <c r="B195" s="137">
        <v>91500</v>
      </c>
      <c r="C195" s="137">
        <v>8700</v>
      </c>
      <c r="D195" s="137">
        <v>100200</v>
      </c>
      <c r="E195" s="140"/>
      <c r="F195" s="137">
        <v>900</v>
      </c>
      <c r="G195" s="137">
        <v>18000</v>
      </c>
      <c r="H195" s="140"/>
      <c r="I195" s="137">
        <v>83100</v>
      </c>
    </row>
    <row r="196" spans="1:9">
      <c r="A196" s="132">
        <v>2005</v>
      </c>
      <c r="B196" s="137">
        <v>93200</v>
      </c>
      <c r="C196" s="137">
        <v>8700</v>
      </c>
      <c r="D196" s="137">
        <v>101900</v>
      </c>
      <c r="E196" s="140"/>
      <c r="F196" s="137">
        <v>900</v>
      </c>
      <c r="G196" s="137">
        <v>18600</v>
      </c>
      <c r="H196" s="140"/>
      <c r="I196" s="137">
        <v>84200</v>
      </c>
    </row>
    <row r="197" spans="1:9">
      <c r="A197" s="132">
        <v>2006</v>
      </c>
      <c r="B197" s="137">
        <v>94500</v>
      </c>
      <c r="C197" s="137">
        <v>9400</v>
      </c>
      <c r="D197" s="137">
        <v>103900</v>
      </c>
      <c r="E197" s="140"/>
      <c r="F197" s="137">
        <v>1000</v>
      </c>
      <c r="G197" s="137">
        <v>19000</v>
      </c>
      <c r="H197" s="140"/>
      <c r="I197" s="137">
        <v>85800</v>
      </c>
    </row>
    <row r="198" spans="1:9">
      <c r="A198" s="132">
        <v>2007</v>
      </c>
      <c r="B198" s="137">
        <v>96700</v>
      </c>
      <c r="C198" s="137">
        <v>9900</v>
      </c>
      <c r="D198" s="137">
        <v>106700</v>
      </c>
      <c r="E198" s="140"/>
      <c r="F198" s="137">
        <v>1000</v>
      </c>
      <c r="G198" s="137">
        <v>19300</v>
      </c>
      <c r="H198" s="140"/>
      <c r="I198" s="137">
        <v>88400</v>
      </c>
    </row>
    <row r="199" spans="1:9">
      <c r="A199" s="132">
        <v>2008</v>
      </c>
      <c r="B199" s="137">
        <v>93700</v>
      </c>
      <c r="C199" s="137">
        <v>10400</v>
      </c>
      <c r="D199" s="137">
        <v>104100</v>
      </c>
      <c r="E199" s="140"/>
      <c r="F199" s="137">
        <v>1000</v>
      </c>
      <c r="G199" s="137">
        <v>16700</v>
      </c>
      <c r="H199" s="140"/>
      <c r="I199" s="137">
        <v>88400</v>
      </c>
    </row>
    <row r="200" spans="1:9">
      <c r="A200" s="132">
        <v>2009</v>
      </c>
      <c r="B200" s="137">
        <v>89000</v>
      </c>
      <c r="C200" s="137">
        <v>12700</v>
      </c>
      <c r="D200" s="137">
        <v>101700</v>
      </c>
      <c r="E200" s="140"/>
      <c r="F200" s="137">
        <v>1100</v>
      </c>
      <c r="G200" s="137">
        <v>15700</v>
      </c>
      <c r="H200" s="140"/>
      <c r="I200" s="137">
        <v>87100</v>
      </c>
    </row>
    <row r="201" spans="1:9">
      <c r="A201" s="132">
        <v>2010</v>
      </c>
      <c r="B201" s="137">
        <v>88600</v>
      </c>
      <c r="C201" s="137">
        <v>12600</v>
      </c>
      <c r="D201" s="137">
        <v>101200</v>
      </c>
      <c r="E201" s="140"/>
      <c r="F201" s="137">
        <v>1200</v>
      </c>
      <c r="G201" s="137">
        <v>16100</v>
      </c>
      <c r="H201" s="140"/>
      <c r="I201" s="137">
        <v>86300</v>
      </c>
    </row>
    <row r="202" spans="1:9">
      <c r="A202" s="132">
        <v>2011</v>
      </c>
      <c r="B202" s="137">
        <v>89200</v>
      </c>
      <c r="C202" s="137">
        <v>12000</v>
      </c>
      <c r="D202" s="137">
        <v>101100</v>
      </c>
      <c r="E202" s="140"/>
      <c r="F202" s="137">
        <v>1200</v>
      </c>
      <c r="G202" s="137">
        <v>15900</v>
      </c>
      <c r="H202" s="140"/>
      <c r="I202" s="137">
        <v>86400</v>
      </c>
    </row>
    <row r="203" spans="1:9">
      <c r="A203" s="132">
        <v>2012</v>
      </c>
      <c r="B203" s="137">
        <v>89400</v>
      </c>
      <c r="C203" s="137">
        <v>12400</v>
      </c>
      <c r="D203" s="137">
        <v>101800</v>
      </c>
      <c r="E203" s="140"/>
      <c r="F203" s="137">
        <v>1100</v>
      </c>
      <c r="G203" s="137">
        <v>16200</v>
      </c>
      <c r="H203" s="140"/>
      <c r="I203" s="137">
        <v>86700</v>
      </c>
    </row>
    <row r="204" spans="1:9">
      <c r="A204" s="132">
        <v>2013</v>
      </c>
      <c r="B204" s="137">
        <v>91600</v>
      </c>
      <c r="C204" s="137">
        <v>12600</v>
      </c>
      <c r="D204" s="137">
        <v>104100</v>
      </c>
      <c r="E204" s="140"/>
      <c r="F204" s="137">
        <v>1100</v>
      </c>
      <c r="G204" s="137">
        <v>18100</v>
      </c>
      <c r="H204" s="140"/>
      <c r="I204" s="137">
        <v>87200</v>
      </c>
    </row>
    <row r="205" spans="1:9">
      <c r="A205" s="132">
        <v>2014</v>
      </c>
      <c r="B205" s="137">
        <v>93400</v>
      </c>
      <c r="C205" s="137">
        <v>12400</v>
      </c>
      <c r="D205" s="137">
        <v>105800</v>
      </c>
      <c r="E205" s="140"/>
      <c r="F205" s="137">
        <v>1500</v>
      </c>
      <c r="G205" s="137">
        <v>18800</v>
      </c>
      <c r="H205" s="140"/>
      <c r="I205" s="137">
        <v>88500</v>
      </c>
    </row>
    <row r="206" spans="1:9">
      <c r="A206" s="132">
        <v>2015</v>
      </c>
      <c r="B206" s="137">
        <v>96600</v>
      </c>
      <c r="C206" s="137">
        <v>12800</v>
      </c>
      <c r="D206" s="137">
        <v>109300</v>
      </c>
      <c r="E206" s="140"/>
      <c r="F206" s="137">
        <v>1600</v>
      </c>
      <c r="G206" s="137">
        <v>19600</v>
      </c>
      <c r="H206" s="140"/>
      <c r="I206" s="137">
        <v>91400</v>
      </c>
    </row>
    <row r="207" spans="1:9">
      <c r="A207" s="132">
        <v>2016</v>
      </c>
      <c r="B207" s="137">
        <v>96500</v>
      </c>
      <c r="C207" s="137">
        <v>13100</v>
      </c>
      <c r="D207" s="137">
        <v>109600</v>
      </c>
      <c r="E207" s="140"/>
      <c r="F207" s="137">
        <v>1700</v>
      </c>
      <c r="G207" s="137">
        <v>19600</v>
      </c>
      <c r="H207" s="140"/>
      <c r="I207" s="137">
        <v>91700</v>
      </c>
    </row>
    <row r="208" spans="1:9">
      <c r="A208" s="132"/>
      <c r="B208" s="137"/>
      <c r="C208" s="137"/>
      <c r="D208" s="137"/>
      <c r="E208" s="140"/>
      <c r="F208" s="137"/>
      <c r="G208" s="137"/>
      <c r="H208" s="140"/>
      <c r="I208" s="137"/>
    </row>
    <row r="209" spans="1:9">
      <c r="A209" s="132"/>
      <c r="B209" s="774" t="s">
        <v>9</v>
      </c>
      <c r="C209" s="774"/>
      <c r="D209" s="774"/>
      <c r="E209" s="774"/>
      <c r="F209" s="774"/>
      <c r="G209" s="774"/>
      <c r="H209" s="774"/>
      <c r="I209" s="774"/>
    </row>
    <row r="210" spans="1:9">
      <c r="A210" s="132">
        <v>1979</v>
      </c>
      <c r="B210" s="137">
        <v>143200</v>
      </c>
      <c r="C210" s="137">
        <v>3400</v>
      </c>
      <c r="D210" s="137">
        <v>146600</v>
      </c>
      <c r="E210" s="140"/>
      <c r="F210" s="137">
        <v>100</v>
      </c>
      <c r="G210" s="137">
        <v>39700</v>
      </c>
      <c r="H210" s="140"/>
      <c r="I210" s="137">
        <v>107000</v>
      </c>
    </row>
    <row r="211" spans="1:9">
      <c r="A211" s="132">
        <v>1980</v>
      </c>
      <c r="B211" s="137">
        <v>138800</v>
      </c>
      <c r="C211" s="137">
        <v>3900</v>
      </c>
      <c r="D211" s="137">
        <v>142700</v>
      </c>
      <c r="E211" s="140"/>
      <c r="F211" s="137">
        <v>100</v>
      </c>
      <c r="G211" s="137">
        <v>38400</v>
      </c>
      <c r="H211" s="140"/>
      <c r="I211" s="137">
        <v>104400</v>
      </c>
    </row>
    <row r="212" spans="1:9">
      <c r="A212" s="132">
        <v>1981</v>
      </c>
      <c r="B212" s="137">
        <v>138000</v>
      </c>
      <c r="C212" s="137">
        <v>4300</v>
      </c>
      <c r="D212" s="137">
        <v>142200</v>
      </c>
      <c r="E212" s="140"/>
      <c r="F212" s="137">
        <v>100</v>
      </c>
      <c r="G212" s="137">
        <v>37900</v>
      </c>
      <c r="H212" s="140"/>
      <c r="I212" s="137">
        <v>104500</v>
      </c>
    </row>
    <row r="213" spans="1:9">
      <c r="A213" s="132">
        <v>1982</v>
      </c>
      <c r="B213" s="137">
        <v>138200</v>
      </c>
      <c r="C213" s="137">
        <v>5000</v>
      </c>
      <c r="D213" s="137">
        <v>143200</v>
      </c>
      <c r="E213" s="140"/>
      <c r="F213" s="137">
        <v>100</v>
      </c>
      <c r="G213" s="137">
        <v>34600</v>
      </c>
      <c r="H213" s="140"/>
      <c r="I213" s="137">
        <v>108700</v>
      </c>
    </row>
    <row r="214" spans="1:9">
      <c r="A214" s="132">
        <v>1983</v>
      </c>
      <c r="B214" s="137">
        <v>143200</v>
      </c>
      <c r="C214" s="137">
        <v>5200</v>
      </c>
      <c r="D214" s="137">
        <v>148400</v>
      </c>
      <c r="E214" s="140"/>
      <c r="F214" s="137">
        <v>100</v>
      </c>
      <c r="G214" s="137">
        <v>35000</v>
      </c>
      <c r="H214" s="140"/>
      <c r="I214" s="137">
        <v>113500</v>
      </c>
    </row>
    <row r="215" spans="1:9">
      <c r="A215" s="132">
        <v>1984</v>
      </c>
      <c r="B215" s="137">
        <v>155700</v>
      </c>
      <c r="C215" s="137">
        <v>5300</v>
      </c>
      <c r="D215" s="137">
        <v>161000</v>
      </c>
      <c r="E215" s="140"/>
      <c r="F215" s="137">
        <v>100</v>
      </c>
      <c r="G215" s="137">
        <v>38200</v>
      </c>
      <c r="H215" s="140"/>
      <c r="I215" s="137">
        <v>122900</v>
      </c>
    </row>
    <row r="216" spans="1:9">
      <c r="A216" s="132">
        <v>1985</v>
      </c>
      <c r="B216" s="137">
        <v>157400</v>
      </c>
      <c r="C216" s="137">
        <v>5300</v>
      </c>
      <c r="D216" s="137">
        <v>162700</v>
      </c>
      <c r="E216" s="140"/>
      <c r="F216" s="137">
        <v>100</v>
      </c>
      <c r="G216" s="137">
        <v>38500</v>
      </c>
      <c r="H216" s="140"/>
      <c r="I216" s="137">
        <v>124300</v>
      </c>
    </row>
    <row r="217" spans="1:9">
      <c r="A217" s="132">
        <v>1986</v>
      </c>
      <c r="B217" s="137">
        <v>177200</v>
      </c>
      <c r="C217" s="137">
        <v>5200</v>
      </c>
      <c r="D217" s="137">
        <v>182400</v>
      </c>
      <c r="E217" s="140"/>
      <c r="F217" s="137">
        <v>100</v>
      </c>
      <c r="G217" s="137">
        <v>42900</v>
      </c>
      <c r="H217" s="140"/>
      <c r="I217" s="137">
        <v>139700</v>
      </c>
    </row>
    <row r="218" spans="1:9">
      <c r="A218" s="132">
        <v>1987</v>
      </c>
      <c r="B218" s="137">
        <v>167700</v>
      </c>
      <c r="C218" s="137">
        <v>4600</v>
      </c>
      <c r="D218" s="137">
        <v>172300</v>
      </c>
      <c r="E218" s="140"/>
      <c r="F218" s="137">
        <v>100</v>
      </c>
      <c r="G218" s="137">
        <v>44100</v>
      </c>
      <c r="H218" s="140"/>
      <c r="I218" s="137">
        <v>128400</v>
      </c>
    </row>
    <row r="219" spans="1:9">
      <c r="A219" s="132">
        <v>1988</v>
      </c>
      <c r="B219" s="137">
        <v>179600</v>
      </c>
      <c r="C219" s="137">
        <v>4800</v>
      </c>
      <c r="D219" s="137">
        <v>184400</v>
      </c>
      <c r="E219" s="140"/>
      <c r="F219" s="137">
        <v>100</v>
      </c>
      <c r="G219" s="137">
        <v>46800</v>
      </c>
      <c r="H219" s="140"/>
      <c r="I219" s="137">
        <v>137800</v>
      </c>
    </row>
    <row r="220" spans="1:9">
      <c r="A220" s="132">
        <v>1989</v>
      </c>
      <c r="B220" s="137">
        <v>179000</v>
      </c>
      <c r="C220" s="137">
        <v>5000</v>
      </c>
      <c r="D220" s="137">
        <v>184000</v>
      </c>
      <c r="E220" s="140"/>
      <c r="F220" s="137">
        <v>200</v>
      </c>
      <c r="G220" s="137">
        <v>46000</v>
      </c>
      <c r="H220" s="140"/>
      <c r="I220" s="137">
        <v>138100</v>
      </c>
    </row>
    <row r="221" spans="1:9">
      <c r="A221" s="132">
        <v>1990</v>
      </c>
      <c r="B221" s="137">
        <v>174300</v>
      </c>
      <c r="C221" s="137">
        <v>5300</v>
      </c>
      <c r="D221" s="137">
        <v>179500</v>
      </c>
      <c r="E221" s="140"/>
      <c r="F221" s="137">
        <v>200</v>
      </c>
      <c r="G221" s="137">
        <v>44800</v>
      </c>
      <c r="H221" s="140"/>
      <c r="I221" s="137">
        <v>135000</v>
      </c>
    </row>
    <row r="222" spans="1:9">
      <c r="A222" s="132">
        <v>1991</v>
      </c>
      <c r="B222" s="137">
        <v>168100</v>
      </c>
      <c r="C222" s="137">
        <v>5500</v>
      </c>
      <c r="D222" s="137">
        <v>173600</v>
      </c>
      <c r="E222" s="140"/>
      <c r="F222" s="137">
        <v>200</v>
      </c>
      <c r="G222" s="137">
        <v>43700</v>
      </c>
      <c r="H222" s="140"/>
      <c r="I222" s="137">
        <v>130100</v>
      </c>
    </row>
    <row r="223" spans="1:9">
      <c r="A223" s="132">
        <v>1992</v>
      </c>
      <c r="B223" s="137">
        <v>175300</v>
      </c>
      <c r="C223" s="137">
        <v>5600</v>
      </c>
      <c r="D223" s="137">
        <v>180900</v>
      </c>
      <c r="E223" s="140"/>
      <c r="F223" s="137">
        <v>200</v>
      </c>
      <c r="G223" s="137">
        <v>46000</v>
      </c>
      <c r="H223" s="140"/>
      <c r="I223" s="137">
        <v>135200</v>
      </c>
    </row>
    <row r="224" spans="1:9">
      <c r="A224" s="132">
        <v>1993</v>
      </c>
      <c r="B224" s="137">
        <v>175000</v>
      </c>
      <c r="C224" s="137">
        <v>6100</v>
      </c>
      <c r="D224" s="137">
        <v>181100</v>
      </c>
      <c r="E224" s="140"/>
      <c r="F224" s="137">
        <v>300</v>
      </c>
      <c r="G224" s="137">
        <v>47900</v>
      </c>
      <c r="H224" s="140"/>
      <c r="I224" s="137">
        <v>133400</v>
      </c>
    </row>
    <row r="225" spans="1:9">
      <c r="A225" s="132">
        <v>1994</v>
      </c>
      <c r="B225" s="137">
        <v>179100</v>
      </c>
      <c r="C225" s="137">
        <v>6300</v>
      </c>
      <c r="D225" s="137">
        <v>185400</v>
      </c>
      <c r="E225" s="140"/>
      <c r="F225" s="137">
        <v>300</v>
      </c>
      <c r="G225" s="137">
        <v>50200</v>
      </c>
      <c r="H225" s="140"/>
      <c r="I225" s="137">
        <v>135500</v>
      </c>
    </row>
    <row r="226" spans="1:9">
      <c r="A226" s="132">
        <v>1995</v>
      </c>
      <c r="B226" s="137">
        <v>187700</v>
      </c>
      <c r="C226" s="137">
        <v>6400</v>
      </c>
      <c r="D226" s="137">
        <v>194200</v>
      </c>
      <c r="E226" s="140"/>
      <c r="F226" s="137">
        <v>300</v>
      </c>
      <c r="G226" s="137">
        <v>53400</v>
      </c>
      <c r="H226" s="140"/>
      <c r="I226" s="137">
        <v>141100</v>
      </c>
    </row>
    <row r="227" spans="1:9">
      <c r="A227" s="132">
        <v>1996</v>
      </c>
      <c r="B227" s="137">
        <v>198500</v>
      </c>
      <c r="C227" s="137">
        <v>6900</v>
      </c>
      <c r="D227" s="137">
        <v>205400</v>
      </c>
      <c r="E227" s="140"/>
      <c r="F227" s="137">
        <v>300</v>
      </c>
      <c r="G227" s="137">
        <v>56900</v>
      </c>
      <c r="H227" s="140"/>
      <c r="I227" s="137">
        <v>148800</v>
      </c>
    </row>
    <row r="228" spans="1:9">
      <c r="A228" s="132">
        <v>1997</v>
      </c>
      <c r="B228" s="137">
        <v>211000</v>
      </c>
      <c r="C228" s="137">
        <v>7200</v>
      </c>
      <c r="D228" s="137">
        <v>218200</v>
      </c>
      <c r="E228" s="140"/>
      <c r="F228" s="137">
        <v>300</v>
      </c>
      <c r="G228" s="137">
        <v>60400</v>
      </c>
      <c r="H228" s="140"/>
      <c r="I228" s="137">
        <v>158100</v>
      </c>
    </row>
    <row r="229" spans="1:9">
      <c r="A229" s="132">
        <v>1998</v>
      </c>
      <c r="B229" s="137">
        <v>226100</v>
      </c>
      <c r="C229" s="137">
        <v>6900</v>
      </c>
      <c r="D229" s="137">
        <v>233000</v>
      </c>
      <c r="E229" s="140"/>
      <c r="F229" s="137">
        <v>300</v>
      </c>
      <c r="G229" s="137">
        <v>63700</v>
      </c>
      <c r="H229" s="140"/>
      <c r="I229" s="137">
        <v>169600</v>
      </c>
    </row>
    <row r="230" spans="1:9">
      <c r="A230" s="132">
        <v>1999</v>
      </c>
      <c r="B230" s="137">
        <v>241800</v>
      </c>
      <c r="C230" s="137">
        <v>6400</v>
      </c>
      <c r="D230" s="137">
        <v>248200</v>
      </c>
      <c r="E230" s="140"/>
      <c r="F230" s="137">
        <v>300</v>
      </c>
      <c r="G230" s="137">
        <v>69000</v>
      </c>
      <c r="H230" s="140"/>
      <c r="I230" s="137">
        <v>179500</v>
      </c>
    </row>
    <row r="231" spans="1:9">
      <c r="A231" s="132">
        <v>2000</v>
      </c>
      <c r="B231" s="137">
        <v>253400</v>
      </c>
      <c r="C231" s="137">
        <v>6800</v>
      </c>
      <c r="D231" s="137">
        <v>260300</v>
      </c>
      <c r="E231" s="140"/>
      <c r="F231" s="137">
        <v>400</v>
      </c>
      <c r="G231" s="137">
        <v>72300</v>
      </c>
      <c r="H231" s="140"/>
      <c r="I231" s="137">
        <v>188300</v>
      </c>
    </row>
    <row r="232" spans="1:9">
      <c r="A232" s="132">
        <v>2001</v>
      </c>
      <c r="B232" s="137">
        <v>230800</v>
      </c>
      <c r="C232" s="137">
        <v>6700</v>
      </c>
      <c r="D232" s="137">
        <v>237400</v>
      </c>
      <c r="E232" s="140"/>
      <c r="F232" s="137">
        <v>400</v>
      </c>
      <c r="G232" s="137">
        <v>63200</v>
      </c>
      <c r="H232" s="140"/>
      <c r="I232" s="137">
        <v>174600</v>
      </c>
    </row>
    <row r="233" spans="1:9">
      <c r="A233" s="132">
        <v>2002</v>
      </c>
      <c r="B233" s="137">
        <v>219000</v>
      </c>
      <c r="C233" s="137">
        <v>6800</v>
      </c>
      <c r="D233" s="137">
        <v>225800</v>
      </c>
      <c r="E233" s="140"/>
      <c r="F233" s="137">
        <v>400</v>
      </c>
      <c r="G233" s="137">
        <v>58400</v>
      </c>
      <c r="H233" s="140"/>
      <c r="I233" s="137">
        <v>167800</v>
      </c>
    </row>
    <row r="234" spans="1:9">
      <c r="A234" s="132">
        <v>2003</v>
      </c>
      <c r="B234" s="137">
        <v>226700</v>
      </c>
      <c r="C234" s="137">
        <v>6900</v>
      </c>
      <c r="D234" s="137">
        <v>233600</v>
      </c>
      <c r="E234" s="140"/>
      <c r="F234" s="137">
        <v>400</v>
      </c>
      <c r="G234" s="137">
        <v>57900</v>
      </c>
      <c r="H234" s="140"/>
      <c r="I234" s="137">
        <v>176200</v>
      </c>
    </row>
    <row r="235" spans="1:9">
      <c r="A235" s="132">
        <v>2004</v>
      </c>
      <c r="B235" s="137">
        <v>247100</v>
      </c>
      <c r="C235" s="137">
        <v>7000</v>
      </c>
      <c r="D235" s="137">
        <v>254100</v>
      </c>
      <c r="E235" s="140"/>
      <c r="F235" s="137">
        <v>500</v>
      </c>
      <c r="G235" s="137">
        <v>63700</v>
      </c>
      <c r="H235" s="140"/>
      <c r="I235" s="137">
        <v>190900</v>
      </c>
    </row>
    <row r="236" spans="1:9">
      <c r="A236" s="132">
        <v>2005</v>
      </c>
      <c r="B236" s="137">
        <v>267900</v>
      </c>
      <c r="C236" s="137">
        <v>7600</v>
      </c>
      <c r="D236" s="137">
        <v>275600</v>
      </c>
      <c r="E236" s="140"/>
      <c r="F236" s="137">
        <v>500</v>
      </c>
      <c r="G236" s="137">
        <v>70300</v>
      </c>
      <c r="H236" s="140"/>
      <c r="I236" s="137">
        <v>205800</v>
      </c>
    </row>
    <row r="237" spans="1:9">
      <c r="A237" s="132">
        <v>2006</v>
      </c>
      <c r="B237" s="137">
        <v>279200</v>
      </c>
      <c r="C237" s="137">
        <v>8300</v>
      </c>
      <c r="D237" s="137">
        <v>287500</v>
      </c>
      <c r="E237" s="140"/>
      <c r="F237" s="137">
        <v>600</v>
      </c>
      <c r="G237" s="137">
        <v>73400</v>
      </c>
      <c r="H237" s="140"/>
      <c r="I237" s="137">
        <v>214700</v>
      </c>
    </row>
    <row r="238" spans="1:9">
      <c r="A238" s="132">
        <v>2007</v>
      </c>
      <c r="B238" s="137">
        <v>289800</v>
      </c>
      <c r="C238" s="137">
        <v>8800</v>
      </c>
      <c r="D238" s="137">
        <v>298600</v>
      </c>
      <c r="E238" s="140"/>
      <c r="F238" s="137">
        <v>600</v>
      </c>
      <c r="G238" s="137">
        <v>74000</v>
      </c>
      <c r="H238" s="140"/>
      <c r="I238" s="137">
        <v>225200</v>
      </c>
    </row>
    <row r="239" spans="1:9">
      <c r="A239" s="132">
        <v>2008</v>
      </c>
      <c r="B239" s="137">
        <v>262000</v>
      </c>
      <c r="C239" s="137">
        <v>8600</v>
      </c>
      <c r="D239" s="137">
        <v>270600</v>
      </c>
      <c r="E239" s="140"/>
      <c r="F239" s="137">
        <v>600</v>
      </c>
      <c r="G239" s="137">
        <v>64200</v>
      </c>
      <c r="H239" s="140"/>
      <c r="I239" s="137">
        <v>207000</v>
      </c>
    </row>
    <row r="240" spans="1:9">
      <c r="A240" s="132">
        <v>2009</v>
      </c>
      <c r="B240" s="137">
        <v>235000</v>
      </c>
      <c r="C240" s="137">
        <v>10100</v>
      </c>
      <c r="D240" s="137">
        <v>245100</v>
      </c>
      <c r="E240" s="140"/>
      <c r="F240" s="137">
        <v>700</v>
      </c>
      <c r="G240" s="137">
        <v>56900</v>
      </c>
      <c r="H240" s="140"/>
      <c r="I240" s="137">
        <v>188800</v>
      </c>
    </row>
    <row r="241" spans="1:9">
      <c r="A241" s="132">
        <v>2010</v>
      </c>
      <c r="B241" s="137">
        <v>246500</v>
      </c>
      <c r="C241" s="137">
        <v>9900</v>
      </c>
      <c r="D241" s="137">
        <v>256400</v>
      </c>
      <c r="E241" s="140"/>
      <c r="F241" s="137">
        <v>700</v>
      </c>
      <c r="G241" s="137">
        <v>61400</v>
      </c>
      <c r="H241" s="140"/>
      <c r="I241" s="137">
        <v>195600</v>
      </c>
    </row>
    <row r="242" spans="1:9">
      <c r="A242" s="132">
        <v>2011</v>
      </c>
      <c r="B242" s="137">
        <v>249300</v>
      </c>
      <c r="C242" s="137">
        <v>9600</v>
      </c>
      <c r="D242" s="137">
        <v>259000</v>
      </c>
      <c r="E242" s="140"/>
      <c r="F242" s="137">
        <v>600</v>
      </c>
      <c r="G242" s="137">
        <v>60900</v>
      </c>
      <c r="H242" s="140"/>
      <c r="I242" s="137">
        <v>198600</v>
      </c>
    </row>
    <row r="243" spans="1:9">
      <c r="A243" s="132">
        <v>2012</v>
      </c>
      <c r="B243" s="137">
        <v>269600</v>
      </c>
      <c r="C243" s="137">
        <v>10000</v>
      </c>
      <c r="D243" s="137">
        <v>279600</v>
      </c>
      <c r="E243" s="140"/>
      <c r="F243" s="137">
        <v>600</v>
      </c>
      <c r="G243" s="137">
        <v>67000</v>
      </c>
      <c r="H243" s="140"/>
      <c r="I243" s="137">
        <v>213300</v>
      </c>
    </row>
    <row r="244" spans="1:9">
      <c r="A244" s="132">
        <v>2013</v>
      </c>
      <c r="B244" s="137">
        <v>259400</v>
      </c>
      <c r="C244" s="137">
        <v>10300</v>
      </c>
      <c r="D244" s="137">
        <v>269700</v>
      </c>
      <c r="E244" s="140"/>
      <c r="F244" s="137">
        <v>500</v>
      </c>
      <c r="G244" s="137">
        <v>70900</v>
      </c>
      <c r="H244" s="140"/>
      <c r="I244" s="137">
        <v>199400</v>
      </c>
    </row>
    <row r="245" spans="1:9">
      <c r="A245" s="132">
        <v>2014</v>
      </c>
      <c r="B245" s="137">
        <v>274400</v>
      </c>
      <c r="C245" s="137">
        <v>10700</v>
      </c>
      <c r="D245" s="137">
        <v>285100</v>
      </c>
      <c r="E245" s="140"/>
      <c r="F245" s="137">
        <v>800</v>
      </c>
      <c r="G245" s="137">
        <v>76100</v>
      </c>
      <c r="H245" s="140"/>
      <c r="I245" s="137">
        <v>209700</v>
      </c>
    </row>
    <row r="246" spans="1:9">
      <c r="A246" s="132">
        <v>2015</v>
      </c>
      <c r="B246" s="137">
        <v>284300</v>
      </c>
      <c r="C246" s="137">
        <v>10700</v>
      </c>
      <c r="D246" s="137">
        <v>295100</v>
      </c>
      <c r="E246" s="140"/>
      <c r="F246" s="137">
        <v>900</v>
      </c>
      <c r="G246" s="137">
        <v>78800</v>
      </c>
      <c r="H246" s="140"/>
      <c r="I246" s="137">
        <v>217200</v>
      </c>
    </row>
    <row r="247" spans="1:9">
      <c r="A247" s="132">
        <v>2016</v>
      </c>
      <c r="B247" s="137">
        <v>280300</v>
      </c>
      <c r="C247" s="137">
        <v>10900</v>
      </c>
      <c r="D247" s="137">
        <v>291200</v>
      </c>
      <c r="E247" s="140"/>
      <c r="F247" s="137">
        <v>1000</v>
      </c>
      <c r="G247" s="137">
        <v>77300</v>
      </c>
      <c r="H247" s="140"/>
      <c r="I247" s="137">
        <v>214900</v>
      </c>
    </row>
    <row r="248" spans="1:9">
      <c r="A248" s="132"/>
      <c r="B248" s="137"/>
      <c r="C248" s="137"/>
      <c r="D248" s="137"/>
      <c r="E248" s="140"/>
      <c r="F248" s="137"/>
      <c r="G248" s="137"/>
      <c r="H248" s="140"/>
      <c r="I248" s="137"/>
    </row>
    <row r="249" spans="1:9">
      <c r="A249" s="132"/>
      <c r="B249" s="774" t="s">
        <v>10</v>
      </c>
      <c r="C249" s="774"/>
      <c r="D249" s="774"/>
      <c r="E249" s="774"/>
      <c r="F249" s="774"/>
      <c r="G249" s="774"/>
      <c r="H249" s="774"/>
      <c r="I249" s="774"/>
    </row>
    <row r="250" spans="1:9">
      <c r="A250" s="132">
        <v>1979</v>
      </c>
      <c r="B250" s="137">
        <v>97300</v>
      </c>
      <c r="C250" s="137">
        <v>3200</v>
      </c>
      <c r="D250" s="137">
        <v>100500</v>
      </c>
      <c r="E250" s="140"/>
      <c r="F250" s="137">
        <v>200</v>
      </c>
      <c r="G250" s="137">
        <v>23700</v>
      </c>
      <c r="H250" s="140"/>
      <c r="I250" s="137">
        <v>76900</v>
      </c>
    </row>
    <row r="251" spans="1:9">
      <c r="A251" s="132">
        <v>1980</v>
      </c>
      <c r="B251" s="137">
        <v>94700</v>
      </c>
      <c r="C251" s="137">
        <v>3600</v>
      </c>
      <c r="D251" s="137">
        <v>98300</v>
      </c>
      <c r="E251" s="140"/>
      <c r="F251" s="137">
        <v>100</v>
      </c>
      <c r="G251" s="137">
        <v>23500</v>
      </c>
      <c r="H251" s="140"/>
      <c r="I251" s="137">
        <v>74900</v>
      </c>
    </row>
    <row r="252" spans="1:9">
      <c r="A252" s="132">
        <v>1981</v>
      </c>
      <c r="B252" s="137">
        <v>94300</v>
      </c>
      <c r="C252" s="137">
        <v>3900</v>
      </c>
      <c r="D252" s="137">
        <v>98100</v>
      </c>
      <c r="E252" s="140"/>
      <c r="F252" s="137">
        <v>200</v>
      </c>
      <c r="G252" s="137">
        <v>24000</v>
      </c>
      <c r="H252" s="140"/>
      <c r="I252" s="137">
        <v>74300</v>
      </c>
    </row>
    <row r="253" spans="1:9">
      <c r="A253" s="132">
        <v>1982</v>
      </c>
      <c r="B253" s="137">
        <v>93400</v>
      </c>
      <c r="C253" s="137">
        <v>4700</v>
      </c>
      <c r="D253" s="137">
        <v>98000</v>
      </c>
      <c r="E253" s="140"/>
      <c r="F253" s="137">
        <v>100</v>
      </c>
      <c r="G253" s="137">
        <v>22200</v>
      </c>
      <c r="H253" s="140"/>
      <c r="I253" s="137">
        <v>76000</v>
      </c>
    </row>
    <row r="254" spans="1:9">
      <c r="A254" s="132">
        <v>1983</v>
      </c>
      <c r="B254" s="137">
        <v>94200</v>
      </c>
      <c r="C254" s="137">
        <v>5000</v>
      </c>
      <c r="D254" s="137">
        <v>99200</v>
      </c>
      <c r="E254" s="140"/>
      <c r="F254" s="137">
        <v>100</v>
      </c>
      <c r="G254" s="137">
        <v>21800</v>
      </c>
      <c r="H254" s="140"/>
      <c r="I254" s="137">
        <v>77400</v>
      </c>
    </row>
    <row r="255" spans="1:9">
      <c r="A255" s="132">
        <v>1984</v>
      </c>
      <c r="B255" s="137">
        <v>101100</v>
      </c>
      <c r="C255" s="137">
        <v>4900</v>
      </c>
      <c r="D255" s="137">
        <v>106000</v>
      </c>
      <c r="E255" s="140"/>
      <c r="F255" s="137">
        <v>100</v>
      </c>
      <c r="G255" s="137">
        <v>23500</v>
      </c>
      <c r="H255" s="140"/>
      <c r="I255" s="137">
        <v>82600</v>
      </c>
    </row>
    <row r="256" spans="1:9">
      <c r="A256" s="132">
        <v>1985</v>
      </c>
      <c r="B256" s="137">
        <v>100000</v>
      </c>
      <c r="C256" s="137">
        <v>4900</v>
      </c>
      <c r="D256" s="137">
        <v>104900</v>
      </c>
      <c r="E256" s="140"/>
      <c r="F256" s="137">
        <v>200</v>
      </c>
      <c r="G256" s="137">
        <v>23400</v>
      </c>
      <c r="H256" s="140"/>
      <c r="I256" s="137">
        <v>81700</v>
      </c>
    </row>
    <row r="257" spans="1:9">
      <c r="A257" s="132">
        <v>1986</v>
      </c>
      <c r="B257" s="137">
        <v>105000</v>
      </c>
      <c r="C257" s="137">
        <v>4900</v>
      </c>
      <c r="D257" s="137">
        <v>109900</v>
      </c>
      <c r="E257" s="140"/>
      <c r="F257" s="137">
        <v>100</v>
      </c>
      <c r="G257" s="137">
        <v>24700</v>
      </c>
      <c r="H257" s="140"/>
      <c r="I257" s="137">
        <v>85300</v>
      </c>
    </row>
    <row r="258" spans="1:9">
      <c r="A258" s="132">
        <v>1987</v>
      </c>
      <c r="B258" s="137">
        <v>106600</v>
      </c>
      <c r="C258" s="137">
        <v>4300</v>
      </c>
      <c r="D258" s="137">
        <v>110900</v>
      </c>
      <c r="E258" s="140"/>
      <c r="F258" s="137">
        <v>100</v>
      </c>
      <c r="G258" s="137">
        <v>25300</v>
      </c>
      <c r="H258" s="140"/>
      <c r="I258" s="137">
        <v>85700</v>
      </c>
    </row>
    <row r="259" spans="1:9">
      <c r="A259" s="132">
        <v>1988</v>
      </c>
      <c r="B259" s="137">
        <v>107700</v>
      </c>
      <c r="C259" s="137">
        <v>4600</v>
      </c>
      <c r="D259" s="137">
        <v>112400</v>
      </c>
      <c r="E259" s="140"/>
      <c r="F259" s="137">
        <v>100</v>
      </c>
      <c r="G259" s="137">
        <v>25900</v>
      </c>
      <c r="H259" s="140"/>
      <c r="I259" s="137">
        <v>86600</v>
      </c>
    </row>
    <row r="260" spans="1:9">
      <c r="A260" s="132">
        <v>1989</v>
      </c>
      <c r="B260" s="137">
        <v>109300</v>
      </c>
      <c r="C260" s="137">
        <v>4900</v>
      </c>
      <c r="D260" s="137">
        <v>114100</v>
      </c>
      <c r="E260" s="140"/>
      <c r="F260" s="137">
        <v>200</v>
      </c>
      <c r="G260" s="137">
        <v>26300</v>
      </c>
      <c r="H260" s="140"/>
      <c r="I260" s="137">
        <v>88100</v>
      </c>
    </row>
    <row r="261" spans="1:9">
      <c r="A261" s="132">
        <v>1990</v>
      </c>
      <c r="B261" s="137">
        <v>107800</v>
      </c>
      <c r="C261" s="137">
        <v>4900</v>
      </c>
      <c r="D261" s="137">
        <v>112700</v>
      </c>
      <c r="E261" s="140"/>
      <c r="F261" s="137">
        <v>200</v>
      </c>
      <c r="G261" s="137">
        <v>26000</v>
      </c>
      <c r="H261" s="140"/>
      <c r="I261" s="137">
        <v>87000</v>
      </c>
    </row>
    <row r="262" spans="1:9">
      <c r="A262" s="132">
        <v>1991</v>
      </c>
      <c r="B262" s="137">
        <v>105600</v>
      </c>
      <c r="C262" s="137">
        <v>5400</v>
      </c>
      <c r="D262" s="137">
        <v>111000</v>
      </c>
      <c r="E262" s="140"/>
      <c r="F262" s="137">
        <v>200</v>
      </c>
      <c r="G262" s="137">
        <v>25400</v>
      </c>
      <c r="H262" s="140"/>
      <c r="I262" s="137">
        <v>85900</v>
      </c>
    </row>
    <row r="263" spans="1:9">
      <c r="A263" s="132">
        <v>1992</v>
      </c>
      <c r="B263" s="137">
        <v>106700</v>
      </c>
      <c r="C263" s="137">
        <v>5700</v>
      </c>
      <c r="D263" s="137">
        <v>112300</v>
      </c>
      <c r="E263" s="140"/>
      <c r="F263" s="137">
        <v>300</v>
      </c>
      <c r="G263" s="137">
        <v>25500</v>
      </c>
      <c r="H263" s="140"/>
      <c r="I263" s="137">
        <v>87100</v>
      </c>
    </row>
    <row r="264" spans="1:9">
      <c r="A264" s="132">
        <v>1993</v>
      </c>
      <c r="B264" s="137">
        <v>107800</v>
      </c>
      <c r="C264" s="137">
        <v>6000</v>
      </c>
      <c r="D264" s="137">
        <v>113800</v>
      </c>
      <c r="E264" s="140"/>
      <c r="F264" s="137">
        <v>300</v>
      </c>
      <c r="G264" s="137">
        <v>25800</v>
      </c>
      <c r="H264" s="140"/>
      <c r="I264" s="137">
        <v>88200</v>
      </c>
    </row>
    <row r="265" spans="1:9">
      <c r="A265" s="132">
        <v>1994</v>
      </c>
      <c r="B265" s="137">
        <v>110400</v>
      </c>
      <c r="C265" s="137">
        <v>5800</v>
      </c>
      <c r="D265" s="137">
        <v>116200</v>
      </c>
      <c r="E265" s="140"/>
      <c r="F265" s="137">
        <v>300</v>
      </c>
      <c r="G265" s="137">
        <v>26900</v>
      </c>
      <c r="H265" s="140"/>
      <c r="I265" s="137">
        <v>89700</v>
      </c>
    </row>
    <row r="266" spans="1:9">
      <c r="A266" s="132">
        <v>1995</v>
      </c>
      <c r="B266" s="137">
        <v>113200</v>
      </c>
      <c r="C266" s="137">
        <v>6300</v>
      </c>
      <c r="D266" s="137">
        <v>119400</v>
      </c>
      <c r="E266" s="140"/>
      <c r="F266" s="137">
        <v>300</v>
      </c>
      <c r="G266" s="137">
        <v>27900</v>
      </c>
      <c r="H266" s="140"/>
      <c r="I266" s="137">
        <v>91900</v>
      </c>
    </row>
    <row r="267" spans="1:9">
      <c r="A267" s="132">
        <v>1996</v>
      </c>
      <c r="B267" s="137">
        <v>115400</v>
      </c>
      <c r="C267" s="137">
        <v>6700</v>
      </c>
      <c r="D267" s="137">
        <v>122000</v>
      </c>
      <c r="E267" s="140"/>
      <c r="F267" s="137">
        <v>400</v>
      </c>
      <c r="G267" s="137">
        <v>28300</v>
      </c>
      <c r="H267" s="140"/>
      <c r="I267" s="137">
        <v>94000</v>
      </c>
    </row>
    <row r="268" spans="1:9">
      <c r="A268" s="132">
        <v>1997</v>
      </c>
      <c r="B268" s="137">
        <v>118000</v>
      </c>
      <c r="C268" s="137">
        <v>6900</v>
      </c>
      <c r="D268" s="137">
        <v>124900</v>
      </c>
      <c r="E268" s="140"/>
      <c r="F268" s="137">
        <v>300</v>
      </c>
      <c r="G268" s="137">
        <v>29300</v>
      </c>
      <c r="H268" s="140"/>
      <c r="I268" s="137">
        <v>95900</v>
      </c>
    </row>
    <row r="269" spans="1:9">
      <c r="A269" s="132">
        <v>1998</v>
      </c>
      <c r="B269" s="137">
        <v>123500</v>
      </c>
      <c r="C269" s="137">
        <v>6700</v>
      </c>
      <c r="D269" s="137">
        <v>130200</v>
      </c>
      <c r="E269" s="140"/>
      <c r="F269" s="137">
        <v>400</v>
      </c>
      <c r="G269" s="137">
        <v>30500</v>
      </c>
      <c r="H269" s="140"/>
      <c r="I269" s="137">
        <v>100100</v>
      </c>
    </row>
    <row r="270" spans="1:9">
      <c r="A270" s="132">
        <v>1999</v>
      </c>
      <c r="B270" s="137">
        <v>129300</v>
      </c>
      <c r="C270" s="137">
        <v>6100</v>
      </c>
      <c r="D270" s="137">
        <v>135400</v>
      </c>
      <c r="E270" s="140"/>
      <c r="F270" s="137">
        <v>400</v>
      </c>
      <c r="G270" s="137">
        <v>32100</v>
      </c>
      <c r="H270" s="140"/>
      <c r="I270" s="137">
        <v>103600</v>
      </c>
    </row>
    <row r="271" spans="1:9">
      <c r="A271" s="132">
        <v>2000</v>
      </c>
      <c r="B271" s="137">
        <v>131500</v>
      </c>
      <c r="C271" s="137">
        <v>6700</v>
      </c>
      <c r="D271" s="137">
        <v>138100</v>
      </c>
      <c r="E271" s="140"/>
      <c r="F271" s="137">
        <v>400</v>
      </c>
      <c r="G271" s="137">
        <v>32700</v>
      </c>
      <c r="H271" s="140"/>
      <c r="I271" s="137">
        <v>105800</v>
      </c>
    </row>
    <row r="272" spans="1:9">
      <c r="A272" s="132">
        <v>2001</v>
      </c>
      <c r="B272" s="137">
        <v>130100</v>
      </c>
      <c r="C272" s="137">
        <v>6700</v>
      </c>
      <c r="D272" s="137">
        <v>136700</v>
      </c>
      <c r="E272" s="140"/>
      <c r="F272" s="137">
        <v>400</v>
      </c>
      <c r="G272" s="137">
        <v>30800</v>
      </c>
      <c r="H272" s="140"/>
      <c r="I272" s="137">
        <v>106300</v>
      </c>
    </row>
    <row r="273" spans="1:9">
      <c r="A273" s="132">
        <v>2002</v>
      </c>
      <c r="B273" s="137">
        <v>127600</v>
      </c>
      <c r="C273" s="137">
        <v>6800</v>
      </c>
      <c r="D273" s="137">
        <v>134400</v>
      </c>
      <c r="E273" s="140"/>
      <c r="F273" s="137">
        <v>500</v>
      </c>
      <c r="G273" s="137">
        <v>29300</v>
      </c>
      <c r="H273" s="140"/>
      <c r="I273" s="137">
        <v>105500</v>
      </c>
    </row>
    <row r="274" spans="1:9">
      <c r="A274" s="132">
        <v>2003</v>
      </c>
      <c r="B274" s="137">
        <v>129500</v>
      </c>
      <c r="C274" s="137">
        <v>6800</v>
      </c>
      <c r="D274" s="137">
        <v>136300</v>
      </c>
      <c r="E274" s="140"/>
      <c r="F274" s="137">
        <v>500</v>
      </c>
      <c r="G274" s="137">
        <v>28300</v>
      </c>
      <c r="H274" s="140"/>
      <c r="I274" s="137">
        <v>108500</v>
      </c>
    </row>
    <row r="275" spans="1:9">
      <c r="A275" s="132">
        <v>2004</v>
      </c>
      <c r="B275" s="137">
        <v>134200</v>
      </c>
      <c r="C275" s="137">
        <v>7100</v>
      </c>
      <c r="D275" s="137">
        <v>141300</v>
      </c>
      <c r="E275" s="140"/>
      <c r="F275" s="137">
        <v>600</v>
      </c>
      <c r="G275" s="137">
        <v>29500</v>
      </c>
      <c r="H275" s="140"/>
      <c r="I275" s="137">
        <v>112300</v>
      </c>
    </row>
    <row r="276" spans="1:9">
      <c r="A276" s="132">
        <v>2005</v>
      </c>
      <c r="B276" s="137">
        <v>136700</v>
      </c>
      <c r="C276" s="137">
        <v>7500</v>
      </c>
      <c r="D276" s="137">
        <v>144200</v>
      </c>
      <c r="E276" s="140"/>
      <c r="F276" s="137">
        <v>600</v>
      </c>
      <c r="G276" s="137">
        <v>30300</v>
      </c>
      <c r="H276" s="140"/>
      <c r="I276" s="137">
        <v>114400</v>
      </c>
    </row>
    <row r="277" spans="1:9">
      <c r="A277" s="132">
        <v>2006</v>
      </c>
      <c r="B277" s="137">
        <v>139500</v>
      </c>
      <c r="C277" s="137">
        <v>8200</v>
      </c>
      <c r="D277" s="137">
        <v>147700</v>
      </c>
      <c r="E277" s="140"/>
      <c r="F277" s="137">
        <v>600</v>
      </c>
      <c r="G277" s="137">
        <v>31300</v>
      </c>
      <c r="H277" s="140"/>
      <c r="I277" s="137">
        <v>117100</v>
      </c>
    </row>
    <row r="278" spans="1:9">
      <c r="A278" s="132">
        <v>2007</v>
      </c>
      <c r="B278" s="137">
        <v>142000</v>
      </c>
      <c r="C278" s="137">
        <v>8700</v>
      </c>
      <c r="D278" s="137">
        <v>150700</v>
      </c>
      <c r="E278" s="140"/>
      <c r="F278" s="137">
        <v>700</v>
      </c>
      <c r="G278" s="137">
        <v>31500</v>
      </c>
      <c r="H278" s="140"/>
      <c r="I278" s="137">
        <v>119800</v>
      </c>
    </row>
    <row r="279" spans="1:9">
      <c r="A279" s="132">
        <v>2008</v>
      </c>
      <c r="B279" s="137">
        <v>138800</v>
      </c>
      <c r="C279" s="137">
        <v>8900</v>
      </c>
      <c r="D279" s="137">
        <v>147700</v>
      </c>
      <c r="E279" s="140"/>
      <c r="F279" s="137">
        <v>600</v>
      </c>
      <c r="G279" s="137">
        <v>28600</v>
      </c>
      <c r="H279" s="140"/>
      <c r="I279" s="137">
        <v>119800</v>
      </c>
    </row>
    <row r="280" spans="1:9">
      <c r="A280" s="132">
        <v>2009</v>
      </c>
      <c r="B280" s="137">
        <v>133500</v>
      </c>
      <c r="C280" s="137">
        <v>10700</v>
      </c>
      <c r="D280" s="137">
        <v>144200</v>
      </c>
      <c r="E280" s="140"/>
      <c r="F280" s="137">
        <v>800</v>
      </c>
      <c r="G280" s="137">
        <v>27200</v>
      </c>
      <c r="H280" s="140"/>
      <c r="I280" s="137">
        <v>117700</v>
      </c>
    </row>
    <row r="281" spans="1:9">
      <c r="A281" s="132">
        <v>2010</v>
      </c>
      <c r="B281" s="137">
        <v>133800</v>
      </c>
      <c r="C281" s="137">
        <v>10600</v>
      </c>
      <c r="D281" s="137">
        <v>144300</v>
      </c>
      <c r="E281" s="140"/>
      <c r="F281" s="137">
        <v>800</v>
      </c>
      <c r="G281" s="137">
        <v>28000</v>
      </c>
      <c r="H281" s="140"/>
      <c r="I281" s="137">
        <v>117100</v>
      </c>
    </row>
    <row r="282" spans="1:9">
      <c r="A282" s="132">
        <v>2011</v>
      </c>
      <c r="B282" s="137">
        <v>135600</v>
      </c>
      <c r="C282" s="137">
        <v>10100</v>
      </c>
      <c r="D282" s="137">
        <v>145700</v>
      </c>
      <c r="E282" s="140"/>
      <c r="F282" s="137">
        <v>700</v>
      </c>
      <c r="G282" s="137">
        <v>27500</v>
      </c>
      <c r="H282" s="140"/>
      <c r="I282" s="137">
        <v>118800</v>
      </c>
    </row>
    <row r="283" spans="1:9">
      <c r="A283" s="132">
        <v>2012</v>
      </c>
      <c r="B283" s="137">
        <v>136300</v>
      </c>
      <c r="C283" s="137">
        <v>10500</v>
      </c>
      <c r="D283" s="137">
        <v>146800</v>
      </c>
      <c r="E283" s="140"/>
      <c r="F283" s="137">
        <v>700</v>
      </c>
      <c r="G283" s="137">
        <v>28200</v>
      </c>
      <c r="H283" s="140"/>
      <c r="I283" s="137">
        <v>119300</v>
      </c>
    </row>
    <row r="284" spans="1:9">
      <c r="A284" s="132">
        <v>2013</v>
      </c>
      <c r="B284" s="137">
        <v>138600</v>
      </c>
      <c r="C284" s="137">
        <v>10900</v>
      </c>
      <c r="D284" s="137">
        <v>149500</v>
      </c>
      <c r="E284" s="140"/>
      <c r="F284" s="137">
        <v>600</v>
      </c>
      <c r="G284" s="137">
        <v>31200</v>
      </c>
      <c r="H284" s="140"/>
      <c r="I284" s="137">
        <v>118900</v>
      </c>
    </row>
    <row r="285" spans="1:9">
      <c r="A285" s="132">
        <v>2014</v>
      </c>
      <c r="B285" s="137">
        <v>142300</v>
      </c>
      <c r="C285" s="137">
        <v>11000</v>
      </c>
      <c r="D285" s="137">
        <v>153200</v>
      </c>
      <c r="E285" s="140"/>
      <c r="F285" s="137">
        <v>900</v>
      </c>
      <c r="G285" s="137">
        <v>32400</v>
      </c>
      <c r="H285" s="140"/>
      <c r="I285" s="137">
        <v>121700</v>
      </c>
    </row>
    <row r="286" spans="1:9">
      <c r="A286" s="132">
        <v>2015</v>
      </c>
      <c r="B286" s="137">
        <v>147400</v>
      </c>
      <c r="C286" s="137">
        <v>11300</v>
      </c>
      <c r="D286" s="137">
        <v>158700</v>
      </c>
      <c r="E286" s="140"/>
      <c r="F286" s="137">
        <v>1000</v>
      </c>
      <c r="G286" s="137">
        <v>33800</v>
      </c>
      <c r="H286" s="140"/>
      <c r="I286" s="137">
        <v>125900</v>
      </c>
    </row>
    <row r="287" spans="1:9">
      <c r="A287" s="132">
        <v>2016</v>
      </c>
      <c r="B287" s="137">
        <v>148100</v>
      </c>
      <c r="C287" s="137">
        <v>11500</v>
      </c>
      <c r="D287" s="137">
        <v>159600</v>
      </c>
      <c r="E287" s="140"/>
      <c r="F287" s="137">
        <v>1100</v>
      </c>
      <c r="G287" s="137">
        <v>33800</v>
      </c>
      <c r="H287" s="140"/>
      <c r="I287" s="137">
        <v>126800</v>
      </c>
    </row>
    <row r="288" spans="1:9">
      <c r="A288" s="132"/>
      <c r="B288" s="137"/>
      <c r="C288" s="137"/>
      <c r="D288" s="137"/>
      <c r="E288" s="140"/>
      <c r="F288" s="137"/>
      <c r="G288" s="137"/>
      <c r="H288" s="140"/>
      <c r="I288" s="137"/>
    </row>
    <row r="289" spans="1:9">
      <c r="A289" s="132"/>
      <c r="B289" s="774" t="s">
        <v>11</v>
      </c>
      <c r="C289" s="774"/>
      <c r="D289" s="774"/>
      <c r="E289" s="774"/>
      <c r="F289" s="774"/>
      <c r="G289" s="774"/>
      <c r="H289" s="774"/>
      <c r="I289" s="774"/>
    </row>
    <row r="290" spans="1:9">
      <c r="A290" s="132">
        <v>1979</v>
      </c>
      <c r="B290" s="137">
        <v>121100</v>
      </c>
      <c r="C290" s="137">
        <v>3100</v>
      </c>
      <c r="D290" s="137">
        <v>124200</v>
      </c>
      <c r="E290" s="140"/>
      <c r="F290" s="137">
        <v>100</v>
      </c>
      <c r="G290" s="137">
        <v>31300</v>
      </c>
      <c r="H290" s="140"/>
      <c r="I290" s="137">
        <v>93000</v>
      </c>
    </row>
    <row r="291" spans="1:9">
      <c r="A291" s="132">
        <v>1980</v>
      </c>
      <c r="B291" s="137">
        <v>118200</v>
      </c>
      <c r="C291" s="137">
        <v>3600</v>
      </c>
      <c r="D291" s="137">
        <v>121800</v>
      </c>
      <c r="E291" s="140"/>
      <c r="F291" s="137">
        <v>100</v>
      </c>
      <c r="G291" s="137">
        <v>31100</v>
      </c>
      <c r="H291" s="140"/>
      <c r="I291" s="137">
        <v>90800</v>
      </c>
    </row>
    <row r="292" spans="1:9">
      <c r="A292" s="132">
        <v>1981</v>
      </c>
      <c r="B292" s="137">
        <v>117800</v>
      </c>
      <c r="C292" s="137">
        <v>4200</v>
      </c>
      <c r="D292" s="137">
        <v>122000</v>
      </c>
      <c r="E292" s="140"/>
      <c r="F292" s="137">
        <v>100</v>
      </c>
      <c r="G292" s="137">
        <v>31500</v>
      </c>
      <c r="H292" s="140"/>
      <c r="I292" s="137">
        <v>90600</v>
      </c>
    </row>
    <row r="293" spans="1:9">
      <c r="A293" s="132">
        <v>1982</v>
      </c>
      <c r="B293" s="137">
        <v>116500</v>
      </c>
      <c r="C293" s="137">
        <v>4700</v>
      </c>
      <c r="D293" s="137">
        <v>121100</v>
      </c>
      <c r="E293" s="140"/>
      <c r="F293" s="137">
        <v>100</v>
      </c>
      <c r="G293" s="137">
        <v>28700</v>
      </c>
      <c r="H293" s="140"/>
      <c r="I293" s="137">
        <v>92500</v>
      </c>
    </row>
    <row r="294" spans="1:9">
      <c r="A294" s="132">
        <v>1983</v>
      </c>
      <c r="B294" s="137">
        <v>119400</v>
      </c>
      <c r="C294" s="137">
        <v>5000</v>
      </c>
      <c r="D294" s="137">
        <v>124400</v>
      </c>
      <c r="E294" s="140"/>
      <c r="F294" s="137">
        <v>100</v>
      </c>
      <c r="G294" s="137">
        <v>28400</v>
      </c>
      <c r="H294" s="140"/>
      <c r="I294" s="137">
        <v>96100</v>
      </c>
    </row>
    <row r="295" spans="1:9">
      <c r="A295" s="132">
        <v>1984</v>
      </c>
      <c r="B295" s="137">
        <v>128800</v>
      </c>
      <c r="C295" s="137">
        <v>5300</v>
      </c>
      <c r="D295" s="137">
        <v>134000</v>
      </c>
      <c r="E295" s="140"/>
      <c r="F295" s="137">
        <v>100</v>
      </c>
      <c r="G295" s="137">
        <v>30800</v>
      </c>
      <c r="H295" s="140"/>
      <c r="I295" s="137">
        <v>103400</v>
      </c>
    </row>
    <row r="296" spans="1:9">
      <c r="A296" s="132">
        <v>1985</v>
      </c>
      <c r="B296" s="137">
        <v>128300</v>
      </c>
      <c r="C296" s="137">
        <v>5100</v>
      </c>
      <c r="D296" s="137">
        <v>133400</v>
      </c>
      <c r="E296" s="140"/>
      <c r="F296" s="137">
        <v>100</v>
      </c>
      <c r="G296" s="137">
        <v>31000</v>
      </c>
      <c r="H296" s="140"/>
      <c r="I296" s="137">
        <v>102500</v>
      </c>
    </row>
    <row r="297" spans="1:9">
      <c r="A297" s="132">
        <v>1986</v>
      </c>
      <c r="B297" s="137">
        <v>135000</v>
      </c>
      <c r="C297" s="137">
        <v>4800</v>
      </c>
      <c r="D297" s="137">
        <v>139900</v>
      </c>
      <c r="E297" s="140"/>
      <c r="F297" s="137">
        <v>100</v>
      </c>
      <c r="G297" s="137">
        <v>32700</v>
      </c>
      <c r="H297" s="140"/>
      <c r="I297" s="137">
        <v>107300</v>
      </c>
    </row>
    <row r="298" spans="1:9">
      <c r="A298" s="132">
        <v>1987</v>
      </c>
      <c r="B298" s="137">
        <v>138300</v>
      </c>
      <c r="C298" s="137">
        <v>4100</v>
      </c>
      <c r="D298" s="137">
        <v>142400</v>
      </c>
      <c r="E298" s="140"/>
      <c r="F298" s="137">
        <v>100</v>
      </c>
      <c r="G298" s="137">
        <v>34900</v>
      </c>
      <c r="H298" s="140"/>
      <c r="I298" s="137">
        <v>107700</v>
      </c>
    </row>
    <row r="299" spans="1:9">
      <c r="A299" s="132">
        <v>1988</v>
      </c>
      <c r="B299" s="137">
        <v>140600</v>
      </c>
      <c r="C299" s="137">
        <v>4500</v>
      </c>
      <c r="D299" s="137">
        <v>145100</v>
      </c>
      <c r="E299" s="140"/>
      <c r="F299" s="137">
        <v>100</v>
      </c>
      <c r="G299" s="137">
        <v>35300</v>
      </c>
      <c r="H299" s="140"/>
      <c r="I299" s="137">
        <v>109800</v>
      </c>
    </row>
    <row r="300" spans="1:9">
      <c r="A300" s="132">
        <v>1989</v>
      </c>
      <c r="B300" s="137">
        <v>142700</v>
      </c>
      <c r="C300" s="137">
        <v>4800</v>
      </c>
      <c r="D300" s="137">
        <v>147500</v>
      </c>
      <c r="E300" s="140"/>
      <c r="F300" s="137">
        <v>100</v>
      </c>
      <c r="G300" s="137">
        <v>35700</v>
      </c>
      <c r="H300" s="140"/>
      <c r="I300" s="137">
        <v>111900</v>
      </c>
    </row>
    <row r="301" spans="1:9">
      <c r="A301" s="132">
        <v>1990</v>
      </c>
      <c r="B301" s="137">
        <v>138800</v>
      </c>
      <c r="C301" s="137">
        <v>5300</v>
      </c>
      <c r="D301" s="137">
        <v>144100</v>
      </c>
      <c r="E301" s="140"/>
      <c r="F301" s="137">
        <v>200</v>
      </c>
      <c r="G301" s="137">
        <v>34700</v>
      </c>
      <c r="H301" s="140"/>
      <c r="I301" s="137">
        <v>109600</v>
      </c>
    </row>
    <row r="302" spans="1:9">
      <c r="A302" s="132">
        <v>1991</v>
      </c>
      <c r="B302" s="137">
        <v>137700</v>
      </c>
      <c r="C302" s="137">
        <v>5400</v>
      </c>
      <c r="D302" s="137">
        <v>143100</v>
      </c>
      <c r="E302" s="140"/>
      <c r="F302" s="137">
        <v>100</v>
      </c>
      <c r="G302" s="137">
        <v>34700</v>
      </c>
      <c r="H302" s="140"/>
      <c r="I302" s="137">
        <v>108500</v>
      </c>
    </row>
    <row r="303" spans="1:9">
      <c r="A303" s="132">
        <v>1992</v>
      </c>
      <c r="B303" s="137">
        <v>140400</v>
      </c>
      <c r="C303" s="137">
        <v>5200</v>
      </c>
      <c r="D303" s="137">
        <v>145600</v>
      </c>
      <c r="E303" s="140"/>
      <c r="F303" s="137">
        <v>200</v>
      </c>
      <c r="G303" s="137">
        <v>35200</v>
      </c>
      <c r="H303" s="140"/>
      <c r="I303" s="137">
        <v>110700</v>
      </c>
    </row>
    <row r="304" spans="1:9">
      <c r="A304" s="132">
        <v>1993</v>
      </c>
      <c r="B304" s="137">
        <v>141000</v>
      </c>
      <c r="C304" s="137">
        <v>6000</v>
      </c>
      <c r="D304" s="137">
        <v>147100</v>
      </c>
      <c r="E304" s="140"/>
      <c r="F304" s="137">
        <v>200</v>
      </c>
      <c r="G304" s="137">
        <v>35800</v>
      </c>
      <c r="H304" s="140"/>
      <c r="I304" s="137">
        <v>111500</v>
      </c>
    </row>
    <row r="305" spans="1:9">
      <c r="A305" s="132">
        <v>1994</v>
      </c>
      <c r="B305" s="137">
        <v>143800</v>
      </c>
      <c r="C305" s="137">
        <v>5900</v>
      </c>
      <c r="D305" s="137">
        <v>149700</v>
      </c>
      <c r="E305" s="140"/>
      <c r="F305" s="137">
        <v>300</v>
      </c>
      <c r="G305" s="137">
        <v>37100</v>
      </c>
      <c r="H305" s="140"/>
      <c r="I305" s="137">
        <v>112800</v>
      </c>
    </row>
    <row r="306" spans="1:9">
      <c r="A306" s="132">
        <v>1995</v>
      </c>
      <c r="B306" s="137">
        <v>147900</v>
      </c>
      <c r="C306" s="137">
        <v>6000</v>
      </c>
      <c r="D306" s="137">
        <v>153900</v>
      </c>
      <c r="E306" s="140"/>
      <c r="F306" s="137">
        <v>300</v>
      </c>
      <c r="G306" s="137">
        <v>38700</v>
      </c>
      <c r="H306" s="140"/>
      <c r="I306" s="137">
        <v>115500</v>
      </c>
    </row>
    <row r="307" spans="1:9">
      <c r="A307" s="132">
        <v>1996</v>
      </c>
      <c r="B307" s="137">
        <v>152900</v>
      </c>
      <c r="C307" s="137">
        <v>6900</v>
      </c>
      <c r="D307" s="137">
        <v>159700</v>
      </c>
      <c r="E307" s="140"/>
      <c r="F307" s="137">
        <v>200</v>
      </c>
      <c r="G307" s="137">
        <v>40100</v>
      </c>
      <c r="H307" s="140"/>
      <c r="I307" s="137">
        <v>119900</v>
      </c>
    </row>
    <row r="308" spans="1:9">
      <c r="A308" s="132">
        <v>1997</v>
      </c>
      <c r="B308" s="137">
        <v>158900</v>
      </c>
      <c r="C308" s="137">
        <v>7000</v>
      </c>
      <c r="D308" s="137">
        <v>165900</v>
      </c>
      <c r="E308" s="140"/>
      <c r="F308" s="137">
        <v>200</v>
      </c>
      <c r="G308" s="137">
        <v>41800</v>
      </c>
      <c r="H308" s="140"/>
      <c r="I308" s="137">
        <v>124300</v>
      </c>
    </row>
    <row r="309" spans="1:9">
      <c r="A309" s="132">
        <v>1998</v>
      </c>
      <c r="B309" s="137">
        <v>166100</v>
      </c>
      <c r="C309" s="137">
        <v>6700</v>
      </c>
      <c r="D309" s="137">
        <v>172700</v>
      </c>
      <c r="E309" s="140"/>
      <c r="F309" s="137">
        <v>300</v>
      </c>
      <c r="G309" s="137">
        <v>43500</v>
      </c>
      <c r="H309" s="140"/>
      <c r="I309" s="137">
        <v>129500</v>
      </c>
    </row>
    <row r="310" spans="1:9">
      <c r="A310" s="132">
        <v>1999</v>
      </c>
      <c r="B310" s="137">
        <v>173200</v>
      </c>
      <c r="C310" s="137">
        <v>6600</v>
      </c>
      <c r="D310" s="137">
        <v>179800</v>
      </c>
      <c r="E310" s="140"/>
      <c r="F310" s="137">
        <v>300</v>
      </c>
      <c r="G310" s="137">
        <v>45900</v>
      </c>
      <c r="H310" s="140"/>
      <c r="I310" s="137">
        <v>134100</v>
      </c>
    </row>
    <row r="311" spans="1:9">
      <c r="A311" s="132">
        <v>2000</v>
      </c>
      <c r="B311" s="137">
        <v>179100</v>
      </c>
      <c r="C311" s="137">
        <v>6300</v>
      </c>
      <c r="D311" s="137">
        <v>185400</v>
      </c>
      <c r="E311" s="140"/>
      <c r="F311" s="137">
        <v>300</v>
      </c>
      <c r="G311" s="137">
        <v>47300</v>
      </c>
      <c r="H311" s="140"/>
      <c r="I311" s="137">
        <v>138400</v>
      </c>
    </row>
    <row r="312" spans="1:9">
      <c r="A312" s="132">
        <v>2001</v>
      </c>
      <c r="B312" s="137">
        <v>173400</v>
      </c>
      <c r="C312" s="137">
        <v>6500</v>
      </c>
      <c r="D312" s="137">
        <v>179900</v>
      </c>
      <c r="E312" s="140"/>
      <c r="F312" s="137">
        <v>400</v>
      </c>
      <c r="G312" s="137">
        <v>44200</v>
      </c>
      <c r="H312" s="140"/>
      <c r="I312" s="137">
        <v>136100</v>
      </c>
    </row>
    <row r="313" spans="1:9">
      <c r="A313" s="132">
        <v>2002</v>
      </c>
      <c r="B313" s="137">
        <v>170700</v>
      </c>
      <c r="C313" s="137">
        <v>6700</v>
      </c>
      <c r="D313" s="137">
        <v>177400</v>
      </c>
      <c r="E313" s="140"/>
      <c r="F313" s="137">
        <v>400</v>
      </c>
      <c r="G313" s="137">
        <v>42200</v>
      </c>
      <c r="H313" s="140"/>
      <c r="I313" s="137">
        <v>135500</v>
      </c>
    </row>
    <row r="314" spans="1:9">
      <c r="A314" s="132">
        <v>2003</v>
      </c>
      <c r="B314" s="137">
        <v>174200</v>
      </c>
      <c r="C314" s="137">
        <v>6800</v>
      </c>
      <c r="D314" s="137">
        <v>181000</v>
      </c>
      <c r="E314" s="140"/>
      <c r="F314" s="137">
        <v>400</v>
      </c>
      <c r="G314" s="137">
        <v>41100</v>
      </c>
      <c r="H314" s="140"/>
      <c r="I314" s="137">
        <v>140400</v>
      </c>
    </row>
    <row r="315" spans="1:9">
      <c r="A315" s="132">
        <v>2004</v>
      </c>
      <c r="B315" s="137">
        <v>180500</v>
      </c>
      <c r="C315" s="137">
        <v>6600</v>
      </c>
      <c r="D315" s="137">
        <v>187100</v>
      </c>
      <c r="E315" s="140"/>
      <c r="F315" s="137">
        <v>400</v>
      </c>
      <c r="G315" s="137">
        <v>42800</v>
      </c>
      <c r="H315" s="140"/>
      <c r="I315" s="137">
        <v>144600</v>
      </c>
    </row>
    <row r="316" spans="1:9">
      <c r="A316" s="132">
        <v>2005</v>
      </c>
      <c r="B316" s="137">
        <v>186900</v>
      </c>
      <c r="C316" s="137">
        <v>7600</v>
      </c>
      <c r="D316" s="137">
        <v>194500</v>
      </c>
      <c r="E316" s="140"/>
      <c r="F316" s="137">
        <v>500</v>
      </c>
      <c r="G316" s="137">
        <v>44700</v>
      </c>
      <c r="H316" s="140"/>
      <c r="I316" s="137">
        <v>150300</v>
      </c>
    </row>
    <row r="317" spans="1:9">
      <c r="A317" s="132">
        <v>2006</v>
      </c>
      <c r="B317" s="137">
        <v>191800</v>
      </c>
      <c r="C317" s="137">
        <v>8100</v>
      </c>
      <c r="D317" s="137">
        <v>199900</v>
      </c>
      <c r="E317" s="140"/>
      <c r="F317" s="137">
        <v>500</v>
      </c>
      <c r="G317" s="137">
        <v>46200</v>
      </c>
      <c r="H317" s="140"/>
      <c r="I317" s="137">
        <v>154200</v>
      </c>
    </row>
    <row r="318" spans="1:9">
      <c r="A318" s="132">
        <v>2007</v>
      </c>
      <c r="B318" s="137">
        <v>196200</v>
      </c>
      <c r="C318" s="137">
        <v>8900</v>
      </c>
      <c r="D318" s="137">
        <v>205100</v>
      </c>
      <c r="E318" s="140"/>
      <c r="F318" s="137">
        <v>600</v>
      </c>
      <c r="G318" s="137">
        <v>46600</v>
      </c>
      <c r="H318" s="140"/>
      <c r="I318" s="137">
        <v>159000</v>
      </c>
    </row>
    <row r="319" spans="1:9">
      <c r="A319" s="132">
        <v>2008</v>
      </c>
      <c r="B319" s="137">
        <v>190000</v>
      </c>
      <c r="C319" s="137">
        <v>8300</v>
      </c>
      <c r="D319" s="137">
        <v>198300</v>
      </c>
      <c r="E319" s="140"/>
      <c r="F319" s="137">
        <v>600</v>
      </c>
      <c r="G319" s="137">
        <v>43300</v>
      </c>
      <c r="H319" s="140"/>
      <c r="I319" s="137">
        <v>155600</v>
      </c>
    </row>
    <row r="320" spans="1:9">
      <c r="A320" s="132">
        <v>2009</v>
      </c>
      <c r="B320" s="137">
        <v>182600</v>
      </c>
      <c r="C320" s="137">
        <v>10100</v>
      </c>
      <c r="D320" s="137">
        <v>192700</v>
      </c>
      <c r="E320" s="140"/>
      <c r="F320" s="137">
        <v>600</v>
      </c>
      <c r="G320" s="137">
        <v>40900</v>
      </c>
      <c r="H320" s="140"/>
      <c r="I320" s="137">
        <v>152500</v>
      </c>
    </row>
    <row r="321" spans="1:9">
      <c r="A321" s="132">
        <v>2010</v>
      </c>
      <c r="B321" s="137">
        <v>184400</v>
      </c>
      <c r="C321" s="137">
        <v>9800</v>
      </c>
      <c r="D321" s="137">
        <v>194200</v>
      </c>
      <c r="E321" s="140"/>
      <c r="F321" s="137">
        <v>500</v>
      </c>
      <c r="G321" s="137">
        <v>42000</v>
      </c>
      <c r="H321" s="140"/>
      <c r="I321" s="137">
        <v>152700</v>
      </c>
    </row>
    <row r="322" spans="1:9">
      <c r="A322" s="132">
        <v>2011</v>
      </c>
      <c r="B322" s="137">
        <v>187400</v>
      </c>
      <c r="C322" s="137">
        <v>9600</v>
      </c>
      <c r="D322" s="137">
        <v>197000</v>
      </c>
      <c r="E322" s="140"/>
      <c r="F322" s="137">
        <v>500</v>
      </c>
      <c r="G322" s="137">
        <v>41700</v>
      </c>
      <c r="H322" s="140"/>
      <c r="I322" s="137">
        <v>155800</v>
      </c>
    </row>
    <row r="323" spans="1:9">
      <c r="A323" s="132">
        <v>2012</v>
      </c>
      <c r="B323" s="137">
        <v>189900</v>
      </c>
      <c r="C323" s="137">
        <v>10100</v>
      </c>
      <c r="D323" s="137">
        <v>200000</v>
      </c>
      <c r="E323" s="140"/>
      <c r="F323" s="137">
        <v>500</v>
      </c>
      <c r="G323" s="137">
        <v>43100</v>
      </c>
      <c r="H323" s="140"/>
      <c r="I323" s="137">
        <v>157400</v>
      </c>
    </row>
    <row r="324" spans="1:9">
      <c r="A324" s="132">
        <v>2013</v>
      </c>
      <c r="B324" s="137">
        <v>195900</v>
      </c>
      <c r="C324" s="137">
        <v>9600</v>
      </c>
      <c r="D324" s="137">
        <v>205500</v>
      </c>
      <c r="E324" s="140"/>
      <c r="F324" s="137">
        <v>500</v>
      </c>
      <c r="G324" s="137">
        <v>47600</v>
      </c>
      <c r="H324" s="140"/>
      <c r="I324" s="137">
        <v>158400</v>
      </c>
    </row>
    <row r="325" spans="1:9">
      <c r="A325" s="132">
        <v>2014</v>
      </c>
      <c r="B325" s="137">
        <v>198400</v>
      </c>
      <c r="C325" s="137">
        <v>10800</v>
      </c>
      <c r="D325" s="137">
        <v>209200</v>
      </c>
      <c r="E325" s="140"/>
      <c r="F325" s="137">
        <v>700</v>
      </c>
      <c r="G325" s="137">
        <v>49000</v>
      </c>
      <c r="H325" s="140"/>
      <c r="I325" s="137">
        <v>160900</v>
      </c>
    </row>
    <row r="326" spans="1:9">
      <c r="A326" s="132">
        <v>2015</v>
      </c>
      <c r="B326" s="137">
        <v>206500</v>
      </c>
      <c r="C326" s="137">
        <v>10200</v>
      </c>
      <c r="D326" s="137">
        <v>216700</v>
      </c>
      <c r="E326" s="140"/>
      <c r="F326" s="137">
        <v>800</v>
      </c>
      <c r="G326" s="137">
        <v>51200</v>
      </c>
      <c r="H326" s="140"/>
      <c r="I326" s="137">
        <v>166300</v>
      </c>
    </row>
    <row r="327" spans="1:9">
      <c r="A327" s="132">
        <v>2016</v>
      </c>
      <c r="B327" s="137">
        <v>208000</v>
      </c>
      <c r="C327" s="137">
        <v>10400</v>
      </c>
      <c r="D327" s="137">
        <v>218300</v>
      </c>
      <c r="E327" s="140"/>
      <c r="F327" s="137">
        <v>900</v>
      </c>
      <c r="G327" s="137">
        <v>51600</v>
      </c>
      <c r="H327" s="140"/>
      <c r="I327" s="137">
        <v>167700</v>
      </c>
    </row>
    <row r="328" spans="1:9">
      <c r="A328" s="132"/>
      <c r="B328" s="137"/>
      <c r="C328" s="137"/>
      <c r="D328" s="137"/>
      <c r="E328" s="140"/>
      <c r="F328" s="137"/>
      <c r="G328" s="137"/>
      <c r="H328" s="140"/>
      <c r="I328" s="137"/>
    </row>
    <row r="329" spans="1:9">
      <c r="A329" s="132"/>
      <c r="B329" s="774" t="s">
        <v>12</v>
      </c>
      <c r="C329" s="774"/>
      <c r="D329" s="774"/>
      <c r="E329" s="774"/>
      <c r="F329" s="774"/>
      <c r="G329" s="774"/>
      <c r="H329" s="774"/>
      <c r="I329" s="774"/>
    </row>
    <row r="330" spans="1:9">
      <c r="A330" s="132">
        <v>1979</v>
      </c>
      <c r="B330" s="137">
        <v>175800</v>
      </c>
      <c r="C330" s="137">
        <v>4000</v>
      </c>
      <c r="D330" s="137">
        <v>179800</v>
      </c>
      <c r="E330" s="140"/>
      <c r="F330" s="137">
        <v>100</v>
      </c>
      <c r="G330" s="137">
        <v>48800</v>
      </c>
      <c r="H330" s="140"/>
      <c r="I330" s="137">
        <v>131100</v>
      </c>
    </row>
    <row r="331" spans="1:9">
      <c r="A331" s="132">
        <v>1980</v>
      </c>
      <c r="B331" s="137">
        <v>169300</v>
      </c>
      <c r="C331" s="137">
        <v>4500</v>
      </c>
      <c r="D331" s="137">
        <v>173800</v>
      </c>
      <c r="E331" s="140"/>
      <c r="F331" s="137">
        <v>100</v>
      </c>
      <c r="G331" s="137">
        <v>47500</v>
      </c>
      <c r="H331" s="140"/>
      <c r="I331" s="137">
        <v>126300</v>
      </c>
    </row>
    <row r="332" spans="1:9">
      <c r="A332" s="132">
        <v>1981</v>
      </c>
      <c r="B332" s="137">
        <v>167300</v>
      </c>
      <c r="C332" s="137">
        <v>4800</v>
      </c>
      <c r="D332" s="137">
        <v>172100</v>
      </c>
      <c r="E332" s="140"/>
      <c r="F332" s="137">
        <v>100</v>
      </c>
      <c r="G332" s="137">
        <v>46800</v>
      </c>
      <c r="H332" s="140"/>
      <c r="I332" s="137">
        <v>125400</v>
      </c>
    </row>
    <row r="333" spans="1:9">
      <c r="A333" s="132">
        <v>1982</v>
      </c>
      <c r="B333" s="137">
        <v>167000</v>
      </c>
      <c r="C333" s="137">
        <v>5600</v>
      </c>
      <c r="D333" s="137">
        <v>172600</v>
      </c>
      <c r="E333" s="140"/>
      <c r="F333" s="137">
        <v>100</v>
      </c>
      <c r="G333" s="137">
        <v>42400</v>
      </c>
      <c r="H333" s="140"/>
      <c r="I333" s="137">
        <v>130400</v>
      </c>
    </row>
    <row r="334" spans="1:9">
      <c r="A334" s="132">
        <v>1983</v>
      </c>
      <c r="B334" s="137">
        <v>172400</v>
      </c>
      <c r="C334" s="137">
        <v>5500</v>
      </c>
      <c r="D334" s="137">
        <v>177900</v>
      </c>
      <c r="E334" s="140"/>
      <c r="F334" s="137">
        <v>100</v>
      </c>
      <c r="G334" s="137">
        <v>41900</v>
      </c>
      <c r="H334" s="140"/>
      <c r="I334" s="137">
        <v>136100</v>
      </c>
    </row>
    <row r="335" spans="1:9">
      <c r="A335" s="132">
        <v>1984</v>
      </c>
      <c r="B335" s="137">
        <v>187200</v>
      </c>
      <c r="C335" s="137">
        <v>5800</v>
      </c>
      <c r="D335" s="137">
        <v>193000</v>
      </c>
      <c r="E335" s="140"/>
      <c r="F335" s="137">
        <v>100</v>
      </c>
      <c r="G335" s="137">
        <v>45300</v>
      </c>
      <c r="H335" s="140"/>
      <c r="I335" s="137">
        <v>147800</v>
      </c>
    </row>
    <row r="336" spans="1:9">
      <c r="A336" s="132">
        <v>1985</v>
      </c>
      <c r="B336" s="137">
        <v>189400</v>
      </c>
      <c r="C336" s="137">
        <v>5700</v>
      </c>
      <c r="D336" s="137">
        <v>195100</v>
      </c>
      <c r="E336" s="140"/>
      <c r="F336" s="137">
        <v>100</v>
      </c>
      <c r="G336" s="137">
        <v>46100</v>
      </c>
      <c r="H336" s="140"/>
      <c r="I336" s="137">
        <v>149100</v>
      </c>
    </row>
    <row r="337" spans="1:9">
      <c r="A337" s="132">
        <v>1986</v>
      </c>
      <c r="B337" s="137">
        <v>206800</v>
      </c>
      <c r="C337" s="137">
        <v>5800</v>
      </c>
      <c r="D337" s="137">
        <v>212600</v>
      </c>
      <c r="E337" s="140"/>
      <c r="F337" s="137">
        <v>100</v>
      </c>
      <c r="G337" s="137">
        <v>50000</v>
      </c>
      <c r="H337" s="140"/>
      <c r="I337" s="137">
        <v>162800</v>
      </c>
    </row>
    <row r="338" spans="1:9">
      <c r="A338" s="132">
        <v>1987</v>
      </c>
      <c r="B338" s="137">
        <v>205400</v>
      </c>
      <c r="C338" s="137">
        <v>5300</v>
      </c>
      <c r="D338" s="137">
        <v>210700</v>
      </c>
      <c r="E338" s="140"/>
      <c r="F338" s="137">
        <v>200</v>
      </c>
      <c r="G338" s="137">
        <v>54700</v>
      </c>
      <c r="H338" s="140"/>
      <c r="I338" s="137">
        <v>156200</v>
      </c>
    </row>
    <row r="339" spans="1:9">
      <c r="A339" s="132">
        <v>1988</v>
      </c>
      <c r="B339" s="137">
        <v>212300</v>
      </c>
      <c r="C339" s="137">
        <v>5200</v>
      </c>
      <c r="D339" s="137">
        <v>217500</v>
      </c>
      <c r="E339" s="140"/>
      <c r="F339" s="137">
        <v>100</v>
      </c>
      <c r="G339" s="137">
        <v>55400</v>
      </c>
      <c r="H339" s="140"/>
      <c r="I339" s="137">
        <v>162200</v>
      </c>
    </row>
    <row r="340" spans="1:9">
      <c r="A340" s="132">
        <v>1989</v>
      </c>
      <c r="B340" s="137">
        <v>216300</v>
      </c>
      <c r="C340" s="137">
        <v>5400</v>
      </c>
      <c r="D340" s="137">
        <v>221700</v>
      </c>
      <c r="E340" s="140"/>
      <c r="F340" s="137">
        <v>200</v>
      </c>
      <c r="G340" s="137">
        <v>56200</v>
      </c>
      <c r="H340" s="140"/>
      <c r="I340" s="137">
        <v>165700</v>
      </c>
    </row>
    <row r="341" spans="1:9">
      <c r="A341" s="132">
        <v>1990</v>
      </c>
      <c r="B341" s="137">
        <v>210000</v>
      </c>
      <c r="C341" s="137">
        <v>5600</v>
      </c>
      <c r="D341" s="137">
        <v>215600</v>
      </c>
      <c r="E341" s="140"/>
      <c r="F341" s="137">
        <v>200</v>
      </c>
      <c r="G341" s="137">
        <v>54400</v>
      </c>
      <c r="H341" s="140"/>
      <c r="I341" s="137">
        <v>161400</v>
      </c>
    </row>
    <row r="342" spans="1:9">
      <c r="A342" s="132">
        <v>1991</v>
      </c>
      <c r="B342" s="137">
        <v>206300</v>
      </c>
      <c r="C342" s="137">
        <v>5400</v>
      </c>
      <c r="D342" s="137">
        <v>211800</v>
      </c>
      <c r="E342" s="140"/>
      <c r="F342" s="137">
        <v>200</v>
      </c>
      <c r="G342" s="137">
        <v>54000</v>
      </c>
      <c r="H342" s="140"/>
      <c r="I342" s="137">
        <v>158000</v>
      </c>
    </row>
    <row r="343" spans="1:9">
      <c r="A343" s="132">
        <v>1992</v>
      </c>
      <c r="B343" s="137">
        <v>213200</v>
      </c>
      <c r="C343" s="137">
        <v>5700</v>
      </c>
      <c r="D343" s="137">
        <v>218800</v>
      </c>
      <c r="E343" s="140"/>
      <c r="F343" s="137">
        <v>200</v>
      </c>
      <c r="G343" s="137">
        <v>56000</v>
      </c>
      <c r="H343" s="140"/>
      <c r="I343" s="137">
        <v>163000</v>
      </c>
    </row>
    <row r="344" spans="1:9">
      <c r="A344" s="132">
        <v>1993</v>
      </c>
      <c r="B344" s="137">
        <v>214700</v>
      </c>
      <c r="C344" s="137">
        <v>6200</v>
      </c>
      <c r="D344" s="137">
        <v>220900</v>
      </c>
      <c r="E344" s="140"/>
      <c r="F344" s="137">
        <v>200</v>
      </c>
      <c r="G344" s="137">
        <v>58400</v>
      </c>
      <c r="H344" s="140"/>
      <c r="I344" s="137">
        <v>162600</v>
      </c>
    </row>
    <row r="345" spans="1:9">
      <c r="A345" s="132">
        <v>1994</v>
      </c>
      <c r="B345" s="137">
        <v>218700</v>
      </c>
      <c r="C345" s="137">
        <v>7700</v>
      </c>
      <c r="D345" s="137">
        <v>226500</v>
      </c>
      <c r="E345" s="140"/>
      <c r="F345" s="137">
        <v>300</v>
      </c>
      <c r="G345" s="137">
        <v>60500</v>
      </c>
      <c r="H345" s="140"/>
      <c r="I345" s="137">
        <v>166200</v>
      </c>
    </row>
    <row r="346" spans="1:9">
      <c r="A346" s="132">
        <v>1995</v>
      </c>
      <c r="B346" s="137">
        <v>231200</v>
      </c>
      <c r="C346" s="137">
        <v>7000</v>
      </c>
      <c r="D346" s="137">
        <v>238300</v>
      </c>
      <c r="E346" s="140"/>
      <c r="F346" s="137">
        <v>300</v>
      </c>
      <c r="G346" s="137">
        <v>64800</v>
      </c>
      <c r="H346" s="140"/>
      <c r="I346" s="137">
        <v>173700</v>
      </c>
    </row>
    <row r="347" spans="1:9">
      <c r="A347" s="132">
        <v>1996</v>
      </c>
      <c r="B347" s="137">
        <v>240400</v>
      </c>
      <c r="C347" s="137">
        <v>7600</v>
      </c>
      <c r="D347" s="137">
        <v>248000</v>
      </c>
      <c r="E347" s="140"/>
      <c r="F347" s="137">
        <v>200</v>
      </c>
      <c r="G347" s="137">
        <v>68000</v>
      </c>
      <c r="H347" s="140"/>
      <c r="I347" s="137">
        <v>180200</v>
      </c>
    </row>
    <row r="348" spans="1:9">
      <c r="A348" s="132">
        <v>1997</v>
      </c>
      <c r="B348" s="137">
        <v>256300</v>
      </c>
      <c r="C348" s="137">
        <v>8000</v>
      </c>
      <c r="D348" s="137">
        <v>264400</v>
      </c>
      <c r="E348" s="140"/>
      <c r="F348" s="137">
        <v>300</v>
      </c>
      <c r="G348" s="137">
        <v>72900</v>
      </c>
      <c r="H348" s="140"/>
      <c r="I348" s="137">
        <v>191800</v>
      </c>
    </row>
    <row r="349" spans="1:9">
      <c r="A349" s="132">
        <v>1998</v>
      </c>
      <c r="B349" s="137">
        <v>271600</v>
      </c>
      <c r="C349" s="137">
        <v>7600</v>
      </c>
      <c r="D349" s="137">
        <v>279200</v>
      </c>
      <c r="E349" s="140"/>
      <c r="F349" s="137">
        <v>300</v>
      </c>
      <c r="G349" s="137">
        <v>76500</v>
      </c>
      <c r="H349" s="140"/>
      <c r="I349" s="137">
        <v>203000</v>
      </c>
    </row>
    <row r="350" spans="1:9">
      <c r="A350" s="132">
        <v>1999</v>
      </c>
      <c r="B350" s="137">
        <v>285800</v>
      </c>
      <c r="C350" s="137">
        <v>6700</v>
      </c>
      <c r="D350" s="137">
        <v>292600</v>
      </c>
      <c r="E350" s="140"/>
      <c r="F350" s="137">
        <v>300</v>
      </c>
      <c r="G350" s="137">
        <v>81800</v>
      </c>
      <c r="H350" s="140"/>
      <c r="I350" s="137">
        <v>211000</v>
      </c>
    </row>
    <row r="351" spans="1:9">
      <c r="A351" s="132">
        <v>2000</v>
      </c>
      <c r="B351" s="137">
        <v>293800</v>
      </c>
      <c r="C351" s="137">
        <v>7700</v>
      </c>
      <c r="D351" s="137">
        <v>301500</v>
      </c>
      <c r="E351" s="140"/>
      <c r="F351" s="137">
        <v>300</v>
      </c>
      <c r="G351" s="137">
        <v>84300</v>
      </c>
      <c r="H351" s="140"/>
      <c r="I351" s="137">
        <v>217500</v>
      </c>
    </row>
    <row r="352" spans="1:9">
      <c r="A352" s="132">
        <v>2001</v>
      </c>
      <c r="B352" s="137">
        <v>277700</v>
      </c>
      <c r="C352" s="137">
        <v>6900</v>
      </c>
      <c r="D352" s="137">
        <v>284500</v>
      </c>
      <c r="E352" s="140"/>
      <c r="F352" s="137">
        <v>400</v>
      </c>
      <c r="G352" s="137">
        <v>76100</v>
      </c>
      <c r="H352" s="140"/>
      <c r="I352" s="137">
        <v>208800</v>
      </c>
    </row>
    <row r="353" spans="1:9">
      <c r="A353" s="132">
        <v>2002</v>
      </c>
      <c r="B353" s="137">
        <v>266400</v>
      </c>
      <c r="C353" s="137">
        <v>6700</v>
      </c>
      <c r="D353" s="137">
        <v>273200</v>
      </c>
      <c r="E353" s="140"/>
      <c r="F353" s="137">
        <v>300</v>
      </c>
      <c r="G353" s="137">
        <v>71300</v>
      </c>
      <c r="H353" s="140"/>
      <c r="I353" s="137">
        <v>202200</v>
      </c>
    </row>
    <row r="354" spans="1:9">
      <c r="A354" s="132">
        <v>2003</v>
      </c>
      <c r="B354" s="137">
        <v>275300</v>
      </c>
      <c r="C354" s="137">
        <v>7000</v>
      </c>
      <c r="D354" s="137">
        <v>282300</v>
      </c>
      <c r="E354" s="140"/>
      <c r="F354" s="137">
        <v>400</v>
      </c>
      <c r="G354" s="137">
        <v>70700</v>
      </c>
      <c r="H354" s="140"/>
      <c r="I354" s="137">
        <v>211900</v>
      </c>
    </row>
    <row r="355" spans="1:9">
      <c r="A355" s="132">
        <v>2004</v>
      </c>
      <c r="B355" s="137">
        <v>292800</v>
      </c>
      <c r="C355" s="137">
        <v>7000</v>
      </c>
      <c r="D355" s="137">
        <v>299700</v>
      </c>
      <c r="E355" s="140"/>
      <c r="F355" s="137">
        <v>400</v>
      </c>
      <c r="G355" s="137">
        <v>76100</v>
      </c>
      <c r="H355" s="140"/>
      <c r="I355" s="137">
        <v>224000</v>
      </c>
    </row>
    <row r="356" spans="1:9">
      <c r="A356" s="132">
        <v>2005</v>
      </c>
      <c r="B356" s="137">
        <v>315600</v>
      </c>
      <c r="C356" s="137">
        <v>7800</v>
      </c>
      <c r="D356" s="137">
        <v>323300</v>
      </c>
      <c r="E356" s="140"/>
      <c r="F356" s="137">
        <v>500</v>
      </c>
      <c r="G356" s="137">
        <v>83700</v>
      </c>
      <c r="H356" s="140"/>
      <c r="I356" s="137">
        <v>240100</v>
      </c>
    </row>
    <row r="357" spans="1:9">
      <c r="A357" s="132">
        <v>2006</v>
      </c>
      <c r="B357" s="137">
        <v>325000</v>
      </c>
      <c r="C357" s="137">
        <v>8600</v>
      </c>
      <c r="D357" s="137">
        <v>333600</v>
      </c>
      <c r="E357" s="140"/>
      <c r="F357" s="137">
        <v>400</v>
      </c>
      <c r="G357" s="137">
        <v>86500</v>
      </c>
      <c r="H357" s="140"/>
      <c r="I357" s="137">
        <v>247500</v>
      </c>
    </row>
    <row r="358" spans="1:9">
      <c r="A358" s="132">
        <v>2007</v>
      </c>
      <c r="B358" s="137">
        <v>335400</v>
      </c>
      <c r="C358" s="137">
        <v>9000</v>
      </c>
      <c r="D358" s="137">
        <v>344500</v>
      </c>
      <c r="E358" s="140"/>
      <c r="F358" s="137">
        <v>500</v>
      </c>
      <c r="G358" s="137">
        <v>87500</v>
      </c>
      <c r="H358" s="140"/>
      <c r="I358" s="137">
        <v>257500</v>
      </c>
    </row>
    <row r="359" spans="1:9">
      <c r="A359" s="132">
        <v>2008</v>
      </c>
      <c r="B359" s="137">
        <v>310700</v>
      </c>
      <c r="C359" s="137">
        <v>8100</v>
      </c>
      <c r="D359" s="137">
        <v>318800</v>
      </c>
      <c r="E359" s="140"/>
      <c r="F359" s="137">
        <v>500</v>
      </c>
      <c r="G359" s="137">
        <v>78600</v>
      </c>
      <c r="H359" s="140"/>
      <c r="I359" s="137">
        <v>240800</v>
      </c>
    </row>
    <row r="360" spans="1:9">
      <c r="A360" s="132">
        <v>2009</v>
      </c>
      <c r="B360" s="137">
        <v>290400</v>
      </c>
      <c r="C360" s="137">
        <v>9000</v>
      </c>
      <c r="D360" s="137">
        <v>299400</v>
      </c>
      <c r="E360" s="140"/>
      <c r="F360" s="137">
        <v>600</v>
      </c>
      <c r="G360" s="137">
        <v>72400</v>
      </c>
      <c r="H360" s="140"/>
      <c r="I360" s="137">
        <v>227600</v>
      </c>
    </row>
    <row r="361" spans="1:9">
      <c r="A361" s="132">
        <v>2010</v>
      </c>
      <c r="B361" s="137">
        <v>299400</v>
      </c>
      <c r="C361" s="137">
        <v>8600</v>
      </c>
      <c r="D361" s="137">
        <v>308000</v>
      </c>
      <c r="E361" s="140"/>
      <c r="F361" s="137">
        <v>500</v>
      </c>
      <c r="G361" s="137">
        <v>76400</v>
      </c>
      <c r="H361" s="140"/>
      <c r="I361" s="137">
        <v>232100</v>
      </c>
    </row>
    <row r="362" spans="1:9">
      <c r="A362" s="132">
        <v>2011</v>
      </c>
      <c r="B362" s="137">
        <v>306400</v>
      </c>
      <c r="C362" s="137">
        <v>8700</v>
      </c>
      <c r="D362" s="137">
        <v>315100</v>
      </c>
      <c r="E362" s="140"/>
      <c r="F362" s="137">
        <v>500</v>
      </c>
      <c r="G362" s="137">
        <v>76600</v>
      </c>
      <c r="H362" s="140"/>
      <c r="I362" s="137">
        <v>239000</v>
      </c>
    </row>
    <row r="363" spans="1:9">
      <c r="A363" s="132">
        <v>2012</v>
      </c>
      <c r="B363" s="137">
        <v>321100</v>
      </c>
      <c r="C363" s="137">
        <v>8800</v>
      </c>
      <c r="D363" s="137">
        <v>329900</v>
      </c>
      <c r="E363" s="140"/>
      <c r="F363" s="137">
        <v>400</v>
      </c>
      <c r="G363" s="137">
        <v>81800</v>
      </c>
      <c r="H363" s="140"/>
      <c r="I363" s="137">
        <v>248500</v>
      </c>
    </row>
    <row r="364" spans="1:9">
      <c r="A364" s="132">
        <v>2013</v>
      </c>
      <c r="B364" s="137">
        <v>324000</v>
      </c>
      <c r="C364" s="137">
        <v>9700</v>
      </c>
      <c r="D364" s="137">
        <v>333700</v>
      </c>
      <c r="E364" s="140"/>
      <c r="F364" s="137">
        <v>400</v>
      </c>
      <c r="G364" s="137">
        <v>87800</v>
      </c>
      <c r="H364" s="140"/>
      <c r="I364" s="137">
        <v>246300</v>
      </c>
    </row>
    <row r="365" spans="1:9">
      <c r="A365" s="132">
        <v>2014</v>
      </c>
      <c r="B365" s="137">
        <v>336400</v>
      </c>
      <c r="C365" s="137">
        <v>10200</v>
      </c>
      <c r="D365" s="137">
        <v>346600</v>
      </c>
      <c r="E365" s="140"/>
      <c r="F365" s="137">
        <v>600</v>
      </c>
      <c r="G365" s="137">
        <v>92600</v>
      </c>
      <c r="H365" s="140"/>
      <c r="I365" s="137">
        <v>254600</v>
      </c>
    </row>
    <row r="366" spans="1:9">
      <c r="A366" s="132">
        <v>2015</v>
      </c>
      <c r="B366" s="137">
        <v>349600</v>
      </c>
      <c r="C366" s="137">
        <v>10200</v>
      </c>
      <c r="D366" s="137">
        <v>359700</v>
      </c>
      <c r="E366" s="140"/>
      <c r="F366" s="137">
        <v>800</v>
      </c>
      <c r="G366" s="137">
        <v>96200</v>
      </c>
      <c r="H366" s="140"/>
      <c r="I366" s="137">
        <v>264300</v>
      </c>
    </row>
    <row r="367" spans="1:9">
      <c r="A367" s="132">
        <v>2016</v>
      </c>
      <c r="B367" s="137">
        <v>349300</v>
      </c>
      <c r="C367" s="137">
        <v>10300</v>
      </c>
      <c r="D367" s="137">
        <v>359500</v>
      </c>
      <c r="E367" s="140"/>
      <c r="F367" s="137">
        <v>800</v>
      </c>
      <c r="G367" s="137">
        <v>96300</v>
      </c>
      <c r="H367" s="140"/>
      <c r="I367" s="137">
        <v>264100</v>
      </c>
    </row>
    <row r="368" spans="1:9">
      <c r="A368" s="132"/>
      <c r="B368" s="137"/>
      <c r="C368" s="137"/>
      <c r="D368" s="137"/>
      <c r="E368" s="140"/>
      <c r="F368" s="137"/>
      <c r="G368" s="137"/>
      <c r="H368" s="140"/>
      <c r="I368" s="137"/>
    </row>
    <row r="369" spans="1:9">
      <c r="A369" s="132"/>
      <c r="B369" s="774" t="s">
        <v>13</v>
      </c>
      <c r="C369" s="774"/>
      <c r="D369" s="774"/>
      <c r="E369" s="774"/>
      <c r="F369" s="774"/>
      <c r="G369" s="774"/>
      <c r="H369" s="774"/>
      <c r="I369" s="774"/>
    </row>
    <row r="370" spans="1:9">
      <c r="A370" s="132">
        <v>1979</v>
      </c>
      <c r="B370" s="137">
        <v>557700</v>
      </c>
      <c r="C370" s="137">
        <v>5600</v>
      </c>
      <c r="D370" s="137">
        <v>563200</v>
      </c>
      <c r="E370" s="140"/>
      <c r="F370" s="137">
        <v>200</v>
      </c>
      <c r="G370" s="137">
        <v>197500</v>
      </c>
      <c r="H370" s="140"/>
      <c r="I370" s="137">
        <v>365900</v>
      </c>
    </row>
    <row r="371" spans="1:9">
      <c r="A371" s="132">
        <v>1980</v>
      </c>
      <c r="B371" s="137">
        <v>534600</v>
      </c>
      <c r="C371" s="137">
        <v>5600</v>
      </c>
      <c r="D371" s="137">
        <v>540300</v>
      </c>
      <c r="E371" s="140"/>
      <c r="F371" s="137">
        <v>200</v>
      </c>
      <c r="G371" s="137">
        <v>178600</v>
      </c>
      <c r="H371" s="140"/>
      <c r="I371" s="137">
        <v>361800</v>
      </c>
    </row>
    <row r="372" spans="1:9">
      <c r="A372" s="132">
        <v>1981</v>
      </c>
      <c r="B372" s="137">
        <v>531800</v>
      </c>
      <c r="C372" s="137">
        <v>6100</v>
      </c>
      <c r="D372" s="137">
        <v>537900</v>
      </c>
      <c r="E372" s="140"/>
      <c r="F372" s="137">
        <v>200</v>
      </c>
      <c r="G372" s="137">
        <v>164000</v>
      </c>
      <c r="H372" s="140"/>
      <c r="I372" s="137">
        <v>374100</v>
      </c>
    </row>
    <row r="373" spans="1:9">
      <c r="A373" s="132">
        <v>1982</v>
      </c>
      <c r="B373" s="137">
        <v>559700</v>
      </c>
      <c r="C373" s="137">
        <v>7100</v>
      </c>
      <c r="D373" s="137">
        <v>566800</v>
      </c>
      <c r="E373" s="140"/>
      <c r="F373" s="137">
        <v>200</v>
      </c>
      <c r="G373" s="137">
        <v>151700</v>
      </c>
      <c r="H373" s="140"/>
      <c r="I373" s="137">
        <v>415200</v>
      </c>
    </row>
    <row r="374" spans="1:9">
      <c r="A374" s="132">
        <v>1983</v>
      </c>
      <c r="B374" s="137">
        <v>614300</v>
      </c>
      <c r="C374" s="137">
        <v>7100</v>
      </c>
      <c r="D374" s="137">
        <v>621400</v>
      </c>
      <c r="E374" s="140"/>
      <c r="F374" s="137">
        <v>200</v>
      </c>
      <c r="G374" s="137">
        <v>166400</v>
      </c>
      <c r="H374" s="140"/>
      <c r="I374" s="137">
        <v>455200</v>
      </c>
    </row>
    <row r="375" spans="1:9">
      <c r="A375" s="132">
        <v>1984</v>
      </c>
      <c r="B375" s="137">
        <v>679500</v>
      </c>
      <c r="C375" s="137">
        <v>7700</v>
      </c>
      <c r="D375" s="137">
        <v>687200</v>
      </c>
      <c r="E375" s="140"/>
      <c r="F375" s="137">
        <v>200</v>
      </c>
      <c r="G375" s="137">
        <v>185800</v>
      </c>
      <c r="H375" s="140"/>
      <c r="I375" s="137">
        <v>501600</v>
      </c>
    </row>
    <row r="376" spans="1:9">
      <c r="A376" s="132">
        <v>1985</v>
      </c>
      <c r="B376" s="137">
        <v>728600</v>
      </c>
      <c r="C376" s="137">
        <v>7600</v>
      </c>
      <c r="D376" s="137">
        <v>736100</v>
      </c>
      <c r="E376" s="140"/>
      <c r="F376" s="137">
        <v>200</v>
      </c>
      <c r="G376" s="137">
        <v>191800</v>
      </c>
      <c r="H376" s="140"/>
      <c r="I376" s="137">
        <v>544500</v>
      </c>
    </row>
    <row r="377" spans="1:9">
      <c r="A377" s="132">
        <v>1986</v>
      </c>
      <c r="B377" s="137">
        <v>956300</v>
      </c>
      <c r="C377" s="137">
        <v>8000</v>
      </c>
      <c r="D377" s="137">
        <v>964300</v>
      </c>
      <c r="E377" s="140"/>
      <c r="F377" s="137">
        <v>200</v>
      </c>
      <c r="G377" s="137">
        <v>237800</v>
      </c>
      <c r="H377" s="140"/>
      <c r="I377" s="137">
        <v>726700</v>
      </c>
    </row>
    <row r="378" spans="1:9">
      <c r="A378" s="132">
        <v>1987</v>
      </c>
      <c r="B378" s="137">
        <v>766400</v>
      </c>
      <c r="C378" s="137">
        <v>6400</v>
      </c>
      <c r="D378" s="137">
        <v>772800</v>
      </c>
      <c r="E378" s="140"/>
      <c r="F378" s="137">
        <v>200</v>
      </c>
      <c r="G378" s="137">
        <v>232200</v>
      </c>
      <c r="H378" s="140"/>
      <c r="I378" s="137">
        <v>540800</v>
      </c>
    </row>
    <row r="379" spans="1:9">
      <c r="A379" s="132">
        <v>1988</v>
      </c>
      <c r="B379" s="137">
        <v>961500</v>
      </c>
      <c r="C379" s="137">
        <v>6600</v>
      </c>
      <c r="D379" s="137">
        <v>968100</v>
      </c>
      <c r="E379" s="140"/>
      <c r="F379" s="137">
        <v>200</v>
      </c>
      <c r="G379" s="137">
        <v>277100</v>
      </c>
      <c r="H379" s="140"/>
      <c r="I379" s="137">
        <v>691200</v>
      </c>
    </row>
    <row r="380" spans="1:9">
      <c r="A380" s="132">
        <v>1989</v>
      </c>
      <c r="B380" s="137">
        <v>894500</v>
      </c>
      <c r="C380" s="137">
        <v>6300</v>
      </c>
      <c r="D380" s="137">
        <v>900900</v>
      </c>
      <c r="E380" s="140"/>
      <c r="F380" s="137">
        <v>200</v>
      </c>
      <c r="G380" s="137">
        <v>251400</v>
      </c>
      <c r="H380" s="140"/>
      <c r="I380" s="137">
        <v>649700</v>
      </c>
    </row>
    <row r="381" spans="1:9">
      <c r="A381" s="132">
        <v>1990</v>
      </c>
      <c r="B381" s="137">
        <v>864600</v>
      </c>
      <c r="C381" s="137">
        <v>7200</v>
      </c>
      <c r="D381" s="137">
        <v>871800</v>
      </c>
      <c r="E381" s="140"/>
      <c r="F381" s="137">
        <v>200</v>
      </c>
      <c r="G381" s="137">
        <v>241900</v>
      </c>
      <c r="H381" s="140"/>
      <c r="I381" s="137">
        <v>630100</v>
      </c>
    </row>
    <row r="382" spans="1:9">
      <c r="A382" s="132">
        <v>1991</v>
      </c>
      <c r="B382" s="137">
        <v>777400</v>
      </c>
      <c r="C382" s="137">
        <v>6900</v>
      </c>
      <c r="D382" s="137">
        <v>784300</v>
      </c>
      <c r="E382" s="140"/>
      <c r="F382" s="137">
        <v>300</v>
      </c>
      <c r="G382" s="137">
        <v>226900</v>
      </c>
      <c r="H382" s="140"/>
      <c r="I382" s="137">
        <v>557700</v>
      </c>
    </row>
    <row r="383" spans="1:9">
      <c r="A383" s="132">
        <v>1992</v>
      </c>
      <c r="B383" s="137">
        <v>877300</v>
      </c>
      <c r="C383" s="137">
        <v>7000</v>
      </c>
      <c r="D383" s="137">
        <v>884300</v>
      </c>
      <c r="E383" s="140"/>
      <c r="F383" s="137">
        <v>200</v>
      </c>
      <c r="G383" s="137">
        <v>261900</v>
      </c>
      <c r="H383" s="140"/>
      <c r="I383" s="137">
        <v>622700</v>
      </c>
    </row>
    <row r="384" spans="1:9">
      <c r="A384" s="132">
        <v>1993</v>
      </c>
      <c r="B384" s="137">
        <v>842700</v>
      </c>
      <c r="C384" s="137">
        <v>7300</v>
      </c>
      <c r="D384" s="137">
        <v>850000</v>
      </c>
      <c r="E384" s="140"/>
      <c r="F384" s="137">
        <v>300</v>
      </c>
      <c r="G384" s="137">
        <v>282200</v>
      </c>
      <c r="H384" s="140"/>
      <c r="I384" s="137">
        <v>568100</v>
      </c>
    </row>
    <row r="385" spans="1:9">
      <c r="A385" s="132">
        <v>1994</v>
      </c>
      <c r="B385" s="137">
        <v>868200</v>
      </c>
      <c r="C385" s="137">
        <v>7700</v>
      </c>
      <c r="D385" s="137">
        <v>875900</v>
      </c>
      <c r="E385" s="140"/>
      <c r="F385" s="137">
        <v>300</v>
      </c>
      <c r="G385" s="137">
        <v>301700</v>
      </c>
      <c r="H385" s="140"/>
      <c r="I385" s="137">
        <v>574600</v>
      </c>
    </row>
    <row r="386" spans="1:9">
      <c r="A386" s="132">
        <v>1995</v>
      </c>
      <c r="B386" s="137">
        <v>965000</v>
      </c>
      <c r="C386" s="137">
        <v>7500</v>
      </c>
      <c r="D386" s="137">
        <v>972400</v>
      </c>
      <c r="E386" s="140"/>
      <c r="F386" s="137">
        <v>400</v>
      </c>
      <c r="G386" s="137">
        <v>339200</v>
      </c>
      <c r="H386" s="140"/>
      <c r="I386" s="137">
        <v>633700</v>
      </c>
    </row>
    <row r="387" spans="1:9">
      <c r="A387" s="132">
        <v>1996</v>
      </c>
      <c r="B387" s="137">
        <v>1070200</v>
      </c>
      <c r="C387" s="137">
        <v>7300</v>
      </c>
      <c r="D387" s="137">
        <v>1077400</v>
      </c>
      <c r="E387" s="140"/>
      <c r="F387" s="137">
        <v>300</v>
      </c>
      <c r="G387" s="137">
        <v>375300</v>
      </c>
      <c r="H387" s="140"/>
      <c r="I387" s="137">
        <v>702400</v>
      </c>
    </row>
    <row r="388" spans="1:9">
      <c r="A388" s="132">
        <v>1997</v>
      </c>
      <c r="B388" s="137">
        <v>1236100</v>
      </c>
      <c r="C388" s="137">
        <v>8000</v>
      </c>
      <c r="D388" s="137">
        <v>1244100</v>
      </c>
      <c r="E388" s="140"/>
      <c r="F388" s="137">
        <v>200</v>
      </c>
      <c r="G388" s="137">
        <v>420500</v>
      </c>
      <c r="H388" s="140"/>
      <c r="I388" s="137">
        <v>823800</v>
      </c>
    </row>
    <row r="389" spans="1:9">
      <c r="A389" s="132">
        <v>1998</v>
      </c>
      <c r="B389" s="137">
        <v>1405700</v>
      </c>
      <c r="C389" s="137">
        <v>7400</v>
      </c>
      <c r="D389" s="137">
        <v>1413000</v>
      </c>
      <c r="E389" s="140"/>
      <c r="F389" s="137">
        <v>300</v>
      </c>
      <c r="G389" s="137">
        <v>458200</v>
      </c>
      <c r="H389" s="140"/>
      <c r="I389" s="137">
        <v>955200</v>
      </c>
    </row>
    <row r="390" spans="1:9">
      <c r="A390" s="132">
        <v>1999</v>
      </c>
      <c r="B390" s="137">
        <v>1535000</v>
      </c>
      <c r="C390" s="137">
        <v>7200</v>
      </c>
      <c r="D390" s="137">
        <v>1542200</v>
      </c>
      <c r="E390" s="140"/>
      <c r="F390" s="137">
        <v>300</v>
      </c>
      <c r="G390" s="137">
        <v>503100</v>
      </c>
      <c r="H390" s="140"/>
      <c r="I390" s="137">
        <v>1039400</v>
      </c>
    </row>
    <row r="391" spans="1:9">
      <c r="A391" s="132">
        <v>2000</v>
      </c>
      <c r="B391" s="137">
        <v>1687300</v>
      </c>
      <c r="C391" s="137">
        <v>7900</v>
      </c>
      <c r="D391" s="137">
        <v>1695200</v>
      </c>
      <c r="E391" s="140"/>
      <c r="F391" s="137">
        <v>400</v>
      </c>
      <c r="G391" s="137">
        <v>547200</v>
      </c>
      <c r="H391" s="140"/>
      <c r="I391" s="137">
        <v>1148400</v>
      </c>
    </row>
    <row r="392" spans="1:9">
      <c r="A392" s="132">
        <v>2001</v>
      </c>
      <c r="B392" s="137">
        <v>1348200</v>
      </c>
      <c r="C392" s="137">
        <v>7000</v>
      </c>
      <c r="D392" s="137">
        <v>1355200</v>
      </c>
      <c r="E392" s="140"/>
      <c r="F392" s="137">
        <v>400</v>
      </c>
      <c r="G392" s="137">
        <v>434100</v>
      </c>
      <c r="H392" s="140"/>
      <c r="I392" s="137">
        <v>921500</v>
      </c>
    </row>
    <row r="393" spans="1:9">
      <c r="A393" s="132">
        <v>2002</v>
      </c>
      <c r="B393" s="137">
        <v>1193400</v>
      </c>
      <c r="C393" s="137">
        <v>7500</v>
      </c>
      <c r="D393" s="137">
        <v>1200900</v>
      </c>
      <c r="E393" s="140"/>
      <c r="F393" s="137">
        <v>500</v>
      </c>
      <c r="G393" s="137">
        <v>383300</v>
      </c>
      <c r="H393" s="140"/>
      <c r="I393" s="137">
        <v>818100</v>
      </c>
    </row>
    <row r="394" spans="1:9">
      <c r="A394" s="132">
        <v>2003</v>
      </c>
      <c r="B394" s="137">
        <v>1270800</v>
      </c>
      <c r="C394" s="137">
        <v>7600</v>
      </c>
      <c r="D394" s="137">
        <v>1278400</v>
      </c>
      <c r="E394" s="140"/>
      <c r="F394" s="137">
        <v>400</v>
      </c>
      <c r="G394" s="137">
        <v>387600</v>
      </c>
      <c r="H394" s="140"/>
      <c r="I394" s="137">
        <v>891200</v>
      </c>
    </row>
    <row r="395" spans="1:9">
      <c r="A395" s="132">
        <v>2004</v>
      </c>
      <c r="B395" s="137">
        <v>1516400</v>
      </c>
      <c r="C395" s="137">
        <v>8100</v>
      </c>
      <c r="D395" s="137">
        <v>1524500</v>
      </c>
      <c r="E395" s="140"/>
      <c r="F395" s="137">
        <v>400</v>
      </c>
      <c r="G395" s="137">
        <v>456900</v>
      </c>
      <c r="H395" s="140"/>
      <c r="I395" s="137">
        <v>1068000</v>
      </c>
    </row>
    <row r="396" spans="1:9">
      <c r="A396" s="132">
        <v>2005</v>
      </c>
      <c r="B396" s="137">
        <v>1833000</v>
      </c>
      <c r="C396" s="137">
        <v>9000</v>
      </c>
      <c r="D396" s="137">
        <v>1842000</v>
      </c>
      <c r="E396" s="140"/>
      <c r="F396" s="137">
        <v>400</v>
      </c>
      <c r="G396" s="137">
        <v>556000</v>
      </c>
      <c r="H396" s="140"/>
      <c r="I396" s="137">
        <v>1286500</v>
      </c>
    </row>
    <row r="397" spans="1:9">
      <c r="A397" s="132">
        <v>2006</v>
      </c>
      <c r="B397" s="137">
        <v>1983900</v>
      </c>
      <c r="C397" s="137">
        <v>9300</v>
      </c>
      <c r="D397" s="137">
        <v>1993200</v>
      </c>
      <c r="E397" s="140"/>
      <c r="F397" s="137">
        <v>500</v>
      </c>
      <c r="G397" s="137">
        <v>594300</v>
      </c>
      <c r="H397" s="140"/>
      <c r="I397" s="137">
        <v>1399400</v>
      </c>
    </row>
    <row r="398" spans="1:9">
      <c r="A398" s="132">
        <v>2007</v>
      </c>
      <c r="B398" s="137">
        <v>2090800</v>
      </c>
      <c r="C398" s="137">
        <v>9000</v>
      </c>
      <c r="D398" s="137">
        <v>2099900</v>
      </c>
      <c r="E398" s="140"/>
      <c r="F398" s="137">
        <v>500</v>
      </c>
      <c r="G398" s="137">
        <v>592700</v>
      </c>
      <c r="H398" s="140"/>
      <c r="I398" s="137">
        <v>1507600</v>
      </c>
    </row>
    <row r="399" spans="1:9">
      <c r="A399" s="132">
        <v>2008</v>
      </c>
      <c r="B399" s="137">
        <v>1706400</v>
      </c>
      <c r="C399" s="137">
        <v>8700</v>
      </c>
      <c r="D399" s="137">
        <v>1715100</v>
      </c>
      <c r="E399" s="140"/>
      <c r="F399" s="137">
        <v>600</v>
      </c>
      <c r="G399" s="137">
        <v>481100</v>
      </c>
      <c r="H399" s="140"/>
      <c r="I399" s="137">
        <v>1234600</v>
      </c>
    </row>
    <row r="400" spans="1:9">
      <c r="A400" s="132">
        <v>2009</v>
      </c>
      <c r="B400" s="137">
        <v>1329200</v>
      </c>
      <c r="C400" s="137">
        <v>9400</v>
      </c>
      <c r="D400" s="137">
        <v>1338600</v>
      </c>
      <c r="E400" s="140"/>
      <c r="F400" s="137">
        <v>600</v>
      </c>
      <c r="G400" s="137">
        <v>384800</v>
      </c>
      <c r="H400" s="140"/>
      <c r="I400" s="137">
        <v>954400</v>
      </c>
    </row>
    <row r="401" spans="1:9">
      <c r="A401" s="132">
        <v>2010</v>
      </c>
      <c r="B401" s="137">
        <v>1527800</v>
      </c>
      <c r="C401" s="137">
        <v>9100</v>
      </c>
      <c r="D401" s="137">
        <v>1536900</v>
      </c>
      <c r="E401" s="140"/>
      <c r="F401" s="137">
        <v>800</v>
      </c>
      <c r="G401" s="137">
        <v>449500</v>
      </c>
      <c r="H401" s="140"/>
      <c r="I401" s="137">
        <v>1088100</v>
      </c>
    </row>
    <row r="402" spans="1:9">
      <c r="A402" s="132">
        <v>2011</v>
      </c>
      <c r="B402" s="137">
        <v>1527800</v>
      </c>
      <c r="C402" s="137">
        <v>8800</v>
      </c>
      <c r="D402" s="137">
        <v>1536600</v>
      </c>
      <c r="E402" s="140"/>
      <c r="F402" s="137">
        <v>800</v>
      </c>
      <c r="G402" s="137">
        <v>446100</v>
      </c>
      <c r="H402" s="140"/>
      <c r="I402" s="137">
        <v>1091300</v>
      </c>
    </row>
    <row r="403" spans="1:9">
      <c r="A403" s="132">
        <v>2012</v>
      </c>
      <c r="B403" s="137">
        <v>1888100</v>
      </c>
      <c r="C403" s="137">
        <v>9700</v>
      </c>
      <c r="D403" s="137">
        <v>1897800</v>
      </c>
      <c r="E403" s="140"/>
      <c r="F403" s="137">
        <v>700</v>
      </c>
      <c r="G403" s="137">
        <v>541800</v>
      </c>
      <c r="H403" s="140"/>
      <c r="I403" s="137">
        <v>1356600</v>
      </c>
    </row>
    <row r="404" spans="1:9">
      <c r="A404" s="132">
        <v>2013</v>
      </c>
      <c r="B404" s="137">
        <v>1587500</v>
      </c>
      <c r="C404" s="137">
        <v>9700</v>
      </c>
      <c r="D404" s="137">
        <v>1597200</v>
      </c>
      <c r="E404" s="140"/>
      <c r="F404" s="137">
        <v>700</v>
      </c>
      <c r="G404" s="137">
        <v>537400</v>
      </c>
      <c r="H404" s="140"/>
      <c r="I404" s="137">
        <v>1060500</v>
      </c>
    </row>
    <row r="405" spans="1:9">
      <c r="A405" s="132">
        <v>2014</v>
      </c>
      <c r="B405" s="137">
        <v>1787900</v>
      </c>
      <c r="C405" s="137">
        <v>9500</v>
      </c>
      <c r="D405" s="137">
        <v>1797400</v>
      </c>
      <c r="E405" s="140"/>
      <c r="F405" s="137">
        <v>900</v>
      </c>
      <c r="G405" s="137">
        <v>604300</v>
      </c>
      <c r="H405" s="140"/>
      <c r="I405" s="137">
        <v>1194100</v>
      </c>
    </row>
    <row r="406" spans="1:9">
      <c r="A406" s="132">
        <v>2015</v>
      </c>
      <c r="B406" s="137">
        <v>1866100</v>
      </c>
      <c r="C406" s="137">
        <v>10400</v>
      </c>
      <c r="D406" s="137">
        <v>1876500</v>
      </c>
      <c r="E406" s="140"/>
      <c r="F406" s="137">
        <v>1000</v>
      </c>
      <c r="G406" s="137">
        <v>625700</v>
      </c>
      <c r="H406" s="140"/>
      <c r="I406" s="137">
        <v>1251800</v>
      </c>
    </row>
    <row r="407" spans="1:9">
      <c r="A407" s="132">
        <v>2016</v>
      </c>
      <c r="B407" s="137">
        <v>1779200</v>
      </c>
      <c r="C407" s="137">
        <v>9600</v>
      </c>
      <c r="D407" s="137">
        <v>1788800</v>
      </c>
      <c r="E407" s="140"/>
      <c r="F407" s="137">
        <v>1000</v>
      </c>
      <c r="G407" s="137">
        <v>595900</v>
      </c>
      <c r="H407" s="140"/>
      <c r="I407" s="137">
        <v>1193900</v>
      </c>
    </row>
    <row r="408" spans="1:9">
      <c r="A408" s="134"/>
      <c r="B408" s="134"/>
      <c r="C408" s="134"/>
      <c r="D408" s="134"/>
      <c r="E408" s="134"/>
      <c r="F408" s="134"/>
      <c r="G408" s="134"/>
      <c r="H408" s="134"/>
      <c r="I408" s="134"/>
    </row>
    <row r="409" spans="1:9">
      <c r="A409" s="135" t="s">
        <v>14</v>
      </c>
      <c r="B409" s="137"/>
      <c r="C409" s="137"/>
      <c r="D409" s="137"/>
      <c r="E409" s="140"/>
      <c r="F409" s="137"/>
      <c r="G409" s="137"/>
      <c r="H409" s="140"/>
      <c r="I409" s="137"/>
    </row>
    <row r="410" spans="1:9">
      <c r="A410" s="132"/>
      <c r="B410" s="137"/>
      <c r="C410" s="137"/>
      <c r="D410" s="137"/>
      <c r="E410" s="140"/>
      <c r="F410" s="137"/>
      <c r="G410" s="137"/>
      <c r="H410" s="140"/>
      <c r="I410" s="137"/>
    </row>
    <row r="411" spans="1:9">
      <c r="A411" s="134"/>
      <c r="B411" s="134"/>
      <c r="C411" s="134"/>
      <c r="D411" s="134"/>
      <c r="E411" s="134"/>
      <c r="F411" s="134"/>
      <c r="G411" s="134"/>
      <c r="H411" s="134"/>
      <c r="I411" s="134"/>
    </row>
    <row r="412" spans="1:9">
      <c r="A412" s="132"/>
      <c r="B412" s="137"/>
      <c r="C412" s="137"/>
      <c r="D412" s="137"/>
      <c r="E412" s="140"/>
      <c r="F412" s="137"/>
      <c r="G412" s="137"/>
      <c r="H412" s="140"/>
      <c r="I412" s="137"/>
    </row>
    <row r="413" spans="1:9">
      <c r="A413" s="772" t="s">
        <v>2</v>
      </c>
      <c r="B413" s="772"/>
      <c r="C413" s="772"/>
      <c r="D413" s="137"/>
      <c r="E413" s="140"/>
      <c r="F413" s="137"/>
      <c r="G413" s="137"/>
      <c r="H413" s="140"/>
      <c r="I413" s="137"/>
    </row>
    <row r="414" spans="1:9">
      <c r="A414" s="132"/>
      <c r="B414" s="137"/>
      <c r="C414" s="137"/>
      <c r="D414" s="137"/>
      <c r="E414" s="140"/>
      <c r="F414" s="137"/>
      <c r="G414" s="137"/>
      <c r="H414" s="140"/>
      <c r="I414" s="137"/>
    </row>
    <row r="415" spans="1:9">
      <c r="A415" s="132"/>
      <c r="B415" s="137"/>
      <c r="C415" s="137"/>
      <c r="D415" s="137"/>
      <c r="E415" s="140"/>
      <c r="F415" s="137"/>
      <c r="G415" s="137"/>
      <c r="H415" s="140"/>
      <c r="I415" s="137"/>
    </row>
  </sheetData>
  <mergeCells count="13">
    <mergeCell ref="A413:C413"/>
    <mergeCell ref="A1:K1"/>
    <mergeCell ref="B169:I169"/>
    <mergeCell ref="B209:I209"/>
    <mergeCell ref="B249:I249"/>
    <mergeCell ref="B289:I289"/>
    <mergeCell ref="B329:I329"/>
    <mergeCell ref="B369:I369"/>
    <mergeCell ref="A2:D2"/>
    <mergeCell ref="B9:I9"/>
    <mergeCell ref="B49:I49"/>
    <mergeCell ref="B89:I89"/>
    <mergeCell ref="B129:I129"/>
  </mergeCells>
  <hyperlinks>
    <hyperlink ref="A2" r:id="rId1" xr:uid="{1BD4EEF8-AB55-4640-8E1C-97C7DD23B919}"/>
    <hyperlink ref="A413" location="'Contents and Notes'!A1" display="Return to Contents and Notes" xr:uid="{909F2DD5-2632-4F36-8901-7567D4194347}"/>
    <hyperlink ref="L1" location="Index!A1" display="index" xr:uid="{798A0D6B-E176-4D30-A2FC-E091F5781F4D}"/>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E3817-D413-49A1-BB6C-695556CE70C8}">
  <sheetPr>
    <tabColor theme="5" tint="0.79998168889431442"/>
  </sheetPr>
  <dimension ref="A1:K75"/>
  <sheetViews>
    <sheetView zoomScale="85" zoomScaleNormal="85" workbookViewId="0">
      <selection activeCell="J1" sqref="J1"/>
    </sheetView>
  </sheetViews>
  <sheetFormatPr defaultRowHeight="15"/>
  <cols>
    <col min="1" max="1" width="9.140625" style="608"/>
    <col min="2" max="2" width="11.5703125" style="608" customWidth="1"/>
    <col min="3" max="4" width="9.140625" style="608"/>
    <col min="5" max="5" width="13" style="608" customWidth="1"/>
    <col min="6" max="7" width="11" style="608" customWidth="1"/>
    <col min="8" max="14" width="9.140625" style="608"/>
    <col min="15" max="15" width="14.85546875" style="608" customWidth="1"/>
    <col min="16" max="16384" width="9.140625" style="608"/>
  </cols>
  <sheetData>
    <row r="1" spans="1:11">
      <c r="A1" s="556" t="s">
        <v>497</v>
      </c>
      <c r="B1" s="556"/>
      <c r="C1" s="556"/>
      <c r="D1" s="556"/>
      <c r="E1" s="556"/>
      <c r="F1" s="556"/>
      <c r="G1" s="556"/>
      <c r="H1" s="556"/>
      <c r="I1" s="556"/>
      <c r="J1" s="641" t="s">
        <v>762</v>
      </c>
      <c r="K1" s="556"/>
    </row>
    <row r="2" spans="1:11">
      <c r="A2" s="494" t="s">
        <v>498</v>
      </c>
      <c r="B2" s="556"/>
      <c r="C2" s="556"/>
      <c r="D2" s="556"/>
      <c r="E2" s="556"/>
      <c r="F2" s="556"/>
      <c r="G2" s="556"/>
      <c r="H2" s="556"/>
      <c r="I2" s="556"/>
      <c r="J2" s="556"/>
      <c r="K2" s="556"/>
    </row>
    <row r="3" spans="1:11" ht="15.75" customHeight="1">
      <c r="A3" s="494"/>
      <c r="B3" s="556"/>
      <c r="C3" s="556"/>
      <c r="D3" s="556"/>
      <c r="E3" s="556"/>
      <c r="F3" s="556"/>
      <c r="G3" s="556"/>
      <c r="H3" s="556"/>
      <c r="I3" s="556"/>
      <c r="J3" s="556"/>
      <c r="K3" s="556"/>
    </row>
    <row r="4" spans="1:11" ht="15.75" customHeight="1">
      <c r="A4" s="494"/>
      <c r="B4" s="556"/>
      <c r="C4" s="556"/>
      <c r="D4" s="556"/>
      <c r="E4" s="556"/>
      <c r="F4" s="556"/>
      <c r="G4" s="556"/>
      <c r="H4" s="556"/>
      <c r="I4" s="556"/>
      <c r="J4" s="556"/>
      <c r="K4" s="556"/>
    </row>
    <row r="5" spans="1:11" ht="15.75" customHeight="1">
      <c r="A5" s="192" t="s">
        <v>499</v>
      </c>
      <c r="B5" s="191"/>
      <c r="C5" s="191"/>
      <c r="D5" s="191"/>
      <c r="E5" s="191"/>
      <c r="F5" s="191"/>
      <c r="G5" s="191"/>
      <c r="H5" s="556"/>
      <c r="I5" s="191" t="s">
        <v>151</v>
      </c>
      <c r="J5" s="191"/>
      <c r="K5" s="4"/>
    </row>
    <row r="6" spans="1:11">
      <c r="A6" s="556"/>
      <c r="B6" s="556"/>
      <c r="C6" s="782" t="s">
        <v>141</v>
      </c>
      <c r="D6" s="782"/>
      <c r="E6" s="481" t="s">
        <v>501</v>
      </c>
      <c r="F6" s="724" t="s">
        <v>144</v>
      </c>
      <c r="G6" s="724"/>
      <c r="H6" s="9"/>
      <c r="I6" s="556"/>
      <c r="J6" s="295" t="s">
        <v>145</v>
      </c>
      <c r="K6" s="475"/>
    </row>
    <row r="7" spans="1:11">
      <c r="A7" s="191"/>
      <c r="B7" s="191"/>
      <c r="C7" s="199"/>
      <c r="D7" s="199"/>
      <c r="E7" s="492" t="s">
        <v>142</v>
      </c>
      <c r="F7" s="492" t="s">
        <v>147</v>
      </c>
      <c r="G7" s="492" t="s">
        <v>148</v>
      </c>
      <c r="H7" s="556"/>
      <c r="I7" s="191"/>
      <c r="J7" s="224"/>
      <c r="K7" s="229"/>
    </row>
    <row r="8" spans="1:11">
      <c r="A8" s="556" t="s">
        <v>130</v>
      </c>
      <c r="B8" s="556"/>
      <c r="C8" s="108"/>
      <c r="D8" s="477"/>
      <c r="E8" s="3">
        <v>18823</v>
      </c>
      <c r="F8" s="41">
        <f>$E8/$E$19*100</f>
        <v>11.25750580129662</v>
      </c>
      <c r="G8" s="41">
        <f>$E8/$E$19*100</f>
        <v>11.25750580129662</v>
      </c>
      <c r="H8" s="556"/>
      <c r="I8" s="481" t="s">
        <v>24</v>
      </c>
      <c r="J8" s="403"/>
      <c r="K8" s="49"/>
    </row>
    <row r="9" spans="1:11">
      <c r="A9" s="556" t="s">
        <v>131</v>
      </c>
      <c r="B9" s="556"/>
      <c r="C9" s="108">
        <v>1.4999999999999999E-2</v>
      </c>
      <c r="D9" s="108"/>
      <c r="E9" s="3">
        <v>16506</v>
      </c>
      <c r="F9" s="41">
        <f t="shared" ref="F9:F18" si="0">F8+E9/E$19*100</f>
        <v>21.129279203846799</v>
      </c>
      <c r="G9" s="41">
        <f t="shared" ref="G9:G18" si="1">$E9/$E$19*100</f>
        <v>9.8717734025501791</v>
      </c>
      <c r="H9" s="556"/>
      <c r="I9" s="481" t="s">
        <v>25</v>
      </c>
      <c r="J9" s="403">
        <f>(C10*$G10+C11*($G11))*100/20</f>
        <v>7.5876563957800043</v>
      </c>
      <c r="K9" s="49"/>
    </row>
    <row r="10" spans="1:11">
      <c r="A10" s="556" t="s">
        <v>132</v>
      </c>
      <c r="B10" s="556"/>
      <c r="C10" s="108">
        <v>5.7000000000000002E-2</v>
      </c>
      <c r="D10" s="108"/>
      <c r="E10" s="3">
        <v>18738</v>
      </c>
      <c r="F10" s="41">
        <f t="shared" si="0"/>
        <v>32.335948900744</v>
      </c>
      <c r="G10" s="41">
        <f t="shared" si="1"/>
        <v>11.206669696897203</v>
      </c>
      <c r="H10" s="556"/>
      <c r="I10" s="481" t="s">
        <v>26</v>
      </c>
      <c r="J10" s="403">
        <f>(C12*G12+C13*($G13-3))*100/20</f>
        <v>14.462509150498795</v>
      </c>
      <c r="K10" s="49"/>
    </row>
    <row r="11" spans="1:11">
      <c r="A11" s="556" t="s">
        <v>133</v>
      </c>
      <c r="B11" s="556"/>
      <c r="C11" s="108">
        <v>9.2999999999999999E-2</v>
      </c>
      <c r="D11" s="108"/>
      <c r="E11" s="3">
        <v>15799</v>
      </c>
      <c r="F11" s="41">
        <f t="shared" si="0"/>
        <v>41.784885529054328</v>
      </c>
      <c r="G11" s="41">
        <f t="shared" si="1"/>
        <v>9.4489366283103262</v>
      </c>
      <c r="H11" s="556"/>
      <c r="I11" s="481" t="s">
        <v>27</v>
      </c>
      <c r="J11" s="403">
        <f>(C13*3+C14*G14+C15*7)*100/20</f>
        <v>18.671001052606393</v>
      </c>
      <c r="K11" s="49"/>
    </row>
    <row r="12" spans="1:11">
      <c r="A12" s="556" t="s">
        <v>134</v>
      </c>
      <c r="B12" s="556"/>
      <c r="C12" s="108">
        <v>0.127</v>
      </c>
      <c r="D12" s="108"/>
      <c r="E12" s="3">
        <v>13483</v>
      </c>
      <c r="F12" s="41">
        <f t="shared" si="0"/>
        <v>49.848687830434677</v>
      </c>
      <c r="G12" s="41">
        <f t="shared" si="1"/>
        <v>8.0638023013803508</v>
      </c>
      <c r="H12" s="556"/>
      <c r="I12" s="481" t="s">
        <v>33</v>
      </c>
      <c r="J12" s="403">
        <f>C15*100</f>
        <v>22.1</v>
      </c>
      <c r="K12" s="49"/>
    </row>
    <row r="13" spans="1:11">
      <c r="A13" s="556" t="s">
        <v>135</v>
      </c>
      <c r="B13" s="556"/>
      <c r="C13" s="108">
        <v>0.152</v>
      </c>
      <c r="D13" s="108"/>
      <c r="E13" s="3">
        <v>25569</v>
      </c>
      <c r="F13" s="41">
        <f t="shared" si="0"/>
        <v>65.140786105595566</v>
      </c>
      <c r="G13" s="41">
        <f t="shared" si="1"/>
        <v>15.292098275160882</v>
      </c>
      <c r="H13" s="556"/>
      <c r="I13" s="481" t="s">
        <v>51</v>
      </c>
      <c r="J13" s="403">
        <f>(C15*2.5+C16*(G16-3.8))*100/5</f>
        <v>24.538890313628858</v>
      </c>
      <c r="K13" s="49"/>
    </row>
    <row r="14" spans="1:11">
      <c r="A14" s="556" t="s">
        <v>136</v>
      </c>
      <c r="B14" s="556"/>
      <c r="C14" s="108">
        <v>0.17799999999999999</v>
      </c>
      <c r="D14" s="108"/>
      <c r="E14" s="3">
        <v>16262</v>
      </c>
      <c r="F14" s="41">
        <f t="shared" si="0"/>
        <v>74.866629984928593</v>
      </c>
      <c r="G14" s="41">
        <f t="shared" si="1"/>
        <v>9.7258438793330306</v>
      </c>
      <c r="H14" s="556"/>
      <c r="I14" s="481" t="s">
        <v>52</v>
      </c>
      <c r="J14" s="403">
        <f>(C16*3.8+C17*(G17-0.6))*100/4</f>
        <v>27.337901246381669</v>
      </c>
      <c r="K14" s="49"/>
    </row>
    <row r="15" spans="1:11" ht="15.75" customHeight="1">
      <c r="A15" s="556" t="s">
        <v>137</v>
      </c>
      <c r="B15" s="556"/>
      <c r="C15" s="108">
        <v>0.221</v>
      </c>
      <c r="D15" s="108"/>
      <c r="E15" s="3">
        <v>29555</v>
      </c>
      <c r="F15" s="44">
        <f t="shared" si="0"/>
        <v>92.542642520513866</v>
      </c>
      <c r="G15" s="41">
        <f t="shared" si="1"/>
        <v>17.676012535585272</v>
      </c>
      <c r="H15" s="556"/>
      <c r="I15" s="200" t="s">
        <v>28</v>
      </c>
      <c r="J15" s="403">
        <f>(C17*0.6+C18*G18)*100/(0.6+G18)</f>
        <v>31.690815946070902</v>
      </c>
      <c r="K15" s="49"/>
    </row>
    <row r="16" spans="1:11" ht="15.75" customHeight="1">
      <c r="A16" s="556" t="s">
        <v>138</v>
      </c>
      <c r="B16" s="556"/>
      <c r="C16" s="108">
        <v>0.27100000000000002</v>
      </c>
      <c r="D16" s="108"/>
      <c r="E16" s="3">
        <v>10515</v>
      </c>
      <c r="F16" s="44">
        <f t="shared" si="0"/>
        <v>98.831367670629888</v>
      </c>
      <c r="G16" s="44">
        <f t="shared" si="1"/>
        <v>6.2887251501160257</v>
      </c>
      <c r="H16" s="556"/>
      <c r="I16" s="476"/>
      <c r="J16" s="49"/>
      <c r="K16" s="49"/>
    </row>
    <row r="17" spans="1:11" ht="15.75" customHeight="1">
      <c r="A17" s="556" t="s">
        <v>139</v>
      </c>
      <c r="B17" s="556"/>
      <c r="C17" s="108">
        <v>0.309</v>
      </c>
      <c r="D17" s="108"/>
      <c r="E17" s="3">
        <v>1348</v>
      </c>
      <c r="F17" s="44">
        <f t="shared" si="0"/>
        <v>99.637568479222978</v>
      </c>
      <c r="G17" s="44">
        <f t="shared" si="1"/>
        <v>0.80620080859309595</v>
      </c>
      <c r="H17" s="556"/>
      <c r="I17" s="556"/>
      <c r="J17" s="556"/>
      <c r="K17" s="489"/>
    </row>
    <row r="18" spans="1:11" ht="15.75" customHeight="1">
      <c r="A18" s="556" t="s">
        <v>140</v>
      </c>
      <c r="B18" s="556"/>
      <c r="C18" s="108">
        <v>0.33</v>
      </c>
      <c r="D18" s="108"/>
      <c r="E18" s="3">
        <v>606</v>
      </c>
      <c r="F18" s="44">
        <f t="shared" si="0"/>
        <v>99.999999999999986</v>
      </c>
      <c r="G18" s="44">
        <f t="shared" si="1"/>
        <v>0.3624315207770149</v>
      </c>
      <c r="H18" s="556"/>
      <c r="I18" s="556"/>
      <c r="J18" s="556"/>
      <c r="K18" s="202"/>
    </row>
    <row r="19" spans="1:11" ht="15.75" customHeight="1">
      <c r="A19" s="192" t="s">
        <v>143</v>
      </c>
      <c r="B19" s="191"/>
      <c r="C19" s="191"/>
      <c r="D19" s="191"/>
      <c r="E19" s="228">
        <f>SUM(E8:E18)</f>
        <v>167204</v>
      </c>
      <c r="F19" s="191"/>
      <c r="G19" s="191"/>
      <c r="H19" s="556"/>
      <c r="I19" s="556"/>
      <c r="J19" s="556"/>
      <c r="K19" s="201"/>
    </row>
    <row r="20" spans="1:11" ht="15.75" customHeight="1">
      <c r="A20" s="556"/>
      <c r="B20" s="556"/>
      <c r="C20" s="556"/>
      <c r="D20" s="556"/>
      <c r="E20" s="556"/>
      <c r="F20" s="556"/>
      <c r="G20" s="556"/>
      <c r="H20" s="556"/>
      <c r="I20" s="556"/>
      <c r="J20" s="556"/>
      <c r="K20" s="200"/>
    </row>
    <row r="21" spans="1:11" ht="15.75" customHeight="1">
      <c r="A21" s="11" t="s">
        <v>500</v>
      </c>
      <c r="B21" s="556"/>
      <c r="C21" s="556"/>
      <c r="D21" s="556"/>
      <c r="E21" s="556"/>
      <c r="F21" s="556"/>
      <c r="G21" s="556"/>
      <c r="H21" s="556"/>
      <c r="I21" s="556"/>
      <c r="J21" s="556"/>
      <c r="K21" s="556"/>
    </row>
    <row r="22" spans="1:11" ht="15.75" customHeight="1"/>
    <row r="23" spans="1:11" ht="15.75" customHeight="1"/>
    <row r="24" spans="1:11" ht="15.75" customHeight="1"/>
    <row r="25" spans="1:11" ht="15.75" customHeight="1"/>
    <row r="26" spans="1:11" ht="15.75" customHeight="1"/>
    <row r="27" spans="1:11" ht="15.75" customHeight="1"/>
    <row r="28" spans="1:11" ht="15.75" customHeight="1"/>
    <row r="29" spans="1:11" ht="15.75" customHeight="1"/>
    <row r="30" spans="1:11" ht="15.75" customHeight="1"/>
    <row r="31" spans="1:11"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73" ht="310.5" customHeight="1"/>
    <row r="75" ht="44.25" customHeight="1"/>
  </sheetData>
  <mergeCells count="2">
    <mergeCell ref="C6:D6"/>
    <mergeCell ref="F6:G6"/>
  </mergeCells>
  <hyperlinks>
    <hyperlink ref="A2" r:id="rId1" xr:uid="{8C954210-5DED-4F60-B3AB-7491208278E6}"/>
    <hyperlink ref="J1" location="Index!A1" display="index" xr:uid="{1FC887DC-8F7D-429B-A385-FCD5DCBA98EC}"/>
  </hyperlinks>
  <pageMargins left="0.7" right="0.7" top="0.75" bottom="0.75" header="0.3" footer="0.3"/>
  <pageSetup orientation="portrait" horizontalDpi="1200" verticalDpi="1200"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4C9CD-6659-4526-83F6-5EDCC58AED86}">
  <sheetPr>
    <tabColor theme="5" tint="0.79998168889431442"/>
  </sheetPr>
  <dimension ref="A1:AJ160"/>
  <sheetViews>
    <sheetView zoomScale="85" zoomScaleNormal="85" workbookViewId="0"/>
  </sheetViews>
  <sheetFormatPr defaultRowHeight="15"/>
  <cols>
    <col min="1" max="1" width="9.140625" style="564"/>
    <col min="2" max="2" width="11.5703125" style="564" customWidth="1"/>
    <col min="3" max="4" width="9.140625" style="564"/>
    <col min="5" max="5" width="13" style="564" customWidth="1"/>
    <col min="6" max="7" width="11" style="564" customWidth="1"/>
    <col min="8" max="14" width="9.140625" style="564"/>
    <col min="15" max="15" width="14.85546875" style="564" customWidth="1"/>
    <col min="16" max="16384" width="9.140625" style="564"/>
  </cols>
  <sheetData>
    <row r="1" spans="1:15">
      <c r="A1" s="565" t="s">
        <v>718</v>
      </c>
      <c r="N1" s="641" t="s">
        <v>762</v>
      </c>
    </row>
    <row r="2" spans="1:15">
      <c r="A2" s="564" t="s">
        <v>719</v>
      </c>
    </row>
    <row r="3" spans="1:15" ht="15.75">
      <c r="A3" s="618"/>
      <c r="B3" s="792"/>
      <c r="C3" s="792"/>
      <c r="D3" s="792"/>
      <c r="E3" s="792"/>
      <c r="F3" s="792"/>
      <c r="G3" s="792"/>
      <c r="H3" s="792"/>
      <c r="I3" s="792"/>
      <c r="J3" s="792"/>
      <c r="K3" s="792"/>
      <c r="L3" s="619"/>
    </row>
    <row r="4" spans="1:15" ht="15.75">
      <c r="A4" s="620"/>
      <c r="B4" s="792" t="s">
        <v>720</v>
      </c>
      <c r="C4" s="792"/>
      <c r="D4" s="792"/>
      <c r="E4" s="792"/>
      <c r="F4" s="792"/>
      <c r="G4" s="792"/>
      <c r="H4" s="792"/>
      <c r="I4" s="792"/>
      <c r="J4" s="792"/>
      <c r="K4" s="792"/>
      <c r="L4" s="619"/>
    </row>
    <row r="5" spans="1:15" ht="15.75">
      <c r="A5" s="620"/>
      <c r="B5" s="792" t="s">
        <v>721</v>
      </c>
      <c r="C5" s="792"/>
      <c r="D5" s="792"/>
      <c r="E5" s="792"/>
      <c r="F5" s="792"/>
      <c r="G5" s="792"/>
      <c r="H5" s="792"/>
      <c r="I5" s="792"/>
      <c r="J5" s="792"/>
      <c r="K5" s="792"/>
      <c r="L5" s="619"/>
    </row>
    <row r="6" spans="1:15">
      <c r="A6" s="620"/>
      <c r="B6" s="793" t="s">
        <v>722</v>
      </c>
      <c r="C6" s="793"/>
      <c r="D6" s="793"/>
      <c r="E6" s="793"/>
      <c r="F6" s="793"/>
      <c r="G6" s="793"/>
      <c r="H6" s="793"/>
      <c r="I6" s="793"/>
      <c r="J6" s="793"/>
      <c r="K6" s="793"/>
      <c r="L6" s="621"/>
    </row>
    <row r="7" spans="1:15">
      <c r="A7" s="620"/>
      <c r="B7" s="620"/>
      <c r="C7" s="620"/>
      <c r="D7" s="620"/>
      <c r="E7" s="620"/>
      <c r="F7" s="620"/>
      <c r="G7" s="620"/>
      <c r="H7" s="620"/>
      <c r="I7" s="620"/>
      <c r="J7" s="620"/>
      <c r="K7" s="620"/>
      <c r="L7" s="620"/>
    </row>
    <row r="8" spans="1:15">
      <c r="A8" s="620"/>
      <c r="B8" s="794" t="s">
        <v>723</v>
      </c>
      <c r="C8" s="797" t="s">
        <v>724</v>
      </c>
      <c r="D8" s="800" t="s">
        <v>725</v>
      </c>
      <c r="E8" s="803" t="s">
        <v>726</v>
      </c>
      <c r="F8" s="803" t="s">
        <v>727</v>
      </c>
      <c r="G8" s="803" t="s">
        <v>728</v>
      </c>
      <c r="H8" s="803" t="s">
        <v>729</v>
      </c>
      <c r="I8" s="803" t="s">
        <v>17</v>
      </c>
      <c r="J8" s="803" t="s">
        <v>730</v>
      </c>
      <c r="K8" s="803" t="s">
        <v>59</v>
      </c>
      <c r="L8" s="622"/>
    </row>
    <row r="9" spans="1:15">
      <c r="A9" s="620"/>
      <c r="B9" s="795"/>
      <c r="C9" s="798"/>
      <c r="D9" s="801"/>
      <c r="E9" s="804"/>
      <c r="F9" s="804"/>
      <c r="G9" s="804"/>
      <c r="H9" s="804"/>
      <c r="I9" s="804"/>
      <c r="J9" s="804"/>
      <c r="K9" s="804"/>
      <c r="L9" s="622"/>
    </row>
    <row r="10" spans="1:15">
      <c r="A10" s="620"/>
      <c r="B10" s="795"/>
      <c r="C10" s="798"/>
      <c r="D10" s="801"/>
      <c r="E10" s="804"/>
      <c r="F10" s="804"/>
      <c r="G10" s="804"/>
      <c r="H10" s="804"/>
      <c r="I10" s="804"/>
      <c r="J10" s="804"/>
      <c r="K10" s="804"/>
      <c r="L10" s="622"/>
    </row>
    <row r="11" spans="1:15">
      <c r="A11" s="620"/>
      <c r="B11" s="795"/>
      <c r="C11" s="798"/>
      <c r="D11" s="801"/>
      <c r="E11" s="804"/>
      <c r="F11" s="804"/>
      <c r="G11" s="804"/>
      <c r="H11" s="804"/>
      <c r="I11" s="804"/>
      <c r="J11" s="804"/>
      <c r="K11" s="804"/>
      <c r="L11" s="622"/>
    </row>
    <row r="12" spans="1:15">
      <c r="A12" s="620"/>
      <c r="B12" s="796"/>
      <c r="C12" s="799"/>
      <c r="D12" s="802"/>
      <c r="E12" s="805"/>
      <c r="F12" s="805"/>
      <c r="G12" s="805"/>
      <c r="H12" s="805"/>
      <c r="I12" s="805"/>
      <c r="J12" s="805"/>
      <c r="K12" s="805"/>
      <c r="L12" s="622"/>
      <c r="M12" s="192" t="s">
        <v>731</v>
      </c>
      <c r="N12" s="191"/>
      <c r="O12" s="191"/>
    </row>
    <row r="13" spans="1:15">
      <c r="A13" s="620"/>
      <c r="B13" s="620"/>
      <c r="C13" s="620"/>
      <c r="D13" s="620"/>
      <c r="E13" s="620"/>
      <c r="F13" s="620"/>
      <c r="G13" s="620"/>
      <c r="H13" s="620"/>
      <c r="I13" s="620"/>
      <c r="J13" s="620"/>
      <c r="K13" s="620"/>
      <c r="L13" s="620"/>
      <c r="N13" s="724" t="s">
        <v>732</v>
      </c>
      <c r="O13" s="724"/>
    </row>
    <row r="14" spans="1:15">
      <c r="A14" s="620"/>
      <c r="B14" s="620"/>
      <c r="C14" s="790" t="s">
        <v>733</v>
      </c>
      <c r="D14" s="790"/>
      <c r="E14" s="791"/>
      <c r="F14" s="791"/>
      <c r="G14" s="791"/>
      <c r="H14" s="791"/>
      <c r="I14" s="791"/>
      <c r="J14" s="791"/>
      <c r="K14" s="791"/>
      <c r="L14" s="620"/>
      <c r="M14" s="191"/>
      <c r="N14" s="623" t="s">
        <v>734</v>
      </c>
      <c r="O14" s="623" t="s">
        <v>758</v>
      </c>
    </row>
    <row r="15" spans="1:15" ht="15.75">
      <c r="A15" s="620"/>
      <c r="B15" s="624" t="s">
        <v>735</v>
      </c>
      <c r="C15" s="625">
        <v>15.9</v>
      </c>
      <c r="D15" s="625">
        <v>25.2</v>
      </c>
      <c r="E15" s="625">
        <v>145.9</v>
      </c>
      <c r="F15" s="625">
        <v>-12.4</v>
      </c>
      <c r="G15" s="625">
        <v>-23.6</v>
      </c>
      <c r="H15" s="625">
        <v>1.1000000000000001</v>
      </c>
      <c r="I15" s="625">
        <v>8.3000000000000007</v>
      </c>
      <c r="J15" s="625">
        <v>1.9</v>
      </c>
      <c r="K15" s="625">
        <v>0</v>
      </c>
      <c r="L15" s="626"/>
      <c r="M15" s="557" t="s">
        <v>24</v>
      </c>
      <c r="N15" s="403">
        <f>(F15+F16-I15-I16)/($E15+$E16)*100</f>
        <v>-11.928031985784097</v>
      </c>
      <c r="O15" s="403">
        <f>(F15+F16)/($E15+$E16)*100</f>
        <v>-5.4198134162594389</v>
      </c>
    </row>
    <row r="16" spans="1:15" ht="15.75">
      <c r="A16" s="620"/>
      <c r="B16" s="624" t="s">
        <v>736</v>
      </c>
      <c r="C16" s="625">
        <v>16.7</v>
      </c>
      <c r="D16" s="625">
        <v>32.200000000000003</v>
      </c>
      <c r="E16" s="625">
        <v>304.3</v>
      </c>
      <c r="F16" s="625">
        <v>-12</v>
      </c>
      <c r="G16" s="625">
        <v>-38.200000000000003</v>
      </c>
      <c r="H16" s="625">
        <v>2.1</v>
      </c>
      <c r="I16" s="625">
        <v>21</v>
      </c>
      <c r="J16" s="625">
        <v>3</v>
      </c>
      <c r="K16" s="625">
        <v>0</v>
      </c>
      <c r="L16" s="626"/>
      <c r="M16" s="557" t="s">
        <v>25</v>
      </c>
      <c r="N16" s="403">
        <f>(F17+F18-I17-I18)/($E17+$E18)*100</f>
        <v>-3.7678739171276483</v>
      </c>
      <c r="O16" s="403">
        <f>(F17+F18)/($E17+$E18)*100</f>
        <v>3.788748564867968</v>
      </c>
    </row>
    <row r="17" spans="1:36" ht="15.75">
      <c r="A17" s="620"/>
      <c r="B17" s="624" t="s">
        <v>737</v>
      </c>
      <c r="C17" s="625">
        <v>16.7</v>
      </c>
      <c r="D17" s="625">
        <v>31.5</v>
      </c>
      <c r="E17" s="625">
        <v>414</v>
      </c>
      <c r="F17" s="625">
        <v>5.4</v>
      </c>
      <c r="G17" s="625">
        <v>-32.5</v>
      </c>
      <c r="H17" s="625">
        <v>3.1</v>
      </c>
      <c r="I17" s="625">
        <v>30.9</v>
      </c>
      <c r="J17" s="625">
        <v>3.9</v>
      </c>
      <c r="K17" s="625">
        <v>0</v>
      </c>
      <c r="L17" s="626"/>
      <c r="M17" s="557" t="s">
        <v>26</v>
      </c>
      <c r="N17" s="403">
        <f>(F19+F20-I19-I20)/($E19+$E20)*100</f>
        <v>3.3469780881290627</v>
      </c>
      <c r="O17" s="403">
        <f>(F19+F20)/($E19+$E20)*100</f>
        <v>11.383337346496509</v>
      </c>
    </row>
    <row r="18" spans="1:36" ht="15.75">
      <c r="A18" s="620"/>
      <c r="B18" s="624" t="s">
        <v>738</v>
      </c>
      <c r="C18" s="625">
        <v>16.8</v>
      </c>
      <c r="D18" s="625">
        <v>31.6</v>
      </c>
      <c r="E18" s="625">
        <v>544.1</v>
      </c>
      <c r="F18" s="625">
        <v>30.9</v>
      </c>
      <c r="G18" s="625">
        <v>-20.7</v>
      </c>
      <c r="H18" s="625">
        <v>4.9000000000000004</v>
      </c>
      <c r="I18" s="625">
        <v>41.5</v>
      </c>
      <c r="J18" s="625">
        <v>5.0999999999999996</v>
      </c>
      <c r="K18" s="625">
        <v>0.1</v>
      </c>
      <c r="L18" s="626"/>
      <c r="M18" s="557" t="s">
        <v>27</v>
      </c>
      <c r="N18" s="403">
        <f>(F21+F22-I21-I22)/($E21+$E22)*100</f>
        <v>8.0830993015050012</v>
      </c>
      <c r="O18" s="403">
        <f>(F21+F22)/($E21+$E22)*100</f>
        <v>16.551450997335635</v>
      </c>
    </row>
    <row r="19" spans="1:36" ht="15.75">
      <c r="A19" s="620"/>
      <c r="B19" s="624" t="s">
        <v>739</v>
      </c>
      <c r="C19" s="625">
        <v>16.7</v>
      </c>
      <c r="D19" s="625">
        <v>32.4</v>
      </c>
      <c r="E19" s="625">
        <v>721.1</v>
      </c>
      <c r="F19" s="625">
        <v>70.099999999999994</v>
      </c>
      <c r="G19" s="625">
        <v>-1.6</v>
      </c>
      <c r="H19" s="625">
        <v>7.8</v>
      </c>
      <c r="I19" s="625">
        <v>56.9</v>
      </c>
      <c r="J19" s="625">
        <v>6.9</v>
      </c>
      <c r="K19" s="625">
        <v>0.1</v>
      </c>
      <c r="L19" s="626"/>
      <c r="M19" s="557" t="s">
        <v>33</v>
      </c>
      <c r="N19" s="403">
        <f>($F23-I23)/($E23)*100</f>
        <v>11.991315996119914</v>
      </c>
      <c r="O19" s="403">
        <f>($F23)/($E23)*100</f>
        <v>20.841609312208416</v>
      </c>
      <c r="P19" s="620"/>
      <c r="Q19" s="620"/>
      <c r="R19" s="620"/>
      <c r="S19" s="620"/>
      <c r="T19" s="620"/>
      <c r="U19" s="620"/>
      <c r="V19" s="620"/>
      <c r="W19" s="620"/>
      <c r="X19" s="620"/>
      <c r="Y19" s="620"/>
      <c r="Z19" s="620"/>
      <c r="AA19" s="620"/>
      <c r="AB19" s="620"/>
      <c r="AC19" s="620"/>
      <c r="AD19" s="620"/>
      <c r="AE19" s="620"/>
      <c r="AF19" s="620"/>
      <c r="AG19" s="620"/>
      <c r="AH19" s="620"/>
      <c r="AI19" s="620"/>
      <c r="AJ19" s="620"/>
    </row>
    <row r="20" spans="1:36" ht="15.75">
      <c r="A20" s="620"/>
      <c r="B20" s="624" t="s">
        <v>740</v>
      </c>
      <c r="C20" s="625">
        <v>16.8</v>
      </c>
      <c r="D20" s="625">
        <v>32.9</v>
      </c>
      <c r="E20" s="625">
        <v>940.1</v>
      </c>
      <c r="F20" s="625">
        <v>119</v>
      </c>
      <c r="G20" s="625">
        <v>20.9</v>
      </c>
      <c r="H20" s="625">
        <v>12.3</v>
      </c>
      <c r="I20" s="625">
        <v>76.599999999999994</v>
      </c>
      <c r="J20" s="625">
        <v>9.1999999999999993</v>
      </c>
      <c r="K20" s="625">
        <v>0.1</v>
      </c>
      <c r="L20" s="626"/>
      <c r="M20" s="557" t="s">
        <v>51</v>
      </c>
      <c r="N20" s="403">
        <f>(F28-I28)/E28*100</f>
        <v>14.838082901554406</v>
      </c>
      <c r="O20" s="403">
        <f>F28/E28*100</f>
        <v>23.225388601036272</v>
      </c>
      <c r="P20" s="620"/>
      <c r="Q20" s="620"/>
      <c r="R20" s="620"/>
      <c r="S20" s="620"/>
      <c r="T20" s="620"/>
      <c r="U20" s="620"/>
      <c r="V20" s="620"/>
      <c r="W20" s="620"/>
      <c r="X20" s="620"/>
      <c r="Y20" s="620"/>
      <c r="Z20" s="620"/>
      <c r="AA20" s="620"/>
      <c r="AB20" s="620"/>
      <c r="AC20" s="620"/>
      <c r="AD20" s="620"/>
      <c r="AE20" s="620"/>
      <c r="AF20" s="620"/>
      <c r="AG20" s="620"/>
      <c r="AH20" s="620"/>
      <c r="AI20" s="620"/>
      <c r="AJ20" s="620"/>
    </row>
    <row r="21" spans="1:36" ht="15.75">
      <c r="A21" s="620"/>
      <c r="B21" s="624" t="s">
        <v>741</v>
      </c>
      <c r="C21" s="625">
        <v>16.7</v>
      </c>
      <c r="D21" s="625">
        <v>33.5</v>
      </c>
      <c r="E21" s="625">
        <v>1203.7</v>
      </c>
      <c r="F21" s="625">
        <v>181.5</v>
      </c>
      <c r="G21" s="625">
        <v>51.7</v>
      </c>
      <c r="H21" s="625">
        <v>18</v>
      </c>
      <c r="I21" s="625">
        <v>99.9</v>
      </c>
      <c r="J21" s="625">
        <v>11.8</v>
      </c>
      <c r="K21" s="625">
        <v>0.1</v>
      </c>
      <c r="L21" s="626"/>
      <c r="M21" s="557" t="s">
        <v>52</v>
      </c>
      <c r="N21" s="403">
        <f>(F29-I29)/E29*100</f>
        <v>19.086348804363702</v>
      </c>
      <c r="O21" s="403">
        <f>F29/E29*100</f>
        <v>25.325086446208537</v>
      </c>
      <c r="P21" s="620"/>
      <c r="Q21" s="620"/>
      <c r="R21" s="620"/>
      <c r="S21" s="620"/>
      <c r="T21" s="620"/>
      <c r="U21" s="620"/>
      <c r="V21" s="620"/>
      <c r="W21" s="620"/>
      <c r="X21" s="620"/>
      <c r="Y21" s="620"/>
      <c r="Z21" s="620"/>
      <c r="AA21" s="620"/>
      <c r="AB21" s="620"/>
      <c r="AC21" s="620"/>
      <c r="AD21" s="620"/>
      <c r="AE21" s="620"/>
      <c r="AF21" s="620"/>
      <c r="AG21" s="620"/>
      <c r="AH21" s="620"/>
      <c r="AI21" s="620"/>
      <c r="AJ21" s="620"/>
    </row>
    <row r="22" spans="1:36" ht="15.75">
      <c r="A22" s="620"/>
      <c r="B22" s="624" t="s">
        <v>742</v>
      </c>
      <c r="C22" s="625">
        <v>16.7</v>
      </c>
      <c r="D22" s="625">
        <v>35</v>
      </c>
      <c r="E22" s="625">
        <v>1573.7</v>
      </c>
      <c r="F22" s="625">
        <v>278.2</v>
      </c>
      <c r="G22" s="625">
        <v>100.1</v>
      </c>
      <c r="H22" s="625">
        <v>27.1</v>
      </c>
      <c r="I22" s="625">
        <v>135.30000000000001</v>
      </c>
      <c r="J22" s="625">
        <v>15.6</v>
      </c>
      <c r="K22" s="625">
        <v>0.1</v>
      </c>
      <c r="L22" s="626"/>
      <c r="M22" s="200" t="s">
        <v>150</v>
      </c>
      <c r="N22" s="403">
        <f>(F30-I30)/E30*100</f>
        <v>29.133290611983337</v>
      </c>
      <c r="O22" s="403">
        <f>F30/E30*100</f>
        <v>32.633771227170776</v>
      </c>
      <c r="P22" s="620"/>
      <c r="Q22" s="620"/>
      <c r="R22" s="620"/>
      <c r="S22" s="620"/>
      <c r="T22" s="620"/>
      <c r="U22" s="620"/>
      <c r="V22" s="620"/>
      <c r="W22" s="620"/>
      <c r="X22" s="620"/>
      <c r="Y22" s="620"/>
      <c r="Z22" s="620"/>
      <c r="AA22" s="620"/>
      <c r="AB22" s="620"/>
      <c r="AC22" s="620"/>
      <c r="AD22" s="620"/>
      <c r="AE22" s="620"/>
      <c r="AF22" s="620"/>
      <c r="AG22" s="620"/>
      <c r="AH22" s="620"/>
      <c r="AI22" s="620"/>
      <c r="AJ22" s="620"/>
    </row>
    <row r="23" spans="1:36" ht="15.75">
      <c r="A23" s="620"/>
      <c r="B23" s="624" t="s">
        <v>743</v>
      </c>
      <c r="C23" s="625">
        <v>16.8</v>
      </c>
      <c r="D23" s="625">
        <v>35.799999999999997</v>
      </c>
      <c r="E23" s="625">
        <v>2164.9</v>
      </c>
      <c r="F23" s="625">
        <v>451.2</v>
      </c>
      <c r="G23" s="625">
        <v>195</v>
      </c>
      <c r="H23" s="625">
        <v>42.7</v>
      </c>
      <c r="I23" s="625">
        <v>191.6</v>
      </c>
      <c r="J23" s="625">
        <v>21.6</v>
      </c>
      <c r="K23" s="625">
        <v>0.3</v>
      </c>
      <c r="L23" s="626"/>
      <c r="M23" s="195" t="s">
        <v>744</v>
      </c>
      <c r="N23" s="197">
        <f>(F31-I31)/E31*100</f>
        <v>37.924233708603829</v>
      </c>
      <c r="O23" s="197">
        <f>F31/E31*100</f>
        <v>38.992521982085627</v>
      </c>
      <c r="P23" s="620"/>
      <c r="Q23" s="620"/>
      <c r="R23" s="620"/>
      <c r="S23" s="620"/>
      <c r="T23" s="620"/>
      <c r="U23" s="620"/>
      <c r="V23" s="620"/>
      <c r="W23" s="620"/>
      <c r="X23" s="620"/>
      <c r="Y23" s="620"/>
      <c r="Z23" s="620"/>
      <c r="AA23" s="620"/>
      <c r="AB23" s="620"/>
      <c r="AC23" s="620"/>
      <c r="AD23" s="620"/>
      <c r="AE23" s="620"/>
      <c r="AF23" s="620"/>
      <c r="AG23" s="620"/>
      <c r="AH23" s="620"/>
      <c r="AI23" s="620"/>
      <c r="AJ23" s="620"/>
    </row>
    <row r="24" spans="1:36" ht="15.75">
      <c r="A24" s="620"/>
      <c r="B24" s="624" t="s">
        <v>745</v>
      </c>
      <c r="C24" s="625">
        <v>16.7</v>
      </c>
      <c r="D24" s="625">
        <v>36.799999999999997</v>
      </c>
      <c r="E24" s="625">
        <v>6062.7</v>
      </c>
      <c r="F24" s="625">
        <v>1760.5</v>
      </c>
      <c r="G24" s="625">
        <v>1072.2</v>
      </c>
      <c r="H24" s="625">
        <v>296.8</v>
      </c>
      <c r="I24" s="625">
        <v>314.3</v>
      </c>
      <c r="J24" s="625">
        <v>58.9</v>
      </c>
      <c r="K24" s="625">
        <v>18.399999999999999</v>
      </c>
      <c r="L24" s="626"/>
      <c r="P24" s="620"/>
      <c r="Q24" s="620"/>
      <c r="R24" s="620"/>
      <c r="S24" s="620"/>
      <c r="T24" s="620"/>
      <c r="U24" s="620"/>
      <c r="V24" s="620"/>
      <c r="W24" s="620"/>
      <c r="X24" s="620"/>
      <c r="Y24" s="620"/>
      <c r="Z24" s="620"/>
      <c r="AA24" s="620"/>
      <c r="AB24" s="620"/>
      <c r="AC24" s="620"/>
      <c r="AD24" s="620"/>
      <c r="AE24" s="620"/>
      <c r="AF24" s="620"/>
      <c r="AG24" s="620"/>
      <c r="AH24" s="620"/>
      <c r="AI24" s="620"/>
      <c r="AJ24" s="620"/>
    </row>
    <row r="25" spans="1:36" ht="15.75">
      <c r="A25" s="620"/>
      <c r="B25" s="624"/>
      <c r="C25" s="625"/>
      <c r="D25" s="625"/>
      <c r="E25" s="625"/>
      <c r="F25" s="625"/>
      <c r="G25" s="625"/>
      <c r="H25" s="625"/>
      <c r="I25" s="625"/>
      <c r="J25" s="625"/>
      <c r="K25" s="625"/>
      <c r="L25" s="626"/>
      <c r="P25" s="620"/>
      <c r="Q25" s="620"/>
      <c r="R25" s="620"/>
      <c r="S25" s="620"/>
      <c r="T25" s="620"/>
      <c r="U25" s="620"/>
      <c r="V25" s="620"/>
      <c r="W25" s="620"/>
      <c r="X25" s="620"/>
      <c r="Y25" s="620"/>
      <c r="Z25" s="620"/>
      <c r="AA25" s="620"/>
      <c r="AB25" s="620"/>
      <c r="AC25" s="620"/>
      <c r="AD25" s="620"/>
      <c r="AE25" s="620"/>
      <c r="AF25" s="620"/>
      <c r="AG25" s="620"/>
      <c r="AH25" s="620"/>
      <c r="AI25" s="620"/>
      <c r="AJ25" s="620"/>
    </row>
    <row r="26" spans="1:36" ht="15.75">
      <c r="A26" s="620"/>
      <c r="B26" s="624" t="s">
        <v>746</v>
      </c>
      <c r="C26" s="625">
        <v>167.5</v>
      </c>
      <c r="D26" s="625">
        <v>328.5</v>
      </c>
      <c r="E26" s="625">
        <v>13913.7</v>
      </c>
      <c r="F26" s="625">
        <v>2878.6</v>
      </c>
      <c r="G26" s="625">
        <v>1322.8</v>
      </c>
      <c r="H26" s="625">
        <v>419.1</v>
      </c>
      <c r="I26" s="625">
        <v>978.6</v>
      </c>
      <c r="J26" s="625">
        <v>138.5</v>
      </c>
      <c r="K26" s="625">
        <v>19.7</v>
      </c>
      <c r="L26" s="626"/>
      <c r="P26" s="620"/>
      <c r="Q26" s="620"/>
      <c r="R26" s="620"/>
      <c r="S26" s="620"/>
      <c r="T26" s="620"/>
      <c r="U26" s="620"/>
      <c r="V26" s="620"/>
      <c r="W26" s="620"/>
      <c r="X26" s="620"/>
      <c r="Y26" s="620"/>
      <c r="Z26" s="620"/>
      <c r="AA26" s="620"/>
      <c r="AB26" s="620"/>
      <c r="AC26" s="620"/>
      <c r="AD26" s="620"/>
      <c r="AE26" s="620"/>
      <c r="AF26" s="620"/>
      <c r="AG26" s="620"/>
      <c r="AH26" s="620"/>
      <c r="AI26" s="620"/>
      <c r="AJ26" s="620"/>
    </row>
    <row r="27" spans="1:36" ht="15.75">
      <c r="A27" s="620"/>
      <c r="B27" s="624"/>
      <c r="C27" s="625"/>
      <c r="D27" s="625"/>
      <c r="E27" s="625"/>
      <c r="F27" s="625"/>
      <c r="G27" s="625"/>
      <c r="H27" s="625"/>
      <c r="I27" s="625"/>
      <c r="J27" s="625"/>
      <c r="K27" s="625"/>
      <c r="L27" s="626"/>
      <c r="P27" s="620"/>
      <c r="Q27" s="620"/>
      <c r="R27" s="620"/>
      <c r="S27" s="620"/>
      <c r="T27" s="620"/>
      <c r="U27" s="620"/>
      <c r="V27" s="620"/>
      <c r="W27" s="620"/>
      <c r="X27" s="620"/>
      <c r="Y27" s="620"/>
      <c r="Z27" s="620"/>
      <c r="AA27" s="620"/>
      <c r="AB27" s="620"/>
      <c r="AC27" s="620"/>
      <c r="AD27" s="620"/>
      <c r="AE27" s="620"/>
      <c r="AF27" s="620"/>
      <c r="AG27" s="620"/>
      <c r="AH27" s="620"/>
      <c r="AI27" s="620"/>
      <c r="AJ27" s="620"/>
    </row>
    <row r="28" spans="1:36" ht="15.75">
      <c r="A28" s="620"/>
      <c r="B28" s="624" t="s">
        <v>747</v>
      </c>
      <c r="C28" s="625">
        <v>8.4</v>
      </c>
      <c r="D28" s="625">
        <v>18.2</v>
      </c>
      <c r="E28" s="625">
        <v>1544</v>
      </c>
      <c r="F28" s="625">
        <v>358.6</v>
      </c>
      <c r="G28" s="625">
        <v>176.3</v>
      </c>
      <c r="H28" s="625">
        <v>36.9</v>
      </c>
      <c r="I28" s="625">
        <v>129.5</v>
      </c>
      <c r="J28" s="625">
        <v>15.6</v>
      </c>
      <c r="K28" s="625">
        <v>0.3</v>
      </c>
      <c r="L28" s="626"/>
      <c r="M28" s="620"/>
      <c r="N28" s="620"/>
      <c r="O28" s="620"/>
      <c r="P28" s="620"/>
      <c r="Q28" s="620"/>
      <c r="R28" s="620"/>
      <c r="S28" s="620"/>
      <c r="T28" s="620"/>
      <c r="U28" s="620"/>
      <c r="V28" s="620"/>
      <c r="W28" s="620"/>
      <c r="X28" s="620"/>
      <c r="Y28" s="620"/>
      <c r="Z28" s="620"/>
      <c r="AA28" s="620"/>
      <c r="AB28" s="620"/>
      <c r="AC28" s="620"/>
      <c r="AD28" s="620"/>
      <c r="AE28" s="620"/>
      <c r="AF28" s="620"/>
      <c r="AG28" s="620"/>
      <c r="AH28" s="620"/>
      <c r="AI28" s="620"/>
      <c r="AJ28" s="620"/>
    </row>
    <row r="29" spans="1:36" ht="15.75">
      <c r="A29" s="620"/>
      <c r="B29" s="624" t="s">
        <v>748</v>
      </c>
      <c r="C29" s="625">
        <v>6.7</v>
      </c>
      <c r="D29" s="625">
        <v>14.8</v>
      </c>
      <c r="E29" s="625">
        <v>2053.3000000000002</v>
      </c>
      <c r="F29" s="625">
        <v>520</v>
      </c>
      <c r="G29" s="625">
        <v>302.7</v>
      </c>
      <c r="H29" s="625">
        <v>66.8</v>
      </c>
      <c r="I29" s="625">
        <v>128.1</v>
      </c>
      <c r="J29" s="625">
        <v>21</v>
      </c>
      <c r="K29" s="625">
        <v>1.5</v>
      </c>
      <c r="L29" s="626"/>
      <c r="M29" s="620"/>
      <c r="N29" s="620"/>
      <c r="O29" s="620"/>
      <c r="P29" s="620"/>
      <c r="Q29" s="620"/>
      <c r="R29" s="620"/>
      <c r="S29" s="620"/>
      <c r="T29" s="620"/>
      <c r="U29" s="620"/>
      <c r="V29" s="620"/>
      <c r="W29" s="620"/>
      <c r="X29" s="620"/>
      <c r="Y29" s="620"/>
      <c r="Z29" s="620"/>
      <c r="AA29" s="620"/>
      <c r="AB29" s="620"/>
      <c r="AC29" s="620"/>
      <c r="AD29" s="620"/>
      <c r="AE29" s="620"/>
      <c r="AF29" s="620"/>
      <c r="AG29" s="620"/>
      <c r="AH29" s="620"/>
      <c r="AI29" s="620"/>
      <c r="AJ29" s="620"/>
    </row>
    <row r="30" spans="1:36" ht="15.75">
      <c r="A30" s="620"/>
      <c r="B30" s="624" t="s">
        <v>749</v>
      </c>
      <c r="C30" s="625">
        <v>1.5</v>
      </c>
      <c r="D30" s="625">
        <v>3.5</v>
      </c>
      <c r="E30" s="625">
        <v>1248.4000000000001</v>
      </c>
      <c r="F30" s="625">
        <v>407.4</v>
      </c>
      <c r="G30" s="625">
        <v>280.2</v>
      </c>
      <c r="H30" s="625">
        <v>65</v>
      </c>
      <c r="I30" s="625">
        <v>43.7</v>
      </c>
      <c r="J30" s="625">
        <v>12</v>
      </c>
      <c r="K30" s="625">
        <v>6.6</v>
      </c>
      <c r="L30" s="626"/>
      <c r="M30" s="620"/>
      <c r="N30" s="620"/>
      <c r="O30" s="620"/>
      <c r="P30" s="620"/>
      <c r="Q30" s="620"/>
      <c r="R30" s="620"/>
      <c r="S30" s="620"/>
      <c r="T30" s="620"/>
      <c r="U30" s="620"/>
      <c r="V30" s="620"/>
      <c r="W30" s="620"/>
      <c r="X30" s="620"/>
      <c r="Y30" s="620"/>
      <c r="Z30" s="620"/>
      <c r="AA30" s="620"/>
      <c r="AB30" s="620"/>
      <c r="AC30" s="620"/>
      <c r="AD30" s="620"/>
      <c r="AE30" s="620"/>
      <c r="AF30" s="620"/>
      <c r="AG30" s="620"/>
      <c r="AH30" s="620"/>
      <c r="AI30" s="620"/>
      <c r="AJ30" s="620"/>
    </row>
    <row r="31" spans="1:36" ht="15.75">
      <c r="A31" s="620"/>
      <c r="B31" s="624" t="s">
        <v>750</v>
      </c>
      <c r="C31" s="625">
        <v>0.2</v>
      </c>
      <c r="D31" s="625">
        <v>0.4</v>
      </c>
      <c r="E31" s="625">
        <v>1216.9000000000001</v>
      </c>
      <c r="F31" s="625">
        <v>474.5</v>
      </c>
      <c r="G31" s="625">
        <v>313</v>
      </c>
      <c r="H31" s="625">
        <v>128.19999999999999</v>
      </c>
      <c r="I31" s="625">
        <v>13</v>
      </c>
      <c r="J31" s="625">
        <v>10.3</v>
      </c>
      <c r="K31" s="625">
        <v>10</v>
      </c>
      <c r="L31" s="626"/>
      <c r="M31" s="620"/>
      <c r="N31" s="620"/>
      <c r="O31" s="620"/>
      <c r="P31" s="620"/>
      <c r="Q31" s="620"/>
      <c r="R31" s="620"/>
      <c r="S31" s="620"/>
      <c r="T31" s="620"/>
      <c r="U31" s="620"/>
      <c r="V31" s="620"/>
      <c r="W31" s="620"/>
      <c r="X31" s="620"/>
      <c r="Y31" s="620"/>
      <c r="Z31" s="620"/>
      <c r="AA31" s="620"/>
      <c r="AB31" s="620"/>
      <c r="AC31" s="620"/>
      <c r="AD31" s="620"/>
      <c r="AE31" s="620"/>
      <c r="AF31" s="620"/>
      <c r="AG31" s="620"/>
      <c r="AH31" s="620"/>
      <c r="AI31" s="620"/>
      <c r="AJ31" s="620"/>
    </row>
    <row r="32" spans="1:36">
      <c r="A32" s="620"/>
      <c r="B32" s="627"/>
      <c r="C32" s="784" t="s">
        <v>751</v>
      </c>
      <c r="D32" s="784"/>
      <c r="E32" s="785"/>
      <c r="F32" s="785"/>
      <c r="G32" s="785"/>
      <c r="H32" s="785"/>
      <c r="I32" s="785"/>
      <c r="J32" s="785"/>
      <c r="K32" s="785"/>
      <c r="L32" s="620"/>
      <c r="M32" s="620"/>
      <c r="N32" s="620"/>
      <c r="O32" s="620"/>
      <c r="P32" s="620"/>
      <c r="Q32" s="620"/>
      <c r="R32" s="620"/>
      <c r="S32" s="620"/>
      <c r="T32" s="620"/>
      <c r="U32" s="620"/>
      <c r="V32" s="620"/>
      <c r="W32" s="620"/>
      <c r="X32" s="620"/>
      <c r="Y32" s="620"/>
      <c r="Z32" s="620"/>
      <c r="AA32" s="620"/>
      <c r="AB32" s="620"/>
      <c r="AC32" s="620"/>
      <c r="AD32" s="620"/>
      <c r="AE32" s="620"/>
      <c r="AF32" s="620"/>
      <c r="AG32" s="620"/>
      <c r="AH32" s="620"/>
      <c r="AI32" s="620"/>
      <c r="AJ32" s="620"/>
    </row>
    <row r="33" spans="1:36" ht="15.75">
      <c r="A33" s="620"/>
      <c r="B33" s="624" t="s">
        <v>735</v>
      </c>
      <c r="C33" s="628">
        <v>9.5</v>
      </c>
      <c r="D33" s="628">
        <v>7.7</v>
      </c>
      <c r="E33" s="628">
        <v>1</v>
      </c>
      <c r="F33" s="628">
        <v>-0.4</v>
      </c>
      <c r="G33" s="628">
        <v>-1.8</v>
      </c>
      <c r="H33" s="628">
        <v>0.3</v>
      </c>
      <c r="I33" s="628">
        <v>0.8</v>
      </c>
      <c r="J33" s="628">
        <v>1.4</v>
      </c>
      <c r="K33" s="628">
        <v>0.1</v>
      </c>
      <c r="L33" s="629"/>
      <c r="M33" s="620"/>
      <c r="N33" s="620"/>
      <c r="O33" s="620"/>
      <c r="P33" s="620"/>
      <c r="Q33" s="620"/>
      <c r="R33" s="620"/>
      <c r="S33" s="620"/>
      <c r="T33" s="620"/>
      <c r="U33" s="620"/>
      <c r="V33" s="620"/>
      <c r="W33" s="620"/>
      <c r="X33" s="620"/>
      <c r="Y33" s="620"/>
      <c r="Z33" s="620"/>
      <c r="AA33" s="620"/>
      <c r="AB33" s="620"/>
      <c r="AC33" s="620"/>
      <c r="AD33" s="620"/>
      <c r="AE33" s="620"/>
      <c r="AF33" s="620"/>
      <c r="AG33" s="620"/>
      <c r="AH33" s="620"/>
      <c r="AI33" s="620"/>
      <c r="AJ33" s="620"/>
    </row>
    <row r="34" spans="1:36" ht="15.75">
      <c r="A34" s="620"/>
      <c r="B34" s="624" t="s">
        <v>736</v>
      </c>
      <c r="C34" s="628">
        <v>10</v>
      </c>
      <c r="D34" s="628">
        <v>9.8000000000000007</v>
      </c>
      <c r="E34" s="628">
        <v>2.2000000000000002</v>
      </c>
      <c r="F34" s="628">
        <v>-0.4</v>
      </c>
      <c r="G34" s="628">
        <v>-2.9</v>
      </c>
      <c r="H34" s="628">
        <v>0.5</v>
      </c>
      <c r="I34" s="628">
        <v>2.2000000000000002</v>
      </c>
      <c r="J34" s="628">
        <v>2.2000000000000002</v>
      </c>
      <c r="K34" s="628">
        <v>0.2</v>
      </c>
      <c r="L34" s="629"/>
      <c r="M34" s="620"/>
      <c r="N34" s="620"/>
      <c r="O34" s="620"/>
      <c r="P34" s="620"/>
      <c r="Q34" s="620"/>
      <c r="R34" s="620"/>
      <c r="S34" s="620"/>
      <c r="T34" s="620"/>
      <c r="U34" s="620"/>
      <c r="V34" s="620"/>
      <c r="W34" s="620"/>
      <c r="X34" s="620"/>
      <c r="Y34" s="620"/>
      <c r="Z34" s="620"/>
      <c r="AA34" s="620"/>
      <c r="AB34" s="620"/>
      <c r="AC34" s="620"/>
      <c r="AD34" s="620"/>
      <c r="AE34" s="620"/>
      <c r="AF34" s="620"/>
      <c r="AG34" s="620"/>
      <c r="AH34" s="620"/>
      <c r="AI34" s="620"/>
      <c r="AJ34" s="620"/>
    </row>
    <row r="35" spans="1:36" ht="15.75">
      <c r="A35" s="620"/>
      <c r="B35" s="624" t="s">
        <v>737</v>
      </c>
      <c r="C35" s="628">
        <v>10</v>
      </c>
      <c r="D35" s="628">
        <v>9.6</v>
      </c>
      <c r="E35" s="628">
        <v>3</v>
      </c>
      <c r="F35" s="628">
        <v>0.2</v>
      </c>
      <c r="G35" s="628">
        <v>-2.5</v>
      </c>
      <c r="H35" s="628">
        <v>0.7</v>
      </c>
      <c r="I35" s="628">
        <v>3.2</v>
      </c>
      <c r="J35" s="628">
        <v>2.8</v>
      </c>
      <c r="K35" s="628">
        <v>0.1</v>
      </c>
      <c r="L35" s="629"/>
    </row>
    <row r="36" spans="1:36" ht="15.75">
      <c r="A36" s="620"/>
      <c r="B36" s="624" t="s">
        <v>738</v>
      </c>
      <c r="C36" s="628">
        <v>10</v>
      </c>
      <c r="D36" s="628">
        <v>9.6</v>
      </c>
      <c r="E36" s="628">
        <v>3.9</v>
      </c>
      <c r="F36" s="628">
        <v>1.1000000000000001</v>
      </c>
      <c r="G36" s="628">
        <v>-1.6</v>
      </c>
      <c r="H36" s="628">
        <v>1.2</v>
      </c>
      <c r="I36" s="628">
        <v>4.2</v>
      </c>
      <c r="J36" s="628">
        <v>3.7</v>
      </c>
      <c r="K36" s="628">
        <v>0.3</v>
      </c>
      <c r="L36" s="629"/>
    </row>
    <row r="37" spans="1:36" ht="15.75">
      <c r="A37" s="620"/>
      <c r="B37" s="624" t="s">
        <v>739</v>
      </c>
      <c r="C37" s="628">
        <v>10</v>
      </c>
      <c r="D37" s="628">
        <v>9.9</v>
      </c>
      <c r="E37" s="628">
        <v>5.2</v>
      </c>
      <c r="F37" s="628">
        <v>2.4</v>
      </c>
      <c r="G37" s="628">
        <v>-0.1</v>
      </c>
      <c r="H37" s="628">
        <v>1.9</v>
      </c>
      <c r="I37" s="628">
        <v>5.8</v>
      </c>
      <c r="J37" s="628">
        <v>5</v>
      </c>
      <c r="K37" s="628">
        <v>0.4</v>
      </c>
      <c r="L37" s="629"/>
    </row>
    <row r="38" spans="1:36" ht="15.75">
      <c r="A38" s="620"/>
      <c r="B38" s="624" t="s">
        <v>740</v>
      </c>
      <c r="C38" s="628">
        <v>10</v>
      </c>
      <c r="D38" s="628">
        <v>10</v>
      </c>
      <c r="E38" s="628">
        <v>6.8</v>
      </c>
      <c r="F38" s="628">
        <v>4.0999999999999996</v>
      </c>
      <c r="G38" s="628">
        <v>1.6</v>
      </c>
      <c r="H38" s="628">
        <v>2.9</v>
      </c>
      <c r="I38" s="628">
        <v>7.8</v>
      </c>
      <c r="J38" s="628">
        <v>6.7</v>
      </c>
      <c r="K38" s="628">
        <v>0.5</v>
      </c>
      <c r="L38" s="629"/>
    </row>
    <row r="39" spans="1:36" ht="15.75">
      <c r="A39" s="620"/>
      <c r="B39" s="624" t="s">
        <v>741</v>
      </c>
      <c r="C39" s="628">
        <v>10</v>
      </c>
      <c r="D39" s="628">
        <v>10.199999999999999</v>
      </c>
      <c r="E39" s="628">
        <v>8.6999999999999993</v>
      </c>
      <c r="F39" s="628">
        <v>6.3</v>
      </c>
      <c r="G39" s="628">
        <v>3.9</v>
      </c>
      <c r="H39" s="628">
        <v>4.3</v>
      </c>
      <c r="I39" s="628">
        <v>10.199999999999999</v>
      </c>
      <c r="J39" s="628">
        <v>8.5</v>
      </c>
      <c r="K39" s="628">
        <v>0.5</v>
      </c>
      <c r="L39" s="629"/>
    </row>
    <row r="40" spans="1:36" ht="15.75">
      <c r="A40" s="620"/>
      <c r="B40" s="624" t="s">
        <v>742</v>
      </c>
      <c r="C40" s="628">
        <v>10</v>
      </c>
      <c r="D40" s="628">
        <v>10.7</v>
      </c>
      <c r="E40" s="628">
        <v>11.3</v>
      </c>
      <c r="F40" s="628">
        <v>9.6999999999999993</v>
      </c>
      <c r="G40" s="628">
        <v>7.6</v>
      </c>
      <c r="H40" s="628">
        <v>6.5</v>
      </c>
      <c r="I40" s="628">
        <v>13.8</v>
      </c>
      <c r="J40" s="628">
        <v>11.3</v>
      </c>
      <c r="K40" s="628">
        <v>0.4</v>
      </c>
      <c r="L40" s="629"/>
    </row>
    <row r="41" spans="1:36" ht="15.75">
      <c r="A41" s="620"/>
      <c r="B41" s="624" t="s">
        <v>743</v>
      </c>
      <c r="C41" s="628">
        <v>10</v>
      </c>
      <c r="D41" s="628">
        <v>10.9</v>
      </c>
      <c r="E41" s="628">
        <v>15.6</v>
      </c>
      <c r="F41" s="628">
        <v>15.7</v>
      </c>
      <c r="G41" s="628">
        <v>14.7</v>
      </c>
      <c r="H41" s="628">
        <v>10.199999999999999</v>
      </c>
      <c r="I41" s="628">
        <v>19.600000000000001</v>
      </c>
      <c r="J41" s="628">
        <v>15.6</v>
      </c>
      <c r="K41" s="628">
        <v>1.3</v>
      </c>
      <c r="L41" s="629"/>
    </row>
    <row r="42" spans="1:36" ht="15.75">
      <c r="A42" s="620"/>
      <c r="B42" s="624" t="s">
        <v>745</v>
      </c>
      <c r="C42" s="628">
        <v>10</v>
      </c>
      <c r="D42" s="628">
        <v>11.2</v>
      </c>
      <c r="E42" s="628">
        <v>43.6</v>
      </c>
      <c r="F42" s="628">
        <v>61.2</v>
      </c>
      <c r="G42" s="628">
        <v>81</v>
      </c>
      <c r="H42" s="628">
        <v>70.8</v>
      </c>
      <c r="I42" s="628">
        <v>32.1</v>
      </c>
      <c r="J42" s="628">
        <v>42.6</v>
      </c>
      <c r="K42" s="628">
        <v>93.5</v>
      </c>
      <c r="L42" s="629"/>
    </row>
    <row r="43" spans="1:36" ht="15.75">
      <c r="A43" s="620"/>
      <c r="B43" s="624"/>
      <c r="C43" s="628"/>
      <c r="D43" s="628"/>
      <c r="E43" s="628"/>
      <c r="F43" s="628"/>
      <c r="G43" s="628"/>
      <c r="H43" s="628"/>
      <c r="I43" s="628"/>
      <c r="J43" s="628"/>
      <c r="K43" s="628"/>
      <c r="L43" s="629"/>
    </row>
    <row r="44" spans="1:36" ht="15.75">
      <c r="A44" s="620"/>
      <c r="B44" s="624" t="s">
        <v>746</v>
      </c>
      <c r="C44" s="628">
        <v>100</v>
      </c>
      <c r="D44" s="628">
        <v>100</v>
      </c>
      <c r="E44" s="628">
        <v>100</v>
      </c>
      <c r="F44" s="628">
        <v>100</v>
      </c>
      <c r="G44" s="628">
        <v>100</v>
      </c>
      <c r="H44" s="628">
        <v>100</v>
      </c>
      <c r="I44" s="628">
        <v>100</v>
      </c>
      <c r="J44" s="628">
        <v>100</v>
      </c>
      <c r="K44" s="628">
        <v>100</v>
      </c>
      <c r="L44" s="629"/>
    </row>
    <row r="45" spans="1:36" ht="15.75">
      <c r="A45" s="620"/>
      <c r="B45" s="624"/>
      <c r="C45" s="628"/>
      <c r="D45" s="628"/>
      <c r="E45" s="628"/>
      <c r="F45" s="628"/>
      <c r="G45" s="628"/>
      <c r="H45" s="628"/>
      <c r="I45" s="628"/>
      <c r="J45" s="628"/>
      <c r="K45" s="628"/>
      <c r="L45" s="629"/>
    </row>
    <row r="46" spans="1:36" ht="15.75">
      <c r="A46" s="620"/>
      <c r="B46" s="624" t="s">
        <v>747</v>
      </c>
      <c r="C46" s="628">
        <v>5</v>
      </c>
      <c r="D46" s="628">
        <v>5.5</v>
      </c>
      <c r="E46" s="628">
        <v>11.1</v>
      </c>
      <c r="F46" s="628">
        <v>12.5</v>
      </c>
      <c r="G46" s="628">
        <v>13.3</v>
      </c>
      <c r="H46" s="628">
        <v>8.8000000000000007</v>
      </c>
      <c r="I46" s="628">
        <v>13.2</v>
      </c>
      <c r="J46" s="628">
        <v>11.2</v>
      </c>
      <c r="K46" s="628">
        <v>1.7</v>
      </c>
      <c r="L46" s="629"/>
    </row>
    <row r="47" spans="1:36" ht="15.75">
      <c r="A47" s="620"/>
      <c r="B47" s="624" t="s">
        <v>748</v>
      </c>
      <c r="C47" s="628">
        <v>4</v>
      </c>
      <c r="D47" s="628">
        <v>4.5</v>
      </c>
      <c r="E47" s="628">
        <v>14.8</v>
      </c>
      <c r="F47" s="628">
        <v>18.100000000000001</v>
      </c>
      <c r="G47" s="628">
        <v>22.9</v>
      </c>
      <c r="H47" s="628">
        <v>15.9</v>
      </c>
      <c r="I47" s="628">
        <v>13.1</v>
      </c>
      <c r="J47" s="628">
        <v>15.2</v>
      </c>
      <c r="K47" s="628">
        <v>7.5</v>
      </c>
      <c r="L47" s="629"/>
    </row>
    <row r="48" spans="1:36" ht="15.75">
      <c r="A48" s="620"/>
      <c r="B48" s="624" t="s">
        <v>749</v>
      </c>
      <c r="C48" s="628">
        <v>0.9</v>
      </c>
      <c r="D48" s="628">
        <v>1.1000000000000001</v>
      </c>
      <c r="E48" s="628">
        <v>9</v>
      </c>
      <c r="F48" s="628">
        <v>14.2</v>
      </c>
      <c r="G48" s="628">
        <v>21.2</v>
      </c>
      <c r="H48" s="628">
        <v>15.5</v>
      </c>
      <c r="I48" s="628">
        <v>4.5</v>
      </c>
      <c r="J48" s="628">
        <v>8.6999999999999993</v>
      </c>
      <c r="K48" s="628">
        <v>33.5</v>
      </c>
      <c r="L48" s="629"/>
    </row>
    <row r="49" spans="1:36" ht="15.75">
      <c r="A49" s="620"/>
      <c r="B49" s="624" t="s">
        <v>750</v>
      </c>
      <c r="C49" s="628">
        <v>0.1</v>
      </c>
      <c r="D49" s="628">
        <v>0.1</v>
      </c>
      <c r="E49" s="628">
        <v>8.6999999999999993</v>
      </c>
      <c r="F49" s="628">
        <v>16.5</v>
      </c>
      <c r="G49" s="628">
        <v>23.7</v>
      </c>
      <c r="H49" s="628">
        <v>30.6</v>
      </c>
      <c r="I49" s="628">
        <v>1.3</v>
      </c>
      <c r="J49" s="628">
        <v>7.5</v>
      </c>
      <c r="K49" s="628">
        <v>50.8</v>
      </c>
      <c r="L49" s="629"/>
    </row>
    <row r="50" spans="1:36">
      <c r="A50" s="620"/>
      <c r="B50" s="627"/>
      <c r="C50" s="630"/>
      <c r="D50" s="631"/>
      <c r="E50" s="632"/>
      <c r="F50" s="786" t="s">
        <v>752</v>
      </c>
      <c r="G50" s="786"/>
      <c r="H50" s="786"/>
      <c r="I50" s="786"/>
      <c r="J50" s="786"/>
      <c r="K50" s="786"/>
      <c r="L50" s="633"/>
    </row>
    <row r="51" spans="1:36" ht="15.75">
      <c r="A51" s="620"/>
      <c r="B51" s="624" t="s">
        <v>735</v>
      </c>
      <c r="C51" s="632"/>
      <c r="D51" s="632"/>
      <c r="E51" s="632"/>
      <c r="F51" s="628">
        <v>-8.5</v>
      </c>
      <c r="G51" s="628">
        <v>-16.2</v>
      </c>
      <c r="H51" s="628">
        <v>0.8</v>
      </c>
      <c r="I51" s="628">
        <v>5.7</v>
      </c>
      <c r="J51" s="628">
        <v>1.3</v>
      </c>
      <c r="K51" s="628">
        <v>0</v>
      </c>
      <c r="L51" s="629"/>
      <c r="M51" s="640">
        <f>F15/E15*100</f>
        <v>-8.4989718985606579</v>
      </c>
      <c r="N51" s="620"/>
      <c r="O51" s="620"/>
      <c r="P51" s="620"/>
      <c r="Q51" s="620"/>
      <c r="R51" s="620"/>
      <c r="S51" s="620"/>
      <c r="T51" s="620"/>
      <c r="U51" s="620"/>
      <c r="V51" s="620"/>
      <c r="W51" s="620"/>
      <c r="X51" s="620"/>
      <c r="Y51" s="620"/>
      <c r="Z51" s="620"/>
      <c r="AA51" s="620"/>
      <c r="AB51" s="620"/>
      <c r="AC51" s="620"/>
      <c r="AD51" s="620"/>
      <c r="AE51" s="620"/>
      <c r="AF51" s="620"/>
      <c r="AG51" s="620"/>
      <c r="AH51" s="620"/>
      <c r="AI51" s="620"/>
      <c r="AJ51" s="620"/>
    </row>
    <row r="52" spans="1:36" ht="15.75">
      <c r="A52" s="620"/>
      <c r="B52" s="624" t="s">
        <v>736</v>
      </c>
      <c r="C52" s="632"/>
      <c r="D52" s="632"/>
      <c r="E52" s="632"/>
      <c r="F52" s="628">
        <v>-3.9</v>
      </c>
      <c r="G52" s="628">
        <v>-12.5</v>
      </c>
      <c r="H52" s="628">
        <v>0.7</v>
      </c>
      <c r="I52" s="628">
        <v>6.9</v>
      </c>
      <c r="J52" s="628">
        <v>1</v>
      </c>
      <c r="K52" s="628">
        <v>0</v>
      </c>
      <c r="L52" s="629"/>
      <c r="M52" s="640">
        <f>F16/E16*100</f>
        <v>-3.9434768320736113</v>
      </c>
      <c r="N52" s="620"/>
      <c r="O52" s="620"/>
      <c r="P52" s="620"/>
      <c r="Q52" s="620"/>
      <c r="R52" s="620"/>
      <c r="S52" s="620"/>
      <c r="T52" s="620"/>
      <c r="U52" s="620"/>
      <c r="V52" s="620"/>
      <c r="W52" s="620"/>
      <c r="X52" s="620"/>
      <c r="Y52" s="620"/>
      <c r="Z52" s="620"/>
      <c r="AA52" s="620"/>
      <c r="AB52" s="620"/>
      <c r="AC52" s="620"/>
      <c r="AD52" s="620"/>
      <c r="AE52" s="620"/>
      <c r="AF52" s="620"/>
      <c r="AG52" s="620"/>
      <c r="AH52" s="620"/>
      <c r="AI52" s="620"/>
      <c r="AJ52" s="620"/>
    </row>
    <row r="53" spans="1:36" ht="15.75">
      <c r="A53" s="620"/>
      <c r="B53" s="624" t="s">
        <v>737</v>
      </c>
      <c r="C53" s="632"/>
      <c r="D53" s="632"/>
      <c r="E53" s="632"/>
      <c r="F53" s="628">
        <v>1.3</v>
      </c>
      <c r="G53" s="628">
        <v>-7.8</v>
      </c>
      <c r="H53" s="628">
        <v>0.7</v>
      </c>
      <c r="I53" s="628">
        <v>7.5</v>
      </c>
      <c r="J53" s="628">
        <v>0.9</v>
      </c>
      <c r="K53" s="628">
        <v>0</v>
      </c>
      <c r="L53" s="629"/>
      <c r="M53" s="640">
        <f t="shared" ref="M53:M60" si="0">F17/E17*100</f>
        <v>1.3043478260869565</v>
      </c>
      <c r="N53" s="620"/>
      <c r="O53" s="620"/>
      <c r="P53" s="620"/>
      <c r="Q53" s="620"/>
      <c r="R53" s="620"/>
      <c r="S53" s="620"/>
      <c r="T53" s="620"/>
      <c r="U53" s="620"/>
      <c r="V53" s="620"/>
      <c r="W53" s="620"/>
      <c r="X53" s="620"/>
      <c r="Y53" s="620"/>
      <c r="Z53" s="620"/>
      <c r="AA53" s="620"/>
      <c r="AB53" s="620"/>
      <c r="AC53" s="620"/>
      <c r="AD53" s="620"/>
      <c r="AE53" s="620"/>
      <c r="AF53" s="620"/>
      <c r="AG53" s="620"/>
      <c r="AH53" s="620"/>
      <c r="AI53" s="620"/>
      <c r="AJ53" s="620"/>
    </row>
    <row r="54" spans="1:36" ht="15.75">
      <c r="A54" s="620"/>
      <c r="B54" s="624" t="s">
        <v>738</v>
      </c>
      <c r="C54" s="632"/>
      <c r="D54" s="632"/>
      <c r="E54" s="632"/>
      <c r="F54" s="628">
        <v>5.7</v>
      </c>
      <c r="G54" s="628">
        <v>-3.8</v>
      </c>
      <c r="H54" s="628">
        <v>0.9</v>
      </c>
      <c r="I54" s="628">
        <v>7.6</v>
      </c>
      <c r="J54" s="628">
        <v>0.9</v>
      </c>
      <c r="K54" s="628">
        <v>0</v>
      </c>
      <c r="L54" s="629"/>
      <c r="M54" s="640">
        <f t="shared" si="0"/>
        <v>5.6791031060466821</v>
      </c>
      <c r="N54" s="620"/>
      <c r="O54" s="620"/>
      <c r="P54" s="620"/>
      <c r="Q54" s="620"/>
      <c r="R54" s="620"/>
      <c r="S54" s="620"/>
      <c r="T54" s="620"/>
      <c r="U54" s="620"/>
      <c r="V54" s="620"/>
      <c r="W54" s="620"/>
      <c r="X54" s="620"/>
      <c r="Y54" s="620"/>
      <c r="Z54" s="620"/>
      <c r="AA54" s="620"/>
      <c r="AB54" s="620"/>
      <c r="AC54" s="620"/>
      <c r="AD54" s="620"/>
      <c r="AE54" s="620"/>
      <c r="AF54" s="620"/>
      <c r="AG54" s="620"/>
      <c r="AH54" s="620"/>
      <c r="AI54" s="620"/>
      <c r="AJ54" s="620"/>
    </row>
    <row r="55" spans="1:36" ht="15.75">
      <c r="A55" s="620"/>
      <c r="B55" s="624" t="s">
        <v>739</v>
      </c>
      <c r="C55" s="632"/>
      <c r="D55" s="632"/>
      <c r="E55" s="632"/>
      <c r="F55" s="628">
        <v>9.6999999999999993</v>
      </c>
      <c r="G55" s="628">
        <v>-0.2</v>
      </c>
      <c r="H55" s="628">
        <v>1.1000000000000001</v>
      </c>
      <c r="I55" s="628">
        <v>7.9</v>
      </c>
      <c r="J55" s="628">
        <v>1</v>
      </c>
      <c r="K55" s="628">
        <v>0</v>
      </c>
      <c r="L55" s="629"/>
      <c r="M55" s="640">
        <f t="shared" si="0"/>
        <v>9.7212591873526542</v>
      </c>
      <c r="N55" s="620"/>
      <c r="O55" s="620"/>
      <c r="P55" s="620"/>
      <c r="Q55" s="620"/>
      <c r="R55" s="620"/>
      <c r="S55" s="620"/>
      <c r="T55" s="620"/>
      <c r="U55" s="620"/>
      <c r="V55" s="620"/>
      <c r="W55" s="620"/>
      <c r="X55" s="620"/>
      <c r="Y55" s="620"/>
      <c r="Z55" s="620"/>
      <c r="AA55" s="620"/>
      <c r="AB55" s="620"/>
      <c r="AC55" s="620"/>
      <c r="AD55" s="620"/>
      <c r="AE55" s="620"/>
      <c r="AF55" s="620"/>
      <c r="AG55" s="620"/>
      <c r="AH55" s="620"/>
      <c r="AI55" s="620"/>
      <c r="AJ55" s="620"/>
    </row>
    <row r="56" spans="1:36" ht="15.75">
      <c r="A56" s="620"/>
      <c r="B56" s="624" t="s">
        <v>740</v>
      </c>
      <c r="C56" s="632"/>
      <c r="D56" s="632"/>
      <c r="E56" s="632"/>
      <c r="F56" s="628">
        <v>12.7</v>
      </c>
      <c r="G56" s="628">
        <v>2.2000000000000002</v>
      </c>
      <c r="H56" s="628">
        <v>1.3</v>
      </c>
      <c r="I56" s="628">
        <v>8.1</v>
      </c>
      <c r="J56" s="628">
        <v>1</v>
      </c>
      <c r="K56" s="628">
        <v>0</v>
      </c>
      <c r="L56" s="629"/>
      <c r="M56" s="640">
        <f t="shared" si="0"/>
        <v>12.658227848101266</v>
      </c>
      <c r="N56" s="620"/>
      <c r="O56" s="620"/>
      <c r="P56" s="620"/>
      <c r="Q56" s="620"/>
      <c r="R56" s="620"/>
      <c r="S56" s="620"/>
      <c r="T56" s="620"/>
      <c r="U56" s="620"/>
      <c r="V56" s="620"/>
      <c r="W56" s="620"/>
      <c r="X56" s="620"/>
      <c r="Y56" s="620"/>
      <c r="Z56" s="620"/>
      <c r="AA56" s="620"/>
      <c r="AB56" s="620"/>
      <c r="AC56" s="620"/>
      <c r="AD56" s="620"/>
      <c r="AE56" s="620"/>
      <c r="AF56" s="620"/>
      <c r="AG56" s="620"/>
      <c r="AH56" s="620"/>
      <c r="AI56" s="620"/>
      <c r="AJ56" s="620"/>
    </row>
    <row r="57" spans="1:36" ht="15.75">
      <c r="A57" s="620"/>
      <c r="B57" s="624" t="s">
        <v>741</v>
      </c>
      <c r="C57" s="632"/>
      <c r="D57" s="632"/>
      <c r="E57" s="632"/>
      <c r="F57" s="628">
        <v>15.1</v>
      </c>
      <c r="G57" s="628">
        <v>4.3</v>
      </c>
      <c r="H57" s="628">
        <v>1.5</v>
      </c>
      <c r="I57" s="628">
        <v>8.3000000000000007</v>
      </c>
      <c r="J57" s="628">
        <v>1</v>
      </c>
      <c r="K57" s="628">
        <v>0</v>
      </c>
      <c r="L57" s="629"/>
      <c r="M57" s="640">
        <f t="shared" si="0"/>
        <v>15.078507933870567</v>
      </c>
      <c r="N57" s="620"/>
      <c r="O57" s="620"/>
      <c r="P57" s="620"/>
      <c r="Q57" s="620"/>
      <c r="R57" s="620"/>
      <c r="S57" s="620"/>
      <c r="T57" s="620"/>
      <c r="U57" s="620"/>
      <c r="V57" s="620"/>
      <c r="W57" s="620"/>
      <c r="X57" s="620"/>
      <c r="Y57" s="620"/>
      <c r="Z57" s="620"/>
      <c r="AA57" s="620"/>
      <c r="AB57" s="620"/>
      <c r="AC57" s="620"/>
      <c r="AD57" s="620"/>
      <c r="AE57" s="620"/>
      <c r="AF57" s="620"/>
      <c r="AG57" s="620"/>
      <c r="AH57" s="620"/>
      <c r="AI57" s="620"/>
      <c r="AJ57" s="620"/>
    </row>
    <row r="58" spans="1:36" ht="15.75">
      <c r="A58" s="620"/>
      <c r="B58" s="624" t="s">
        <v>742</v>
      </c>
      <c r="C58" s="632"/>
      <c r="D58" s="632"/>
      <c r="E58" s="632"/>
      <c r="F58" s="628">
        <v>17.7</v>
      </c>
      <c r="G58" s="628">
        <v>6.4</v>
      </c>
      <c r="H58" s="628">
        <v>1.7</v>
      </c>
      <c r="I58" s="628">
        <v>8.6</v>
      </c>
      <c r="J58" s="628">
        <v>1</v>
      </c>
      <c r="K58" s="628">
        <v>0</v>
      </c>
      <c r="L58" s="629"/>
      <c r="M58" s="640">
        <f t="shared" si="0"/>
        <v>17.67808349748999</v>
      </c>
      <c r="N58" s="620"/>
      <c r="O58" s="620"/>
      <c r="P58" s="620"/>
      <c r="Q58" s="620"/>
      <c r="R58" s="620"/>
      <c r="S58" s="620"/>
      <c r="T58" s="620"/>
      <c r="U58" s="620"/>
      <c r="V58" s="620"/>
      <c r="W58" s="620"/>
      <c r="X58" s="620"/>
      <c r="Y58" s="620"/>
      <c r="Z58" s="620"/>
      <c r="AA58" s="620"/>
      <c r="AB58" s="620"/>
      <c r="AC58" s="620"/>
      <c r="AD58" s="620"/>
      <c r="AE58" s="620"/>
      <c r="AF58" s="620"/>
      <c r="AG58" s="620"/>
      <c r="AH58" s="620"/>
      <c r="AI58" s="620"/>
      <c r="AJ58" s="620"/>
    </row>
    <row r="59" spans="1:36" ht="15.75">
      <c r="A59" s="620"/>
      <c r="B59" s="624" t="s">
        <v>743</v>
      </c>
      <c r="C59" s="632"/>
      <c r="D59" s="632"/>
      <c r="E59" s="632"/>
      <c r="F59" s="628">
        <v>20.8</v>
      </c>
      <c r="G59" s="628">
        <v>9</v>
      </c>
      <c r="H59" s="628">
        <v>2</v>
      </c>
      <c r="I59" s="628">
        <v>8.8000000000000007</v>
      </c>
      <c r="J59" s="628">
        <v>1</v>
      </c>
      <c r="K59" s="628">
        <v>0</v>
      </c>
      <c r="L59" s="629"/>
      <c r="M59" s="640">
        <f t="shared" si="0"/>
        <v>20.841609312208416</v>
      </c>
      <c r="N59" s="620"/>
      <c r="O59" s="620"/>
      <c r="P59" s="620"/>
      <c r="Q59" s="620"/>
      <c r="R59" s="620"/>
      <c r="S59" s="620"/>
      <c r="T59" s="620"/>
      <c r="U59" s="620"/>
      <c r="V59" s="620"/>
      <c r="W59" s="620"/>
      <c r="X59" s="620"/>
      <c r="Y59" s="620"/>
      <c r="Z59" s="620"/>
      <c r="AA59" s="620"/>
      <c r="AB59" s="620"/>
      <c r="AC59" s="620"/>
      <c r="AD59" s="620"/>
      <c r="AE59" s="620"/>
      <c r="AF59" s="620"/>
      <c r="AG59" s="620"/>
      <c r="AH59" s="620"/>
      <c r="AI59" s="620"/>
      <c r="AJ59" s="620"/>
    </row>
    <row r="60" spans="1:36" ht="15.75">
      <c r="A60" s="620"/>
      <c r="B60" s="624" t="s">
        <v>745</v>
      </c>
      <c r="C60" s="632"/>
      <c r="D60" s="632"/>
      <c r="E60" s="632"/>
      <c r="F60" s="628">
        <v>29</v>
      </c>
      <c r="G60" s="628">
        <v>17.7</v>
      </c>
      <c r="H60" s="628">
        <v>4.9000000000000004</v>
      </c>
      <c r="I60" s="628">
        <v>5.2</v>
      </c>
      <c r="J60" s="628">
        <v>1</v>
      </c>
      <c r="K60" s="628">
        <v>0.3</v>
      </c>
      <c r="L60" s="629"/>
      <c r="M60" s="640">
        <f t="shared" si="0"/>
        <v>29.038217295924255</v>
      </c>
      <c r="N60" s="620"/>
      <c r="O60" s="620"/>
      <c r="P60" s="620"/>
      <c r="Q60" s="620"/>
      <c r="R60" s="620"/>
      <c r="S60" s="620"/>
      <c r="T60" s="620"/>
      <c r="U60" s="620"/>
      <c r="V60" s="620"/>
      <c r="W60" s="620"/>
      <c r="X60" s="620"/>
      <c r="Y60" s="620"/>
      <c r="Z60" s="620"/>
      <c r="AA60" s="620"/>
      <c r="AB60" s="620"/>
      <c r="AC60" s="620"/>
      <c r="AD60" s="620"/>
      <c r="AE60" s="620"/>
      <c r="AF60" s="620"/>
      <c r="AG60" s="620"/>
      <c r="AH60" s="620"/>
      <c r="AI60" s="620"/>
      <c r="AJ60" s="620"/>
    </row>
    <row r="61" spans="1:36" ht="15.75">
      <c r="A61" s="620"/>
      <c r="B61" s="624"/>
      <c r="C61" s="632"/>
      <c r="D61" s="632"/>
      <c r="E61" s="632"/>
      <c r="F61" s="628"/>
      <c r="G61" s="628"/>
      <c r="H61" s="628"/>
      <c r="I61" s="628"/>
      <c r="J61" s="628"/>
      <c r="K61" s="628"/>
      <c r="L61" s="629"/>
      <c r="M61" s="620"/>
      <c r="N61" s="620"/>
      <c r="O61" s="620"/>
      <c r="P61" s="620"/>
      <c r="Q61" s="620"/>
      <c r="R61" s="620"/>
      <c r="S61" s="620"/>
      <c r="T61" s="620"/>
      <c r="U61" s="620"/>
      <c r="V61" s="620"/>
      <c r="W61" s="620"/>
      <c r="X61" s="620"/>
      <c r="Y61" s="620"/>
      <c r="Z61" s="620"/>
      <c r="AA61" s="620"/>
      <c r="AB61" s="620"/>
      <c r="AC61" s="620"/>
      <c r="AD61" s="620"/>
      <c r="AE61" s="620"/>
      <c r="AF61" s="620"/>
      <c r="AG61" s="620"/>
      <c r="AH61" s="620"/>
      <c r="AI61" s="620"/>
      <c r="AJ61" s="620"/>
    </row>
    <row r="62" spans="1:36" ht="15.75">
      <c r="A62" s="620"/>
      <c r="B62" s="624" t="s">
        <v>746</v>
      </c>
      <c r="C62" s="632"/>
      <c r="D62" s="632"/>
      <c r="E62" s="632"/>
      <c r="F62" s="628">
        <v>20.7</v>
      </c>
      <c r="G62" s="628">
        <v>9.5</v>
      </c>
      <c r="H62" s="628">
        <v>3</v>
      </c>
      <c r="I62" s="628">
        <v>7</v>
      </c>
      <c r="J62" s="628">
        <v>1</v>
      </c>
      <c r="K62" s="628">
        <v>0.1</v>
      </c>
      <c r="L62" s="629"/>
      <c r="M62" s="620"/>
      <c r="N62" s="620"/>
      <c r="O62" s="620"/>
      <c r="P62" s="620"/>
      <c r="Q62" s="620"/>
      <c r="R62" s="620"/>
      <c r="S62" s="620"/>
      <c r="T62" s="620"/>
      <c r="U62" s="620"/>
      <c r="V62" s="620"/>
      <c r="W62" s="620"/>
      <c r="X62" s="620"/>
      <c r="Y62" s="620"/>
      <c r="Z62" s="620"/>
      <c r="AA62" s="620"/>
      <c r="AB62" s="620"/>
      <c r="AC62" s="620"/>
      <c r="AD62" s="620"/>
      <c r="AE62" s="620"/>
      <c r="AF62" s="620"/>
      <c r="AG62" s="620"/>
      <c r="AH62" s="620"/>
      <c r="AI62" s="620"/>
      <c r="AJ62" s="620"/>
    </row>
    <row r="63" spans="1:36" ht="15.75">
      <c r="A63" s="620"/>
      <c r="B63" s="624"/>
      <c r="C63" s="632"/>
      <c r="D63" s="632"/>
      <c r="E63" s="632"/>
      <c r="F63" s="628"/>
      <c r="G63" s="628"/>
      <c r="H63" s="628"/>
      <c r="I63" s="628"/>
      <c r="J63" s="628"/>
      <c r="K63" s="628"/>
      <c r="L63" s="629"/>
      <c r="M63" s="620"/>
      <c r="N63" s="620"/>
      <c r="O63" s="620"/>
      <c r="P63" s="620"/>
      <c r="Q63" s="620"/>
      <c r="R63" s="620"/>
      <c r="S63" s="620"/>
      <c r="T63" s="620"/>
      <c r="U63" s="620"/>
      <c r="V63" s="620"/>
      <c r="W63" s="620"/>
      <c r="X63" s="620"/>
      <c r="Y63" s="620"/>
      <c r="Z63" s="620"/>
      <c r="AA63" s="620"/>
      <c r="AB63" s="620"/>
      <c r="AC63" s="620"/>
      <c r="AD63" s="620"/>
      <c r="AE63" s="620"/>
      <c r="AF63" s="620"/>
      <c r="AG63" s="620"/>
      <c r="AH63" s="620"/>
      <c r="AI63" s="620"/>
      <c r="AJ63" s="620"/>
    </row>
    <row r="64" spans="1:36" ht="15.75">
      <c r="A64" s="620"/>
      <c r="B64" s="624" t="s">
        <v>747</v>
      </c>
      <c r="C64" s="632"/>
      <c r="D64" s="632"/>
      <c r="E64" s="632"/>
      <c r="F64" s="628">
        <v>23.2</v>
      </c>
      <c r="G64" s="628">
        <v>11.4</v>
      </c>
      <c r="H64" s="628">
        <v>2.4</v>
      </c>
      <c r="I64" s="628">
        <v>8.4</v>
      </c>
      <c r="J64" s="628">
        <v>1</v>
      </c>
      <c r="K64" s="628">
        <v>0</v>
      </c>
      <c r="L64" s="629"/>
      <c r="M64" s="620"/>
      <c r="N64" s="620"/>
      <c r="O64" s="620"/>
      <c r="P64" s="620"/>
      <c r="Q64" s="620"/>
      <c r="R64" s="620"/>
      <c r="S64" s="620"/>
      <c r="T64" s="620"/>
      <c r="U64" s="620"/>
      <c r="V64" s="620"/>
      <c r="W64" s="620"/>
      <c r="X64" s="620"/>
      <c r="Y64" s="620"/>
      <c r="Z64" s="620"/>
      <c r="AA64" s="620"/>
      <c r="AB64" s="620"/>
      <c r="AC64" s="620"/>
      <c r="AD64" s="620"/>
      <c r="AE64" s="620"/>
      <c r="AF64" s="620"/>
      <c r="AG64" s="620"/>
      <c r="AH64" s="620"/>
      <c r="AI64" s="620"/>
      <c r="AJ64" s="620"/>
    </row>
    <row r="65" spans="1:36" ht="15.75">
      <c r="A65" s="620"/>
      <c r="B65" s="624" t="s">
        <v>748</v>
      </c>
      <c r="C65" s="632"/>
      <c r="D65" s="632"/>
      <c r="E65" s="632"/>
      <c r="F65" s="628">
        <v>25.3</v>
      </c>
      <c r="G65" s="628">
        <v>14.7</v>
      </c>
      <c r="H65" s="628">
        <v>3.3</v>
      </c>
      <c r="I65" s="628">
        <v>6.2</v>
      </c>
      <c r="J65" s="628">
        <v>1</v>
      </c>
      <c r="K65" s="628">
        <v>0.1</v>
      </c>
      <c r="L65" s="629"/>
      <c r="M65" s="620"/>
      <c r="N65" s="620"/>
      <c r="O65" s="620"/>
      <c r="P65" s="620"/>
      <c r="Q65" s="620"/>
      <c r="R65" s="620"/>
      <c r="S65" s="620"/>
      <c r="T65" s="620"/>
      <c r="U65" s="620"/>
      <c r="V65" s="620"/>
      <c r="W65" s="620"/>
      <c r="X65" s="620"/>
      <c r="Y65" s="620"/>
      <c r="Z65" s="620"/>
      <c r="AA65" s="620"/>
      <c r="AB65" s="620"/>
      <c r="AC65" s="620"/>
      <c r="AD65" s="620"/>
      <c r="AE65" s="620"/>
      <c r="AF65" s="620"/>
      <c r="AG65" s="620"/>
      <c r="AH65" s="620"/>
      <c r="AI65" s="620"/>
      <c r="AJ65" s="620"/>
    </row>
    <row r="66" spans="1:36" ht="15.75">
      <c r="A66" s="620"/>
      <c r="B66" s="624" t="s">
        <v>749</v>
      </c>
      <c r="C66" s="632"/>
      <c r="D66" s="632"/>
      <c r="E66" s="632"/>
      <c r="F66" s="628">
        <v>32.6</v>
      </c>
      <c r="G66" s="628">
        <v>22.4</v>
      </c>
      <c r="H66" s="628">
        <v>5.2</v>
      </c>
      <c r="I66" s="628">
        <v>3.5</v>
      </c>
      <c r="J66" s="628">
        <v>1</v>
      </c>
      <c r="K66" s="628">
        <v>0.5</v>
      </c>
      <c r="L66" s="629"/>
      <c r="M66" s="620"/>
      <c r="N66" s="620"/>
      <c r="O66" s="620"/>
      <c r="P66" s="620"/>
      <c r="Q66" s="620"/>
      <c r="R66" s="620"/>
      <c r="S66" s="620"/>
      <c r="T66" s="620"/>
      <c r="U66" s="620"/>
      <c r="V66" s="620"/>
      <c r="W66" s="620"/>
      <c r="X66" s="620"/>
      <c r="Y66" s="620"/>
      <c r="Z66" s="620"/>
      <c r="AA66" s="620"/>
      <c r="AB66" s="620"/>
      <c r="AC66" s="620"/>
      <c r="AD66" s="620"/>
      <c r="AE66" s="620"/>
      <c r="AF66" s="620"/>
      <c r="AG66" s="620"/>
      <c r="AH66" s="620"/>
      <c r="AI66" s="620"/>
      <c r="AJ66" s="620"/>
    </row>
    <row r="67" spans="1:36" ht="15.75">
      <c r="A67" s="620"/>
      <c r="B67" s="624" t="s">
        <v>750</v>
      </c>
      <c r="C67" s="632"/>
      <c r="D67" s="632"/>
      <c r="E67" s="632"/>
      <c r="F67" s="628">
        <v>39</v>
      </c>
      <c r="G67" s="628">
        <v>25.7</v>
      </c>
      <c r="H67" s="628">
        <v>10.5</v>
      </c>
      <c r="I67" s="628">
        <v>1.1000000000000001</v>
      </c>
      <c r="J67" s="628">
        <v>0.8</v>
      </c>
      <c r="K67" s="628">
        <v>0.8</v>
      </c>
      <c r="L67" s="629"/>
    </row>
    <row r="68" spans="1:36">
      <c r="A68" s="620"/>
      <c r="B68" s="620"/>
      <c r="C68" s="634"/>
      <c r="D68" s="634"/>
      <c r="E68" s="634"/>
      <c r="F68" s="634"/>
      <c r="G68" s="634"/>
      <c r="H68" s="634"/>
      <c r="I68" s="634"/>
      <c r="J68" s="634"/>
      <c r="K68" s="634"/>
      <c r="L68" s="634"/>
    </row>
    <row r="69" spans="1:36">
      <c r="A69" s="620"/>
      <c r="B69" s="635" t="s">
        <v>753</v>
      </c>
      <c r="C69" s="636"/>
      <c r="D69" s="636"/>
      <c r="E69" s="636"/>
      <c r="F69" s="636"/>
      <c r="G69" s="636"/>
      <c r="H69" s="636"/>
      <c r="I69" s="636"/>
      <c r="J69" s="787" t="s">
        <v>754</v>
      </c>
      <c r="K69" s="787"/>
      <c r="L69" s="637"/>
    </row>
    <row r="70" spans="1:36">
      <c r="A70" s="620"/>
      <c r="B70" s="638" t="s">
        <v>755</v>
      </c>
      <c r="C70" s="634"/>
      <c r="D70" s="634"/>
      <c r="E70" s="634"/>
      <c r="F70" s="634"/>
      <c r="G70" s="634"/>
      <c r="H70" s="634"/>
      <c r="I70" s="634"/>
      <c r="J70" s="634"/>
      <c r="K70" s="634"/>
      <c r="L70" s="634"/>
    </row>
    <row r="71" spans="1:36">
      <c r="A71" s="620"/>
      <c r="B71" s="638"/>
      <c r="C71" s="634"/>
      <c r="D71" s="634"/>
      <c r="E71" s="634"/>
      <c r="F71" s="634"/>
      <c r="G71" s="634"/>
      <c r="H71" s="634"/>
      <c r="I71" s="634"/>
      <c r="J71" s="634"/>
      <c r="K71" s="634"/>
      <c r="L71" s="634"/>
    </row>
    <row r="72" spans="1:36">
      <c r="A72" s="620"/>
      <c r="B72" s="788" t="s">
        <v>756</v>
      </c>
      <c r="C72" s="789"/>
      <c r="D72" s="789"/>
      <c r="E72" s="789"/>
      <c r="F72" s="789"/>
      <c r="G72" s="789"/>
      <c r="H72" s="789"/>
      <c r="I72" s="789"/>
      <c r="J72" s="789"/>
      <c r="K72" s="789"/>
      <c r="L72" s="634"/>
    </row>
    <row r="73" spans="1:36" ht="310.5" customHeight="1">
      <c r="A73" s="620"/>
      <c r="B73" s="789"/>
      <c r="C73" s="789"/>
      <c r="D73" s="789"/>
      <c r="E73" s="789"/>
      <c r="F73" s="789"/>
      <c r="G73" s="789"/>
      <c r="H73" s="789"/>
      <c r="I73" s="789"/>
      <c r="J73" s="789"/>
      <c r="K73" s="789"/>
      <c r="L73" s="634"/>
    </row>
    <row r="74" spans="1:36">
      <c r="A74" s="620"/>
      <c r="B74" s="783" t="s">
        <v>757</v>
      </c>
      <c r="C74" s="783"/>
      <c r="D74" s="783"/>
      <c r="E74" s="783"/>
      <c r="F74" s="783"/>
      <c r="G74" s="783"/>
      <c r="H74" s="783"/>
      <c r="I74" s="783"/>
      <c r="J74" s="783"/>
      <c r="K74" s="783"/>
      <c r="L74" s="634"/>
    </row>
    <row r="75" spans="1:36" ht="44.25" customHeight="1">
      <c r="A75" s="620"/>
      <c r="B75" s="783"/>
      <c r="C75" s="783"/>
      <c r="D75" s="783"/>
      <c r="E75" s="783"/>
      <c r="F75" s="783"/>
      <c r="G75" s="783"/>
      <c r="H75" s="783"/>
      <c r="I75" s="783"/>
      <c r="J75" s="783"/>
      <c r="K75" s="783"/>
      <c r="L75" s="639"/>
    </row>
    <row r="76" spans="1:36">
      <c r="A76" s="620"/>
      <c r="B76" s="620"/>
      <c r="C76" s="634"/>
      <c r="D76" s="634"/>
      <c r="E76" s="634"/>
      <c r="F76" s="634"/>
      <c r="G76" s="634"/>
      <c r="H76" s="634"/>
      <c r="I76" s="634"/>
      <c r="J76" s="634"/>
      <c r="K76" s="634"/>
      <c r="L76" s="639"/>
    </row>
    <row r="77" spans="1:36">
      <c r="A77" s="620"/>
      <c r="B77" s="620"/>
      <c r="C77" s="620"/>
      <c r="D77" s="620"/>
      <c r="E77" s="620"/>
      <c r="F77" s="620"/>
      <c r="G77" s="620"/>
      <c r="H77" s="620"/>
      <c r="I77" s="620"/>
      <c r="J77" s="620"/>
      <c r="K77" s="620"/>
      <c r="L77" s="620"/>
    </row>
    <row r="78" spans="1:36">
      <c r="A78" s="620"/>
      <c r="B78" s="620"/>
      <c r="C78" s="620"/>
      <c r="D78" s="620"/>
      <c r="E78" s="620"/>
      <c r="F78" s="620"/>
      <c r="G78" s="620"/>
      <c r="H78" s="620"/>
      <c r="I78" s="620"/>
      <c r="J78" s="620"/>
      <c r="K78" s="620"/>
      <c r="L78" s="620"/>
    </row>
    <row r="79" spans="1:36">
      <c r="A79" s="620"/>
      <c r="B79" s="620"/>
      <c r="C79" s="620"/>
      <c r="D79" s="620"/>
      <c r="E79" s="620"/>
      <c r="F79" s="620"/>
      <c r="G79" s="620"/>
      <c r="H79" s="620"/>
      <c r="I79" s="620"/>
      <c r="J79" s="620"/>
      <c r="K79" s="620"/>
      <c r="L79" s="620"/>
    </row>
    <row r="80" spans="1:36">
      <c r="A80" s="620"/>
      <c r="B80" s="620"/>
      <c r="C80" s="620"/>
      <c r="D80" s="620"/>
      <c r="E80" s="620"/>
      <c r="F80" s="620"/>
      <c r="G80" s="620"/>
      <c r="H80" s="620"/>
      <c r="I80" s="620"/>
      <c r="J80" s="620"/>
      <c r="K80" s="620"/>
      <c r="L80" s="620"/>
    </row>
    <row r="81" spans="1:12">
      <c r="A81" s="620"/>
      <c r="B81" s="620"/>
      <c r="C81" s="620"/>
      <c r="D81" s="620"/>
      <c r="E81" s="620"/>
      <c r="F81" s="620"/>
      <c r="G81" s="620"/>
      <c r="H81" s="620"/>
      <c r="I81" s="620"/>
      <c r="J81" s="620"/>
      <c r="K81" s="620"/>
      <c r="L81" s="620"/>
    </row>
    <row r="82" spans="1:12">
      <c r="A82" s="620"/>
      <c r="B82" s="620"/>
      <c r="C82" s="620"/>
      <c r="D82" s="620"/>
      <c r="E82" s="620"/>
      <c r="F82" s="620"/>
      <c r="G82" s="620"/>
      <c r="H82" s="620"/>
      <c r="I82" s="620"/>
      <c r="J82" s="620"/>
      <c r="K82" s="620"/>
      <c r="L82" s="620"/>
    </row>
    <row r="83" spans="1:12">
      <c r="A83" s="620"/>
      <c r="B83" s="620"/>
      <c r="C83" s="620"/>
      <c r="D83" s="620"/>
      <c r="E83" s="620"/>
      <c r="F83" s="620"/>
      <c r="G83" s="620"/>
      <c r="H83" s="620"/>
      <c r="I83" s="620"/>
      <c r="J83" s="620"/>
      <c r="K83" s="620"/>
      <c r="L83" s="620"/>
    </row>
    <row r="84" spans="1:12">
      <c r="A84" s="620"/>
      <c r="B84" s="620"/>
      <c r="C84" s="620"/>
      <c r="D84" s="620"/>
      <c r="E84" s="620"/>
      <c r="F84" s="620"/>
      <c r="G84" s="620"/>
      <c r="H84" s="620"/>
      <c r="I84" s="620"/>
      <c r="J84" s="620"/>
      <c r="K84" s="620"/>
      <c r="L84" s="620"/>
    </row>
    <row r="85" spans="1:12">
      <c r="A85" s="620"/>
      <c r="B85" s="620"/>
      <c r="C85" s="620"/>
      <c r="D85" s="620"/>
      <c r="E85" s="620"/>
      <c r="F85" s="620"/>
      <c r="G85" s="620"/>
      <c r="H85" s="620"/>
      <c r="I85" s="620"/>
      <c r="J85" s="620"/>
      <c r="K85" s="620"/>
      <c r="L85" s="620"/>
    </row>
    <row r="86" spans="1:12">
      <c r="A86" s="620"/>
      <c r="B86" s="620"/>
      <c r="C86" s="620"/>
      <c r="D86" s="620"/>
      <c r="E86" s="620"/>
      <c r="F86" s="620"/>
      <c r="G86" s="620"/>
      <c r="H86" s="620"/>
      <c r="I86" s="620"/>
      <c r="J86" s="620"/>
      <c r="K86" s="620"/>
      <c r="L86" s="620"/>
    </row>
    <row r="87" spans="1:12">
      <c r="A87" s="620"/>
      <c r="B87" s="620"/>
      <c r="C87" s="620"/>
      <c r="D87" s="620"/>
      <c r="E87" s="620"/>
      <c r="F87" s="620"/>
      <c r="G87" s="620"/>
      <c r="H87" s="620"/>
      <c r="I87" s="620"/>
      <c r="J87" s="620"/>
      <c r="K87" s="620"/>
      <c r="L87" s="620"/>
    </row>
    <row r="88" spans="1:12">
      <c r="A88" s="620"/>
      <c r="B88" s="620"/>
      <c r="C88" s="620"/>
      <c r="D88" s="620"/>
      <c r="E88" s="620"/>
      <c r="F88" s="620"/>
      <c r="G88" s="620"/>
      <c r="H88" s="620"/>
      <c r="I88" s="620"/>
      <c r="J88" s="620"/>
      <c r="K88" s="620"/>
      <c r="L88" s="620"/>
    </row>
    <row r="89" spans="1:12">
      <c r="A89" s="620"/>
      <c r="B89" s="620"/>
      <c r="C89" s="620"/>
      <c r="D89" s="620"/>
      <c r="E89" s="620"/>
      <c r="F89" s="620"/>
      <c r="G89" s="620"/>
      <c r="H89" s="620"/>
      <c r="I89" s="620"/>
      <c r="J89" s="620"/>
      <c r="K89" s="620"/>
      <c r="L89" s="620"/>
    </row>
    <row r="90" spans="1:12">
      <c r="A90" s="620"/>
      <c r="B90" s="620"/>
      <c r="C90" s="620"/>
      <c r="D90" s="620"/>
      <c r="E90" s="620"/>
      <c r="F90" s="620"/>
      <c r="G90" s="620"/>
      <c r="H90" s="620"/>
      <c r="I90" s="620"/>
      <c r="J90" s="620"/>
      <c r="K90" s="620"/>
      <c r="L90" s="620"/>
    </row>
    <row r="91" spans="1:12">
      <c r="A91" s="620"/>
      <c r="B91" s="620"/>
      <c r="C91" s="620"/>
      <c r="D91" s="620"/>
      <c r="E91" s="620"/>
      <c r="F91" s="620"/>
      <c r="G91" s="620"/>
      <c r="H91" s="620"/>
      <c r="I91" s="620"/>
      <c r="J91" s="620"/>
      <c r="K91" s="620"/>
      <c r="L91" s="620"/>
    </row>
    <row r="92" spans="1:12">
      <c r="A92" s="620"/>
      <c r="B92" s="620"/>
      <c r="C92" s="620"/>
      <c r="D92" s="620"/>
      <c r="E92" s="620"/>
      <c r="F92" s="620"/>
      <c r="G92" s="620"/>
      <c r="H92" s="620"/>
      <c r="I92" s="620"/>
      <c r="J92" s="620"/>
      <c r="K92" s="620"/>
      <c r="L92" s="620"/>
    </row>
    <row r="93" spans="1:12">
      <c r="A93" s="620"/>
      <c r="B93" s="620"/>
      <c r="C93" s="620"/>
      <c r="D93" s="620"/>
      <c r="E93" s="620"/>
      <c r="F93" s="620"/>
      <c r="G93" s="620"/>
      <c r="H93" s="620"/>
      <c r="I93" s="620"/>
      <c r="J93" s="620"/>
      <c r="K93" s="620"/>
      <c r="L93" s="620"/>
    </row>
    <row r="94" spans="1:12">
      <c r="A94" s="620"/>
      <c r="B94" s="620"/>
      <c r="C94" s="620"/>
      <c r="D94" s="620"/>
      <c r="E94" s="620"/>
      <c r="F94" s="620"/>
      <c r="G94" s="620"/>
      <c r="H94" s="620"/>
      <c r="I94" s="620"/>
      <c r="J94" s="620"/>
      <c r="K94" s="620"/>
      <c r="L94" s="620"/>
    </row>
    <row r="95" spans="1:12">
      <c r="A95" s="620"/>
      <c r="B95" s="620"/>
      <c r="C95" s="620"/>
      <c r="D95" s="620"/>
      <c r="E95" s="620"/>
      <c r="F95" s="620"/>
      <c r="G95" s="620"/>
      <c r="H95" s="620"/>
      <c r="I95" s="620"/>
      <c r="J95" s="620"/>
      <c r="K95" s="620"/>
      <c r="L95" s="620"/>
    </row>
    <row r="96" spans="1:12">
      <c r="A96" s="620"/>
      <c r="B96" s="620"/>
      <c r="C96" s="620"/>
      <c r="D96" s="620"/>
      <c r="E96" s="620"/>
      <c r="F96" s="620"/>
      <c r="G96" s="620"/>
      <c r="H96" s="620"/>
      <c r="I96" s="620"/>
      <c r="J96" s="620"/>
      <c r="K96" s="620"/>
      <c r="L96" s="620"/>
    </row>
    <row r="97" spans="1:12">
      <c r="A97" s="620"/>
      <c r="B97" s="620"/>
      <c r="C97" s="620"/>
      <c r="D97" s="620"/>
      <c r="E97" s="620"/>
      <c r="F97" s="620"/>
      <c r="G97" s="620"/>
      <c r="H97" s="620"/>
      <c r="I97" s="620"/>
      <c r="J97" s="620"/>
      <c r="K97" s="620"/>
      <c r="L97" s="620"/>
    </row>
    <row r="98" spans="1:12">
      <c r="A98" s="620"/>
      <c r="B98" s="620"/>
      <c r="C98" s="620"/>
      <c r="D98" s="620"/>
      <c r="E98" s="620"/>
      <c r="F98" s="620"/>
      <c r="G98" s="620"/>
      <c r="H98" s="620"/>
      <c r="I98" s="620"/>
      <c r="J98" s="620"/>
      <c r="K98" s="620"/>
      <c r="L98" s="620"/>
    </row>
    <row r="99" spans="1:12">
      <c r="A99" s="620"/>
      <c r="B99" s="620"/>
      <c r="C99" s="620"/>
      <c r="D99" s="620"/>
      <c r="E99" s="620"/>
      <c r="F99" s="620"/>
      <c r="G99" s="620"/>
      <c r="H99" s="620"/>
      <c r="I99" s="620"/>
      <c r="J99" s="620"/>
      <c r="K99" s="620"/>
      <c r="L99" s="620"/>
    </row>
    <row r="100" spans="1:12">
      <c r="A100" s="620"/>
      <c r="B100" s="620"/>
      <c r="C100" s="620"/>
      <c r="D100" s="620"/>
      <c r="E100" s="620"/>
      <c r="F100" s="620"/>
      <c r="G100" s="620"/>
      <c r="H100" s="620"/>
      <c r="I100" s="620"/>
      <c r="J100" s="620"/>
      <c r="K100" s="620"/>
      <c r="L100" s="620"/>
    </row>
    <row r="101" spans="1:12">
      <c r="A101" s="620"/>
      <c r="B101" s="620"/>
      <c r="C101" s="620"/>
      <c r="D101" s="620"/>
      <c r="E101" s="620"/>
      <c r="F101" s="620"/>
      <c r="G101" s="620"/>
      <c r="H101" s="620"/>
      <c r="I101" s="620"/>
      <c r="J101" s="620"/>
      <c r="K101" s="620"/>
      <c r="L101" s="620"/>
    </row>
    <row r="102" spans="1:12">
      <c r="A102" s="620"/>
      <c r="B102" s="620"/>
      <c r="C102" s="620"/>
      <c r="D102" s="620"/>
      <c r="E102" s="620"/>
      <c r="F102" s="620"/>
      <c r="G102" s="620"/>
      <c r="H102" s="620"/>
      <c r="I102" s="620"/>
      <c r="J102" s="620"/>
      <c r="K102" s="620"/>
      <c r="L102" s="620"/>
    </row>
    <row r="103" spans="1:12">
      <c r="A103" s="620"/>
      <c r="B103" s="620"/>
      <c r="C103" s="620"/>
      <c r="D103" s="620"/>
      <c r="E103" s="620"/>
      <c r="F103" s="620"/>
      <c r="G103" s="620"/>
      <c r="H103" s="620"/>
      <c r="I103" s="620"/>
      <c r="J103" s="620"/>
      <c r="K103" s="620"/>
      <c r="L103" s="620"/>
    </row>
    <row r="104" spans="1:12">
      <c r="A104" s="620"/>
      <c r="B104" s="620"/>
      <c r="C104" s="620"/>
      <c r="D104" s="620"/>
      <c r="E104" s="620"/>
      <c r="F104" s="620"/>
      <c r="G104" s="620"/>
      <c r="H104" s="620"/>
      <c r="I104" s="620"/>
      <c r="J104" s="620"/>
      <c r="K104" s="620"/>
      <c r="L104" s="620"/>
    </row>
    <row r="105" spans="1:12">
      <c r="A105" s="620"/>
      <c r="B105" s="620"/>
      <c r="C105" s="620"/>
      <c r="D105" s="620"/>
      <c r="E105" s="620"/>
      <c r="F105" s="620"/>
      <c r="G105" s="620"/>
      <c r="H105" s="620"/>
      <c r="I105" s="620"/>
      <c r="J105" s="620"/>
      <c r="K105" s="620"/>
      <c r="L105" s="620"/>
    </row>
    <row r="106" spans="1:12">
      <c r="A106" s="620"/>
      <c r="B106" s="620"/>
      <c r="C106" s="620"/>
      <c r="D106" s="620"/>
      <c r="E106" s="620"/>
      <c r="F106" s="620"/>
      <c r="G106" s="620"/>
      <c r="H106" s="620"/>
      <c r="I106" s="620"/>
      <c r="J106" s="620"/>
      <c r="K106" s="620"/>
      <c r="L106" s="620"/>
    </row>
    <row r="107" spans="1:12">
      <c r="A107" s="620"/>
      <c r="B107" s="620"/>
      <c r="C107" s="620"/>
      <c r="D107" s="620"/>
      <c r="E107" s="620"/>
      <c r="F107" s="620"/>
      <c r="G107" s="620"/>
      <c r="H107" s="620"/>
      <c r="I107" s="620"/>
      <c r="J107" s="620"/>
      <c r="K107" s="620"/>
      <c r="L107" s="620"/>
    </row>
    <row r="108" spans="1:12">
      <c r="A108" s="620"/>
      <c r="B108" s="620"/>
      <c r="C108" s="620"/>
      <c r="D108" s="620"/>
      <c r="E108" s="620"/>
      <c r="F108" s="620"/>
      <c r="G108" s="620"/>
      <c r="H108" s="620"/>
      <c r="I108" s="620"/>
      <c r="J108" s="620"/>
      <c r="K108" s="620"/>
      <c r="L108" s="620"/>
    </row>
    <row r="109" spans="1:12">
      <c r="A109" s="620"/>
      <c r="B109" s="620"/>
      <c r="C109" s="620"/>
      <c r="D109" s="620"/>
      <c r="E109" s="620"/>
      <c r="F109" s="620"/>
      <c r="G109" s="620"/>
      <c r="H109" s="620"/>
      <c r="I109" s="620"/>
      <c r="J109" s="620"/>
      <c r="K109" s="620"/>
      <c r="L109" s="620"/>
    </row>
    <row r="110" spans="1:12">
      <c r="A110" s="620"/>
      <c r="B110" s="620"/>
      <c r="C110" s="620"/>
      <c r="D110" s="620"/>
      <c r="E110" s="620"/>
      <c r="F110" s="620"/>
      <c r="G110" s="620"/>
      <c r="H110" s="620"/>
      <c r="I110" s="620"/>
      <c r="J110" s="620"/>
      <c r="K110" s="620"/>
      <c r="L110" s="620"/>
    </row>
    <row r="111" spans="1:12">
      <c r="A111" s="620"/>
      <c r="B111" s="620"/>
      <c r="C111" s="620"/>
      <c r="D111" s="620"/>
      <c r="E111" s="620"/>
      <c r="F111" s="620"/>
      <c r="G111" s="620"/>
      <c r="H111" s="620"/>
      <c r="I111" s="620"/>
      <c r="J111" s="620"/>
      <c r="K111" s="620"/>
      <c r="L111" s="620"/>
    </row>
    <row r="112" spans="1:12">
      <c r="A112" s="620"/>
      <c r="B112" s="620"/>
      <c r="C112" s="620"/>
      <c r="D112" s="620"/>
      <c r="E112" s="620"/>
      <c r="F112" s="620"/>
      <c r="G112" s="620"/>
      <c r="H112" s="620"/>
      <c r="I112" s="620"/>
      <c r="J112" s="620"/>
      <c r="K112" s="620"/>
      <c r="L112" s="620"/>
    </row>
    <row r="113" spans="1:12">
      <c r="A113" s="620"/>
      <c r="B113" s="620"/>
      <c r="C113" s="620"/>
      <c r="D113" s="620"/>
      <c r="E113" s="620"/>
      <c r="F113" s="620"/>
      <c r="G113" s="620"/>
      <c r="H113" s="620"/>
      <c r="I113" s="620"/>
      <c r="J113" s="620"/>
      <c r="K113" s="620"/>
      <c r="L113" s="620"/>
    </row>
    <row r="114" spans="1:12">
      <c r="A114" s="620"/>
      <c r="B114" s="620"/>
      <c r="C114" s="620"/>
      <c r="D114" s="620"/>
      <c r="E114" s="620"/>
      <c r="F114" s="620"/>
      <c r="G114" s="620"/>
      <c r="H114" s="620"/>
      <c r="I114" s="620"/>
      <c r="J114" s="620"/>
      <c r="K114" s="620"/>
      <c r="L114" s="620"/>
    </row>
    <row r="115" spans="1:12">
      <c r="A115" s="620"/>
      <c r="B115" s="620"/>
      <c r="C115" s="620"/>
      <c r="D115" s="620"/>
      <c r="E115" s="620"/>
      <c r="F115" s="620"/>
      <c r="G115" s="620"/>
      <c r="H115" s="620"/>
      <c r="I115" s="620"/>
      <c r="J115" s="620"/>
      <c r="K115" s="620"/>
      <c r="L115" s="620"/>
    </row>
    <row r="116" spans="1:12">
      <c r="A116" s="620"/>
      <c r="B116" s="620"/>
      <c r="C116" s="620"/>
      <c r="D116" s="620"/>
      <c r="E116" s="620"/>
      <c r="F116" s="620"/>
      <c r="G116" s="620"/>
      <c r="H116" s="620"/>
      <c r="I116" s="620"/>
      <c r="J116" s="620"/>
      <c r="K116" s="620"/>
      <c r="L116" s="620"/>
    </row>
    <row r="117" spans="1:12">
      <c r="A117" s="620"/>
      <c r="B117" s="620"/>
      <c r="C117" s="620"/>
      <c r="D117" s="620"/>
      <c r="E117" s="620"/>
      <c r="F117" s="620"/>
      <c r="G117" s="620"/>
      <c r="H117" s="620"/>
      <c r="I117" s="620"/>
      <c r="J117" s="620"/>
      <c r="K117" s="620"/>
      <c r="L117" s="620"/>
    </row>
    <row r="118" spans="1:12">
      <c r="A118" s="620"/>
      <c r="B118" s="620"/>
      <c r="C118" s="620"/>
      <c r="D118" s="620"/>
      <c r="E118" s="620"/>
      <c r="F118" s="620"/>
      <c r="G118" s="620"/>
      <c r="H118" s="620"/>
      <c r="I118" s="620"/>
      <c r="J118" s="620"/>
      <c r="K118" s="620"/>
      <c r="L118" s="620"/>
    </row>
    <row r="119" spans="1:12">
      <c r="A119" s="620"/>
      <c r="B119" s="620"/>
      <c r="C119" s="620"/>
      <c r="D119" s="620"/>
      <c r="E119" s="620"/>
      <c r="F119" s="620"/>
      <c r="G119" s="620"/>
      <c r="H119" s="620"/>
      <c r="I119" s="620"/>
      <c r="J119" s="620"/>
      <c r="K119" s="620"/>
      <c r="L119" s="620"/>
    </row>
    <row r="120" spans="1:12">
      <c r="A120" s="620"/>
      <c r="B120" s="620"/>
      <c r="C120" s="620"/>
      <c r="D120" s="620"/>
      <c r="E120" s="620"/>
      <c r="F120" s="620"/>
      <c r="G120" s="620"/>
      <c r="H120" s="620"/>
      <c r="I120" s="620"/>
      <c r="J120" s="620"/>
      <c r="K120" s="620"/>
      <c r="L120" s="620"/>
    </row>
    <row r="121" spans="1:12">
      <c r="A121" s="620"/>
      <c r="B121" s="620"/>
      <c r="C121" s="620"/>
      <c r="D121" s="620"/>
      <c r="E121" s="620"/>
      <c r="F121" s="620"/>
      <c r="G121" s="620"/>
      <c r="H121" s="620"/>
      <c r="I121" s="620"/>
      <c r="J121" s="620"/>
      <c r="K121" s="620"/>
      <c r="L121" s="620"/>
    </row>
    <row r="122" spans="1:12">
      <c r="A122" s="620"/>
      <c r="B122" s="620"/>
      <c r="C122" s="620"/>
      <c r="D122" s="620"/>
      <c r="E122" s="620"/>
      <c r="F122" s="620"/>
      <c r="G122" s="620"/>
      <c r="H122" s="620"/>
      <c r="I122" s="620"/>
      <c r="J122" s="620"/>
      <c r="K122" s="620"/>
      <c r="L122" s="620"/>
    </row>
    <row r="123" spans="1:12">
      <c r="A123" s="620"/>
      <c r="B123" s="620"/>
      <c r="C123" s="620"/>
      <c r="D123" s="620"/>
      <c r="E123" s="620"/>
      <c r="F123" s="620"/>
      <c r="G123" s="620"/>
      <c r="H123" s="620"/>
      <c r="I123" s="620"/>
      <c r="J123" s="620"/>
      <c r="K123" s="620"/>
      <c r="L123" s="620"/>
    </row>
    <row r="124" spans="1:12">
      <c r="A124" s="620"/>
      <c r="B124" s="620"/>
      <c r="C124" s="620"/>
      <c r="D124" s="620"/>
      <c r="E124" s="620"/>
      <c r="F124" s="620"/>
      <c r="G124" s="620"/>
      <c r="H124" s="620"/>
      <c r="I124" s="620"/>
      <c r="J124" s="620"/>
      <c r="K124" s="620"/>
      <c r="L124" s="620"/>
    </row>
    <row r="125" spans="1:12">
      <c r="A125" s="620"/>
      <c r="B125" s="620"/>
      <c r="C125" s="620"/>
      <c r="D125" s="620"/>
      <c r="E125" s="620"/>
      <c r="F125" s="620"/>
      <c r="G125" s="620"/>
      <c r="H125" s="620"/>
      <c r="I125" s="620"/>
      <c r="J125" s="620"/>
      <c r="K125" s="620"/>
      <c r="L125" s="620"/>
    </row>
    <row r="126" spans="1:12">
      <c r="A126" s="620"/>
      <c r="B126" s="620"/>
      <c r="C126" s="620"/>
      <c r="D126" s="620"/>
      <c r="E126" s="620"/>
      <c r="F126" s="620"/>
      <c r="G126" s="620"/>
      <c r="H126" s="620"/>
      <c r="I126" s="620"/>
      <c r="J126" s="620"/>
      <c r="K126" s="620"/>
      <c r="L126" s="620"/>
    </row>
    <row r="127" spans="1:12">
      <c r="A127" s="620"/>
      <c r="B127" s="620"/>
      <c r="C127" s="620"/>
      <c r="D127" s="620"/>
      <c r="E127" s="620"/>
      <c r="F127" s="620"/>
      <c r="G127" s="620"/>
      <c r="H127" s="620"/>
      <c r="I127" s="620"/>
      <c r="J127" s="620"/>
      <c r="K127" s="620"/>
      <c r="L127" s="620"/>
    </row>
    <row r="128" spans="1:12">
      <c r="A128" s="620"/>
      <c r="B128" s="620"/>
      <c r="C128" s="620"/>
      <c r="D128" s="620"/>
      <c r="E128" s="620"/>
      <c r="F128" s="620"/>
      <c r="G128" s="620"/>
      <c r="H128" s="620"/>
      <c r="I128" s="620"/>
      <c r="J128" s="620"/>
      <c r="K128" s="620"/>
      <c r="L128" s="620"/>
    </row>
    <row r="129" spans="1:12">
      <c r="A129" s="620"/>
      <c r="B129" s="620"/>
      <c r="C129" s="620"/>
      <c r="D129" s="620"/>
      <c r="E129" s="620"/>
      <c r="F129" s="620"/>
      <c r="G129" s="620"/>
      <c r="H129" s="620"/>
      <c r="I129" s="620"/>
      <c r="J129" s="620"/>
      <c r="K129" s="620"/>
      <c r="L129" s="620"/>
    </row>
    <row r="130" spans="1:12">
      <c r="A130" s="620"/>
      <c r="B130" s="620"/>
      <c r="C130" s="620"/>
      <c r="D130" s="620"/>
      <c r="E130" s="620"/>
      <c r="F130" s="620"/>
      <c r="G130" s="620"/>
      <c r="H130" s="620"/>
      <c r="I130" s="620"/>
      <c r="J130" s="620"/>
      <c r="K130" s="620"/>
      <c r="L130" s="620"/>
    </row>
    <row r="131" spans="1:12">
      <c r="A131" s="620"/>
      <c r="B131" s="620"/>
      <c r="C131" s="620"/>
      <c r="D131" s="620"/>
      <c r="E131" s="620"/>
      <c r="F131" s="620"/>
      <c r="G131" s="620"/>
      <c r="H131" s="620"/>
      <c r="I131" s="620"/>
      <c r="J131" s="620"/>
      <c r="K131" s="620"/>
      <c r="L131" s="620"/>
    </row>
    <row r="132" spans="1:12">
      <c r="A132" s="620"/>
      <c r="B132" s="620"/>
      <c r="C132" s="620"/>
      <c r="D132" s="620"/>
      <c r="E132" s="620"/>
      <c r="F132" s="620"/>
      <c r="G132" s="620"/>
      <c r="H132" s="620"/>
      <c r="I132" s="620"/>
      <c r="J132" s="620"/>
      <c r="K132" s="620"/>
      <c r="L132" s="620"/>
    </row>
    <row r="133" spans="1:12">
      <c r="A133" s="620"/>
      <c r="B133" s="620"/>
      <c r="C133" s="620"/>
      <c r="D133" s="620"/>
      <c r="E133" s="620"/>
      <c r="F133" s="620"/>
      <c r="G133" s="620"/>
      <c r="H133" s="620"/>
      <c r="I133" s="620"/>
      <c r="J133" s="620"/>
      <c r="K133" s="620"/>
      <c r="L133" s="620"/>
    </row>
    <row r="134" spans="1:12">
      <c r="A134" s="620"/>
      <c r="B134" s="620"/>
      <c r="C134" s="620"/>
      <c r="D134" s="620"/>
      <c r="E134" s="620"/>
      <c r="F134" s="620"/>
      <c r="G134" s="620"/>
      <c r="H134" s="620"/>
      <c r="I134" s="620"/>
      <c r="J134" s="620"/>
      <c r="K134" s="620"/>
      <c r="L134" s="620"/>
    </row>
    <row r="135" spans="1:12">
      <c r="A135" s="620"/>
      <c r="B135" s="620"/>
      <c r="C135" s="620"/>
      <c r="D135" s="620"/>
      <c r="E135" s="620"/>
      <c r="F135" s="620"/>
      <c r="G135" s="620"/>
      <c r="H135" s="620"/>
      <c r="I135" s="620"/>
      <c r="J135" s="620"/>
      <c r="K135" s="620"/>
      <c r="L135" s="620"/>
    </row>
    <row r="136" spans="1:12">
      <c r="A136" s="620"/>
      <c r="B136" s="620"/>
      <c r="C136" s="620"/>
      <c r="D136" s="620"/>
      <c r="E136" s="620"/>
      <c r="F136" s="620"/>
      <c r="G136" s="620"/>
      <c r="H136" s="620"/>
      <c r="I136" s="620"/>
      <c r="J136" s="620"/>
      <c r="K136" s="620"/>
      <c r="L136" s="620"/>
    </row>
    <row r="137" spans="1:12">
      <c r="A137" s="620"/>
      <c r="B137" s="620"/>
      <c r="C137" s="620"/>
      <c r="D137" s="620"/>
      <c r="E137" s="620"/>
      <c r="F137" s="620"/>
      <c r="G137" s="620"/>
      <c r="H137" s="620"/>
      <c r="I137" s="620"/>
      <c r="J137" s="620"/>
      <c r="K137" s="620"/>
      <c r="L137" s="620"/>
    </row>
    <row r="138" spans="1:12">
      <c r="A138" s="620"/>
      <c r="B138" s="620"/>
      <c r="C138" s="620"/>
      <c r="D138" s="620"/>
      <c r="E138" s="620"/>
      <c r="F138" s="620"/>
      <c r="G138" s="620"/>
      <c r="H138" s="620"/>
      <c r="I138" s="620"/>
      <c r="J138" s="620"/>
      <c r="K138" s="620"/>
      <c r="L138" s="620"/>
    </row>
    <row r="139" spans="1:12">
      <c r="A139" s="620"/>
      <c r="B139" s="620"/>
      <c r="C139" s="620"/>
      <c r="D139" s="620"/>
      <c r="E139" s="620"/>
      <c r="F139" s="620"/>
      <c r="G139" s="620"/>
      <c r="H139" s="620"/>
      <c r="I139" s="620"/>
      <c r="J139" s="620"/>
      <c r="K139" s="620"/>
      <c r="L139" s="620"/>
    </row>
    <row r="140" spans="1:12">
      <c r="A140" s="620"/>
      <c r="B140" s="620"/>
      <c r="C140" s="620"/>
      <c r="D140" s="620"/>
      <c r="E140" s="620"/>
      <c r="F140" s="620"/>
      <c r="G140" s="620"/>
      <c r="H140" s="620"/>
      <c r="I140" s="620"/>
      <c r="J140" s="620"/>
      <c r="K140" s="620"/>
      <c r="L140" s="620"/>
    </row>
    <row r="141" spans="1:12">
      <c r="A141" s="620"/>
      <c r="B141" s="620"/>
      <c r="C141" s="620"/>
      <c r="D141" s="620"/>
      <c r="E141" s="620"/>
      <c r="F141" s="620"/>
      <c r="G141" s="620"/>
      <c r="H141" s="620"/>
      <c r="I141" s="620"/>
      <c r="J141" s="620"/>
      <c r="K141" s="620"/>
      <c r="L141" s="620"/>
    </row>
    <row r="142" spans="1:12">
      <c r="A142" s="620"/>
      <c r="B142" s="620"/>
      <c r="C142" s="620"/>
      <c r="D142" s="620"/>
      <c r="E142" s="620"/>
      <c r="F142" s="620"/>
      <c r="G142" s="620"/>
      <c r="H142" s="620"/>
      <c r="I142" s="620"/>
      <c r="J142" s="620"/>
      <c r="K142" s="620"/>
      <c r="L142" s="620"/>
    </row>
    <row r="143" spans="1:12">
      <c r="A143" s="620"/>
      <c r="B143" s="620"/>
      <c r="C143" s="620"/>
      <c r="D143" s="620"/>
      <c r="E143" s="620"/>
      <c r="F143" s="620"/>
      <c r="G143" s="620"/>
      <c r="H143" s="620"/>
      <c r="I143" s="620"/>
      <c r="J143" s="620"/>
      <c r="K143" s="620"/>
      <c r="L143" s="620"/>
    </row>
    <row r="144" spans="1:12">
      <c r="A144" s="620"/>
      <c r="B144" s="620"/>
      <c r="C144" s="620"/>
      <c r="D144" s="620"/>
      <c r="E144" s="620"/>
      <c r="F144" s="620"/>
      <c r="G144" s="620"/>
      <c r="H144" s="620"/>
      <c r="I144" s="620"/>
      <c r="J144" s="620"/>
      <c r="K144" s="620"/>
      <c r="L144" s="620"/>
    </row>
    <row r="145" spans="1:12">
      <c r="A145" s="620"/>
      <c r="B145" s="620"/>
      <c r="C145" s="620"/>
      <c r="D145" s="620"/>
      <c r="E145" s="620"/>
      <c r="F145" s="620"/>
      <c r="G145" s="620"/>
      <c r="H145" s="620"/>
      <c r="I145" s="620"/>
      <c r="J145" s="620"/>
      <c r="K145" s="620"/>
      <c r="L145" s="620"/>
    </row>
    <row r="146" spans="1:12">
      <c r="A146" s="620"/>
      <c r="B146" s="620"/>
      <c r="C146" s="620"/>
      <c r="D146" s="620"/>
      <c r="E146" s="620"/>
      <c r="F146" s="620"/>
      <c r="G146" s="620"/>
      <c r="H146" s="620"/>
      <c r="I146" s="620"/>
      <c r="J146" s="620"/>
      <c r="K146" s="620"/>
      <c r="L146" s="620"/>
    </row>
    <row r="147" spans="1:12">
      <c r="A147" s="620"/>
      <c r="B147" s="620"/>
      <c r="C147" s="620"/>
      <c r="D147" s="620"/>
      <c r="E147" s="620"/>
      <c r="F147" s="620"/>
      <c r="G147" s="620"/>
      <c r="H147" s="620"/>
      <c r="I147" s="620"/>
      <c r="J147" s="620"/>
      <c r="K147" s="620"/>
      <c r="L147" s="620"/>
    </row>
    <row r="148" spans="1:12">
      <c r="A148" s="620"/>
      <c r="B148" s="620"/>
      <c r="C148" s="620"/>
      <c r="D148" s="620"/>
      <c r="E148" s="620"/>
      <c r="F148" s="620"/>
      <c r="G148" s="620"/>
      <c r="H148" s="620"/>
      <c r="I148" s="620"/>
      <c r="J148" s="620"/>
      <c r="K148" s="620"/>
      <c r="L148" s="620"/>
    </row>
    <row r="149" spans="1:12">
      <c r="A149" s="620"/>
      <c r="B149" s="620"/>
      <c r="C149" s="620"/>
      <c r="D149" s="620"/>
      <c r="E149" s="620"/>
      <c r="F149" s="620"/>
      <c r="G149" s="620"/>
      <c r="H149" s="620"/>
      <c r="I149" s="620"/>
      <c r="J149" s="620"/>
      <c r="K149" s="620"/>
      <c r="L149" s="620"/>
    </row>
    <row r="150" spans="1:12">
      <c r="A150" s="620"/>
      <c r="B150" s="620"/>
      <c r="C150" s="620"/>
      <c r="D150" s="620"/>
      <c r="E150" s="620"/>
      <c r="F150" s="620"/>
      <c r="G150" s="620"/>
      <c r="H150" s="620"/>
      <c r="I150" s="620"/>
      <c r="J150" s="620"/>
      <c r="K150" s="620"/>
      <c r="L150" s="620"/>
    </row>
    <row r="151" spans="1:12">
      <c r="A151" s="620"/>
      <c r="B151" s="620"/>
      <c r="C151" s="620"/>
      <c r="D151" s="620"/>
      <c r="E151" s="620"/>
      <c r="F151" s="620"/>
      <c r="G151" s="620"/>
      <c r="H151" s="620"/>
      <c r="I151" s="620"/>
      <c r="J151" s="620"/>
      <c r="K151" s="620"/>
      <c r="L151" s="620"/>
    </row>
    <row r="152" spans="1:12">
      <c r="A152" s="620"/>
      <c r="B152" s="620"/>
      <c r="C152" s="620"/>
      <c r="D152" s="620"/>
      <c r="E152" s="620"/>
      <c r="F152" s="620"/>
      <c r="G152" s="620"/>
      <c r="H152" s="620"/>
      <c r="I152" s="620"/>
      <c r="J152" s="620"/>
      <c r="K152" s="620"/>
      <c r="L152" s="620"/>
    </row>
    <row r="153" spans="1:12">
      <c r="A153" s="620"/>
      <c r="B153" s="620"/>
      <c r="C153" s="620"/>
      <c r="D153" s="620"/>
      <c r="E153" s="620"/>
      <c r="F153" s="620"/>
      <c r="G153" s="620"/>
      <c r="H153" s="620"/>
      <c r="I153" s="620"/>
      <c r="J153" s="620"/>
      <c r="K153" s="620"/>
      <c r="L153" s="620"/>
    </row>
    <row r="154" spans="1:12">
      <c r="A154" s="620"/>
      <c r="B154" s="620"/>
      <c r="C154" s="620"/>
      <c r="D154" s="620"/>
      <c r="E154" s="620"/>
      <c r="F154" s="620"/>
      <c r="G154" s="620"/>
      <c r="H154" s="620"/>
      <c r="I154" s="620"/>
      <c r="J154" s="620"/>
      <c r="K154" s="620"/>
      <c r="L154" s="620"/>
    </row>
    <row r="155" spans="1:12">
      <c r="A155" s="620"/>
      <c r="B155" s="620"/>
      <c r="C155" s="620"/>
      <c r="D155" s="620"/>
      <c r="E155" s="620"/>
      <c r="F155" s="620"/>
      <c r="G155" s="620"/>
      <c r="H155" s="620"/>
      <c r="I155" s="620"/>
      <c r="J155" s="620"/>
      <c r="K155" s="620"/>
      <c r="L155" s="620"/>
    </row>
    <row r="156" spans="1:12">
      <c r="A156" s="620"/>
      <c r="B156" s="620"/>
      <c r="C156" s="620"/>
      <c r="D156" s="620"/>
      <c r="E156" s="620"/>
      <c r="F156" s="620"/>
      <c r="G156" s="620"/>
      <c r="H156" s="620"/>
      <c r="I156" s="620"/>
      <c r="J156" s="620"/>
      <c r="K156" s="620"/>
      <c r="L156" s="620"/>
    </row>
    <row r="157" spans="1:12">
      <c r="A157" s="620"/>
      <c r="B157" s="620"/>
      <c r="C157" s="634"/>
      <c r="D157" s="634"/>
      <c r="E157" s="634"/>
      <c r="F157" s="634"/>
      <c r="G157" s="634"/>
      <c r="H157" s="634"/>
      <c r="I157" s="634"/>
      <c r="J157" s="634"/>
      <c r="K157" s="634"/>
      <c r="L157" s="634"/>
    </row>
    <row r="158" spans="1:12">
      <c r="A158" s="620"/>
      <c r="B158" s="620"/>
      <c r="C158" s="634"/>
      <c r="D158" s="634"/>
      <c r="E158" s="634"/>
      <c r="F158" s="634"/>
      <c r="G158" s="634"/>
      <c r="H158" s="634"/>
      <c r="I158" s="634"/>
      <c r="J158" s="634"/>
      <c r="K158" s="634"/>
      <c r="L158" s="634"/>
    </row>
    <row r="159" spans="1:12">
      <c r="A159" s="620"/>
      <c r="B159" s="620"/>
      <c r="C159" s="634"/>
      <c r="D159" s="634"/>
      <c r="E159" s="634"/>
      <c r="F159" s="634"/>
      <c r="G159" s="634"/>
      <c r="H159" s="634"/>
      <c r="I159" s="634"/>
      <c r="J159" s="634"/>
      <c r="K159" s="634"/>
      <c r="L159" s="634"/>
    </row>
    <row r="160" spans="1:12">
      <c r="A160" s="620"/>
      <c r="B160" s="620"/>
      <c r="C160" s="620"/>
      <c r="D160" s="620"/>
      <c r="E160" s="620"/>
      <c r="F160" s="620"/>
      <c r="G160" s="620"/>
      <c r="H160" s="620"/>
      <c r="I160" s="620"/>
      <c r="J160" s="620"/>
      <c r="K160" s="620"/>
      <c r="L160" s="634"/>
    </row>
  </sheetData>
  <mergeCells count="21">
    <mergeCell ref="B3:K3"/>
    <mergeCell ref="B4:K4"/>
    <mergeCell ref="B5:K5"/>
    <mergeCell ref="B6:K6"/>
    <mergeCell ref="B8:B12"/>
    <mergeCell ref="C8:C12"/>
    <mergeCell ref="D8:D12"/>
    <mergeCell ref="E8:E12"/>
    <mergeCell ref="F8:F12"/>
    <mergeCell ref="G8:G12"/>
    <mergeCell ref="H8:H12"/>
    <mergeCell ref="I8:I12"/>
    <mergeCell ref="J8:J12"/>
    <mergeCell ref="K8:K12"/>
    <mergeCell ref="B74:K75"/>
    <mergeCell ref="N13:O13"/>
    <mergeCell ref="C32:K32"/>
    <mergeCell ref="F50:K50"/>
    <mergeCell ref="J69:K69"/>
    <mergeCell ref="B72:K73"/>
    <mergeCell ref="C14:K14"/>
  </mergeCells>
  <hyperlinks>
    <hyperlink ref="A1" r:id="rId1" xr:uid="{C8473FB6-C59F-44F2-9D8A-E4B493965A49}"/>
    <hyperlink ref="N1" location="Index!A1" display="index" xr:uid="{B33E345C-CE36-40F0-82ED-1CD331010E7F}"/>
  </hyperlinks>
  <pageMargins left="0.7" right="0.7" top="0.75" bottom="0.75" header="0.3" footer="0.3"/>
  <pageSetup orientation="portrait" horizontalDpi="1200" verticalDpi="1200"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E64EC-75ED-49C7-BF97-D26EA623D46B}">
  <sheetPr>
    <tabColor theme="5" tint="0.79998168889431442"/>
  </sheetPr>
  <dimension ref="A1:L49"/>
  <sheetViews>
    <sheetView zoomScale="85" zoomScaleNormal="85" workbookViewId="0">
      <selection activeCell="I19" sqref="I19"/>
    </sheetView>
  </sheetViews>
  <sheetFormatPr defaultRowHeight="15"/>
  <cols>
    <col min="1" max="1" width="13.140625" customWidth="1"/>
    <col min="3" max="3" width="11.5703125" customWidth="1"/>
  </cols>
  <sheetData>
    <row r="1" spans="1:12">
      <c r="A1" s="13" t="s">
        <v>650</v>
      </c>
      <c r="L1" s="641" t="s">
        <v>762</v>
      </c>
    </row>
    <row r="3" spans="1:12">
      <c r="A3" s="191"/>
      <c r="C3" s="5"/>
    </row>
    <row r="4" spans="1:12">
      <c r="B4" s="729" t="s">
        <v>193</v>
      </c>
      <c r="C4" s="729" t="s">
        <v>209</v>
      </c>
    </row>
    <row r="5" spans="1:12">
      <c r="A5" s="191"/>
      <c r="B5" s="730"/>
      <c r="C5" s="730"/>
    </row>
    <row r="6" spans="1:12">
      <c r="A6" s="46">
        <v>1979</v>
      </c>
      <c r="B6" s="4"/>
      <c r="C6" s="260">
        <v>0.2186110862</v>
      </c>
    </row>
    <row r="7" spans="1:12">
      <c r="A7" s="46">
        <f>A6+1</f>
        <v>1980</v>
      </c>
      <c r="B7" s="4"/>
      <c r="C7" s="260">
        <v>0.21655849520000001</v>
      </c>
    </row>
    <row r="8" spans="1:12">
      <c r="A8" s="46">
        <f t="shared" ref="A8:A46" si="0">A7+1</f>
        <v>1981</v>
      </c>
      <c r="B8" s="4"/>
      <c r="C8" s="260">
        <v>0.21139711180000001</v>
      </c>
    </row>
    <row r="9" spans="1:12">
      <c r="A9" s="46">
        <f t="shared" si="0"/>
        <v>1982</v>
      </c>
      <c r="B9" s="13"/>
      <c r="C9" s="260">
        <v>0.21767436779999999</v>
      </c>
    </row>
    <row r="10" spans="1:12">
      <c r="A10" s="46">
        <f t="shared" si="0"/>
        <v>1983</v>
      </c>
      <c r="B10" s="4"/>
      <c r="C10" s="260">
        <v>0.21685985269999999</v>
      </c>
    </row>
    <row r="11" spans="1:12">
      <c r="A11" s="46">
        <f t="shared" si="0"/>
        <v>1984</v>
      </c>
      <c r="B11" s="163">
        <v>0.19900935739999998</v>
      </c>
      <c r="C11" s="260">
        <v>0.20390316680000001</v>
      </c>
    </row>
    <row r="12" spans="1:12">
      <c r="A12" s="46">
        <f t="shared" si="0"/>
        <v>1985</v>
      </c>
      <c r="B12" s="141">
        <v>0.19567273910000005</v>
      </c>
      <c r="C12" s="261">
        <v>0.20193845160000001</v>
      </c>
    </row>
    <row r="13" spans="1:12">
      <c r="A13" s="46">
        <f t="shared" si="0"/>
        <v>1986</v>
      </c>
      <c r="B13" s="141">
        <v>0.21441449330000001</v>
      </c>
      <c r="C13" s="141">
        <v>0.21432457329999999</v>
      </c>
    </row>
    <row r="14" spans="1:12">
      <c r="A14" s="46">
        <f t="shared" si="0"/>
        <v>1987</v>
      </c>
      <c r="B14" s="141">
        <v>0.21760149900000003</v>
      </c>
      <c r="C14" s="141">
        <v>0.2283393779</v>
      </c>
    </row>
    <row r="15" spans="1:12">
      <c r="A15" s="46">
        <f t="shared" si="0"/>
        <v>1988</v>
      </c>
      <c r="B15" s="141">
        <v>0.21406693050000003</v>
      </c>
      <c r="C15" s="141">
        <v>0.22783571420000001</v>
      </c>
    </row>
    <row r="16" spans="1:12">
      <c r="A16" s="46">
        <f t="shared" si="0"/>
        <v>1989</v>
      </c>
      <c r="B16" s="141">
        <v>0.21541551730000008</v>
      </c>
      <c r="C16" s="141">
        <v>0.23275754879999999</v>
      </c>
    </row>
    <row r="17" spans="1:3">
      <c r="A17" s="46">
        <f t="shared" si="0"/>
        <v>1990</v>
      </c>
      <c r="B17" s="141">
        <v>0.23153999719999996</v>
      </c>
      <c r="C17" s="141">
        <v>0.2441954452</v>
      </c>
    </row>
    <row r="18" spans="1:3">
      <c r="A18" s="46">
        <f t="shared" si="0"/>
        <v>1991</v>
      </c>
      <c r="B18" s="141">
        <v>0.24689156190000006</v>
      </c>
      <c r="C18" s="141">
        <v>0.2589267193</v>
      </c>
    </row>
    <row r="19" spans="1:3">
      <c r="A19" s="46">
        <f t="shared" si="0"/>
        <v>1992</v>
      </c>
      <c r="B19" s="141">
        <v>0.25895025820000006</v>
      </c>
      <c r="C19" s="141">
        <v>0.26445746640000001</v>
      </c>
    </row>
    <row r="20" spans="1:3">
      <c r="A20" s="46">
        <f t="shared" si="0"/>
        <v>1993</v>
      </c>
      <c r="B20" s="141">
        <v>0.27345065680000002</v>
      </c>
      <c r="C20" s="141">
        <v>0.26665823979999997</v>
      </c>
    </row>
    <row r="21" spans="1:3">
      <c r="A21" s="46">
        <f t="shared" si="0"/>
        <v>1994</v>
      </c>
      <c r="B21" s="141">
        <v>0.28257637140000003</v>
      </c>
      <c r="C21" s="141">
        <v>0.26620507059999998</v>
      </c>
    </row>
    <row r="22" spans="1:3">
      <c r="A22" s="46">
        <f t="shared" si="0"/>
        <v>1995</v>
      </c>
      <c r="B22" s="141">
        <v>0.28345145160000007</v>
      </c>
      <c r="C22" s="141">
        <v>0.26616529729999999</v>
      </c>
    </row>
    <row r="23" spans="1:3">
      <c r="A23" s="46">
        <f t="shared" si="0"/>
        <v>1996</v>
      </c>
      <c r="B23" s="141">
        <v>0.27679688990000006</v>
      </c>
      <c r="C23" s="141">
        <v>0.26224426369999998</v>
      </c>
    </row>
    <row r="24" spans="1:3">
      <c r="A24" s="46">
        <f t="shared" si="0"/>
        <v>1997</v>
      </c>
      <c r="B24" s="141">
        <v>0.28704056849999993</v>
      </c>
      <c r="C24" s="141">
        <v>0.27199509620000001</v>
      </c>
    </row>
    <row r="25" spans="1:3">
      <c r="A25" s="46">
        <f t="shared" si="0"/>
        <v>1998</v>
      </c>
      <c r="B25" s="141">
        <v>0.27927870359999996</v>
      </c>
      <c r="C25" s="141">
        <v>0.26469421729999998</v>
      </c>
    </row>
    <row r="26" spans="1:3">
      <c r="A26" s="46">
        <f t="shared" si="0"/>
        <v>1999</v>
      </c>
      <c r="B26" s="141">
        <v>0.26879516889999999</v>
      </c>
      <c r="C26" s="141">
        <v>0.26449220429999998</v>
      </c>
    </row>
    <row r="27" spans="1:3">
      <c r="A27" s="46">
        <f t="shared" si="0"/>
        <v>2000</v>
      </c>
      <c r="B27" s="141">
        <v>0.28971781890000003</v>
      </c>
      <c r="C27" s="141">
        <v>0.28426922189999998</v>
      </c>
    </row>
    <row r="28" spans="1:3">
      <c r="A28" s="46">
        <f t="shared" si="0"/>
        <v>2001</v>
      </c>
      <c r="B28" s="141">
        <v>0.3252503041</v>
      </c>
      <c r="C28" s="141">
        <v>0.31468638049999997</v>
      </c>
    </row>
    <row r="29" spans="1:3">
      <c r="A29" s="46">
        <f t="shared" si="0"/>
        <v>2002</v>
      </c>
      <c r="B29" s="141">
        <v>0.33092251160000008</v>
      </c>
      <c r="C29" s="141">
        <v>0.33658596740000002</v>
      </c>
    </row>
    <row r="30" spans="1:3">
      <c r="A30" s="46">
        <f t="shared" si="0"/>
        <v>2003</v>
      </c>
      <c r="B30" s="141">
        <v>0.33444286459999994</v>
      </c>
      <c r="C30" s="141">
        <v>0.34786716490000003</v>
      </c>
    </row>
    <row r="31" spans="1:3">
      <c r="A31" s="46">
        <f t="shared" si="0"/>
        <v>2004</v>
      </c>
      <c r="B31" s="141">
        <v>0.32547496650000007</v>
      </c>
      <c r="C31" s="141">
        <v>0.34945296840000001</v>
      </c>
    </row>
    <row r="32" spans="1:3">
      <c r="A32" s="46">
        <f t="shared" si="0"/>
        <v>2005</v>
      </c>
      <c r="B32" s="141">
        <v>0.31516897030000002</v>
      </c>
      <c r="C32" s="141">
        <v>0.3472661776</v>
      </c>
    </row>
    <row r="33" spans="1:4">
      <c r="A33" s="46">
        <f t="shared" si="0"/>
        <v>2006</v>
      </c>
      <c r="B33" s="141">
        <v>0.30883086940000004</v>
      </c>
      <c r="C33" s="141">
        <v>0.34091433519999997</v>
      </c>
    </row>
    <row r="34" spans="1:4">
      <c r="A34" s="46">
        <f t="shared" si="0"/>
        <v>2007</v>
      </c>
      <c r="B34" s="141">
        <v>0.32021267370000006</v>
      </c>
      <c r="C34" s="141">
        <v>0.35592495730000001</v>
      </c>
    </row>
    <row r="35" spans="1:4">
      <c r="A35" s="46">
        <f t="shared" si="0"/>
        <v>2008</v>
      </c>
      <c r="B35" s="164">
        <v>0.43057962750000001</v>
      </c>
      <c r="C35" s="141">
        <v>0.43035774630000001</v>
      </c>
    </row>
    <row r="36" spans="1:4">
      <c r="A36" s="46">
        <f t="shared" si="0"/>
        <v>2009</v>
      </c>
      <c r="B36" s="164">
        <v>0.41164935930000002</v>
      </c>
      <c r="C36" s="141">
        <v>0.42321198199999999</v>
      </c>
    </row>
    <row r="37" spans="1:4">
      <c r="A37" s="46">
        <f t="shared" si="0"/>
        <v>2010</v>
      </c>
      <c r="B37" s="141">
        <v>0.34936498859999998</v>
      </c>
      <c r="C37" s="141">
        <v>0.38271425980000001</v>
      </c>
    </row>
    <row r="38" spans="1:4">
      <c r="A38" s="46">
        <f t="shared" si="0"/>
        <v>2011</v>
      </c>
      <c r="B38" s="141">
        <v>0.32701906859999996</v>
      </c>
      <c r="C38" s="141">
        <v>0.38049148220000001</v>
      </c>
    </row>
    <row r="39" spans="1:4">
      <c r="A39" s="46">
        <f t="shared" si="0"/>
        <v>2012</v>
      </c>
      <c r="B39" s="141">
        <v>0.3358842474</v>
      </c>
      <c r="C39" s="141">
        <v>0.38080871690000001</v>
      </c>
    </row>
    <row r="40" spans="1:4">
      <c r="A40" s="46">
        <f t="shared" si="0"/>
        <v>2013</v>
      </c>
      <c r="B40" s="141">
        <v>0.31979945339999993</v>
      </c>
      <c r="C40" s="141">
        <v>0.37268698140000001</v>
      </c>
    </row>
    <row r="41" spans="1:4">
      <c r="A41" s="46">
        <f t="shared" si="0"/>
        <v>2014</v>
      </c>
      <c r="B41" s="141">
        <v>0.31377650329999995</v>
      </c>
      <c r="C41" s="141">
        <v>0.364711497</v>
      </c>
    </row>
    <row r="42" spans="1:4">
      <c r="A42" s="46">
        <f t="shared" si="0"/>
        <v>2015</v>
      </c>
      <c r="B42" s="141">
        <v>0.31377650329999995</v>
      </c>
      <c r="C42" s="141">
        <v>0.364711497</v>
      </c>
    </row>
    <row r="43" spans="1:4">
      <c r="A43" s="674">
        <f t="shared" si="0"/>
        <v>2016</v>
      </c>
      <c r="B43" s="675">
        <v>0.31409338920000007</v>
      </c>
      <c r="C43" s="675">
        <v>0.37111370539999999</v>
      </c>
      <c r="D43" s="676" t="s">
        <v>790</v>
      </c>
    </row>
    <row r="44" spans="1:4">
      <c r="A44" s="674">
        <f t="shared" si="0"/>
        <v>2017</v>
      </c>
      <c r="B44" s="675">
        <v>0.31056123609999997</v>
      </c>
      <c r="C44" s="675">
        <v>0.36640330669999999</v>
      </c>
      <c r="D44" s="676"/>
    </row>
    <row r="45" spans="1:4">
      <c r="A45" s="674">
        <f t="shared" si="0"/>
        <v>2018</v>
      </c>
      <c r="B45" s="675">
        <v>0.34405233889999998</v>
      </c>
      <c r="C45" s="675">
        <v>0.39356895250000001</v>
      </c>
      <c r="D45" s="676"/>
    </row>
    <row r="46" spans="1:4">
      <c r="A46" s="674">
        <f t="shared" si="0"/>
        <v>2019</v>
      </c>
      <c r="B46" s="675">
        <v>0.34116970170000005</v>
      </c>
      <c r="C46" s="675">
        <v>0.39001213959999997</v>
      </c>
      <c r="D46" s="676"/>
    </row>
    <row r="47" spans="1:4">
      <c r="A47" s="46"/>
    </row>
    <row r="48" spans="1:4">
      <c r="A48" s="601" t="s">
        <v>154</v>
      </c>
      <c r="B48" s="451"/>
      <c r="C48" s="451">
        <f>(C$43-C6)/C6</f>
        <v>0.69759782932728498</v>
      </c>
    </row>
    <row r="49" spans="1:3">
      <c r="A49" s="601" t="s">
        <v>596</v>
      </c>
      <c r="B49" s="451">
        <f>(B$43-B12)/B12</f>
        <v>0.60519748762488701</v>
      </c>
      <c r="C49" s="451">
        <f>(C$43-C12)/C12</f>
        <v>0.83775651669897211</v>
      </c>
    </row>
  </sheetData>
  <mergeCells count="2">
    <mergeCell ref="B4:B5"/>
    <mergeCell ref="C4:C5"/>
  </mergeCells>
  <hyperlinks>
    <hyperlink ref="L1" location="Index!A1" display="index" xr:uid="{1BAD8494-1777-47AF-BD7D-B4DB1C9C2E03}"/>
  </hyperlinks>
  <pageMargins left="0.7" right="0.7" top="0.75" bottom="0.75" header="0.3" footer="0.3"/>
  <pageSetup orientation="portrait" horizontalDpi="1200" verticalDpi="12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B9981A-74AC-4571-A341-9A8D5EDDA7D5}">
  <sheetPr>
    <tabColor theme="5" tint="0.79998168889431442"/>
  </sheetPr>
  <dimension ref="A1:T157"/>
  <sheetViews>
    <sheetView zoomScale="85" zoomScaleNormal="85" workbookViewId="0"/>
  </sheetViews>
  <sheetFormatPr defaultRowHeight="15"/>
  <cols>
    <col min="2" max="2" width="13.28515625" customWidth="1"/>
    <col min="3" max="3" width="13.85546875" customWidth="1"/>
    <col min="4" max="4" width="11.28515625" customWidth="1"/>
    <col min="5" max="5" width="11" customWidth="1"/>
    <col min="12" max="12" width="10.5703125" customWidth="1"/>
    <col min="13" max="13" width="11.42578125" customWidth="1"/>
    <col min="14" max="14" width="11.140625" customWidth="1"/>
    <col min="15" max="15" width="11.42578125" customWidth="1"/>
    <col min="16" max="16" width="6.42578125" customWidth="1"/>
    <col min="17" max="17" width="13.42578125" style="436" customWidth="1"/>
    <col min="18" max="18" width="10.5703125" style="436" customWidth="1"/>
    <col min="19" max="20" width="9.140625" style="436"/>
  </cols>
  <sheetData>
    <row r="1" spans="1:20" ht="15.75">
      <c r="A1" s="397" t="s">
        <v>386</v>
      </c>
      <c r="K1" s="641" t="s">
        <v>762</v>
      </c>
    </row>
    <row r="2" spans="1:20">
      <c r="Q2" s="806" t="s">
        <v>467</v>
      </c>
      <c r="R2" s="806"/>
      <c r="S2" s="806"/>
      <c r="T2" s="806"/>
    </row>
    <row r="3" spans="1:20" ht="16.5" thickBot="1">
      <c r="A3" s="316"/>
      <c r="D3" s="316"/>
      <c r="E3" s="316"/>
      <c r="F3" s="316"/>
      <c r="G3" s="316"/>
      <c r="H3" s="316"/>
      <c r="I3" s="316"/>
      <c r="J3" s="316"/>
      <c r="K3" s="316"/>
      <c r="L3" s="316"/>
      <c r="M3" s="316"/>
      <c r="N3" s="316"/>
      <c r="O3" s="316"/>
      <c r="P3" s="316"/>
      <c r="T3" s="436" t="s">
        <v>396</v>
      </c>
    </row>
    <row r="4" spans="1:20" ht="18.75" thickTop="1">
      <c r="A4" s="807" t="s">
        <v>357</v>
      </c>
      <c r="B4" s="808"/>
      <c r="C4" s="808"/>
      <c r="D4" s="808"/>
      <c r="E4" s="808"/>
      <c r="F4" s="808"/>
      <c r="G4" s="808"/>
      <c r="H4" s="808"/>
      <c r="I4" s="808"/>
      <c r="J4" s="808"/>
      <c r="K4" s="808"/>
      <c r="L4" s="808"/>
      <c r="M4" s="808"/>
      <c r="N4" s="808"/>
      <c r="O4" s="809"/>
      <c r="P4" s="316"/>
      <c r="Q4" s="447">
        <v>221081000</v>
      </c>
      <c r="R4" s="438" t="s">
        <v>403</v>
      </c>
      <c r="T4" s="438" t="s">
        <v>395</v>
      </c>
    </row>
    <row r="5" spans="1:20" ht="15.75">
      <c r="A5" s="386"/>
      <c r="B5" s="385"/>
      <c r="C5" s="385"/>
      <c r="D5" s="385"/>
      <c r="E5" s="385"/>
      <c r="F5" s="385"/>
      <c r="G5" s="385"/>
      <c r="H5" s="385"/>
      <c r="I5" s="385"/>
      <c r="J5" s="385"/>
      <c r="K5" s="385"/>
      <c r="L5" s="385"/>
      <c r="M5" s="385"/>
      <c r="N5" s="385"/>
      <c r="O5" s="384"/>
      <c r="P5" s="316"/>
      <c r="Q5" s="448">
        <f>SUM(B10:B136)</f>
        <v>197465484</v>
      </c>
      <c r="R5" s="439" t="s">
        <v>402</v>
      </c>
    </row>
    <row r="6" spans="1:20" ht="15.75">
      <c r="A6" s="383"/>
      <c r="B6" s="382" t="s">
        <v>34</v>
      </c>
      <c r="C6" s="382" t="s">
        <v>35</v>
      </c>
      <c r="D6" s="382" t="s">
        <v>36</v>
      </c>
      <c r="E6" s="382" t="s">
        <v>37</v>
      </c>
      <c r="F6" s="382" t="s">
        <v>38</v>
      </c>
      <c r="G6" s="382" t="s">
        <v>39</v>
      </c>
      <c r="H6" s="382" t="s">
        <v>40</v>
      </c>
      <c r="I6" s="382" t="s">
        <v>41</v>
      </c>
      <c r="J6" s="382" t="s">
        <v>42</v>
      </c>
      <c r="K6" s="382" t="s">
        <v>43</v>
      </c>
      <c r="L6" s="382" t="s">
        <v>44</v>
      </c>
      <c r="M6" s="382" t="s">
        <v>45</v>
      </c>
      <c r="N6" s="382" t="s">
        <v>46</v>
      </c>
      <c r="O6" s="387" t="s">
        <v>47</v>
      </c>
      <c r="P6" s="316"/>
      <c r="Q6" s="436" t="s">
        <v>404</v>
      </c>
      <c r="R6" s="449">
        <f>(Q4-Q5)/Q4</f>
        <v>0.10681838783070459</v>
      </c>
    </row>
    <row r="7" spans="1:20" ht="15.75">
      <c r="A7" s="381"/>
      <c r="B7" s="810" t="s">
        <v>358</v>
      </c>
      <c r="C7" s="811"/>
      <c r="D7" s="811"/>
      <c r="E7" s="811"/>
      <c r="F7" s="811"/>
      <c r="G7" s="811"/>
      <c r="H7" s="811"/>
      <c r="I7" s="811"/>
      <c r="J7" s="811"/>
      <c r="K7" s="811"/>
      <c r="L7" s="811"/>
      <c r="M7" s="811"/>
      <c r="N7" s="811"/>
      <c r="O7" s="812"/>
      <c r="P7" s="316"/>
      <c r="Q7" s="439"/>
      <c r="R7" s="439"/>
    </row>
    <row r="8" spans="1:20" ht="15.75">
      <c r="A8" s="380">
        <v>2010</v>
      </c>
      <c r="B8" s="379"/>
      <c r="C8" s="813" t="s">
        <v>359</v>
      </c>
      <c r="D8" s="814"/>
      <c r="E8" s="815" t="s">
        <v>360</v>
      </c>
      <c r="F8" s="814"/>
      <c r="G8" s="814"/>
      <c r="H8" s="814"/>
      <c r="I8" s="814"/>
      <c r="J8" s="814"/>
      <c r="K8" s="816"/>
      <c r="L8" s="814" t="s">
        <v>361</v>
      </c>
      <c r="M8" s="814"/>
      <c r="N8" s="814"/>
      <c r="O8" s="389" t="s">
        <v>359</v>
      </c>
      <c r="P8" s="348"/>
      <c r="Q8" s="440"/>
      <c r="R8" s="440"/>
    </row>
    <row r="9" spans="1:20" ht="72" customHeight="1">
      <c r="A9" s="378" t="s">
        <v>362</v>
      </c>
      <c r="B9" s="377" t="s">
        <v>363</v>
      </c>
      <c r="C9" s="388" t="s">
        <v>364</v>
      </c>
      <c r="D9" s="374" t="s">
        <v>365</v>
      </c>
      <c r="E9" s="376" t="s">
        <v>126</v>
      </c>
      <c r="F9" s="374" t="s">
        <v>49</v>
      </c>
      <c r="G9" s="374" t="s">
        <v>366</v>
      </c>
      <c r="H9" s="374" t="s">
        <v>367</v>
      </c>
      <c r="I9" s="374" t="s">
        <v>368</v>
      </c>
      <c r="J9" s="374" t="s">
        <v>50</v>
      </c>
      <c r="K9" s="375" t="s">
        <v>231</v>
      </c>
      <c r="L9" s="374" t="s">
        <v>369</v>
      </c>
      <c r="M9" s="374" t="s">
        <v>370</v>
      </c>
      <c r="N9" s="374" t="s">
        <v>371</v>
      </c>
      <c r="O9" s="390" t="s">
        <v>371</v>
      </c>
      <c r="P9" s="373"/>
      <c r="Q9" s="441" t="s">
        <v>387</v>
      </c>
      <c r="R9" s="441" t="s">
        <v>391</v>
      </c>
      <c r="S9" s="442" t="s">
        <v>231</v>
      </c>
      <c r="T9" s="442" t="s">
        <v>394</v>
      </c>
    </row>
    <row r="10" spans="1:20" ht="15.75">
      <c r="A10" s="366">
        <v>0</v>
      </c>
      <c r="B10" s="362">
        <v>1973769</v>
      </c>
      <c r="C10" s="372">
        <v>7815</v>
      </c>
      <c r="D10" s="367">
        <v>1974</v>
      </c>
      <c r="E10" s="371">
        <v>0.25259116291999817</v>
      </c>
      <c r="F10" s="369">
        <v>0.12616762518882751</v>
      </c>
      <c r="G10" s="369">
        <v>4.0946896187961102E-3</v>
      </c>
      <c r="H10" s="369">
        <v>4.6065258793532848E-3</v>
      </c>
      <c r="I10" s="369">
        <v>1.4331414364278316E-2</v>
      </c>
      <c r="J10" s="369">
        <v>0</v>
      </c>
      <c r="K10" s="370">
        <v>0.10351887345314026</v>
      </c>
      <c r="L10" s="369">
        <v>0.5924504158669226</v>
      </c>
      <c r="M10" s="369">
        <v>-1.7914267434420985E-3</v>
      </c>
      <c r="N10" s="368">
        <v>0.21177223288547664</v>
      </c>
      <c r="O10" s="391">
        <v>1655</v>
      </c>
      <c r="P10" s="316"/>
      <c r="Q10" s="443">
        <f>B10*$C10/1000000000</f>
        <v>15.425004735</v>
      </c>
      <c r="R10" s="443">
        <f>D10*$B10/1000000000</f>
        <v>3.8962200060000001</v>
      </c>
      <c r="S10" s="443">
        <f>B10*K10*$C10/1000000000</f>
        <v>1.5967791131765543</v>
      </c>
      <c r="T10" s="444">
        <f>S10*6.2/(6.2+1.45)</f>
        <v>1.2941216342084492</v>
      </c>
    </row>
    <row r="11" spans="1:20" ht="15.75">
      <c r="A11" s="366">
        <v>1</v>
      </c>
      <c r="B11" s="362">
        <v>1974789</v>
      </c>
      <c r="C11" s="361">
        <v>8313</v>
      </c>
      <c r="D11" s="360">
        <v>2144</v>
      </c>
      <c r="E11" s="339">
        <v>0.25790929794311523</v>
      </c>
      <c r="F11" s="358">
        <v>0.12257909029722214</v>
      </c>
      <c r="G11" s="358">
        <v>4.811740480363369E-3</v>
      </c>
      <c r="H11" s="358">
        <v>4.0899794548749924E-3</v>
      </c>
      <c r="I11" s="358">
        <v>1.672079786658287E-2</v>
      </c>
      <c r="J11" s="358">
        <v>0</v>
      </c>
      <c r="K11" s="359">
        <v>0.10982798039913177</v>
      </c>
      <c r="L11" s="358">
        <v>0.59894141705762061</v>
      </c>
      <c r="M11" s="358">
        <v>-1.5638157103332131E-3</v>
      </c>
      <c r="N11" s="357">
        <v>0.33056658246120535</v>
      </c>
      <c r="O11" s="392">
        <v>2748</v>
      </c>
      <c r="P11" s="316"/>
      <c r="Q11" s="443">
        <f t="shared" ref="Q11:Q74" si="0">B11*$C11/1000000000</f>
        <v>16.416420957</v>
      </c>
      <c r="R11" s="443">
        <f t="shared" ref="R11:R74" si="1">D11*$B11/1000000000</f>
        <v>4.233947616</v>
      </c>
      <c r="S11" s="443">
        <f t="shared" ref="S11:S74" si="2">B11*K11*$C11/1000000000</f>
        <v>1.8029823590892919</v>
      </c>
      <c r="T11" s="444">
        <f t="shared" ref="T11:T74" si="3">S11*6.2/(6.2+1.45)</f>
        <v>1.4612406047521058</v>
      </c>
    </row>
    <row r="12" spans="1:20" ht="15.75">
      <c r="A12" s="366">
        <v>2</v>
      </c>
      <c r="B12" s="362">
        <v>1973991</v>
      </c>
      <c r="C12" s="361">
        <v>8785</v>
      </c>
      <c r="D12" s="360">
        <v>2200</v>
      </c>
      <c r="E12" s="339">
        <v>0.25042685866355896</v>
      </c>
      <c r="F12" s="358">
        <v>0.12145702540874481</v>
      </c>
      <c r="G12" s="358">
        <v>5.5776890367269516E-3</v>
      </c>
      <c r="H12" s="358">
        <v>5.0085373222827911E-3</v>
      </c>
      <c r="I12" s="358">
        <v>1.4342629350721836E-2</v>
      </c>
      <c r="J12" s="358">
        <v>0</v>
      </c>
      <c r="K12" s="359">
        <v>0.1041548103094101</v>
      </c>
      <c r="L12" s="358">
        <v>0.60125213431986335</v>
      </c>
      <c r="M12" s="358">
        <v>1.5936254980079682E-3</v>
      </c>
      <c r="N12" s="357">
        <v>0.18110415480933409</v>
      </c>
      <c r="O12" s="392">
        <v>1591</v>
      </c>
      <c r="P12" s="316"/>
      <c r="Q12" s="443">
        <f t="shared" si="0"/>
        <v>17.341510934999999</v>
      </c>
      <c r="R12" s="443">
        <f t="shared" si="1"/>
        <v>4.3427802</v>
      </c>
      <c r="S12" s="443">
        <f t="shared" si="2"/>
        <v>1.8062017819134859</v>
      </c>
      <c r="T12" s="444">
        <f t="shared" si="3"/>
        <v>1.4638498101782498</v>
      </c>
    </row>
    <row r="13" spans="1:20" ht="15.75">
      <c r="A13" s="366">
        <v>3</v>
      </c>
      <c r="B13" s="362">
        <v>1973937</v>
      </c>
      <c r="C13" s="361">
        <v>9236</v>
      </c>
      <c r="D13" s="360">
        <v>2225</v>
      </c>
      <c r="E13" s="339">
        <v>0.24090515077114105</v>
      </c>
      <c r="F13" s="358">
        <v>0.12039843946695328</v>
      </c>
      <c r="G13" s="358">
        <v>3.6812473554164171E-3</v>
      </c>
      <c r="H13" s="358">
        <v>4.7639668919146061E-3</v>
      </c>
      <c r="I13" s="358">
        <v>1.2343005277216434E-2</v>
      </c>
      <c r="J13" s="358">
        <v>0</v>
      </c>
      <c r="K13" s="359">
        <v>9.9718496203422546E-2</v>
      </c>
      <c r="L13" s="358">
        <v>0.58109571242962321</v>
      </c>
      <c r="M13" s="358">
        <v>-1.6240796881766999E-3</v>
      </c>
      <c r="N13" s="357">
        <v>0.37700303161541793</v>
      </c>
      <c r="O13" s="392">
        <v>3482</v>
      </c>
      <c r="P13" s="316"/>
      <c r="Q13" s="443">
        <f t="shared" si="0"/>
        <v>18.231282132</v>
      </c>
      <c r="R13" s="443">
        <f t="shared" si="1"/>
        <v>4.3920098249999997</v>
      </c>
      <c r="S13" s="443">
        <f t="shared" si="2"/>
        <v>1.8179960380633673</v>
      </c>
      <c r="T13" s="444">
        <f t="shared" si="3"/>
        <v>1.4734085537245591</v>
      </c>
    </row>
    <row r="14" spans="1:20" ht="15.75">
      <c r="A14" s="366">
        <v>4</v>
      </c>
      <c r="B14" s="362">
        <v>1976509</v>
      </c>
      <c r="C14" s="361">
        <v>9693</v>
      </c>
      <c r="D14" s="360">
        <v>2433</v>
      </c>
      <c r="E14" s="339">
        <v>0.25100588798522949</v>
      </c>
      <c r="F14" s="358">
        <v>0.12101516872644424</v>
      </c>
      <c r="G14" s="358">
        <v>7.0153716951608658E-3</v>
      </c>
      <c r="H14" s="358">
        <v>4.1266893967986107E-3</v>
      </c>
      <c r="I14" s="358">
        <v>1.4856081455945969E-2</v>
      </c>
      <c r="J14" s="358">
        <v>0</v>
      </c>
      <c r="K14" s="359">
        <v>0.10409574210643768</v>
      </c>
      <c r="L14" s="358">
        <v>0.58310120705663882</v>
      </c>
      <c r="M14" s="358">
        <v>-1.9601774476426287E-3</v>
      </c>
      <c r="N14" s="357">
        <v>0.17187661198803261</v>
      </c>
      <c r="O14" s="392">
        <v>1666</v>
      </c>
      <c r="P14" s="316"/>
      <c r="Q14" s="443">
        <f t="shared" si="0"/>
        <v>19.158301736999999</v>
      </c>
      <c r="R14" s="443">
        <f t="shared" si="1"/>
        <v>4.8088463969999999</v>
      </c>
      <c r="S14" s="443">
        <f t="shared" si="2"/>
        <v>1.9942976368120693</v>
      </c>
      <c r="T14" s="444">
        <f t="shared" si="3"/>
        <v>1.6162935095731803</v>
      </c>
    </row>
    <row r="15" spans="1:20" ht="15.75">
      <c r="A15" s="366">
        <v>5</v>
      </c>
      <c r="B15" s="362">
        <v>1973854</v>
      </c>
      <c r="C15" s="361">
        <v>10180</v>
      </c>
      <c r="D15" s="360">
        <v>2579</v>
      </c>
      <c r="E15" s="339">
        <v>0.25333988666534424</v>
      </c>
      <c r="F15" s="358">
        <v>0.11787819117307663</v>
      </c>
      <c r="G15" s="358">
        <v>6.3850688748061657E-3</v>
      </c>
      <c r="H15" s="358">
        <v>4.813359584659338E-3</v>
      </c>
      <c r="I15" s="358">
        <v>1.5520628541707993E-2</v>
      </c>
      <c r="J15" s="358">
        <v>0</v>
      </c>
      <c r="K15" s="359">
        <v>0.10874263197183609</v>
      </c>
      <c r="L15" s="358">
        <v>0.62436149312377209</v>
      </c>
      <c r="M15" s="358">
        <v>1.9646365422396856E-4</v>
      </c>
      <c r="N15" s="357">
        <v>0.4494106090373281</v>
      </c>
      <c r="O15" s="392">
        <v>4575</v>
      </c>
      <c r="P15" s="316"/>
      <c r="Q15" s="443">
        <f t="shared" si="0"/>
        <v>20.093833719999999</v>
      </c>
      <c r="R15" s="443">
        <f t="shared" si="1"/>
        <v>5.0905694659999998</v>
      </c>
      <c r="S15" s="443">
        <f t="shared" si="2"/>
        <v>2.1850563651172301</v>
      </c>
      <c r="T15" s="444">
        <f t="shared" si="3"/>
        <v>1.7708953547355328</v>
      </c>
    </row>
    <row r="16" spans="1:20" ht="15.75">
      <c r="A16" s="366">
        <v>6</v>
      </c>
      <c r="B16" s="362">
        <v>1974449</v>
      </c>
      <c r="C16" s="361">
        <v>10660</v>
      </c>
      <c r="D16" s="360">
        <v>2575</v>
      </c>
      <c r="E16" s="339">
        <v>0.24155722558498383</v>
      </c>
      <c r="F16" s="358">
        <v>0.11575984954833984</v>
      </c>
      <c r="G16" s="358">
        <v>5.8161350898444653E-3</v>
      </c>
      <c r="H16" s="358">
        <v>5.8161350898444653E-3</v>
      </c>
      <c r="I16" s="358">
        <v>1.4258911833167076E-2</v>
      </c>
      <c r="J16" s="358">
        <v>0</v>
      </c>
      <c r="K16" s="359">
        <v>9.9906191229820251E-2</v>
      </c>
      <c r="L16" s="358">
        <v>0.57082551594746722</v>
      </c>
      <c r="M16" s="358">
        <v>-1.125703564727955E-3</v>
      </c>
      <c r="N16" s="357">
        <v>0.55300187617260788</v>
      </c>
      <c r="O16" s="392">
        <v>5895</v>
      </c>
      <c r="P16" s="316"/>
      <c r="Q16" s="443">
        <f t="shared" si="0"/>
        <v>21.047626340000001</v>
      </c>
      <c r="R16" s="443">
        <f t="shared" si="1"/>
        <v>5.0842061750000003</v>
      </c>
      <c r="S16" s="443">
        <f t="shared" si="2"/>
        <v>2.1027881820578416</v>
      </c>
      <c r="T16" s="444">
        <f t="shared" si="3"/>
        <v>1.7042204874194271</v>
      </c>
    </row>
    <row r="17" spans="1:20" ht="15.75">
      <c r="A17" s="366">
        <v>7</v>
      </c>
      <c r="B17" s="362">
        <v>1975676</v>
      </c>
      <c r="C17" s="361">
        <v>11130</v>
      </c>
      <c r="D17" s="360">
        <v>2799</v>
      </c>
      <c r="E17" s="339">
        <v>0.25148248672485352</v>
      </c>
      <c r="F17" s="358">
        <v>0.11491464823484421</v>
      </c>
      <c r="G17" s="358">
        <v>7.4573224410414696E-3</v>
      </c>
      <c r="H17" s="358">
        <v>5.4806829430162907E-3</v>
      </c>
      <c r="I17" s="358">
        <v>1.4195866882801056E-2</v>
      </c>
      <c r="J17" s="358">
        <v>0</v>
      </c>
      <c r="K17" s="359">
        <v>0.10934411734342575</v>
      </c>
      <c r="L17" s="358">
        <v>0.65705300988319859</v>
      </c>
      <c r="M17" s="358">
        <v>-1.0781671159029651E-3</v>
      </c>
      <c r="N17" s="357">
        <v>0.49415992812219228</v>
      </c>
      <c r="O17" s="392">
        <v>5500</v>
      </c>
      <c r="P17" s="316"/>
      <c r="Q17" s="443">
        <f t="shared" si="0"/>
        <v>21.989273879999999</v>
      </c>
      <c r="R17" s="443">
        <f t="shared" si="1"/>
        <v>5.5299171239999998</v>
      </c>
      <c r="S17" s="443">
        <f t="shared" si="2"/>
        <v>2.404397743431447</v>
      </c>
      <c r="T17" s="444">
        <f t="shared" si="3"/>
        <v>1.9486622234346367</v>
      </c>
    </row>
    <row r="18" spans="1:20" ht="15.75">
      <c r="A18" s="366">
        <v>8</v>
      </c>
      <c r="B18" s="362">
        <v>1973525</v>
      </c>
      <c r="C18" s="361">
        <v>11628</v>
      </c>
      <c r="D18" s="360">
        <v>2793</v>
      </c>
      <c r="E18" s="339">
        <v>0.24019607901573181</v>
      </c>
      <c r="F18" s="358">
        <v>0.11369109153747559</v>
      </c>
      <c r="G18" s="358">
        <v>5.5899554863572121E-3</v>
      </c>
      <c r="H18" s="358">
        <v>5.67595474421978E-3</v>
      </c>
      <c r="I18" s="358">
        <v>1.315789483487606E-2</v>
      </c>
      <c r="J18" s="358">
        <v>0</v>
      </c>
      <c r="K18" s="359">
        <v>0.10208118706941605</v>
      </c>
      <c r="L18" s="358">
        <v>0.57800137598899204</v>
      </c>
      <c r="M18" s="358">
        <v>-1.4619883040935672E-3</v>
      </c>
      <c r="N18" s="357">
        <v>0.48753009975920192</v>
      </c>
      <c r="O18" s="392">
        <v>5669</v>
      </c>
      <c r="P18" s="316"/>
      <c r="Q18" s="443">
        <f t="shared" si="0"/>
        <v>22.948148700000001</v>
      </c>
      <c r="R18" s="443">
        <f t="shared" si="1"/>
        <v>5.5120553250000004</v>
      </c>
      <c r="S18" s="443">
        <f t="shared" si="2"/>
        <v>2.3425742603414763</v>
      </c>
      <c r="T18" s="444">
        <f t="shared" si="3"/>
        <v>1.8985569168780592</v>
      </c>
    </row>
    <row r="19" spans="1:20" ht="15.75">
      <c r="A19" s="366">
        <v>9</v>
      </c>
      <c r="B19" s="362">
        <v>1975376</v>
      </c>
      <c r="C19" s="361">
        <v>12096</v>
      </c>
      <c r="D19" s="360">
        <v>2975</v>
      </c>
      <c r="E19" s="339">
        <v>0.24594907462596893</v>
      </c>
      <c r="F19" s="358">
        <v>0.11102844029664993</v>
      </c>
      <c r="G19" s="358">
        <v>4.9603176303207874E-3</v>
      </c>
      <c r="H19" s="358">
        <v>5.7043652050197124E-3</v>
      </c>
      <c r="I19" s="358">
        <v>1.46329365670681E-2</v>
      </c>
      <c r="J19" s="358">
        <v>0</v>
      </c>
      <c r="K19" s="359">
        <v>0.1096230149269104</v>
      </c>
      <c r="L19" s="358">
        <v>0.61359126984126988</v>
      </c>
      <c r="M19" s="358">
        <v>-1.0747354497354497E-3</v>
      </c>
      <c r="N19" s="357">
        <v>0.58060515873015872</v>
      </c>
      <c r="O19" s="392">
        <v>7023</v>
      </c>
      <c r="P19" s="316"/>
      <c r="Q19" s="443">
        <f t="shared" si="0"/>
        <v>23.894148095999999</v>
      </c>
      <c r="R19" s="443">
        <f t="shared" si="1"/>
        <v>5.8767436000000002</v>
      </c>
      <c r="S19" s="443">
        <f t="shared" si="2"/>
        <v>2.6193485533936158</v>
      </c>
      <c r="T19" s="444">
        <f t="shared" si="3"/>
        <v>2.1228707230118196</v>
      </c>
    </row>
    <row r="20" spans="1:20" ht="15.75">
      <c r="A20" s="366">
        <v>10</v>
      </c>
      <c r="B20" s="362">
        <v>1974207</v>
      </c>
      <c r="C20" s="361">
        <v>12589</v>
      </c>
      <c r="D20" s="360">
        <v>2995</v>
      </c>
      <c r="E20" s="339">
        <v>0.23790611326694489</v>
      </c>
      <c r="F20" s="358">
        <v>0.10779251903295517</v>
      </c>
      <c r="G20" s="358">
        <v>4.9249343574047089E-3</v>
      </c>
      <c r="H20" s="358">
        <v>6.1164507642388344E-3</v>
      </c>
      <c r="I20" s="358">
        <v>1.4298196882009506E-2</v>
      </c>
      <c r="J20" s="358">
        <v>0</v>
      </c>
      <c r="K20" s="359">
        <v>0.10469457507133484</v>
      </c>
      <c r="L20" s="358">
        <v>0.5966319803002621</v>
      </c>
      <c r="M20" s="358">
        <v>-1.6681229644928111E-3</v>
      </c>
      <c r="N20" s="357">
        <v>0.49217570895225993</v>
      </c>
      <c r="O20" s="392">
        <v>6196</v>
      </c>
      <c r="P20" s="316"/>
      <c r="Q20" s="443">
        <f t="shared" si="0"/>
        <v>24.853291923</v>
      </c>
      <c r="R20" s="443">
        <f t="shared" si="1"/>
        <v>5.9127499649999997</v>
      </c>
      <c r="S20" s="443">
        <f t="shared" si="2"/>
        <v>2.602004837002323</v>
      </c>
      <c r="T20" s="444">
        <f t="shared" si="3"/>
        <v>2.1088143777012291</v>
      </c>
    </row>
    <row r="21" spans="1:20" ht="15.75">
      <c r="A21" s="366">
        <v>11</v>
      </c>
      <c r="B21" s="362">
        <v>1972616</v>
      </c>
      <c r="C21" s="361">
        <v>13059</v>
      </c>
      <c r="D21" s="360">
        <v>3104</v>
      </c>
      <c r="E21" s="339">
        <v>0.23769047856330872</v>
      </c>
      <c r="F21" s="358">
        <v>0.10414274036884308</v>
      </c>
      <c r="G21" s="358">
        <v>5.1305610686540604E-3</v>
      </c>
      <c r="H21" s="358">
        <v>5.0539858639240265E-3</v>
      </c>
      <c r="I21" s="358">
        <v>1.2634964659810066E-2</v>
      </c>
      <c r="J21" s="358">
        <v>0</v>
      </c>
      <c r="K21" s="359">
        <v>0.11072823405265808</v>
      </c>
      <c r="L21" s="358">
        <v>0.64775250784899308</v>
      </c>
      <c r="M21" s="358">
        <v>-1.3017842101232867E-3</v>
      </c>
      <c r="N21" s="357">
        <v>0.22903744543992649</v>
      </c>
      <c r="O21" s="392">
        <v>2991</v>
      </c>
      <c r="P21" s="316"/>
      <c r="Q21" s="443">
        <f t="shared" si="0"/>
        <v>25.760392344</v>
      </c>
      <c r="R21" s="443">
        <f t="shared" si="1"/>
        <v>6.1230000640000002</v>
      </c>
      <c r="S21" s="443">
        <f t="shared" si="2"/>
        <v>2.8524027527547329</v>
      </c>
      <c r="T21" s="444">
        <f t="shared" si="3"/>
        <v>2.3117512505986069</v>
      </c>
    </row>
    <row r="22" spans="1:20" ht="15.75">
      <c r="A22" s="366">
        <v>12</v>
      </c>
      <c r="B22" s="362">
        <v>1977786</v>
      </c>
      <c r="C22" s="361">
        <v>13565</v>
      </c>
      <c r="D22" s="360">
        <v>3336</v>
      </c>
      <c r="E22" s="339">
        <v>0.24592702090740204</v>
      </c>
      <c r="F22" s="358">
        <v>0.10637670755386353</v>
      </c>
      <c r="G22" s="358">
        <v>5.5289347656071186E-3</v>
      </c>
      <c r="H22" s="358">
        <v>5.6763729080557823E-3</v>
      </c>
      <c r="I22" s="358">
        <v>1.2532251887023449E-2</v>
      </c>
      <c r="J22" s="358">
        <v>0</v>
      </c>
      <c r="K22" s="359">
        <v>0.11573903262615204</v>
      </c>
      <c r="L22" s="358">
        <v>0.67976409878363431</v>
      </c>
      <c r="M22" s="358">
        <v>-5.1603391079985258E-4</v>
      </c>
      <c r="N22" s="357">
        <v>0.39970512347954296</v>
      </c>
      <c r="O22" s="392">
        <v>5422</v>
      </c>
      <c r="P22" s="316"/>
      <c r="Q22" s="443">
        <f t="shared" si="0"/>
        <v>26.82866709</v>
      </c>
      <c r="R22" s="443">
        <f t="shared" si="1"/>
        <v>6.5978940960000001</v>
      </c>
      <c r="S22" s="443">
        <f t="shared" si="2"/>
        <v>3.1051239756456814</v>
      </c>
      <c r="T22" s="444">
        <f t="shared" si="3"/>
        <v>2.5165710652291797</v>
      </c>
    </row>
    <row r="23" spans="1:20" ht="15.75">
      <c r="A23" s="366">
        <v>13</v>
      </c>
      <c r="B23" s="362">
        <v>1974212</v>
      </c>
      <c r="C23" s="361">
        <v>14071</v>
      </c>
      <c r="D23" s="360">
        <v>3329</v>
      </c>
      <c r="E23" s="339">
        <v>0.23658588528633118</v>
      </c>
      <c r="F23" s="358">
        <v>0.10297775268554688</v>
      </c>
      <c r="G23" s="358">
        <v>6.3961339183151722E-3</v>
      </c>
      <c r="H23" s="358">
        <v>6.2539977952837944E-3</v>
      </c>
      <c r="I23" s="358">
        <v>1.3005471788346767E-2</v>
      </c>
      <c r="J23" s="358">
        <v>0</v>
      </c>
      <c r="K23" s="359">
        <v>0.10802359133958817</v>
      </c>
      <c r="L23" s="358">
        <v>0.63840523061616095</v>
      </c>
      <c r="M23" s="358">
        <v>-9.2388600668040651E-4</v>
      </c>
      <c r="N23" s="357">
        <v>0.52824959135811245</v>
      </c>
      <c r="O23" s="392">
        <v>7433</v>
      </c>
      <c r="P23" s="316"/>
      <c r="Q23" s="443">
        <f t="shared" si="0"/>
        <v>27.779137051999999</v>
      </c>
      <c r="R23" s="443">
        <f t="shared" si="1"/>
        <v>6.5721517479999996</v>
      </c>
      <c r="S23" s="443">
        <f t="shared" si="2"/>
        <v>3.0008021486716601</v>
      </c>
      <c r="T23" s="444">
        <f t="shared" si="3"/>
        <v>2.4320226564397771</v>
      </c>
    </row>
    <row r="24" spans="1:20" ht="15.75">
      <c r="A24" s="366">
        <v>14</v>
      </c>
      <c r="B24" s="362">
        <v>1974674</v>
      </c>
      <c r="C24" s="361">
        <v>14582</v>
      </c>
      <c r="D24" s="360">
        <v>3471</v>
      </c>
      <c r="E24" s="339">
        <v>0.23803319036960602</v>
      </c>
      <c r="F24" s="358">
        <v>9.9300511181354523E-2</v>
      </c>
      <c r="G24" s="358">
        <v>5.6919488124549389E-3</v>
      </c>
      <c r="H24" s="358">
        <v>6.6520366817712784E-3</v>
      </c>
      <c r="I24" s="358">
        <v>1.440131664276123E-2</v>
      </c>
      <c r="J24" s="358">
        <v>0</v>
      </c>
      <c r="K24" s="359">
        <v>0.11198738217353821</v>
      </c>
      <c r="L24" s="358">
        <v>0.65560279797010013</v>
      </c>
      <c r="M24" s="358">
        <v>6.8577698532437247E-5</v>
      </c>
      <c r="N24" s="357">
        <v>0.53031134275133729</v>
      </c>
      <c r="O24" s="392">
        <v>7733</v>
      </c>
      <c r="P24" s="316"/>
      <c r="Q24" s="443">
        <f t="shared" si="0"/>
        <v>28.794696267999999</v>
      </c>
      <c r="R24" s="443">
        <f t="shared" si="1"/>
        <v>6.854093454</v>
      </c>
      <c r="S24" s="443">
        <f t="shared" si="2"/>
        <v>3.2246426555354706</v>
      </c>
      <c r="T24" s="444">
        <f t="shared" si="3"/>
        <v>2.613435877688878</v>
      </c>
    </row>
    <row r="25" spans="1:20" ht="15.75">
      <c r="A25" s="366">
        <v>15</v>
      </c>
      <c r="B25" s="362">
        <v>1974317</v>
      </c>
      <c r="C25" s="361">
        <v>15089</v>
      </c>
      <c r="D25" s="360">
        <v>3571</v>
      </c>
      <c r="E25" s="339">
        <v>0.23666246235370636</v>
      </c>
      <c r="F25" s="358">
        <v>9.6958048641681671E-2</v>
      </c>
      <c r="G25" s="358">
        <v>6.8924380466341972E-3</v>
      </c>
      <c r="H25" s="358">
        <v>6.693617906421423E-3</v>
      </c>
      <c r="I25" s="358">
        <v>1.1862946674227715E-2</v>
      </c>
      <c r="J25" s="358">
        <v>0</v>
      </c>
      <c r="K25" s="359">
        <v>0.11425542086362839</v>
      </c>
      <c r="L25" s="358">
        <v>0.67181390416859965</v>
      </c>
      <c r="M25" s="358">
        <v>-5.9646099807807011E-4</v>
      </c>
      <c r="N25" s="357">
        <v>0.55437736099145074</v>
      </c>
      <c r="O25" s="392">
        <v>8365</v>
      </c>
      <c r="P25" s="316"/>
      <c r="Q25" s="443">
        <f t="shared" si="0"/>
        <v>29.790469213000002</v>
      </c>
      <c r="R25" s="443">
        <f t="shared" si="1"/>
        <v>7.0502860070000004</v>
      </c>
      <c r="S25" s="443">
        <f t="shared" si="2"/>
        <v>3.4037225976562797</v>
      </c>
      <c r="T25" s="444">
        <f t="shared" si="3"/>
        <v>2.7585725628063962</v>
      </c>
    </row>
    <row r="26" spans="1:20" ht="15.75">
      <c r="A26" s="366">
        <v>16</v>
      </c>
      <c r="B26" s="362">
        <v>1974218</v>
      </c>
      <c r="C26" s="361">
        <v>15606</v>
      </c>
      <c r="D26" s="360">
        <v>3726</v>
      </c>
      <c r="E26" s="339">
        <v>0.23875433206558228</v>
      </c>
      <c r="F26" s="358">
        <v>9.6116878092288971E-2</v>
      </c>
      <c r="G26" s="358">
        <v>7.497116457670927E-3</v>
      </c>
      <c r="H26" s="358">
        <v>7.4330386705696583E-3</v>
      </c>
      <c r="I26" s="358">
        <v>1.2815583497285843E-2</v>
      </c>
      <c r="J26" s="358">
        <v>0</v>
      </c>
      <c r="K26" s="359">
        <v>0.11489170789718628</v>
      </c>
      <c r="L26" s="358">
        <v>0.68172497757272843</v>
      </c>
      <c r="M26" s="358">
        <v>-1.1534025374855825E-3</v>
      </c>
      <c r="N26" s="357">
        <v>0.7153658849160579</v>
      </c>
      <c r="O26" s="392">
        <v>11164</v>
      </c>
      <c r="P26" s="316"/>
      <c r="Q26" s="443">
        <f t="shared" si="0"/>
        <v>30.809646107999999</v>
      </c>
      <c r="R26" s="443">
        <f t="shared" si="1"/>
        <v>7.3559362679999998</v>
      </c>
      <c r="S26" s="443">
        <f t="shared" si="2"/>
        <v>3.5397728610560177</v>
      </c>
      <c r="T26" s="444">
        <f t="shared" si="3"/>
        <v>2.8688355213787333</v>
      </c>
    </row>
    <row r="27" spans="1:20" ht="15.75">
      <c r="A27" s="366">
        <v>17</v>
      </c>
      <c r="B27" s="362">
        <v>1975203</v>
      </c>
      <c r="C27" s="361">
        <v>16126</v>
      </c>
      <c r="D27" s="360">
        <v>3837</v>
      </c>
      <c r="E27" s="339">
        <v>0.23793873190879822</v>
      </c>
      <c r="F27" s="358">
        <v>9.6428126096725464E-2</v>
      </c>
      <c r="G27" s="358">
        <v>6.5112239681184292E-3</v>
      </c>
      <c r="H27" s="358">
        <v>6.8212822079658508E-3</v>
      </c>
      <c r="I27" s="358">
        <v>1.3332506641745567E-2</v>
      </c>
      <c r="J27" s="358">
        <v>0</v>
      </c>
      <c r="K27" s="359">
        <v>0.11484558880329132</v>
      </c>
      <c r="L27" s="358">
        <v>0.66724544214312287</v>
      </c>
      <c r="M27" s="358">
        <v>-6.8212824010914052E-4</v>
      </c>
      <c r="N27" s="357">
        <v>0.6844226714622349</v>
      </c>
      <c r="O27" s="392">
        <v>11037</v>
      </c>
      <c r="P27" s="316"/>
      <c r="Q27" s="443">
        <f t="shared" si="0"/>
        <v>31.852123578</v>
      </c>
      <c r="R27" s="443">
        <f t="shared" si="1"/>
        <v>7.5788539110000004</v>
      </c>
      <c r="S27" s="443">
        <f t="shared" si="2"/>
        <v>3.6580758869506083</v>
      </c>
      <c r="T27" s="444">
        <f t="shared" si="3"/>
        <v>2.9647150979207546</v>
      </c>
    </row>
    <row r="28" spans="1:20" ht="15.75">
      <c r="A28" s="366">
        <v>18</v>
      </c>
      <c r="B28" s="362">
        <v>1974425</v>
      </c>
      <c r="C28" s="361">
        <v>16689</v>
      </c>
      <c r="D28" s="360">
        <v>3998</v>
      </c>
      <c r="E28" s="339">
        <v>0.23955899477005005</v>
      </c>
      <c r="F28" s="358">
        <v>9.3594580888748169E-2</v>
      </c>
      <c r="G28" s="358">
        <v>8.8681168854236603E-3</v>
      </c>
      <c r="H28" s="358">
        <v>8.8081974536180496E-3</v>
      </c>
      <c r="I28" s="358">
        <v>1.4800167642533779E-2</v>
      </c>
      <c r="J28" s="358">
        <v>0</v>
      </c>
      <c r="K28" s="359">
        <v>0.11348792910575867</v>
      </c>
      <c r="L28" s="358">
        <v>0.67289831625621666</v>
      </c>
      <c r="M28" s="358">
        <v>-7.7895619869375039E-4</v>
      </c>
      <c r="N28" s="357">
        <v>0.79010126430583016</v>
      </c>
      <c r="O28" s="392">
        <v>13186</v>
      </c>
      <c r="P28" s="316"/>
      <c r="Q28" s="443">
        <f t="shared" si="0"/>
        <v>32.951178825</v>
      </c>
      <c r="R28" s="443">
        <f t="shared" si="1"/>
        <v>7.8937511499999999</v>
      </c>
      <c r="S28" s="443">
        <f t="shared" si="2"/>
        <v>3.739561046442776</v>
      </c>
      <c r="T28" s="444">
        <f t="shared" si="3"/>
        <v>3.0307553579013349</v>
      </c>
    </row>
    <row r="29" spans="1:20" ht="15.75">
      <c r="A29" s="366">
        <v>19</v>
      </c>
      <c r="B29" s="362">
        <v>1975487</v>
      </c>
      <c r="C29" s="361">
        <v>17249</v>
      </c>
      <c r="D29" s="360">
        <v>4106</v>
      </c>
      <c r="E29" s="339">
        <v>0.23804278671741486</v>
      </c>
      <c r="F29" s="358">
        <v>9.415038675069809E-2</v>
      </c>
      <c r="G29" s="358">
        <v>7.4786944314837456E-3</v>
      </c>
      <c r="H29" s="358">
        <v>9.275900200009346E-3</v>
      </c>
      <c r="I29" s="358">
        <v>1.3102209195494652E-2</v>
      </c>
      <c r="J29" s="358">
        <v>0</v>
      </c>
      <c r="K29" s="359">
        <v>0.11403559893369675</v>
      </c>
      <c r="L29" s="358">
        <v>0.66218331497478111</v>
      </c>
      <c r="M29" s="358">
        <v>-4.6379500260884687E-4</v>
      </c>
      <c r="N29" s="357">
        <v>0.86468780798886891</v>
      </c>
      <c r="O29" s="392">
        <v>14915</v>
      </c>
      <c r="P29" s="316"/>
      <c r="Q29" s="443">
        <f t="shared" si="0"/>
        <v>34.075175262999998</v>
      </c>
      <c r="R29" s="443">
        <f t="shared" si="1"/>
        <v>8.1113496220000005</v>
      </c>
      <c r="S29" s="443">
        <f t="shared" si="2"/>
        <v>3.885783019886893</v>
      </c>
      <c r="T29" s="444">
        <f t="shared" si="3"/>
        <v>3.1492620553331681</v>
      </c>
    </row>
    <row r="30" spans="1:20" ht="15.75">
      <c r="A30" s="366">
        <v>20</v>
      </c>
      <c r="B30" s="362">
        <v>1971597</v>
      </c>
      <c r="C30" s="361">
        <v>17813</v>
      </c>
      <c r="D30" s="360">
        <v>4227</v>
      </c>
      <c r="E30" s="339">
        <v>0.23729860782623291</v>
      </c>
      <c r="F30" s="358">
        <v>9.3134224414825439E-2</v>
      </c>
      <c r="G30" s="358">
        <v>7.5787347741425037E-3</v>
      </c>
      <c r="H30" s="358">
        <v>9.2067588120698929E-3</v>
      </c>
      <c r="I30" s="358">
        <v>1.3248750939965248E-2</v>
      </c>
      <c r="J30" s="358">
        <v>0</v>
      </c>
      <c r="K30" s="359">
        <v>0.11413013190031052</v>
      </c>
      <c r="L30" s="358">
        <v>0.68017739852916415</v>
      </c>
      <c r="M30" s="358">
        <v>5.0524897546735535E-4</v>
      </c>
      <c r="N30" s="357">
        <v>0.92050749452646941</v>
      </c>
      <c r="O30" s="392">
        <v>16397</v>
      </c>
      <c r="P30" s="316"/>
      <c r="Q30" s="443">
        <f t="shared" si="0"/>
        <v>35.120057361000001</v>
      </c>
      <c r="R30" s="443">
        <f t="shared" si="1"/>
        <v>8.3339405190000004</v>
      </c>
      <c r="S30" s="443">
        <f t="shared" si="2"/>
        <v>4.0082567789574011</v>
      </c>
      <c r="T30" s="444">
        <f t="shared" si="3"/>
        <v>3.2485218339262598</v>
      </c>
    </row>
    <row r="31" spans="1:20" ht="15.75">
      <c r="A31" s="366">
        <v>21</v>
      </c>
      <c r="B31" s="362">
        <v>1977207</v>
      </c>
      <c r="C31" s="361">
        <v>18380</v>
      </c>
      <c r="D31" s="360">
        <v>4340</v>
      </c>
      <c r="E31" s="339">
        <v>0.23612622916698456</v>
      </c>
      <c r="F31" s="358">
        <v>9.1838955879211426E-2</v>
      </c>
      <c r="G31" s="358">
        <v>9.303591214120388E-3</v>
      </c>
      <c r="H31" s="358">
        <v>1.0010881349444389E-2</v>
      </c>
      <c r="I31" s="358">
        <v>1.2948857620358467E-2</v>
      </c>
      <c r="J31" s="358">
        <v>0</v>
      </c>
      <c r="K31" s="359">
        <v>0.11202394217252731</v>
      </c>
      <c r="L31" s="358">
        <v>0.65892274211099022</v>
      </c>
      <c r="M31" s="358">
        <v>3.808487486398259E-4</v>
      </c>
      <c r="N31" s="357">
        <v>0.97138193688792163</v>
      </c>
      <c r="O31" s="392">
        <v>17854</v>
      </c>
      <c r="P31" s="316"/>
      <c r="Q31" s="443">
        <f t="shared" si="0"/>
        <v>36.341064660000001</v>
      </c>
      <c r="R31" s="443">
        <f t="shared" si="1"/>
        <v>8.5810783799999992</v>
      </c>
      <c r="S31" s="443">
        <f t="shared" si="2"/>
        <v>4.0710693259599164</v>
      </c>
      <c r="T31" s="444">
        <f t="shared" si="3"/>
        <v>3.2994287347648994</v>
      </c>
    </row>
    <row r="32" spans="1:20" ht="15.75">
      <c r="A32" s="366">
        <v>22</v>
      </c>
      <c r="B32" s="362">
        <v>1975152</v>
      </c>
      <c r="C32" s="361">
        <v>18959</v>
      </c>
      <c r="D32" s="360">
        <v>4501</v>
      </c>
      <c r="E32" s="339">
        <v>0.23740704357624054</v>
      </c>
      <c r="F32" s="358">
        <v>9.1091305017471313E-2</v>
      </c>
      <c r="G32" s="358">
        <v>1.0127115994691849E-2</v>
      </c>
      <c r="H32" s="358">
        <v>9.6524078398942947E-3</v>
      </c>
      <c r="I32" s="358">
        <v>1.2131441384553909E-2</v>
      </c>
      <c r="J32" s="358">
        <v>0</v>
      </c>
      <c r="K32" s="359">
        <v>0.11440476775169373</v>
      </c>
      <c r="L32" s="358">
        <v>0.67118518909225167</v>
      </c>
      <c r="M32" s="358">
        <v>-2.6372698982013817E-4</v>
      </c>
      <c r="N32" s="357">
        <v>0.90046943404187985</v>
      </c>
      <c r="O32" s="392">
        <v>17072</v>
      </c>
      <c r="P32" s="316"/>
      <c r="Q32" s="443">
        <f t="shared" si="0"/>
        <v>37.446906767999998</v>
      </c>
      <c r="R32" s="443">
        <f t="shared" si="1"/>
        <v>8.8901591520000007</v>
      </c>
      <c r="S32" s="443">
        <f t="shared" si="2"/>
        <v>4.2841046718123676</v>
      </c>
      <c r="T32" s="444">
        <f t="shared" si="3"/>
        <v>3.4720848320570821</v>
      </c>
    </row>
    <row r="33" spans="1:20" ht="15.75">
      <c r="A33" s="366">
        <v>23</v>
      </c>
      <c r="B33" s="362">
        <v>1974180</v>
      </c>
      <c r="C33" s="361">
        <v>19525</v>
      </c>
      <c r="D33" s="360">
        <v>4622</v>
      </c>
      <c r="E33" s="339">
        <v>0.23672215640544891</v>
      </c>
      <c r="F33" s="358">
        <v>8.9065298438072205E-2</v>
      </c>
      <c r="G33" s="358">
        <v>1.1677336879074574E-2</v>
      </c>
      <c r="H33" s="358">
        <v>1.0448143817484379E-2</v>
      </c>
      <c r="I33" s="358">
        <v>1.3008963316679001E-2</v>
      </c>
      <c r="J33" s="358">
        <v>0</v>
      </c>
      <c r="K33" s="359">
        <v>0.11252240836620331</v>
      </c>
      <c r="L33" s="358">
        <v>0.67062740076824578</v>
      </c>
      <c r="M33" s="358">
        <v>-5.1216389244558254E-4</v>
      </c>
      <c r="N33" s="357">
        <v>1.0070166453265046</v>
      </c>
      <c r="O33" s="392">
        <v>19662</v>
      </c>
      <c r="P33" s="316"/>
      <c r="Q33" s="443">
        <f t="shared" si="0"/>
        <v>38.5458645</v>
      </c>
      <c r="R33" s="443">
        <f t="shared" si="1"/>
        <v>9.1246599600000007</v>
      </c>
      <c r="S33" s="443">
        <f t="shared" si="2"/>
        <v>4.3372735060973389</v>
      </c>
      <c r="T33" s="444">
        <f t="shared" si="3"/>
        <v>3.515175913438366</v>
      </c>
    </row>
    <row r="34" spans="1:20" ht="15.75">
      <c r="A34" s="366">
        <v>24</v>
      </c>
      <c r="B34" s="362">
        <v>1974498</v>
      </c>
      <c r="C34" s="361">
        <v>20124</v>
      </c>
      <c r="D34" s="360">
        <v>4840</v>
      </c>
      <c r="E34" s="339">
        <v>0.24050883948802948</v>
      </c>
      <c r="F34" s="358">
        <v>8.8948518037796021E-2</v>
      </c>
      <c r="G34" s="358">
        <v>1.2572052888572216E-2</v>
      </c>
      <c r="H34" s="358">
        <v>9.2426948249340057E-3</v>
      </c>
      <c r="I34" s="358">
        <v>1.3367123901844025E-2</v>
      </c>
      <c r="J34" s="358">
        <v>0</v>
      </c>
      <c r="K34" s="359">
        <v>0.11637845635414124</v>
      </c>
      <c r="L34" s="358">
        <v>0.6910653945537667</v>
      </c>
      <c r="M34" s="358">
        <v>-4.9691910157026436E-5</v>
      </c>
      <c r="N34" s="357">
        <v>0.93231961836612998</v>
      </c>
      <c r="O34" s="392">
        <v>18762</v>
      </c>
      <c r="P34" s="316"/>
      <c r="Q34" s="443">
        <f t="shared" si="0"/>
        <v>39.734797751999999</v>
      </c>
      <c r="R34" s="443">
        <f t="shared" si="1"/>
        <v>9.5565703200000005</v>
      </c>
      <c r="S34" s="443">
        <f t="shared" si="2"/>
        <v>4.6242744259217616</v>
      </c>
      <c r="T34" s="444">
        <f t="shared" si="3"/>
        <v>3.7477779661065256</v>
      </c>
    </row>
    <row r="35" spans="1:20" ht="15.75">
      <c r="A35" s="366">
        <v>25</v>
      </c>
      <c r="B35" s="362">
        <v>1974575</v>
      </c>
      <c r="C35" s="361">
        <v>20745</v>
      </c>
      <c r="D35" s="360">
        <v>4822</v>
      </c>
      <c r="E35" s="339">
        <v>0.23244155943393707</v>
      </c>
      <c r="F35" s="358">
        <v>8.6912505328655243E-2</v>
      </c>
      <c r="G35" s="358">
        <v>1.3882863335311413E-2</v>
      </c>
      <c r="H35" s="358">
        <v>9.978308342397213E-3</v>
      </c>
      <c r="I35" s="358">
        <v>1.3690046034753323E-2</v>
      </c>
      <c r="J35" s="358">
        <v>0</v>
      </c>
      <c r="K35" s="359">
        <v>0.10797782242298126</v>
      </c>
      <c r="L35" s="358">
        <v>0.64767413834658949</v>
      </c>
      <c r="M35" s="358">
        <v>-2.2174017835623044E-3</v>
      </c>
      <c r="N35" s="357">
        <v>1.11000241021933</v>
      </c>
      <c r="O35" s="392">
        <v>23027</v>
      </c>
      <c r="P35" s="316"/>
      <c r="Q35" s="443">
        <f t="shared" si="0"/>
        <v>40.962558375</v>
      </c>
      <c r="R35" s="443">
        <f t="shared" si="1"/>
        <v>9.5214006500000004</v>
      </c>
      <c r="S35" s="443">
        <f t="shared" si="2"/>
        <v>4.4230478542067537</v>
      </c>
      <c r="T35" s="444">
        <f t="shared" si="3"/>
        <v>3.584692378572794</v>
      </c>
    </row>
    <row r="36" spans="1:20" ht="15.75">
      <c r="A36" s="366">
        <v>26</v>
      </c>
      <c r="B36" s="362">
        <v>1974596</v>
      </c>
      <c r="C36" s="361">
        <v>21348</v>
      </c>
      <c r="D36" s="360">
        <v>4916</v>
      </c>
      <c r="E36" s="339">
        <v>0.23027917742729187</v>
      </c>
      <c r="F36" s="358">
        <v>8.5722312331199646E-2</v>
      </c>
      <c r="G36" s="358">
        <v>1.227281242609024E-2</v>
      </c>
      <c r="H36" s="358">
        <v>1.0352257639169693E-2</v>
      </c>
      <c r="I36" s="358">
        <v>1.2553868815302849E-2</v>
      </c>
      <c r="J36" s="358">
        <v>0</v>
      </c>
      <c r="K36" s="359">
        <v>0.10942476987838745</v>
      </c>
      <c r="L36" s="358">
        <v>0.65078695896571104</v>
      </c>
      <c r="M36" s="358">
        <v>-2.8105677346824059E-4</v>
      </c>
      <c r="N36" s="357">
        <v>1.1788457935169572</v>
      </c>
      <c r="O36" s="392">
        <v>25166</v>
      </c>
      <c r="P36" s="316"/>
      <c r="Q36" s="443">
        <f t="shared" si="0"/>
        <v>42.153675407999998</v>
      </c>
      <c r="R36" s="443">
        <f t="shared" si="1"/>
        <v>9.7071139360000007</v>
      </c>
      <c r="S36" s="443">
        <f t="shared" si="2"/>
        <v>4.6126562310486401</v>
      </c>
      <c r="T36" s="444">
        <f t="shared" si="3"/>
        <v>3.7383619127453027</v>
      </c>
    </row>
    <row r="37" spans="1:20" ht="15.75">
      <c r="A37" s="366">
        <v>27</v>
      </c>
      <c r="B37" s="362">
        <v>1973164</v>
      </c>
      <c r="C37" s="361">
        <v>21988</v>
      </c>
      <c r="D37" s="360">
        <v>5284</v>
      </c>
      <c r="E37" s="339">
        <v>0.24031290411949158</v>
      </c>
      <c r="F37" s="358">
        <v>8.5728578269481659E-2</v>
      </c>
      <c r="G37" s="358">
        <v>1.6690922901034355E-2</v>
      </c>
      <c r="H37" s="358">
        <v>1.1051482520997524E-2</v>
      </c>
      <c r="I37" s="358">
        <v>1.3234491460025311E-2</v>
      </c>
      <c r="J37" s="358">
        <v>0</v>
      </c>
      <c r="K37" s="359">
        <v>0.11360742151737213</v>
      </c>
      <c r="L37" s="358">
        <v>0.68723849372384938</v>
      </c>
      <c r="M37" s="358">
        <v>-3.1835546661815534E-4</v>
      </c>
      <c r="N37" s="357">
        <v>1.1376659996361651</v>
      </c>
      <c r="O37" s="392">
        <v>25015</v>
      </c>
      <c r="P37" s="316"/>
      <c r="Q37" s="443">
        <f t="shared" si="0"/>
        <v>43.385930031999997</v>
      </c>
      <c r="R37" s="443">
        <f t="shared" si="1"/>
        <v>10.426198576000001</v>
      </c>
      <c r="S37" s="443">
        <f t="shared" si="2"/>
        <v>4.9289636410686386</v>
      </c>
      <c r="T37" s="444">
        <f t="shared" si="3"/>
        <v>3.9947156306700076</v>
      </c>
    </row>
    <row r="38" spans="1:20" ht="15.75">
      <c r="A38" s="366">
        <v>28</v>
      </c>
      <c r="B38" s="362">
        <v>1975986</v>
      </c>
      <c r="C38" s="361">
        <v>22638</v>
      </c>
      <c r="D38" s="360">
        <v>5321</v>
      </c>
      <c r="E38" s="339">
        <v>0.23504726588726044</v>
      </c>
      <c r="F38" s="358">
        <v>8.3708807826042175E-2</v>
      </c>
      <c r="G38" s="358">
        <v>1.7006803303956985E-2</v>
      </c>
      <c r="H38" s="358">
        <v>1.1131725274026394E-2</v>
      </c>
      <c r="I38" s="358">
        <v>1.3428748585283756E-2</v>
      </c>
      <c r="J38" s="358">
        <v>0</v>
      </c>
      <c r="K38" s="359">
        <v>0.10977118462324142</v>
      </c>
      <c r="L38" s="358">
        <v>0.6666224931531054</v>
      </c>
      <c r="M38" s="358">
        <v>2.6504108136761196E-4</v>
      </c>
      <c r="N38" s="357">
        <v>1.196969696969697</v>
      </c>
      <c r="O38" s="392">
        <v>27097</v>
      </c>
      <c r="P38" s="316"/>
      <c r="Q38" s="443">
        <f t="shared" si="0"/>
        <v>44.732371067999999</v>
      </c>
      <c r="R38" s="443">
        <f t="shared" si="1"/>
        <v>10.514221506</v>
      </c>
      <c r="S38" s="443">
        <f t="shared" si="2"/>
        <v>4.9103253631407711</v>
      </c>
      <c r="T38" s="444">
        <f t="shared" si="3"/>
        <v>3.9796100982317362</v>
      </c>
    </row>
    <row r="39" spans="1:20" ht="15.75">
      <c r="A39" s="366">
        <v>29</v>
      </c>
      <c r="B39" s="362">
        <v>1974498</v>
      </c>
      <c r="C39" s="361">
        <v>23265</v>
      </c>
      <c r="D39" s="360">
        <v>5482</v>
      </c>
      <c r="E39" s="339">
        <v>0.23563292622566223</v>
      </c>
      <c r="F39" s="358">
        <v>8.1839673221111298E-2</v>
      </c>
      <c r="G39" s="358">
        <v>1.7236191779375076E-2</v>
      </c>
      <c r="H39" s="358">
        <v>1.2336127460002899E-2</v>
      </c>
      <c r="I39" s="358">
        <v>1.4571243897080421E-2</v>
      </c>
      <c r="J39" s="358">
        <v>0</v>
      </c>
      <c r="K39" s="359">
        <v>0.10964968800544739</v>
      </c>
      <c r="L39" s="358">
        <v>0.67612293144208035</v>
      </c>
      <c r="M39" s="358">
        <v>-3.4386417365140769E-4</v>
      </c>
      <c r="N39" s="357">
        <v>1.5205243928648184</v>
      </c>
      <c r="O39" s="392">
        <v>35375</v>
      </c>
      <c r="P39" s="316"/>
      <c r="Q39" s="443">
        <f t="shared" si="0"/>
        <v>45.936695970000002</v>
      </c>
      <c r="R39" s="443">
        <f t="shared" si="1"/>
        <v>10.824198036</v>
      </c>
      <c r="S39" s="443">
        <f t="shared" si="2"/>
        <v>5.0369443811115922</v>
      </c>
      <c r="T39" s="444">
        <f t="shared" si="3"/>
        <v>4.0822294330577611</v>
      </c>
    </row>
    <row r="40" spans="1:20" ht="15.75">
      <c r="A40" s="366">
        <v>30</v>
      </c>
      <c r="B40" s="362">
        <v>1975229</v>
      </c>
      <c r="C40" s="361">
        <v>23898</v>
      </c>
      <c r="D40" s="360">
        <v>5660</v>
      </c>
      <c r="E40" s="339">
        <v>0.2368399053812027</v>
      </c>
      <c r="F40" s="358">
        <v>8.0425143241882324E-2</v>
      </c>
      <c r="G40" s="358">
        <v>1.7616536468267441E-2</v>
      </c>
      <c r="H40" s="358">
        <v>1.2427818030118942E-2</v>
      </c>
      <c r="I40" s="358">
        <v>1.4352665282785892E-2</v>
      </c>
      <c r="J40" s="358">
        <v>0</v>
      </c>
      <c r="K40" s="359">
        <v>0.11201774328947067</v>
      </c>
      <c r="L40" s="358">
        <v>0.66135241442798565</v>
      </c>
      <c r="M40" s="358">
        <v>1.1298016570424304E-3</v>
      </c>
      <c r="N40" s="357">
        <v>1.2372583479789103</v>
      </c>
      <c r="O40" s="392">
        <v>29568</v>
      </c>
      <c r="P40" s="316"/>
      <c r="Q40" s="443">
        <f t="shared" si="0"/>
        <v>47.204022641999998</v>
      </c>
      <c r="R40" s="443">
        <f t="shared" si="1"/>
        <v>11.179796140000001</v>
      </c>
      <c r="S40" s="443">
        <f t="shared" si="2"/>
        <v>5.2876880905419172</v>
      </c>
      <c r="T40" s="444">
        <f t="shared" si="3"/>
        <v>4.2854465570405083</v>
      </c>
    </row>
    <row r="41" spans="1:20" ht="15.75">
      <c r="A41" s="366">
        <v>31</v>
      </c>
      <c r="B41" s="362">
        <v>1975201</v>
      </c>
      <c r="C41" s="361">
        <v>24550</v>
      </c>
      <c r="D41" s="360">
        <v>5790</v>
      </c>
      <c r="E41" s="339">
        <v>0.23584520816802979</v>
      </c>
      <c r="F41" s="358">
        <v>7.9470470547676086E-2</v>
      </c>
      <c r="G41" s="358">
        <v>2.0651731640100479E-2</v>
      </c>
      <c r="H41" s="358">
        <v>1.2708758004009724E-2</v>
      </c>
      <c r="I41" s="358">
        <v>1.3360489159822464E-2</v>
      </c>
      <c r="J41" s="358">
        <v>0</v>
      </c>
      <c r="K41" s="359">
        <v>0.1096537709236145</v>
      </c>
      <c r="L41" s="358">
        <v>0.660081466395112</v>
      </c>
      <c r="M41" s="358">
        <v>-8.1466395112016288E-5</v>
      </c>
      <c r="N41" s="357">
        <v>1.2833401221995926</v>
      </c>
      <c r="O41" s="392">
        <v>31506</v>
      </c>
      <c r="P41" s="316"/>
      <c r="Q41" s="443">
        <f t="shared" si="0"/>
        <v>48.49118455</v>
      </c>
      <c r="R41" s="443">
        <f t="shared" si="1"/>
        <v>11.43641379</v>
      </c>
      <c r="S41" s="443">
        <f t="shared" si="2"/>
        <v>5.3172412424604145</v>
      </c>
      <c r="T41" s="444">
        <f t="shared" si="3"/>
        <v>4.3093981311443885</v>
      </c>
    </row>
    <row r="42" spans="1:20" ht="15.75">
      <c r="A42" s="366">
        <v>32</v>
      </c>
      <c r="B42" s="362">
        <v>1973463</v>
      </c>
      <c r="C42" s="361">
        <v>25220</v>
      </c>
      <c r="D42" s="360">
        <v>6032</v>
      </c>
      <c r="E42" s="339">
        <v>0.23917526006698608</v>
      </c>
      <c r="F42" s="358">
        <v>7.9540044069290161E-2</v>
      </c>
      <c r="G42" s="358">
        <v>2.0935764536261559E-2</v>
      </c>
      <c r="H42" s="358">
        <v>1.24107850715518E-2</v>
      </c>
      <c r="I42" s="358">
        <v>1.3164155185222626E-2</v>
      </c>
      <c r="J42" s="358">
        <v>0</v>
      </c>
      <c r="K42" s="359">
        <v>0.11312450468540192</v>
      </c>
      <c r="L42" s="358">
        <v>0.67315622521808094</v>
      </c>
      <c r="M42" s="358">
        <v>-1.9429024583663759E-3</v>
      </c>
      <c r="N42" s="357">
        <v>1.4329896907216495</v>
      </c>
      <c r="O42" s="392">
        <v>36140</v>
      </c>
      <c r="P42" s="316"/>
      <c r="Q42" s="443">
        <f t="shared" si="0"/>
        <v>49.77073686</v>
      </c>
      <c r="R42" s="443">
        <f t="shared" si="1"/>
        <v>11.903928816000001</v>
      </c>
      <c r="S42" s="443">
        <f t="shared" si="2"/>
        <v>5.6302899551149759</v>
      </c>
      <c r="T42" s="444">
        <f t="shared" si="3"/>
        <v>4.5631108132957978</v>
      </c>
    </row>
    <row r="43" spans="1:20" ht="15.75">
      <c r="A43" s="366">
        <v>33</v>
      </c>
      <c r="B43" s="362">
        <v>1975188</v>
      </c>
      <c r="C43" s="361">
        <v>25890</v>
      </c>
      <c r="D43" s="360">
        <v>6163</v>
      </c>
      <c r="E43" s="339">
        <v>0.23804557323455811</v>
      </c>
      <c r="F43" s="358">
        <v>7.7327154576778412E-2</v>
      </c>
      <c r="G43" s="358">
        <v>2.3986095562577248E-2</v>
      </c>
      <c r="H43" s="358">
        <v>1.3364233076572418E-2</v>
      </c>
      <c r="I43" s="358">
        <v>1.4484357088804245E-2</v>
      </c>
      <c r="J43" s="358">
        <v>0</v>
      </c>
      <c r="K43" s="359">
        <v>0.10884511470794678</v>
      </c>
      <c r="L43" s="358">
        <v>0.67933565083043645</v>
      </c>
      <c r="M43" s="358">
        <v>-7.7249903437620702E-4</v>
      </c>
      <c r="N43" s="357">
        <v>1.6505600617999228</v>
      </c>
      <c r="O43" s="392">
        <v>42733</v>
      </c>
      <c r="P43" s="316"/>
      <c r="Q43" s="443">
        <f t="shared" si="0"/>
        <v>51.137617319999997</v>
      </c>
      <c r="R43" s="443">
        <f t="shared" si="1"/>
        <v>12.173083644</v>
      </c>
      <c r="S43" s="443">
        <f t="shared" si="2"/>
        <v>5.5660798230864863</v>
      </c>
      <c r="T43" s="444">
        <f t="shared" si="3"/>
        <v>4.5110712291681327</v>
      </c>
    </row>
    <row r="44" spans="1:20" ht="15.75">
      <c r="A44" s="366">
        <v>34</v>
      </c>
      <c r="B44" s="362">
        <v>1975096</v>
      </c>
      <c r="C44" s="361">
        <v>26595</v>
      </c>
      <c r="D44" s="360">
        <v>6247</v>
      </c>
      <c r="E44" s="339">
        <v>0.23489378392696381</v>
      </c>
      <c r="F44" s="358">
        <v>7.5314909219741821E-2</v>
      </c>
      <c r="G44" s="358">
        <v>2.2899040952324867E-2</v>
      </c>
      <c r="H44" s="358">
        <v>1.3949990272521973E-2</v>
      </c>
      <c r="I44" s="358">
        <v>1.3949990272521973E-2</v>
      </c>
      <c r="J44" s="358">
        <v>0</v>
      </c>
      <c r="K44" s="359">
        <v>0.10877984762191772</v>
      </c>
      <c r="L44" s="358">
        <v>0.66572664034592965</v>
      </c>
      <c r="M44" s="358">
        <v>-1.2784357962022936E-3</v>
      </c>
      <c r="N44" s="357">
        <v>1.5444632449708593</v>
      </c>
      <c r="O44" s="392">
        <v>41075</v>
      </c>
      <c r="P44" s="316"/>
      <c r="Q44" s="443">
        <f t="shared" si="0"/>
        <v>52.527678119999997</v>
      </c>
      <c r="R44" s="443">
        <f t="shared" si="1"/>
        <v>12.338424712</v>
      </c>
      <c r="S44" s="443">
        <f t="shared" si="2"/>
        <v>5.7139528218267426</v>
      </c>
      <c r="T44" s="444">
        <f t="shared" si="3"/>
        <v>4.6309160124608901</v>
      </c>
    </row>
    <row r="45" spans="1:20" ht="15.75">
      <c r="A45" s="366">
        <v>35</v>
      </c>
      <c r="B45" s="362">
        <v>1974668</v>
      </c>
      <c r="C45" s="361">
        <v>27309</v>
      </c>
      <c r="D45" s="360">
        <v>6362</v>
      </c>
      <c r="E45" s="339">
        <v>0.23296348750591278</v>
      </c>
      <c r="F45" s="358">
        <v>7.4334464967250824E-2</v>
      </c>
      <c r="G45" s="358">
        <v>2.4241093546152115E-2</v>
      </c>
      <c r="H45" s="358">
        <v>1.5086601488292217E-2</v>
      </c>
      <c r="I45" s="358">
        <v>1.3145849108695984E-2</v>
      </c>
      <c r="J45" s="358">
        <v>0</v>
      </c>
      <c r="K45" s="359">
        <v>0.10615547746419907</v>
      </c>
      <c r="L45" s="358">
        <v>0.67120729429858283</v>
      </c>
      <c r="M45" s="358">
        <v>-9.8868504888498287E-4</v>
      </c>
      <c r="N45" s="357">
        <v>1.6820462118715442</v>
      </c>
      <c r="O45" s="392">
        <v>45935</v>
      </c>
      <c r="P45" s="316"/>
      <c r="Q45" s="443">
        <f t="shared" si="0"/>
        <v>53.926208412000001</v>
      </c>
      <c r="R45" s="443">
        <f t="shared" si="1"/>
        <v>12.562837816</v>
      </c>
      <c r="S45" s="443">
        <f t="shared" si="2"/>
        <v>5.7245624018097674</v>
      </c>
      <c r="T45" s="444">
        <f t="shared" si="3"/>
        <v>4.6395146263033409</v>
      </c>
    </row>
    <row r="46" spans="1:20" ht="15.75">
      <c r="A46" s="366">
        <v>36</v>
      </c>
      <c r="B46" s="362">
        <v>1974708</v>
      </c>
      <c r="C46" s="361">
        <v>28027</v>
      </c>
      <c r="D46" s="360">
        <v>6775</v>
      </c>
      <c r="E46" s="339">
        <v>0.2417311817407608</v>
      </c>
      <c r="F46" s="358">
        <v>7.2430156171321869E-2</v>
      </c>
      <c r="G46" s="358">
        <v>2.8222784399986267E-2</v>
      </c>
      <c r="H46" s="358">
        <v>1.3629714027047157E-2</v>
      </c>
      <c r="I46" s="358">
        <v>1.3486994430422783E-2</v>
      </c>
      <c r="J46" s="358">
        <v>0</v>
      </c>
      <c r="K46" s="359">
        <v>0.11396154016256332</v>
      </c>
      <c r="L46" s="358">
        <v>0.70592642808720163</v>
      </c>
      <c r="M46" s="358">
        <v>2.8543904092482247E-4</v>
      </c>
      <c r="N46" s="357">
        <v>1.4501016876583295</v>
      </c>
      <c r="O46" s="392">
        <v>40642</v>
      </c>
      <c r="P46" s="316"/>
      <c r="Q46" s="443">
        <f t="shared" si="0"/>
        <v>55.345141116000001</v>
      </c>
      <c r="R46" s="443">
        <f t="shared" si="1"/>
        <v>13.378646699999999</v>
      </c>
      <c r="S46" s="443">
        <f t="shared" si="2"/>
        <v>6.3072175220937687</v>
      </c>
      <c r="T46" s="444">
        <f t="shared" si="3"/>
        <v>5.1117318479714209</v>
      </c>
    </row>
    <row r="47" spans="1:20" ht="15.75">
      <c r="A47" s="366">
        <v>37</v>
      </c>
      <c r="B47" s="362">
        <v>1974556</v>
      </c>
      <c r="C47" s="361">
        <v>28749</v>
      </c>
      <c r="D47" s="360">
        <v>6947</v>
      </c>
      <c r="E47" s="339">
        <v>0.24164319038391113</v>
      </c>
      <c r="F47" s="358">
        <v>7.1654669940471649E-2</v>
      </c>
      <c r="G47" s="358">
        <v>3.1235869973897934E-2</v>
      </c>
      <c r="H47" s="358">
        <v>1.4887474477291107E-2</v>
      </c>
      <c r="I47" s="358">
        <v>1.3948311097919941E-2</v>
      </c>
      <c r="J47" s="358">
        <v>0</v>
      </c>
      <c r="K47" s="359">
        <v>0.10991686582565308</v>
      </c>
      <c r="L47" s="358">
        <v>0.69675466972764266</v>
      </c>
      <c r="M47" s="358">
        <v>-4.174058228112282E-4</v>
      </c>
      <c r="N47" s="357">
        <v>1.7143204981042819</v>
      </c>
      <c r="O47" s="392">
        <v>49285</v>
      </c>
      <c r="P47" s="316"/>
      <c r="Q47" s="443">
        <f t="shared" si="0"/>
        <v>56.766510443999998</v>
      </c>
      <c r="R47" s="443">
        <f t="shared" si="1"/>
        <v>13.717240532</v>
      </c>
      <c r="S47" s="443">
        <f t="shared" si="2"/>
        <v>6.239596911863682</v>
      </c>
      <c r="T47" s="444">
        <f t="shared" si="3"/>
        <v>5.0569282161509577</v>
      </c>
    </row>
    <row r="48" spans="1:20" ht="15.75">
      <c r="A48" s="366">
        <v>38</v>
      </c>
      <c r="B48" s="362">
        <v>1973627</v>
      </c>
      <c r="C48" s="361">
        <v>29494</v>
      </c>
      <c r="D48" s="360">
        <v>6915</v>
      </c>
      <c r="E48" s="339">
        <v>0.23445446789264679</v>
      </c>
      <c r="F48" s="358">
        <v>6.9471754133701324E-2</v>
      </c>
      <c r="G48" s="358">
        <v>3.0006103217601776E-2</v>
      </c>
      <c r="H48" s="358">
        <v>1.7630703747272491E-2</v>
      </c>
      <c r="I48" s="358">
        <v>1.390113215893507E-2</v>
      </c>
      <c r="J48" s="358">
        <v>0</v>
      </c>
      <c r="K48" s="359">
        <v>0.10344476997852325</v>
      </c>
      <c r="L48" s="358">
        <v>0.6557265884586696</v>
      </c>
      <c r="M48" s="358">
        <v>-8.4763002644605687E-4</v>
      </c>
      <c r="N48" s="357">
        <v>1.9837255034922356</v>
      </c>
      <c r="O48" s="392">
        <v>58508</v>
      </c>
      <c r="P48" s="316"/>
      <c r="Q48" s="443">
        <f t="shared" si="0"/>
        <v>58.210154738</v>
      </c>
      <c r="R48" s="443">
        <f t="shared" si="1"/>
        <v>13.647630704999999</v>
      </c>
      <c r="S48" s="443">
        <f t="shared" si="2"/>
        <v>6.0215360672866556</v>
      </c>
      <c r="T48" s="444">
        <f t="shared" si="3"/>
        <v>4.8801991656440862</v>
      </c>
    </row>
    <row r="49" spans="1:20" ht="15.75">
      <c r="A49" s="366">
        <v>39</v>
      </c>
      <c r="B49" s="362">
        <v>1975209</v>
      </c>
      <c r="C49" s="361">
        <v>30262</v>
      </c>
      <c r="D49" s="360">
        <v>6998</v>
      </c>
      <c r="E49" s="339">
        <v>0.23124711215496063</v>
      </c>
      <c r="F49" s="358">
        <v>6.747736781835556E-2</v>
      </c>
      <c r="G49" s="358">
        <v>2.8914149850606918E-2</v>
      </c>
      <c r="H49" s="358">
        <v>1.6852818429470062E-2</v>
      </c>
      <c r="I49" s="358">
        <v>1.5861475840210915E-2</v>
      </c>
      <c r="J49" s="358">
        <v>0</v>
      </c>
      <c r="K49" s="359">
        <v>0.10217434167861938</v>
      </c>
      <c r="L49" s="358">
        <v>0.65008922080496989</v>
      </c>
      <c r="M49" s="358">
        <v>-5.9480536646619518E-4</v>
      </c>
      <c r="N49" s="357">
        <v>2.0962593351397794</v>
      </c>
      <c r="O49" s="392">
        <v>63437</v>
      </c>
      <c r="P49" s="316"/>
      <c r="Q49" s="443">
        <f t="shared" si="0"/>
        <v>59.773774758000002</v>
      </c>
      <c r="R49" s="443">
        <f t="shared" si="1"/>
        <v>13.822512582</v>
      </c>
      <c r="S49" s="443">
        <f t="shared" si="2"/>
        <v>6.1073460855447266</v>
      </c>
      <c r="T49" s="444">
        <f t="shared" si="3"/>
        <v>4.9497445399186022</v>
      </c>
    </row>
    <row r="50" spans="1:20" ht="15.75">
      <c r="A50" s="366">
        <v>40</v>
      </c>
      <c r="B50" s="362">
        <v>1974235</v>
      </c>
      <c r="C50" s="361">
        <v>31006</v>
      </c>
      <c r="D50" s="360">
        <v>7226</v>
      </c>
      <c r="E50" s="339">
        <v>0.23305167257785797</v>
      </c>
      <c r="F50" s="358">
        <v>6.692253053188324E-2</v>
      </c>
      <c r="G50" s="358">
        <v>3.1284268945455551E-2</v>
      </c>
      <c r="H50" s="358">
        <v>1.6609689220786095E-2</v>
      </c>
      <c r="I50" s="358">
        <v>1.332000270485878E-2</v>
      </c>
      <c r="J50" s="358">
        <v>0</v>
      </c>
      <c r="K50" s="359">
        <v>0.10491517931222916</v>
      </c>
      <c r="L50" s="358">
        <v>0.67580468296458751</v>
      </c>
      <c r="M50" s="358">
        <v>-1.2255692446623235E-3</v>
      </c>
      <c r="N50" s="357">
        <v>1.7969425272527897</v>
      </c>
      <c r="O50" s="392">
        <v>55716</v>
      </c>
      <c r="P50" s="316"/>
      <c r="Q50" s="443">
        <f t="shared" si="0"/>
        <v>61.213130409999998</v>
      </c>
      <c r="R50" s="443">
        <f t="shared" si="1"/>
        <v>14.26582211</v>
      </c>
      <c r="S50" s="443">
        <f t="shared" si="2"/>
        <v>6.422186553228018</v>
      </c>
      <c r="T50" s="444">
        <f t="shared" si="3"/>
        <v>5.2049093634004846</v>
      </c>
    </row>
    <row r="51" spans="1:20" ht="15.75">
      <c r="A51" s="366">
        <v>41</v>
      </c>
      <c r="B51" s="362">
        <v>1974619</v>
      </c>
      <c r="C51" s="361">
        <v>31734</v>
      </c>
      <c r="D51" s="360">
        <v>7487</v>
      </c>
      <c r="E51" s="339">
        <v>0.23592992126941681</v>
      </c>
      <c r="F51" s="358">
        <v>6.6332638263702393E-2</v>
      </c>
      <c r="G51" s="358">
        <v>3.2993003726005554E-2</v>
      </c>
      <c r="H51" s="358">
        <v>1.7205521464347839E-2</v>
      </c>
      <c r="I51" s="358">
        <v>1.430642232298851E-2</v>
      </c>
      <c r="J51" s="358">
        <v>0</v>
      </c>
      <c r="K51" s="359">
        <v>0.10509233176708221</v>
      </c>
      <c r="L51" s="358">
        <v>0.66505955757231994</v>
      </c>
      <c r="M51" s="358">
        <v>-9.4535829079221023E-5</v>
      </c>
      <c r="N51" s="357">
        <v>1.9395916052183777</v>
      </c>
      <c r="O51" s="392">
        <v>61551</v>
      </c>
      <c r="P51" s="316"/>
      <c r="Q51" s="443">
        <f t="shared" si="0"/>
        <v>62.662559346000002</v>
      </c>
      <c r="R51" s="443">
        <f t="shared" si="1"/>
        <v>14.783972453000001</v>
      </c>
      <c r="S51" s="443">
        <f t="shared" si="2"/>
        <v>6.5853544761643104</v>
      </c>
      <c r="T51" s="444">
        <f t="shared" si="3"/>
        <v>5.3371500329697676</v>
      </c>
    </row>
    <row r="52" spans="1:20" ht="15.75">
      <c r="A52" s="366">
        <v>42</v>
      </c>
      <c r="B52" s="362">
        <v>1975163</v>
      </c>
      <c r="C52" s="361">
        <v>32457</v>
      </c>
      <c r="D52" s="360">
        <v>7618</v>
      </c>
      <c r="E52" s="339">
        <v>0.23471054434776306</v>
      </c>
      <c r="F52" s="358">
        <v>6.5471239387989044E-2</v>
      </c>
      <c r="G52" s="358">
        <v>3.3490464091300964E-2</v>
      </c>
      <c r="H52" s="358">
        <v>1.7469266429543495E-2</v>
      </c>
      <c r="I52" s="358">
        <v>1.3833687640726566E-2</v>
      </c>
      <c r="J52" s="358">
        <v>0</v>
      </c>
      <c r="K52" s="359">
        <v>0.10444588214159012</v>
      </c>
      <c r="L52" s="358">
        <v>0.67350648550389747</v>
      </c>
      <c r="M52" s="358">
        <v>-5.5457990572141598E-4</v>
      </c>
      <c r="N52" s="357">
        <v>2.0053301290938781</v>
      </c>
      <c r="O52" s="392">
        <v>65087</v>
      </c>
      <c r="P52" s="316"/>
      <c r="Q52" s="443">
        <f t="shared" si="0"/>
        <v>64.107865490999998</v>
      </c>
      <c r="R52" s="443">
        <f t="shared" si="1"/>
        <v>15.046791733999999</v>
      </c>
      <c r="S52" s="443">
        <f t="shared" si="2"/>
        <v>6.6958025634218981</v>
      </c>
      <c r="T52" s="444">
        <f t="shared" si="3"/>
        <v>5.4266635154530416</v>
      </c>
    </row>
    <row r="53" spans="1:20" ht="15.75">
      <c r="A53" s="366">
        <v>43</v>
      </c>
      <c r="B53" s="362">
        <v>1974741</v>
      </c>
      <c r="C53" s="361">
        <v>33211</v>
      </c>
      <c r="D53" s="360">
        <v>8041</v>
      </c>
      <c r="E53" s="339">
        <v>0.24211858212947845</v>
      </c>
      <c r="F53" s="358">
        <v>6.5550573170185089E-2</v>
      </c>
      <c r="G53" s="358">
        <v>3.8360785692930222E-2</v>
      </c>
      <c r="H53" s="358">
        <v>1.6801662743091583E-2</v>
      </c>
      <c r="I53" s="358">
        <v>1.4302490279078484E-2</v>
      </c>
      <c r="J53" s="358">
        <v>0</v>
      </c>
      <c r="K53" s="359">
        <v>0.10710306465625763</v>
      </c>
      <c r="L53" s="358">
        <v>0.67583029719068988</v>
      </c>
      <c r="M53" s="358">
        <v>-1.0237571888832013E-3</v>
      </c>
      <c r="N53" s="357">
        <v>1.8959079822950227</v>
      </c>
      <c r="O53" s="392">
        <v>62965</v>
      </c>
      <c r="P53" s="316"/>
      <c r="Q53" s="443">
        <f t="shared" si="0"/>
        <v>65.583123350999998</v>
      </c>
      <c r="R53" s="443">
        <f t="shared" si="1"/>
        <v>15.878892381</v>
      </c>
      <c r="S53" s="443">
        <f t="shared" si="2"/>
        <v>7.0241535006214724</v>
      </c>
      <c r="T53" s="444">
        <f t="shared" si="3"/>
        <v>5.6927780005036777</v>
      </c>
    </row>
    <row r="54" spans="1:20" ht="15.75">
      <c r="A54" s="366">
        <v>44</v>
      </c>
      <c r="B54" s="362">
        <v>1974964</v>
      </c>
      <c r="C54" s="361">
        <v>33986</v>
      </c>
      <c r="D54" s="360">
        <v>8193</v>
      </c>
      <c r="E54" s="339">
        <v>0.24106985330581665</v>
      </c>
      <c r="F54" s="358">
        <v>6.5409287810325623E-2</v>
      </c>
      <c r="G54" s="358">
        <v>3.7809684872627258E-2</v>
      </c>
      <c r="H54" s="358">
        <v>1.7477784305810928E-2</v>
      </c>
      <c r="I54" s="358">
        <v>1.4035191386938095E-2</v>
      </c>
      <c r="J54" s="358">
        <v>0</v>
      </c>
      <c r="K54" s="359">
        <v>0.10633790493011475</v>
      </c>
      <c r="L54" s="358">
        <v>0.66856941093391398</v>
      </c>
      <c r="M54" s="358">
        <v>-5.0020596716294943E-4</v>
      </c>
      <c r="N54" s="357">
        <v>2.003883952215618</v>
      </c>
      <c r="O54" s="392">
        <v>68104</v>
      </c>
      <c r="P54" s="316"/>
      <c r="Q54" s="443">
        <f t="shared" si="0"/>
        <v>67.121126504000003</v>
      </c>
      <c r="R54" s="443">
        <f t="shared" si="1"/>
        <v>16.180880051999999</v>
      </c>
      <c r="S54" s="443">
        <f t="shared" si="2"/>
        <v>7.1375199689845568</v>
      </c>
      <c r="T54" s="444">
        <f t="shared" si="3"/>
        <v>5.7846567068894448</v>
      </c>
    </row>
    <row r="55" spans="1:20" ht="15.75">
      <c r="A55" s="366">
        <v>45</v>
      </c>
      <c r="B55" s="362">
        <v>1974692</v>
      </c>
      <c r="C55" s="361">
        <v>34726</v>
      </c>
      <c r="D55" s="360">
        <v>8278</v>
      </c>
      <c r="E55" s="339">
        <v>0.23838046193122864</v>
      </c>
      <c r="F55" s="358">
        <v>6.4044229686260223E-2</v>
      </c>
      <c r="G55" s="358">
        <v>3.8559004664421082E-2</v>
      </c>
      <c r="H55" s="358">
        <v>1.9437884911894798E-2</v>
      </c>
      <c r="I55" s="358">
        <v>1.4283246360719204E-2</v>
      </c>
      <c r="J55" s="358">
        <v>0</v>
      </c>
      <c r="K55" s="359">
        <v>0.10208489000797272</v>
      </c>
      <c r="L55" s="358">
        <v>0.65299775384438175</v>
      </c>
      <c r="M55" s="358">
        <v>-2.8796866900881185E-5</v>
      </c>
      <c r="N55" s="357">
        <v>2.1530553475781833</v>
      </c>
      <c r="O55" s="392">
        <v>74767</v>
      </c>
      <c r="P55" s="316"/>
      <c r="Q55" s="443">
        <f t="shared" si="0"/>
        <v>68.573154392000006</v>
      </c>
      <c r="R55" s="443">
        <f t="shared" si="1"/>
        <v>16.346500376000002</v>
      </c>
      <c r="S55" s="443">
        <f t="shared" si="2"/>
        <v>7.0002829236070507</v>
      </c>
      <c r="T55" s="444">
        <f t="shared" si="3"/>
        <v>5.673431911942969</v>
      </c>
    </row>
    <row r="56" spans="1:20" ht="15.75">
      <c r="A56" s="366">
        <v>46</v>
      </c>
      <c r="B56" s="362">
        <v>1974648</v>
      </c>
      <c r="C56" s="361">
        <v>35499</v>
      </c>
      <c r="D56" s="360">
        <v>8483</v>
      </c>
      <c r="E56" s="339">
        <v>0.23896448314189911</v>
      </c>
      <c r="F56" s="358">
        <v>6.3860952854156494E-2</v>
      </c>
      <c r="G56" s="358">
        <v>3.9522241801023483E-2</v>
      </c>
      <c r="H56" s="358">
        <v>1.9775204360485077E-2</v>
      </c>
      <c r="I56" s="358">
        <v>1.4028564095497131E-2</v>
      </c>
      <c r="J56" s="358">
        <v>0</v>
      </c>
      <c r="K56" s="359">
        <v>0.10177751630544662</v>
      </c>
      <c r="L56" s="358">
        <v>0.65908898842220909</v>
      </c>
      <c r="M56" s="358">
        <v>-2.8169807600214091E-5</v>
      </c>
      <c r="N56" s="357">
        <v>2.1294966055381841</v>
      </c>
      <c r="O56" s="392">
        <v>75595</v>
      </c>
      <c r="P56" s="316"/>
      <c r="Q56" s="443">
        <f t="shared" si="0"/>
        <v>70.098029351999998</v>
      </c>
      <c r="R56" s="443">
        <f t="shared" si="1"/>
        <v>16.750938984000001</v>
      </c>
      <c r="S56" s="443">
        <f t="shared" si="2"/>
        <v>7.1344033253528556</v>
      </c>
      <c r="T56" s="444">
        <f t="shared" si="3"/>
        <v>5.7821307996323803</v>
      </c>
    </row>
    <row r="57" spans="1:20" ht="15.75">
      <c r="A57" s="366">
        <v>47</v>
      </c>
      <c r="B57" s="362">
        <v>1973993</v>
      </c>
      <c r="C57" s="361">
        <v>36322</v>
      </c>
      <c r="D57" s="360">
        <v>8818</v>
      </c>
      <c r="E57" s="339">
        <v>0.24277298152446747</v>
      </c>
      <c r="F57" s="358">
        <v>6.3707947731018066E-2</v>
      </c>
      <c r="G57" s="358">
        <v>4.3114364147186279E-2</v>
      </c>
      <c r="H57" s="358">
        <v>1.8996750935912132E-2</v>
      </c>
      <c r="I57" s="358">
        <v>1.2499311938881874E-2</v>
      </c>
      <c r="J57" s="358">
        <v>0</v>
      </c>
      <c r="K57" s="359">
        <v>0.10448212921619415</v>
      </c>
      <c r="L57" s="358">
        <v>0.68228621771928855</v>
      </c>
      <c r="M57" s="358">
        <v>-1.2664500853477232E-3</v>
      </c>
      <c r="N57" s="357">
        <v>2.0039370078740157</v>
      </c>
      <c r="O57" s="392">
        <v>72787</v>
      </c>
      <c r="P57" s="316"/>
      <c r="Q57" s="443">
        <f t="shared" si="0"/>
        <v>71.699373746000006</v>
      </c>
      <c r="R57" s="443">
        <f t="shared" si="1"/>
        <v>17.406670274</v>
      </c>
      <c r="S57" s="443">
        <f t="shared" si="2"/>
        <v>7.4913032324497708</v>
      </c>
      <c r="T57" s="444">
        <f t="shared" si="3"/>
        <v>6.0713830119200756</v>
      </c>
    </row>
    <row r="58" spans="1:20" ht="15.75">
      <c r="A58" s="366">
        <v>48</v>
      </c>
      <c r="B58" s="362">
        <v>1974750</v>
      </c>
      <c r="C58" s="361">
        <v>37170</v>
      </c>
      <c r="D58" s="360">
        <v>9108</v>
      </c>
      <c r="E58" s="339">
        <v>0.24503631889820099</v>
      </c>
      <c r="F58" s="358">
        <v>6.4083941280841827E-2</v>
      </c>
      <c r="G58" s="358">
        <v>4.4578962028026581E-2</v>
      </c>
      <c r="H58" s="358">
        <v>1.9316652789711952E-2</v>
      </c>
      <c r="I58" s="358">
        <v>1.3505515642464161E-2</v>
      </c>
      <c r="J58" s="358">
        <v>0</v>
      </c>
      <c r="K58" s="359">
        <v>0.103524349629879</v>
      </c>
      <c r="L58" s="358">
        <v>0.67202044659671778</v>
      </c>
      <c r="M58" s="358">
        <v>-1.1568469195587839E-3</v>
      </c>
      <c r="N58" s="357">
        <v>2.1520850147968793</v>
      </c>
      <c r="O58" s="392">
        <v>79993</v>
      </c>
      <c r="P58" s="316"/>
      <c r="Q58" s="443">
        <f t="shared" si="0"/>
        <v>73.401457500000006</v>
      </c>
      <c r="R58" s="443">
        <f t="shared" si="1"/>
        <v>17.986022999999999</v>
      </c>
      <c r="S58" s="443">
        <f t="shared" si="2"/>
        <v>7.5988381495727042</v>
      </c>
      <c r="T58" s="444">
        <f t="shared" si="3"/>
        <v>6.1585354937713417</v>
      </c>
    </row>
    <row r="59" spans="1:20" ht="15.75">
      <c r="A59" s="366">
        <v>49</v>
      </c>
      <c r="B59" s="362">
        <v>1974840</v>
      </c>
      <c r="C59" s="361">
        <v>38079</v>
      </c>
      <c r="D59" s="360">
        <v>9128</v>
      </c>
      <c r="E59" s="339">
        <v>0.2397121787071228</v>
      </c>
      <c r="F59" s="358">
        <v>6.252790242433548E-2</v>
      </c>
      <c r="G59" s="358">
        <v>4.3698627501726151E-2</v>
      </c>
      <c r="H59" s="358">
        <v>2.140287309885025E-2</v>
      </c>
      <c r="I59" s="358">
        <v>1.2237716466188431E-2</v>
      </c>
      <c r="J59" s="358">
        <v>0</v>
      </c>
      <c r="K59" s="359">
        <v>9.9845059216022491E-2</v>
      </c>
      <c r="L59" s="358">
        <v>0.66590509204548443</v>
      </c>
      <c r="M59" s="358">
        <v>-5.2522387667743378E-4</v>
      </c>
      <c r="N59" s="357">
        <v>2.3258488930906798</v>
      </c>
      <c r="O59" s="392">
        <v>88566</v>
      </c>
      <c r="P59" s="316"/>
      <c r="Q59" s="443">
        <f t="shared" si="0"/>
        <v>75.199932360000005</v>
      </c>
      <c r="R59" s="443">
        <f t="shared" si="1"/>
        <v>18.026339520000001</v>
      </c>
      <c r="S59" s="443">
        <f t="shared" si="2"/>
        <v>7.5083416995250865</v>
      </c>
      <c r="T59" s="444">
        <f t="shared" si="3"/>
        <v>6.0851919656281739</v>
      </c>
    </row>
    <row r="60" spans="1:20" ht="15.75">
      <c r="A60" s="366">
        <v>50</v>
      </c>
      <c r="B60" s="362">
        <v>1974134</v>
      </c>
      <c r="C60" s="361">
        <v>39006</v>
      </c>
      <c r="D60" s="360">
        <v>9481</v>
      </c>
      <c r="E60" s="339">
        <v>0.24306516349315643</v>
      </c>
      <c r="F60" s="358">
        <v>6.2836483120918274E-2</v>
      </c>
      <c r="G60" s="358">
        <v>4.5736555010080338E-2</v>
      </c>
      <c r="H60" s="358">
        <v>2.1048044785857201E-2</v>
      </c>
      <c r="I60" s="358">
        <v>1.3587653636932373E-2</v>
      </c>
      <c r="J60" s="358">
        <v>0</v>
      </c>
      <c r="K60" s="359">
        <v>9.9830798804759979E-2</v>
      </c>
      <c r="L60" s="358">
        <v>0.6523099010408655</v>
      </c>
      <c r="M60" s="358">
        <v>4.8710454801825358E-4</v>
      </c>
      <c r="N60" s="357">
        <v>2.3468953494334204</v>
      </c>
      <c r="O60" s="392">
        <v>91543</v>
      </c>
      <c r="P60" s="316"/>
      <c r="Q60" s="443">
        <f t="shared" si="0"/>
        <v>77.003070804000004</v>
      </c>
      <c r="R60" s="443">
        <f t="shared" si="1"/>
        <v>18.716764454</v>
      </c>
      <c r="S60" s="443">
        <f t="shared" si="2"/>
        <v>7.6872780687828115</v>
      </c>
      <c r="T60" s="444">
        <f t="shared" si="3"/>
        <v>6.2302122910396642</v>
      </c>
    </row>
    <row r="61" spans="1:20" ht="15.75">
      <c r="A61" s="366">
        <v>51</v>
      </c>
      <c r="B61" s="362">
        <v>1974651</v>
      </c>
      <c r="C61" s="361">
        <v>39901</v>
      </c>
      <c r="D61" s="360">
        <v>9837</v>
      </c>
      <c r="E61" s="339">
        <v>0.24653518199920654</v>
      </c>
      <c r="F61" s="358">
        <v>6.2379390001296997E-2</v>
      </c>
      <c r="G61" s="358">
        <v>4.7768227756023407E-2</v>
      </c>
      <c r="H61" s="358">
        <v>2.0275181159377098E-2</v>
      </c>
      <c r="I61" s="358">
        <v>1.2004711665213108E-2</v>
      </c>
      <c r="J61" s="358">
        <v>0</v>
      </c>
      <c r="K61" s="359">
        <v>0.10410766303539276</v>
      </c>
      <c r="L61" s="358">
        <v>0.67707576251221779</v>
      </c>
      <c r="M61" s="358">
        <v>-8.7717099822059595E-4</v>
      </c>
      <c r="N61" s="357">
        <v>2.1388937620611013</v>
      </c>
      <c r="O61" s="392">
        <v>85344</v>
      </c>
      <c r="P61" s="316"/>
      <c r="Q61" s="443">
        <f t="shared" si="0"/>
        <v>78.790549550999998</v>
      </c>
      <c r="R61" s="443">
        <f t="shared" si="1"/>
        <v>19.424641887</v>
      </c>
      <c r="S61" s="443">
        <f t="shared" si="2"/>
        <v>8.2026999830289231</v>
      </c>
      <c r="T61" s="444">
        <f t="shared" si="3"/>
        <v>6.6479398555267091</v>
      </c>
    </row>
    <row r="62" spans="1:20" ht="15.75">
      <c r="A62" s="366">
        <v>52</v>
      </c>
      <c r="B62" s="362">
        <v>1974855</v>
      </c>
      <c r="C62" s="361">
        <v>40777</v>
      </c>
      <c r="D62" s="360">
        <v>10182</v>
      </c>
      <c r="E62" s="339">
        <v>0.24969959259033203</v>
      </c>
      <c r="F62" s="358">
        <v>6.2829539179801941E-2</v>
      </c>
      <c r="G62" s="358">
        <v>5.0788436084985733E-2</v>
      </c>
      <c r="H62" s="358">
        <v>2.0305564627051353E-2</v>
      </c>
      <c r="I62" s="358">
        <v>1.2482526712119579E-2</v>
      </c>
      <c r="J62" s="358">
        <v>0</v>
      </c>
      <c r="K62" s="359">
        <v>0.1032935231924057</v>
      </c>
      <c r="L62" s="358">
        <v>0.67795571032689994</v>
      </c>
      <c r="M62" s="358">
        <v>-1.3487995683841381E-3</v>
      </c>
      <c r="N62" s="357">
        <v>2.270201338990117</v>
      </c>
      <c r="O62" s="392">
        <v>92572</v>
      </c>
      <c r="P62" s="316"/>
      <c r="Q62" s="443">
        <f t="shared" si="0"/>
        <v>80.528662335000007</v>
      </c>
      <c r="R62" s="443">
        <f t="shared" si="1"/>
        <v>20.107973609999998</v>
      </c>
      <c r="S62" s="443">
        <f t="shared" si="2"/>
        <v>8.3180892505537294</v>
      </c>
      <c r="T62" s="444">
        <f t="shared" si="3"/>
        <v>6.7414579546971396</v>
      </c>
    </row>
    <row r="63" spans="1:20" ht="15.75">
      <c r="A63" s="366">
        <v>53</v>
      </c>
      <c r="B63" s="362">
        <v>1974693</v>
      </c>
      <c r="C63" s="361">
        <v>41650</v>
      </c>
      <c r="D63" s="360">
        <v>10643</v>
      </c>
      <c r="E63" s="339">
        <v>0.25553420186042786</v>
      </c>
      <c r="F63" s="358">
        <v>6.2905162572860718E-2</v>
      </c>
      <c r="G63" s="358">
        <v>5.4093636572360992E-2</v>
      </c>
      <c r="H63" s="358">
        <v>2.0696278661489487E-2</v>
      </c>
      <c r="I63" s="358">
        <v>1.3109243474900723E-2</v>
      </c>
      <c r="J63" s="358">
        <v>0</v>
      </c>
      <c r="K63" s="359">
        <v>0.10472989082336426</v>
      </c>
      <c r="L63" s="358">
        <v>0.6748859543817527</v>
      </c>
      <c r="M63" s="358">
        <v>9.6038415366146457E-5</v>
      </c>
      <c r="N63" s="357">
        <v>2.3115966386554621</v>
      </c>
      <c r="O63" s="392">
        <v>96278</v>
      </c>
      <c r="P63" s="316"/>
      <c r="Q63" s="443">
        <f t="shared" si="0"/>
        <v>82.245963450000005</v>
      </c>
      <c r="R63" s="443">
        <f t="shared" si="1"/>
        <v>21.016657598999998</v>
      </c>
      <c r="S63" s="443">
        <f t="shared" si="2"/>
        <v>8.6136107727809073</v>
      </c>
      <c r="T63" s="444">
        <f t="shared" si="3"/>
        <v>6.9809655936263564</v>
      </c>
    </row>
    <row r="64" spans="1:20" ht="15.75">
      <c r="A64" s="366">
        <v>54</v>
      </c>
      <c r="B64" s="362">
        <v>1974735</v>
      </c>
      <c r="C64" s="361">
        <v>42560</v>
      </c>
      <c r="D64" s="360">
        <v>10683</v>
      </c>
      <c r="E64" s="339">
        <v>0.25101032853126526</v>
      </c>
      <c r="F64" s="358">
        <v>6.1959587037563324E-2</v>
      </c>
      <c r="G64" s="358">
        <v>5.3735900670289993E-2</v>
      </c>
      <c r="H64" s="358">
        <v>2.1757518872618675E-2</v>
      </c>
      <c r="I64" s="358">
        <v>1.2781955301761627E-2</v>
      </c>
      <c r="J64" s="358">
        <v>0</v>
      </c>
      <c r="K64" s="359">
        <v>0.10077537596225739</v>
      </c>
      <c r="L64" s="358">
        <v>0.66914943609022559</v>
      </c>
      <c r="M64" s="358">
        <v>-4.6992481203007516E-4</v>
      </c>
      <c r="N64" s="357">
        <v>2.4530545112781956</v>
      </c>
      <c r="O64" s="392">
        <v>104402</v>
      </c>
      <c r="P64" s="316"/>
      <c r="Q64" s="443">
        <f t="shared" si="0"/>
        <v>84.044721600000003</v>
      </c>
      <c r="R64" s="443">
        <f t="shared" si="1"/>
        <v>21.096094005000001</v>
      </c>
      <c r="S64" s="443">
        <f t="shared" si="2"/>
        <v>8.4696384168832548</v>
      </c>
      <c r="T64" s="444">
        <f t="shared" si="3"/>
        <v>6.8642821156439453</v>
      </c>
    </row>
    <row r="65" spans="1:20" ht="15.75">
      <c r="A65" s="366">
        <v>55</v>
      </c>
      <c r="B65" s="362">
        <v>1975044</v>
      </c>
      <c r="C65" s="361">
        <v>43451</v>
      </c>
      <c r="D65" s="360">
        <v>11117</v>
      </c>
      <c r="E65" s="339">
        <v>0.25585141777992249</v>
      </c>
      <c r="F65" s="358">
        <v>6.1954844743013382E-2</v>
      </c>
      <c r="G65" s="358">
        <v>5.3393479436635971E-2</v>
      </c>
      <c r="H65" s="358">
        <v>2.1633563563227654E-2</v>
      </c>
      <c r="I65" s="358">
        <v>1.4291960746049881E-2</v>
      </c>
      <c r="J65" s="358">
        <v>0</v>
      </c>
      <c r="K65" s="359">
        <v>0.10455455631017685</v>
      </c>
      <c r="L65" s="358">
        <v>0.67975420588709123</v>
      </c>
      <c r="M65" s="358">
        <v>1.1277070723343537E-3</v>
      </c>
      <c r="N65" s="357">
        <v>2.2245517939748223</v>
      </c>
      <c r="O65" s="392">
        <v>96659</v>
      </c>
      <c r="P65" s="316"/>
      <c r="Q65" s="443">
        <f t="shared" si="0"/>
        <v>85.817636844000006</v>
      </c>
      <c r="R65" s="443">
        <f t="shared" si="1"/>
        <v>21.956564147999998</v>
      </c>
      <c r="S65" s="443">
        <f t="shared" si="2"/>
        <v>8.9726249438123062</v>
      </c>
      <c r="T65" s="444">
        <f t="shared" si="3"/>
        <v>7.2719313270112806</v>
      </c>
    </row>
    <row r="66" spans="1:20" ht="15.75">
      <c r="A66" s="366">
        <v>56</v>
      </c>
      <c r="B66" s="362">
        <v>1974520</v>
      </c>
      <c r="C66" s="361">
        <v>44396</v>
      </c>
      <c r="D66" s="360">
        <v>11322</v>
      </c>
      <c r="E66" s="339">
        <v>0.25502297282218933</v>
      </c>
      <c r="F66" s="358">
        <v>6.0771241784095764E-2</v>
      </c>
      <c r="G66" s="358">
        <v>5.5838365107774734E-2</v>
      </c>
      <c r="H66" s="358">
        <v>2.1465897560119629E-2</v>
      </c>
      <c r="I66" s="358">
        <v>1.3357059098780155E-2</v>
      </c>
      <c r="J66" s="358">
        <v>0</v>
      </c>
      <c r="K66" s="359">
        <v>0.10361293703317642</v>
      </c>
      <c r="L66" s="358">
        <v>0.67850707270925303</v>
      </c>
      <c r="M66" s="358">
        <v>-4.0544193170555904E-4</v>
      </c>
      <c r="N66" s="357">
        <v>2.2741463194882421</v>
      </c>
      <c r="O66" s="392">
        <v>100963</v>
      </c>
      <c r="P66" s="316"/>
      <c r="Q66" s="443">
        <f t="shared" si="0"/>
        <v>87.660789919999999</v>
      </c>
      <c r="R66" s="443">
        <f t="shared" si="1"/>
        <v>22.355515440000001</v>
      </c>
      <c r="S66" s="443">
        <f t="shared" si="2"/>
        <v>9.082791906259466</v>
      </c>
      <c r="T66" s="444">
        <f t="shared" si="3"/>
        <v>7.3612169697789138</v>
      </c>
    </row>
    <row r="67" spans="1:20" ht="15.75">
      <c r="A67" s="366">
        <v>57</v>
      </c>
      <c r="B67" s="362">
        <v>1974164</v>
      </c>
      <c r="C67" s="361">
        <v>45353</v>
      </c>
      <c r="D67" s="360">
        <v>11682</v>
      </c>
      <c r="E67" s="339">
        <v>0.25757944583892822</v>
      </c>
      <c r="F67" s="358">
        <v>6.0988247394561768E-2</v>
      </c>
      <c r="G67" s="358">
        <v>5.7813156396150589E-2</v>
      </c>
      <c r="H67" s="358">
        <v>2.2159503772854805E-2</v>
      </c>
      <c r="I67" s="358">
        <v>1.2744471430778503E-2</v>
      </c>
      <c r="J67" s="358">
        <v>0</v>
      </c>
      <c r="K67" s="359">
        <v>0.10387405753135681</v>
      </c>
      <c r="L67" s="358">
        <v>0.68290962009128398</v>
      </c>
      <c r="M67" s="358">
        <v>7.7172403148634044E-4</v>
      </c>
      <c r="N67" s="357">
        <v>2.3999735408903491</v>
      </c>
      <c r="O67" s="392">
        <v>108846</v>
      </c>
      <c r="P67" s="316"/>
      <c r="Q67" s="443">
        <f t="shared" si="0"/>
        <v>89.534259891999994</v>
      </c>
      <c r="R67" s="443">
        <f t="shared" si="1"/>
        <v>23.062183848</v>
      </c>
      <c r="S67" s="443">
        <f t="shared" si="2"/>
        <v>9.3002868630490614</v>
      </c>
      <c r="T67" s="444">
        <f t="shared" si="3"/>
        <v>7.5374873922750556</v>
      </c>
    </row>
    <row r="68" spans="1:20" ht="15.75">
      <c r="A68" s="366">
        <v>58</v>
      </c>
      <c r="B68" s="362">
        <v>1974607</v>
      </c>
      <c r="C68" s="361">
        <v>46324</v>
      </c>
      <c r="D68" s="360">
        <v>11968</v>
      </c>
      <c r="E68" s="339">
        <v>0.25835418701171875</v>
      </c>
      <c r="F68" s="358">
        <v>5.9839393943548203E-2</v>
      </c>
      <c r="G68" s="358">
        <v>5.9191778302192688E-2</v>
      </c>
      <c r="H68" s="358">
        <v>2.2191520780324936E-2</v>
      </c>
      <c r="I68" s="358">
        <v>1.3837319798767567E-2</v>
      </c>
      <c r="J68" s="358">
        <v>0</v>
      </c>
      <c r="K68" s="359">
        <v>0.10327260196208954</v>
      </c>
      <c r="L68" s="358">
        <v>0.68592953976340554</v>
      </c>
      <c r="M68" s="358">
        <v>5.3967705724894226E-4</v>
      </c>
      <c r="N68" s="357">
        <v>2.5548743631810726</v>
      </c>
      <c r="O68" s="392">
        <v>118352</v>
      </c>
      <c r="P68" s="316"/>
      <c r="Q68" s="443">
        <f t="shared" si="0"/>
        <v>91.471694667999998</v>
      </c>
      <c r="R68" s="443">
        <f t="shared" si="1"/>
        <v>23.632096575999999</v>
      </c>
      <c r="S68" s="443">
        <f t="shared" si="2"/>
        <v>9.4465199142461529</v>
      </c>
      <c r="T68" s="444">
        <f t="shared" si="3"/>
        <v>7.6560030677550523</v>
      </c>
    </row>
    <row r="69" spans="1:20" ht="15.75">
      <c r="A69" s="366">
        <v>59</v>
      </c>
      <c r="B69" s="362">
        <v>1974699</v>
      </c>
      <c r="C69" s="361">
        <v>47342</v>
      </c>
      <c r="D69" s="360">
        <v>12235</v>
      </c>
      <c r="E69" s="339">
        <v>0.2584385871887207</v>
      </c>
      <c r="F69" s="358">
        <v>5.8193571865558624E-2</v>
      </c>
      <c r="G69" s="358">
        <v>6.01157546043396E-2</v>
      </c>
      <c r="H69" s="358">
        <v>2.2115668281912804E-2</v>
      </c>
      <c r="I69" s="358">
        <v>1.3898863457143307E-2</v>
      </c>
      <c r="J69" s="358">
        <v>0</v>
      </c>
      <c r="K69" s="359">
        <v>0.10409361869096756</v>
      </c>
      <c r="L69" s="358">
        <v>0.68398039795530396</v>
      </c>
      <c r="M69" s="358">
        <v>1.1828820075197499E-3</v>
      </c>
      <c r="N69" s="357">
        <v>2.4070381479447427</v>
      </c>
      <c r="O69" s="392">
        <v>113954</v>
      </c>
      <c r="P69" s="316"/>
      <c r="Q69" s="443">
        <f t="shared" si="0"/>
        <v>93.486200057999994</v>
      </c>
      <c r="R69" s="443">
        <f t="shared" si="1"/>
        <v>24.160442265</v>
      </c>
      <c r="S69" s="443">
        <f t="shared" si="2"/>
        <v>9.7313168617049612</v>
      </c>
      <c r="T69" s="444">
        <f t="shared" si="3"/>
        <v>7.8868188944536941</v>
      </c>
    </row>
    <row r="70" spans="1:20" ht="15.75">
      <c r="A70" s="366">
        <v>60</v>
      </c>
      <c r="B70" s="362">
        <v>1975467</v>
      </c>
      <c r="C70" s="361">
        <v>48415</v>
      </c>
      <c r="D70" s="360">
        <v>12411</v>
      </c>
      <c r="E70" s="339">
        <v>0.25634616613388062</v>
      </c>
      <c r="F70" s="358">
        <v>5.5809151381254196E-2</v>
      </c>
      <c r="G70" s="358">
        <v>6.1303313821554184E-2</v>
      </c>
      <c r="H70" s="358">
        <v>2.2864814847707748E-2</v>
      </c>
      <c r="I70" s="358">
        <v>1.313642505556345E-2</v>
      </c>
      <c r="J70" s="358">
        <v>0</v>
      </c>
      <c r="K70" s="359">
        <v>0.10321181267499924</v>
      </c>
      <c r="L70" s="358">
        <v>0.68763812867912832</v>
      </c>
      <c r="M70" s="358">
        <v>9.501187648456057E-4</v>
      </c>
      <c r="N70" s="357">
        <v>2.493090984199112</v>
      </c>
      <c r="O70" s="392">
        <v>120703</v>
      </c>
      <c r="P70" s="316"/>
      <c r="Q70" s="443">
        <f t="shared" si="0"/>
        <v>95.642234805000001</v>
      </c>
      <c r="R70" s="443">
        <f t="shared" si="1"/>
        <v>24.517520937</v>
      </c>
      <c r="S70" s="443">
        <f t="shared" si="2"/>
        <v>9.8714084225119514</v>
      </c>
      <c r="T70" s="444">
        <f t="shared" si="3"/>
        <v>8.0003571528855026</v>
      </c>
    </row>
    <row r="71" spans="1:20" ht="15.75">
      <c r="A71" s="366">
        <v>61</v>
      </c>
      <c r="B71" s="362">
        <v>1974313</v>
      </c>
      <c r="C71" s="361">
        <v>49492</v>
      </c>
      <c r="D71" s="360">
        <v>12667</v>
      </c>
      <c r="E71" s="339">
        <v>0.25594034790992737</v>
      </c>
      <c r="F71" s="358">
        <v>5.3725853562355042E-2</v>
      </c>
      <c r="G71" s="358">
        <v>6.2939465045928955E-2</v>
      </c>
      <c r="H71" s="358">
        <v>2.3236079141497612E-2</v>
      </c>
      <c r="I71" s="358">
        <v>1.3396104797720909E-2</v>
      </c>
      <c r="J71" s="358">
        <v>0</v>
      </c>
      <c r="K71" s="359">
        <v>0.10262264311313629</v>
      </c>
      <c r="L71" s="358">
        <v>0.67964519518305988</v>
      </c>
      <c r="M71" s="358">
        <v>-1.0102642851369918E-3</v>
      </c>
      <c r="N71" s="357">
        <v>2.514992321991433</v>
      </c>
      <c r="O71" s="392">
        <v>124472</v>
      </c>
      <c r="P71" s="316"/>
      <c r="Q71" s="443">
        <f t="shared" si="0"/>
        <v>97.712698996</v>
      </c>
      <c r="R71" s="443">
        <f t="shared" si="1"/>
        <v>25.008622770999999</v>
      </c>
      <c r="S71" s="443">
        <f t="shared" si="2"/>
        <v>10.027535436687819</v>
      </c>
      <c r="T71" s="444">
        <f t="shared" si="3"/>
        <v>8.1268914650280362</v>
      </c>
    </row>
    <row r="72" spans="1:20" ht="15.75">
      <c r="A72" s="366">
        <v>62</v>
      </c>
      <c r="B72" s="362">
        <v>1974822</v>
      </c>
      <c r="C72" s="361">
        <v>50561</v>
      </c>
      <c r="D72" s="360">
        <v>13162</v>
      </c>
      <c r="E72" s="339">
        <v>0.26031923294067383</v>
      </c>
      <c r="F72" s="358">
        <v>5.2688829600811005E-2</v>
      </c>
      <c r="G72" s="358">
        <v>6.7265287041664124E-2</v>
      </c>
      <c r="H72" s="358">
        <v>2.2408576682209969E-2</v>
      </c>
      <c r="I72" s="358">
        <v>1.222285907715559E-2</v>
      </c>
      <c r="J72" s="358">
        <v>1.9778090063482523E-5</v>
      </c>
      <c r="K72" s="359">
        <v>0.10571388900279999</v>
      </c>
      <c r="L72" s="358">
        <v>0.69341982951286563</v>
      </c>
      <c r="M72" s="358">
        <v>-3.3622752714542831E-4</v>
      </c>
      <c r="N72" s="357">
        <v>2.3950673443958781</v>
      </c>
      <c r="O72" s="392">
        <v>121097</v>
      </c>
      <c r="P72" s="316"/>
      <c r="Q72" s="443">
        <f t="shared" si="0"/>
        <v>99.848975142</v>
      </c>
      <c r="R72" s="443">
        <f t="shared" si="1"/>
        <v>25.992607163999999</v>
      </c>
      <c r="S72" s="443">
        <f t="shared" si="2"/>
        <v>10.555423475204723</v>
      </c>
      <c r="T72" s="444">
        <f t="shared" si="3"/>
        <v>8.5547222936299718</v>
      </c>
    </row>
    <row r="73" spans="1:20" ht="15.75">
      <c r="A73" s="366">
        <v>63</v>
      </c>
      <c r="B73" s="362">
        <v>1974779</v>
      </c>
      <c r="C73" s="361">
        <v>51658</v>
      </c>
      <c r="D73" s="360">
        <v>13280</v>
      </c>
      <c r="E73" s="339">
        <v>0.25707536935806274</v>
      </c>
      <c r="F73" s="358">
        <v>5.1802236586809158E-2</v>
      </c>
      <c r="G73" s="358">
        <v>6.5159313380718231E-2</v>
      </c>
      <c r="H73" s="358">
        <v>2.3771729320287704E-2</v>
      </c>
      <c r="I73" s="358">
        <v>1.2640830129384995E-2</v>
      </c>
      <c r="J73" s="358">
        <v>1.9358085410203785E-5</v>
      </c>
      <c r="K73" s="359">
        <v>0.10368190705776215</v>
      </c>
      <c r="L73" s="358">
        <v>0.68866390491308216</v>
      </c>
      <c r="M73" s="358">
        <v>6.1945874791900573E-4</v>
      </c>
      <c r="N73" s="357">
        <v>2.4882883580471562</v>
      </c>
      <c r="O73" s="392">
        <v>128540</v>
      </c>
      <c r="P73" s="316"/>
      <c r="Q73" s="443">
        <f t="shared" si="0"/>
        <v>102.01313358199999</v>
      </c>
      <c r="R73" s="443">
        <f t="shared" si="1"/>
        <v>26.22506512</v>
      </c>
      <c r="S73" s="443">
        <f t="shared" si="2"/>
        <v>10.576916234719999</v>
      </c>
      <c r="T73" s="444">
        <f t="shared" si="3"/>
        <v>8.5721412621260118</v>
      </c>
    </row>
    <row r="74" spans="1:20" ht="15.75">
      <c r="A74" s="366">
        <v>64</v>
      </c>
      <c r="B74" s="362">
        <v>1974123</v>
      </c>
      <c r="C74" s="361">
        <v>52718</v>
      </c>
      <c r="D74" s="360">
        <v>13593</v>
      </c>
      <c r="E74" s="339">
        <v>0.25784361362457275</v>
      </c>
      <c r="F74" s="358">
        <v>5.0874464213848114E-2</v>
      </c>
      <c r="G74" s="358">
        <v>6.6732428967952728E-2</v>
      </c>
      <c r="H74" s="358">
        <v>2.3578284308314323E-2</v>
      </c>
      <c r="I74" s="358">
        <v>1.3183352537453175E-2</v>
      </c>
      <c r="J74" s="358">
        <v>0</v>
      </c>
      <c r="K74" s="359">
        <v>0.1034940630197525</v>
      </c>
      <c r="L74" s="358">
        <v>0.68727948708221098</v>
      </c>
      <c r="M74" s="358">
        <v>1.8968853143138965E-5</v>
      </c>
      <c r="N74" s="357">
        <v>2.5444060852080885</v>
      </c>
      <c r="O74" s="392">
        <v>134136</v>
      </c>
      <c r="P74" s="316"/>
      <c r="Q74" s="443">
        <f t="shared" si="0"/>
        <v>104.071816314</v>
      </c>
      <c r="R74" s="443">
        <f t="shared" si="1"/>
        <v>26.834253939</v>
      </c>
      <c r="S74" s="443">
        <f t="shared" si="2"/>
        <v>10.770815116181224</v>
      </c>
      <c r="T74" s="444">
        <f t="shared" si="3"/>
        <v>8.7292880680161549</v>
      </c>
    </row>
    <row r="75" spans="1:20" ht="15.75">
      <c r="A75" s="366">
        <v>65</v>
      </c>
      <c r="B75" s="362">
        <v>1974456</v>
      </c>
      <c r="C75" s="361">
        <v>53892</v>
      </c>
      <c r="D75" s="360">
        <v>14191</v>
      </c>
      <c r="E75" s="339">
        <v>0.26332294940948486</v>
      </c>
      <c r="F75" s="358">
        <v>5.1324870437383652E-2</v>
      </c>
      <c r="G75" s="358">
        <v>7.1624733507633209E-2</v>
      </c>
      <c r="H75" s="358">
        <v>2.2526534274220467E-2</v>
      </c>
      <c r="I75" s="358">
        <v>1.302605215460062E-2</v>
      </c>
      <c r="J75" s="358">
        <v>1.8555629139882512E-5</v>
      </c>
      <c r="K75" s="359">
        <v>0.1048021987080574</v>
      </c>
      <c r="L75" s="358">
        <v>0.69624434053291773</v>
      </c>
      <c r="M75" s="358">
        <v>-1.3360053440213762E-3</v>
      </c>
      <c r="N75" s="357">
        <v>2.5798819861946116</v>
      </c>
      <c r="O75" s="392">
        <v>139035</v>
      </c>
      <c r="P75" s="316"/>
      <c r="Q75" s="443">
        <f t="shared" ref="Q75:Q136" si="4">B75*$C75/1000000000</f>
        <v>106.407382752</v>
      </c>
      <c r="R75" s="443">
        <f t="shared" ref="R75:R136" si="5">D75*$B75/1000000000</f>
        <v>28.019505096</v>
      </c>
      <c r="S75" s="443">
        <f t="shared" ref="S75:S136" si="6">B75*K75*$C75/1000000000</f>
        <v>11.151727671179424</v>
      </c>
      <c r="T75" s="444">
        <f t="shared" ref="T75:T100" si="7">S75*6.2/(6.2+1.45)</f>
        <v>9.0380015112826708</v>
      </c>
    </row>
    <row r="76" spans="1:20" ht="15.75">
      <c r="A76" s="366">
        <v>66</v>
      </c>
      <c r="B76" s="362">
        <v>1974607</v>
      </c>
      <c r="C76" s="361">
        <v>55098</v>
      </c>
      <c r="D76" s="360">
        <v>14642</v>
      </c>
      <c r="E76" s="339">
        <v>0.26574468612670898</v>
      </c>
      <c r="F76" s="358">
        <v>5.1054485142230988E-2</v>
      </c>
      <c r="G76" s="358">
        <v>7.0746667683124542E-2</v>
      </c>
      <c r="H76" s="358">
        <v>2.3630620911717415E-2</v>
      </c>
      <c r="I76" s="358">
        <v>1.4755526557564735E-2</v>
      </c>
      <c r="J76" s="358">
        <v>1.8149479728890583E-5</v>
      </c>
      <c r="K76" s="359">
        <v>0.10553921759128571</v>
      </c>
      <c r="L76" s="358">
        <v>0.68305564630295112</v>
      </c>
      <c r="M76" s="358">
        <v>8.7117499727757818E-4</v>
      </c>
      <c r="N76" s="357">
        <v>2.5975353007368689</v>
      </c>
      <c r="O76" s="392">
        <v>143119</v>
      </c>
      <c r="P76" s="316"/>
      <c r="Q76" s="443">
        <f t="shared" si="4"/>
        <v>108.79689648599999</v>
      </c>
      <c r="R76" s="443">
        <f t="shared" si="5"/>
        <v>28.912195694000001</v>
      </c>
      <c r="S76" s="443">
        <f t="shared" si="6"/>
        <v>11.48233933149254</v>
      </c>
      <c r="T76" s="444">
        <f t="shared" si="7"/>
        <v>9.3059482163730394</v>
      </c>
    </row>
    <row r="77" spans="1:20" ht="15.75">
      <c r="A77" s="366">
        <v>67</v>
      </c>
      <c r="B77" s="362">
        <v>1975474</v>
      </c>
      <c r="C77" s="361">
        <v>56305</v>
      </c>
      <c r="D77" s="360">
        <v>14890</v>
      </c>
      <c r="E77" s="339">
        <v>0.26445254683494568</v>
      </c>
      <c r="F77" s="358">
        <v>5.0936862826347351E-2</v>
      </c>
      <c r="G77" s="358">
        <v>7.0952847599983215E-2</v>
      </c>
      <c r="H77" s="358">
        <v>2.2910932078957558E-2</v>
      </c>
      <c r="I77" s="358">
        <v>1.458129845559597E-2</v>
      </c>
      <c r="J77" s="358">
        <v>1.7760412447387353E-5</v>
      </c>
      <c r="K77" s="359">
        <v>0.10505283623933792</v>
      </c>
      <c r="L77" s="358">
        <v>0.68533877985969271</v>
      </c>
      <c r="M77" s="358">
        <v>8.5249977799484948E-4</v>
      </c>
      <c r="N77" s="357">
        <v>2.6638309208773645</v>
      </c>
      <c r="O77" s="392">
        <v>149987</v>
      </c>
      <c r="P77" s="316"/>
      <c r="Q77" s="443">
        <f t="shared" si="4"/>
        <v>111.22906356999999</v>
      </c>
      <c r="R77" s="443">
        <f t="shared" si="5"/>
        <v>29.41480786</v>
      </c>
      <c r="S77" s="443">
        <f t="shared" si="6"/>
        <v>11.684928600274116</v>
      </c>
      <c r="T77" s="444">
        <f t="shared" si="7"/>
        <v>9.470138211986864</v>
      </c>
    </row>
    <row r="78" spans="1:20" ht="15.75">
      <c r="A78" s="366">
        <v>68</v>
      </c>
      <c r="B78" s="362">
        <v>1974619</v>
      </c>
      <c r="C78" s="361">
        <v>57557</v>
      </c>
      <c r="D78" s="360">
        <v>15570</v>
      </c>
      <c r="E78" s="339">
        <v>0.27051445841789246</v>
      </c>
      <c r="F78" s="358">
        <v>5.0384834408760071E-2</v>
      </c>
      <c r="G78" s="358">
        <v>7.5646750628948212E-2</v>
      </c>
      <c r="H78" s="358">
        <v>2.3020658642053604E-2</v>
      </c>
      <c r="I78" s="358">
        <v>1.4403113164007664E-2</v>
      </c>
      <c r="J78" s="358">
        <v>1.7374080925947055E-5</v>
      </c>
      <c r="K78" s="359">
        <v>0.10705909132957458</v>
      </c>
      <c r="L78" s="358">
        <v>0.69223552304671887</v>
      </c>
      <c r="M78" s="358">
        <v>6.775891724725055E-4</v>
      </c>
      <c r="N78" s="357">
        <v>2.5695918828291955</v>
      </c>
      <c r="O78" s="392">
        <v>147898</v>
      </c>
      <c r="P78" s="316"/>
      <c r="Q78" s="443">
        <f t="shared" si="4"/>
        <v>113.653145783</v>
      </c>
      <c r="R78" s="443">
        <f t="shared" si="5"/>
        <v>30.744817829999999</v>
      </c>
      <c r="S78" s="443">
        <f t="shared" si="6"/>
        <v>12.167602514275652</v>
      </c>
      <c r="T78" s="444">
        <f t="shared" si="7"/>
        <v>9.8613249135305932</v>
      </c>
    </row>
    <row r="79" spans="1:20" ht="15.75">
      <c r="A79" s="366">
        <v>69</v>
      </c>
      <c r="B79" s="362">
        <v>1974777</v>
      </c>
      <c r="C79" s="361">
        <v>58767</v>
      </c>
      <c r="D79" s="360">
        <v>15748</v>
      </c>
      <c r="E79" s="339">
        <v>0.26797351241111755</v>
      </c>
      <c r="F79" s="358">
        <v>5.0334371626377106E-2</v>
      </c>
      <c r="G79" s="358">
        <v>7.4769854545593262E-2</v>
      </c>
      <c r="H79" s="358">
        <v>2.3618698120117188E-2</v>
      </c>
      <c r="I79" s="358">
        <v>1.3238722458481789E-2</v>
      </c>
      <c r="J79" s="358">
        <v>1.7016353012877516E-5</v>
      </c>
      <c r="K79" s="359">
        <v>0.10599485784769058</v>
      </c>
      <c r="L79" s="358">
        <v>0.69474364864634919</v>
      </c>
      <c r="M79" s="358">
        <v>2.2121258529446798E-4</v>
      </c>
      <c r="N79" s="357">
        <v>2.5919478618952811</v>
      </c>
      <c r="O79" s="392">
        <v>152321</v>
      </c>
      <c r="P79" s="316"/>
      <c r="Q79" s="443">
        <f t="shared" si="4"/>
        <v>116.051719959</v>
      </c>
      <c r="R79" s="443">
        <f t="shared" si="5"/>
        <v>31.098788196000001</v>
      </c>
      <c r="S79" s="443">
        <f t="shared" si="6"/>
        <v>12.300885560034201</v>
      </c>
      <c r="T79" s="444">
        <f t="shared" si="7"/>
        <v>9.9693451597662808</v>
      </c>
    </row>
    <row r="80" spans="1:20" ht="15.75">
      <c r="A80" s="366">
        <v>70</v>
      </c>
      <c r="B80" s="362">
        <v>1974715</v>
      </c>
      <c r="C80" s="361">
        <v>60069</v>
      </c>
      <c r="D80" s="360">
        <v>16188</v>
      </c>
      <c r="E80" s="339">
        <v>0.26949009299278259</v>
      </c>
      <c r="F80" s="358">
        <v>5.010903999209404E-2</v>
      </c>
      <c r="G80" s="358">
        <v>7.6911553740501404E-2</v>
      </c>
      <c r="H80" s="358">
        <v>2.4122258648276329E-2</v>
      </c>
      <c r="I80" s="358">
        <v>1.2652116827666759E-2</v>
      </c>
      <c r="J80" s="358">
        <v>1.6647521988488734E-5</v>
      </c>
      <c r="K80" s="359">
        <v>0.10564517229795456</v>
      </c>
      <c r="L80" s="358">
        <v>0.68887446103647476</v>
      </c>
      <c r="M80" s="358">
        <v>3.0631440510080076E-3</v>
      </c>
      <c r="N80" s="357">
        <v>2.6956500024971284</v>
      </c>
      <c r="O80" s="392">
        <v>161925</v>
      </c>
      <c r="P80" s="316"/>
      <c r="Q80" s="443">
        <f t="shared" si="4"/>
        <v>118.619155335</v>
      </c>
      <c r="R80" s="443">
        <f t="shared" si="5"/>
        <v>31.966686419999998</v>
      </c>
      <c r="S80" s="443">
        <f t="shared" si="6"/>
        <v>12.53154110320391</v>
      </c>
      <c r="T80" s="444">
        <f t="shared" si="7"/>
        <v>10.156281678413626</v>
      </c>
    </row>
    <row r="81" spans="1:20" ht="15.75">
      <c r="A81" s="366">
        <v>71</v>
      </c>
      <c r="B81" s="362">
        <v>1974811</v>
      </c>
      <c r="C81" s="361">
        <v>61479</v>
      </c>
      <c r="D81" s="360">
        <v>16849</v>
      </c>
      <c r="E81" s="339">
        <v>0.27406105399131775</v>
      </c>
      <c r="F81" s="358">
        <v>4.9952015280723572E-2</v>
      </c>
      <c r="G81" s="358">
        <v>7.9913467168807983E-2</v>
      </c>
      <c r="H81" s="358">
        <v>2.3650351911783218E-2</v>
      </c>
      <c r="I81" s="358">
        <v>1.4037313871085644E-2</v>
      </c>
      <c r="J81" s="358">
        <v>1.6265716112684458E-5</v>
      </c>
      <c r="K81" s="359">
        <v>0.10649164766073227</v>
      </c>
      <c r="L81" s="358">
        <v>0.69415572797215308</v>
      </c>
      <c r="M81" s="358">
        <v>6.6689438670114996E-4</v>
      </c>
      <c r="N81" s="357">
        <v>2.5714634265358902</v>
      </c>
      <c r="O81" s="392">
        <v>158091</v>
      </c>
      <c r="P81" s="316"/>
      <c r="Q81" s="443">
        <f t="shared" si="4"/>
        <v>121.40940546900001</v>
      </c>
      <c r="R81" s="443">
        <f t="shared" si="5"/>
        <v>33.273590538999997</v>
      </c>
      <c r="S81" s="443">
        <f t="shared" si="6"/>
        <v>12.929087629903728</v>
      </c>
      <c r="T81" s="444">
        <f t="shared" si="7"/>
        <v>10.478476249072303</v>
      </c>
    </row>
    <row r="82" spans="1:20" ht="15.75">
      <c r="A82" s="366">
        <v>72</v>
      </c>
      <c r="B82" s="362">
        <v>1974118</v>
      </c>
      <c r="C82" s="361">
        <v>62959</v>
      </c>
      <c r="D82" s="360">
        <v>17174</v>
      </c>
      <c r="E82" s="339">
        <v>0.27278068661689758</v>
      </c>
      <c r="F82" s="358">
        <v>4.9524292349815369E-2</v>
      </c>
      <c r="G82" s="358">
        <v>8.1020981073379517E-2</v>
      </c>
      <c r="H82" s="358">
        <v>2.592163160443306E-2</v>
      </c>
      <c r="I82" s="358">
        <v>1.4056767337024212E-2</v>
      </c>
      <c r="J82" s="358">
        <v>1.5883351807133295E-5</v>
      </c>
      <c r="K82" s="359">
        <v>0.10222525894641876</v>
      </c>
      <c r="L82" s="358">
        <v>0.69229180895503428</v>
      </c>
      <c r="M82" s="358">
        <v>1.2230181546720883E-3</v>
      </c>
      <c r="N82" s="357">
        <v>2.8844327260598166</v>
      </c>
      <c r="O82" s="392">
        <v>181601</v>
      </c>
      <c r="P82" s="316"/>
      <c r="Q82" s="443">
        <f t="shared" si="4"/>
        <v>124.288495162</v>
      </c>
      <c r="R82" s="443">
        <f t="shared" si="5"/>
        <v>33.903502531999997</v>
      </c>
      <c r="S82" s="443">
        <f t="shared" si="6"/>
        <v>12.705423601996166</v>
      </c>
      <c r="T82" s="444">
        <f t="shared" si="7"/>
        <v>10.297206056519769</v>
      </c>
    </row>
    <row r="83" spans="1:20" ht="15.75">
      <c r="A83" s="366">
        <v>73</v>
      </c>
      <c r="B83" s="362">
        <v>1974878</v>
      </c>
      <c r="C83" s="361">
        <v>64526</v>
      </c>
      <c r="D83" s="360">
        <v>17489</v>
      </c>
      <c r="E83" s="339">
        <v>0.27103802561759949</v>
      </c>
      <c r="F83" s="358">
        <v>4.922046884894371E-2</v>
      </c>
      <c r="G83" s="358">
        <v>7.9735301434993744E-2</v>
      </c>
      <c r="H83" s="358">
        <v>2.6779903098940849E-2</v>
      </c>
      <c r="I83" s="358">
        <v>1.4025353826582432E-2</v>
      </c>
      <c r="J83" s="358">
        <v>1.5497629647143185E-5</v>
      </c>
      <c r="K83" s="359">
        <v>0.10123050957918167</v>
      </c>
      <c r="L83" s="358">
        <v>0.68153922449865167</v>
      </c>
      <c r="M83" s="358">
        <v>2.6810897932616311E-3</v>
      </c>
      <c r="N83" s="357">
        <v>2.899327402907355</v>
      </c>
      <c r="O83" s="392">
        <v>187082</v>
      </c>
      <c r="P83" s="316"/>
      <c r="Q83" s="443">
        <f t="shared" si="4"/>
        <v>127.430977828</v>
      </c>
      <c r="R83" s="443">
        <f t="shared" si="5"/>
        <v>34.538641341999998</v>
      </c>
      <c r="S83" s="443">
        <f t="shared" si="6"/>
        <v>12.899902821701842</v>
      </c>
      <c r="T83" s="444">
        <f t="shared" si="7"/>
        <v>10.454823201902146</v>
      </c>
    </row>
    <row r="84" spans="1:20" ht="15.75">
      <c r="A84" s="366">
        <v>74</v>
      </c>
      <c r="B84" s="362">
        <v>1974382</v>
      </c>
      <c r="C84" s="361">
        <v>66166</v>
      </c>
      <c r="D84" s="360">
        <v>18081</v>
      </c>
      <c r="E84" s="339">
        <v>0.2732672393321991</v>
      </c>
      <c r="F84" s="358">
        <v>4.9088656902313232E-2</v>
      </c>
      <c r="G84" s="358">
        <v>8.2353472709655762E-2</v>
      </c>
      <c r="H84" s="358">
        <v>2.5163982063531876E-2</v>
      </c>
      <c r="I84" s="358">
        <v>1.5249524265527725E-2</v>
      </c>
      <c r="J84" s="358">
        <v>3.0227005481719971E-5</v>
      </c>
      <c r="K84" s="359">
        <v>0.10139648616313934</v>
      </c>
      <c r="L84" s="358">
        <v>0.68075748874044073</v>
      </c>
      <c r="M84" s="358">
        <v>-2.8715654565789078E-4</v>
      </c>
      <c r="N84" s="357">
        <v>2.8964876220415321</v>
      </c>
      <c r="O84" s="392">
        <v>191649</v>
      </c>
      <c r="P84" s="316"/>
      <c r="Q84" s="443">
        <f t="shared" si="4"/>
        <v>130.63695941200001</v>
      </c>
      <c r="R84" s="443">
        <f t="shared" si="5"/>
        <v>35.698800941999998</v>
      </c>
      <c r="S84" s="443">
        <f t="shared" si="6"/>
        <v>13.246128647413453</v>
      </c>
      <c r="T84" s="444">
        <f t="shared" si="7"/>
        <v>10.735424524701099</v>
      </c>
    </row>
    <row r="85" spans="1:20" ht="15.75">
      <c r="A85" s="366">
        <v>75</v>
      </c>
      <c r="B85" s="362">
        <v>1974484</v>
      </c>
      <c r="C85" s="361">
        <v>67795</v>
      </c>
      <c r="D85" s="360">
        <v>18662</v>
      </c>
      <c r="E85" s="339">
        <v>0.27527102828025818</v>
      </c>
      <c r="F85" s="358">
        <v>4.9177668988704681E-2</v>
      </c>
      <c r="G85" s="358">
        <v>8.2911722362041473E-2</v>
      </c>
      <c r="H85" s="358">
        <v>2.6860387995839119E-2</v>
      </c>
      <c r="I85" s="358">
        <v>1.4853603206574917E-2</v>
      </c>
      <c r="J85" s="358">
        <v>2.9500701202778146E-5</v>
      </c>
      <c r="K85" s="359">
        <v>0.10145290940999985</v>
      </c>
      <c r="L85" s="358">
        <v>0.67807360424810093</v>
      </c>
      <c r="M85" s="358">
        <v>1.489785382402832E-3</v>
      </c>
      <c r="N85" s="357">
        <v>3.0787078693118963</v>
      </c>
      <c r="O85" s="392">
        <v>208721</v>
      </c>
      <c r="P85" s="316"/>
      <c r="Q85" s="443">
        <f t="shared" si="4"/>
        <v>133.86014277999999</v>
      </c>
      <c r="R85" s="443">
        <f t="shared" si="5"/>
        <v>36.847820407999997</v>
      </c>
      <c r="S85" s="443">
        <f t="shared" si="6"/>
        <v>13.580500939068985</v>
      </c>
      <c r="T85" s="444">
        <f t="shared" si="7"/>
        <v>11.006419061729112</v>
      </c>
    </row>
    <row r="86" spans="1:20" ht="15.75">
      <c r="A86" s="366">
        <v>76</v>
      </c>
      <c r="B86" s="362">
        <v>1974259</v>
      </c>
      <c r="C86" s="361">
        <v>69631</v>
      </c>
      <c r="D86" s="360">
        <v>19574</v>
      </c>
      <c r="E86" s="339">
        <v>0.28111043572425842</v>
      </c>
      <c r="F86" s="358">
        <v>4.9575619399547577E-2</v>
      </c>
      <c r="G86" s="358">
        <v>8.6197242140769958E-2</v>
      </c>
      <c r="H86" s="358">
        <v>2.6195229962468147E-2</v>
      </c>
      <c r="I86" s="358">
        <v>1.5495971776545048E-2</v>
      </c>
      <c r="J86" s="358">
        <v>2.8722839488182217E-5</v>
      </c>
      <c r="K86" s="359">
        <v>0.10363200306892395</v>
      </c>
      <c r="L86" s="358">
        <v>0.68545619048986806</v>
      </c>
      <c r="M86" s="358">
        <v>3.1738737056770691E-3</v>
      </c>
      <c r="N86" s="357">
        <v>2.9237983082247849</v>
      </c>
      <c r="O86" s="392">
        <v>203587</v>
      </c>
      <c r="P86" s="316"/>
      <c r="Q86" s="443">
        <f t="shared" si="4"/>
        <v>137.46962842900001</v>
      </c>
      <c r="R86" s="443">
        <f t="shared" si="5"/>
        <v>38.644145666</v>
      </c>
      <c r="S86" s="443">
        <f t="shared" si="6"/>
        <v>14.246252955237964</v>
      </c>
      <c r="T86" s="444">
        <f t="shared" si="7"/>
        <v>11.545982787251683</v>
      </c>
    </row>
    <row r="87" spans="1:20" ht="15.75">
      <c r="A87" s="366">
        <v>77</v>
      </c>
      <c r="B87" s="362">
        <v>1974502</v>
      </c>
      <c r="C87" s="361">
        <v>71518</v>
      </c>
      <c r="D87" s="360">
        <v>20056</v>
      </c>
      <c r="E87" s="339">
        <v>0.28043290972709656</v>
      </c>
      <c r="F87" s="358">
        <v>4.9008641391992569E-2</v>
      </c>
      <c r="G87" s="358">
        <v>8.8369362056255341E-2</v>
      </c>
      <c r="H87" s="358">
        <v>2.7056125923991203E-2</v>
      </c>
      <c r="I87" s="358">
        <v>1.5856148675084114E-2</v>
      </c>
      <c r="J87" s="358">
        <v>2.7964988476014696E-5</v>
      </c>
      <c r="K87" s="359">
        <v>0.10011465847492218</v>
      </c>
      <c r="L87" s="358">
        <v>0.67588579098968093</v>
      </c>
      <c r="M87" s="358">
        <v>2.2511815207360386E-3</v>
      </c>
      <c r="N87" s="357">
        <v>3.1121256187253556</v>
      </c>
      <c r="O87" s="392">
        <v>222573</v>
      </c>
      <c r="P87" s="316"/>
      <c r="Q87" s="443">
        <f t="shared" si="4"/>
        <v>141.21243403599999</v>
      </c>
      <c r="R87" s="443">
        <f t="shared" si="5"/>
        <v>39.600612112</v>
      </c>
      <c r="S87" s="443">
        <f t="shared" si="6"/>
        <v>14.137434605926616</v>
      </c>
      <c r="T87" s="444">
        <f t="shared" si="7"/>
        <v>11.457790138136604</v>
      </c>
    </row>
    <row r="88" spans="1:20" ht="15.75">
      <c r="A88" s="366">
        <v>78</v>
      </c>
      <c r="B88" s="362">
        <v>1975899</v>
      </c>
      <c r="C88" s="361">
        <v>73503</v>
      </c>
      <c r="D88" s="360">
        <v>20455</v>
      </c>
      <c r="E88" s="339">
        <v>0.27828794717788696</v>
      </c>
      <c r="F88" s="358">
        <v>4.8419792205095291E-2</v>
      </c>
      <c r="G88" s="358">
        <v>8.8268503546714783E-2</v>
      </c>
      <c r="H88" s="358">
        <v>2.8379794210195541E-2</v>
      </c>
      <c r="I88" s="358">
        <v>1.5740854665637016E-2</v>
      </c>
      <c r="J88" s="358">
        <v>2.7209773179492913E-5</v>
      </c>
      <c r="K88" s="359">
        <v>9.745180606842041E-2</v>
      </c>
      <c r="L88" s="358">
        <v>0.67057126919989662</v>
      </c>
      <c r="M88" s="358">
        <v>1.9454988231772854E-3</v>
      </c>
      <c r="N88" s="357">
        <v>3.2264533420404611</v>
      </c>
      <c r="O88" s="392">
        <v>237154</v>
      </c>
      <c r="P88" s="316"/>
      <c r="Q88" s="443">
        <f t="shared" si="4"/>
        <v>145.23450419700001</v>
      </c>
      <c r="R88" s="443">
        <f t="shared" si="5"/>
        <v>40.417014045000002</v>
      </c>
      <c r="S88" s="443">
        <f t="shared" si="6"/>
        <v>14.153364737449234</v>
      </c>
      <c r="T88" s="444">
        <f t="shared" si="7"/>
        <v>11.470700832965392</v>
      </c>
    </row>
    <row r="89" spans="1:20" ht="15.75">
      <c r="A89" s="366">
        <v>79</v>
      </c>
      <c r="B89" s="362">
        <v>1974306</v>
      </c>
      <c r="C89" s="361">
        <v>75561</v>
      </c>
      <c r="D89" s="360">
        <v>22167</v>
      </c>
      <c r="E89" s="339">
        <v>0.29336562752723694</v>
      </c>
      <c r="F89" s="358">
        <v>4.9761120229959488E-2</v>
      </c>
      <c r="G89" s="358">
        <v>9.7126826643943787E-2</v>
      </c>
      <c r="H89" s="358">
        <v>2.4986434727907181E-2</v>
      </c>
      <c r="I89" s="358">
        <v>1.5947381034493446E-2</v>
      </c>
      <c r="J89" s="358">
        <v>2.646868051670026E-5</v>
      </c>
      <c r="K89" s="359">
        <v>0.10551739484071732</v>
      </c>
      <c r="L89" s="358">
        <v>0.69980545519514037</v>
      </c>
      <c r="M89" s="358">
        <v>7.9406042799857069E-4</v>
      </c>
      <c r="N89" s="357">
        <v>2.9313931790209233</v>
      </c>
      <c r="O89" s="392">
        <v>221499</v>
      </c>
      <c r="P89" s="316"/>
      <c r="Q89" s="443">
        <f t="shared" si="4"/>
        <v>149.180535666</v>
      </c>
      <c r="R89" s="443">
        <f t="shared" si="5"/>
        <v>43.764441101999999</v>
      </c>
      <c r="S89" s="443">
        <f t="shared" si="6"/>
        <v>15.741141484419034</v>
      </c>
      <c r="T89" s="444">
        <f t="shared" si="7"/>
        <v>12.757526431816732</v>
      </c>
    </row>
    <row r="90" spans="1:20" ht="15.75">
      <c r="A90" s="366">
        <v>80</v>
      </c>
      <c r="B90" s="362">
        <v>1974848</v>
      </c>
      <c r="C90" s="361">
        <v>77693</v>
      </c>
      <c r="D90" s="360">
        <v>22182</v>
      </c>
      <c r="E90" s="339">
        <v>0.28550833463668823</v>
      </c>
      <c r="F90" s="358">
        <v>4.8459965735673904E-2</v>
      </c>
      <c r="G90" s="358">
        <v>9.4487279653549194E-2</v>
      </c>
      <c r="H90" s="358">
        <v>2.6849266141653061E-2</v>
      </c>
      <c r="I90" s="358">
        <v>1.5664216130971909E-2</v>
      </c>
      <c r="J90" s="358">
        <v>2.5742345314938575E-5</v>
      </c>
      <c r="K90" s="359">
        <v>0.1000090092420578</v>
      </c>
      <c r="L90" s="358">
        <v>0.6730722201485333</v>
      </c>
      <c r="M90" s="358">
        <v>3.6039282818271915E-3</v>
      </c>
      <c r="N90" s="357">
        <v>3.2329167363855174</v>
      </c>
      <c r="O90" s="392">
        <v>251175</v>
      </c>
      <c r="P90" s="316"/>
      <c r="Q90" s="443">
        <f t="shared" si="4"/>
        <v>153.43186566399999</v>
      </c>
      <c r="R90" s="443">
        <f t="shared" si="5"/>
        <v>43.806078335999999</v>
      </c>
      <c r="S90" s="443">
        <f t="shared" si="6"/>
        <v>15.344568871217147</v>
      </c>
      <c r="T90" s="444">
        <f t="shared" si="7"/>
        <v>12.436121176672721</v>
      </c>
    </row>
    <row r="91" spans="1:20" ht="15.75">
      <c r="A91" s="366">
        <v>81</v>
      </c>
      <c r="B91" s="362">
        <v>1974410</v>
      </c>
      <c r="C91" s="361">
        <v>79985</v>
      </c>
      <c r="D91" s="360">
        <v>22594</v>
      </c>
      <c r="E91" s="339">
        <v>0.2824779748916626</v>
      </c>
      <c r="F91" s="358">
        <v>4.7746453434228897E-2</v>
      </c>
      <c r="G91" s="358">
        <v>9.4530224800109863E-2</v>
      </c>
      <c r="H91" s="358">
        <v>2.9205476865172386E-2</v>
      </c>
      <c r="I91" s="358">
        <v>1.5202850103378296E-2</v>
      </c>
      <c r="J91" s="358">
        <v>3.7507033994188532E-5</v>
      </c>
      <c r="K91" s="359">
        <v>9.5755450427532196E-2</v>
      </c>
      <c r="L91" s="358">
        <v>0.66272426079889979</v>
      </c>
      <c r="M91" s="358">
        <v>4.3133087453897604E-3</v>
      </c>
      <c r="N91" s="357">
        <v>3.3670688254047634</v>
      </c>
      <c r="O91" s="392">
        <v>269315</v>
      </c>
      <c r="P91" s="316"/>
      <c r="Q91" s="443">
        <f t="shared" si="4"/>
        <v>157.92318384999999</v>
      </c>
      <c r="R91" s="443">
        <f t="shared" si="5"/>
        <v>44.609819539999997</v>
      </c>
      <c r="S91" s="443">
        <f t="shared" si="6"/>
        <v>15.122005602506727</v>
      </c>
      <c r="T91" s="444">
        <f t="shared" si="7"/>
        <v>12.255743102685189</v>
      </c>
    </row>
    <row r="92" spans="1:20" ht="15.75">
      <c r="A92" s="366">
        <v>82</v>
      </c>
      <c r="B92" s="362">
        <v>1974277</v>
      </c>
      <c r="C92" s="361">
        <v>82451</v>
      </c>
      <c r="D92" s="360">
        <v>24174</v>
      </c>
      <c r="E92" s="339">
        <v>0.29319232702255249</v>
      </c>
      <c r="F92" s="358">
        <v>4.8731975257396698E-2</v>
      </c>
      <c r="G92" s="358">
        <v>0.10032625496387482</v>
      </c>
      <c r="H92" s="358">
        <v>2.5627342984080315E-2</v>
      </c>
      <c r="I92" s="358">
        <v>1.6494644805788994E-2</v>
      </c>
      <c r="J92" s="358">
        <v>4.8513662477489561E-5</v>
      </c>
      <c r="K92" s="359">
        <v>0.1019635871052742</v>
      </c>
      <c r="L92" s="358">
        <v>0.68951255897442121</v>
      </c>
      <c r="M92" s="358">
        <v>-8.1260384955913209E-4</v>
      </c>
      <c r="N92" s="357">
        <v>3.2724527294999453</v>
      </c>
      <c r="O92" s="392">
        <v>269817</v>
      </c>
      <c r="P92" s="316"/>
      <c r="Q92" s="443">
        <f t="shared" si="4"/>
        <v>162.78111292700001</v>
      </c>
      <c r="R92" s="443">
        <f t="shared" si="5"/>
        <v>47.726172198</v>
      </c>
      <c r="S92" s="443">
        <f t="shared" si="6"/>
        <v>16.597746187025642</v>
      </c>
      <c r="T92" s="444">
        <f t="shared" si="7"/>
        <v>13.451768151576337</v>
      </c>
    </row>
    <row r="93" spans="1:20" ht="15.75">
      <c r="A93" s="366">
        <v>83</v>
      </c>
      <c r="B93" s="362">
        <v>1975249</v>
      </c>
      <c r="C93" s="361">
        <v>85097</v>
      </c>
      <c r="D93" s="360">
        <v>24600</v>
      </c>
      <c r="E93" s="339">
        <v>0.289081871509552</v>
      </c>
      <c r="F93" s="358">
        <v>4.8791378736495972E-2</v>
      </c>
      <c r="G93" s="358">
        <v>9.6372373402118683E-2</v>
      </c>
      <c r="H93" s="358">
        <v>2.7462778612971306E-2</v>
      </c>
      <c r="I93" s="358">
        <v>1.6863109543919563E-2</v>
      </c>
      <c r="J93" s="358">
        <v>4.7005181841086596E-5</v>
      </c>
      <c r="K93" s="359">
        <v>9.9545225501060486E-2</v>
      </c>
      <c r="L93" s="358">
        <v>0.67468888444951058</v>
      </c>
      <c r="M93" s="358">
        <v>2.9965803729861216E-3</v>
      </c>
      <c r="N93" s="357">
        <v>3.3151814987602384</v>
      </c>
      <c r="O93" s="392">
        <v>282112</v>
      </c>
      <c r="P93" s="316"/>
      <c r="Q93" s="443">
        <f t="shared" si="4"/>
        <v>168.08776415299999</v>
      </c>
      <c r="R93" s="443">
        <f t="shared" si="5"/>
        <v>48.591125400000003</v>
      </c>
      <c r="S93" s="443">
        <f t="shared" si="6"/>
        <v>16.732334386579456</v>
      </c>
      <c r="T93" s="444">
        <f t="shared" si="7"/>
        <v>13.560846169515376</v>
      </c>
    </row>
    <row r="94" spans="1:20" ht="15.75">
      <c r="A94" s="366">
        <v>84</v>
      </c>
      <c r="B94" s="362">
        <v>1974451</v>
      </c>
      <c r="C94" s="361">
        <v>87899</v>
      </c>
      <c r="D94" s="360">
        <v>25576</v>
      </c>
      <c r="E94" s="339">
        <v>0.2909703254699707</v>
      </c>
      <c r="F94" s="358">
        <v>4.8134792596101761E-2</v>
      </c>
      <c r="G94" s="358">
        <v>0.10063823312520981</v>
      </c>
      <c r="H94" s="358">
        <v>2.8032172471284866E-2</v>
      </c>
      <c r="I94" s="358">
        <v>1.6928520053625107E-2</v>
      </c>
      <c r="J94" s="358">
        <v>5.6883469369495288E-5</v>
      </c>
      <c r="K94" s="359">
        <v>9.7179718315601349E-2</v>
      </c>
      <c r="L94" s="358">
        <v>0.67000762238478251</v>
      </c>
      <c r="M94" s="358">
        <v>1.3765799383383202E-3</v>
      </c>
      <c r="N94" s="357">
        <v>3.5482087395761046</v>
      </c>
      <c r="O94" s="392">
        <v>311884</v>
      </c>
      <c r="P94" s="316"/>
      <c r="Q94" s="443">
        <f t="shared" si="4"/>
        <v>173.552268449</v>
      </c>
      <c r="R94" s="443">
        <f t="shared" si="5"/>
        <v>50.498558776000003</v>
      </c>
      <c r="S94" s="443">
        <f t="shared" si="6"/>
        <v>16.865760560907447</v>
      </c>
      <c r="T94" s="444">
        <f t="shared" si="7"/>
        <v>13.668982415375968</v>
      </c>
    </row>
    <row r="95" spans="1:20" ht="15.75">
      <c r="A95" s="366">
        <v>85</v>
      </c>
      <c r="B95" s="362">
        <v>1975107</v>
      </c>
      <c r="C95" s="361">
        <v>91113</v>
      </c>
      <c r="D95" s="360">
        <v>26585</v>
      </c>
      <c r="E95" s="339">
        <v>0.29178053140640259</v>
      </c>
      <c r="F95" s="358">
        <v>4.7655109316110611E-2</v>
      </c>
      <c r="G95" s="358">
        <v>0.10192837566137314</v>
      </c>
      <c r="H95" s="358">
        <v>3.031400591135025E-2</v>
      </c>
      <c r="I95" s="358">
        <v>1.6386246308684349E-2</v>
      </c>
      <c r="J95" s="358">
        <v>5.4876909416634589E-5</v>
      </c>
      <c r="K95" s="359">
        <v>9.5452897250652313E-2</v>
      </c>
      <c r="L95" s="358">
        <v>0.65807294239021874</v>
      </c>
      <c r="M95" s="358">
        <v>6.3876724506930953E-3</v>
      </c>
      <c r="N95" s="357">
        <v>3.5717186351014676</v>
      </c>
      <c r="O95" s="392">
        <v>325430</v>
      </c>
      <c r="P95" s="316"/>
      <c r="Q95" s="443">
        <f t="shared" si="4"/>
        <v>179.957924091</v>
      </c>
      <c r="R95" s="443">
        <f t="shared" si="5"/>
        <v>52.508219595</v>
      </c>
      <c r="S95" s="443">
        <f t="shared" si="6"/>
        <v>17.177505237698913</v>
      </c>
      <c r="T95" s="444">
        <f t="shared" si="7"/>
        <v>13.921638231860555</v>
      </c>
    </row>
    <row r="96" spans="1:20" ht="15.75">
      <c r="A96" s="366">
        <v>86</v>
      </c>
      <c r="B96" s="362">
        <v>1974536</v>
      </c>
      <c r="C96" s="361">
        <v>94548</v>
      </c>
      <c r="D96" s="360">
        <v>27991</v>
      </c>
      <c r="E96" s="339">
        <v>0.29605069756507874</v>
      </c>
      <c r="F96" s="358">
        <v>4.6621821820735931E-2</v>
      </c>
      <c r="G96" s="358">
        <v>0.10710961371660233</v>
      </c>
      <c r="H96" s="358">
        <v>2.8472309932112694E-2</v>
      </c>
      <c r="I96" s="358">
        <v>1.7684139311313629E-2</v>
      </c>
      <c r="J96" s="358">
        <v>5.2883191528962925E-5</v>
      </c>
      <c r="K96" s="359">
        <v>9.6109911799430847E-2</v>
      </c>
      <c r="L96" s="358">
        <v>0.67318187587257261</v>
      </c>
      <c r="M96" s="358">
        <v>3.1201083047764097E-3</v>
      </c>
      <c r="N96" s="357">
        <v>3.491803105301011</v>
      </c>
      <c r="O96" s="392">
        <v>330143</v>
      </c>
      <c r="P96" s="316"/>
      <c r="Q96" s="443">
        <f t="shared" si="4"/>
        <v>186.68842972799999</v>
      </c>
      <c r="R96" s="443">
        <f t="shared" si="5"/>
        <v>55.269237175999997</v>
      </c>
      <c r="S96" s="443">
        <f t="shared" si="6"/>
        <v>17.942608515132324</v>
      </c>
      <c r="T96" s="444">
        <f t="shared" si="7"/>
        <v>14.541721933832733</v>
      </c>
    </row>
    <row r="97" spans="1:20" ht="15.75">
      <c r="A97" s="366">
        <v>87</v>
      </c>
      <c r="B97" s="362">
        <v>1973364</v>
      </c>
      <c r="C97" s="361">
        <v>98335</v>
      </c>
      <c r="D97" s="360">
        <v>28637</v>
      </c>
      <c r="E97" s="339">
        <v>0.29121878743171692</v>
      </c>
      <c r="F97" s="358">
        <v>4.5070420950651169E-2</v>
      </c>
      <c r="G97" s="358">
        <v>0.10628972202539444</v>
      </c>
      <c r="H97" s="358">
        <v>3.002999909222126E-2</v>
      </c>
      <c r="I97" s="358">
        <v>1.666751503944397E-2</v>
      </c>
      <c r="J97" s="358">
        <v>7.1185233537107706E-5</v>
      </c>
      <c r="K97" s="359">
        <v>9.3089945614337921E-2</v>
      </c>
      <c r="L97" s="358">
        <v>0.65545329740173897</v>
      </c>
      <c r="M97" s="358">
        <v>7.6269893730614732E-4</v>
      </c>
      <c r="N97" s="357">
        <v>3.6853104184674836</v>
      </c>
      <c r="O97" s="392">
        <v>362395</v>
      </c>
      <c r="P97" s="316"/>
      <c r="Q97" s="443">
        <f t="shared" si="4"/>
        <v>194.05074894000001</v>
      </c>
      <c r="R97" s="443">
        <f t="shared" si="5"/>
        <v>56.511224867999999</v>
      </c>
      <c r="S97" s="443">
        <f t="shared" si="6"/>
        <v>18.064173665246145</v>
      </c>
      <c r="T97" s="444">
        <f t="shared" si="7"/>
        <v>14.640245323467463</v>
      </c>
    </row>
    <row r="98" spans="1:20" ht="15.75">
      <c r="A98" s="366">
        <v>88</v>
      </c>
      <c r="B98" s="362">
        <v>1975828</v>
      </c>
      <c r="C98" s="361">
        <v>102441</v>
      </c>
      <c r="D98" s="360">
        <v>30342</v>
      </c>
      <c r="E98" s="339">
        <v>0.29618999361991882</v>
      </c>
      <c r="F98" s="358">
        <v>4.4474381953477859E-2</v>
      </c>
      <c r="G98" s="358">
        <v>0.11125428229570389</v>
      </c>
      <c r="H98" s="358">
        <v>3.1052019447088242E-2</v>
      </c>
      <c r="I98" s="358">
        <v>1.5862789005041122E-2</v>
      </c>
      <c r="J98" s="358">
        <v>8.7855449237395078E-5</v>
      </c>
      <c r="K98" s="359">
        <v>9.3468435108661652E-2</v>
      </c>
      <c r="L98" s="358">
        <v>0.66221532394256211</v>
      </c>
      <c r="M98" s="358">
        <v>5.7106041526341989E-3</v>
      </c>
      <c r="N98" s="357">
        <v>3.6757645864448807</v>
      </c>
      <c r="O98" s="392">
        <v>376549</v>
      </c>
      <c r="P98" s="316"/>
      <c r="Q98" s="443">
        <f t="shared" si="4"/>
        <v>202.40579614800001</v>
      </c>
      <c r="R98" s="443">
        <f t="shared" si="5"/>
        <v>59.950573175999999</v>
      </c>
      <c r="S98" s="443">
        <f t="shared" si="6"/>
        <v>18.918553022876335</v>
      </c>
      <c r="T98" s="444">
        <f t="shared" si="7"/>
        <v>15.33268349566448</v>
      </c>
    </row>
    <row r="99" spans="1:20" ht="15.75">
      <c r="A99" s="366">
        <v>89</v>
      </c>
      <c r="B99" s="362">
        <v>1974366</v>
      </c>
      <c r="C99" s="361">
        <v>107295</v>
      </c>
      <c r="D99" s="360">
        <v>31368</v>
      </c>
      <c r="E99" s="339">
        <v>0.29235285520553589</v>
      </c>
      <c r="F99" s="358">
        <v>4.101775586605072E-2</v>
      </c>
      <c r="G99" s="358">
        <v>0.11351880431175232</v>
      </c>
      <c r="H99" s="358">
        <v>3.0784286558628082E-2</v>
      </c>
      <c r="I99" s="358">
        <v>1.6244933009147644E-2</v>
      </c>
      <c r="J99" s="358">
        <v>8.3880891907028854E-5</v>
      </c>
      <c r="K99" s="359">
        <v>9.0703204274177551E-2</v>
      </c>
      <c r="L99" s="358">
        <v>0.64893983876229089</v>
      </c>
      <c r="M99" s="358">
        <v>4.20336455566429E-3</v>
      </c>
      <c r="N99" s="357">
        <v>3.7190829022787644</v>
      </c>
      <c r="O99" s="392">
        <v>399039</v>
      </c>
      <c r="P99" s="316"/>
      <c r="Q99" s="443">
        <f t="shared" si="4"/>
        <v>211.83959996999999</v>
      </c>
      <c r="R99" s="443">
        <f t="shared" si="5"/>
        <v>61.931912687999997</v>
      </c>
      <c r="S99" s="443">
        <f t="shared" si="6"/>
        <v>19.214530509438966</v>
      </c>
      <c r="T99" s="444">
        <f t="shared" si="7"/>
        <v>15.572560674316547</v>
      </c>
    </row>
    <row r="100" spans="1:20" ht="15.75">
      <c r="A100" s="366">
        <v>90</v>
      </c>
      <c r="B100" s="362">
        <v>1974226</v>
      </c>
      <c r="C100" s="361">
        <v>113143</v>
      </c>
      <c r="D100" s="360">
        <v>33183</v>
      </c>
      <c r="E100" s="339">
        <v>0.29328373074531555</v>
      </c>
      <c r="F100" s="358">
        <v>3.8667879998683929E-2</v>
      </c>
      <c r="G100" s="358">
        <v>0.11754152178764343</v>
      </c>
      <c r="H100" s="358">
        <v>3.2383795827627182E-2</v>
      </c>
      <c r="I100" s="358">
        <v>1.7022706568241119E-2</v>
      </c>
      <c r="J100" s="358">
        <v>9.7222102340310812E-5</v>
      </c>
      <c r="K100" s="359">
        <v>8.7570600211620331E-2</v>
      </c>
      <c r="L100" s="358">
        <v>0.65901558205103272</v>
      </c>
      <c r="M100" s="358">
        <v>3.9861060781488915E-3</v>
      </c>
      <c r="N100" s="357">
        <v>3.8151631121677876</v>
      </c>
      <c r="O100" s="392">
        <v>431659</v>
      </c>
      <c r="P100" s="316"/>
      <c r="Q100" s="443">
        <f t="shared" si="4"/>
        <v>223.369852318</v>
      </c>
      <c r="R100" s="443">
        <f t="shared" si="5"/>
        <v>65.510741358000004</v>
      </c>
      <c r="S100" s="443">
        <f t="shared" si="6"/>
        <v>19.560632036668252</v>
      </c>
      <c r="T100" s="444">
        <f t="shared" si="7"/>
        <v>15.853061258476231</v>
      </c>
    </row>
    <row r="101" spans="1:20" ht="15.75">
      <c r="A101" s="366">
        <v>91</v>
      </c>
      <c r="B101" s="362">
        <v>1975305</v>
      </c>
      <c r="C101" s="361">
        <v>119902</v>
      </c>
      <c r="D101" s="360">
        <v>34883</v>
      </c>
      <c r="E101" s="339">
        <v>0.29092925786972046</v>
      </c>
      <c r="F101" s="358">
        <v>3.7989359349012375E-2</v>
      </c>
      <c r="G101" s="358">
        <v>0.11796300113201141</v>
      </c>
      <c r="H101" s="358">
        <v>3.370252251625061E-2</v>
      </c>
      <c r="I101" s="358">
        <v>1.6872111707925797E-2</v>
      </c>
      <c r="J101" s="358">
        <v>1.3344231410883367E-4</v>
      </c>
      <c r="K101" s="359">
        <v>8.4260478615760803E-2</v>
      </c>
      <c r="L101" s="358">
        <v>0.63521042184450638</v>
      </c>
      <c r="M101" s="358">
        <v>4.3201948257743823E-3</v>
      </c>
      <c r="N101" s="357">
        <v>4.115577721806142</v>
      </c>
      <c r="O101" s="392">
        <v>493466</v>
      </c>
      <c r="P101" s="316"/>
      <c r="Q101" s="443">
        <f t="shared" si="4"/>
        <v>236.84302011</v>
      </c>
      <c r="R101" s="443">
        <f t="shared" si="5"/>
        <v>68.904564315000002</v>
      </c>
      <c r="S101" s="443">
        <f t="shared" si="6"/>
        <v>19.956506231270861</v>
      </c>
      <c r="T101" s="444">
        <f>S101*6.2/(6.2+1.45)</f>
        <v>16.173900475016907</v>
      </c>
    </row>
    <row r="102" spans="1:20" ht="15.75">
      <c r="A102" s="366">
        <v>92</v>
      </c>
      <c r="B102" s="362">
        <v>1974120</v>
      </c>
      <c r="C102" s="361">
        <v>127870</v>
      </c>
      <c r="D102" s="360">
        <v>36750</v>
      </c>
      <c r="E102" s="339">
        <v>0.28740125894546509</v>
      </c>
      <c r="F102" s="358">
        <v>3.7108000367879868E-2</v>
      </c>
      <c r="G102" s="358">
        <v>0.11772894114255905</v>
      </c>
      <c r="H102" s="358">
        <v>3.4738406538963318E-2</v>
      </c>
      <c r="I102" s="358">
        <v>1.7181511968374252E-2</v>
      </c>
      <c r="J102" s="358">
        <v>1.485884131398052E-4</v>
      </c>
      <c r="K102" s="359">
        <v>8.0495819449424744E-2</v>
      </c>
      <c r="L102" s="358">
        <v>0.62265582231954331</v>
      </c>
      <c r="M102" s="358">
        <v>7.9768514897943215E-3</v>
      </c>
      <c r="N102" s="357">
        <v>4.1595604911237976</v>
      </c>
      <c r="O102" s="392">
        <v>531883</v>
      </c>
      <c r="P102" s="316"/>
      <c r="Q102" s="443">
        <f t="shared" si="4"/>
        <v>252.4307244</v>
      </c>
      <c r="R102" s="443">
        <f t="shared" si="5"/>
        <v>72.548910000000006</v>
      </c>
      <c r="S102" s="443">
        <f t="shared" si="6"/>
        <v>20.319618014789899</v>
      </c>
      <c r="T102" s="444">
        <f>MIN(S102*6.2/(6.2+1.45),106800*0.124*1.5*B102/1000000000)</f>
        <v>16.468187149241487</v>
      </c>
    </row>
    <row r="103" spans="1:20" ht="15.75">
      <c r="A103" s="366">
        <v>93</v>
      </c>
      <c r="B103" s="362">
        <v>1974534</v>
      </c>
      <c r="C103" s="361">
        <v>137177</v>
      </c>
      <c r="D103" s="360">
        <v>39810</v>
      </c>
      <c r="E103" s="339">
        <v>0.29020899534225464</v>
      </c>
      <c r="F103" s="358">
        <v>3.6369070410728455E-2</v>
      </c>
      <c r="G103" s="358">
        <v>0.12427010387182236</v>
      </c>
      <c r="H103" s="358">
        <v>3.7243854254484177E-2</v>
      </c>
      <c r="I103" s="358">
        <v>1.6722919419407845E-2</v>
      </c>
      <c r="J103" s="358">
        <v>2.2598540817853063E-4</v>
      </c>
      <c r="K103" s="359">
        <v>7.5377069413661957E-2</v>
      </c>
      <c r="L103" s="358">
        <v>0.62539638569147893</v>
      </c>
      <c r="M103" s="358">
        <v>9.5205464472907265E-3</v>
      </c>
      <c r="N103" s="357">
        <v>4.4693789775253867</v>
      </c>
      <c r="O103" s="392">
        <v>613096</v>
      </c>
      <c r="P103" s="316"/>
      <c r="Q103" s="443">
        <f t="shared" si="4"/>
        <v>270.860650518</v>
      </c>
      <c r="R103" s="443">
        <f t="shared" si="5"/>
        <v>78.606198539999994</v>
      </c>
      <c r="S103" s="443">
        <f t="shared" si="6"/>
        <v>20.416682055524916</v>
      </c>
      <c r="T103" s="444">
        <f t="shared" ref="T103:T136" si="8">MIN(S103*6.2/(6.2+1.45),106800*0.124*1.5*B103/1000000000)</f>
        <v>16.5468534306215</v>
      </c>
    </row>
    <row r="104" spans="1:20" ht="15.75">
      <c r="A104" s="366">
        <v>94</v>
      </c>
      <c r="B104" s="362">
        <v>1975002</v>
      </c>
      <c r="C104" s="361">
        <v>150087</v>
      </c>
      <c r="D104" s="360">
        <v>43291</v>
      </c>
      <c r="E104" s="339">
        <v>0.28843936324119568</v>
      </c>
      <c r="F104" s="358">
        <v>3.620566800236702E-2</v>
      </c>
      <c r="G104" s="358">
        <v>0.12678647041320801</v>
      </c>
      <c r="H104" s="358">
        <v>3.7544891238212585E-2</v>
      </c>
      <c r="I104" s="358">
        <v>1.6450459137558937E-2</v>
      </c>
      <c r="J104" s="358">
        <v>3.2647731131874025E-4</v>
      </c>
      <c r="K104" s="359">
        <v>7.1125410497188568E-2</v>
      </c>
      <c r="L104" s="358">
        <v>0.60783412287539895</v>
      </c>
      <c r="M104" s="358">
        <v>1.2865871128079048E-2</v>
      </c>
      <c r="N104" s="357">
        <v>4.6853691525581826</v>
      </c>
      <c r="O104" s="392">
        <v>703213</v>
      </c>
      <c r="P104" s="316"/>
      <c r="Q104" s="443">
        <f t="shared" si="4"/>
        <v>296.42212517399997</v>
      </c>
      <c r="R104" s="443">
        <f t="shared" si="5"/>
        <v>85.499811582000007</v>
      </c>
      <c r="S104" s="443">
        <f t="shared" si="6"/>
        <v>21.083145333449764</v>
      </c>
      <c r="T104" s="444">
        <f t="shared" si="8"/>
        <v>17.086993603580201</v>
      </c>
    </row>
    <row r="105" spans="1:20" ht="15.75">
      <c r="A105" s="366">
        <v>95</v>
      </c>
      <c r="B105" s="362">
        <v>1974894</v>
      </c>
      <c r="C105" s="361">
        <v>167795</v>
      </c>
      <c r="D105" s="360">
        <v>48302</v>
      </c>
      <c r="E105" s="339">
        <v>0.28786316514015198</v>
      </c>
      <c r="F105" s="358">
        <v>3.5650644451379776E-2</v>
      </c>
      <c r="G105" s="358">
        <v>0.12946750223636627</v>
      </c>
      <c r="H105" s="358">
        <v>3.9065524935722351E-2</v>
      </c>
      <c r="I105" s="358">
        <v>1.6764504835009575E-2</v>
      </c>
      <c r="J105" s="358">
        <v>3.8141780532896519E-4</v>
      </c>
      <c r="K105" s="359">
        <v>6.6527605056762695E-2</v>
      </c>
      <c r="L105" s="358">
        <v>0.59534551089126608</v>
      </c>
      <c r="M105" s="358">
        <v>1.0834649423403559E-2</v>
      </c>
      <c r="N105" s="357">
        <v>4.7127387586042495</v>
      </c>
      <c r="O105" s="392">
        <v>790774</v>
      </c>
      <c r="P105" s="316"/>
      <c r="Q105" s="443">
        <f t="shared" si="4"/>
        <v>331.37733873000002</v>
      </c>
      <c r="R105" s="443">
        <f t="shared" si="5"/>
        <v>95.391329987999995</v>
      </c>
      <c r="S105" s="443">
        <f t="shared" si="6"/>
        <v>22.045740715790512</v>
      </c>
      <c r="T105" s="444">
        <f t="shared" si="8"/>
        <v>17.867136266392311</v>
      </c>
    </row>
    <row r="106" spans="1:20" ht="15.75">
      <c r="A106" s="366">
        <v>96</v>
      </c>
      <c r="B106" s="362">
        <v>1974419</v>
      </c>
      <c r="C106" s="361">
        <v>194498</v>
      </c>
      <c r="D106" s="360">
        <v>56470</v>
      </c>
      <c r="E106" s="339">
        <v>0.29033717513084412</v>
      </c>
      <c r="F106" s="358">
        <v>3.5213731229305267E-2</v>
      </c>
      <c r="G106" s="358">
        <v>0.13627389073371887</v>
      </c>
      <c r="H106" s="358">
        <v>4.1686803102493286E-2</v>
      </c>
      <c r="I106" s="358">
        <v>1.5707101672887802E-2</v>
      </c>
      <c r="J106" s="358">
        <v>4.9357832176610827E-4</v>
      </c>
      <c r="K106" s="359">
        <v>6.0962066054344177E-2</v>
      </c>
      <c r="L106" s="358">
        <v>0.58119877839360812</v>
      </c>
      <c r="M106" s="358">
        <v>1.4514288064658763E-2</v>
      </c>
      <c r="N106" s="357">
        <v>4.7779154541434874</v>
      </c>
      <c r="O106" s="392">
        <v>929295</v>
      </c>
      <c r="P106" s="316"/>
      <c r="Q106" s="443">
        <f t="shared" si="4"/>
        <v>384.02054666200002</v>
      </c>
      <c r="R106" s="443">
        <f t="shared" si="5"/>
        <v>111.49544093</v>
      </c>
      <c r="S106" s="443">
        <f t="shared" si="6"/>
        <v>23.410685931834205</v>
      </c>
      <c r="T106" s="444">
        <f t="shared" si="8"/>
        <v>18.973366376127068</v>
      </c>
    </row>
    <row r="107" spans="1:20" ht="15.75">
      <c r="A107" s="366">
        <v>97</v>
      </c>
      <c r="B107" s="362">
        <v>1975091</v>
      </c>
      <c r="C107" s="361">
        <v>237708</v>
      </c>
      <c r="D107" s="360">
        <v>67284</v>
      </c>
      <c r="E107" s="339">
        <v>0.28305315971374512</v>
      </c>
      <c r="F107" s="358">
        <v>3.219917044043541E-2</v>
      </c>
      <c r="G107" s="358">
        <v>0.14018039405345917</v>
      </c>
      <c r="H107" s="358">
        <v>4.3477710336446762E-2</v>
      </c>
      <c r="I107" s="358">
        <v>1.4505191706120968E-2</v>
      </c>
      <c r="J107" s="358">
        <v>8.876436622813344E-4</v>
      </c>
      <c r="K107" s="359">
        <v>5.1803052425384521E-2</v>
      </c>
      <c r="L107" s="358">
        <v>0.55829000286065256</v>
      </c>
      <c r="M107" s="358">
        <v>1.7496255910613021E-2</v>
      </c>
      <c r="N107" s="357">
        <v>5.116272906254733</v>
      </c>
      <c r="O107" s="392">
        <v>1216179</v>
      </c>
      <c r="P107" s="316"/>
      <c r="Q107" s="443">
        <f t="shared" si="4"/>
        <v>469.49493142799997</v>
      </c>
      <c r="R107" s="443">
        <f t="shared" si="5"/>
        <v>132.892022844</v>
      </c>
      <c r="S107" s="443">
        <f t="shared" si="6"/>
        <v>24.321270546216994</v>
      </c>
      <c r="T107" s="444">
        <f t="shared" si="8"/>
        <v>19.71135652111704</v>
      </c>
    </row>
    <row r="108" spans="1:20" ht="15.75">
      <c r="A108" s="366">
        <v>98</v>
      </c>
      <c r="B108" s="362">
        <v>1974612</v>
      </c>
      <c r="C108" s="361">
        <v>325919</v>
      </c>
      <c r="D108" s="360">
        <v>90189</v>
      </c>
      <c r="E108" s="339">
        <v>0.27672213315963745</v>
      </c>
      <c r="F108" s="358">
        <v>2.6316354051232338E-2</v>
      </c>
      <c r="G108" s="358">
        <v>0.14507591724395752</v>
      </c>
      <c r="H108" s="358">
        <v>4.9506165087223053E-2</v>
      </c>
      <c r="I108" s="358">
        <v>1.3552446849644184E-2</v>
      </c>
      <c r="J108" s="358">
        <v>1.6875358996912837E-3</v>
      </c>
      <c r="K108" s="359">
        <v>4.058370366692543E-2</v>
      </c>
      <c r="L108" s="358">
        <v>0.51849692715061102</v>
      </c>
      <c r="M108" s="358">
        <v>3.056587679760922E-2</v>
      </c>
      <c r="N108" s="357">
        <v>5.5768427124530939</v>
      </c>
      <c r="O108" s="392">
        <v>1817599</v>
      </c>
      <c r="P108" s="316"/>
      <c r="Q108" s="443">
        <f t="shared" si="4"/>
        <v>643.56356842800005</v>
      </c>
      <c r="R108" s="443">
        <f t="shared" si="5"/>
        <v>178.08828166800001</v>
      </c>
      <c r="S108" s="443">
        <f t="shared" si="6"/>
        <v>26.118193151911036</v>
      </c>
      <c r="T108" s="444">
        <f t="shared" si="8"/>
        <v>21.167685953182801</v>
      </c>
    </row>
    <row r="109" spans="1:20" ht="15.75">
      <c r="A109" s="366">
        <v>99</v>
      </c>
      <c r="B109" s="362">
        <v>197619</v>
      </c>
      <c r="C109" s="361">
        <v>423160</v>
      </c>
      <c r="D109" s="360">
        <v>115334</v>
      </c>
      <c r="E109" s="339">
        <v>0.27255412936210632</v>
      </c>
      <c r="F109" s="358">
        <v>2.4480102583765984E-2</v>
      </c>
      <c r="G109" s="358">
        <v>0.14805510640144348</v>
      </c>
      <c r="H109" s="358">
        <v>5.1996879279613495E-2</v>
      </c>
      <c r="I109" s="358">
        <v>1.1373948305845261E-2</v>
      </c>
      <c r="J109" s="358">
        <v>2.4057093542069197E-3</v>
      </c>
      <c r="K109" s="359">
        <v>3.4240003675222397E-2</v>
      </c>
      <c r="L109" s="358">
        <v>0.50854995746289822</v>
      </c>
      <c r="M109" s="358">
        <v>3.0829946119671048E-2</v>
      </c>
      <c r="N109" s="357">
        <v>5.6426221760090742</v>
      </c>
      <c r="O109" s="392">
        <v>2387732</v>
      </c>
      <c r="P109" s="316"/>
      <c r="Q109" s="443">
        <f t="shared" si="4"/>
        <v>83.624456039999998</v>
      </c>
      <c r="R109" s="443">
        <f t="shared" si="5"/>
        <v>22.792189745999998</v>
      </c>
      <c r="S109" s="443">
        <f t="shared" si="6"/>
        <v>2.8633016821480735</v>
      </c>
      <c r="T109" s="444">
        <f t="shared" si="8"/>
        <v>2.3205843698454975</v>
      </c>
    </row>
    <row r="110" spans="1:20" ht="15.75">
      <c r="A110" s="365">
        <v>99.099998474121094</v>
      </c>
      <c r="B110" s="362">
        <v>197497</v>
      </c>
      <c r="C110" s="361">
        <v>455735</v>
      </c>
      <c r="D110" s="360">
        <v>126657</v>
      </c>
      <c r="E110" s="339">
        <v>0.27791810035705566</v>
      </c>
      <c r="F110" s="358">
        <v>2.5073781609535217E-2</v>
      </c>
      <c r="G110" s="358">
        <v>0.15332594513893127</v>
      </c>
      <c r="H110" s="358">
        <v>5.2030235528945923E-2</v>
      </c>
      <c r="I110" s="358">
        <v>1.1203879490494728E-2</v>
      </c>
      <c r="J110" s="358">
        <v>2.444403013214469E-3</v>
      </c>
      <c r="K110" s="359">
        <v>3.3837646245956421E-2</v>
      </c>
      <c r="L110" s="358">
        <v>0.50001645693220842</v>
      </c>
      <c r="M110" s="358">
        <v>3.0173236639713868E-2</v>
      </c>
      <c r="N110" s="357">
        <v>5.6452697291188958</v>
      </c>
      <c r="O110" s="392">
        <v>2572747</v>
      </c>
      <c r="P110" s="316"/>
      <c r="Q110" s="443">
        <f t="shared" si="4"/>
        <v>90.006295295000001</v>
      </c>
      <c r="R110" s="443">
        <f t="shared" si="5"/>
        <v>25.014377529000001</v>
      </c>
      <c r="S110" s="443">
        <f t="shared" si="6"/>
        <v>3.0456011801013019</v>
      </c>
      <c r="T110" s="444">
        <f t="shared" si="8"/>
        <v>2.4683303681866757</v>
      </c>
    </row>
    <row r="111" spans="1:20" ht="15.75">
      <c r="A111" s="365">
        <v>99.199996948242188</v>
      </c>
      <c r="B111" s="362">
        <v>197421</v>
      </c>
      <c r="C111" s="361">
        <v>493722</v>
      </c>
      <c r="D111" s="360">
        <v>134712</v>
      </c>
      <c r="E111" s="339">
        <v>0.2728499174118042</v>
      </c>
      <c r="F111" s="358">
        <v>2.412896417081356E-2</v>
      </c>
      <c r="G111" s="358">
        <v>0.15149618685245514</v>
      </c>
      <c r="H111" s="358">
        <v>5.3268842399120331E-2</v>
      </c>
      <c r="I111" s="358">
        <v>1.1196584440767765E-2</v>
      </c>
      <c r="J111" s="358">
        <v>2.8720616828650236E-3</v>
      </c>
      <c r="K111" s="359">
        <v>2.9889289289712906E-2</v>
      </c>
      <c r="L111" s="358">
        <v>0.48634859293286503</v>
      </c>
      <c r="M111" s="358">
        <v>3.8600670012679202E-2</v>
      </c>
      <c r="N111" s="357">
        <v>5.7689003123215086</v>
      </c>
      <c r="O111" s="392">
        <v>2848233</v>
      </c>
      <c r="P111" s="316"/>
      <c r="Q111" s="443">
        <f t="shared" si="4"/>
        <v>97.471090962000005</v>
      </c>
      <c r="R111" s="443">
        <f t="shared" si="5"/>
        <v>26.594977751999998</v>
      </c>
      <c r="S111" s="443">
        <f t="shared" si="6"/>
        <v>2.9133416351471393</v>
      </c>
      <c r="T111" s="444">
        <f t="shared" si="8"/>
        <v>2.3611396258708841</v>
      </c>
    </row>
    <row r="112" spans="1:20" ht="15.75">
      <c r="A112" s="365">
        <v>99.300003051757813</v>
      </c>
      <c r="B112" s="362">
        <v>197546</v>
      </c>
      <c r="C112" s="361">
        <v>537231</v>
      </c>
      <c r="D112" s="360">
        <v>142807</v>
      </c>
      <c r="E112" s="339">
        <v>0.26582047343254089</v>
      </c>
      <c r="F112" s="358">
        <v>2.3647183552384377E-2</v>
      </c>
      <c r="G112" s="358">
        <v>0.14454489946365356</v>
      </c>
      <c r="H112" s="358">
        <v>5.59498630464077E-2</v>
      </c>
      <c r="I112" s="358">
        <v>1.0665803216397762E-2</v>
      </c>
      <c r="J112" s="358">
        <v>3.3523754682391882E-3</v>
      </c>
      <c r="K112" s="359">
        <v>2.7660354971885681E-2</v>
      </c>
      <c r="L112" s="358">
        <v>0.4679904919857566</v>
      </c>
      <c r="M112" s="358">
        <v>3.6526187059197995E-2</v>
      </c>
      <c r="N112" s="357">
        <v>5.9915064469474029</v>
      </c>
      <c r="O112" s="392">
        <v>3218823</v>
      </c>
      <c r="P112" s="316"/>
      <c r="Q112" s="443">
        <f t="shared" si="4"/>
        <v>106.12783512599999</v>
      </c>
      <c r="R112" s="443">
        <f t="shared" si="5"/>
        <v>28.210951622</v>
      </c>
      <c r="S112" s="443">
        <f t="shared" si="6"/>
        <v>2.9355335919829177</v>
      </c>
      <c r="T112" s="444">
        <f t="shared" si="8"/>
        <v>2.3791252640907308</v>
      </c>
    </row>
    <row r="113" spans="1:20" ht="15.75">
      <c r="A113" s="365">
        <v>99.400001525878906</v>
      </c>
      <c r="B113" s="362">
        <v>197436</v>
      </c>
      <c r="C113" s="361">
        <v>597332</v>
      </c>
      <c r="D113" s="360">
        <v>165949</v>
      </c>
      <c r="E113" s="339">
        <v>0.27781704068183899</v>
      </c>
      <c r="F113" s="358">
        <v>2.3174716159701347E-2</v>
      </c>
      <c r="G113" s="358">
        <v>0.15510134398937225</v>
      </c>
      <c r="H113" s="358">
        <v>5.761285126209259E-2</v>
      </c>
      <c r="I113" s="358">
        <v>1.020537968724966E-2</v>
      </c>
      <c r="J113" s="358">
        <v>3.6160794552415609E-3</v>
      </c>
      <c r="K113" s="359">
        <v>2.8108321130275726E-2</v>
      </c>
      <c r="L113" s="358">
        <v>0.48081468931850296</v>
      </c>
      <c r="M113" s="358">
        <v>4.7032471054622889E-2</v>
      </c>
      <c r="N113" s="357">
        <v>5.8248394527666356</v>
      </c>
      <c r="O113" s="392">
        <v>3479363</v>
      </c>
      <c r="P113" s="316"/>
      <c r="Q113" s="443">
        <f t="shared" si="4"/>
        <v>117.934840752</v>
      </c>
      <c r="R113" s="443">
        <f t="shared" si="5"/>
        <v>32.764306763999997</v>
      </c>
      <c r="S113" s="443">
        <f t="shared" si="6"/>
        <v>3.3149503763051444</v>
      </c>
      <c r="T113" s="444">
        <f t="shared" si="8"/>
        <v>2.6866264487701828</v>
      </c>
    </row>
    <row r="114" spans="1:20" ht="15.75">
      <c r="A114" s="365">
        <v>99.5</v>
      </c>
      <c r="B114" s="362">
        <v>197402</v>
      </c>
      <c r="C114" s="361">
        <v>679489</v>
      </c>
      <c r="D114" s="360">
        <v>184980</v>
      </c>
      <c r="E114" s="339">
        <v>0.2722339928150177</v>
      </c>
      <c r="F114" s="358">
        <v>2.3102656006813049E-2</v>
      </c>
      <c r="G114" s="358">
        <v>0.15111503005027771</v>
      </c>
      <c r="H114" s="358">
        <v>5.8357089757919312E-2</v>
      </c>
      <c r="I114" s="358">
        <v>9.4482768326997757E-3</v>
      </c>
      <c r="J114" s="358">
        <v>4.5401765964925289E-3</v>
      </c>
      <c r="K114" s="359">
        <v>2.5670761242508888E-2</v>
      </c>
      <c r="L114" s="358">
        <v>0.46441222742384353</v>
      </c>
      <c r="M114" s="358">
        <v>4.9968432160049682E-2</v>
      </c>
      <c r="N114" s="357">
        <v>6.0769107373334963</v>
      </c>
      <c r="O114" s="392">
        <v>4129194</v>
      </c>
      <c r="P114" s="316"/>
      <c r="Q114" s="443">
        <f t="shared" si="4"/>
        <v>134.132487578</v>
      </c>
      <c r="R114" s="443">
        <f t="shared" si="5"/>
        <v>36.515421959999998</v>
      </c>
      <c r="S114" s="443">
        <f t="shared" si="6"/>
        <v>3.4432830634786273</v>
      </c>
      <c r="T114" s="444">
        <f t="shared" si="8"/>
        <v>2.7906346396820245</v>
      </c>
    </row>
    <row r="115" spans="1:20" ht="15.75">
      <c r="A115" s="365">
        <v>99.599998474121094</v>
      </c>
      <c r="B115" s="362">
        <v>197518</v>
      </c>
      <c r="C115" s="361">
        <v>793972</v>
      </c>
      <c r="D115" s="360">
        <v>220142</v>
      </c>
      <c r="E115" s="339">
        <v>0.27726671099662781</v>
      </c>
      <c r="F115" s="358">
        <v>2.286982350051403E-2</v>
      </c>
      <c r="G115" s="358">
        <v>0.15565410256385803</v>
      </c>
      <c r="H115" s="358">
        <v>6.076536700129509E-2</v>
      </c>
      <c r="I115" s="358">
        <v>9.4184679910540581E-3</v>
      </c>
      <c r="J115" s="358">
        <v>5.3603905253112316E-3</v>
      </c>
      <c r="K115" s="359">
        <v>2.3198550567030907E-2</v>
      </c>
      <c r="L115" s="358">
        <v>0.46375690830407118</v>
      </c>
      <c r="M115" s="358">
        <v>5.5596419017295319E-2</v>
      </c>
      <c r="N115" s="357">
        <v>6.2528414100245353</v>
      </c>
      <c r="O115" s="392">
        <v>4964581</v>
      </c>
      <c r="P115" s="316"/>
      <c r="Q115" s="443">
        <f t="shared" si="4"/>
        <v>156.823761496</v>
      </c>
      <c r="R115" s="443">
        <f t="shared" si="5"/>
        <v>43.482007555999999</v>
      </c>
      <c r="S115" s="443">
        <f t="shared" si="6"/>
        <v>3.6380839611769504</v>
      </c>
      <c r="T115" s="444">
        <f t="shared" si="8"/>
        <v>2.9485124914113845</v>
      </c>
    </row>
    <row r="116" spans="1:20" ht="15.75">
      <c r="A116" s="365">
        <v>99.699996948242188</v>
      </c>
      <c r="B116" s="362">
        <v>197519</v>
      </c>
      <c r="C116" s="361">
        <v>987476</v>
      </c>
      <c r="D116" s="360">
        <v>273942</v>
      </c>
      <c r="E116" s="339">
        <v>0.27741634845733643</v>
      </c>
      <c r="F116" s="358">
        <v>2.2845111787319183E-2</v>
      </c>
      <c r="G116" s="358">
        <v>0.15396425127983093</v>
      </c>
      <c r="H116" s="358">
        <v>6.5141834318637848E-2</v>
      </c>
      <c r="I116" s="358">
        <v>9.1212345287203789E-3</v>
      </c>
      <c r="J116" s="358">
        <v>6.3545848242938519E-3</v>
      </c>
      <c r="K116" s="359">
        <v>1.9989347085356712E-2</v>
      </c>
      <c r="L116" s="358">
        <v>0.44259506053818015</v>
      </c>
      <c r="M116" s="358">
        <v>6.4086620839392552E-2</v>
      </c>
      <c r="N116" s="357">
        <v>6.5081723505178859</v>
      </c>
      <c r="O116" s="392">
        <v>6426664</v>
      </c>
      <c r="P116" s="316"/>
      <c r="Q116" s="443">
        <f t="shared" si="4"/>
        <v>195.045272044</v>
      </c>
      <c r="R116" s="443">
        <f t="shared" si="5"/>
        <v>54.108749897999999</v>
      </c>
      <c r="S116" s="443">
        <f t="shared" si="6"/>
        <v>3.8988276402453383</v>
      </c>
      <c r="T116" s="444">
        <f t="shared" si="8"/>
        <v>3.1598341659504703</v>
      </c>
    </row>
    <row r="117" spans="1:20" ht="15.75">
      <c r="A117" s="365">
        <v>99.800003051757813</v>
      </c>
      <c r="B117" s="362">
        <v>197444</v>
      </c>
      <c r="C117" s="361">
        <v>1405299</v>
      </c>
      <c r="D117" s="360">
        <v>400678</v>
      </c>
      <c r="E117" s="339">
        <v>0.28511938452720642</v>
      </c>
      <c r="F117" s="358">
        <v>2.3023569956421852E-2</v>
      </c>
      <c r="G117" s="358">
        <v>0.16162112355232239</v>
      </c>
      <c r="H117" s="358">
        <v>6.794283539056778E-2</v>
      </c>
      <c r="I117" s="358">
        <v>7.6140379533171654E-3</v>
      </c>
      <c r="J117" s="358">
        <v>7.4653150513768196E-3</v>
      </c>
      <c r="K117" s="359">
        <v>1.7452513799071312E-2</v>
      </c>
      <c r="L117" s="358">
        <v>0.44848889809214976</v>
      </c>
      <c r="M117" s="358">
        <v>7.9639279612381417E-2</v>
      </c>
      <c r="N117" s="357">
        <v>6.6150399310040067</v>
      </c>
      <c r="O117" s="392">
        <v>9296109</v>
      </c>
      <c r="P117" s="316"/>
      <c r="Q117" s="443">
        <f t="shared" si="4"/>
        <v>277.46785575600001</v>
      </c>
      <c r="R117" s="443">
        <f t="shared" si="5"/>
        <v>79.111467031999993</v>
      </c>
      <c r="S117" s="443">
        <f t="shared" si="6"/>
        <v>4.842511581380319</v>
      </c>
      <c r="T117" s="444">
        <f t="shared" si="8"/>
        <v>3.9221855712000009</v>
      </c>
    </row>
    <row r="118" spans="1:20" ht="15.75">
      <c r="A118" s="365">
        <v>99.900001525878906</v>
      </c>
      <c r="B118" s="362">
        <v>19760</v>
      </c>
      <c r="C118" s="361">
        <v>1885111</v>
      </c>
      <c r="D118" s="360">
        <v>543843</v>
      </c>
      <c r="E118" s="339">
        <v>0.28849390149116516</v>
      </c>
      <c r="F118" s="358">
        <v>2.3137098178267479E-2</v>
      </c>
      <c r="G118" s="358">
        <v>0.16189709305763245</v>
      </c>
      <c r="H118" s="358">
        <v>7.1622304618358612E-2</v>
      </c>
      <c r="I118" s="358">
        <v>7.9539082944393158E-3</v>
      </c>
      <c r="J118" s="358">
        <v>8.9326305314898491E-3</v>
      </c>
      <c r="K118" s="359">
        <v>1.4950313605368137E-2</v>
      </c>
      <c r="L118" s="358">
        <v>0.44838685891706109</v>
      </c>
      <c r="M118" s="358">
        <v>8.2475779940809846E-2</v>
      </c>
      <c r="N118" s="357">
        <v>6.9771896721201037</v>
      </c>
      <c r="O118" s="392">
        <v>13152777</v>
      </c>
      <c r="P118" s="316"/>
      <c r="Q118" s="443">
        <f t="shared" si="4"/>
        <v>37.249793359999998</v>
      </c>
      <c r="R118" s="443">
        <f t="shared" si="5"/>
        <v>10.74633768</v>
      </c>
      <c r="S118" s="443">
        <f t="shared" si="6"/>
        <v>0.55689609246715976</v>
      </c>
      <c r="T118" s="444">
        <f t="shared" si="8"/>
        <v>0.39252844800000009</v>
      </c>
    </row>
    <row r="119" spans="1:20" ht="15.75">
      <c r="A119" s="364">
        <v>99.910003662109375</v>
      </c>
      <c r="B119" s="362">
        <v>19735</v>
      </c>
      <c r="C119" s="361">
        <v>2033005</v>
      </c>
      <c r="D119" s="360">
        <v>589427</v>
      </c>
      <c r="E119" s="339">
        <v>0.28992894291877747</v>
      </c>
      <c r="F119" s="358">
        <v>2.3130292072892189E-2</v>
      </c>
      <c r="G119" s="358">
        <v>0.16442655026912689</v>
      </c>
      <c r="H119" s="358">
        <v>7.1014583110809326E-2</v>
      </c>
      <c r="I119" s="358">
        <v>6.994080264121294E-3</v>
      </c>
      <c r="J119" s="358">
        <v>9.1401645913720131E-3</v>
      </c>
      <c r="K119" s="359">
        <v>1.5223277732729912E-2</v>
      </c>
      <c r="L119" s="358">
        <v>0.45579474718458635</v>
      </c>
      <c r="M119" s="358">
        <v>8.9398206103772498E-2</v>
      </c>
      <c r="N119" s="357">
        <v>6.9629346705984494</v>
      </c>
      <c r="O119" s="392">
        <v>14155681</v>
      </c>
      <c r="P119" s="316"/>
      <c r="Q119" s="443">
        <f t="shared" si="4"/>
        <v>40.121353675000002</v>
      </c>
      <c r="R119" s="443">
        <f t="shared" si="5"/>
        <v>11.632341844999999</v>
      </c>
      <c r="S119" s="443">
        <f t="shared" si="6"/>
        <v>0.61077851000760885</v>
      </c>
      <c r="T119" s="444">
        <f t="shared" si="8"/>
        <v>0.39203182800000008</v>
      </c>
    </row>
    <row r="120" spans="1:20" ht="15.75">
      <c r="A120" s="364">
        <v>99.919998168945313</v>
      </c>
      <c r="B120" s="362">
        <v>19749</v>
      </c>
      <c r="C120" s="361">
        <v>2206744</v>
      </c>
      <c r="D120" s="360">
        <v>668245</v>
      </c>
      <c r="E120" s="339">
        <v>0.30281946063041687</v>
      </c>
      <c r="F120" s="358">
        <v>2.3306282237172127E-2</v>
      </c>
      <c r="G120" s="358">
        <v>0.17333546280860901</v>
      </c>
      <c r="H120" s="358">
        <v>7.5353100895881653E-2</v>
      </c>
      <c r="I120" s="358">
        <v>7.1063973009586334E-3</v>
      </c>
      <c r="J120" s="358">
        <v>9.2910639941692352E-3</v>
      </c>
      <c r="K120" s="359">
        <v>1.4427137561142445E-2</v>
      </c>
      <c r="L120" s="358">
        <v>0.44985553376377141</v>
      </c>
      <c r="M120" s="358">
        <v>0.10393094985190851</v>
      </c>
      <c r="N120" s="357">
        <v>6.9474673999340206</v>
      </c>
      <c r="O120" s="392">
        <v>15331282</v>
      </c>
      <c r="P120" s="316"/>
      <c r="Q120" s="443">
        <f t="shared" si="4"/>
        <v>43.580987256</v>
      </c>
      <c r="R120" s="443">
        <f t="shared" si="5"/>
        <v>13.197170505000001</v>
      </c>
      <c r="S120" s="443">
        <f t="shared" si="6"/>
        <v>0.62874889819270774</v>
      </c>
      <c r="T120" s="444">
        <f t="shared" si="8"/>
        <v>0.39230993520000007</v>
      </c>
    </row>
    <row r="121" spans="1:20" ht="15.75">
      <c r="A121" s="364">
        <v>99.930000305175781</v>
      </c>
      <c r="B121" s="362">
        <v>19759</v>
      </c>
      <c r="C121" s="361">
        <v>2429494</v>
      </c>
      <c r="D121" s="360">
        <v>724196</v>
      </c>
      <c r="E121" s="339">
        <v>0.29808512330055237</v>
      </c>
      <c r="F121" s="358">
        <v>2.3294562473893166E-2</v>
      </c>
      <c r="G121" s="358">
        <v>0.16643795371055603</v>
      </c>
      <c r="H121" s="358">
        <v>7.8453376889228821E-2</v>
      </c>
      <c r="I121" s="358">
        <v>6.4404355362057686E-3</v>
      </c>
      <c r="J121" s="358">
        <v>1.0025544092059135E-2</v>
      </c>
      <c r="K121" s="359">
        <v>1.3433661311864853E-2</v>
      </c>
      <c r="L121" s="358">
        <v>0.41712266010947135</v>
      </c>
      <c r="M121" s="358">
        <v>0.1094351334063801</v>
      </c>
      <c r="N121" s="357">
        <v>7.2709239043191713</v>
      </c>
      <c r="O121" s="392">
        <v>17664666</v>
      </c>
      <c r="P121" s="316"/>
      <c r="Q121" s="443">
        <f t="shared" si="4"/>
        <v>48.004371945999999</v>
      </c>
      <c r="R121" s="443">
        <f t="shared" si="5"/>
        <v>14.309388763999999</v>
      </c>
      <c r="S121" s="443">
        <f t="shared" si="6"/>
        <v>0.64487447421135069</v>
      </c>
      <c r="T121" s="444">
        <f t="shared" si="8"/>
        <v>0.39250858320000004</v>
      </c>
    </row>
    <row r="122" spans="1:20" ht="15.75">
      <c r="A122" s="364">
        <v>99.94000244140625</v>
      </c>
      <c r="B122" s="362">
        <v>19731</v>
      </c>
      <c r="C122" s="361">
        <v>2722178</v>
      </c>
      <c r="D122" s="360">
        <v>803911</v>
      </c>
      <c r="E122" s="339">
        <v>0.29531905055046082</v>
      </c>
      <c r="F122" s="358">
        <v>2.3415440693497658E-2</v>
      </c>
      <c r="G122" s="358">
        <v>0.16419535875320435</v>
      </c>
      <c r="H122" s="358">
        <v>7.7907100319862366E-2</v>
      </c>
      <c r="I122" s="358">
        <v>6.4466763287782669E-3</v>
      </c>
      <c r="J122" s="358">
        <v>1.0091551579535007E-2</v>
      </c>
      <c r="K122" s="359">
        <v>1.3262541964650154E-2</v>
      </c>
      <c r="L122" s="358">
        <v>0.41952730497417878</v>
      </c>
      <c r="M122" s="358">
        <v>0.11299738665142398</v>
      </c>
      <c r="N122" s="357">
        <v>7.1981332594709091</v>
      </c>
      <c r="O122" s="392">
        <v>19594600</v>
      </c>
      <c r="P122" s="316"/>
      <c r="Q122" s="443">
        <f t="shared" si="4"/>
        <v>53.711294117999998</v>
      </c>
      <c r="R122" s="443">
        <f t="shared" si="5"/>
        <v>15.861967941</v>
      </c>
      <c r="S122" s="443">
        <f t="shared" si="6"/>
        <v>0.712348292215642</v>
      </c>
      <c r="T122" s="444">
        <f t="shared" si="8"/>
        <v>0.39195236880000006</v>
      </c>
    </row>
    <row r="123" spans="1:20" ht="15.75">
      <c r="A123" s="364">
        <v>99.949996948242188</v>
      </c>
      <c r="B123" s="362">
        <v>19759</v>
      </c>
      <c r="C123" s="361">
        <v>3130745</v>
      </c>
      <c r="D123" s="360">
        <v>956253</v>
      </c>
      <c r="E123" s="339">
        <v>0.30543944239616394</v>
      </c>
      <c r="F123" s="358">
        <v>2.3434678092598915E-2</v>
      </c>
      <c r="G123" s="358">
        <v>0.16963662207126617</v>
      </c>
      <c r="H123" s="358">
        <v>8.3674333989620209E-2</v>
      </c>
      <c r="I123" s="358">
        <v>5.3910491988062859E-3</v>
      </c>
      <c r="J123" s="358">
        <v>9.6938591450452805E-3</v>
      </c>
      <c r="K123" s="359">
        <v>1.3608582317829132E-2</v>
      </c>
      <c r="L123" s="358">
        <v>0.42207749273735168</v>
      </c>
      <c r="M123" s="358">
        <v>0.12580008911616883</v>
      </c>
      <c r="N123" s="357">
        <v>6.8604463154935962</v>
      </c>
      <c r="O123" s="392">
        <v>21478308</v>
      </c>
      <c r="P123" s="316"/>
      <c r="Q123" s="443">
        <f t="shared" si="4"/>
        <v>61.860390455000001</v>
      </c>
      <c r="R123" s="443">
        <f t="shared" si="5"/>
        <v>18.894603026999999</v>
      </c>
      <c r="S123" s="443">
        <f t="shared" si="6"/>
        <v>0.84183221571991895</v>
      </c>
      <c r="T123" s="444">
        <f t="shared" si="8"/>
        <v>0.39250858320000004</v>
      </c>
    </row>
    <row r="124" spans="1:20" ht="15.75">
      <c r="A124" s="364">
        <v>99.959999084472656</v>
      </c>
      <c r="B124" s="362">
        <v>19756</v>
      </c>
      <c r="C124" s="361">
        <v>3761227</v>
      </c>
      <c r="D124" s="360">
        <v>1156260</v>
      </c>
      <c r="E124" s="339">
        <v>0.30741563439369202</v>
      </c>
      <c r="F124" s="358">
        <v>2.3582730442285538E-2</v>
      </c>
      <c r="G124" s="358">
        <v>0.17275533080101013</v>
      </c>
      <c r="H124" s="358">
        <v>8.2816056907176971E-2</v>
      </c>
      <c r="I124" s="358">
        <v>5.4211034439504147E-3</v>
      </c>
      <c r="J124" s="358">
        <v>1.0134990327060223E-2</v>
      </c>
      <c r="K124" s="359">
        <v>1.2705428525805473E-2</v>
      </c>
      <c r="L124" s="358">
        <v>0.45184669789938231</v>
      </c>
      <c r="M124" s="358">
        <v>0.12295801343550922</v>
      </c>
      <c r="N124" s="357">
        <v>7.1642238024984932</v>
      </c>
      <c r="O124" s="392">
        <v>26946272</v>
      </c>
      <c r="P124" s="316"/>
      <c r="Q124" s="443">
        <f t="shared" si="4"/>
        <v>74.306800612000004</v>
      </c>
      <c r="R124" s="443">
        <f t="shared" si="5"/>
        <v>22.84307256</v>
      </c>
      <c r="S124" s="443">
        <f t="shared" si="6"/>
        <v>0.94409974415704445</v>
      </c>
      <c r="T124" s="444">
        <f t="shared" si="8"/>
        <v>0.39244898880000006</v>
      </c>
    </row>
    <row r="125" spans="1:20" ht="15.75">
      <c r="A125" s="364">
        <v>99.970001220703125</v>
      </c>
      <c r="B125" s="362">
        <v>19735</v>
      </c>
      <c r="C125" s="361">
        <v>4860393</v>
      </c>
      <c r="D125" s="360">
        <v>1489875</v>
      </c>
      <c r="E125" s="339">
        <v>0.30653384327888489</v>
      </c>
      <c r="F125" s="358">
        <v>2.3631010204553604E-2</v>
      </c>
      <c r="G125" s="358">
        <v>0.16452763974666595</v>
      </c>
      <c r="H125" s="358">
        <v>9.1451451182365417E-2</v>
      </c>
      <c r="I125" s="358">
        <v>5.5553121492266655E-3</v>
      </c>
      <c r="J125" s="358">
        <v>1.0550175793468952E-2</v>
      </c>
      <c r="K125" s="359">
        <v>1.0818466544151306E-2</v>
      </c>
      <c r="L125" s="358">
        <v>0.38106836216742146</v>
      </c>
      <c r="M125" s="358">
        <v>0.15566930493069181</v>
      </c>
      <c r="N125" s="357">
        <v>7.5767387534300212</v>
      </c>
      <c r="O125" s="392">
        <v>36825928</v>
      </c>
      <c r="P125" s="316"/>
      <c r="Q125" s="443">
        <f t="shared" si="4"/>
        <v>95.919855854999994</v>
      </c>
      <c r="R125" s="443">
        <f t="shared" si="5"/>
        <v>29.402683124999999</v>
      </c>
      <c r="S125" s="443">
        <f t="shared" si="6"/>
        <v>1.0377057514871333</v>
      </c>
      <c r="T125" s="444">
        <f t="shared" si="8"/>
        <v>0.39203182800000008</v>
      </c>
    </row>
    <row r="126" spans="1:20" ht="15.75">
      <c r="A126" s="364">
        <v>99.980003356933594</v>
      </c>
      <c r="B126" s="362">
        <v>19730</v>
      </c>
      <c r="C126" s="361">
        <v>7314182</v>
      </c>
      <c r="D126" s="360">
        <v>2288774</v>
      </c>
      <c r="E126" s="339">
        <v>0.31292274594306946</v>
      </c>
      <c r="F126" s="358">
        <v>2.372363768517971E-2</v>
      </c>
      <c r="G126" s="358">
        <v>0.16438530385494232</v>
      </c>
      <c r="H126" s="358">
        <v>0.10041423887014389</v>
      </c>
      <c r="I126" s="358">
        <v>4.5697521418333054E-3</v>
      </c>
      <c r="J126" s="358">
        <v>9.996333159506321E-3</v>
      </c>
      <c r="K126" s="359">
        <v>9.8334988579154015E-3</v>
      </c>
      <c r="L126" s="358">
        <v>0.38805788535204622</v>
      </c>
      <c r="M126" s="358">
        <v>0.17740411709744167</v>
      </c>
      <c r="N126" s="357">
        <v>7.7794963264518167</v>
      </c>
      <c r="O126" s="392">
        <v>56900652</v>
      </c>
      <c r="P126" s="316"/>
      <c r="Q126" s="443">
        <f t="shared" si="4"/>
        <v>144.30881085999999</v>
      </c>
      <c r="R126" s="443">
        <f t="shared" si="5"/>
        <v>45.157511020000001</v>
      </c>
      <c r="S126" s="443">
        <f t="shared" si="6"/>
        <v>1.4190605267789398</v>
      </c>
      <c r="T126" s="444">
        <f t="shared" si="8"/>
        <v>0.39193250400000007</v>
      </c>
    </row>
    <row r="127" spans="1:20" ht="15.75">
      <c r="A127" s="364">
        <v>99.989997863769531</v>
      </c>
      <c r="B127" s="362">
        <v>1971</v>
      </c>
      <c r="C127" s="361">
        <v>10247866</v>
      </c>
      <c r="D127" s="360">
        <v>3390997</v>
      </c>
      <c r="E127" s="339">
        <v>0.33089786767959595</v>
      </c>
      <c r="F127" s="358">
        <v>2.3841647431254387E-2</v>
      </c>
      <c r="G127" s="358">
        <v>0.17493242025375366</v>
      </c>
      <c r="H127" s="358">
        <v>0.10986501723527908</v>
      </c>
      <c r="I127" s="358">
        <v>4.2447862215340137E-3</v>
      </c>
      <c r="J127" s="358">
        <v>8.8688712567090988E-3</v>
      </c>
      <c r="K127" s="359">
        <v>9.1452207416296005E-3</v>
      </c>
      <c r="L127" s="358">
        <v>0.41998158445865708</v>
      </c>
      <c r="M127" s="358">
        <v>0.19873610759547403</v>
      </c>
      <c r="N127" s="357">
        <v>7.876024920700563</v>
      </c>
      <c r="O127" s="392">
        <v>80712448</v>
      </c>
      <c r="P127" s="316"/>
      <c r="Q127" s="443">
        <f t="shared" si="4"/>
        <v>20.198543886</v>
      </c>
      <c r="R127" s="443">
        <f t="shared" si="5"/>
        <v>6.683655087</v>
      </c>
      <c r="S127" s="443">
        <f t="shared" si="6"/>
        <v>0.18472014249696297</v>
      </c>
      <c r="T127" s="444">
        <f t="shared" si="8"/>
        <v>3.9153520800000008E-2</v>
      </c>
    </row>
    <row r="128" spans="1:20" ht="15.75">
      <c r="A128" s="363">
        <v>99.990997314453125</v>
      </c>
      <c r="B128" s="362">
        <v>1970</v>
      </c>
      <c r="C128" s="361">
        <v>11165199</v>
      </c>
      <c r="D128" s="360">
        <v>3474392</v>
      </c>
      <c r="E128" s="339">
        <v>0.3111804723739624</v>
      </c>
      <c r="F128" s="358">
        <v>2.4090748280286789E-2</v>
      </c>
      <c r="G128" s="358">
        <v>0.1596962958574295</v>
      </c>
      <c r="H128" s="358">
        <v>0.10619425773620605</v>
      </c>
      <c r="I128" s="358">
        <v>4.0664747357368469E-3</v>
      </c>
      <c r="J128" s="358">
        <v>9.0890452265739441E-3</v>
      </c>
      <c r="K128" s="359">
        <v>8.0434754490852356E-3</v>
      </c>
      <c r="L128" s="358">
        <v>0.34420971807130352</v>
      </c>
      <c r="M128" s="358">
        <v>0.20083126149386141</v>
      </c>
      <c r="N128" s="357">
        <v>8.0350223941373553</v>
      </c>
      <c r="O128" s="392">
        <v>89712624</v>
      </c>
      <c r="P128" s="316"/>
      <c r="Q128" s="443">
        <f t="shared" si="4"/>
        <v>21.99544203</v>
      </c>
      <c r="R128" s="443">
        <f t="shared" si="5"/>
        <v>6.8445522399999996</v>
      </c>
      <c r="S128" s="443">
        <f t="shared" si="6"/>
        <v>0.17691979796008253</v>
      </c>
      <c r="T128" s="444">
        <f t="shared" si="8"/>
        <v>3.913365600000001E-2</v>
      </c>
    </row>
    <row r="129" spans="1:20" ht="15.75">
      <c r="A129" s="363">
        <v>99.991996765136719</v>
      </c>
      <c r="B129" s="362">
        <v>1990</v>
      </c>
      <c r="C129" s="361">
        <v>12491993</v>
      </c>
      <c r="D129" s="360">
        <v>3965066</v>
      </c>
      <c r="E129" s="339">
        <v>0.31740859150886536</v>
      </c>
      <c r="F129" s="358">
        <v>2.3937493562698364E-2</v>
      </c>
      <c r="G129" s="358">
        <v>0.16162136197090149</v>
      </c>
      <c r="H129" s="358">
        <v>0.11006882786750793</v>
      </c>
      <c r="I129" s="358">
        <v>3.9469283074140549E-3</v>
      </c>
      <c r="J129" s="358">
        <v>8.8698416948318481E-3</v>
      </c>
      <c r="K129" s="359">
        <v>8.9641418308019638E-3</v>
      </c>
      <c r="L129" s="358">
        <v>0.34906903966404718</v>
      </c>
      <c r="M129" s="358">
        <v>0.2094960347800387</v>
      </c>
      <c r="N129" s="357">
        <v>7.9652737557569875</v>
      </c>
      <c r="O129" s="392">
        <v>99502144</v>
      </c>
      <c r="P129" s="316"/>
      <c r="Q129" s="443">
        <f t="shared" si="4"/>
        <v>24.859066070000001</v>
      </c>
      <c r="R129" s="443">
        <f t="shared" si="5"/>
        <v>7.89048134</v>
      </c>
      <c r="S129" s="443">
        <f t="shared" si="6"/>
        <v>0.22284019403275679</v>
      </c>
      <c r="T129" s="444">
        <f t="shared" si="8"/>
        <v>3.9530952000000008E-2</v>
      </c>
    </row>
    <row r="130" spans="1:20" ht="15.75">
      <c r="A130" s="363">
        <v>99.992996215820313</v>
      </c>
      <c r="B130" s="362">
        <v>1991</v>
      </c>
      <c r="C130" s="361">
        <v>14109504</v>
      </c>
      <c r="D130" s="360">
        <v>4279518</v>
      </c>
      <c r="E130" s="339">
        <v>0.30330747365951538</v>
      </c>
      <c r="F130" s="358">
        <v>2.3950451985001564E-2</v>
      </c>
      <c r="G130" s="358">
        <v>0.14230245351791382</v>
      </c>
      <c r="H130" s="358">
        <v>0.11776891350746155</v>
      </c>
      <c r="I130" s="358">
        <v>3.467875299975276E-3</v>
      </c>
      <c r="J130" s="358">
        <v>9.3507897108793259E-3</v>
      </c>
      <c r="K130" s="359">
        <v>6.4669176936149597E-3</v>
      </c>
      <c r="L130" s="358">
        <v>0.27943739198769851</v>
      </c>
      <c r="M130" s="358">
        <v>0.25142485518980684</v>
      </c>
      <c r="N130" s="357">
        <v>8.6175729494105529</v>
      </c>
      <c r="O130" s="392">
        <v>121589680</v>
      </c>
      <c r="P130" s="316"/>
      <c r="Q130" s="443">
        <f t="shared" si="4"/>
        <v>28.092022463999999</v>
      </c>
      <c r="R130" s="443">
        <f t="shared" si="5"/>
        <v>8.5205203380000007</v>
      </c>
      <c r="S130" s="443">
        <f t="shared" si="6"/>
        <v>0.18166879712187051</v>
      </c>
      <c r="T130" s="444">
        <f t="shared" si="8"/>
        <v>3.9550816800000006E-2</v>
      </c>
    </row>
    <row r="131" spans="1:20" ht="15.75">
      <c r="A131" s="363">
        <v>99.994003295898438</v>
      </c>
      <c r="B131" s="362">
        <v>1959</v>
      </c>
      <c r="C131" s="361">
        <v>16085178</v>
      </c>
      <c r="D131" s="360">
        <v>5033241</v>
      </c>
      <c r="E131" s="339">
        <v>0.3129117488861084</v>
      </c>
      <c r="F131" s="358">
        <v>2.4019815027713776E-2</v>
      </c>
      <c r="G131" s="358">
        <v>0.15882161259651184</v>
      </c>
      <c r="H131" s="358">
        <v>0.1107693687081337</v>
      </c>
      <c r="I131" s="358">
        <v>3.5332527477294207E-3</v>
      </c>
      <c r="J131" s="358">
        <v>9.1353049501776695E-3</v>
      </c>
      <c r="K131" s="359">
        <v>6.6324411891400814E-3</v>
      </c>
      <c r="L131" s="358">
        <v>0.33309174446188905</v>
      </c>
      <c r="M131" s="358">
        <v>0.23343316437032902</v>
      </c>
      <c r="N131" s="357">
        <v>8.4178346052496273</v>
      </c>
      <c r="O131" s="392">
        <v>135402368</v>
      </c>
      <c r="P131" s="316"/>
      <c r="Q131" s="443">
        <f t="shared" si="4"/>
        <v>31.510863702000002</v>
      </c>
      <c r="R131" s="443">
        <f t="shared" si="5"/>
        <v>9.8601191190000002</v>
      </c>
      <c r="S131" s="443">
        <f t="shared" si="6"/>
        <v>0.20899395032252391</v>
      </c>
      <c r="T131" s="444">
        <f t="shared" si="8"/>
        <v>3.8915143200000002E-2</v>
      </c>
    </row>
    <row r="132" spans="1:20" ht="15.75">
      <c r="A132" s="363">
        <v>99.995002746582031</v>
      </c>
      <c r="B132" s="362">
        <v>1991</v>
      </c>
      <c r="C132" s="361">
        <v>18975912</v>
      </c>
      <c r="D132" s="360">
        <v>5991374</v>
      </c>
      <c r="E132" s="339">
        <v>0.31573575735092163</v>
      </c>
      <c r="F132" s="358">
        <v>2.3978767916560173E-2</v>
      </c>
      <c r="G132" s="358">
        <v>0.17040862143039703</v>
      </c>
      <c r="H132" s="358">
        <v>0.10138273984193802</v>
      </c>
      <c r="I132" s="358">
        <v>2.1376048680394888E-3</v>
      </c>
      <c r="J132" s="358">
        <v>8.3943260833621025E-3</v>
      </c>
      <c r="K132" s="359">
        <v>9.4337491318583488E-3</v>
      </c>
      <c r="L132" s="358">
        <v>0.42287174392461346</v>
      </c>
      <c r="M132" s="358">
        <v>0.18240340701411348</v>
      </c>
      <c r="N132" s="357">
        <v>7.7333992695581637</v>
      </c>
      <c r="O132" s="392">
        <v>146748304</v>
      </c>
      <c r="P132" s="316"/>
      <c r="Q132" s="443">
        <f t="shared" si="4"/>
        <v>37.781040791999999</v>
      </c>
      <c r="R132" s="443">
        <f t="shared" si="5"/>
        <v>11.928825634000001</v>
      </c>
      <c r="S132" s="443">
        <f t="shared" si="6"/>
        <v>0.35641686077223483</v>
      </c>
      <c r="T132" s="444">
        <f t="shared" si="8"/>
        <v>3.9550816800000006E-2</v>
      </c>
    </row>
    <row r="133" spans="1:20" ht="15.75">
      <c r="A133" s="363">
        <v>99.996002197265625</v>
      </c>
      <c r="B133" s="362">
        <v>1973</v>
      </c>
      <c r="C133" s="361">
        <v>24001572</v>
      </c>
      <c r="D133" s="360">
        <v>6851741</v>
      </c>
      <c r="E133" s="339">
        <v>0.28547051548957825</v>
      </c>
      <c r="F133" s="358">
        <v>2.3998219519853592E-2</v>
      </c>
      <c r="G133" s="358">
        <v>0.13678117096424103</v>
      </c>
      <c r="H133" s="358">
        <v>0.10573657602071762</v>
      </c>
      <c r="I133" s="358">
        <v>2.9622642323374748E-3</v>
      </c>
      <c r="J133" s="358">
        <v>9.2820171266794205E-3</v>
      </c>
      <c r="K133" s="359">
        <v>6.7103104665875435E-3</v>
      </c>
      <c r="L133" s="358">
        <v>0.11994881001961039</v>
      </c>
      <c r="M133" s="358">
        <v>0.22026740581825224</v>
      </c>
      <c r="N133" s="357">
        <v>8.6937172281882198</v>
      </c>
      <c r="O133" s="392">
        <v>208662880</v>
      </c>
      <c r="P133" s="316"/>
      <c r="Q133" s="443">
        <f t="shared" si="4"/>
        <v>47.355101556000001</v>
      </c>
      <c r="R133" s="443">
        <f t="shared" si="5"/>
        <v>13.518484993</v>
      </c>
      <c r="S133" s="443">
        <f t="shared" si="6"/>
        <v>0.31776743361754284</v>
      </c>
      <c r="T133" s="444">
        <f t="shared" si="8"/>
        <v>3.9193250400000004E-2</v>
      </c>
    </row>
    <row r="134" spans="1:20" ht="15.75">
      <c r="A134" s="363">
        <v>99.997001647949219</v>
      </c>
      <c r="B134" s="362">
        <v>1971</v>
      </c>
      <c r="C134" s="361">
        <v>31330736</v>
      </c>
      <c r="D134" s="360">
        <v>9264691</v>
      </c>
      <c r="E134" s="339">
        <v>0.29570615291595459</v>
      </c>
      <c r="F134" s="358">
        <v>2.371540293097496E-2</v>
      </c>
      <c r="G134" s="358">
        <v>0.11842565983533859</v>
      </c>
      <c r="H134" s="358">
        <v>0.13864180445671082</v>
      </c>
      <c r="I134" s="358">
        <v>1.7421550583094358E-3</v>
      </c>
      <c r="J134" s="358">
        <v>1.0078058578073978E-2</v>
      </c>
      <c r="K134" s="359">
        <v>3.1030869577080011E-3</v>
      </c>
      <c r="L134" s="358">
        <v>9.4527974063552164E-2</v>
      </c>
      <c r="M134" s="358">
        <v>0.30783225137130515</v>
      </c>
      <c r="N134" s="357">
        <v>9.5131395572705344</v>
      </c>
      <c r="O134" s="392">
        <v>298053664</v>
      </c>
      <c r="P134" s="316"/>
      <c r="Q134" s="443">
        <f t="shared" si="4"/>
        <v>61.752880656000002</v>
      </c>
      <c r="R134" s="443">
        <f t="shared" si="5"/>
        <v>18.260705960999999</v>
      </c>
      <c r="S134" s="443">
        <f t="shared" si="6"/>
        <v>0.19162455856453231</v>
      </c>
      <c r="T134" s="444">
        <f t="shared" si="8"/>
        <v>3.9153520800000008E-2</v>
      </c>
    </row>
    <row r="135" spans="1:20" ht="15.75">
      <c r="A135" s="363">
        <v>99.998001098632813</v>
      </c>
      <c r="B135" s="362">
        <v>1394</v>
      </c>
      <c r="C135" s="361">
        <v>52869716</v>
      </c>
      <c r="D135" s="360">
        <v>16016301</v>
      </c>
      <c r="E135" s="339">
        <v>0.3029390275478363</v>
      </c>
      <c r="F135" s="358">
        <v>2.3517092689871788E-2</v>
      </c>
      <c r="G135" s="358">
        <v>0.11861451715230942</v>
      </c>
      <c r="H135" s="358">
        <v>0.14737565815448761</v>
      </c>
      <c r="I135" s="358">
        <v>1.6932566650211811E-3</v>
      </c>
      <c r="J135" s="358">
        <v>9.2152943834662437E-3</v>
      </c>
      <c r="K135" s="359">
        <v>2.5232213083654642E-3</v>
      </c>
      <c r="L135" s="358">
        <v>0.2086029930631744</v>
      </c>
      <c r="M135" s="358">
        <v>0.33430045283390591</v>
      </c>
      <c r="N135" s="357">
        <v>8.6987561650605425</v>
      </c>
      <c r="O135" s="392">
        <v>459900768</v>
      </c>
      <c r="P135" s="316"/>
      <c r="Q135" s="443">
        <f t="shared" si="4"/>
        <v>73.700384103999994</v>
      </c>
      <c r="R135" s="443">
        <f t="shared" si="5"/>
        <v>22.326723594000001</v>
      </c>
      <c r="S135" s="443">
        <f t="shared" si="6"/>
        <v>0.18596237960593215</v>
      </c>
      <c r="T135" s="444">
        <f t="shared" si="8"/>
        <v>2.7691531200000005E-2</v>
      </c>
    </row>
    <row r="136" spans="1:20" ht="15.75">
      <c r="A136" s="363">
        <v>99.999000549316406</v>
      </c>
      <c r="B136" s="362">
        <v>2563</v>
      </c>
      <c r="C136" s="361">
        <v>84135488</v>
      </c>
      <c r="D136" s="360">
        <v>22480786</v>
      </c>
      <c r="E136" s="339">
        <v>0.26719743013381958</v>
      </c>
      <c r="F136" s="358">
        <v>2.3837706074118614E-2</v>
      </c>
      <c r="G136" s="358">
        <v>8.6612939834594727E-2</v>
      </c>
      <c r="H136" s="358">
        <v>0.14343707263469696</v>
      </c>
      <c r="I136" s="358">
        <v>1.2661006767302752E-3</v>
      </c>
      <c r="J136" s="358">
        <v>9.7212959080934525E-3</v>
      </c>
      <c r="K136" s="359">
        <v>2.3223019670695066E-3</v>
      </c>
      <c r="L136" s="358">
        <v>0.21523184128913592</v>
      </c>
      <c r="M136" s="358">
        <v>0.2377582691384639</v>
      </c>
      <c r="N136" s="357">
        <v>9.1763890167250235</v>
      </c>
      <c r="O136" s="392">
        <v>772059968</v>
      </c>
      <c r="P136" s="316"/>
      <c r="Q136" s="443">
        <f t="shared" si="4"/>
        <v>215.639255744</v>
      </c>
      <c r="R136" s="443">
        <f t="shared" si="5"/>
        <v>57.618254518000001</v>
      </c>
      <c r="S136" s="443">
        <f t="shared" si="6"/>
        <v>0.50077946779169558</v>
      </c>
      <c r="T136" s="444">
        <f t="shared" si="8"/>
        <v>5.0913482400000008E-2</v>
      </c>
    </row>
    <row r="137" spans="1:20" ht="60">
      <c r="A137" s="356" t="s">
        <v>372</v>
      </c>
      <c r="B137" s="355">
        <v>407</v>
      </c>
      <c r="C137" s="354">
        <v>379017280</v>
      </c>
      <c r="D137" s="353">
        <v>104873688</v>
      </c>
      <c r="E137" s="352">
        <v>0.27669897675514221</v>
      </c>
      <c r="F137" s="350">
        <v>2.4318533018231392E-2</v>
      </c>
      <c r="G137" s="350">
        <v>9.2582672834396362E-2</v>
      </c>
      <c r="H137" s="350">
        <v>0.14779400825500488</v>
      </c>
      <c r="I137" s="350">
        <v>1.0570347076281905E-3</v>
      </c>
      <c r="J137" s="350">
        <v>9.8194712772965431E-3</v>
      </c>
      <c r="K137" s="351">
        <v>1.1272480478510261E-3</v>
      </c>
      <c r="L137" s="350">
        <v>0.2130126536579611</v>
      </c>
      <c r="M137" s="350">
        <v>0.24095599276315152</v>
      </c>
      <c r="N137" s="349">
        <v>9.1819680613952368</v>
      </c>
      <c r="O137" s="393">
        <v>3904439946.0825009</v>
      </c>
      <c r="P137" s="348"/>
      <c r="Q137" s="443"/>
      <c r="R137" s="443"/>
      <c r="S137" s="443"/>
    </row>
    <row r="138" spans="1:20" ht="15.75">
      <c r="A138" s="347" t="s">
        <v>373</v>
      </c>
      <c r="B138" s="346">
        <v>19745875</v>
      </c>
      <c r="C138" s="345">
        <v>9953.7524283932726</v>
      </c>
      <c r="D138" s="344">
        <v>2469.7459967714776</v>
      </c>
      <c r="E138" s="343">
        <v>0.24812210507925275</v>
      </c>
      <c r="F138" s="341">
        <v>0.11789670110029685</v>
      </c>
      <c r="G138" s="341">
        <v>5.6063000619176861E-3</v>
      </c>
      <c r="H138" s="341">
        <v>5.0734916947035979E-3</v>
      </c>
      <c r="I138" s="341">
        <v>1.4396966009127491E-2</v>
      </c>
      <c r="J138" s="341">
        <v>0</v>
      </c>
      <c r="K138" s="342">
        <v>0.10517878376700017</v>
      </c>
      <c r="L138" s="341">
        <v>0.60086200040518856</v>
      </c>
      <c r="M138" s="341">
        <v>-9.9475912211930903E-4</v>
      </c>
      <c r="N138" s="340">
        <v>0.39989201211288194</v>
      </c>
      <c r="O138" s="394">
        <v>3980.42608666367</v>
      </c>
      <c r="P138" s="316"/>
      <c r="Q138" s="445"/>
      <c r="R138" s="445"/>
      <c r="S138" s="446"/>
    </row>
    <row r="139" spans="1:20" ht="15.75">
      <c r="A139" s="338" t="s">
        <v>374</v>
      </c>
      <c r="B139" s="337">
        <v>19747145</v>
      </c>
      <c r="C139" s="336">
        <v>14862.64357019711</v>
      </c>
      <c r="D139" s="335">
        <v>3547.3515936101144</v>
      </c>
      <c r="E139" s="339">
        <v>0.23867568298868139</v>
      </c>
      <c r="F139" s="332">
        <v>9.9317267297559145E-2</v>
      </c>
      <c r="G139" s="332">
        <v>6.5937751551197561E-3</v>
      </c>
      <c r="H139" s="332">
        <v>6.9908439789049138E-3</v>
      </c>
      <c r="I139" s="332">
        <v>1.3288423422547897E-2</v>
      </c>
      <c r="J139" s="332">
        <v>0</v>
      </c>
      <c r="K139" s="333">
        <v>0.11247863435374399</v>
      </c>
      <c r="L139" s="332">
        <v>0.65885795269371461</v>
      </c>
      <c r="M139" s="332">
        <v>-7.8035744221043718E-4</v>
      </c>
      <c r="N139" s="331">
        <v>0.59508763178385904</v>
      </c>
      <c r="O139" s="395">
        <v>8844.5753642361979</v>
      </c>
      <c r="P139" s="316"/>
      <c r="Q139" s="445"/>
      <c r="R139" s="445"/>
      <c r="S139" s="446"/>
    </row>
    <row r="140" spans="1:20" ht="15.75">
      <c r="A140" s="338" t="s">
        <v>375</v>
      </c>
      <c r="B140" s="337">
        <v>19745453</v>
      </c>
      <c r="C140" s="336">
        <v>20478.634847931826</v>
      </c>
      <c r="D140" s="335">
        <v>4835.5204124716711</v>
      </c>
      <c r="E140" s="339">
        <v>0.23612513727393372</v>
      </c>
      <c r="F140" s="332">
        <v>8.7506109209030292E-2</v>
      </c>
      <c r="G140" s="332">
        <v>1.3096895160334781E-2</v>
      </c>
      <c r="H140" s="332">
        <v>1.0406128089986644E-2</v>
      </c>
      <c r="I140" s="332">
        <v>1.32479873462364E-2</v>
      </c>
      <c r="J140" s="332">
        <v>0</v>
      </c>
      <c r="K140" s="333">
        <v>0.11187289770815542</v>
      </c>
      <c r="L140" s="332">
        <v>0.67003495095150334</v>
      </c>
      <c r="M140" s="332">
        <v>-2.978472184777299E-4</v>
      </c>
      <c r="N140" s="331">
        <v>1.1008065774547398</v>
      </c>
      <c r="O140" s="395">
        <v>22543.015937897195</v>
      </c>
      <c r="P140" s="316"/>
      <c r="Q140" s="445"/>
      <c r="R140" s="445"/>
      <c r="S140" s="446"/>
    </row>
    <row r="141" spans="1:20" ht="15.75">
      <c r="A141" s="338" t="s">
        <v>376</v>
      </c>
      <c r="B141" s="337">
        <v>19746945</v>
      </c>
      <c r="C141" s="336">
        <v>26999.266416146904</v>
      </c>
      <c r="D141" s="335">
        <v>6388.8624512297974</v>
      </c>
      <c r="E141" s="339">
        <v>0.23663096454418131</v>
      </c>
      <c r="F141" s="332">
        <v>7.4427740084875488E-2</v>
      </c>
      <c r="G141" s="332">
        <v>2.5174301977983739E-2</v>
      </c>
      <c r="H141" s="332">
        <v>1.4411302334563307E-2</v>
      </c>
      <c r="I141" s="332">
        <v>1.398931373250477E-2</v>
      </c>
      <c r="J141" s="332">
        <v>0</v>
      </c>
      <c r="K141" s="333">
        <v>0.10862830702585065</v>
      </c>
      <c r="L141" s="332">
        <v>0.67201084108420295</v>
      </c>
      <c r="M141" s="332">
        <v>-5.6284667759528726E-4</v>
      </c>
      <c r="N141" s="331">
        <v>1.6253133489972398</v>
      </c>
      <c r="O141" s="395">
        <v>43882.26811929643</v>
      </c>
      <c r="P141" s="316"/>
      <c r="Q141" s="445"/>
      <c r="R141" s="445"/>
      <c r="S141" s="446"/>
    </row>
    <row r="142" spans="1:20" ht="15.75">
      <c r="A142" s="338" t="s">
        <v>377</v>
      </c>
      <c r="B142" s="337">
        <v>19746645</v>
      </c>
      <c r="C142" s="336">
        <v>34418.998895863071</v>
      </c>
      <c r="D142" s="335">
        <v>8237.9984490529914</v>
      </c>
      <c r="E142" s="339">
        <v>0.23934451374984644</v>
      </c>
      <c r="F142" s="332">
        <v>6.4711348002855273E-2</v>
      </c>
      <c r="G142" s="332">
        <v>3.861814138077177E-2</v>
      </c>
      <c r="H142" s="332">
        <v>1.8536281827879798E-2</v>
      </c>
      <c r="I142" s="332">
        <v>1.3608807747225749E-2</v>
      </c>
      <c r="J142" s="332">
        <v>0</v>
      </c>
      <c r="K142" s="333">
        <v>0.1038728365748178</v>
      </c>
      <c r="L142" s="332">
        <v>0.66903984998598831</v>
      </c>
      <c r="M142" s="332">
        <v>-6.4205268801880181E-4</v>
      </c>
      <c r="N142" s="331">
        <v>2.0486756686895866</v>
      </c>
      <c r="O142" s="395">
        <v>70513.365578608413</v>
      </c>
      <c r="P142" s="316"/>
      <c r="Q142" s="445"/>
      <c r="R142" s="445"/>
      <c r="S142" s="446"/>
    </row>
    <row r="143" spans="1:20" ht="15.75">
      <c r="A143" s="338" t="s">
        <v>378</v>
      </c>
      <c r="B143" s="337">
        <v>19746102</v>
      </c>
      <c r="C143" s="336">
        <v>43076.023263832023</v>
      </c>
      <c r="D143" s="335">
        <v>10915.011673291265</v>
      </c>
      <c r="E143" s="339">
        <v>0.25338948983660864</v>
      </c>
      <c r="F143" s="332">
        <v>6.1384536549974979E-2</v>
      </c>
      <c r="G143" s="332">
        <v>5.4113706243201332E-2</v>
      </c>
      <c r="H143" s="332">
        <v>2.1401690792037093E-2</v>
      </c>
      <c r="I143" s="332">
        <v>1.3230120423285764E-2</v>
      </c>
      <c r="J143" s="332">
        <v>0</v>
      </c>
      <c r="K143" s="333">
        <v>0.10325247539969148</v>
      </c>
      <c r="L143" s="332">
        <v>0.67666493935735272</v>
      </c>
      <c r="M143" s="332">
        <v>1.392722244890358E-4</v>
      </c>
      <c r="N143" s="331">
        <v>2.342165507381869</v>
      </c>
      <c r="O143" s="395">
        <v>100891.17588372632</v>
      </c>
      <c r="P143" s="316"/>
      <c r="Q143" s="445"/>
      <c r="R143" s="445"/>
      <c r="S143" s="446"/>
    </row>
    <row r="144" spans="1:20" ht="15.75">
      <c r="A144" s="338" t="s">
        <v>379</v>
      </c>
      <c r="B144" s="337">
        <v>19747437</v>
      </c>
      <c r="C144" s="336">
        <v>53446.281023152522</v>
      </c>
      <c r="D144" s="335">
        <v>14015.397775772117</v>
      </c>
      <c r="E144" s="339">
        <v>0.26223336037489547</v>
      </c>
      <c r="F144" s="332">
        <v>5.1805381321547425E-2</v>
      </c>
      <c r="G144" s="332">
        <v>6.8983175151537943E-2</v>
      </c>
      <c r="H144" s="332">
        <v>2.3163409150921375E-2</v>
      </c>
      <c r="I144" s="332">
        <v>1.3486461121683498E-2</v>
      </c>
      <c r="J144" s="332">
        <v>1.3097573896424864E-5</v>
      </c>
      <c r="K144" s="333">
        <v>0.10478183266243779</v>
      </c>
      <c r="L144" s="332">
        <v>0.68893823775698471</v>
      </c>
      <c r="M144" s="332">
        <v>1.6474488135892601E-4</v>
      </c>
      <c r="N144" s="331">
        <v>2.5470594184393738</v>
      </c>
      <c r="O144" s="395">
        <v>136130.85346057819</v>
      </c>
      <c r="P144" s="316"/>
      <c r="Q144" s="445"/>
      <c r="R144" s="445"/>
      <c r="S144" s="446"/>
    </row>
    <row r="145" spans="1:19" ht="15.75">
      <c r="A145" s="338" t="s">
        <v>380</v>
      </c>
      <c r="B145" s="337">
        <v>19746354</v>
      </c>
      <c r="C145" s="336">
        <v>67320.895711380435</v>
      </c>
      <c r="D145" s="335">
        <v>18669.535404257414</v>
      </c>
      <c r="E145" s="339">
        <v>0.27732155248940488</v>
      </c>
      <c r="F145" s="332">
        <v>4.9365134202481002E-2</v>
      </c>
      <c r="G145" s="332">
        <v>8.4666350227166967E-2</v>
      </c>
      <c r="H145" s="332">
        <v>2.5968401814619436E-2</v>
      </c>
      <c r="I145" s="332">
        <v>1.4860226067408789E-2</v>
      </c>
      <c r="J145" s="332">
        <v>2.376678118220508E-5</v>
      </c>
      <c r="K145" s="333">
        <v>0.10243470387206371</v>
      </c>
      <c r="L145" s="332">
        <v>0.68458164762462126</v>
      </c>
      <c r="M145" s="332">
        <v>1.696405432704929E-3</v>
      </c>
      <c r="N145" s="331">
        <v>2.9320738154942525</v>
      </c>
      <c r="O145" s="395">
        <v>197389.83555095791</v>
      </c>
      <c r="P145" s="316"/>
      <c r="Q145" s="445"/>
      <c r="R145" s="445"/>
      <c r="S145" s="446"/>
    </row>
    <row r="146" spans="1:19" ht="15.75">
      <c r="A146" s="338" t="s">
        <v>33</v>
      </c>
      <c r="B146" s="337">
        <v>19746436</v>
      </c>
      <c r="C146" s="336">
        <v>90685.665702914688</v>
      </c>
      <c r="D146" s="335">
        <v>26404.912853792957</v>
      </c>
      <c r="E146" s="339">
        <v>0.29116964260903361</v>
      </c>
      <c r="F146" s="332">
        <v>4.6450641537814641E-2</v>
      </c>
      <c r="G146" s="332">
        <v>0.1032841944876496</v>
      </c>
      <c r="H146" s="332">
        <v>2.8920838623115869E-2</v>
      </c>
      <c r="I146" s="332">
        <v>1.6417094413059139E-2</v>
      </c>
      <c r="J146" s="332">
        <v>5.844401746971495E-5</v>
      </c>
      <c r="K146" s="333">
        <v>9.6039532698546926E-2</v>
      </c>
      <c r="L146" s="332">
        <v>0.66602166675224406</v>
      </c>
      <c r="M146" s="332">
        <v>3.2225890959832731E-3</v>
      </c>
      <c r="N146" s="331">
        <v>3.504249977408981</v>
      </c>
      <c r="O146" s="395">
        <v>317785.24199075723</v>
      </c>
      <c r="P146" s="316"/>
      <c r="Q146" s="445"/>
      <c r="R146" s="445"/>
      <c r="S146" s="446"/>
    </row>
    <row r="147" spans="1:19" ht="15.75">
      <c r="A147" s="338" t="s">
        <v>51</v>
      </c>
      <c r="B147" s="337">
        <v>9873187</v>
      </c>
      <c r="C147" s="336">
        <v>129636.59784019081</v>
      </c>
      <c r="D147" s="335">
        <v>37583.631890594195</v>
      </c>
      <c r="E147" s="339">
        <v>0.28991528727932758</v>
      </c>
      <c r="F147" s="332">
        <v>3.7177969610878485E-2</v>
      </c>
      <c r="G147" s="332">
        <v>0.12122146024706226</v>
      </c>
      <c r="H147" s="332">
        <v>3.5315971331341671E-2</v>
      </c>
      <c r="I147" s="332">
        <v>1.6830189774850238E-2</v>
      </c>
      <c r="J147" s="332">
        <v>1.9439813612970213E-4</v>
      </c>
      <c r="K147" s="333">
        <v>7.9173760184490793E-2</v>
      </c>
      <c r="L147" s="332">
        <v>0.62847176198522359</v>
      </c>
      <c r="M147" s="332">
        <v>8.0626954827737532E-3</v>
      </c>
      <c r="N147" s="331">
        <v>4.2786563682813927</v>
      </c>
      <c r="O147" s="395">
        <v>554670.45491126622</v>
      </c>
      <c r="P147" s="316"/>
      <c r="Q147" s="445"/>
      <c r="R147" s="445"/>
      <c r="S147" s="446"/>
    </row>
    <row r="148" spans="1:19" ht="15.75">
      <c r="A148" s="338" t="s">
        <v>52</v>
      </c>
      <c r="B148" s="337">
        <v>7899016</v>
      </c>
      <c r="C148" s="336">
        <v>231479.00766981608</v>
      </c>
      <c r="D148" s="335">
        <v>65560.960432286753</v>
      </c>
      <c r="E148" s="339">
        <v>0.28322637704691733</v>
      </c>
      <c r="F148" s="332">
        <v>3.1387243634146966E-2</v>
      </c>
      <c r="G148" s="332">
        <v>0.13914148125118447</v>
      </c>
      <c r="H148" s="332">
        <v>4.4423781806564186E-2</v>
      </c>
      <c r="I148" s="332">
        <v>1.4831746618596256E-2</v>
      </c>
      <c r="J148" s="332">
        <v>9.9467412769791374E-4</v>
      </c>
      <c r="K148" s="333">
        <v>5.2446364660071479E-2</v>
      </c>
      <c r="L148" s="332">
        <v>0.55581109349248103</v>
      </c>
      <c r="M148" s="332">
        <v>2.0262791412973644E-2</v>
      </c>
      <c r="N148" s="331">
        <v>5.1341829108845394</v>
      </c>
      <c r="O148" s="395">
        <v>1188455.565406881</v>
      </c>
      <c r="P148" s="316"/>
      <c r="Q148" s="445"/>
      <c r="R148" s="445"/>
      <c r="S148" s="446"/>
    </row>
    <row r="149" spans="1:19" ht="15.75">
      <c r="A149" s="338" t="s">
        <v>150</v>
      </c>
      <c r="B149" s="337">
        <v>1777402</v>
      </c>
      <c r="C149" s="336">
        <v>708131.24720744102</v>
      </c>
      <c r="D149" s="335">
        <v>196125.83414387965</v>
      </c>
      <c r="E149" s="339">
        <v>0.27696254833592893</v>
      </c>
      <c r="F149" s="332">
        <v>2.3380921954671504E-2</v>
      </c>
      <c r="G149" s="332">
        <v>0.15424205528449514</v>
      </c>
      <c r="H149" s="332">
        <v>6.0279980488818996E-2</v>
      </c>
      <c r="I149" s="332">
        <v>9.5520044506884894E-3</v>
      </c>
      <c r="J149" s="332">
        <v>4.9607843735694074E-3</v>
      </c>
      <c r="K149" s="333">
        <v>2.454680017239089E-2</v>
      </c>
      <c r="L149" s="332">
        <v>0.46645540951615933</v>
      </c>
      <c r="M149" s="332">
        <v>5.4422451799880457E-2</v>
      </c>
      <c r="N149" s="331">
        <v>6.1698986810947716</v>
      </c>
      <c r="O149" s="395">
        <v>4369098.048187186</v>
      </c>
      <c r="P149" s="316"/>
      <c r="Q149" s="445"/>
      <c r="R149" s="445"/>
      <c r="S149" s="446"/>
    </row>
    <row r="150" spans="1:19" ht="15.75">
      <c r="A150" s="338" t="s">
        <v>64</v>
      </c>
      <c r="B150" s="337">
        <v>177714</v>
      </c>
      <c r="C150" s="336">
        <v>3370942.4026075606</v>
      </c>
      <c r="D150" s="335">
        <v>1024371.0482404312</v>
      </c>
      <c r="E150" s="339">
        <v>0.30388268893924691</v>
      </c>
      <c r="F150" s="332">
        <v>2.3492903363889324E-2</v>
      </c>
      <c r="G150" s="332">
        <v>0.16663516761437114</v>
      </c>
      <c r="H150" s="332">
        <v>8.5707533695165192E-2</v>
      </c>
      <c r="I150" s="332">
        <v>5.7934796442815403E-3</v>
      </c>
      <c r="J150" s="332">
        <v>9.9070661871549504E-3</v>
      </c>
      <c r="K150" s="333">
        <v>1.2346508429903844E-2</v>
      </c>
      <c r="L150" s="332">
        <v>0.41629797789197082</v>
      </c>
      <c r="M150" s="332">
        <v>0.13347898762824531</v>
      </c>
      <c r="N150" s="331">
        <v>7.3178298253713416</v>
      </c>
      <c r="O150" s="395">
        <v>24667982.853410535</v>
      </c>
      <c r="P150" s="316"/>
      <c r="Q150" s="445"/>
      <c r="R150" s="445"/>
      <c r="S150" s="446"/>
    </row>
    <row r="151" spans="1:19" ht="15.75">
      <c r="A151" s="338" t="s">
        <v>381</v>
      </c>
      <c r="B151" s="337">
        <v>19366</v>
      </c>
      <c r="C151" s="336">
        <v>21100101.623670351</v>
      </c>
      <c r="D151" s="335">
        <v>6236121.6465971293</v>
      </c>
      <c r="E151" s="334">
        <v>0.29554936121314912</v>
      </c>
      <c r="F151" s="332">
        <v>2.3653204177597219E-2</v>
      </c>
      <c r="G151" s="332">
        <v>0.13076013324007738</v>
      </c>
      <c r="H151" s="332">
        <v>0.12354263746101331</v>
      </c>
      <c r="I151" s="332">
        <v>2.5584209542761568E-3</v>
      </c>
      <c r="J151" s="332">
        <v>9.27466004086119E-3</v>
      </c>
      <c r="K151" s="333">
        <v>5.7603101853070321E-3</v>
      </c>
      <c r="L151" s="332">
        <v>0.24349704524646199</v>
      </c>
      <c r="M151" s="332">
        <v>0.2523784968268038</v>
      </c>
      <c r="N151" s="331">
        <v>8.6533657523371321</v>
      </c>
      <c r="O151" s="395">
        <v>173669393.80400816</v>
      </c>
      <c r="P151" s="316"/>
      <c r="Q151" s="445"/>
      <c r="R151" s="445"/>
      <c r="S151" s="446"/>
    </row>
    <row r="152" spans="1:19" ht="16.5" thickBot="1">
      <c r="A152" s="330" t="s">
        <v>382</v>
      </c>
      <c r="B152" s="329">
        <v>407</v>
      </c>
      <c r="C152" s="328">
        <v>379017280</v>
      </c>
      <c r="D152" s="327">
        <v>104873688</v>
      </c>
      <c r="E152" s="326">
        <v>0.27669897675514221</v>
      </c>
      <c r="F152" s="324">
        <v>2.4318533018231392E-2</v>
      </c>
      <c r="G152" s="324">
        <v>9.2582672834396362E-2</v>
      </c>
      <c r="H152" s="324">
        <v>0.14779400825500488</v>
      </c>
      <c r="I152" s="324">
        <v>1.0570347076281905E-3</v>
      </c>
      <c r="J152" s="324">
        <v>9.8194712772965431E-3</v>
      </c>
      <c r="K152" s="325">
        <v>1.1272480478510261E-3</v>
      </c>
      <c r="L152" s="324">
        <v>0.2130126536579611</v>
      </c>
      <c r="M152" s="324">
        <v>0.24095599276315152</v>
      </c>
      <c r="N152" s="323">
        <v>9.1819680613952368</v>
      </c>
      <c r="O152" s="396">
        <v>3904439946.0825009</v>
      </c>
      <c r="P152" s="316"/>
      <c r="Q152" s="445"/>
      <c r="R152" s="445"/>
      <c r="S152" s="446"/>
    </row>
    <row r="153" spans="1:19" ht="16.5" thickTop="1">
      <c r="A153" s="316"/>
      <c r="B153" s="316"/>
      <c r="C153" s="316"/>
      <c r="D153" s="316"/>
      <c r="E153" s="316"/>
      <c r="F153" s="316"/>
      <c r="G153" s="316"/>
      <c r="H153" s="316"/>
      <c r="I153" s="316"/>
      <c r="J153" s="316"/>
      <c r="K153" s="316"/>
      <c r="L153" s="316"/>
      <c r="M153" s="316"/>
      <c r="N153" s="316"/>
      <c r="O153" s="316"/>
      <c r="P153" s="316"/>
      <c r="Q153" s="439"/>
      <c r="R153" s="439"/>
      <c r="S153" s="439"/>
    </row>
    <row r="155" spans="1:19" ht="15.75">
      <c r="A155" s="317" t="s">
        <v>48</v>
      </c>
      <c r="B155" s="318">
        <v>197465484</v>
      </c>
      <c r="C155" s="318">
        <v>64123.86223865331</v>
      </c>
      <c r="D155" s="318">
        <v>17565.169490836182</v>
      </c>
      <c r="E155" s="319">
        <v>0.27392563206106124</v>
      </c>
      <c r="F155" s="319">
        <v>4.6512633571379941E-2</v>
      </c>
      <c r="G155" s="319">
        <v>9.7579976652055589E-2</v>
      </c>
      <c r="H155" s="319">
        <v>3.8178406628136465E-2</v>
      </c>
      <c r="I155" s="319">
        <v>1.3330708864824894E-2</v>
      </c>
      <c r="J155" s="319">
        <v>1.5558837845460677E-3</v>
      </c>
      <c r="K155" s="319">
        <v>7.6767708541764776E-2</v>
      </c>
      <c r="L155" s="319">
        <v>0.59944404639112947</v>
      </c>
      <c r="M155" s="319">
        <v>2.7101371054115166E-2</v>
      </c>
      <c r="N155" s="319">
        <v>3.9310936376601258</v>
      </c>
      <c r="O155" s="318">
        <v>252076.90686856443</v>
      </c>
      <c r="P155" s="316"/>
      <c r="Q155" s="439"/>
      <c r="R155" s="439"/>
      <c r="S155" s="439"/>
    </row>
    <row r="156" spans="1:19" ht="15.75">
      <c r="A156" s="322" t="s">
        <v>292</v>
      </c>
      <c r="B156" s="321">
        <v>0</v>
      </c>
      <c r="C156" s="321">
        <v>0</v>
      </c>
      <c r="D156" s="321">
        <v>0</v>
      </c>
      <c r="E156" s="321">
        <v>0</v>
      </c>
      <c r="F156" s="321">
        <v>0</v>
      </c>
      <c r="G156" s="321">
        <v>0</v>
      </c>
      <c r="H156" s="321">
        <v>0</v>
      </c>
      <c r="I156" s="321">
        <v>0</v>
      </c>
      <c r="J156" s="321">
        <v>0</v>
      </c>
      <c r="K156" s="321">
        <v>0</v>
      </c>
      <c r="L156" s="321">
        <v>0</v>
      </c>
      <c r="M156" s="321">
        <v>0</v>
      </c>
      <c r="N156" s="321">
        <v>0</v>
      </c>
      <c r="O156" s="321">
        <v>0</v>
      </c>
      <c r="P156" s="316"/>
      <c r="Q156" s="439"/>
      <c r="R156" s="439"/>
      <c r="S156" s="439"/>
    </row>
    <row r="157" spans="1:19" ht="15.75">
      <c r="A157" s="317" t="s">
        <v>28</v>
      </c>
      <c r="B157" s="316"/>
      <c r="C157" s="316"/>
      <c r="D157" s="316"/>
      <c r="E157" s="320">
        <v>0.28674583443052543</v>
      </c>
      <c r="F157" s="320">
        <v>2.3514353125924162E-2</v>
      </c>
      <c r="G157" s="320">
        <v>0.14941569341405508</v>
      </c>
      <c r="H157" s="320">
        <v>8.2829645094515916E-2</v>
      </c>
      <c r="I157" s="320">
        <v>6.8998408145681204E-3</v>
      </c>
      <c r="J157" s="320">
        <v>7.2227999184659606E-3</v>
      </c>
      <c r="K157" s="320">
        <v>1.6863494068495632E-2</v>
      </c>
      <c r="L157" s="316"/>
      <c r="M157" s="316"/>
      <c r="N157" s="316"/>
      <c r="O157" s="316"/>
      <c r="P157" s="316"/>
      <c r="Q157" s="439"/>
      <c r="R157" s="439"/>
      <c r="S157" s="439"/>
    </row>
  </sheetData>
  <mergeCells count="6">
    <mergeCell ref="Q2:T2"/>
    <mergeCell ref="A4:O4"/>
    <mergeCell ref="B7:O7"/>
    <mergeCell ref="C8:D8"/>
    <mergeCell ref="E8:K8"/>
    <mergeCell ref="L8:N8"/>
  </mergeCells>
  <hyperlinks>
    <hyperlink ref="T4" r:id="rId1" xr:uid="{F64F6BFF-01EE-4471-A90A-A22B93560B8E}"/>
    <hyperlink ref="R4" r:id="rId2" xr:uid="{472349C0-E3BC-4C57-B587-47D04DB2EEC2}"/>
    <hyperlink ref="K1" location="Index!A1" display="index" xr:uid="{E07832CD-A7DB-4A7F-88ED-3E4BB1902B0E}"/>
  </hyperlinks>
  <pageMargins left="0.7" right="0.7" top="0.75" bottom="0.75" header="0.3" footer="0.3"/>
  <pageSetup orientation="portrait" horizontalDpi="1200" verticalDpi="1200"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theme="5" tint="0.79998168889431442"/>
  </sheetPr>
  <dimension ref="A1:L36"/>
  <sheetViews>
    <sheetView workbookViewId="0">
      <selection activeCell="O13" sqref="O13"/>
    </sheetView>
  </sheetViews>
  <sheetFormatPr defaultRowHeight="15"/>
  <cols>
    <col min="1" max="1" width="14.28515625" customWidth="1"/>
    <col min="2" max="2" width="11.42578125" customWidth="1"/>
    <col min="4" max="4" width="10.140625" customWidth="1"/>
    <col min="5" max="5" width="12.42578125" customWidth="1"/>
    <col min="6" max="6" width="10.42578125" customWidth="1"/>
    <col min="9" max="9" width="2.140625" customWidth="1"/>
    <col min="12" max="12" width="1.85546875" style="38" customWidth="1"/>
  </cols>
  <sheetData>
    <row r="1" spans="1:12">
      <c r="A1" s="9" t="s">
        <v>1061</v>
      </c>
      <c r="F1" s="641" t="s">
        <v>762</v>
      </c>
    </row>
    <row r="3" spans="1:12">
      <c r="A3" s="66"/>
      <c r="B3" s="38"/>
      <c r="C3" s="38"/>
      <c r="D3" s="67"/>
      <c r="E3" s="68"/>
      <c r="F3" s="69"/>
      <c r="G3" s="69"/>
      <c r="H3" s="69"/>
      <c r="I3" s="70"/>
      <c r="J3" s="68"/>
      <c r="K3" s="69"/>
      <c r="L3" s="69"/>
    </row>
    <row r="4" spans="1:12" ht="15.75">
      <c r="A4" s="817" t="s">
        <v>94</v>
      </c>
      <c r="B4" s="817"/>
      <c r="C4" s="817"/>
      <c r="D4" s="817"/>
      <c r="E4" s="817"/>
      <c r="F4" s="817"/>
      <c r="G4" s="817"/>
      <c r="H4" s="817"/>
      <c r="I4" s="817"/>
      <c r="J4" s="817"/>
      <c r="K4" s="817"/>
      <c r="L4" s="71"/>
    </row>
    <row r="5" spans="1:12">
      <c r="A5" s="72"/>
      <c r="B5" s="5"/>
      <c r="C5" s="5"/>
      <c r="D5" s="73"/>
      <c r="E5" s="73"/>
      <c r="F5" s="74"/>
      <c r="G5" s="74"/>
      <c r="H5" s="74"/>
      <c r="I5" s="72"/>
      <c r="J5" s="73"/>
      <c r="K5" s="74"/>
      <c r="L5" s="75"/>
    </row>
    <row r="6" spans="1:12" ht="15.75">
      <c r="A6" s="76"/>
      <c r="B6" s="77"/>
      <c r="C6" s="77"/>
      <c r="D6" s="818" t="s">
        <v>95</v>
      </c>
      <c r="E6" s="819"/>
      <c r="F6" s="819"/>
      <c r="G6" s="819"/>
      <c r="H6" s="820"/>
      <c r="I6" s="76"/>
      <c r="J6" s="821" t="s">
        <v>96</v>
      </c>
      <c r="K6" s="822"/>
      <c r="L6" s="78"/>
    </row>
    <row r="7" spans="1:12" ht="51.75">
      <c r="A7" s="79" t="s">
        <v>97</v>
      </c>
      <c r="B7" s="79" t="s">
        <v>98</v>
      </c>
      <c r="C7" s="79"/>
      <c r="D7" s="80" t="s">
        <v>99</v>
      </c>
      <c r="E7" s="80" t="s">
        <v>100</v>
      </c>
      <c r="F7" s="80" t="s">
        <v>101</v>
      </c>
      <c r="G7" s="80" t="s">
        <v>102</v>
      </c>
      <c r="H7" s="80" t="s">
        <v>103</v>
      </c>
      <c r="I7" s="79"/>
      <c r="J7" s="80" t="s">
        <v>104</v>
      </c>
      <c r="K7" s="80" t="s">
        <v>105</v>
      </c>
      <c r="L7" s="80"/>
    </row>
    <row r="8" spans="1:12">
      <c r="A8" s="81" t="s">
        <v>106</v>
      </c>
      <c r="B8" s="81" t="s">
        <v>107</v>
      </c>
      <c r="C8" s="81"/>
      <c r="D8" s="82" t="s">
        <v>108</v>
      </c>
      <c r="E8" s="82" t="s">
        <v>109</v>
      </c>
      <c r="F8" s="82" t="s">
        <v>110</v>
      </c>
      <c r="G8" s="82" t="s">
        <v>111</v>
      </c>
      <c r="H8" s="82" t="s">
        <v>112</v>
      </c>
      <c r="I8" s="81"/>
      <c r="J8" s="82" t="s">
        <v>113</v>
      </c>
      <c r="K8" s="82" t="s">
        <v>114</v>
      </c>
      <c r="L8" s="83"/>
    </row>
    <row r="9" spans="1:12">
      <c r="A9" s="84" t="s">
        <v>115</v>
      </c>
      <c r="B9" s="85">
        <v>52110.277673598088</v>
      </c>
      <c r="C9" s="85"/>
      <c r="D9" s="86">
        <v>11.47393935764099</v>
      </c>
      <c r="E9" s="83">
        <v>9.2584822641335833</v>
      </c>
      <c r="F9" s="83">
        <v>2.2713013053160371</v>
      </c>
      <c r="G9" s="87">
        <v>0.36</v>
      </c>
      <c r="H9" s="87">
        <v>23.36372292709061</v>
      </c>
      <c r="I9" s="88"/>
      <c r="J9" s="83">
        <v>100</v>
      </c>
      <c r="K9" s="87">
        <v>100</v>
      </c>
      <c r="L9" s="87"/>
    </row>
    <row r="10" spans="1:12" ht="26.25">
      <c r="A10" s="84" t="s">
        <v>116</v>
      </c>
      <c r="B10" s="85"/>
      <c r="C10" s="85"/>
      <c r="D10" s="86"/>
      <c r="E10" s="83"/>
      <c r="F10" s="83"/>
      <c r="G10" s="87"/>
      <c r="H10" s="87"/>
      <c r="I10" s="88"/>
      <c r="J10" s="83"/>
      <c r="K10" s="83"/>
      <c r="L10" s="83"/>
    </row>
    <row r="11" spans="1:12">
      <c r="A11" s="84"/>
      <c r="B11" s="38"/>
      <c r="C11" s="38"/>
      <c r="D11" s="86"/>
      <c r="E11" s="83"/>
      <c r="F11" s="83"/>
      <c r="G11" s="83"/>
      <c r="H11" s="83"/>
      <c r="I11" s="89"/>
      <c r="J11" s="83"/>
      <c r="K11" s="83"/>
      <c r="L11" s="83"/>
    </row>
    <row r="12" spans="1:12">
      <c r="A12" s="84" t="s">
        <v>25</v>
      </c>
      <c r="B12" s="90">
        <v>15896.888793639195</v>
      </c>
      <c r="C12" s="90"/>
      <c r="D12" s="86">
        <v>-3.1842511338489916</v>
      </c>
      <c r="E12" s="83">
        <v>10.581810170412808</v>
      </c>
      <c r="F12" s="83">
        <v>2.0368718522206395</v>
      </c>
      <c r="G12" s="87">
        <v>0</v>
      </c>
      <c r="H12" s="87">
        <v>9.4344308887844548</v>
      </c>
      <c r="I12" s="88"/>
      <c r="J12" s="83">
        <v>6.1012489295152719</v>
      </c>
      <c r="K12" s="83">
        <v>7.2102025658821312</v>
      </c>
      <c r="L12" s="83"/>
    </row>
    <row r="13" spans="1:12">
      <c r="A13" s="84" t="s">
        <v>26</v>
      </c>
      <c r="B13" s="90">
        <v>29869.898450810473</v>
      </c>
      <c r="C13" s="90"/>
      <c r="D13" s="86">
        <v>3.2206889097775959</v>
      </c>
      <c r="E13" s="83">
        <v>11.194333877317888</v>
      </c>
      <c r="F13" s="83">
        <v>1.6769645828247386</v>
      </c>
      <c r="G13" s="87">
        <v>0</v>
      </c>
      <c r="H13" s="87">
        <v>16.091987369920222</v>
      </c>
      <c r="I13" s="88"/>
      <c r="J13" s="83">
        <v>11.46411026166694</v>
      </c>
      <c r="K13" s="83">
        <v>12.551897683044098</v>
      </c>
      <c r="L13" s="83"/>
    </row>
    <row r="14" spans="1:12">
      <c r="A14" s="84" t="s">
        <v>27</v>
      </c>
      <c r="B14" s="90">
        <v>52137.414796071884</v>
      </c>
      <c r="C14" s="90"/>
      <c r="D14" s="86">
        <v>7.3317086927625894</v>
      </c>
      <c r="E14" s="83">
        <v>11.613426569335942</v>
      </c>
      <c r="F14" s="83">
        <v>1.565684784548135</v>
      </c>
      <c r="G14" s="87">
        <v>0</v>
      </c>
      <c r="H14" s="87">
        <v>20.510820046646668</v>
      </c>
      <c r="I14" s="88"/>
      <c r="J14" s="83">
        <v>20.010415266886035</v>
      </c>
      <c r="K14" s="83">
        <v>20.755333646721564</v>
      </c>
      <c r="L14" s="83"/>
    </row>
    <row r="15" spans="1:12">
      <c r="A15" s="84" t="s">
        <v>33</v>
      </c>
      <c r="B15" s="90">
        <v>83011.82774132982</v>
      </c>
      <c r="C15" s="90"/>
      <c r="D15" s="86">
        <v>9.1977233165836889</v>
      </c>
      <c r="E15" s="83">
        <v>11.885687091355756</v>
      </c>
      <c r="F15" s="83">
        <v>1.5740429581939432</v>
      </c>
      <c r="G15" s="87">
        <v>0</v>
      </c>
      <c r="H15" s="87">
        <v>22.657453366133389</v>
      </c>
      <c r="I15" s="88"/>
      <c r="J15" s="83">
        <v>15.930029822771054</v>
      </c>
      <c r="K15" s="83">
        <v>16.076838822355679</v>
      </c>
      <c r="L15" s="83"/>
    </row>
    <row r="16" spans="1:12">
      <c r="A16" s="91" t="s">
        <v>51</v>
      </c>
      <c r="B16" s="90">
        <v>117709.01669938877</v>
      </c>
      <c r="C16" s="90"/>
      <c r="D16" s="86">
        <v>11.620526121410423</v>
      </c>
      <c r="E16" s="83">
        <v>11.503540959114346</v>
      </c>
      <c r="F16" s="83">
        <v>1.7530189164247827</v>
      </c>
      <c r="G16" s="87">
        <v>0</v>
      </c>
      <c r="H16" s="87">
        <v>24.87708599694955</v>
      </c>
      <c r="I16" s="88"/>
      <c r="J16" s="83">
        <v>11.294222747831046</v>
      </c>
      <c r="K16" s="83">
        <v>11.071191824850965</v>
      </c>
      <c r="L16" s="83"/>
    </row>
    <row r="17" spans="1:12">
      <c r="A17" s="91" t="s">
        <v>52</v>
      </c>
      <c r="B17" s="90">
        <v>199033.29246055734</v>
      </c>
      <c r="C17" s="90"/>
      <c r="D17" s="86">
        <v>16.437288855028122</v>
      </c>
      <c r="E17" s="83">
        <v>8.1463396378291844</v>
      </c>
      <c r="F17" s="83">
        <v>2.5074674686532119</v>
      </c>
      <c r="G17" s="87">
        <v>0.12736565527966298</v>
      </c>
      <c r="H17" s="87">
        <v>27.218461616790183</v>
      </c>
      <c r="I17" s="88"/>
      <c r="J17" s="83">
        <v>15.277853148834666</v>
      </c>
      <c r="K17" s="83">
        <v>14.509390302285722</v>
      </c>
      <c r="L17" s="83"/>
    </row>
    <row r="18" spans="1:12">
      <c r="A18" s="91" t="s">
        <v>62</v>
      </c>
      <c r="B18" s="90">
        <v>428689.64441202208</v>
      </c>
      <c r="C18" s="90"/>
      <c r="D18" s="86">
        <v>21.432991181381169</v>
      </c>
      <c r="E18" s="83">
        <v>4.5954910357956962</v>
      </c>
      <c r="F18" s="83">
        <v>3.6615524150807954</v>
      </c>
      <c r="G18" s="87">
        <v>1.567234562260603</v>
      </c>
      <c r="H18" s="87">
        <v>31.257269194518262</v>
      </c>
      <c r="I18" s="88"/>
      <c r="J18" s="83">
        <v>4.1132926511848131</v>
      </c>
      <c r="K18" s="83">
        <v>3.6896229859333558</v>
      </c>
      <c r="L18" s="83"/>
    </row>
    <row r="19" spans="1:12">
      <c r="A19" s="91" t="s">
        <v>63</v>
      </c>
      <c r="B19" s="90">
        <v>863607.27626387158</v>
      </c>
      <c r="C19" s="90"/>
      <c r="D19" s="86">
        <v>23.774776309325112</v>
      </c>
      <c r="E19" s="83">
        <v>2.9659807792130817</v>
      </c>
      <c r="F19" s="83">
        <v>4.284119574855648</v>
      </c>
      <c r="G19" s="87">
        <v>1.9430787846883675</v>
      </c>
      <c r="H19" s="87">
        <v>32.967955448082208</v>
      </c>
      <c r="I19" s="88"/>
      <c r="J19" s="83">
        <v>6.6290744537822501</v>
      </c>
      <c r="K19" s="83">
        <v>5.798303768085721</v>
      </c>
      <c r="L19" s="83"/>
    </row>
    <row r="20" spans="1:12">
      <c r="A20" s="91" t="s">
        <v>64</v>
      </c>
      <c r="B20" s="90">
        <v>3158719.5668240455</v>
      </c>
      <c r="C20" s="90"/>
      <c r="D20" s="86">
        <v>25.087504211068815</v>
      </c>
      <c r="E20" s="83">
        <v>1.6260419396063119</v>
      </c>
      <c r="F20" s="83">
        <v>4.9424312164359137</v>
      </c>
      <c r="G20" s="87">
        <v>2.4102375177190463</v>
      </c>
      <c r="H20" s="87">
        <v>34.066214884830089</v>
      </c>
      <c r="I20" s="88"/>
      <c r="J20" s="83">
        <v>5.4554451387657501</v>
      </c>
      <c r="K20" s="83">
        <v>4.6935754348397367</v>
      </c>
      <c r="L20" s="83"/>
    </row>
    <row r="21" spans="1:12">
      <c r="A21" s="92" t="s">
        <v>61</v>
      </c>
      <c r="B21" s="90">
        <v>18113612.063771281</v>
      </c>
      <c r="C21" s="90"/>
      <c r="D21" s="86">
        <v>26.215814381577925</v>
      </c>
      <c r="E21" s="83">
        <v>1.3537368537495724</v>
      </c>
      <c r="F21" s="83">
        <v>4.6322923483650316</v>
      </c>
      <c r="G21" s="87">
        <v>2.52993143969627</v>
      </c>
      <c r="H21" s="87">
        <v>34.731775023388799</v>
      </c>
      <c r="I21" s="88"/>
      <c r="J21" s="83">
        <v>3.4760152646334155</v>
      </c>
      <c r="K21" s="83">
        <v>2.9603910181908786</v>
      </c>
      <c r="L21" s="83"/>
    </row>
    <row r="22" spans="1:12">
      <c r="A22" s="93"/>
      <c r="B22" s="5"/>
      <c r="C22" s="5"/>
      <c r="D22" s="74"/>
      <c r="E22" s="94"/>
      <c r="F22" s="94"/>
      <c r="G22" s="94"/>
      <c r="H22" s="94"/>
      <c r="I22" s="95"/>
      <c r="J22" s="94"/>
      <c r="K22" s="94"/>
      <c r="L22" s="96"/>
    </row>
    <row r="23" spans="1:12">
      <c r="A23" s="97"/>
      <c r="B23" s="38"/>
      <c r="C23" s="38"/>
      <c r="D23" s="98"/>
      <c r="E23" s="44"/>
      <c r="F23" s="99"/>
      <c r="G23" s="99"/>
      <c r="H23" s="99"/>
      <c r="I23" s="38"/>
      <c r="J23" s="44"/>
      <c r="K23" s="99"/>
      <c r="L23" s="99"/>
    </row>
    <row r="24" spans="1:12">
      <c r="A24" s="97" t="s">
        <v>117</v>
      </c>
      <c r="B24" s="38"/>
      <c r="C24" s="38"/>
      <c r="D24" s="98"/>
      <c r="E24" s="44"/>
      <c r="F24" s="99"/>
      <c r="G24" s="99"/>
      <c r="H24" s="99"/>
      <c r="I24" s="38"/>
      <c r="J24" s="44"/>
      <c r="K24" s="99"/>
      <c r="L24" s="99"/>
    </row>
    <row r="25" spans="1:12">
      <c r="A25" s="97" t="s">
        <v>118</v>
      </c>
      <c r="B25" s="38"/>
      <c r="C25" s="38"/>
      <c r="D25" s="98"/>
      <c r="E25" s="44"/>
      <c r="F25" s="99"/>
      <c r="G25" s="99"/>
      <c r="H25" s="99"/>
      <c r="I25" s="38"/>
      <c r="J25" s="44"/>
      <c r="K25" s="99"/>
      <c r="L25" s="99"/>
    </row>
    <row r="26" spans="1:12">
      <c r="A26" s="97" t="s">
        <v>119</v>
      </c>
      <c r="B26" s="38"/>
      <c r="C26" s="38"/>
      <c r="D26" s="98"/>
      <c r="E26" s="44"/>
      <c r="F26" s="99"/>
      <c r="G26" s="99"/>
      <c r="H26" s="99"/>
      <c r="I26" s="38"/>
      <c r="J26" s="44"/>
      <c r="K26" s="99"/>
      <c r="L26" s="99"/>
    </row>
    <row r="27" spans="1:12">
      <c r="A27" s="97" t="s">
        <v>120</v>
      </c>
      <c r="B27" s="38"/>
      <c r="C27" s="38"/>
      <c r="D27" s="98"/>
      <c r="E27" s="44"/>
      <c r="F27" s="99"/>
      <c r="G27" s="99"/>
      <c r="H27" s="99"/>
      <c r="I27" s="38"/>
      <c r="J27" s="44"/>
      <c r="K27" s="99"/>
      <c r="L27" s="99"/>
    </row>
    <row r="28" spans="1:12">
      <c r="A28" s="97" t="s">
        <v>121</v>
      </c>
      <c r="B28" s="38"/>
      <c r="C28" s="38"/>
      <c r="D28" s="98"/>
      <c r="E28" s="44"/>
      <c r="F28" s="99"/>
      <c r="G28" s="99"/>
      <c r="H28" s="99"/>
      <c r="I28" s="38"/>
      <c r="J28" s="44"/>
      <c r="K28" s="99"/>
      <c r="L28" s="99"/>
    </row>
    <row r="29" spans="1:12">
      <c r="A29" s="97" t="s">
        <v>122</v>
      </c>
      <c r="B29" s="38"/>
      <c r="C29" s="38"/>
      <c r="D29" s="98"/>
      <c r="E29" s="44"/>
      <c r="F29" s="99"/>
      <c r="G29" s="99"/>
      <c r="H29" s="99"/>
      <c r="I29" s="38"/>
      <c r="J29" s="44"/>
      <c r="K29" s="99"/>
      <c r="L29" s="99"/>
    </row>
    <row r="30" spans="1:12">
      <c r="A30" s="97" t="s">
        <v>123</v>
      </c>
      <c r="B30" s="38"/>
      <c r="C30" s="38"/>
      <c r="D30" s="98"/>
      <c r="E30" s="44"/>
      <c r="F30" s="99"/>
      <c r="G30" s="99"/>
      <c r="H30" s="99"/>
      <c r="I30" s="38"/>
      <c r="J30" s="44"/>
      <c r="K30" s="99"/>
      <c r="L30" s="99"/>
    </row>
    <row r="31" spans="1:12">
      <c r="A31" s="97" t="s">
        <v>124</v>
      </c>
      <c r="B31" s="38"/>
      <c r="C31" s="38"/>
      <c r="D31" s="98"/>
      <c r="E31" s="44"/>
      <c r="F31" s="99"/>
      <c r="G31" s="99"/>
      <c r="H31" s="99"/>
      <c r="I31" s="38"/>
      <c r="J31" s="44"/>
      <c r="K31" s="99"/>
      <c r="L31" s="99"/>
    </row>
    <row r="32" spans="1:12">
      <c r="A32" s="97"/>
      <c r="B32" s="38"/>
      <c r="C32" s="38"/>
      <c r="D32" s="98"/>
      <c r="E32" s="44"/>
      <c r="F32" s="99"/>
      <c r="G32" s="99"/>
      <c r="H32" s="99"/>
      <c r="I32" s="38"/>
      <c r="J32" s="44"/>
      <c r="K32" s="99"/>
      <c r="L32" s="99"/>
    </row>
    <row r="33" spans="1:12">
      <c r="A33" s="97"/>
      <c r="B33" s="38"/>
      <c r="C33" s="38"/>
      <c r="D33" s="98"/>
      <c r="E33" s="44"/>
      <c r="F33" s="99"/>
      <c r="G33" s="99"/>
      <c r="H33" s="99"/>
      <c r="I33" s="38"/>
      <c r="J33" s="44"/>
      <c r="K33" s="99"/>
      <c r="L33" s="99"/>
    </row>
    <row r="34" spans="1:12">
      <c r="A34" s="97"/>
      <c r="B34" s="38"/>
      <c r="C34" s="38"/>
      <c r="D34" s="98"/>
      <c r="E34" s="44"/>
      <c r="F34" s="99"/>
      <c r="G34" s="99"/>
      <c r="H34" s="99"/>
      <c r="I34" s="38"/>
      <c r="J34" s="44"/>
      <c r="K34" s="99"/>
      <c r="L34" s="99"/>
    </row>
    <row r="35" spans="1:12">
      <c r="A35" s="97"/>
      <c r="B35" s="38"/>
      <c r="C35" s="38"/>
      <c r="D35" s="98"/>
      <c r="E35" s="100"/>
      <c r="F35" s="99"/>
      <c r="G35" s="99"/>
      <c r="H35" s="99"/>
      <c r="I35" s="101"/>
      <c r="J35" s="100"/>
      <c r="K35" s="99"/>
      <c r="L35" s="99"/>
    </row>
    <row r="36" spans="1:12">
      <c r="A36" s="97"/>
      <c r="B36" s="38"/>
      <c r="C36" s="38"/>
      <c r="D36" s="98"/>
      <c r="E36" s="44"/>
      <c r="F36" s="99"/>
      <c r="G36" s="99"/>
      <c r="H36" s="99"/>
      <c r="I36" s="38"/>
      <c r="J36" s="44"/>
      <c r="K36" s="99"/>
      <c r="L36" s="99"/>
    </row>
  </sheetData>
  <mergeCells count="3">
    <mergeCell ref="A4:K4"/>
    <mergeCell ref="D6:H6"/>
    <mergeCell ref="J6:K6"/>
  </mergeCells>
  <hyperlinks>
    <hyperlink ref="F1" location="Index!A1" display="index" xr:uid="{AA068485-B745-47B5-B302-1A06ABCF10A2}"/>
  </hyperlink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theme="5" tint="0.79998168889431442"/>
  </sheetPr>
  <dimension ref="A1:CF69"/>
  <sheetViews>
    <sheetView workbookViewId="0">
      <selection activeCell="H1" sqref="H1"/>
    </sheetView>
  </sheetViews>
  <sheetFormatPr defaultColWidth="9.140625" defaultRowHeight="15"/>
  <cols>
    <col min="1" max="1" width="11.7109375" style="12" customWidth="1"/>
    <col min="2" max="3" width="9.42578125" style="12" customWidth="1"/>
    <col min="4" max="6" width="7.85546875" style="12" customWidth="1"/>
    <col min="7" max="7" width="8.140625" style="12" customWidth="1"/>
    <col min="8" max="8" width="9.28515625" style="12" customWidth="1"/>
    <col min="9" max="9" width="8.28515625" style="12" customWidth="1"/>
    <col min="10" max="10" width="3" style="12" customWidth="1"/>
    <col min="11" max="12" width="8.7109375" style="12" customWidth="1"/>
    <col min="13" max="13" width="7.140625" style="12" customWidth="1"/>
    <col min="14" max="14" width="6.85546875" style="12" customWidth="1"/>
    <col min="15" max="15" width="7.140625" style="12" customWidth="1"/>
    <col min="16" max="16" width="8" style="12" customWidth="1"/>
    <col min="17" max="17" width="9.140625" style="12" customWidth="1"/>
    <col min="18" max="18" width="9.28515625" style="12" customWidth="1"/>
    <col min="19" max="19" width="3.140625" style="12" customWidth="1"/>
    <col min="20" max="20" width="8.5703125" style="12" customWidth="1"/>
    <col min="21" max="23" width="8.140625" style="12" customWidth="1"/>
    <col min="24" max="24" width="7.140625" style="12" customWidth="1"/>
    <col min="25" max="25" width="7.85546875" style="12" customWidth="1"/>
    <col min="26" max="26" width="8.85546875" style="12" customWidth="1"/>
    <col min="27" max="27" width="8.42578125" style="12" customWidth="1"/>
    <col min="28" max="28" width="2.28515625" style="12" customWidth="1"/>
    <col min="29" max="29" width="7.5703125" style="12" customWidth="1"/>
    <col min="30" max="30" width="8.42578125" style="12" customWidth="1"/>
    <col min="31" max="33" width="7.5703125" style="12" customWidth="1"/>
    <col min="34" max="34" width="8.140625" style="12" customWidth="1"/>
    <col min="35" max="35" width="8.7109375" style="12" customWidth="1"/>
    <col min="36" max="36" width="10" style="12" bestFit="1" customWidth="1"/>
    <col min="37" max="37" width="2.5703125" style="12" customWidth="1"/>
    <col min="38" max="42" width="7.42578125" style="12" customWidth="1"/>
    <col min="43" max="43" width="8" style="12" customWidth="1"/>
    <col min="44" max="44" width="9.42578125" style="12" customWidth="1"/>
    <col min="45" max="45" width="9.140625" style="12"/>
    <col min="46" max="46" width="1.85546875" style="12" customWidth="1"/>
    <col min="47" max="48" width="7.85546875" style="12" customWidth="1"/>
    <col min="49" max="49" width="7.42578125" style="12" customWidth="1"/>
    <col min="50" max="51" width="6.7109375" style="12" customWidth="1"/>
    <col min="52" max="52" width="7.42578125" style="12" customWidth="1"/>
    <col min="53" max="53" width="7.85546875" style="12" customWidth="1"/>
    <col min="54" max="54" width="9.140625" style="12"/>
    <col min="55" max="55" width="1.85546875" style="12" customWidth="1"/>
    <col min="56" max="58" width="7.42578125" style="12" customWidth="1"/>
    <col min="59" max="60" width="7.5703125" style="12" customWidth="1"/>
    <col min="61" max="61" width="8.5703125" style="12" customWidth="1"/>
    <col min="62" max="62" width="8.85546875" style="12" customWidth="1"/>
    <col min="63" max="63" width="9.140625" style="12"/>
    <col min="64" max="64" width="3" style="12" customWidth="1"/>
    <col min="65" max="66" width="7.28515625" style="12" customWidth="1"/>
    <col min="67" max="67" width="7.7109375" style="12" customWidth="1"/>
    <col min="68" max="69" width="7.140625" style="12" customWidth="1"/>
    <col min="70" max="70" width="8.140625" style="12" customWidth="1"/>
    <col min="71" max="71" width="9.140625" style="12" customWidth="1"/>
    <col min="72" max="72" width="7.85546875" style="12" customWidth="1"/>
    <col min="73" max="73" width="1.85546875" style="12" customWidth="1"/>
    <col min="74" max="75" width="7.5703125" style="12" customWidth="1"/>
    <col min="76" max="76" width="7.85546875" style="12" customWidth="1"/>
    <col min="77" max="78" width="7.28515625" style="12" customWidth="1"/>
    <col min="79" max="79" width="8.28515625" style="12" customWidth="1"/>
    <col min="80" max="80" width="9.5703125" style="12" customWidth="1"/>
    <col min="81" max="16384" width="9.140625" style="12"/>
  </cols>
  <sheetData>
    <row r="1" spans="1:81">
      <c r="A1" s="33" t="s">
        <v>1062</v>
      </c>
      <c r="H1" s="641" t="s">
        <v>762</v>
      </c>
    </row>
    <row r="2" spans="1:81">
      <c r="A2" s="8" t="s">
        <v>152</v>
      </c>
    </row>
    <row r="3" spans="1:81">
      <c r="A3" s="18" t="s">
        <v>93</v>
      </c>
      <c r="B3" s="18"/>
      <c r="C3" s="18"/>
      <c r="D3" s="18"/>
      <c r="E3" s="18"/>
      <c r="F3" s="18"/>
      <c r="G3" s="18"/>
      <c r="H3" s="18"/>
      <c r="I3" s="18"/>
      <c r="J3" s="18"/>
      <c r="K3" s="18"/>
      <c r="L3" s="18"/>
      <c r="M3" s="18"/>
      <c r="N3" s="18"/>
      <c r="O3" s="18"/>
      <c r="P3" s="18"/>
      <c r="Q3" s="18"/>
      <c r="R3" s="18"/>
      <c r="S3" s="18"/>
      <c r="BM3" s="36"/>
      <c r="BN3" s="36"/>
      <c r="BO3" s="36"/>
      <c r="BP3" s="36"/>
      <c r="BQ3" s="36"/>
      <c r="BR3" s="36"/>
      <c r="BS3" s="36"/>
      <c r="BT3" s="36"/>
      <c r="BV3" s="36"/>
      <c r="BW3" s="36"/>
      <c r="BX3" s="36"/>
      <c r="BY3" s="36"/>
      <c r="BZ3" s="36"/>
      <c r="CA3" s="36"/>
      <c r="CB3" s="36"/>
      <c r="CC3" s="36"/>
    </row>
    <row r="4" spans="1:81" ht="15.75">
      <c r="A4" s="19"/>
      <c r="B4" s="19"/>
      <c r="C4" s="19"/>
      <c r="D4" s="19"/>
      <c r="E4" s="19"/>
      <c r="F4" s="19"/>
      <c r="G4" s="19"/>
      <c r="H4" s="19"/>
      <c r="I4" s="19"/>
      <c r="J4" s="19"/>
      <c r="K4" s="19"/>
      <c r="L4" s="19"/>
      <c r="M4" s="19"/>
      <c r="N4" s="19"/>
      <c r="O4" s="19"/>
      <c r="P4" s="19"/>
      <c r="Q4" s="19"/>
      <c r="R4" s="19"/>
      <c r="S4" s="19"/>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row>
    <row r="5" spans="1:81">
      <c r="B5" s="823" t="s">
        <v>53</v>
      </c>
      <c r="C5" s="823"/>
      <c r="D5" s="823"/>
      <c r="E5" s="823"/>
      <c r="F5" s="823"/>
      <c r="G5" s="823"/>
      <c r="H5" s="823"/>
      <c r="I5" s="823"/>
      <c r="K5" s="823" t="s">
        <v>54</v>
      </c>
      <c r="L5" s="823"/>
      <c r="M5" s="823"/>
      <c r="N5" s="823"/>
      <c r="O5" s="823"/>
      <c r="P5" s="823"/>
      <c r="Q5" s="823"/>
      <c r="R5" s="823"/>
      <c r="T5" s="823" t="s">
        <v>55</v>
      </c>
      <c r="U5" s="823"/>
      <c r="V5" s="823"/>
      <c r="W5" s="823"/>
      <c r="X5" s="823"/>
      <c r="Y5" s="823"/>
      <c r="Z5" s="823"/>
      <c r="AA5" s="823"/>
      <c r="AC5" s="823" t="s">
        <v>56</v>
      </c>
      <c r="AD5" s="823"/>
      <c r="AE5" s="823"/>
      <c r="AF5" s="823"/>
      <c r="AG5" s="823"/>
      <c r="AH5" s="823"/>
      <c r="AI5" s="823"/>
      <c r="AJ5" s="823"/>
      <c r="AK5" s="15"/>
      <c r="AL5" s="824" t="s">
        <v>57</v>
      </c>
      <c r="AM5" s="824"/>
      <c r="AN5" s="824"/>
      <c r="AO5" s="824"/>
      <c r="AP5" s="824"/>
      <c r="AQ5" s="824"/>
      <c r="AR5" s="824"/>
      <c r="AS5" s="824"/>
      <c r="AT5" s="15"/>
      <c r="AU5" s="823" t="s">
        <v>58</v>
      </c>
      <c r="AV5" s="823"/>
      <c r="AW5" s="823"/>
      <c r="AX5" s="823"/>
      <c r="AY5" s="823"/>
      <c r="AZ5" s="823"/>
      <c r="BA5" s="823"/>
      <c r="BB5" s="823"/>
      <c r="BC5" s="15"/>
      <c r="BD5" s="824" t="s">
        <v>17</v>
      </c>
      <c r="BE5" s="824"/>
      <c r="BF5" s="824"/>
      <c r="BG5" s="824"/>
      <c r="BH5" s="824"/>
      <c r="BI5" s="824"/>
      <c r="BJ5" s="824"/>
      <c r="BK5" s="824"/>
      <c r="BL5" s="15"/>
      <c r="BM5" s="824" t="s">
        <v>59</v>
      </c>
      <c r="BN5" s="824"/>
      <c r="BO5" s="824"/>
      <c r="BP5" s="824"/>
      <c r="BQ5" s="824"/>
      <c r="BR5" s="824"/>
      <c r="BS5" s="824"/>
      <c r="BT5" s="824"/>
      <c r="BU5" s="15"/>
      <c r="BV5" s="823" t="s">
        <v>60</v>
      </c>
      <c r="BW5" s="823"/>
      <c r="BX5" s="823"/>
      <c r="BY5" s="823"/>
      <c r="BZ5" s="823"/>
      <c r="CA5" s="823"/>
      <c r="CB5" s="823"/>
      <c r="CC5" s="823"/>
    </row>
    <row r="6" spans="1:81">
      <c r="A6" s="21"/>
      <c r="B6" s="22" t="s">
        <v>67</v>
      </c>
      <c r="C6" s="22" t="s">
        <v>68</v>
      </c>
      <c r="D6" s="22" t="s">
        <v>51</v>
      </c>
      <c r="E6" s="22" t="s">
        <v>52</v>
      </c>
      <c r="F6" s="22" t="s">
        <v>62</v>
      </c>
      <c r="G6" s="22" t="s">
        <v>63</v>
      </c>
      <c r="H6" s="22" t="s">
        <v>64</v>
      </c>
      <c r="I6" s="22" t="s">
        <v>61</v>
      </c>
      <c r="J6" s="21"/>
      <c r="K6" s="22" t="s">
        <v>67</v>
      </c>
      <c r="L6" s="22" t="s">
        <v>68</v>
      </c>
      <c r="M6" s="22" t="s">
        <v>51</v>
      </c>
      <c r="N6" s="22" t="s">
        <v>52</v>
      </c>
      <c r="O6" s="22" t="s">
        <v>62</v>
      </c>
      <c r="P6" s="22" t="s">
        <v>63</v>
      </c>
      <c r="Q6" s="22" t="s">
        <v>64</v>
      </c>
      <c r="R6" s="22" t="s">
        <v>61</v>
      </c>
      <c r="S6" s="21"/>
      <c r="T6" s="22" t="s">
        <v>67</v>
      </c>
      <c r="U6" s="22" t="s">
        <v>68</v>
      </c>
      <c r="V6" s="22" t="s">
        <v>51</v>
      </c>
      <c r="W6" s="22" t="s">
        <v>52</v>
      </c>
      <c r="X6" s="22" t="s">
        <v>62</v>
      </c>
      <c r="Y6" s="22" t="s">
        <v>63</v>
      </c>
      <c r="Z6" s="22" t="s">
        <v>64</v>
      </c>
      <c r="AA6" s="22" t="s">
        <v>61</v>
      </c>
      <c r="AB6" s="20"/>
      <c r="AC6" s="22" t="s">
        <v>67</v>
      </c>
      <c r="AD6" s="22" t="s">
        <v>68</v>
      </c>
      <c r="AE6" s="22" t="s">
        <v>51</v>
      </c>
      <c r="AF6" s="22" t="s">
        <v>52</v>
      </c>
      <c r="AG6" s="22" t="s">
        <v>62</v>
      </c>
      <c r="AH6" s="22" t="s">
        <v>63</v>
      </c>
      <c r="AI6" s="22" t="s">
        <v>64</v>
      </c>
      <c r="AJ6" s="22" t="s">
        <v>61</v>
      </c>
      <c r="AK6" s="22"/>
      <c r="AL6" s="22" t="s">
        <v>67</v>
      </c>
      <c r="AM6" s="22" t="s">
        <v>68</v>
      </c>
      <c r="AN6" s="22" t="s">
        <v>51</v>
      </c>
      <c r="AO6" s="22" t="s">
        <v>52</v>
      </c>
      <c r="AP6" s="22" t="s">
        <v>62</v>
      </c>
      <c r="AQ6" s="22" t="s">
        <v>63</v>
      </c>
      <c r="AR6" s="22" t="s">
        <v>64</v>
      </c>
      <c r="AS6" s="22" t="s">
        <v>61</v>
      </c>
      <c r="AT6" s="22"/>
      <c r="AU6" s="22" t="s">
        <v>67</v>
      </c>
      <c r="AV6" s="22" t="s">
        <v>68</v>
      </c>
      <c r="AW6" s="22" t="s">
        <v>51</v>
      </c>
      <c r="AX6" s="22" t="s">
        <v>52</v>
      </c>
      <c r="AY6" s="22" t="s">
        <v>62</v>
      </c>
      <c r="AZ6" s="22" t="s">
        <v>63</v>
      </c>
      <c r="BA6" s="22" t="s">
        <v>64</v>
      </c>
      <c r="BB6" s="22" t="s">
        <v>61</v>
      </c>
      <c r="BC6" s="22"/>
      <c r="BD6" s="22" t="s">
        <v>67</v>
      </c>
      <c r="BE6" s="22" t="s">
        <v>68</v>
      </c>
      <c r="BF6" s="22" t="s">
        <v>51</v>
      </c>
      <c r="BG6" s="22" t="s">
        <v>52</v>
      </c>
      <c r="BH6" s="22" t="s">
        <v>62</v>
      </c>
      <c r="BI6" s="22" t="s">
        <v>63</v>
      </c>
      <c r="BJ6" s="22" t="s">
        <v>64</v>
      </c>
      <c r="BK6" s="22" t="s">
        <v>61</v>
      </c>
      <c r="BL6" s="22"/>
      <c r="BM6" s="22" t="s">
        <v>67</v>
      </c>
      <c r="BN6" s="22" t="s">
        <v>68</v>
      </c>
      <c r="BO6" s="22" t="s">
        <v>51</v>
      </c>
      <c r="BP6" s="22" t="s">
        <v>52</v>
      </c>
      <c r="BQ6" s="22" t="s">
        <v>62</v>
      </c>
      <c r="BR6" s="22" t="s">
        <v>63</v>
      </c>
      <c r="BS6" s="22" t="s">
        <v>64</v>
      </c>
      <c r="BT6" s="22" t="s">
        <v>61</v>
      </c>
      <c r="BU6" s="22"/>
      <c r="BV6" s="22" t="s">
        <v>67</v>
      </c>
      <c r="BW6" s="22" t="s">
        <v>68</v>
      </c>
      <c r="BX6" s="22" t="s">
        <v>51</v>
      </c>
      <c r="BY6" s="22" t="s">
        <v>52</v>
      </c>
      <c r="BZ6" s="22" t="s">
        <v>62</v>
      </c>
      <c r="CA6" s="22" t="s">
        <v>63</v>
      </c>
      <c r="CB6" s="22" t="s">
        <v>64</v>
      </c>
      <c r="CC6" s="22" t="s">
        <v>61</v>
      </c>
    </row>
    <row r="7" spans="1:81" s="26" customFormat="1" ht="12">
      <c r="A7" s="23">
        <v>1960</v>
      </c>
      <c r="B7" s="24"/>
      <c r="C7" s="24"/>
      <c r="D7" s="24">
        <f t="shared" ref="D7:I7" si="0">V7+AE7+AN7+AW7+BF7+BX7+BO7</f>
        <v>28.050580606699462</v>
      </c>
      <c r="E7" s="24">
        <f t="shared" si="0"/>
        <v>32.326875658773133</v>
      </c>
      <c r="F7" s="24">
        <f t="shared" si="0"/>
        <v>36.331432228887316</v>
      </c>
      <c r="G7" s="24">
        <f t="shared" si="0"/>
        <v>39.640644997954745</v>
      </c>
      <c r="H7" s="24">
        <f t="shared" si="0"/>
        <v>46.600936917809108</v>
      </c>
      <c r="I7" s="24">
        <f t="shared" si="0"/>
        <v>50.325224513703503</v>
      </c>
      <c r="J7" s="24"/>
      <c r="K7" s="24"/>
      <c r="L7" s="24"/>
      <c r="M7" s="24">
        <f t="shared" ref="M7:R7" si="1">V7+AE7+AN7+AW7+BX7+BO7</f>
        <v>25.539165031311608</v>
      </c>
      <c r="N7" s="24">
        <f t="shared" si="1"/>
        <v>30.864444231023683</v>
      </c>
      <c r="O7" s="24">
        <f t="shared" si="1"/>
        <v>35.803302428598151</v>
      </c>
      <c r="P7" s="24">
        <f t="shared" si="1"/>
        <v>39.357482889142467</v>
      </c>
      <c r="Q7" s="24">
        <f t="shared" si="1"/>
        <v>46.492315225702455</v>
      </c>
      <c r="R7" s="24">
        <f t="shared" si="1"/>
        <v>50.303142951333648</v>
      </c>
      <c r="S7" s="24"/>
      <c r="T7" s="24"/>
      <c r="U7" s="24"/>
      <c r="V7" s="24">
        <v>10.517726697756389</v>
      </c>
      <c r="W7" s="24">
        <v>12.004482960166284</v>
      </c>
      <c r="X7" s="24">
        <v>14.31356409637864</v>
      </c>
      <c r="Y7" s="24">
        <v>16.123648823373099</v>
      </c>
      <c r="Z7" s="24">
        <v>18.040983908570293</v>
      </c>
      <c r="AA7" s="24">
        <v>17.217164140132056</v>
      </c>
      <c r="AB7" s="25"/>
      <c r="AC7" s="24"/>
      <c r="AD7" s="24"/>
      <c r="AE7" s="24">
        <v>0.49295189470137285</v>
      </c>
      <c r="AF7" s="24">
        <v>0.69802679723578409</v>
      </c>
      <c r="AG7" s="24">
        <v>1.0911666102559197</v>
      </c>
      <c r="AH7" s="24">
        <v>1.2227425070889273</v>
      </c>
      <c r="AI7" s="24">
        <v>1.2860683973270166</v>
      </c>
      <c r="AJ7" s="24">
        <v>1.3575899410118268</v>
      </c>
      <c r="AK7" s="25"/>
      <c r="AL7" s="24"/>
      <c r="AM7" s="24"/>
      <c r="AN7" s="24">
        <v>4.1509991843422345</v>
      </c>
      <c r="AO7" s="24">
        <v>6.8723725152671449</v>
      </c>
      <c r="AP7" s="24">
        <v>9.4277185493128801</v>
      </c>
      <c r="AQ7" s="24">
        <v>11.949058557465886</v>
      </c>
      <c r="AR7" s="24">
        <v>17.132307660981173</v>
      </c>
      <c r="AS7" s="24">
        <v>20.919367494553413</v>
      </c>
      <c r="AT7" s="25"/>
      <c r="AU7" s="24"/>
      <c r="AV7" s="24"/>
      <c r="AW7" s="24">
        <v>3.8368813265952157</v>
      </c>
      <c r="AX7" s="24">
        <v>5.7886391457355666</v>
      </c>
      <c r="AY7" s="24">
        <v>6.8208691210022456</v>
      </c>
      <c r="AZ7" s="24">
        <v>6.8636404008484542</v>
      </c>
      <c r="BA7" s="24">
        <v>7.6264230960021271</v>
      </c>
      <c r="BB7" s="24">
        <v>8.4198132916754247</v>
      </c>
      <c r="BD7" s="24"/>
      <c r="BE7" s="24"/>
      <c r="BF7" s="24">
        <v>2.5114155753878529</v>
      </c>
      <c r="BG7" s="24">
        <v>1.4624314277494486</v>
      </c>
      <c r="BH7" s="24">
        <v>0.52812980028916412</v>
      </c>
      <c r="BI7" s="24">
        <v>0.28316210881227794</v>
      </c>
      <c r="BJ7" s="24">
        <v>0.10862169210665279</v>
      </c>
      <c r="BK7" s="24">
        <v>2.2081562369855735E-2</v>
      </c>
      <c r="BL7" s="24"/>
      <c r="BM7" s="24"/>
      <c r="BN7" s="24"/>
      <c r="BO7" s="24">
        <v>0.4933044205436673</v>
      </c>
      <c r="BP7" s="24">
        <v>0.81956701965351231</v>
      </c>
      <c r="BQ7" s="24">
        <v>1.1849747203094743</v>
      </c>
      <c r="BR7" s="24">
        <v>1.1826229137757656</v>
      </c>
      <c r="BS7" s="24">
        <v>1.2489154212408444</v>
      </c>
      <c r="BT7" s="24">
        <v>1.8360135920502956</v>
      </c>
      <c r="BV7" s="24"/>
      <c r="BW7" s="24"/>
      <c r="BX7" s="24">
        <v>6.0473015073727305</v>
      </c>
      <c r="BY7" s="24">
        <v>4.6813557929653911</v>
      </c>
      <c r="BZ7" s="24">
        <v>2.9650093313389911</v>
      </c>
      <c r="CA7" s="24">
        <v>2.0157696865903292</v>
      </c>
      <c r="CB7" s="24">
        <v>1.1576167415810048</v>
      </c>
      <c r="CC7" s="24">
        <v>0.55319449191063952</v>
      </c>
    </row>
    <row r="8" spans="1:81" s="26" customFormat="1" ht="5.25" customHeight="1">
      <c r="A8" s="23"/>
      <c r="J8" s="24"/>
      <c r="K8" s="23"/>
      <c r="L8" s="23"/>
      <c r="M8" s="23"/>
      <c r="N8" s="23"/>
      <c r="O8" s="23"/>
      <c r="P8" s="23"/>
      <c r="Q8" s="23"/>
      <c r="R8" s="23"/>
      <c r="S8" s="24"/>
      <c r="T8" s="25"/>
      <c r="U8" s="25"/>
      <c r="V8" s="25"/>
      <c r="W8" s="25"/>
      <c r="X8" s="25"/>
      <c r="Y8" s="25"/>
      <c r="Z8" s="25"/>
      <c r="AA8" s="25"/>
      <c r="AB8" s="25"/>
      <c r="AC8" s="24"/>
      <c r="AD8" s="24"/>
      <c r="AE8" s="24"/>
      <c r="AF8" s="24"/>
      <c r="AG8" s="24"/>
      <c r="AH8" s="24"/>
      <c r="AI8" s="24"/>
      <c r="AJ8" s="24"/>
      <c r="AK8" s="25"/>
      <c r="AL8" s="24"/>
      <c r="AM8" s="24"/>
      <c r="AN8" s="24"/>
      <c r="AO8" s="24"/>
      <c r="AP8" s="24"/>
      <c r="AQ8" s="24"/>
      <c r="AR8" s="24"/>
      <c r="AS8" s="24"/>
      <c r="AT8" s="25"/>
      <c r="AU8" s="24"/>
      <c r="AV8" s="24"/>
      <c r="AW8" s="24"/>
      <c r="AX8" s="24"/>
      <c r="AY8" s="24"/>
      <c r="AZ8" s="24"/>
      <c r="BA8" s="24"/>
      <c r="BB8" s="24"/>
      <c r="BD8" s="24"/>
      <c r="BE8" s="24"/>
      <c r="BF8" s="24"/>
      <c r="BG8" s="24"/>
      <c r="BH8" s="24"/>
      <c r="BI8" s="24"/>
      <c r="BJ8" s="24"/>
      <c r="BK8" s="24"/>
      <c r="BL8" s="24"/>
      <c r="BM8" s="24"/>
      <c r="BN8" s="24"/>
      <c r="BO8" s="24"/>
      <c r="BP8" s="24"/>
      <c r="BQ8" s="24"/>
      <c r="BR8" s="24"/>
      <c r="BS8" s="24"/>
      <c r="BT8" s="24"/>
      <c r="BV8" s="24"/>
      <c r="BW8" s="24"/>
      <c r="BX8" s="24"/>
      <c r="BY8" s="24"/>
      <c r="BZ8" s="24"/>
      <c r="CA8" s="24"/>
      <c r="CB8" s="24"/>
      <c r="CC8" s="24"/>
    </row>
    <row r="9" spans="1:81" s="26" customFormat="1" ht="12">
      <c r="A9" s="23">
        <v>1962</v>
      </c>
      <c r="B9" s="24">
        <f t="shared" ref="B9:I9" si="2">T9+AC9+AL9+AU9+BD9+BV9+BM9</f>
        <v>16.967866481116218</v>
      </c>
      <c r="C9" s="24">
        <f t="shared" si="2"/>
        <v>25.671879151763441</v>
      </c>
      <c r="D9" s="24">
        <f t="shared" si="2"/>
        <v>27.999553260563335</v>
      </c>
      <c r="E9" s="24">
        <f t="shared" si="2"/>
        <v>30.646783610303828</v>
      </c>
      <c r="F9" s="24">
        <f t="shared" si="2"/>
        <v>34.3927953745739</v>
      </c>
      <c r="G9" s="24">
        <f t="shared" si="2"/>
        <v>37.637578134908104</v>
      </c>
      <c r="H9" s="24">
        <f t="shared" si="2"/>
        <v>40.944850673909137</v>
      </c>
      <c r="I9" s="24">
        <f t="shared" si="2"/>
        <v>45.114925464342882</v>
      </c>
      <c r="J9" s="24"/>
      <c r="K9" s="24">
        <f t="shared" ref="K9:R9" si="3">T9+AC9+AL9+AU9+BV9+BM9</f>
        <v>12.218054469907296</v>
      </c>
      <c r="L9" s="24">
        <f t="shared" si="3"/>
        <v>21.676031699196617</v>
      </c>
      <c r="M9" s="24">
        <f t="shared" si="3"/>
        <v>25.256088177768181</v>
      </c>
      <c r="N9" s="24">
        <f t="shared" si="3"/>
        <v>28.979296239707594</v>
      </c>
      <c r="O9" s="24">
        <f t="shared" si="3"/>
        <v>33.740175418932964</v>
      </c>
      <c r="P9" s="24">
        <f t="shared" si="3"/>
        <v>37.26651188024114</v>
      </c>
      <c r="Q9" s="24">
        <f t="shared" si="3"/>
        <v>40.817931394545894</v>
      </c>
      <c r="R9" s="24">
        <f t="shared" si="3"/>
        <v>45.091001657126476</v>
      </c>
      <c r="S9" s="24"/>
      <c r="T9" s="24">
        <v>2.2973177687397879</v>
      </c>
      <c r="U9" s="24">
        <v>8.1246108508704893</v>
      </c>
      <c r="V9" s="24">
        <v>10.530492930211466</v>
      </c>
      <c r="W9" s="24">
        <v>12.246096190883545</v>
      </c>
      <c r="X9" s="24">
        <v>14.527393888318841</v>
      </c>
      <c r="Y9" s="24">
        <v>16.183436010831365</v>
      </c>
      <c r="Z9" s="24">
        <v>16.09136473964039</v>
      </c>
      <c r="AA9" s="24">
        <v>16.334947334212156</v>
      </c>
      <c r="AB9" s="25"/>
      <c r="AC9" s="24">
        <v>0.20706991313930756</v>
      </c>
      <c r="AD9" s="24">
        <v>0.45739413398749429</v>
      </c>
      <c r="AE9" s="24">
        <v>0.5885721570506357</v>
      </c>
      <c r="AF9" s="24">
        <v>0.8525735953098541</v>
      </c>
      <c r="AG9" s="24">
        <v>1.2902931037379146</v>
      </c>
      <c r="AH9" s="24">
        <v>1.5149600187863752</v>
      </c>
      <c r="AI9" s="24">
        <v>1.5546945182280369</v>
      </c>
      <c r="AJ9" s="24">
        <v>1.4834366205942175</v>
      </c>
      <c r="AK9" s="25"/>
      <c r="AL9" s="24">
        <v>2.3147261887079078</v>
      </c>
      <c r="AM9" s="24">
        <v>3.2034699840345215</v>
      </c>
      <c r="AN9" s="24">
        <v>3.7769202963840911</v>
      </c>
      <c r="AO9" s="24">
        <v>5.1672606442066265</v>
      </c>
      <c r="AP9" s="24">
        <v>7.6739519389756188</v>
      </c>
      <c r="AQ9" s="24">
        <v>9.8856192791672406</v>
      </c>
      <c r="AR9" s="24">
        <v>13.892790137297894</v>
      </c>
      <c r="AS9" s="24">
        <v>17.069900310173832</v>
      </c>
      <c r="AT9" s="25"/>
      <c r="AU9" s="24">
        <v>1.8711570025994499</v>
      </c>
      <c r="AV9" s="24">
        <v>2.875200453836257</v>
      </c>
      <c r="AW9" s="24">
        <v>3.8884093164810176</v>
      </c>
      <c r="AX9" s="24">
        <v>5.038785988650254</v>
      </c>
      <c r="AY9" s="24">
        <v>5.8369361429826236</v>
      </c>
      <c r="AZ9" s="24">
        <v>6.0685464885065885</v>
      </c>
      <c r="BA9" s="24">
        <v>6.6867853338544201</v>
      </c>
      <c r="BB9" s="24">
        <v>7.5212055968743208</v>
      </c>
      <c r="BD9" s="24">
        <v>4.7498120112089222</v>
      </c>
      <c r="BE9" s="24">
        <v>3.9958474525668231</v>
      </c>
      <c r="BF9" s="24">
        <v>2.7434650827951557</v>
      </c>
      <c r="BG9" s="24">
        <v>1.6674873705962343</v>
      </c>
      <c r="BH9" s="24">
        <v>0.65261995564093866</v>
      </c>
      <c r="BI9" s="24">
        <v>0.37106625466696341</v>
      </c>
      <c r="BJ9" s="24">
        <v>0.12691927936324574</v>
      </c>
      <c r="BK9" s="24">
        <v>2.39238072164062E-2</v>
      </c>
      <c r="BL9" s="24"/>
      <c r="BM9" s="24">
        <v>0.40612442166815782</v>
      </c>
      <c r="BN9" s="24">
        <v>0.27665053300044445</v>
      </c>
      <c r="BO9" s="24">
        <v>0.5139724102828096</v>
      </c>
      <c r="BP9" s="24">
        <v>0.86678032610066524</v>
      </c>
      <c r="BQ9" s="24">
        <v>1.2197485566702602</v>
      </c>
      <c r="BR9" s="24">
        <v>1.2985563817323109</v>
      </c>
      <c r="BS9" s="24">
        <v>1.3066171276639751</v>
      </c>
      <c r="BT9" s="24">
        <v>1.9839913719920232</v>
      </c>
      <c r="BV9" s="24">
        <v>5.1216591750526854</v>
      </c>
      <c r="BW9" s="24">
        <v>6.7387057434674098</v>
      </c>
      <c r="BX9" s="24">
        <v>5.957721067358162</v>
      </c>
      <c r="BY9" s="24">
        <v>4.8077994945566482</v>
      </c>
      <c r="BZ9" s="24">
        <v>3.1918517882477038</v>
      </c>
      <c r="CA9" s="24">
        <v>2.3153937012172601</v>
      </c>
      <c r="CB9" s="24">
        <v>1.2856795378611756</v>
      </c>
      <c r="CC9" s="24">
        <v>0.69752042327992658</v>
      </c>
    </row>
    <row r="10" spans="1:81" s="26" customFormat="1" ht="5.25" customHeight="1">
      <c r="A10" s="23"/>
      <c r="J10" s="24"/>
      <c r="K10" s="23"/>
      <c r="L10" s="23"/>
      <c r="M10" s="23"/>
      <c r="N10" s="23"/>
      <c r="O10" s="23"/>
      <c r="P10" s="23"/>
      <c r="Q10" s="23"/>
      <c r="R10" s="23"/>
      <c r="S10" s="24"/>
      <c r="T10" s="25"/>
      <c r="U10" s="25"/>
      <c r="V10" s="25"/>
      <c r="W10" s="25"/>
      <c r="X10" s="25"/>
      <c r="Y10" s="25"/>
      <c r="Z10" s="25"/>
      <c r="AA10" s="25"/>
      <c r="AB10" s="25"/>
      <c r="AC10" s="24"/>
      <c r="AD10" s="24"/>
      <c r="AE10" s="24"/>
      <c r="AF10" s="24"/>
      <c r="AG10" s="24"/>
      <c r="AH10" s="24"/>
      <c r="AI10" s="24"/>
      <c r="AJ10" s="24"/>
      <c r="AK10" s="25"/>
      <c r="AL10" s="24"/>
      <c r="AM10" s="24"/>
      <c r="AN10" s="24"/>
      <c r="AO10" s="24"/>
      <c r="AP10" s="24"/>
      <c r="AQ10" s="24"/>
      <c r="AR10" s="24"/>
      <c r="AS10" s="24"/>
      <c r="AT10" s="25"/>
      <c r="AU10" s="24"/>
      <c r="AV10" s="24"/>
      <c r="AW10" s="24"/>
      <c r="AX10" s="24"/>
      <c r="AY10" s="24"/>
      <c r="AZ10" s="24"/>
      <c r="BA10" s="24"/>
      <c r="BB10" s="24"/>
      <c r="BD10" s="24"/>
      <c r="BE10" s="24"/>
      <c r="BF10" s="24"/>
      <c r="BG10" s="24"/>
      <c r="BH10" s="24"/>
      <c r="BI10" s="24"/>
      <c r="BJ10" s="24"/>
      <c r="BK10" s="24"/>
      <c r="BL10" s="24"/>
      <c r="BM10" s="24"/>
      <c r="BN10" s="24"/>
      <c r="BO10" s="24"/>
      <c r="BP10" s="24"/>
      <c r="BQ10" s="24"/>
      <c r="BR10" s="24"/>
      <c r="BS10" s="24"/>
      <c r="BT10" s="24"/>
      <c r="BV10" s="24"/>
      <c r="BW10" s="24"/>
      <c r="BX10" s="24"/>
      <c r="BY10" s="24"/>
      <c r="BZ10" s="24"/>
      <c r="CA10" s="24"/>
      <c r="CB10" s="24"/>
      <c r="CC10" s="24"/>
    </row>
    <row r="11" spans="1:81" s="26" customFormat="1" ht="12">
      <c r="A11" s="23">
        <v>1964</v>
      </c>
      <c r="B11" s="24">
        <f t="shared" ref="B11:I11" si="4">T11+AC11+AL11+AU11+BD11+BV11+BM11</f>
        <v>15.325176688384683</v>
      </c>
      <c r="C11" s="24">
        <f t="shared" si="4"/>
        <v>25.692971786275084</v>
      </c>
      <c r="D11" s="24">
        <f t="shared" si="4"/>
        <v>28.089174585401139</v>
      </c>
      <c r="E11" s="24">
        <f t="shared" si="4"/>
        <v>30.29778281848504</v>
      </c>
      <c r="F11" s="24">
        <f t="shared" si="4"/>
        <v>34.215295956778355</v>
      </c>
      <c r="G11" s="24">
        <f t="shared" si="4"/>
        <v>37.102108364843708</v>
      </c>
      <c r="H11" s="24">
        <f t="shared" si="4"/>
        <v>40.566484463189298</v>
      </c>
      <c r="I11" s="24">
        <f t="shared" si="4"/>
        <v>45.087046068239829</v>
      </c>
      <c r="J11" s="24"/>
      <c r="K11" s="24">
        <f t="shared" ref="K11:R11" si="5">T11+AC11+AL11+AU11+BV11+BM11</f>
        <v>11.171029119261943</v>
      </c>
      <c r="L11" s="24">
        <f t="shared" si="5"/>
        <v>21.289940737844123</v>
      </c>
      <c r="M11" s="24">
        <f t="shared" si="5"/>
        <v>24.842921953286741</v>
      </c>
      <c r="N11" s="24">
        <f t="shared" si="5"/>
        <v>28.307287806702767</v>
      </c>
      <c r="O11" s="24">
        <f t="shared" si="5"/>
        <v>33.494528632966116</v>
      </c>
      <c r="P11" s="24">
        <f t="shared" si="5"/>
        <v>36.732818042428342</v>
      </c>
      <c r="Q11" s="24">
        <f t="shared" si="5"/>
        <v>40.438299464678138</v>
      </c>
      <c r="R11" s="24">
        <f t="shared" si="5"/>
        <v>45.063761321418475</v>
      </c>
      <c r="S11" s="24"/>
      <c r="T11" s="24">
        <v>1.8298953187625151</v>
      </c>
      <c r="U11" s="24">
        <v>7.1131964622720369</v>
      </c>
      <c r="V11" s="24">
        <v>9.617130892618567</v>
      </c>
      <c r="W11" s="24">
        <v>11.102369997924711</v>
      </c>
      <c r="X11" s="24">
        <v>13.789421202849311</v>
      </c>
      <c r="Y11" s="24">
        <v>14.613476747696518</v>
      </c>
      <c r="Z11" s="24">
        <v>14.942488033977519</v>
      </c>
      <c r="AA11" s="24">
        <v>15.560252036738348</v>
      </c>
      <c r="AB11" s="25"/>
      <c r="AC11" s="24">
        <v>0.25658229805955124</v>
      </c>
      <c r="AD11" s="24">
        <v>0.58178722242056136</v>
      </c>
      <c r="AE11" s="24">
        <v>0.714108351594678</v>
      </c>
      <c r="AF11" s="24">
        <v>0.88991385950024982</v>
      </c>
      <c r="AG11" s="24">
        <v>1.360411144668364</v>
      </c>
      <c r="AH11" s="24">
        <v>1.3657484283895971</v>
      </c>
      <c r="AI11" s="24">
        <v>1.3691133034197451</v>
      </c>
      <c r="AJ11" s="24">
        <v>1.2735694803901958</v>
      </c>
      <c r="AK11" s="25"/>
      <c r="AL11" s="24">
        <v>2.0879091553351508</v>
      </c>
      <c r="AM11" s="24">
        <v>3.1875040484565109</v>
      </c>
      <c r="AN11" s="24">
        <v>3.7928518180375237</v>
      </c>
      <c r="AO11" s="24">
        <v>5.3761319196453261</v>
      </c>
      <c r="AP11" s="24">
        <v>7.5805167602002248</v>
      </c>
      <c r="AQ11" s="24">
        <v>10.618726114397452</v>
      </c>
      <c r="AR11" s="24">
        <v>14.528824299465251</v>
      </c>
      <c r="AS11" s="24">
        <v>17.763590471868309</v>
      </c>
      <c r="AT11" s="25"/>
      <c r="AU11" s="24">
        <v>1.8609381729795433</v>
      </c>
      <c r="AV11" s="24">
        <v>3.0247794319393555</v>
      </c>
      <c r="AW11" s="24">
        <v>3.7644075297076056</v>
      </c>
      <c r="AX11" s="24">
        <v>4.7950654602439631</v>
      </c>
      <c r="AY11" s="24">
        <v>5.9880464374432947</v>
      </c>
      <c r="AZ11" s="24">
        <v>6.4632289977913082</v>
      </c>
      <c r="BA11" s="24">
        <v>7.0339677030251835</v>
      </c>
      <c r="BB11" s="24">
        <v>7.7278388628757657</v>
      </c>
      <c r="BD11" s="24">
        <v>4.1541475691227392</v>
      </c>
      <c r="BE11" s="24">
        <v>4.4030310484309636</v>
      </c>
      <c r="BF11" s="24">
        <v>3.2462526321143992</v>
      </c>
      <c r="BG11" s="24">
        <v>1.9904950117822766</v>
      </c>
      <c r="BH11" s="24">
        <v>0.72076732381223874</v>
      </c>
      <c r="BI11" s="24">
        <v>0.36929032241536713</v>
      </c>
      <c r="BJ11" s="24">
        <v>0.12818499851115886</v>
      </c>
      <c r="BK11" s="24">
        <v>2.3284746821355513E-2</v>
      </c>
      <c r="BL11" s="24"/>
      <c r="BM11" s="24">
        <v>0.41660935606773819</v>
      </c>
      <c r="BN11" s="24">
        <v>0.31603690849097593</v>
      </c>
      <c r="BO11" s="24">
        <v>0.60305830841781416</v>
      </c>
      <c r="BP11" s="24">
        <v>0.99345153010898613</v>
      </c>
      <c r="BQ11" s="24">
        <v>1.4320770933743243</v>
      </c>
      <c r="BR11" s="24">
        <v>1.3455123100518971</v>
      </c>
      <c r="BS11" s="24">
        <v>1.3151858330330188</v>
      </c>
      <c r="BT11" s="24">
        <v>2.0545296608099508</v>
      </c>
      <c r="BV11" s="24">
        <v>4.719094818057445</v>
      </c>
      <c r="BW11" s="24">
        <v>7.0666366642646823</v>
      </c>
      <c r="BX11" s="24">
        <v>6.3513650529105528</v>
      </c>
      <c r="BY11" s="24">
        <v>5.1503550392795301</v>
      </c>
      <c r="BZ11" s="24">
        <v>3.344055994430597</v>
      </c>
      <c r="CA11" s="24">
        <v>2.3261254441015726</v>
      </c>
      <c r="CB11" s="24">
        <v>1.2487202917574249</v>
      </c>
      <c r="CC11" s="24">
        <v>0.68398080873591138</v>
      </c>
    </row>
    <row r="12" spans="1:81" s="26" customFormat="1" ht="5.25" customHeight="1">
      <c r="A12" s="23"/>
      <c r="J12" s="24"/>
      <c r="K12" s="23"/>
      <c r="L12" s="23"/>
      <c r="M12" s="23"/>
      <c r="N12" s="23"/>
      <c r="O12" s="23"/>
      <c r="P12" s="23"/>
      <c r="Q12" s="23"/>
      <c r="R12" s="23"/>
      <c r="S12" s="24"/>
      <c r="T12" s="25"/>
      <c r="U12" s="25"/>
      <c r="V12" s="25"/>
      <c r="W12" s="25"/>
      <c r="X12" s="25"/>
      <c r="Y12" s="25"/>
      <c r="Z12" s="25"/>
      <c r="AA12" s="25"/>
      <c r="AB12" s="25"/>
      <c r="AC12" s="24"/>
      <c r="AD12" s="24"/>
      <c r="AE12" s="24"/>
      <c r="AF12" s="24"/>
      <c r="AG12" s="24"/>
      <c r="AH12" s="24"/>
      <c r="AI12" s="24"/>
      <c r="AJ12" s="24"/>
      <c r="AK12" s="25"/>
      <c r="AL12" s="24"/>
      <c r="AM12" s="24"/>
      <c r="AN12" s="24"/>
      <c r="AO12" s="24"/>
      <c r="AP12" s="24"/>
      <c r="AQ12" s="24"/>
      <c r="AR12" s="24"/>
      <c r="AS12" s="24"/>
      <c r="AT12" s="25"/>
      <c r="AU12" s="24"/>
      <c r="AV12" s="24"/>
      <c r="AW12" s="24"/>
      <c r="AX12" s="24"/>
      <c r="AY12" s="24"/>
      <c r="AZ12" s="24"/>
      <c r="BA12" s="24"/>
      <c r="BB12" s="24"/>
      <c r="BD12" s="24"/>
      <c r="BE12" s="24"/>
      <c r="BF12" s="24"/>
      <c r="BG12" s="24"/>
      <c r="BH12" s="24"/>
      <c r="BI12" s="24"/>
      <c r="BJ12" s="24"/>
      <c r="BK12" s="24"/>
      <c r="BL12" s="24"/>
      <c r="BM12" s="24"/>
      <c r="BN12" s="24"/>
      <c r="BO12" s="24"/>
      <c r="BP12" s="24"/>
      <c r="BQ12" s="24"/>
      <c r="BR12" s="24"/>
      <c r="BS12" s="24"/>
      <c r="BT12" s="24"/>
      <c r="BV12" s="24"/>
      <c r="BW12" s="24"/>
      <c r="BX12" s="24"/>
      <c r="BY12" s="24"/>
      <c r="BZ12" s="24"/>
      <c r="CA12" s="24"/>
      <c r="CB12" s="24"/>
      <c r="CC12" s="24"/>
    </row>
    <row r="13" spans="1:81" s="26" customFormat="1" ht="12">
      <c r="A13" s="23">
        <v>1966</v>
      </c>
      <c r="B13" s="24">
        <f t="shared" ref="B13:I44" si="6">T13+AC13+AL13+AU13+BD13+BV13+BM13</f>
        <v>17.932047060411339</v>
      </c>
      <c r="C13" s="24">
        <f t="shared" si="6"/>
        <v>25.681960156573851</v>
      </c>
      <c r="D13" s="24">
        <f t="shared" si="6"/>
        <v>27.637411693941928</v>
      </c>
      <c r="E13" s="24">
        <f t="shared" si="6"/>
        <v>30.028507934775043</v>
      </c>
      <c r="F13" s="24">
        <f t="shared" si="6"/>
        <v>33.192305558146913</v>
      </c>
      <c r="G13" s="24">
        <f t="shared" si="6"/>
        <v>35.702506983119754</v>
      </c>
      <c r="H13" s="24">
        <f t="shared" si="6"/>
        <v>39.155181641758091</v>
      </c>
      <c r="I13" s="24">
        <f t="shared" si="6"/>
        <v>42.452221208100205</v>
      </c>
      <c r="J13" s="24"/>
      <c r="K13" s="24">
        <f t="shared" ref="K13:R44" si="7">T13+AC13+AL13+AU13+BV13+BM13</f>
        <v>12.660244326296773</v>
      </c>
      <c r="L13" s="24">
        <f t="shared" si="7"/>
        <v>20.690267280691828</v>
      </c>
      <c r="M13" s="24">
        <f t="shared" si="7"/>
        <v>24.054819619510415</v>
      </c>
      <c r="N13" s="24">
        <f t="shared" si="7"/>
        <v>27.853738853472418</v>
      </c>
      <c r="O13" s="24">
        <f t="shared" si="7"/>
        <v>32.320868353104878</v>
      </c>
      <c r="P13" s="24">
        <f t="shared" si="7"/>
        <v>35.222962973421474</v>
      </c>
      <c r="Q13" s="24">
        <f t="shared" si="7"/>
        <v>38.99871514169655</v>
      </c>
      <c r="R13" s="24">
        <f t="shared" si="7"/>
        <v>42.423235879222517</v>
      </c>
      <c r="S13" s="24"/>
      <c r="T13" s="24">
        <v>2.5011325455768936</v>
      </c>
      <c r="U13" s="24">
        <v>7.4151428064817377</v>
      </c>
      <c r="V13" s="24">
        <v>9.7236992645923941</v>
      </c>
      <c r="W13" s="24">
        <v>11.555950662460408</v>
      </c>
      <c r="X13" s="24">
        <v>13.892243895605732</v>
      </c>
      <c r="Y13" s="24">
        <v>15.079450742552215</v>
      </c>
      <c r="Z13" s="24">
        <v>16.013637396764498</v>
      </c>
      <c r="AA13" s="24">
        <v>16.51496280527007</v>
      </c>
      <c r="AB13" s="25"/>
      <c r="AC13" s="24">
        <v>0.28822606471548584</v>
      </c>
      <c r="AD13" s="24">
        <v>0.62419223958045089</v>
      </c>
      <c r="AE13" s="24">
        <v>0.76649651888680925</v>
      </c>
      <c r="AF13" s="24">
        <v>1.0926360997214386</v>
      </c>
      <c r="AG13" s="24">
        <v>1.4491891973891782</v>
      </c>
      <c r="AH13" s="24">
        <v>1.6478722468201936</v>
      </c>
      <c r="AI13" s="24">
        <v>1.7113849673479915</v>
      </c>
      <c r="AJ13" s="24">
        <v>1.5555377514709439</v>
      </c>
      <c r="AK13" s="25"/>
      <c r="AL13" s="24">
        <v>2.5751652256553057</v>
      </c>
      <c r="AM13" s="24">
        <v>3.3391147067999318</v>
      </c>
      <c r="AN13" s="24">
        <v>3.8572679915262587</v>
      </c>
      <c r="AO13" s="24">
        <v>5.3129788823924393</v>
      </c>
      <c r="AP13" s="24">
        <v>7.6057381332308687</v>
      </c>
      <c r="AQ13" s="24">
        <v>9.9226737176946447</v>
      </c>
      <c r="AR13" s="24">
        <v>13.140282096934735</v>
      </c>
      <c r="AS13" s="24">
        <v>15.552499711692125</v>
      </c>
      <c r="AT13" s="25"/>
      <c r="AU13" s="24">
        <v>2.0293997705149094</v>
      </c>
      <c r="AV13" s="24">
        <v>2.9041551913331896</v>
      </c>
      <c r="AW13" s="24">
        <v>3.6862871867754228</v>
      </c>
      <c r="AX13" s="24">
        <v>4.587949552482872</v>
      </c>
      <c r="AY13" s="24">
        <v>5.191963177498371</v>
      </c>
      <c r="AZ13" s="24">
        <v>5.2982076682682306</v>
      </c>
      <c r="BA13" s="24">
        <v>5.6829235408703838</v>
      </c>
      <c r="BB13" s="24">
        <v>6.0621494823127327</v>
      </c>
      <c r="BD13" s="24">
        <v>5.2718027341145648</v>
      </c>
      <c r="BE13" s="24">
        <v>4.9916928758820234</v>
      </c>
      <c r="BF13" s="24">
        <v>3.5825920744315134</v>
      </c>
      <c r="BG13" s="24">
        <v>2.1747690813026233</v>
      </c>
      <c r="BH13" s="24">
        <v>0.87143720504203392</v>
      </c>
      <c r="BI13" s="24">
        <v>0.47954400969827937</v>
      </c>
      <c r="BJ13" s="24">
        <v>0.15646650006154117</v>
      </c>
      <c r="BK13" s="24">
        <v>2.8985328877686366E-2</v>
      </c>
      <c r="BL13" s="24"/>
      <c r="BM13" s="24">
        <v>0.45949069743805954</v>
      </c>
      <c r="BN13" s="24">
        <v>0.30213326644064131</v>
      </c>
      <c r="BO13" s="24">
        <v>0.58558570118983266</v>
      </c>
      <c r="BP13" s="24">
        <v>0.99837524632992902</v>
      </c>
      <c r="BQ13" s="24">
        <v>1.3286931932690882</v>
      </c>
      <c r="BR13" s="24">
        <v>1.2525339324768685</v>
      </c>
      <c r="BS13" s="24">
        <v>1.2829143622614119</v>
      </c>
      <c r="BT13" s="24">
        <v>2.0130247756594626</v>
      </c>
      <c r="BV13" s="24">
        <v>4.8068300223961202</v>
      </c>
      <c r="BW13" s="24">
        <v>6.1055290700558764</v>
      </c>
      <c r="BX13" s="24">
        <v>5.4354829565396985</v>
      </c>
      <c r="BY13" s="24">
        <v>4.3058484100853311</v>
      </c>
      <c r="BZ13" s="24">
        <v>2.853040756111644</v>
      </c>
      <c r="CA13" s="24">
        <v>2.0222246656093263</v>
      </c>
      <c r="CB13" s="24">
        <v>1.1675727775175315</v>
      </c>
      <c r="CC13" s="24">
        <v>0.72506135281718531</v>
      </c>
    </row>
    <row r="14" spans="1:81" s="26" customFormat="1" ht="12">
      <c r="A14" s="23">
        <v>1967</v>
      </c>
      <c r="B14" s="24">
        <f t="shared" si="6"/>
        <v>18.465051926592867</v>
      </c>
      <c r="C14" s="24">
        <f t="shared" si="6"/>
        <v>25.436364170268135</v>
      </c>
      <c r="D14" s="24">
        <f t="shared" si="6"/>
        <v>27.444612273874824</v>
      </c>
      <c r="E14" s="24">
        <f t="shared" si="6"/>
        <v>30.20743682836153</v>
      </c>
      <c r="F14" s="24">
        <f t="shared" si="6"/>
        <v>34.299984835093753</v>
      </c>
      <c r="G14" s="24">
        <f t="shared" si="6"/>
        <v>37.178322064132161</v>
      </c>
      <c r="H14" s="24">
        <f t="shared" si="6"/>
        <v>41.863394195052955</v>
      </c>
      <c r="I14" s="24">
        <f t="shared" si="6"/>
        <v>45.847895065512603</v>
      </c>
      <c r="J14" s="24"/>
      <c r="K14" s="24">
        <f t="shared" si="7"/>
        <v>12.728513496457094</v>
      </c>
      <c r="L14" s="24">
        <f t="shared" si="7"/>
        <v>20.352720710908542</v>
      </c>
      <c r="M14" s="24">
        <f t="shared" si="7"/>
        <v>23.93350339236779</v>
      </c>
      <c r="N14" s="24">
        <f t="shared" si="7"/>
        <v>28.083936372029882</v>
      </c>
      <c r="O14" s="24">
        <f t="shared" si="7"/>
        <v>33.427998858820814</v>
      </c>
      <c r="P14" s="24">
        <f t="shared" si="7"/>
        <v>36.698164240080729</v>
      </c>
      <c r="Q14" s="24">
        <f t="shared" si="7"/>
        <v>41.695786549679369</v>
      </c>
      <c r="R14" s="24">
        <f t="shared" si="7"/>
        <v>45.813650833566676</v>
      </c>
      <c r="S14" s="24"/>
      <c r="T14" s="24">
        <v>2.600059647243766</v>
      </c>
      <c r="U14" s="24">
        <v>7.6351622917169877</v>
      </c>
      <c r="V14" s="24">
        <v>9.7593204269648286</v>
      </c>
      <c r="W14" s="24">
        <v>11.827126068013721</v>
      </c>
      <c r="X14" s="24">
        <v>14.984565672444363</v>
      </c>
      <c r="Y14" s="24">
        <v>16.210020824343829</v>
      </c>
      <c r="Z14" s="24">
        <v>17.888835181110068</v>
      </c>
      <c r="AA14" s="24">
        <v>18.40297281239036</v>
      </c>
      <c r="AB14" s="25"/>
      <c r="AC14" s="24">
        <v>0.40566425449097188</v>
      </c>
      <c r="AD14" s="24">
        <v>0.64655292469646009</v>
      </c>
      <c r="AE14" s="24">
        <v>0.82652082740806088</v>
      </c>
      <c r="AF14" s="24">
        <v>1.1298082375214955</v>
      </c>
      <c r="AG14" s="24">
        <v>1.5269230840758941</v>
      </c>
      <c r="AH14" s="24">
        <v>1.5475765497170926</v>
      </c>
      <c r="AI14" s="24">
        <v>1.6271551052311686</v>
      </c>
      <c r="AJ14" s="24">
        <v>1.6753552843394686</v>
      </c>
      <c r="AK14" s="25"/>
      <c r="AL14" s="24">
        <v>2.2507189152603888</v>
      </c>
      <c r="AM14" s="24">
        <v>2.9475288773484563</v>
      </c>
      <c r="AN14" s="24">
        <v>3.4744179052700068</v>
      </c>
      <c r="AO14" s="24">
        <v>4.7448859184022893</v>
      </c>
      <c r="AP14" s="24">
        <v>7.1515927310849934</v>
      </c>
      <c r="AQ14" s="24">
        <v>9.7439736134264301</v>
      </c>
      <c r="AR14" s="24">
        <v>13.025332852788148</v>
      </c>
      <c r="AS14" s="24">
        <v>15.458692645278516</v>
      </c>
      <c r="AT14" s="25"/>
      <c r="AU14" s="24">
        <v>2.3273589001040675</v>
      </c>
      <c r="AV14" s="24">
        <v>2.635100922682549</v>
      </c>
      <c r="AW14" s="24">
        <v>3.8762133846485072</v>
      </c>
      <c r="AX14" s="24">
        <v>5.1226904703189167</v>
      </c>
      <c r="AY14" s="24">
        <v>5.522578934498541</v>
      </c>
      <c r="AZ14" s="24">
        <v>5.9210838197948092</v>
      </c>
      <c r="BA14" s="24">
        <v>6.5987898389917321</v>
      </c>
      <c r="BB14" s="24">
        <v>7.4534778278780562</v>
      </c>
      <c r="BD14" s="24">
        <v>5.7365384301357727</v>
      </c>
      <c r="BE14" s="24">
        <v>5.0836434593595934</v>
      </c>
      <c r="BF14" s="24">
        <v>3.511108881507039</v>
      </c>
      <c r="BG14" s="24">
        <v>2.1235004563316475</v>
      </c>
      <c r="BH14" s="24">
        <v>0.87198597627293484</v>
      </c>
      <c r="BI14" s="24">
        <v>0.48015782405143026</v>
      </c>
      <c r="BJ14" s="24">
        <v>0.16760764537358253</v>
      </c>
      <c r="BK14" s="24">
        <v>3.4244231945928849E-2</v>
      </c>
      <c r="BL14" s="24"/>
      <c r="BM14" s="24">
        <v>0.43480984155408092</v>
      </c>
      <c r="BN14" s="24">
        <v>0.28873608840420822</v>
      </c>
      <c r="BO14" s="24">
        <v>0.56282086543215204</v>
      </c>
      <c r="BP14" s="24">
        <v>0.97157985147969195</v>
      </c>
      <c r="BQ14" s="24">
        <v>1.2852487202740788</v>
      </c>
      <c r="BR14" s="24">
        <v>1.2034675118847151</v>
      </c>
      <c r="BS14" s="24">
        <v>1.3293841966972835</v>
      </c>
      <c r="BT14" s="24">
        <v>2.0947050870667354</v>
      </c>
      <c r="BV14" s="24">
        <v>4.7099019378038181</v>
      </c>
      <c r="BW14" s="24">
        <v>6.1996396060598844</v>
      </c>
      <c r="BX14" s="24">
        <v>5.4342099826442318</v>
      </c>
      <c r="BY14" s="24">
        <v>4.2878458262937649</v>
      </c>
      <c r="BZ14" s="24">
        <v>2.9570897164429497</v>
      </c>
      <c r="CA14" s="24">
        <v>2.0720419209138567</v>
      </c>
      <c r="CB14" s="24">
        <v>1.2262893748609716</v>
      </c>
      <c r="CC14" s="24">
        <v>0.72844717661354186</v>
      </c>
    </row>
    <row r="15" spans="1:81" s="26" customFormat="1" ht="12">
      <c r="A15" s="23">
        <v>1968</v>
      </c>
      <c r="B15" s="24">
        <f t="shared" si="6"/>
        <v>18.833262025352621</v>
      </c>
      <c r="C15" s="24">
        <f t="shared" si="6"/>
        <v>26.851051771391877</v>
      </c>
      <c r="D15" s="24">
        <f t="shared" si="6"/>
        <v>29.138020960945667</v>
      </c>
      <c r="E15" s="24">
        <f t="shared" si="6"/>
        <v>32.197201333217031</v>
      </c>
      <c r="F15" s="24">
        <f t="shared" si="6"/>
        <v>35.842686513956842</v>
      </c>
      <c r="G15" s="24">
        <f t="shared" si="6"/>
        <v>40.086328268018129</v>
      </c>
      <c r="H15" s="24">
        <f t="shared" si="6"/>
        <v>44.741864883969292</v>
      </c>
      <c r="I15" s="24">
        <f t="shared" si="6"/>
        <v>49.929618752526189</v>
      </c>
      <c r="J15" s="24"/>
      <c r="K15" s="24">
        <f t="shared" si="7"/>
        <v>13.423466349624533</v>
      </c>
      <c r="L15" s="24">
        <f t="shared" si="7"/>
        <v>21.615840925647028</v>
      </c>
      <c r="M15" s="24">
        <f t="shared" si="7"/>
        <v>25.467436013095032</v>
      </c>
      <c r="N15" s="24">
        <f t="shared" si="7"/>
        <v>29.929985944220309</v>
      </c>
      <c r="O15" s="24">
        <f t="shared" si="7"/>
        <v>34.909598718684457</v>
      </c>
      <c r="P15" s="24">
        <f t="shared" si="7"/>
        <v>39.571976506127221</v>
      </c>
      <c r="Q15" s="24">
        <f t="shared" si="7"/>
        <v>44.582007753970792</v>
      </c>
      <c r="R15" s="24">
        <f t="shared" si="7"/>
        <v>49.892499009474285</v>
      </c>
      <c r="S15" s="24"/>
      <c r="T15" s="24">
        <v>2.8932883063944108</v>
      </c>
      <c r="U15" s="24">
        <v>8.2936927289191225</v>
      </c>
      <c r="V15" s="24">
        <v>10.578803502290951</v>
      </c>
      <c r="W15" s="24">
        <v>12.683663779718573</v>
      </c>
      <c r="X15" s="24">
        <v>15.720516579763563</v>
      </c>
      <c r="Y15" s="24">
        <v>18.093285119427975</v>
      </c>
      <c r="Z15" s="24">
        <v>18.720055276458584</v>
      </c>
      <c r="AA15" s="24">
        <v>20.109647125275426</v>
      </c>
      <c r="AB15" s="25"/>
      <c r="AC15" s="24">
        <v>0.5008231126648196</v>
      </c>
      <c r="AD15" s="24">
        <v>0.81754290183762701</v>
      </c>
      <c r="AE15" s="24">
        <v>0.99690116383923877</v>
      </c>
      <c r="AF15" s="24">
        <v>1.2711291563721878</v>
      </c>
      <c r="AG15" s="24">
        <v>1.5238164666791472</v>
      </c>
      <c r="AH15" s="24">
        <v>1.5804955415103308</v>
      </c>
      <c r="AI15" s="24">
        <v>1.5366483274089353</v>
      </c>
      <c r="AJ15" s="24">
        <v>1.7356096015267526</v>
      </c>
      <c r="AK15" s="25"/>
      <c r="AL15" s="24">
        <v>2.4204015439398803</v>
      </c>
      <c r="AM15" s="24">
        <v>3.1477874412850624</v>
      </c>
      <c r="AN15" s="24">
        <v>3.7261728210386833</v>
      </c>
      <c r="AO15" s="24">
        <v>5.3832992443419823</v>
      </c>
      <c r="AP15" s="24">
        <v>7.9452660011766207</v>
      </c>
      <c r="AQ15" s="24">
        <v>10.620990850781668</v>
      </c>
      <c r="AR15" s="24">
        <v>15.0359469702566</v>
      </c>
      <c r="AS15" s="24">
        <v>17.459422399675454</v>
      </c>
      <c r="AT15" s="25"/>
      <c r="AU15" s="24">
        <v>2.2760326157649011</v>
      </c>
      <c r="AV15" s="24">
        <v>2.6417688618629014</v>
      </c>
      <c r="AW15" s="24">
        <v>3.9976312223513868</v>
      </c>
      <c r="AX15" s="24">
        <v>5.266576933896987</v>
      </c>
      <c r="AY15" s="24">
        <v>5.6079609811731617</v>
      </c>
      <c r="AZ15" s="24">
        <v>6.0440821183252496</v>
      </c>
      <c r="BA15" s="24">
        <v>6.9470223657427539</v>
      </c>
      <c r="BB15" s="24">
        <v>7.8567685230746696</v>
      </c>
      <c r="BD15" s="24">
        <v>5.4097956757280876</v>
      </c>
      <c r="BE15" s="24">
        <v>5.2352108457448479</v>
      </c>
      <c r="BF15" s="24">
        <v>3.6705849478506352</v>
      </c>
      <c r="BG15" s="24">
        <v>2.2672153889967248</v>
      </c>
      <c r="BH15" s="24">
        <v>0.93308779527238528</v>
      </c>
      <c r="BI15" s="24">
        <v>0.51435176189090948</v>
      </c>
      <c r="BJ15" s="24">
        <v>0.15985712999849624</v>
      </c>
      <c r="BK15" s="24">
        <v>3.7119743051903874E-2</v>
      </c>
      <c r="BL15" s="24"/>
      <c r="BM15" s="24">
        <v>0.40725120942830306</v>
      </c>
      <c r="BN15" s="24">
        <v>0.27218040795721204</v>
      </c>
      <c r="BO15" s="24">
        <v>0.53427087957366826</v>
      </c>
      <c r="BP15" s="24">
        <v>0.90268717772585094</v>
      </c>
      <c r="BQ15" s="24">
        <v>1.1739562834937984</v>
      </c>
      <c r="BR15" s="24">
        <v>1.1786872459802467</v>
      </c>
      <c r="BS15" s="24">
        <v>1.210010466030863</v>
      </c>
      <c r="BT15" s="24">
        <v>2.0107136219849457</v>
      </c>
      <c r="BV15" s="24">
        <v>4.9256695614322199</v>
      </c>
      <c r="BW15" s="24">
        <v>6.4428685837851036</v>
      </c>
      <c r="BX15" s="24">
        <v>5.6336564240011011</v>
      </c>
      <c r="BY15" s="24">
        <v>4.4226296521647255</v>
      </c>
      <c r="BZ15" s="24">
        <v>2.9380824063981663</v>
      </c>
      <c r="CA15" s="24">
        <v>2.0544356301017483</v>
      </c>
      <c r="CB15" s="24">
        <v>1.1323243480730463</v>
      </c>
      <c r="CC15" s="24">
        <v>0.72033773793703104</v>
      </c>
    </row>
    <row r="16" spans="1:81" s="26" customFormat="1" ht="12">
      <c r="A16" s="23">
        <v>1969</v>
      </c>
      <c r="B16" s="24">
        <f t="shared" si="6"/>
        <v>19.812183708737614</v>
      </c>
      <c r="C16" s="24">
        <f t="shared" si="6"/>
        <v>28.303557538291702</v>
      </c>
      <c r="D16" s="24">
        <f t="shared" si="6"/>
        <v>30.72839597053288</v>
      </c>
      <c r="E16" s="24">
        <f t="shared" si="6"/>
        <v>33.51215004495414</v>
      </c>
      <c r="F16" s="24">
        <f t="shared" si="6"/>
        <v>37.46351285821914</v>
      </c>
      <c r="G16" s="24">
        <f t="shared" si="6"/>
        <v>41.026889056894632</v>
      </c>
      <c r="H16" s="24">
        <f t="shared" si="6"/>
        <v>46.385931452294535</v>
      </c>
      <c r="I16" s="24">
        <f t="shared" si="6"/>
        <v>52.950555551767863</v>
      </c>
      <c r="J16" s="24"/>
      <c r="K16" s="24">
        <f t="shared" si="7"/>
        <v>14.24731249383464</v>
      </c>
      <c r="L16" s="24">
        <f t="shared" si="7"/>
        <v>22.855911346656665</v>
      </c>
      <c r="M16" s="24">
        <f t="shared" si="7"/>
        <v>26.833439616950461</v>
      </c>
      <c r="N16" s="24">
        <f t="shared" si="7"/>
        <v>31.131827374120366</v>
      </c>
      <c r="O16" s="24">
        <f t="shared" si="7"/>
        <v>36.385698097583408</v>
      </c>
      <c r="P16" s="24">
        <f t="shared" si="7"/>
        <v>40.425552483980617</v>
      </c>
      <c r="Q16" s="24">
        <f t="shared" si="7"/>
        <v>46.165309297458798</v>
      </c>
      <c r="R16" s="24">
        <f t="shared" si="7"/>
        <v>52.90551661150959</v>
      </c>
      <c r="S16" s="24"/>
      <c r="T16" s="24">
        <v>3.4384339409361773</v>
      </c>
      <c r="U16" s="24">
        <v>9.4115418068095451</v>
      </c>
      <c r="V16" s="24">
        <v>11.84542325304349</v>
      </c>
      <c r="W16" s="24">
        <v>13.935686437406266</v>
      </c>
      <c r="X16" s="24">
        <v>17.473795524318518</v>
      </c>
      <c r="Y16" s="24">
        <v>19.447511683374508</v>
      </c>
      <c r="Z16" s="24">
        <v>21.163404485208702</v>
      </c>
      <c r="AA16" s="24">
        <v>22.90412114103431</v>
      </c>
      <c r="AB16" s="25"/>
      <c r="AC16" s="24">
        <v>0.57559916067965355</v>
      </c>
      <c r="AD16" s="24">
        <v>0.92733245233152517</v>
      </c>
      <c r="AE16" s="24">
        <v>1.1404618394961152</v>
      </c>
      <c r="AF16" s="24">
        <v>1.4659738707358743</v>
      </c>
      <c r="AG16" s="24">
        <v>1.9110498912881542</v>
      </c>
      <c r="AH16" s="24">
        <v>1.9464550084747008</v>
      </c>
      <c r="AI16" s="24">
        <v>2.0486755030347115</v>
      </c>
      <c r="AJ16" s="24">
        <v>2.2450136290982692</v>
      </c>
      <c r="AK16" s="25"/>
      <c r="AL16" s="24">
        <v>2.4373406367255748</v>
      </c>
      <c r="AM16" s="24">
        <v>3.0539591552015555</v>
      </c>
      <c r="AN16" s="24">
        <v>3.4140248554795201</v>
      </c>
      <c r="AO16" s="24">
        <v>4.8898182813325608</v>
      </c>
      <c r="AP16" s="24">
        <v>6.8399354690977132</v>
      </c>
      <c r="AQ16" s="24">
        <v>9.4566680709408732</v>
      </c>
      <c r="AR16" s="24">
        <v>13.428317533335473</v>
      </c>
      <c r="AS16" s="24">
        <v>16.758445195711499</v>
      </c>
      <c r="AT16" s="25"/>
      <c r="AU16" s="24">
        <v>2.3720954390231719</v>
      </c>
      <c r="AV16" s="24">
        <v>2.7279097178791671</v>
      </c>
      <c r="AW16" s="24">
        <v>4.1733857589856918</v>
      </c>
      <c r="AX16" s="24">
        <v>5.3661652187616014</v>
      </c>
      <c r="AY16" s="24">
        <v>5.638384939565718</v>
      </c>
      <c r="AZ16" s="24">
        <v>6.016219370385965</v>
      </c>
      <c r="BA16" s="24">
        <v>6.7620509877725929</v>
      </c>
      <c r="BB16" s="24">
        <v>7.8725840427812024</v>
      </c>
      <c r="BD16" s="24">
        <v>5.5648712149029738</v>
      </c>
      <c r="BE16" s="24">
        <v>5.4476461916350365</v>
      </c>
      <c r="BF16" s="24">
        <v>3.8949563535824181</v>
      </c>
      <c r="BG16" s="24">
        <v>2.3803226708337775</v>
      </c>
      <c r="BH16" s="24">
        <v>1.0778147606357329</v>
      </c>
      <c r="BI16" s="24">
        <v>0.60133657291401676</v>
      </c>
      <c r="BJ16" s="24">
        <v>0.22062215483574019</v>
      </c>
      <c r="BK16" s="24">
        <v>4.5038940258272639E-2</v>
      </c>
      <c r="BL16" s="24"/>
      <c r="BM16" s="24">
        <v>0.4247680870775864</v>
      </c>
      <c r="BN16" s="24">
        <v>0.27843174859799258</v>
      </c>
      <c r="BO16" s="24">
        <v>0.55691528413831559</v>
      </c>
      <c r="BP16" s="24">
        <v>0.94938832176110899</v>
      </c>
      <c r="BQ16" s="24">
        <v>1.3483822779176244</v>
      </c>
      <c r="BR16" s="24">
        <v>1.3171635762839375</v>
      </c>
      <c r="BS16" s="24">
        <v>1.4600460689718873</v>
      </c>
      <c r="BT16" s="24">
        <v>2.3629256881876732</v>
      </c>
      <c r="BV16" s="24">
        <v>4.9990752293924761</v>
      </c>
      <c r="BW16" s="24">
        <v>6.4567364658368804</v>
      </c>
      <c r="BX16" s="24">
        <v>5.703228625807327</v>
      </c>
      <c r="BY16" s="24">
        <v>4.5247952441229558</v>
      </c>
      <c r="BZ16" s="24">
        <v>3.1741499953956831</v>
      </c>
      <c r="CA16" s="24">
        <v>2.2415347745206291</v>
      </c>
      <c r="CB16" s="24">
        <v>1.302814719135426</v>
      </c>
      <c r="CC16" s="24">
        <v>0.76242691469664192</v>
      </c>
    </row>
    <row r="17" spans="1:81" s="26" customFormat="1" ht="12">
      <c r="A17" s="23">
        <v>1970</v>
      </c>
      <c r="B17" s="24">
        <f t="shared" si="6"/>
        <v>18.995588699411591</v>
      </c>
      <c r="C17" s="24">
        <f t="shared" si="6"/>
        <v>27.312754266563847</v>
      </c>
      <c r="D17" s="24">
        <f t="shared" si="6"/>
        <v>29.539524427211106</v>
      </c>
      <c r="E17" s="24">
        <f t="shared" si="6"/>
        <v>32.269655104198939</v>
      </c>
      <c r="F17" s="24">
        <f t="shared" si="6"/>
        <v>35.64601410559932</v>
      </c>
      <c r="G17" s="24">
        <f t="shared" si="6"/>
        <v>38.68065279079201</v>
      </c>
      <c r="H17" s="24">
        <f t="shared" si="6"/>
        <v>44.056988391433585</v>
      </c>
      <c r="I17" s="24">
        <f t="shared" si="6"/>
        <v>49.302028488857573</v>
      </c>
      <c r="J17" s="24"/>
      <c r="K17" s="24">
        <f t="shared" si="7"/>
        <v>13.510253644984207</v>
      </c>
      <c r="L17" s="24">
        <f t="shared" si="7"/>
        <v>21.968727614450884</v>
      </c>
      <c r="M17" s="24">
        <f t="shared" si="7"/>
        <v>25.77352082844029</v>
      </c>
      <c r="N17" s="24">
        <f t="shared" si="7"/>
        <v>29.874467248488937</v>
      </c>
      <c r="O17" s="24">
        <f t="shared" si="7"/>
        <v>34.527453158498332</v>
      </c>
      <c r="P17" s="24">
        <f t="shared" si="7"/>
        <v>38.056005508395657</v>
      </c>
      <c r="Q17" s="24">
        <f t="shared" si="7"/>
        <v>43.81841833463745</v>
      </c>
      <c r="R17" s="24">
        <f t="shared" si="7"/>
        <v>49.253187430982294</v>
      </c>
      <c r="S17" s="24"/>
      <c r="T17" s="24">
        <v>3.1656919047107519</v>
      </c>
      <c r="U17" s="24">
        <v>8.8021774896557989</v>
      </c>
      <c r="V17" s="24">
        <v>11.098349409837427</v>
      </c>
      <c r="W17" s="24">
        <v>13.161637781428404</v>
      </c>
      <c r="X17" s="24">
        <v>16.237309963934692</v>
      </c>
      <c r="Y17" s="24">
        <v>17.916449572555472</v>
      </c>
      <c r="Z17" s="24">
        <v>19.376834289739651</v>
      </c>
      <c r="AA17" s="24">
        <v>19.946559019560969</v>
      </c>
      <c r="AB17" s="25"/>
      <c r="AC17" s="24">
        <v>0.56513553110242809</v>
      </c>
      <c r="AD17" s="24">
        <v>0.98246883096493653</v>
      </c>
      <c r="AE17" s="24">
        <v>1.208698416139578</v>
      </c>
      <c r="AF17" s="24">
        <v>1.6064655920925981</v>
      </c>
      <c r="AG17" s="24">
        <v>2.1630862383843716</v>
      </c>
      <c r="AH17" s="24">
        <v>2.2778325110656308</v>
      </c>
      <c r="AI17" s="24">
        <v>2.4371868358592219</v>
      </c>
      <c r="AJ17" s="24">
        <v>2.5332315692819005</v>
      </c>
      <c r="AK17" s="25"/>
      <c r="AL17" s="24">
        <v>1.9180368672402699</v>
      </c>
      <c r="AM17" s="24">
        <v>2.5488678785140562</v>
      </c>
      <c r="AN17" s="24">
        <v>2.894411942642412</v>
      </c>
      <c r="AO17" s="24">
        <v>3.8538213815403703</v>
      </c>
      <c r="AP17" s="24">
        <v>5.3856371764185784</v>
      </c>
      <c r="AQ17" s="24">
        <v>7.5677854876418964</v>
      </c>
      <c r="AR17" s="24">
        <v>11.35588060951331</v>
      </c>
      <c r="AS17" s="24">
        <v>14.648566003950203</v>
      </c>
      <c r="AT17" s="25"/>
      <c r="AU17" s="24">
        <v>2.7286677486598672</v>
      </c>
      <c r="AV17" s="24">
        <v>2.8685841778015475</v>
      </c>
      <c r="AW17" s="24">
        <v>4.339822870141572</v>
      </c>
      <c r="AX17" s="24">
        <v>5.6458595551131276</v>
      </c>
      <c r="AY17" s="24">
        <v>6.0067646499773257</v>
      </c>
      <c r="AZ17" s="24">
        <v>6.3576475738327645</v>
      </c>
      <c r="BA17" s="24">
        <v>7.468264626256202</v>
      </c>
      <c r="BB17" s="24">
        <v>8.5487050974925793</v>
      </c>
      <c r="BD17" s="24">
        <v>5.4853350544273853</v>
      </c>
      <c r="BE17" s="24">
        <v>5.3440266521129631</v>
      </c>
      <c r="BF17" s="24">
        <v>3.7660035987708138</v>
      </c>
      <c r="BG17" s="24">
        <v>2.3951878557100028</v>
      </c>
      <c r="BH17" s="24">
        <v>1.1185609471009914</v>
      </c>
      <c r="BI17" s="24">
        <v>0.6246472823963628</v>
      </c>
      <c r="BJ17" s="24">
        <v>0.23857005679613802</v>
      </c>
      <c r="BK17" s="24">
        <v>4.8841057875273097E-2</v>
      </c>
      <c r="BL17" s="24"/>
      <c r="BM17" s="24">
        <v>0.39229439827284135</v>
      </c>
      <c r="BN17" s="24">
        <v>0.27143703797076202</v>
      </c>
      <c r="BO17" s="24">
        <v>0.5385189533252398</v>
      </c>
      <c r="BP17" s="24">
        <v>0.95826742247244723</v>
      </c>
      <c r="BQ17" s="24">
        <v>1.4172961926159684</v>
      </c>
      <c r="BR17" s="24">
        <v>1.4239553730728172</v>
      </c>
      <c r="BS17" s="24">
        <v>1.5963700978412254</v>
      </c>
      <c r="BT17" s="24">
        <v>2.5680186138034635</v>
      </c>
      <c r="BV17" s="24">
        <v>4.7404271949980483</v>
      </c>
      <c r="BW17" s="24">
        <v>6.49519219954378</v>
      </c>
      <c r="BX17" s="24">
        <v>5.6937192363540587</v>
      </c>
      <c r="BY17" s="24">
        <v>4.648415515841994</v>
      </c>
      <c r="BZ17" s="24">
        <v>3.3173589371673895</v>
      </c>
      <c r="CA17" s="24">
        <v>2.5123349902270711</v>
      </c>
      <c r="CB17" s="24">
        <v>1.5838818754278436</v>
      </c>
      <c r="CC17" s="24">
        <v>1.0081071268931885</v>
      </c>
    </row>
    <row r="18" spans="1:81" s="26" customFormat="1" ht="12">
      <c r="A18" s="23">
        <v>1971</v>
      </c>
      <c r="B18" s="24">
        <f t="shared" si="6"/>
        <v>17.972745554829636</v>
      </c>
      <c r="C18" s="24">
        <f t="shared" si="6"/>
        <v>26.884267581455379</v>
      </c>
      <c r="D18" s="24">
        <f t="shared" si="6"/>
        <v>29.045935934425557</v>
      </c>
      <c r="E18" s="24">
        <f t="shared" si="6"/>
        <v>31.570995580086667</v>
      </c>
      <c r="F18" s="24">
        <f t="shared" si="6"/>
        <v>34.913766789195712</v>
      </c>
      <c r="G18" s="24">
        <f t="shared" si="6"/>
        <v>36.846735122476318</v>
      </c>
      <c r="H18" s="24">
        <f t="shared" si="6"/>
        <v>41.361622368044394</v>
      </c>
      <c r="I18" s="24">
        <f t="shared" si="6"/>
        <v>47.156543414192143</v>
      </c>
      <c r="J18" s="24"/>
      <c r="K18" s="24">
        <f t="shared" si="7"/>
        <v>12.783507931373688</v>
      </c>
      <c r="L18" s="24">
        <f t="shared" si="7"/>
        <v>21.24844196440014</v>
      </c>
      <c r="M18" s="24">
        <f t="shared" si="7"/>
        <v>25.134014701208599</v>
      </c>
      <c r="N18" s="24">
        <f t="shared" si="7"/>
        <v>29.144989648150961</v>
      </c>
      <c r="O18" s="24">
        <f t="shared" si="7"/>
        <v>33.753993165976404</v>
      </c>
      <c r="P18" s="24">
        <f t="shared" si="7"/>
        <v>36.218202001889502</v>
      </c>
      <c r="Q18" s="24">
        <f t="shared" si="7"/>
        <v>41.135062588675005</v>
      </c>
      <c r="R18" s="24">
        <f t="shared" si="7"/>
        <v>47.110164330262094</v>
      </c>
      <c r="S18" s="24"/>
      <c r="T18" s="24">
        <v>2.4650342585652871</v>
      </c>
      <c r="U18" s="24">
        <v>7.800512927356845</v>
      </c>
      <c r="V18" s="24">
        <v>9.9827624690471026</v>
      </c>
      <c r="W18" s="24">
        <v>11.934046804102428</v>
      </c>
      <c r="X18" s="24">
        <v>14.641767581072685</v>
      </c>
      <c r="Y18" s="24">
        <v>16.060656100548343</v>
      </c>
      <c r="Z18" s="24">
        <v>16.990094987579671</v>
      </c>
      <c r="AA18" s="24">
        <v>18.609876611675276</v>
      </c>
      <c r="AB18" s="25"/>
      <c r="AC18" s="24">
        <v>0.5739788294742415</v>
      </c>
      <c r="AD18" s="24">
        <v>1.0435464796219669</v>
      </c>
      <c r="AE18" s="24">
        <v>1.2714331763647291</v>
      </c>
      <c r="AF18" s="24">
        <v>1.6818545832263492</v>
      </c>
      <c r="AG18" s="24">
        <v>2.2356925697002277</v>
      </c>
      <c r="AH18" s="24">
        <v>2.3452910029905558</v>
      </c>
      <c r="AI18" s="24">
        <v>2.3928082959219292</v>
      </c>
      <c r="AJ18" s="24">
        <v>2.5125370140772838</v>
      </c>
      <c r="AK18" s="25"/>
      <c r="AL18" s="24">
        <v>1.8990211715445033</v>
      </c>
      <c r="AM18" s="24">
        <v>2.5436229653995865</v>
      </c>
      <c r="AN18" s="24">
        <v>3.0413311815874517</v>
      </c>
      <c r="AO18" s="24">
        <v>4.0562506761595012</v>
      </c>
      <c r="AP18" s="24">
        <v>5.9664206260925372</v>
      </c>
      <c r="AQ18" s="24">
        <v>7.666059444114806</v>
      </c>
      <c r="AR18" s="24">
        <v>11.482706158790783</v>
      </c>
      <c r="AS18" s="24">
        <v>14.329413983585267</v>
      </c>
      <c r="AT18" s="25"/>
      <c r="AU18" s="24">
        <v>2.7341479620406171</v>
      </c>
      <c r="AV18" s="24">
        <v>2.9393581950841923</v>
      </c>
      <c r="AW18" s="24">
        <v>4.4520872554108628</v>
      </c>
      <c r="AX18" s="24">
        <v>5.7254524267096016</v>
      </c>
      <c r="AY18" s="24">
        <v>6.009071524041393</v>
      </c>
      <c r="AZ18" s="24">
        <v>6.123708916085258</v>
      </c>
      <c r="BA18" s="24">
        <v>7.0460155143682632</v>
      </c>
      <c r="BB18" s="24">
        <v>8.0774079534740508</v>
      </c>
      <c r="BD18" s="24">
        <v>5.1892376234559494</v>
      </c>
      <c r="BE18" s="24">
        <v>5.6358256170552412</v>
      </c>
      <c r="BF18" s="24">
        <v>3.9119212332169591</v>
      </c>
      <c r="BG18" s="24">
        <v>2.4260059319357059</v>
      </c>
      <c r="BH18" s="24">
        <v>1.1597736232193048</v>
      </c>
      <c r="BI18" s="24">
        <v>0.6285331205868151</v>
      </c>
      <c r="BJ18" s="24">
        <v>0.22655977936938726</v>
      </c>
      <c r="BK18" s="24">
        <v>4.6379083930047138E-2</v>
      </c>
      <c r="BL18" s="24"/>
      <c r="BM18" s="24">
        <v>0.43925735652039266</v>
      </c>
      <c r="BN18" s="24">
        <v>0.30727305000885807</v>
      </c>
      <c r="BO18" s="24">
        <v>0.60242098791847476</v>
      </c>
      <c r="BP18" s="24">
        <v>1.0682330607678625</v>
      </c>
      <c r="BQ18" s="24">
        <v>1.5506541450341873</v>
      </c>
      <c r="BR18" s="24">
        <v>1.5581667855667842</v>
      </c>
      <c r="BS18" s="24">
        <v>1.7038784760485353</v>
      </c>
      <c r="BT18" s="24">
        <v>2.6715560283709037</v>
      </c>
      <c r="BV18" s="24">
        <v>4.6720683532286449</v>
      </c>
      <c r="BW18" s="24">
        <v>6.6141283469286885</v>
      </c>
      <c r="BX18" s="24">
        <v>5.7839796308799789</v>
      </c>
      <c r="BY18" s="24">
        <v>4.679152097185221</v>
      </c>
      <c r="BZ18" s="24">
        <v>3.3503867200353787</v>
      </c>
      <c r="CA18" s="24">
        <v>2.464319752583755</v>
      </c>
      <c r="CB18" s="24">
        <v>1.519559155965823</v>
      </c>
      <c r="CC18" s="24">
        <v>0.9093727390793146</v>
      </c>
    </row>
    <row r="19" spans="1:81" s="26" customFormat="1" ht="12">
      <c r="A19" s="23">
        <v>1972</v>
      </c>
      <c r="B19" s="24">
        <f t="shared" si="6"/>
        <v>18.579007825072893</v>
      </c>
      <c r="C19" s="24">
        <f t="shared" si="6"/>
        <v>27.884427553957952</v>
      </c>
      <c r="D19" s="24">
        <f t="shared" si="6"/>
        <v>29.926053622039738</v>
      </c>
      <c r="E19" s="24">
        <f t="shared" si="6"/>
        <v>32.575892847815595</v>
      </c>
      <c r="F19" s="24">
        <f t="shared" si="6"/>
        <v>36.042990574584195</v>
      </c>
      <c r="G19" s="24">
        <f t="shared" si="6"/>
        <v>38.420191431760806</v>
      </c>
      <c r="H19" s="24">
        <f t="shared" si="6"/>
        <v>42.372553317481049</v>
      </c>
      <c r="I19" s="24">
        <f t="shared" si="6"/>
        <v>47.708084792608282</v>
      </c>
      <c r="J19" s="24"/>
      <c r="K19" s="24">
        <f t="shared" si="7"/>
        <v>12.717321556917614</v>
      </c>
      <c r="L19" s="24">
        <f t="shared" si="7"/>
        <v>22.201853086125638</v>
      </c>
      <c r="M19" s="24">
        <f t="shared" si="7"/>
        <v>25.880119554435325</v>
      </c>
      <c r="N19" s="24">
        <f t="shared" si="7"/>
        <v>30.025924486353549</v>
      </c>
      <c r="O19" s="24">
        <f t="shared" si="7"/>
        <v>34.938777635341935</v>
      </c>
      <c r="P19" s="24">
        <f t="shared" si="7"/>
        <v>37.797670272210127</v>
      </c>
      <c r="Q19" s="24">
        <f t="shared" si="7"/>
        <v>42.149368378216899</v>
      </c>
      <c r="R19" s="24">
        <f t="shared" si="7"/>
        <v>47.661096217143069</v>
      </c>
      <c r="S19" s="24"/>
      <c r="T19" s="24">
        <v>2.7983531473906824</v>
      </c>
      <c r="U19" s="24">
        <v>8.3266759248140918</v>
      </c>
      <c r="V19" s="24">
        <v>11.0163560138247</v>
      </c>
      <c r="W19" s="24">
        <v>13.21549470874066</v>
      </c>
      <c r="X19" s="24">
        <v>16.093133119649643</v>
      </c>
      <c r="Y19" s="24">
        <v>17.217286616123005</v>
      </c>
      <c r="Z19" s="24">
        <v>17.655337218376673</v>
      </c>
      <c r="AA19" s="24">
        <v>19.444900573096398</v>
      </c>
      <c r="AB19" s="25"/>
      <c r="AC19" s="24">
        <v>0.68132491203305245</v>
      </c>
      <c r="AD19" s="24">
        <v>1.3986005469367311</v>
      </c>
      <c r="AE19" s="24">
        <v>1.6512714315196426</v>
      </c>
      <c r="AF19" s="24">
        <v>2.0578873602651346</v>
      </c>
      <c r="AG19" s="24">
        <v>2.4547610612414785</v>
      </c>
      <c r="AH19" s="24">
        <v>2.5880527207434048</v>
      </c>
      <c r="AI19" s="24">
        <v>2.7144547224969986</v>
      </c>
      <c r="AJ19" s="24">
        <v>2.7487015315775682</v>
      </c>
      <c r="AK19" s="25"/>
      <c r="AL19" s="24">
        <v>1.9191601804398792</v>
      </c>
      <c r="AM19" s="24">
        <v>2.5853933758522625</v>
      </c>
      <c r="AN19" s="24">
        <v>2.9978936555213753</v>
      </c>
      <c r="AO19" s="24">
        <v>4.2137462044392411</v>
      </c>
      <c r="AP19" s="24">
        <v>6.0087614156864237</v>
      </c>
      <c r="AQ19" s="24">
        <v>7.9716935680429311</v>
      </c>
      <c r="AR19" s="24">
        <v>11.503729119169401</v>
      </c>
      <c r="AS19" s="24">
        <v>14.161476453998576</v>
      </c>
      <c r="AT19" s="25"/>
      <c r="AU19" s="24">
        <v>2.1341909999727111</v>
      </c>
      <c r="AV19" s="24">
        <v>3.3244555913111</v>
      </c>
      <c r="AW19" s="24">
        <v>4.0510922765878936</v>
      </c>
      <c r="AX19" s="24">
        <v>4.9954909345261518</v>
      </c>
      <c r="AY19" s="24">
        <v>5.8130839146307256</v>
      </c>
      <c r="AZ19" s="24">
        <v>6.206976503269261</v>
      </c>
      <c r="BA19" s="24">
        <v>7.1863715325395132</v>
      </c>
      <c r="BB19" s="24">
        <v>7.7546381516323741</v>
      </c>
      <c r="BD19" s="24">
        <v>5.8616862681552782</v>
      </c>
      <c r="BE19" s="24">
        <v>5.682574467832314</v>
      </c>
      <c r="BF19" s="24">
        <v>4.0459340676044135</v>
      </c>
      <c r="BG19" s="24">
        <v>2.5499683614620432</v>
      </c>
      <c r="BH19" s="24">
        <v>1.1042129392422613</v>
      </c>
      <c r="BI19" s="24">
        <v>0.6225211595506821</v>
      </c>
      <c r="BJ19" s="24">
        <v>0.223184939264153</v>
      </c>
      <c r="BK19" s="24">
        <v>4.6988575465213914E-2</v>
      </c>
      <c r="BL19" s="24"/>
      <c r="BM19" s="24">
        <v>0.47073882461237487</v>
      </c>
      <c r="BN19" s="24">
        <v>0.33734470915255271</v>
      </c>
      <c r="BO19" s="24">
        <v>0.64683943499180763</v>
      </c>
      <c r="BP19" s="24">
        <v>1.1093054032289948</v>
      </c>
      <c r="BQ19" s="24">
        <v>1.6060776160826633</v>
      </c>
      <c r="BR19" s="24">
        <v>1.6106400039264273</v>
      </c>
      <c r="BS19" s="24">
        <v>1.7439407186610647</v>
      </c>
      <c r="BT19" s="24">
        <v>2.7040111737523773</v>
      </c>
      <c r="BV19" s="24">
        <v>4.713553492468912</v>
      </c>
      <c r="BW19" s="24">
        <v>6.229382938058901</v>
      </c>
      <c r="BX19" s="24">
        <v>5.5166667419899058</v>
      </c>
      <c r="BY19" s="24">
        <v>4.4339998751533649</v>
      </c>
      <c r="BZ19" s="24">
        <v>2.9629605080510064</v>
      </c>
      <c r="CA19" s="24">
        <v>2.2030208601050973</v>
      </c>
      <c r="CB19" s="24">
        <v>1.3455350669732478</v>
      </c>
      <c r="CC19" s="24">
        <v>0.84736833308578141</v>
      </c>
    </row>
    <row r="20" spans="1:81" s="26" customFormat="1" ht="12">
      <c r="A20" s="23">
        <v>1973</v>
      </c>
      <c r="B20" s="24">
        <f t="shared" si="6"/>
        <v>19.260404874816238</v>
      </c>
      <c r="C20" s="24">
        <f t="shared" si="6"/>
        <v>28.749477453849845</v>
      </c>
      <c r="D20" s="24">
        <f t="shared" si="6"/>
        <v>30.285849579414052</v>
      </c>
      <c r="E20" s="24">
        <f t="shared" si="6"/>
        <v>32.202135153722033</v>
      </c>
      <c r="F20" s="24">
        <f t="shared" si="6"/>
        <v>34.595193548666593</v>
      </c>
      <c r="G20" s="24">
        <f t="shared" si="6"/>
        <v>35.394832139820672</v>
      </c>
      <c r="H20" s="24">
        <f t="shared" si="6"/>
        <v>38.236269201335425</v>
      </c>
      <c r="I20" s="24">
        <f t="shared" si="6"/>
        <v>40.863907474263165</v>
      </c>
      <c r="J20" s="24"/>
      <c r="K20" s="24">
        <f t="shared" si="7"/>
        <v>12.995184772710621</v>
      </c>
      <c r="L20" s="24">
        <f t="shared" si="7"/>
        <v>22.105583511053553</v>
      </c>
      <c r="M20" s="24">
        <f t="shared" si="7"/>
        <v>25.428636284917356</v>
      </c>
      <c r="N20" s="24">
        <f t="shared" si="7"/>
        <v>29.200611232824322</v>
      </c>
      <c r="O20" s="24">
        <f t="shared" si="7"/>
        <v>33.310362065679094</v>
      </c>
      <c r="P20" s="24">
        <f t="shared" si="7"/>
        <v>34.6454128323414</v>
      </c>
      <c r="Q20" s="24">
        <f t="shared" si="7"/>
        <v>37.948411560829356</v>
      </c>
      <c r="R20" s="24">
        <f t="shared" si="7"/>
        <v>40.803131835263905</v>
      </c>
      <c r="S20" s="24"/>
      <c r="T20" s="24">
        <v>2.9072374316325016</v>
      </c>
      <c r="U20" s="24">
        <v>8.008462020666455</v>
      </c>
      <c r="V20" s="24">
        <v>10.572189866560953</v>
      </c>
      <c r="W20" s="24">
        <v>12.661930697631254</v>
      </c>
      <c r="X20" s="24">
        <v>14.935059067250139</v>
      </c>
      <c r="Y20" s="24">
        <v>15.316599022092699</v>
      </c>
      <c r="Z20" s="24">
        <v>16.023111430815732</v>
      </c>
      <c r="AA20" s="24">
        <v>16.228240831626508</v>
      </c>
      <c r="AB20" s="25"/>
      <c r="AC20" s="24">
        <v>0.63723334305851531</v>
      </c>
      <c r="AD20" s="24">
        <v>1.3698845194424436</v>
      </c>
      <c r="AE20" s="24">
        <v>1.6650264503138259</v>
      </c>
      <c r="AF20" s="24">
        <v>2.0510406652097508</v>
      </c>
      <c r="AG20" s="24">
        <v>2.5937405156420605</v>
      </c>
      <c r="AH20" s="24">
        <v>2.5635219625389989</v>
      </c>
      <c r="AI20" s="24">
        <v>2.6710149997913653</v>
      </c>
      <c r="AJ20" s="24">
        <v>2.4243369247295137</v>
      </c>
      <c r="AK20" s="25"/>
      <c r="AL20" s="24">
        <v>2.1843669737742926</v>
      </c>
      <c r="AM20" s="24">
        <v>2.8681744386888486</v>
      </c>
      <c r="AN20" s="24">
        <v>3.1120217947057056</v>
      </c>
      <c r="AO20" s="24">
        <v>4.1811592270766846</v>
      </c>
      <c r="AP20" s="24">
        <v>6.0134068860623318</v>
      </c>
      <c r="AQ20" s="24">
        <v>7.556283531378984</v>
      </c>
      <c r="AR20" s="24">
        <v>10.348572681875424</v>
      </c>
      <c r="AS20" s="24">
        <v>12.704457686352264</v>
      </c>
      <c r="AT20" s="25"/>
      <c r="AU20" s="24">
        <v>2.078619413398525</v>
      </c>
      <c r="AV20" s="24">
        <v>3.2809920838517637</v>
      </c>
      <c r="AW20" s="24">
        <v>3.8945999367815509</v>
      </c>
      <c r="AX20" s="24">
        <v>4.8428212928548628</v>
      </c>
      <c r="AY20" s="24">
        <v>5.3558367948866188</v>
      </c>
      <c r="AZ20" s="24">
        <v>5.5821033989856446</v>
      </c>
      <c r="BA20" s="24">
        <v>5.8545292294565536</v>
      </c>
      <c r="BB20" s="24">
        <v>6.0754740981310213</v>
      </c>
      <c r="BD20" s="24">
        <v>6.2652201021056193</v>
      </c>
      <c r="BE20" s="24">
        <v>6.643893942796292</v>
      </c>
      <c r="BF20" s="24">
        <v>4.8572132944966935</v>
      </c>
      <c r="BG20" s="24">
        <v>3.0015239208977111</v>
      </c>
      <c r="BH20" s="24">
        <v>1.2848314829874981</v>
      </c>
      <c r="BI20" s="24">
        <v>0.74941930747926933</v>
      </c>
      <c r="BJ20" s="24">
        <v>0.28785764050606621</v>
      </c>
      <c r="BK20" s="24">
        <v>6.0775638999259009E-2</v>
      </c>
      <c r="BL20" s="24"/>
      <c r="BM20" s="24">
        <v>0.40857383891901233</v>
      </c>
      <c r="BN20" s="24">
        <v>0.28846905937589112</v>
      </c>
      <c r="BO20" s="24">
        <v>0.56889734303570194</v>
      </c>
      <c r="BP20" s="24">
        <v>0.97901779114053633</v>
      </c>
      <c r="BQ20" s="24">
        <v>1.3696319471579963</v>
      </c>
      <c r="BR20" s="24">
        <v>1.3616540324673567</v>
      </c>
      <c r="BS20" s="24">
        <v>1.5788116247013257</v>
      </c>
      <c r="BT20" s="24">
        <v>2.3832876258538138</v>
      </c>
      <c r="BV20" s="24">
        <v>4.7791537719277724</v>
      </c>
      <c r="BW20" s="24">
        <v>6.2896013890281486</v>
      </c>
      <c r="BX20" s="24">
        <v>5.6159008935196191</v>
      </c>
      <c r="BY20" s="24">
        <v>4.4846415589112336</v>
      </c>
      <c r="BZ20" s="24">
        <v>3.0426868546799515</v>
      </c>
      <c r="CA20" s="24">
        <v>2.2652508848777186</v>
      </c>
      <c r="CB20" s="24">
        <v>1.4723715941889532</v>
      </c>
      <c r="CC20" s="24">
        <v>0.98733466857078533</v>
      </c>
    </row>
    <row r="21" spans="1:81" s="26" customFormat="1" ht="12">
      <c r="A21" s="23">
        <v>1974</v>
      </c>
      <c r="B21" s="24">
        <f t="shared" si="6"/>
        <v>19.585700901090981</v>
      </c>
      <c r="C21" s="24">
        <f t="shared" si="6"/>
        <v>29.718642408862106</v>
      </c>
      <c r="D21" s="24">
        <f t="shared" si="6"/>
        <v>30.831681459975439</v>
      </c>
      <c r="E21" s="24">
        <f t="shared" si="6"/>
        <v>32.605213566689187</v>
      </c>
      <c r="F21" s="24">
        <f t="shared" si="6"/>
        <v>34.609290063405908</v>
      </c>
      <c r="G21" s="24">
        <f t="shared" si="6"/>
        <v>35.623001419595411</v>
      </c>
      <c r="H21" s="24">
        <f t="shared" si="6"/>
        <v>38.385556483649879</v>
      </c>
      <c r="I21" s="24">
        <f t="shared" si="6"/>
        <v>40.510406719602905</v>
      </c>
      <c r="J21" s="24"/>
      <c r="K21" s="24">
        <f t="shared" si="7"/>
        <v>13.713430969490826</v>
      </c>
      <c r="L21" s="24">
        <f t="shared" si="7"/>
        <v>22.571330800033408</v>
      </c>
      <c r="M21" s="24">
        <f t="shared" si="7"/>
        <v>25.556933250820734</v>
      </c>
      <c r="N21" s="24">
        <f t="shared" si="7"/>
        <v>29.229495117882706</v>
      </c>
      <c r="O21" s="24">
        <f t="shared" si="7"/>
        <v>33.07479185944085</v>
      </c>
      <c r="P21" s="24">
        <f t="shared" si="7"/>
        <v>34.747108598994515</v>
      </c>
      <c r="Q21" s="24">
        <f t="shared" si="7"/>
        <v>38.027889288647245</v>
      </c>
      <c r="R21" s="24">
        <f t="shared" si="7"/>
        <v>40.436009501644946</v>
      </c>
      <c r="S21" s="24"/>
      <c r="T21" s="24">
        <v>3.1628434555249476</v>
      </c>
      <c r="U21" s="24">
        <v>8.4957605870379744</v>
      </c>
      <c r="V21" s="24">
        <v>10.949457665884168</v>
      </c>
      <c r="W21" s="24">
        <v>13.178328520547556</v>
      </c>
      <c r="X21" s="24">
        <v>15.947527391582719</v>
      </c>
      <c r="Y21" s="24">
        <v>17.315644029388906</v>
      </c>
      <c r="Z21" s="24">
        <v>18.952237992724395</v>
      </c>
      <c r="AA21" s="24">
        <v>18.883330162789743</v>
      </c>
      <c r="AB21" s="25"/>
      <c r="AC21" s="24">
        <v>0.73094558195663251</v>
      </c>
      <c r="AD21" s="24">
        <v>1.3073852731989517</v>
      </c>
      <c r="AE21" s="24">
        <v>1.6770753435428856</v>
      </c>
      <c r="AF21" s="24">
        <v>2.0716686766904346</v>
      </c>
      <c r="AG21" s="24">
        <v>2.5183407066316064</v>
      </c>
      <c r="AH21" s="24">
        <v>2.5476491080753094</v>
      </c>
      <c r="AI21" s="24">
        <v>2.5773456360910565</v>
      </c>
      <c r="AJ21" s="24">
        <v>2.4446405970616469</v>
      </c>
      <c r="AK21" s="25"/>
      <c r="AL21" s="24">
        <v>2.4079652655772437</v>
      </c>
      <c r="AM21" s="24">
        <v>2.9184444255728925</v>
      </c>
      <c r="AN21" s="24">
        <v>3.0685533894207153</v>
      </c>
      <c r="AO21" s="24">
        <v>3.8349498974831127</v>
      </c>
      <c r="AP21" s="24">
        <v>4.6563666056735222</v>
      </c>
      <c r="AQ21" s="24">
        <v>5.7674383635686723</v>
      </c>
      <c r="AR21" s="24">
        <v>7.8485514635157587</v>
      </c>
      <c r="AS21" s="24">
        <v>10.07586520291024</v>
      </c>
      <c r="AT21" s="25"/>
      <c r="AU21" s="24">
        <v>2.153206517696526</v>
      </c>
      <c r="AV21" s="24">
        <v>3.2055764171834804</v>
      </c>
      <c r="AW21" s="24">
        <v>3.6960526462862511</v>
      </c>
      <c r="AX21" s="24">
        <v>4.6442842293822348</v>
      </c>
      <c r="AY21" s="24">
        <v>5.3927196430300413</v>
      </c>
      <c r="AZ21" s="24">
        <v>5.3457185257021074</v>
      </c>
      <c r="BA21" s="24">
        <v>5.3978189147551774</v>
      </c>
      <c r="BB21" s="24">
        <v>5.454560217483488</v>
      </c>
      <c r="BD21" s="24">
        <v>5.8722699316001554</v>
      </c>
      <c r="BE21" s="24">
        <v>7.1473116088286979</v>
      </c>
      <c r="BF21" s="24">
        <v>5.2747482091547049</v>
      </c>
      <c r="BG21" s="24">
        <v>3.375718448806476</v>
      </c>
      <c r="BH21" s="24">
        <v>1.5344982039650557</v>
      </c>
      <c r="BI21" s="24">
        <v>0.87589282060089502</v>
      </c>
      <c r="BJ21" s="24">
        <v>0.35766719500263555</v>
      </c>
      <c r="BK21" s="24">
        <v>7.4397217957961087E-2</v>
      </c>
      <c r="BL21" s="24"/>
      <c r="BM21" s="24">
        <v>0.35476686116114603</v>
      </c>
      <c r="BN21" s="24">
        <v>0.25368149234111154</v>
      </c>
      <c r="BO21" s="24">
        <v>0.47641469371245626</v>
      </c>
      <c r="BP21" s="24">
        <v>0.85131053896332609</v>
      </c>
      <c r="BQ21" s="24">
        <v>1.2660974312431426</v>
      </c>
      <c r="BR21" s="24">
        <v>1.2713569224626395</v>
      </c>
      <c r="BS21" s="24">
        <v>1.4826150882869418</v>
      </c>
      <c r="BT21" s="24">
        <v>2.2688399962088619</v>
      </c>
      <c r="BV21" s="24">
        <v>4.9037032875743298</v>
      </c>
      <c r="BW21" s="24">
        <v>6.390482604698998</v>
      </c>
      <c r="BX21" s="24">
        <v>5.6893795119742583</v>
      </c>
      <c r="BY21" s="24">
        <v>4.6489532548160435</v>
      </c>
      <c r="BZ21" s="24">
        <v>3.293740081279819</v>
      </c>
      <c r="CA21" s="24">
        <v>2.4993016497968856</v>
      </c>
      <c r="CB21" s="24">
        <v>1.7693201932739169</v>
      </c>
      <c r="CC21" s="24">
        <v>1.3087733251909706</v>
      </c>
    </row>
    <row r="22" spans="1:81" s="26" customFormat="1" ht="12">
      <c r="A22" s="23">
        <v>1975</v>
      </c>
      <c r="B22" s="24">
        <f t="shared" si="6"/>
        <v>17.090820732363955</v>
      </c>
      <c r="C22" s="24">
        <f t="shared" si="6"/>
        <v>28.498983081291218</v>
      </c>
      <c r="D22" s="24">
        <f t="shared" si="6"/>
        <v>30.077711315125029</v>
      </c>
      <c r="E22" s="24">
        <f t="shared" si="6"/>
        <v>31.229170706282897</v>
      </c>
      <c r="F22" s="24">
        <f t="shared" si="6"/>
        <v>33.28823876632768</v>
      </c>
      <c r="G22" s="24">
        <f t="shared" si="6"/>
        <v>34.049895312476643</v>
      </c>
      <c r="H22" s="24">
        <f t="shared" si="6"/>
        <v>34.951434806177815</v>
      </c>
      <c r="I22" s="24">
        <f t="shared" si="6"/>
        <v>36.606556379409</v>
      </c>
      <c r="J22" s="24"/>
      <c r="K22" s="24">
        <f t="shared" si="7"/>
        <v>11.679007622109191</v>
      </c>
      <c r="L22" s="24">
        <f t="shared" si="7"/>
        <v>21.567267826772035</v>
      </c>
      <c r="M22" s="24">
        <f t="shared" si="7"/>
        <v>24.980719368807868</v>
      </c>
      <c r="N22" s="24">
        <f t="shared" si="7"/>
        <v>27.85755653486618</v>
      </c>
      <c r="O22" s="24">
        <f t="shared" si="7"/>
        <v>31.789931390051251</v>
      </c>
      <c r="P22" s="24">
        <f t="shared" si="7"/>
        <v>33.16011922382291</v>
      </c>
      <c r="Q22" s="24">
        <f t="shared" si="7"/>
        <v>34.611447159266845</v>
      </c>
      <c r="R22" s="24">
        <f t="shared" si="7"/>
        <v>36.532836083383565</v>
      </c>
      <c r="S22" s="24"/>
      <c r="T22" s="24">
        <v>2.1224057628215385</v>
      </c>
      <c r="U22" s="24">
        <v>7.5284420824190832</v>
      </c>
      <c r="V22" s="24">
        <v>10.199467512187073</v>
      </c>
      <c r="W22" s="24">
        <v>12.146071206474955</v>
      </c>
      <c r="X22" s="24">
        <v>14.758570703663104</v>
      </c>
      <c r="Y22" s="24">
        <v>16.032506234929382</v>
      </c>
      <c r="Z22" s="24">
        <v>16.271994417414266</v>
      </c>
      <c r="AA22" s="24">
        <v>16.00057927131207</v>
      </c>
      <c r="AB22" s="25"/>
      <c r="AC22" s="24">
        <v>0.59140566234911907</v>
      </c>
      <c r="AD22" s="24">
        <v>1.413095466330675</v>
      </c>
      <c r="AE22" s="24">
        <v>1.708760486679914</v>
      </c>
      <c r="AF22" s="24">
        <v>2.1032072926319674</v>
      </c>
      <c r="AG22" s="24">
        <v>2.6037038826609771</v>
      </c>
      <c r="AH22" s="24">
        <v>2.6516036471905853</v>
      </c>
      <c r="AI22" s="24">
        <v>2.5888940362579076</v>
      </c>
      <c r="AJ22" s="24">
        <v>2.3366371420592764</v>
      </c>
      <c r="AK22" s="25"/>
      <c r="AL22" s="24">
        <v>1.9567029837097036</v>
      </c>
      <c r="AM22" s="24">
        <v>2.6355378892218728</v>
      </c>
      <c r="AN22" s="24">
        <v>2.9034521877891186</v>
      </c>
      <c r="AO22" s="24">
        <v>3.4547167199643738</v>
      </c>
      <c r="AP22" s="24">
        <v>4.7702480864297465</v>
      </c>
      <c r="AQ22" s="24">
        <v>5.550270776599687</v>
      </c>
      <c r="AR22" s="24">
        <v>7.4351876847359151</v>
      </c>
      <c r="AS22" s="24">
        <v>9.4910819833227684</v>
      </c>
      <c r="AT22" s="25"/>
      <c r="AU22" s="24">
        <v>2.0124695519410043</v>
      </c>
      <c r="AV22" s="24">
        <v>3.2587875303154616</v>
      </c>
      <c r="AW22" s="24">
        <v>3.9530342531390277</v>
      </c>
      <c r="AX22" s="24">
        <v>4.7126320406500639</v>
      </c>
      <c r="AY22" s="24">
        <v>5.2217876611594072</v>
      </c>
      <c r="AZ22" s="24">
        <v>5.1652090105349577</v>
      </c>
      <c r="BA22" s="24">
        <v>5.2038452140831817</v>
      </c>
      <c r="BB22" s="24">
        <v>5.321439257728005</v>
      </c>
      <c r="BD22" s="24">
        <v>5.4118131102547622</v>
      </c>
      <c r="BE22" s="24">
        <v>6.9317152545191831</v>
      </c>
      <c r="BF22" s="24">
        <v>5.0969919463171625</v>
      </c>
      <c r="BG22" s="24">
        <v>3.3716141714167196</v>
      </c>
      <c r="BH22" s="24">
        <v>1.4983073762764316</v>
      </c>
      <c r="BI22" s="24">
        <v>0.8897760886537327</v>
      </c>
      <c r="BJ22" s="24">
        <v>0.33998764691096545</v>
      </c>
      <c r="BK22" s="24">
        <v>7.3720296025432203E-2</v>
      </c>
      <c r="BL22" s="24"/>
      <c r="BM22" s="24">
        <v>0.32974978693482138</v>
      </c>
      <c r="BN22" s="24">
        <v>0.24012053916738232</v>
      </c>
      <c r="BO22" s="24">
        <v>0.46673803593107388</v>
      </c>
      <c r="BP22" s="24">
        <v>0.80071859514410892</v>
      </c>
      <c r="BQ22" s="24">
        <v>1.1896463197029687</v>
      </c>
      <c r="BR22" s="24">
        <v>1.2431444420450375</v>
      </c>
      <c r="BS22" s="24">
        <v>1.3858720754550136</v>
      </c>
      <c r="BT22" s="24">
        <v>2.115285693269779</v>
      </c>
      <c r="BV22" s="24">
        <v>4.6662738743530046</v>
      </c>
      <c r="BW22" s="24">
        <v>6.4912843193175629</v>
      </c>
      <c r="BX22" s="24">
        <v>5.7492668930816615</v>
      </c>
      <c r="BY22" s="24">
        <v>4.6402106800007115</v>
      </c>
      <c r="BZ22" s="24">
        <v>3.2459747364350497</v>
      </c>
      <c r="CA22" s="24">
        <v>2.5173851125232587</v>
      </c>
      <c r="CB22" s="24">
        <v>1.7256537313205627</v>
      </c>
      <c r="CC22" s="24">
        <v>1.2678127356916733</v>
      </c>
    </row>
    <row r="23" spans="1:81" s="26" customFormat="1" ht="12">
      <c r="A23" s="23">
        <v>1976</v>
      </c>
      <c r="B23" s="24">
        <f t="shared" si="6"/>
        <v>17.11302323690375</v>
      </c>
      <c r="C23" s="24">
        <f t="shared" si="6"/>
        <v>29.1503671898265</v>
      </c>
      <c r="D23" s="24">
        <f t="shared" si="6"/>
        <v>31.137744608668822</v>
      </c>
      <c r="E23" s="24">
        <f t="shared" si="6"/>
        <v>32.817032062276105</v>
      </c>
      <c r="F23" s="24">
        <f t="shared" si="6"/>
        <v>34.54576196672997</v>
      </c>
      <c r="G23" s="24">
        <f t="shared" si="6"/>
        <v>35.683900787415119</v>
      </c>
      <c r="H23" s="24">
        <f t="shared" si="6"/>
        <v>37.817755274268698</v>
      </c>
      <c r="I23" s="24">
        <f t="shared" si="6"/>
        <v>39.876460924493017</v>
      </c>
      <c r="J23" s="24"/>
      <c r="K23" s="24">
        <f t="shared" si="7"/>
        <v>11.649491020237051</v>
      </c>
      <c r="L23" s="24">
        <f t="shared" si="7"/>
        <v>22.068628933312599</v>
      </c>
      <c r="M23" s="24">
        <f t="shared" si="7"/>
        <v>25.713208899763757</v>
      </c>
      <c r="N23" s="24">
        <f t="shared" si="7"/>
        <v>29.284936999472592</v>
      </c>
      <c r="O23" s="24">
        <f t="shared" si="7"/>
        <v>32.973837751892951</v>
      </c>
      <c r="P23" s="24">
        <f t="shared" si="7"/>
        <v>34.780450050707607</v>
      </c>
      <c r="Q23" s="24">
        <f t="shared" si="7"/>
        <v>37.475110815352416</v>
      </c>
      <c r="R23" s="24">
        <f t="shared" si="7"/>
        <v>39.826650026264709</v>
      </c>
      <c r="S23" s="24"/>
      <c r="T23" s="24">
        <v>2.0410509173041032</v>
      </c>
      <c r="U23" s="24">
        <v>7.8354281146282316</v>
      </c>
      <c r="V23" s="24">
        <v>10.697729951539769</v>
      </c>
      <c r="W23" s="24">
        <v>13.045250070003137</v>
      </c>
      <c r="X23" s="24">
        <v>15.449042161872104</v>
      </c>
      <c r="Y23" s="24">
        <v>16.884323048701948</v>
      </c>
      <c r="Z23" s="24">
        <v>17.665280438491433</v>
      </c>
      <c r="AA23" s="24">
        <v>17.563454052566989</v>
      </c>
      <c r="AB23" s="25"/>
      <c r="AC23" s="24">
        <v>0.73635267512705915</v>
      </c>
      <c r="AD23" s="24">
        <v>1.4277371803884773</v>
      </c>
      <c r="AE23" s="24">
        <v>1.8559427820702596</v>
      </c>
      <c r="AF23" s="24">
        <v>2.219241757989344</v>
      </c>
      <c r="AG23" s="24">
        <v>2.5810764893436366</v>
      </c>
      <c r="AH23" s="24">
        <v>2.6386996785917716</v>
      </c>
      <c r="AI23" s="24">
        <v>2.6387906702317925</v>
      </c>
      <c r="AJ23" s="24">
        <v>2.484085698923693</v>
      </c>
      <c r="AK23" s="25"/>
      <c r="AL23" s="24">
        <v>2.1359245720352455</v>
      </c>
      <c r="AM23" s="24">
        <v>3.0371030256629039</v>
      </c>
      <c r="AN23" s="24">
        <v>3.3033956730595539</v>
      </c>
      <c r="AO23" s="24">
        <v>4.2288198585533845</v>
      </c>
      <c r="AP23" s="24">
        <v>5.6209681403816631</v>
      </c>
      <c r="AQ23" s="24">
        <v>6.625462908211885</v>
      </c>
      <c r="AR23" s="24">
        <v>8.9726657045543892</v>
      </c>
      <c r="AS23" s="24">
        <v>11.096284840940752</v>
      </c>
      <c r="AT23" s="25"/>
      <c r="AU23" s="24">
        <v>1.9232801192007769</v>
      </c>
      <c r="AV23" s="24">
        <v>3.2920101248087015</v>
      </c>
      <c r="AW23" s="24">
        <v>3.8222201250164156</v>
      </c>
      <c r="AX23" s="24">
        <v>4.484099658346322</v>
      </c>
      <c r="AY23" s="24">
        <v>5.0130087692506295</v>
      </c>
      <c r="AZ23" s="24">
        <v>5.0394977283631022</v>
      </c>
      <c r="BA23" s="24">
        <v>5.1978267004677647</v>
      </c>
      <c r="BB23" s="24">
        <v>5.4748628370767891</v>
      </c>
      <c r="BD23" s="24">
        <v>5.4635322166666995</v>
      </c>
      <c r="BE23" s="24">
        <v>7.0817382565139013</v>
      </c>
      <c r="BF23" s="24">
        <v>5.424535708905065</v>
      </c>
      <c r="BG23" s="24">
        <v>3.5320950628035122</v>
      </c>
      <c r="BH23" s="24">
        <v>1.5719242148370183</v>
      </c>
      <c r="BI23" s="24">
        <v>0.90345073670751452</v>
      </c>
      <c r="BJ23" s="24">
        <v>0.34264445891628581</v>
      </c>
      <c r="BK23" s="24">
        <v>4.9810898228305249E-2</v>
      </c>
      <c r="BL23" s="24"/>
      <c r="BM23" s="24">
        <v>0.33166757855251189</v>
      </c>
      <c r="BN23" s="24">
        <v>0.2446468693894201</v>
      </c>
      <c r="BO23" s="24">
        <v>0.4663435054612271</v>
      </c>
      <c r="BP23" s="24">
        <v>0.81984939921013122</v>
      </c>
      <c r="BQ23" s="24">
        <v>1.1851287054924429</v>
      </c>
      <c r="BR23" s="24">
        <v>1.2150246826174267</v>
      </c>
      <c r="BS23" s="24">
        <v>1.4110278110790611</v>
      </c>
      <c r="BT23" s="24">
        <v>2.0730489240562067</v>
      </c>
      <c r="BV23" s="24">
        <v>4.4812151580173536</v>
      </c>
      <c r="BW23" s="24">
        <v>6.2317036184348646</v>
      </c>
      <c r="BX23" s="24">
        <v>5.567576862616531</v>
      </c>
      <c r="BY23" s="24">
        <v>4.4876762553702703</v>
      </c>
      <c r="BZ23" s="24">
        <v>3.1246134855524725</v>
      </c>
      <c r="CA23" s="24">
        <v>2.3774420042214803</v>
      </c>
      <c r="CB23" s="24">
        <v>1.5895194905279761</v>
      </c>
      <c r="CC23" s="24">
        <v>1.1349136727002704</v>
      </c>
    </row>
    <row r="24" spans="1:81" s="26" customFormat="1" ht="12">
      <c r="A24" s="23">
        <v>1977</v>
      </c>
      <c r="B24" s="24">
        <f t="shared" si="6"/>
        <v>17.493405389264392</v>
      </c>
      <c r="C24" s="24">
        <f t="shared" si="6"/>
        <v>29.533030519247095</v>
      </c>
      <c r="D24" s="24">
        <f t="shared" si="6"/>
        <v>31.455648225309268</v>
      </c>
      <c r="E24" s="24">
        <f t="shared" si="6"/>
        <v>33.251561679151145</v>
      </c>
      <c r="F24" s="24">
        <f t="shared" si="6"/>
        <v>34.601138684125871</v>
      </c>
      <c r="G24" s="24">
        <f t="shared" si="6"/>
        <v>34.585277802393257</v>
      </c>
      <c r="H24" s="24">
        <f t="shared" si="6"/>
        <v>36.221303795708231</v>
      </c>
      <c r="I24" s="24">
        <f t="shared" si="6"/>
        <v>37.934094198924996</v>
      </c>
      <c r="J24" s="24"/>
      <c r="K24" s="24">
        <f t="shared" si="7"/>
        <v>11.839383787404534</v>
      </c>
      <c r="L24" s="24">
        <f t="shared" si="7"/>
        <v>22.480463601345694</v>
      </c>
      <c r="M24" s="24">
        <f t="shared" si="7"/>
        <v>26.038561642276548</v>
      </c>
      <c r="N24" s="24">
        <f t="shared" si="7"/>
        <v>29.712326628978161</v>
      </c>
      <c r="O24" s="24">
        <f t="shared" si="7"/>
        <v>33.029077382059157</v>
      </c>
      <c r="P24" s="24">
        <f t="shared" si="7"/>
        <v>33.678092141998711</v>
      </c>
      <c r="Q24" s="24">
        <f t="shared" si="7"/>
        <v>35.867200924179848</v>
      </c>
      <c r="R24" s="24">
        <f t="shared" si="7"/>
        <v>37.860328175338765</v>
      </c>
      <c r="S24" s="24"/>
      <c r="T24" s="24">
        <v>2.0327629889796945</v>
      </c>
      <c r="U24" s="24">
        <v>8.1940928765934196</v>
      </c>
      <c r="V24" s="24">
        <v>11.147224067544672</v>
      </c>
      <c r="W24" s="24">
        <v>13.619669137779425</v>
      </c>
      <c r="X24" s="24">
        <v>16.137708200680017</v>
      </c>
      <c r="Y24" s="24">
        <v>16.808228059171839</v>
      </c>
      <c r="Z24" s="24">
        <v>17.668923347267825</v>
      </c>
      <c r="AA24" s="24">
        <v>17.751413354181253</v>
      </c>
      <c r="AB24" s="25"/>
      <c r="AC24" s="24">
        <v>0.70285956801258231</v>
      </c>
      <c r="AD24" s="24">
        <v>1.5616533575690195</v>
      </c>
      <c r="AE24" s="24">
        <v>1.8464471477091262</v>
      </c>
      <c r="AF24" s="24">
        <v>2.3429846605893396</v>
      </c>
      <c r="AG24" s="24">
        <v>2.6321506437903071</v>
      </c>
      <c r="AH24" s="24">
        <v>2.6371099538269038</v>
      </c>
      <c r="AI24" s="24">
        <v>2.6639949265511182</v>
      </c>
      <c r="AJ24" s="24">
        <v>2.4895690419359564</v>
      </c>
      <c r="AK24" s="25"/>
      <c r="AL24" s="24">
        <v>2.382384396030429</v>
      </c>
      <c r="AM24" s="24">
        <v>3.253555986392223</v>
      </c>
      <c r="AN24" s="24">
        <v>3.4752448756953971</v>
      </c>
      <c r="AO24" s="24">
        <v>4.2070590002060193</v>
      </c>
      <c r="AP24" s="24">
        <v>5.367758635497796</v>
      </c>
      <c r="AQ24" s="24">
        <v>6.1795328677822443</v>
      </c>
      <c r="AR24" s="24">
        <v>8.0843818339616131</v>
      </c>
      <c r="AS24" s="24">
        <v>9.9760306053746852</v>
      </c>
      <c r="AT24" s="25"/>
      <c r="AU24" s="24">
        <v>1.9139992901386145</v>
      </c>
      <c r="AV24" s="24">
        <v>3.2476584438151228</v>
      </c>
      <c r="AW24" s="24">
        <v>3.8579632527783834</v>
      </c>
      <c r="AX24" s="24">
        <v>4.4700422233954331</v>
      </c>
      <c r="AY24" s="24">
        <v>4.6833279763003297</v>
      </c>
      <c r="AZ24" s="24">
        <v>4.5365050343917401</v>
      </c>
      <c r="BA24" s="24">
        <v>4.386884896776114</v>
      </c>
      <c r="BB24" s="24">
        <v>4.2917883284314451</v>
      </c>
      <c r="BD24" s="24">
        <v>5.6540216018598555</v>
      </c>
      <c r="BE24" s="24">
        <v>7.0525669179014034</v>
      </c>
      <c r="BF24" s="24">
        <v>5.4170865830327219</v>
      </c>
      <c r="BG24" s="24">
        <v>3.5392350501729819</v>
      </c>
      <c r="BH24" s="24">
        <v>1.5720613020667173</v>
      </c>
      <c r="BI24" s="24">
        <v>0.90718566039455062</v>
      </c>
      <c r="BJ24" s="24">
        <v>0.35410287152837971</v>
      </c>
      <c r="BK24" s="24">
        <v>7.3766023586235269E-2</v>
      </c>
      <c r="BL24" s="24"/>
      <c r="BM24" s="24">
        <v>0.38694637058598752</v>
      </c>
      <c r="BN24" s="24">
        <v>0.2818969298239411</v>
      </c>
      <c r="BO24" s="24">
        <v>0.54483192427500871</v>
      </c>
      <c r="BP24" s="24">
        <v>0.95574766237762532</v>
      </c>
      <c r="BQ24" s="24">
        <v>1.3583187802548913</v>
      </c>
      <c r="BR24" s="24">
        <v>1.3748755029139708</v>
      </c>
      <c r="BS24" s="24">
        <v>1.5815441963601133</v>
      </c>
      <c r="BT24" s="24">
        <v>2.3042438478963057</v>
      </c>
      <c r="BV24" s="24">
        <v>4.420431173657227</v>
      </c>
      <c r="BW24" s="24">
        <v>5.9416060071519681</v>
      </c>
      <c r="BX24" s="24">
        <v>5.1668503742739649</v>
      </c>
      <c r="BY24" s="24">
        <v>4.1168239446303181</v>
      </c>
      <c r="BZ24" s="24">
        <v>2.8498131455358107</v>
      </c>
      <c r="CA24" s="24">
        <v>2.1418407239120061</v>
      </c>
      <c r="CB24" s="24">
        <v>1.4814717232630645</v>
      </c>
      <c r="CC24" s="24">
        <v>1.0472829975191142</v>
      </c>
    </row>
    <row r="25" spans="1:81" s="26" customFormat="1" ht="12">
      <c r="A25" s="23">
        <v>1978</v>
      </c>
      <c r="B25" s="24">
        <f t="shared" si="6"/>
        <v>17.973241980405252</v>
      </c>
      <c r="C25" s="24">
        <f t="shared" si="6"/>
        <v>29.726316761169219</v>
      </c>
      <c r="D25" s="24">
        <f t="shared" si="6"/>
        <v>31.431271632688041</v>
      </c>
      <c r="E25" s="24">
        <f t="shared" si="6"/>
        <v>32.793972610540351</v>
      </c>
      <c r="F25" s="24">
        <f t="shared" si="6"/>
        <v>33.752658398937903</v>
      </c>
      <c r="G25" s="24">
        <f t="shared" si="6"/>
        <v>34.21444082560955</v>
      </c>
      <c r="H25" s="24">
        <f t="shared" si="6"/>
        <v>34.880841254200625</v>
      </c>
      <c r="I25" s="24">
        <f t="shared" si="6"/>
        <v>35.575397437924885</v>
      </c>
      <c r="J25" s="24"/>
      <c r="K25" s="24">
        <f t="shared" si="7"/>
        <v>12.233901444297549</v>
      </c>
      <c r="L25" s="24">
        <f t="shared" si="7"/>
        <v>22.359437593485278</v>
      </c>
      <c r="M25" s="24">
        <f t="shared" si="7"/>
        <v>25.896231671434943</v>
      </c>
      <c r="N25" s="24">
        <f t="shared" si="7"/>
        <v>29.113540917608898</v>
      </c>
      <c r="O25" s="24">
        <f t="shared" si="7"/>
        <v>32.048845544592062</v>
      </c>
      <c r="P25" s="24">
        <f t="shared" si="7"/>
        <v>33.242535702908313</v>
      </c>
      <c r="Q25" s="24">
        <f t="shared" si="7"/>
        <v>34.519518946276101</v>
      </c>
      <c r="R25" s="24">
        <f t="shared" si="7"/>
        <v>35.499030973012808</v>
      </c>
      <c r="S25" s="24"/>
      <c r="T25" s="24">
        <v>2.413251432660295</v>
      </c>
      <c r="U25" s="24">
        <v>8.5264129229441981</v>
      </c>
      <c r="V25" s="24">
        <v>11.482020344606617</v>
      </c>
      <c r="W25" s="24">
        <v>13.966127807121925</v>
      </c>
      <c r="X25" s="24">
        <v>16.346744038069133</v>
      </c>
      <c r="Y25" s="24">
        <v>17.379069579737195</v>
      </c>
      <c r="Z25" s="24">
        <v>17.705446942871049</v>
      </c>
      <c r="AA25" s="24">
        <v>16.790173097356011</v>
      </c>
      <c r="AB25" s="25"/>
      <c r="AC25" s="24">
        <v>0.82769470511714927</v>
      </c>
      <c r="AD25" s="24">
        <v>1.531958397306511</v>
      </c>
      <c r="AE25" s="24">
        <v>1.9789675638049133</v>
      </c>
      <c r="AF25" s="24">
        <v>2.3418268262763768</v>
      </c>
      <c r="AG25" s="24">
        <v>2.6590491960842826</v>
      </c>
      <c r="AH25" s="24">
        <v>2.6902570770185052</v>
      </c>
      <c r="AI25" s="24">
        <v>2.6487626119809353</v>
      </c>
      <c r="AJ25" s="24">
        <v>2.7008026556521338</v>
      </c>
      <c r="AK25" s="25"/>
      <c r="AL25" s="24">
        <v>2.4946830783828764</v>
      </c>
      <c r="AM25" s="24">
        <v>3.3341229702987452</v>
      </c>
      <c r="AN25" s="24">
        <v>3.5908070692967837</v>
      </c>
      <c r="AO25" s="24">
        <v>4.1148364901187788</v>
      </c>
      <c r="AP25" s="24">
        <v>5.1288688395100479</v>
      </c>
      <c r="AQ25" s="24">
        <v>5.9992992305607009</v>
      </c>
      <c r="AR25" s="24">
        <v>7.7120053843819036</v>
      </c>
      <c r="AS25" s="24">
        <v>9.4098494403974851</v>
      </c>
      <c r="AT25" s="25"/>
      <c r="AU25" s="24">
        <v>1.8040307455961901</v>
      </c>
      <c r="AV25" s="24">
        <v>2.9455644519903403</v>
      </c>
      <c r="AW25" s="24">
        <v>3.3360864178365359</v>
      </c>
      <c r="AX25" s="24">
        <v>3.8617543949549886</v>
      </c>
      <c r="AY25" s="24">
        <v>4.0742411004083445</v>
      </c>
      <c r="AZ25" s="24">
        <v>4.0112387141239116</v>
      </c>
      <c r="BA25" s="24">
        <v>3.8685818495729976</v>
      </c>
      <c r="BB25" s="24">
        <v>3.8775541671919851</v>
      </c>
      <c r="BD25" s="24">
        <v>5.7393405361077026</v>
      </c>
      <c r="BE25" s="24">
        <v>7.3668791676839414</v>
      </c>
      <c r="BF25" s="24">
        <v>5.5350399612530996</v>
      </c>
      <c r="BG25" s="24">
        <v>3.6804316929314478</v>
      </c>
      <c r="BH25" s="24">
        <v>1.7038128543458482</v>
      </c>
      <c r="BI25" s="24">
        <v>0.97190512270123575</v>
      </c>
      <c r="BJ25" s="24">
        <v>0.36132230792452347</v>
      </c>
      <c r="BK25" s="24">
        <v>7.6366464912077922E-2</v>
      </c>
      <c r="BL25" s="24"/>
      <c r="BM25" s="24">
        <v>0.269518477388069</v>
      </c>
      <c r="BN25" s="24">
        <v>0.19420573008448155</v>
      </c>
      <c r="BO25" s="24">
        <v>0.37083187869533862</v>
      </c>
      <c r="BP25" s="24">
        <v>0.6571232569237091</v>
      </c>
      <c r="BQ25" s="24">
        <v>0.95089261441539064</v>
      </c>
      <c r="BR25" s="24">
        <v>0.96584770767105776</v>
      </c>
      <c r="BS25" s="24">
        <v>1.0802539451320032</v>
      </c>
      <c r="BT25" s="24">
        <v>1.5647333023889523</v>
      </c>
      <c r="BV25" s="24">
        <v>4.4247230051529698</v>
      </c>
      <c r="BW25" s="24">
        <v>5.8271731208610049</v>
      </c>
      <c r="BX25" s="24">
        <v>5.1375183971947553</v>
      </c>
      <c r="BY25" s="24">
        <v>4.1718721422131182</v>
      </c>
      <c r="BZ25" s="24">
        <v>2.8890497561048636</v>
      </c>
      <c r="CA25" s="24">
        <v>2.1968233937969397</v>
      </c>
      <c r="CB25" s="24">
        <v>1.5044682123372159</v>
      </c>
      <c r="CC25" s="24">
        <v>1.1559183100262347</v>
      </c>
    </row>
    <row r="26" spans="1:81" s="26" customFormat="1" ht="12">
      <c r="A26" s="23">
        <v>1979</v>
      </c>
      <c r="B26" s="24">
        <f t="shared" si="6"/>
        <v>17.869484869458351</v>
      </c>
      <c r="C26" s="24">
        <f t="shared" si="6"/>
        <v>29.998677733496081</v>
      </c>
      <c r="D26" s="24">
        <f t="shared" si="6"/>
        <v>31.967845024074858</v>
      </c>
      <c r="E26" s="24">
        <f t="shared" si="6"/>
        <v>33.15544142691202</v>
      </c>
      <c r="F26" s="24">
        <f t="shared" si="6"/>
        <v>34.830460264256878</v>
      </c>
      <c r="G26" s="24">
        <f t="shared" si="6"/>
        <v>35.315740180525417</v>
      </c>
      <c r="H26" s="24">
        <f t="shared" si="6"/>
        <v>36.865202282992335</v>
      </c>
      <c r="I26" s="24">
        <f t="shared" si="6"/>
        <v>40.26256276050507</v>
      </c>
      <c r="J26" s="24"/>
      <c r="K26" s="24">
        <f t="shared" si="7"/>
        <v>12.024496357052925</v>
      </c>
      <c r="L26" s="24">
        <f t="shared" si="7"/>
        <v>22.279625667596662</v>
      </c>
      <c r="M26" s="24">
        <f t="shared" si="7"/>
        <v>25.86286562229612</v>
      </c>
      <c r="N26" s="24">
        <f t="shared" si="7"/>
        <v>29.082380218426614</v>
      </c>
      <c r="O26" s="24">
        <f t="shared" si="7"/>
        <v>32.885853872182459</v>
      </c>
      <c r="P26" s="24">
        <f t="shared" si="7"/>
        <v>34.209769022833562</v>
      </c>
      <c r="Q26" s="24">
        <f t="shared" si="7"/>
        <v>36.453767165748708</v>
      </c>
      <c r="R26" s="24">
        <f t="shared" si="7"/>
        <v>40.179471005288612</v>
      </c>
      <c r="S26" s="24"/>
      <c r="T26" s="24">
        <v>2.5447895919136174</v>
      </c>
      <c r="U26" s="24">
        <v>9.0215227707866585</v>
      </c>
      <c r="V26" s="24">
        <v>12.188918941533181</v>
      </c>
      <c r="W26" s="24">
        <v>14.669337400730548</v>
      </c>
      <c r="X26" s="24">
        <v>17.805148059564178</v>
      </c>
      <c r="Y26" s="24">
        <v>19.067075593501801</v>
      </c>
      <c r="Z26" s="24">
        <v>20.31056019926379</v>
      </c>
      <c r="AA26" s="24">
        <v>21.872710374544216</v>
      </c>
      <c r="AB26" s="25"/>
      <c r="AC26" s="24">
        <v>0.6619711491125535</v>
      </c>
      <c r="AD26" s="24">
        <v>1.5804195606663283</v>
      </c>
      <c r="AE26" s="24">
        <v>1.9484962287584717</v>
      </c>
      <c r="AF26" s="24">
        <v>2.3728188278722904</v>
      </c>
      <c r="AG26" s="24">
        <v>2.6438038497930227</v>
      </c>
      <c r="AH26" s="24">
        <v>2.6224614859543891</v>
      </c>
      <c r="AI26" s="24">
        <v>2.6478477417325501</v>
      </c>
      <c r="AJ26" s="24">
        <v>2.8955739719483167</v>
      </c>
      <c r="AK26" s="25"/>
      <c r="AL26" s="24">
        <v>2.3879996045209975</v>
      </c>
      <c r="AM26" s="24">
        <v>3.0575173941040772</v>
      </c>
      <c r="AN26" s="24">
        <v>3.2456852167353119</v>
      </c>
      <c r="AO26" s="24">
        <v>3.8296936618906487</v>
      </c>
      <c r="AP26" s="24">
        <v>4.8929965733016152</v>
      </c>
      <c r="AQ26" s="24">
        <v>5.7644955976240384</v>
      </c>
      <c r="AR26" s="24">
        <v>7.5033956318817401</v>
      </c>
      <c r="AS26" s="24">
        <v>9.3998113760438038</v>
      </c>
      <c r="AT26" s="25"/>
      <c r="AU26" s="24">
        <v>1.7139489582198741</v>
      </c>
      <c r="AV26" s="24">
        <v>2.6289984300443261</v>
      </c>
      <c r="AW26" s="24">
        <v>3.0739182337680071</v>
      </c>
      <c r="AX26" s="24">
        <v>3.5359348798692625</v>
      </c>
      <c r="AY26" s="24">
        <v>3.7176179937263485</v>
      </c>
      <c r="AZ26" s="24">
        <v>3.6293926622500874</v>
      </c>
      <c r="BA26" s="24">
        <v>3.474489987164032</v>
      </c>
      <c r="BB26" s="24">
        <v>3.4516598871213424</v>
      </c>
      <c r="BD26" s="24">
        <v>5.8449885124054255</v>
      </c>
      <c r="BE26" s="24">
        <v>7.7190520658994162</v>
      </c>
      <c r="BF26" s="24">
        <v>6.1049794017787402</v>
      </c>
      <c r="BG26" s="24">
        <v>4.0730612084854005</v>
      </c>
      <c r="BH26" s="24">
        <v>1.9446063920744192</v>
      </c>
      <c r="BI26" s="24">
        <v>1.1059711576918509</v>
      </c>
      <c r="BJ26" s="24">
        <v>0.41143511724362869</v>
      </c>
      <c r="BK26" s="24">
        <v>8.3091755216461047E-2</v>
      </c>
      <c r="BL26" s="24"/>
      <c r="BM26" s="24">
        <v>0.25666687656868992</v>
      </c>
      <c r="BN26" s="24">
        <v>0.18159950875936334</v>
      </c>
      <c r="BO26" s="24">
        <v>0.34996348437714586</v>
      </c>
      <c r="BP26" s="24">
        <v>0.60693523720112874</v>
      </c>
      <c r="BQ26" s="24">
        <v>0.92147993302943676</v>
      </c>
      <c r="BR26" s="24">
        <v>0.93789213676651029</v>
      </c>
      <c r="BS26" s="24">
        <v>1.0105865129876335</v>
      </c>
      <c r="BT26" s="24">
        <v>1.4980757385583163</v>
      </c>
      <c r="BV26" s="24">
        <v>4.4591201767171915</v>
      </c>
      <c r="BW26" s="24">
        <v>5.8095680032359116</v>
      </c>
      <c r="BX26" s="24">
        <v>5.0558835171240029</v>
      </c>
      <c r="BY26" s="24">
        <v>4.0676602108627389</v>
      </c>
      <c r="BZ26" s="24">
        <v>2.9048074627678551</v>
      </c>
      <c r="CA26" s="24">
        <v>2.1884515467367418</v>
      </c>
      <c r="CB26" s="24">
        <v>1.5068870927189519</v>
      </c>
      <c r="CC26" s="24">
        <v>1.0616396570726165</v>
      </c>
    </row>
    <row r="27" spans="1:81" s="26" customFormat="1" ht="12">
      <c r="A27" s="23">
        <v>1980</v>
      </c>
      <c r="B27" s="24">
        <f t="shared" si="6"/>
        <v>16.99997514222455</v>
      </c>
      <c r="C27" s="24">
        <f t="shared" si="6"/>
        <v>29.931398527927279</v>
      </c>
      <c r="D27" s="24">
        <f t="shared" si="6"/>
        <v>32.231939339382407</v>
      </c>
      <c r="E27" s="24">
        <f t="shared" si="6"/>
        <v>33.596497694089791</v>
      </c>
      <c r="F27" s="24">
        <f t="shared" si="6"/>
        <v>35.734489137646683</v>
      </c>
      <c r="G27" s="24">
        <f t="shared" si="6"/>
        <v>36.449378018915951</v>
      </c>
      <c r="H27" s="24">
        <f t="shared" si="6"/>
        <v>38.242414594169631</v>
      </c>
      <c r="I27" s="24">
        <f t="shared" si="6"/>
        <v>41.091614116960152</v>
      </c>
      <c r="J27" s="24"/>
      <c r="K27" s="24">
        <f t="shared" si="7"/>
        <v>11.540640030672922</v>
      </c>
      <c r="L27" s="24">
        <f t="shared" si="7"/>
        <v>22.174726850412718</v>
      </c>
      <c r="M27" s="24">
        <f t="shared" si="7"/>
        <v>25.919915466433462</v>
      </c>
      <c r="N27" s="24">
        <f t="shared" si="7"/>
        <v>29.232957785316984</v>
      </c>
      <c r="O27" s="24">
        <f t="shared" si="7"/>
        <v>33.64121043781342</v>
      </c>
      <c r="P27" s="24">
        <f t="shared" si="7"/>
        <v>35.250204789820977</v>
      </c>
      <c r="Q27" s="24">
        <f t="shared" si="7"/>
        <v>37.771568721284574</v>
      </c>
      <c r="R27" s="24">
        <f t="shared" si="7"/>
        <v>40.993220370134289</v>
      </c>
      <c r="S27" s="24"/>
      <c r="T27" s="24">
        <v>2.4888705855515258</v>
      </c>
      <c r="U27" s="24">
        <v>9.1967861823091397</v>
      </c>
      <c r="V27" s="24">
        <v>12.584968277493736</v>
      </c>
      <c r="W27" s="24">
        <v>15.022074556391244</v>
      </c>
      <c r="X27" s="24">
        <v>18.372337223737951</v>
      </c>
      <c r="Y27" s="24">
        <v>19.8593701774968</v>
      </c>
      <c r="Z27" s="24">
        <v>21.291634007162799</v>
      </c>
      <c r="AA27" s="24">
        <v>21.931187736162212</v>
      </c>
      <c r="AB27" s="25"/>
      <c r="AC27" s="24">
        <v>0.61223516755598228</v>
      </c>
      <c r="AD27" s="24">
        <v>1.6060756145007662</v>
      </c>
      <c r="AE27" s="24">
        <v>1.9947014038388671</v>
      </c>
      <c r="AF27" s="24">
        <v>2.4844979302192312</v>
      </c>
      <c r="AG27" s="24">
        <v>2.8939479703069382</v>
      </c>
      <c r="AH27" s="24">
        <v>2.8358998181400801</v>
      </c>
      <c r="AI27" s="24">
        <v>2.983111367187393</v>
      </c>
      <c r="AJ27" s="24">
        <v>3.1873763546962626</v>
      </c>
      <c r="AK27" s="25"/>
      <c r="AL27" s="24">
        <v>1.942491790944703</v>
      </c>
      <c r="AM27" s="24">
        <v>2.6012911603298274</v>
      </c>
      <c r="AN27" s="24">
        <v>2.7774363077569539</v>
      </c>
      <c r="AO27" s="24">
        <v>3.3893681974113528</v>
      </c>
      <c r="AP27" s="24">
        <v>4.5218197165334102</v>
      </c>
      <c r="AQ27" s="24">
        <v>5.3681540177167584</v>
      </c>
      <c r="AR27" s="24">
        <v>6.8458674045139389</v>
      </c>
      <c r="AS27" s="24">
        <v>8.8748023665888791</v>
      </c>
      <c r="AT27" s="25"/>
      <c r="AU27" s="24">
        <v>1.6864828531730571</v>
      </c>
      <c r="AV27" s="24">
        <v>2.560536058676175</v>
      </c>
      <c r="AW27" s="24">
        <v>2.9284620183223868</v>
      </c>
      <c r="AX27" s="24">
        <v>3.4265684783219728</v>
      </c>
      <c r="AY27" s="24">
        <v>3.7475454009276903</v>
      </c>
      <c r="AZ27" s="24">
        <v>3.7251668817225627</v>
      </c>
      <c r="BA27" s="24">
        <v>3.7458613816413417</v>
      </c>
      <c r="BB27" s="24">
        <v>3.8811938785823847</v>
      </c>
      <c r="BD27" s="24">
        <v>5.4593351115516295</v>
      </c>
      <c r="BE27" s="24">
        <v>7.7566716775145563</v>
      </c>
      <c r="BF27" s="24">
        <v>6.3120238729489433</v>
      </c>
      <c r="BG27" s="24">
        <v>4.3635399087728111</v>
      </c>
      <c r="BH27" s="24">
        <v>2.09327869983326</v>
      </c>
      <c r="BI27" s="24">
        <v>1.199173229094969</v>
      </c>
      <c r="BJ27" s="24">
        <v>0.47084587288505864</v>
      </c>
      <c r="BK27" s="24">
        <v>9.8393746825863673E-2</v>
      </c>
      <c r="BL27" s="24"/>
      <c r="BM27" s="24">
        <v>0.27263692668141459</v>
      </c>
      <c r="BN27" s="24">
        <v>0.19064088308465288</v>
      </c>
      <c r="BO27" s="24">
        <v>0.37435080849037705</v>
      </c>
      <c r="BP27" s="24">
        <v>0.63982520599816284</v>
      </c>
      <c r="BQ27" s="24">
        <v>1.0152205747117644</v>
      </c>
      <c r="BR27" s="24">
        <v>1.0540470329559486</v>
      </c>
      <c r="BS27" s="24">
        <v>1.1664335793533398</v>
      </c>
      <c r="BT27" s="24">
        <v>1.7584022548422815</v>
      </c>
      <c r="BV27" s="24">
        <v>4.5379227067662375</v>
      </c>
      <c r="BW27" s="24">
        <v>6.0193969515121584</v>
      </c>
      <c r="BX27" s="24">
        <v>5.2599966505311384</v>
      </c>
      <c r="BY27" s="24">
        <v>4.2706234169750168</v>
      </c>
      <c r="BZ27" s="24">
        <v>3.0903395515956671</v>
      </c>
      <c r="CA27" s="24">
        <v>2.4075668617888262</v>
      </c>
      <c r="CB27" s="24">
        <v>1.7386609814257568</v>
      </c>
      <c r="CC27" s="24">
        <v>1.3602577792622714</v>
      </c>
    </row>
    <row r="28" spans="1:81" s="26" customFormat="1" ht="12">
      <c r="A28" s="23">
        <v>1981</v>
      </c>
      <c r="B28" s="24">
        <f t="shared" si="6"/>
        <v>17.340016760559063</v>
      </c>
      <c r="C28" s="24">
        <f t="shared" si="6"/>
        <v>30.854272894877123</v>
      </c>
      <c r="D28" s="24">
        <f t="shared" si="6"/>
        <v>33.257303577389607</v>
      </c>
      <c r="E28" s="24">
        <f t="shared" si="6"/>
        <v>33.741062553892299</v>
      </c>
      <c r="F28" s="24">
        <f t="shared" si="6"/>
        <v>35.025329452202634</v>
      </c>
      <c r="G28" s="24">
        <f t="shared" si="6"/>
        <v>35.445943053027939</v>
      </c>
      <c r="H28" s="24">
        <f t="shared" si="6"/>
        <v>36.522035990698463</v>
      </c>
      <c r="I28" s="24">
        <f t="shared" si="6"/>
        <v>38.564974206838315</v>
      </c>
      <c r="J28" s="24"/>
      <c r="K28" s="24">
        <f t="shared" si="7"/>
        <v>11.783613661982267</v>
      </c>
      <c r="L28" s="24">
        <f t="shared" si="7"/>
        <v>22.732707999944548</v>
      </c>
      <c r="M28" s="24">
        <f t="shared" si="7"/>
        <v>26.537114607558824</v>
      </c>
      <c r="N28" s="24">
        <f t="shared" si="7"/>
        <v>29.104339848720617</v>
      </c>
      <c r="O28" s="24">
        <f t="shared" si="7"/>
        <v>32.673515070675506</v>
      </c>
      <c r="P28" s="24">
        <f t="shared" si="7"/>
        <v>34.061856676508889</v>
      </c>
      <c r="Q28" s="24">
        <f t="shared" si="7"/>
        <v>35.978694811289998</v>
      </c>
      <c r="R28" s="24">
        <f t="shared" si="7"/>
        <v>38.451891577690091</v>
      </c>
      <c r="S28" s="24"/>
      <c r="T28" s="24">
        <v>2.7347618267975027</v>
      </c>
      <c r="U28" s="24">
        <v>9.6696537867989854</v>
      </c>
      <c r="V28" s="24">
        <v>13.177713818401193</v>
      </c>
      <c r="W28" s="24">
        <v>15.291534179930109</v>
      </c>
      <c r="X28" s="24">
        <v>18.275045333701907</v>
      </c>
      <c r="Y28" s="24">
        <v>19.78064983596067</v>
      </c>
      <c r="Z28" s="24">
        <v>21.234183424217914</v>
      </c>
      <c r="AA28" s="24">
        <v>21.518642484434146</v>
      </c>
      <c r="AB28" s="25"/>
      <c r="AC28" s="24">
        <v>0.59117196077390322</v>
      </c>
      <c r="AD28" s="24">
        <v>1.6200116421874899</v>
      </c>
      <c r="AE28" s="24">
        <v>2.0215035875953919</v>
      </c>
      <c r="AF28" s="24">
        <v>2.4296927228116818</v>
      </c>
      <c r="AG28" s="24">
        <v>2.8380239798163882</v>
      </c>
      <c r="AH28" s="24">
        <v>2.9623937721479878</v>
      </c>
      <c r="AI28" s="24">
        <v>3.1732488024283168</v>
      </c>
      <c r="AJ28" s="24">
        <v>3.4957749755454661</v>
      </c>
      <c r="AK28" s="25"/>
      <c r="AL28" s="24">
        <v>1.6091765305665984</v>
      </c>
      <c r="AM28" s="24">
        <v>2.2864052474127923</v>
      </c>
      <c r="AN28" s="24">
        <v>2.3839344657625028</v>
      </c>
      <c r="AO28" s="24">
        <v>2.7536276578161365</v>
      </c>
      <c r="AP28" s="24">
        <v>3.4291291964420179</v>
      </c>
      <c r="AQ28" s="24">
        <v>3.9146950866270096</v>
      </c>
      <c r="AR28" s="24">
        <v>4.8769900522514922</v>
      </c>
      <c r="AS28" s="24">
        <v>6.3385578610716848</v>
      </c>
      <c r="AT28" s="25"/>
      <c r="AU28" s="24">
        <v>1.7059820938010013</v>
      </c>
      <c r="AV28" s="24">
        <v>2.5475514037926108</v>
      </c>
      <c r="AW28" s="24">
        <v>2.9646901109115911</v>
      </c>
      <c r="AX28" s="24">
        <v>3.4191341221468483</v>
      </c>
      <c r="AY28" s="24">
        <v>3.7545027130710866</v>
      </c>
      <c r="AZ28" s="24">
        <v>3.6860175853355397</v>
      </c>
      <c r="BA28" s="24">
        <v>3.5476007420609101</v>
      </c>
      <c r="BB28" s="24">
        <v>3.6709490252346795</v>
      </c>
      <c r="BD28" s="24">
        <v>5.5564030985767978</v>
      </c>
      <c r="BE28" s="24">
        <v>8.1215648949325736</v>
      </c>
      <c r="BF28" s="24">
        <v>6.720188969830784</v>
      </c>
      <c r="BG28" s="24">
        <v>4.6367227051716826</v>
      </c>
      <c r="BH28" s="24">
        <v>2.3518143815271233</v>
      </c>
      <c r="BI28" s="24">
        <v>1.3840863765190494</v>
      </c>
      <c r="BJ28" s="24">
        <v>0.54334117940846205</v>
      </c>
      <c r="BK28" s="24">
        <v>0.11308262914822151</v>
      </c>
      <c r="BL28" s="24"/>
      <c r="BM28" s="24">
        <v>0.2565942039409756</v>
      </c>
      <c r="BN28" s="24">
        <v>0.17992866460843998</v>
      </c>
      <c r="BO28" s="24">
        <v>0.35115075021892128</v>
      </c>
      <c r="BP28" s="24">
        <v>0.59458362844034818</v>
      </c>
      <c r="BQ28" s="24">
        <v>0.96447860421202003</v>
      </c>
      <c r="BR28" s="24">
        <v>1.0430894291229837</v>
      </c>
      <c r="BS28" s="24">
        <v>1.1389619601104477</v>
      </c>
      <c r="BT28" s="24">
        <v>1.7312442588614481</v>
      </c>
      <c r="BV28" s="24">
        <v>4.8859270461022852</v>
      </c>
      <c r="BW28" s="24">
        <v>6.4291572551442302</v>
      </c>
      <c r="BX28" s="24">
        <v>5.638121874669225</v>
      </c>
      <c r="BY28" s="24">
        <v>4.615767537575497</v>
      </c>
      <c r="BZ28" s="24">
        <v>3.4123352434320866</v>
      </c>
      <c r="CA28" s="24">
        <v>2.6750109673146967</v>
      </c>
      <c r="CB28" s="24">
        <v>2.0077098302209149</v>
      </c>
      <c r="CC28" s="24">
        <v>1.6967229725426647</v>
      </c>
    </row>
    <row r="29" spans="1:81" s="26" customFormat="1" ht="12">
      <c r="A29" s="23">
        <v>1982</v>
      </c>
      <c r="B29" s="24">
        <f t="shared" si="6"/>
        <v>16.001522541664052</v>
      </c>
      <c r="C29" s="24">
        <f t="shared" si="6"/>
        <v>29.573256534643502</v>
      </c>
      <c r="D29" s="24">
        <f t="shared" si="6"/>
        <v>32.16969930526804</v>
      </c>
      <c r="E29" s="24">
        <f t="shared" si="6"/>
        <v>32.736828183350326</v>
      </c>
      <c r="F29" s="24">
        <f t="shared" si="6"/>
        <v>34.540681121090344</v>
      </c>
      <c r="G29" s="24">
        <f t="shared" si="6"/>
        <v>34.932471933496871</v>
      </c>
      <c r="H29" s="24">
        <f t="shared" si="6"/>
        <v>37.10048987032895</v>
      </c>
      <c r="I29" s="24">
        <f t="shared" si="6"/>
        <v>39.440657813402559</v>
      </c>
      <c r="J29" s="24"/>
      <c r="K29" s="24">
        <f t="shared" si="7"/>
        <v>10.648129135338843</v>
      </c>
      <c r="L29" s="24">
        <f t="shared" si="7"/>
        <v>21.313790482137591</v>
      </c>
      <c r="M29" s="24">
        <f t="shared" si="7"/>
        <v>24.966906771422288</v>
      </c>
      <c r="N29" s="24">
        <f t="shared" si="7"/>
        <v>27.694841625692735</v>
      </c>
      <c r="O29" s="24">
        <f t="shared" si="7"/>
        <v>31.909172329070806</v>
      </c>
      <c r="P29" s="24">
        <f t="shared" si="7"/>
        <v>33.383453254497745</v>
      </c>
      <c r="Q29" s="24">
        <f t="shared" si="7"/>
        <v>36.535310393796124</v>
      </c>
      <c r="R29" s="24">
        <f t="shared" si="7"/>
        <v>39.323566369962073</v>
      </c>
      <c r="S29" s="24"/>
      <c r="T29" s="24">
        <v>2.4716715950071655</v>
      </c>
      <c r="U29" s="24">
        <v>9.1742172278428136</v>
      </c>
      <c r="V29" s="24">
        <v>12.480924442607016</v>
      </c>
      <c r="W29" s="24">
        <v>14.736693403152998</v>
      </c>
      <c r="X29" s="24">
        <v>18.474898354192099</v>
      </c>
      <c r="Y29" s="24">
        <v>20.417797106941869</v>
      </c>
      <c r="Z29" s="24">
        <v>22.723954287596694</v>
      </c>
      <c r="AA29" s="24">
        <v>23.811345414301126</v>
      </c>
      <c r="AB29" s="25"/>
      <c r="AC29" s="24">
        <v>0.54594115493081741</v>
      </c>
      <c r="AD29" s="24">
        <v>1.6533361185361448</v>
      </c>
      <c r="AE29" s="24">
        <v>2.2077963120399788</v>
      </c>
      <c r="AF29" s="24">
        <v>2.5562598549175699</v>
      </c>
      <c r="AG29" s="24">
        <v>2.9640057866067577</v>
      </c>
      <c r="AH29" s="24">
        <v>3.0185462176247175</v>
      </c>
      <c r="AI29" s="24">
        <v>3.3577387318058713</v>
      </c>
      <c r="AJ29" s="24">
        <v>3.6846561002792995</v>
      </c>
      <c r="AK29" s="25"/>
      <c r="AL29" s="24">
        <v>1.0782376970408583</v>
      </c>
      <c r="AM29" s="24">
        <v>1.616416768001393</v>
      </c>
      <c r="AN29" s="24">
        <v>1.6628704823346379</v>
      </c>
      <c r="AO29" s="24">
        <v>1.8962170307441981</v>
      </c>
      <c r="AP29" s="24">
        <v>2.3352380030796751</v>
      </c>
      <c r="AQ29" s="24">
        <v>2.5738944163184732</v>
      </c>
      <c r="AR29" s="24">
        <v>3.4396070308532978</v>
      </c>
      <c r="AS29" s="24">
        <v>4.3914206979651418</v>
      </c>
      <c r="AT29" s="25"/>
      <c r="AU29" s="24">
        <v>1.8577959241988149</v>
      </c>
      <c r="AV29" s="24">
        <v>2.726471400819015</v>
      </c>
      <c r="AW29" s="24">
        <v>2.9642305438486622</v>
      </c>
      <c r="AX29" s="24">
        <v>3.4732767420322426</v>
      </c>
      <c r="AY29" s="24">
        <v>3.7895061477747634</v>
      </c>
      <c r="AZ29" s="24">
        <v>3.689021231413435</v>
      </c>
      <c r="BA29" s="24">
        <v>3.7686571943948941</v>
      </c>
      <c r="BB29" s="24">
        <v>3.9269866307571308</v>
      </c>
      <c r="BD29" s="24">
        <v>5.3533934063252087</v>
      </c>
      <c r="BE29" s="24">
        <v>8.2594660525059087</v>
      </c>
      <c r="BF29" s="24">
        <v>7.2027925338457504</v>
      </c>
      <c r="BG29" s="24">
        <v>5.0419865576575926</v>
      </c>
      <c r="BH29" s="24">
        <v>2.6315087920195404</v>
      </c>
      <c r="BI29" s="24">
        <v>1.5490186789991236</v>
      </c>
      <c r="BJ29" s="24">
        <v>0.56517947653282374</v>
      </c>
      <c r="BK29" s="24">
        <v>0.11709144344048879</v>
      </c>
      <c r="BL29" s="24"/>
      <c r="BM29" s="24">
        <v>0.26416896562199327</v>
      </c>
      <c r="BN29" s="24">
        <v>0.18711568102012099</v>
      </c>
      <c r="BO29" s="24">
        <v>0.35927666851221002</v>
      </c>
      <c r="BP29" s="24">
        <v>0.62112007022273819</v>
      </c>
      <c r="BQ29" s="24">
        <v>1.0356899247717866</v>
      </c>
      <c r="BR29" s="24">
        <v>1.0879080684112954</v>
      </c>
      <c r="BS29" s="24">
        <v>1.1721749774667471</v>
      </c>
      <c r="BT29" s="24">
        <v>1.6753356001440591</v>
      </c>
      <c r="BV29" s="24">
        <v>4.4303137985391938</v>
      </c>
      <c r="BW29" s="24">
        <v>5.9562332859181017</v>
      </c>
      <c r="BX29" s="24">
        <v>5.2918083220797847</v>
      </c>
      <c r="BY29" s="24">
        <v>4.4112745246229901</v>
      </c>
      <c r="BZ29" s="24">
        <v>3.3098341126457229</v>
      </c>
      <c r="CA29" s="24">
        <v>2.5962862137879577</v>
      </c>
      <c r="CB29" s="24">
        <v>2.0731781716786224</v>
      </c>
      <c r="CC29" s="24">
        <v>1.8338219265153177</v>
      </c>
    </row>
    <row r="30" spans="1:81" s="26" customFormat="1" ht="12">
      <c r="A30" s="23">
        <v>1983</v>
      </c>
      <c r="B30" s="24">
        <f t="shared" si="6"/>
        <v>15.886223992914466</v>
      </c>
      <c r="C30" s="24">
        <f t="shared" si="6"/>
        <v>28.706142549173251</v>
      </c>
      <c r="D30" s="24">
        <f t="shared" si="6"/>
        <v>30.979589580069252</v>
      </c>
      <c r="E30" s="24">
        <f t="shared" si="6"/>
        <v>31.866201313870999</v>
      </c>
      <c r="F30" s="24">
        <f t="shared" si="6"/>
        <v>32.620469797845224</v>
      </c>
      <c r="G30" s="24">
        <f t="shared" si="6"/>
        <v>34.066348166093313</v>
      </c>
      <c r="H30" s="24">
        <f t="shared" si="6"/>
        <v>37.341754528496061</v>
      </c>
      <c r="I30" s="24">
        <f t="shared" si="6"/>
        <v>40.142960988922219</v>
      </c>
      <c r="J30" s="24"/>
      <c r="K30" s="24">
        <f t="shared" si="7"/>
        <v>10.307318775927188</v>
      </c>
      <c r="L30" s="24">
        <f t="shared" si="7"/>
        <v>20.615902146565151</v>
      </c>
      <c r="M30" s="24">
        <f t="shared" si="7"/>
        <v>23.800820664361655</v>
      </c>
      <c r="N30" s="24">
        <f t="shared" si="7"/>
        <v>26.51818372504917</v>
      </c>
      <c r="O30" s="24">
        <f t="shared" si="7"/>
        <v>29.909965250359235</v>
      </c>
      <c r="P30" s="24">
        <f t="shared" si="7"/>
        <v>32.502068892869794</v>
      </c>
      <c r="Q30" s="24">
        <f t="shared" si="7"/>
        <v>36.747254818225322</v>
      </c>
      <c r="R30" s="24">
        <f t="shared" si="7"/>
        <v>40.024796502512288</v>
      </c>
      <c r="S30" s="24"/>
      <c r="T30" s="24">
        <v>2.12701757906177</v>
      </c>
      <c r="U30" s="24">
        <v>8.0387753859941853</v>
      </c>
      <c r="V30" s="24">
        <v>10.967243471642002</v>
      </c>
      <c r="W30" s="24">
        <v>13.305764670209358</v>
      </c>
      <c r="X30" s="24">
        <v>16.392086997269139</v>
      </c>
      <c r="Y30" s="24">
        <v>19.146338648747722</v>
      </c>
      <c r="Z30" s="24">
        <v>22.759245738895064</v>
      </c>
      <c r="AA30" s="24">
        <v>24.67897436932472</v>
      </c>
      <c r="AB30" s="25"/>
      <c r="AC30" s="24">
        <v>0.50879110222300838</v>
      </c>
      <c r="AD30" s="24">
        <v>1.7389689432738675</v>
      </c>
      <c r="AE30" s="24">
        <v>2.2905535649055331</v>
      </c>
      <c r="AF30" s="24">
        <v>2.6566780238445871</v>
      </c>
      <c r="AG30" s="24">
        <v>3.0589917137453577</v>
      </c>
      <c r="AH30" s="24">
        <v>3.242182787423928</v>
      </c>
      <c r="AI30" s="24">
        <v>3.5582290838719146</v>
      </c>
      <c r="AJ30" s="24">
        <v>3.8070373878704022</v>
      </c>
      <c r="AK30" s="25"/>
      <c r="AL30" s="24">
        <v>1.2743820897404685</v>
      </c>
      <c r="AM30" s="24">
        <v>1.9797927130829778</v>
      </c>
      <c r="AN30" s="24">
        <v>2.0006195461331462</v>
      </c>
      <c r="AO30" s="24">
        <v>2.2632733422027216</v>
      </c>
      <c r="AP30" s="24">
        <v>2.7528927165949351</v>
      </c>
      <c r="AQ30" s="24">
        <v>3.0873866977971272</v>
      </c>
      <c r="AR30" s="24">
        <v>3.8084473546314905</v>
      </c>
      <c r="AS30" s="24">
        <v>4.496327525595599</v>
      </c>
      <c r="AT30" s="25"/>
      <c r="AU30" s="24">
        <v>1.8703192784122893</v>
      </c>
      <c r="AV30" s="24">
        <v>2.757392303847332</v>
      </c>
      <c r="AW30" s="24">
        <v>2.9647923651902617</v>
      </c>
      <c r="AX30" s="24">
        <v>3.3316171670157289</v>
      </c>
      <c r="AY30" s="24">
        <v>3.6149613431630092</v>
      </c>
      <c r="AZ30" s="24">
        <v>3.5638367988397652</v>
      </c>
      <c r="BA30" s="24">
        <v>3.6808600665666824</v>
      </c>
      <c r="BB30" s="24">
        <v>4.0384619518829572</v>
      </c>
      <c r="BD30" s="24">
        <v>5.5789052169872786</v>
      </c>
      <c r="BE30" s="24">
        <v>8.0902404026080976</v>
      </c>
      <c r="BF30" s="24">
        <v>7.1787689157075976</v>
      </c>
      <c r="BG30" s="24">
        <v>5.3480175888218309</v>
      </c>
      <c r="BH30" s="24">
        <v>2.7105045474859883</v>
      </c>
      <c r="BI30" s="24">
        <v>1.5642792732235173</v>
      </c>
      <c r="BJ30" s="24">
        <v>0.59449971027073911</v>
      </c>
      <c r="BK30" s="24">
        <v>0.11816448640993332</v>
      </c>
      <c r="BL30" s="24"/>
      <c r="BM30" s="24">
        <v>0.20018209319321414</v>
      </c>
      <c r="BN30" s="24">
        <v>0.14127044211683729</v>
      </c>
      <c r="BO30" s="24">
        <v>0.26989299929787774</v>
      </c>
      <c r="BP30" s="24">
        <v>0.46619993421160821</v>
      </c>
      <c r="BQ30" s="24">
        <v>0.77613837202504532</v>
      </c>
      <c r="BR30" s="24">
        <v>0.82694942464592336</v>
      </c>
      <c r="BS30" s="24">
        <v>0.91429025971799527</v>
      </c>
      <c r="BT30" s="24">
        <v>1.2699913490161461</v>
      </c>
      <c r="BV30" s="24">
        <v>4.3266266332964367</v>
      </c>
      <c r="BW30" s="24">
        <v>5.9597023582499524</v>
      </c>
      <c r="BX30" s="24">
        <v>5.3077187171928353</v>
      </c>
      <c r="BY30" s="24">
        <v>4.4946505875651646</v>
      </c>
      <c r="BZ30" s="24">
        <v>3.31489410756175</v>
      </c>
      <c r="CA30" s="24">
        <v>2.6353745354153246</v>
      </c>
      <c r="CB30" s="24">
        <v>2.0261823145421776</v>
      </c>
      <c r="CC30" s="24">
        <v>1.7340039188224692</v>
      </c>
    </row>
    <row r="31" spans="1:81" s="26" customFormat="1" ht="12">
      <c r="A31" s="23">
        <v>1984</v>
      </c>
      <c r="B31" s="24">
        <f t="shared" si="6"/>
        <v>16.879989344982867</v>
      </c>
      <c r="C31" s="24">
        <f t="shared" si="6"/>
        <v>28.648205757435964</v>
      </c>
      <c r="D31" s="24">
        <f t="shared" si="6"/>
        <v>30.381719620206713</v>
      </c>
      <c r="E31" s="24">
        <f t="shared" si="6"/>
        <v>30.760792357604917</v>
      </c>
      <c r="F31" s="24">
        <f t="shared" si="6"/>
        <v>31.441446169319779</v>
      </c>
      <c r="G31" s="24">
        <f t="shared" si="6"/>
        <v>32.348613272328379</v>
      </c>
      <c r="H31" s="24">
        <f t="shared" si="6"/>
        <v>35.926996517932594</v>
      </c>
      <c r="I31" s="24">
        <f t="shared" si="6"/>
        <v>39.588762430567051</v>
      </c>
      <c r="J31" s="24"/>
      <c r="K31" s="24">
        <f t="shared" si="7"/>
        <v>10.926055598375505</v>
      </c>
      <c r="L31" s="24">
        <f t="shared" si="7"/>
        <v>20.351488133976634</v>
      </c>
      <c r="M31" s="24">
        <f t="shared" si="7"/>
        <v>23.330780065024452</v>
      </c>
      <c r="N31" s="24">
        <f t="shared" si="7"/>
        <v>25.59535620054459</v>
      </c>
      <c r="O31" s="24">
        <f t="shared" si="7"/>
        <v>28.893933153722159</v>
      </c>
      <c r="P31" s="24">
        <f t="shared" si="7"/>
        <v>30.882049374481756</v>
      </c>
      <c r="Q31" s="24">
        <f t="shared" si="7"/>
        <v>35.386816051564793</v>
      </c>
      <c r="R31" s="24">
        <f t="shared" si="7"/>
        <v>39.477851578142385</v>
      </c>
      <c r="S31" s="24"/>
      <c r="T31" s="24">
        <v>2.1857787377782762</v>
      </c>
      <c r="U31" s="24">
        <v>7.4232269019205672</v>
      </c>
      <c r="V31" s="24">
        <v>10.154365327200749</v>
      </c>
      <c r="W31" s="24">
        <v>12.340160671822803</v>
      </c>
      <c r="X31" s="24">
        <v>15.468630111959788</v>
      </c>
      <c r="Y31" s="24">
        <v>18.030718107444315</v>
      </c>
      <c r="Z31" s="24">
        <v>21.316636189668809</v>
      </c>
      <c r="AA31" s="24">
        <v>24.823509808222322</v>
      </c>
      <c r="AB31" s="25"/>
      <c r="AC31" s="24">
        <v>0.55701716703607251</v>
      </c>
      <c r="AD31" s="24">
        <v>1.7735056476995172</v>
      </c>
      <c r="AE31" s="24">
        <v>2.3578886838955659</v>
      </c>
      <c r="AF31" s="24">
        <v>2.673551307778844</v>
      </c>
      <c r="AG31" s="24">
        <v>3.0735270997563489</v>
      </c>
      <c r="AH31" s="24">
        <v>3.3248374265502201</v>
      </c>
      <c r="AI31" s="24">
        <v>4.22368015327788</v>
      </c>
      <c r="AJ31" s="24">
        <v>4.0200170021490695</v>
      </c>
      <c r="AK31" s="25"/>
      <c r="AL31" s="24">
        <v>1.4842820313840877</v>
      </c>
      <c r="AM31" s="24">
        <v>2.2288157474837007</v>
      </c>
      <c r="AN31" s="24">
        <v>2.2168663586307313</v>
      </c>
      <c r="AO31" s="24">
        <v>2.3655329727620242</v>
      </c>
      <c r="AP31" s="24">
        <v>2.8936673984978345</v>
      </c>
      <c r="AQ31" s="24">
        <v>2.9568083721625613</v>
      </c>
      <c r="AR31" s="24">
        <v>3.5327739782739238</v>
      </c>
      <c r="AS31" s="24">
        <v>4.0784016076419016</v>
      </c>
      <c r="AT31" s="25"/>
      <c r="AU31" s="24">
        <v>1.9269380002521808</v>
      </c>
      <c r="AV31" s="24">
        <v>2.6828617227322327</v>
      </c>
      <c r="AW31" s="24">
        <v>2.8181991873019783</v>
      </c>
      <c r="AX31" s="24">
        <v>3.1851415146267779</v>
      </c>
      <c r="AY31" s="24">
        <v>3.3540634269963574</v>
      </c>
      <c r="AZ31" s="24">
        <v>3.1705961680539496</v>
      </c>
      <c r="BA31" s="24">
        <v>3.3309349985086194</v>
      </c>
      <c r="BB31" s="24">
        <v>3.7158981609378419</v>
      </c>
      <c r="BD31" s="24">
        <v>5.953933746607361</v>
      </c>
      <c r="BE31" s="24">
        <v>8.2967176234593314</v>
      </c>
      <c r="BF31" s="24">
        <v>7.050939555182258</v>
      </c>
      <c r="BG31" s="24">
        <v>5.1654361570603289</v>
      </c>
      <c r="BH31" s="24">
        <v>2.5475130155976182</v>
      </c>
      <c r="BI31" s="24">
        <v>1.4665638978466238</v>
      </c>
      <c r="BJ31" s="24">
        <v>0.54018046636780093</v>
      </c>
      <c r="BK31" s="24">
        <v>0.11091085242466352</v>
      </c>
      <c r="BL31" s="24"/>
      <c r="BM31" s="24">
        <v>0.1839228207413795</v>
      </c>
      <c r="BN31" s="24">
        <v>0.12785836164868572</v>
      </c>
      <c r="BO31" s="24">
        <v>0.24226387098409452</v>
      </c>
      <c r="BP31" s="24">
        <v>0.41547265924809923</v>
      </c>
      <c r="BQ31" s="24">
        <v>0.68813556982251012</v>
      </c>
      <c r="BR31" s="24">
        <v>0.73274951641076003</v>
      </c>
      <c r="BS31" s="24">
        <v>0.791670963273998</v>
      </c>
      <c r="BT31" s="24">
        <v>1.0667070274153181</v>
      </c>
      <c r="BV31" s="24">
        <v>4.5881168411835089</v>
      </c>
      <c r="BW31" s="24">
        <v>6.1152197524919325</v>
      </c>
      <c r="BX31" s="24">
        <v>5.5411966370113372</v>
      </c>
      <c r="BY31" s="24">
        <v>4.6154970743060399</v>
      </c>
      <c r="BZ31" s="24">
        <v>3.4159095466893192</v>
      </c>
      <c r="CA31" s="24">
        <v>2.6663397838599447</v>
      </c>
      <c r="CB31" s="24">
        <v>2.1911197685615647</v>
      </c>
      <c r="CC31" s="24">
        <v>1.773317971775928</v>
      </c>
    </row>
    <row r="32" spans="1:81" s="26" customFormat="1" ht="12">
      <c r="A32" s="23">
        <v>1985</v>
      </c>
      <c r="B32" s="24">
        <f t="shared" si="6"/>
        <v>17.098487941367111</v>
      </c>
      <c r="C32" s="24">
        <f t="shared" si="6"/>
        <v>28.858023651757467</v>
      </c>
      <c r="D32" s="24">
        <f t="shared" si="6"/>
        <v>30.714165843978961</v>
      </c>
      <c r="E32" s="24">
        <f t="shared" si="6"/>
        <v>31.554633982915295</v>
      </c>
      <c r="F32" s="24">
        <f t="shared" si="6"/>
        <v>32.692024384567446</v>
      </c>
      <c r="G32" s="24">
        <f t="shared" si="6"/>
        <v>34.025656102645904</v>
      </c>
      <c r="H32" s="24">
        <f t="shared" si="6"/>
        <v>38.301112418902527</v>
      </c>
      <c r="I32" s="24">
        <f t="shared" si="6"/>
        <v>42.244857731871988</v>
      </c>
      <c r="J32" s="24"/>
      <c r="K32" s="24">
        <f t="shared" si="7"/>
        <v>10.814112488879122</v>
      </c>
      <c r="L32" s="24">
        <f t="shared" si="7"/>
        <v>20.432411296600414</v>
      </c>
      <c r="M32" s="24">
        <f t="shared" si="7"/>
        <v>23.660298150861713</v>
      </c>
      <c r="N32" s="24">
        <f t="shared" si="7"/>
        <v>26.32640274642231</v>
      </c>
      <c r="O32" s="24">
        <f t="shared" si="7"/>
        <v>29.946838903059703</v>
      </c>
      <c r="P32" s="24">
        <f t="shared" si="7"/>
        <v>32.516238743130785</v>
      </c>
      <c r="Q32" s="24">
        <f t="shared" si="7"/>
        <v>37.73122867355611</v>
      </c>
      <c r="R32" s="24">
        <f t="shared" si="7"/>
        <v>42.143302426503865</v>
      </c>
      <c r="S32" s="24"/>
      <c r="T32" s="24">
        <v>2.2677789877459733</v>
      </c>
      <c r="U32" s="24">
        <v>7.5941246395133026</v>
      </c>
      <c r="V32" s="24">
        <v>10.599626935007766</v>
      </c>
      <c r="W32" s="24">
        <v>12.988122575258135</v>
      </c>
      <c r="X32" s="24">
        <v>16.711909205638513</v>
      </c>
      <c r="Y32" s="24">
        <v>19.175982453791775</v>
      </c>
      <c r="Z32" s="24">
        <v>23.540231379591283</v>
      </c>
      <c r="AA32" s="24">
        <v>26.438460352998572</v>
      </c>
      <c r="AB32" s="25"/>
      <c r="AC32" s="24">
        <v>0.45525544492759884</v>
      </c>
      <c r="AD32" s="24">
        <v>1.7083630310870326</v>
      </c>
      <c r="AE32" s="24">
        <v>2.4115428226559148</v>
      </c>
      <c r="AF32" s="24">
        <v>2.8513550675377379</v>
      </c>
      <c r="AG32" s="24">
        <v>3.2524557568669716</v>
      </c>
      <c r="AH32" s="24">
        <v>3.6862641234089404</v>
      </c>
      <c r="AI32" s="24">
        <v>4.568240284696147</v>
      </c>
      <c r="AJ32" s="24">
        <v>4.6999906686569455</v>
      </c>
      <c r="AK32" s="25"/>
      <c r="AL32" s="24">
        <v>1.3435043099156303</v>
      </c>
      <c r="AM32" s="24">
        <v>2.1064517187920409</v>
      </c>
      <c r="AN32" s="24">
        <v>2.0832487068357226</v>
      </c>
      <c r="AO32" s="24">
        <v>2.248263623810685</v>
      </c>
      <c r="AP32" s="24">
        <v>2.5008009121126529</v>
      </c>
      <c r="AQ32" s="24">
        <v>2.8667262684917079</v>
      </c>
      <c r="AR32" s="24">
        <v>3.28645300018266</v>
      </c>
      <c r="AS32" s="24">
        <v>4.1139382589892852</v>
      </c>
      <c r="AT32" s="25"/>
      <c r="AU32" s="24">
        <v>1.9186765859515311</v>
      </c>
      <c r="AV32" s="24">
        <v>2.7243400161711571</v>
      </c>
      <c r="AW32" s="24">
        <v>2.8205875105451916</v>
      </c>
      <c r="AX32" s="24">
        <v>3.1681002998290921</v>
      </c>
      <c r="AY32" s="24">
        <v>3.3542048463865339</v>
      </c>
      <c r="AZ32" s="24">
        <v>3.3936886940748563</v>
      </c>
      <c r="BA32" s="24">
        <v>3.3548814611703568</v>
      </c>
      <c r="BB32" s="24">
        <v>3.9162813371373582</v>
      </c>
      <c r="BD32" s="24">
        <v>6.2843754524879909</v>
      </c>
      <c r="BE32" s="24">
        <v>8.4256123551570496</v>
      </c>
      <c r="BF32" s="24">
        <v>7.0538676931172457</v>
      </c>
      <c r="BG32" s="24">
        <v>5.2282312364929853</v>
      </c>
      <c r="BH32" s="24">
        <v>2.7451854815077428</v>
      </c>
      <c r="BI32" s="24">
        <v>1.5094173595151104</v>
      </c>
      <c r="BJ32" s="24">
        <v>0.5698837453464185</v>
      </c>
      <c r="BK32" s="24">
        <v>0.10155530536812207</v>
      </c>
      <c r="BL32" s="24"/>
      <c r="BM32" s="24">
        <v>0.18036579423082391</v>
      </c>
      <c r="BN32" s="24">
        <v>0.12580279567879379</v>
      </c>
      <c r="BO32" s="24">
        <v>0.23819430319700535</v>
      </c>
      <c r="BP32" s="24">
        <v>0.4113290906849576</v>
      </c>
      <c r="BQ32" s="24">
        <v>0.69278630968206989</v>
      </c>
      <c r="BR32" s="24">
        <v>0.74525995820767521</v>
      </c>
      <c r="BS32" s="24">
        <v>0.85528998802038947</v>
      </c>
      <c r="BT32" s="24">
        <v>1.0785695296569209</v>
      </c>
      <c r="BV32" s="24">
        <v>4.648531366107564</v>
      </c>
      <c r="BW32" s="24">
        <v>6.1733290953580875</v>
      </c>
      <c r="BX32" s="24">
        <v>5.5070978726201165</v>
      </c>
      <c r="BY32" s="24">
        <v>4.6592320893016987</v>
      </c>
      <c r="BZ32" s="24">
        <v>3.4346818723729617</v>
      </c>
      <c r="CA32" s="24">
        <v>2.6483172451558339</v>
      </c>
      <c r="CB32" s="24">
        <v>2.1261325598952783</v>
      </c>
      <c r="CC32" s="24">
        <v>1.8960622790647912</v>
      </c>
    </row>
    <row r="33" spans="1:84" s="26" customFormat="1" ht="12">
      <c r="A33" s="23">
        <v>1986</v>
      </c>
      <c r="B33" s="24">
        <f t="shared" si="6"/>
        <v>16.928691185948495</v>
      </c>
      <c r="C33" s="24">
        <f t="shared" si="6"/>
        <v>28.721531560488611</v>
      </c>
      <c r="D33" s="24">
        <f t="shared" si="6"/>
        <v>30.987698786399825</v>
      </c>
      <c r="E33" s="24">
        <f t="shared" si="6"/>
        <v>32.413182059383807</v>
      </c>
      <c r="F33" s="24">
        <f t="shared" si="6"/>
        <v>34.704998015174311</v>
      </c>
      <c r="G33" s="24">
        <f t="shared" si="6"/>
        <v>37.178320522064695</v>
      </c>
      <c r="H33" s="24">
        <f t="shared" si="6"/>
        <v>45.523869613172991</v>
      </c>
      <c r="I33" s="24">
        <f t="shared" si="6"/>
        <v>49.677497798844989</v>
      </c>
      <c r="J33" s="24"/>
      <c r="K33" s="24">
        <f t="shared" si="7"/>
        <v>10.655681296440228</v>
      </c>
      <c r="L33" s="24">
        <f t="shared" si="7"/>
        <v>20.118559595254148</v>
      </c>
      <c r="M33" s="24">
        <f t="shared" si="7"/>
        <v>23.374890347458155</v>
      </c>
      <c r="N33" s="24">
        <f t="shared" si="7"/>
        <v>26.764972878183116</v>
      </c>
      <c r="O33" s="24">
        <f t="shared" si="7"/>
        <v>31.740542042997536</v>
      </c>
      <c r="P33" s="24">
        <f t="shared" si="7"/>
        <v>35.430263453959512</v>
      </c>
      <c r="Q33" s="24">
        <f t="shared" si="7"/>
        <v>44.983072825018809</v>
      </c>
      <c r="R33" s="24">
        <f t="shared" si="7"/>
        <v>49.546229634929013</v>
      </c>
      <c r="S33" s="24"/>
      <c r="T33" s="24">
        <v>2.0777494187922669</v>
      </c>
      <c r="U33" s="24">
        <v>7.1927896828183648</v>
      </c>
      <c r="V33" s="24">
        <v>10.139933861374288</v>
      </c>
      <c r="W33" s="24">
        <v>13.144864821344521</v>
      </c>
      <c r="X33" s="24">
        <v>17.701232327731155</v>
      </c>
      <c r="Y33" s="24">
        <v>21.549655419184848</v>
      </c>
      <c r="Z33" s="24">
        <v>28.499008722770604</v>
      </c>
      <c r="AA33" s="24">
        <v>32.86912918228974</v>
      </c>
      <c r="AB33" s="25"/>
      <c r="AC33" s="24">
        <v>0.44629700321597843</v>
      </c>
      <c r="AD33" s="24">
        <v>1.6962990388923147</v>
      </c>
      <c r="AE33" s="24">
        <v>2.4406704896134288</v>
      </c>
      <c r="AF33" s="24">
        <v>2.9465778591155933</v>
      </c>
      <c r="AG33" s="24">
        <v>3.5614316781067918</v>
      </c>
      <c r="AH33" s="24">
        <v>3.8902604398820455</v>
      </c>
      <c r="AI33" s="24">
        <v>5.7219682591212591</v>
      </c>
      <c r="AJ33" s="24">
        <v>5.7242901102845325</v>
      </c>
      <c r="AK33" s="25"/>
      <c r="AL33" s="24">
        <v>1.4177773809236274</v>
      </c>
      <c r="AM33" s="24">
        <v>2.2682054777744565</v>
      </c>
      <c r="AN33" s="24">
        <v>2.218602642232157</v>
      </c>
      <c r="AO33" s="24">
        <v>2.4132274354495853</v>
      </c>
      <c r="AP33" s="24">
        <v>2.8370387739437963</v>
      </c>
      <c r="AQ33" s="24">
        <v>3.0143826255688237</v>
      </c>
      <c r="AR33" s="24">
        <v>4.2791625818779337</v>
      </c>
      <c r="AS33" s="24">
        <v>4.1656950966464503</v>
      </c>
      <c r="AT33" s="25"/>
      <c r="AU33" s="24">
        <v>1.9757005211637195</v>
      </c>
      <c r="AV33" s="24">
        <v>2.7965300638087225</v>
      </c>
      <c r="AW33" s="24">
        <v>2.9286076328591109</v>
      </c>
      <c r="AX33" s="24">
        <v>3.2867292885484947</v>
      </c>
      <c r="AY33" s="24">
        <v>3.6015976751944097</v>
      </c>
      <c r="AZ33" s="24">
        <v>3.5219898108643468</v>
      </c>
      <c r="BA33" s="24">
        <v>3.7355236714292426</v>
      </c>
      <c r="BB33" s="24">
        <v>3.8897438503338688</v>
      </c>
      <c r="BD33" s="24">
        <v>6.2730098895082698</v>
      </c>
      <c r="BE33" s="24">
        <v>8.6029719652344614</v>
      </c>
      <c r="BF33" s="24">
        <v>7.6128084389416708</v>
      </c>
      <c r="BG33" s="24">
        <v>5.6482091812006914</v>
      </c>
      <c r="BH33" s="24">
        <v>2.9644559721767738</v>
      </c>
      <c r="BI33" s="24">
        <v>1.7480570681051788</v>
      </c>
      <c r="BJ33" s="24">
        <v>0.54079678815418508</v>
      </c>
      <c r="BK33" s="24">
        <v>0.13126816391597951</v>
      </c>
      <c r="BL33" s="24"/>
      <c r="BM33" s="24">
        <v>0.19286364206047826</v>
      </c>
      <c r="BN33" s="24">
        <v>0.13417023317988336</v>
      </c>
      <c r="BO33" s="24">
        <v>0.24715851918022028</v>
      </c>
      <c r="BP33" s="24">
        <v>0.43578822947022378</v>
      </c>
      <c r="BQ33" s="24">
        <v>0.7319874195731374</v>
      </c>
      <c r="BR33" s="24">
        <v>0.85900579180135328</v>
      </c>
      <c r="BS33" s="24">
        <v>0.99134788029529908</v>
      </c>
      <c r="BT33" s="24">
        <v>1.2054768774679301</v>
      </c>
      <c r="BV33" s="24">
        <v>4.5452933302841574</v>
      </c>
      <c r="BW33" s="24">
        <v>6.0305650987804054</v>
      </c>
      <c r="BX33" s="24">
        <v>5.3999172021989494</v>
      </c>
      <c r="BY33" s="24">
        <v>4.5377852442546951</v>
      </c>
      <c r="BZ33" s="24">
        <v>3.3072541684482459</v>
      </c>
      <c r="CA33" s="24">
        <v>2.5949693666580953</v>
      </c>
      <c r="CB33" s="24">
        <v>1.7560617095244684</v>
      </c>
      <c r="CC33" s="24">
        <v>1.6918945179064802</v>
      </c>
    </row>
    <row r="34" spans="1:84" s="26" customFormat="1" ht="12">
      <c r="A34" s="23">
        <v>1987</v>
      </c>
      <c r="B34" s="24">
        <f t="shared" si="6"/>
        <v>17.315695305146278</v>
      </c>
      <c r="C34" s="24">
        <f t="shared" si="6"/>
        <v>29.172143075078377</v>
      </c>
      <c r="D34" s="24">
        <f t="shared" si="6"/>
        <v>32.082269401342053</v>
      </c>
      <c r="E34" s="24">
        <f t="shared" si="6"/>
        <v>34.238394659775899</v>
      </c>
      <c r="F34" s="24">
        <f t="shared" si="6"/>
        <v>36.530441181724704</v>
      </c>
      <c r="G34" s="24">
        <f t="shared" si="6"/>
        <v>38.026073771925944</v>
      </c>
      <c r="H34" s="24">
        <f t="shared" si="6"/>
        <v>41.694848041623892</v>
      </c>
      <c r="I34" s="24">
        <f t="shared" si="6"/>
        <v>44.659735682322989</v>
      </c>
      <c r="J34" s="24"/>
      <c r="K34" s="24">
        <f t="shared" si="7"/>
        <v>10.997625723967602</v>
      </c>
      <c r="L34" s="24">
        <f t="shared" si="7"/>
        <v>20.574541794743403</v>
      </c>
      <c r="M34" s="24">
        <f t="shared" si="7"/>
        <v>24.579996826572739</v>
      </c>
      <c r="N34" s="24">
        <f t="shared" si="7"/>
        <v>28.715882507602895</v>
      </c>
      <c r="O34" s="24">
        <f t="shared" si="7"/>
        <v>33.724223141624954</v>
      </c>
      <c r="P34" s="24">
        <f t="shared" si="7"/>
        <v>36.414142218199927</v>
      </c>
      <c r="Q34" s="24">
        <f t="shared" si="7"/>
        <v>41.088983858945525</v>
      </c>
      <c r="R34" s="24">
        <f t="shared" si="7"/>
        <v>44.537596854481031</v>
      </c>
      <c r="S34" s="24"/>
      <c r="T34" s="24">
        <v>2.1666050383412103</v>
      </c>
      <c r="U34" s="24">
        <v>7.4212919996102373</v>
      </c>
      <c r="V34" s="24">
        <v>11.205359431156392</v>
      </c>
      <c r="W34" s="24">
        <v>14.801181850451645</v>
      </c>
      <c r="X34" s="24">
        <v>19.404373759563871</v>
      </c>
      <c r="Y34" s="24">
        <v>21.933257268120322</v>
      </c>
      <c r="Z34" s="24">
        <v>25.413956784128448</v>
      </c>
      <c r="AA34" s="24">
        <v>26.98624016050119</v>
      </c>
      <c r="AB34" s="25"/>
      <c r="AC34" s="24">
        <v>0.55350651382735438</v>
      </c>
      <c r="AD34" s="24">
        <v>1.696353533222416</v>
      </c>
      <c r="AE34" s="24">
        <v>2.3959357426959342</v>
      </c>
      <c r="AF34" s="24">
        <v>3.0521929686550786</v>
      </c>
      <c r="AG34" s="24">
        <v>3.7769201042955851</v>
      </c>
      <c r="AH34" s="24">
        <v>4.4984791638646904</v>
      </c>
      <c r="AI34" s="24">
        <v>5.4047613114572357</v>
      </c>
      <c r="AJ34" s="24">
        <v>6.2120185615161336</v>
      </c>
      <c r="AK34" s="25"/>
      <c r="AL34" s="24">
        <v>1.7204392927028103</v>
      </c>
      <c r="AM34" s="24">
        <v>2.6718061622176275</v>
      </c>
      <c r="AN34" s="24">
        <v>2.5298672001799716</v>
      </c>
      <c r="AO34" s="24">
        <v>2.709953852351819</v>
      </c>
      <c r="AP34" s="24">
        <v>3.0706091614776789</v>
      </c>
      <c r="AQ34" s="24">
        <v>3.160310860372193</v>
      </c>
      <c r="AR34" s="24">
        <v>3.5209519795791446</v>
      </c>
      <c r="AS34" s="24">
        <v>4.0803196272513791</v>
      </c>
      <c r="AT34" s="25"/>
      <c r="AU34" s="24">
        <v>1.9837737833325759</v>
      </c>
      <c r="AV34" s="24">
        <v>2.898779810549911</v>
      </c>
      <c r="AW34" s="24">
        <v>3.0542145595546</v>
      </c>
      <c r="AX34" s="24">
        <v>3.360095429259407</v>
      </c>
      <c r="AY34" s="24">
        <v>3.4871967708677989</v>
      </c>
      <c r="AZ34" s="24">
        <v>3.308859121062155</v>
      </c>
      <c r="BA34" s="24">
        <v>3.3430774347599437</v>
      </c>
      <c r="BB34" s="24">
        <v>3.7815701591840187</v>
      </c>
      <c r="BD34" s="24">
        <v>6.3180695811786745</v>
      </c>
      <c r="BE34" s="24">
        <v>8.5976012803349739</v>
      </c>
      <c r="BF34" s="24">
        <v>7.5022725747693118</v>
      </c>
      <c r="BG34" s="24">
        <v>5.5225121521730074</v>
      </c>
      <c r="BH34" s="24">
        <v>2.806218040099751</v>
      </c>
      <c r="BI34" s="24">
        <v>1.6119315537260168</v>
      </c>
      <c r="BJ34" s="24">
        <v>0.6058641826783695</v>
      </c>
      <c r="BK34" s="24">
        <v>0.12213882784195829</v>
      </c>
      <c r="BL34" s="24"/>
      <c r="BM34" s="24">
        <v>0.19271566777632193</v>
      </c>
      <c r="BN34" s="24">
        <v>0.13051782878080775</v>
      </c>
      <c r="BO34" s="24">
        <v>0.23946802893055233</v>
      </c>
      <c r="BP34" s="24">
        <v>0.44125004973207893</v>
      </c>
      <c r="BQ34" s="24">
        <v>0.74437686728311103</v>
      </c>
      <c r="BR34" s="24">
        <v>0.80031474822200488</v>
      </c>
      <c r="BS34" s="24">
        <v>0.88761267444766245</v>
      </c>
      <c r="BT34" s="24">
        <v>1.1112971236133695</v>
      </c>
      <c r="BV34" s="24">
        <v>4.38058542798733</v>
      </c>
      <c r="BW34" s="24">
        <v>5.7557924603624047</v>
      </c>
      <c r="BX34" s="24">
        <v>5.155151864055286</v>
      </c>
      <c r="BY34" s="24">
        <v>4.351208357152867</v>
      </c>
      <c r="BZ34" s="24">
        <v>3.2407464781369097</v>
      </c>
      <c r="CA34" s="24">
        <v>2.7129210565585633</v>
      </c>
      <c r="CB34" s="24">
        <v>2.5186236745730972</v>
      </c>
      <c r="CC34" s="24">
        <v>2.366151222414945</v>
      </c>
    </row>
    <row r="35" spans="1:84" s="26" customFormat="1" ht="12">
      <c r="A35" s="23">
        <v>1988</v>
      </c>
      <c r="B35" s="24">
        <f t="shared" si="6"/>
        <v>17.193111759576109</v>
      </c>
      <c r="C35" s="24">
        <f t="shared" si="6"/>
        <v>29.066805146664191</v>
      </c>
      <c r="D35" s="24">
        <f t="shared" si="6"/>
        <v>31.448732905212434</v>
      </c>
      <c r="E35" s="24">
        <f t="shared" si="6"/>
        <v>32.635963133148216</v>
      </c>
      <c r="F35" s="24">
        <f t="shared" si="6"/>
        <v>34.070680115654824</v>
      </c>
      <c r="G35" s="24">
        <f t="shared" si="6"/>
        <v>34.883868278335797</v>
      </c>
      <c r="H35" s="24">
        <f t="shared" si="6"/>
        <v>36.715559547140039</v>
      </c>
      <c r="I35" s="24">
        <f t="shared" si="6"/>
        <v>38.737348140879305</v>
      </c>
      <c r="J35" s="24"/>
      <c r="K35" s="24">
        <f t="shared" si="7"/>
        <v>10.605727665639632</v>
      </c>
      <c r="L35" s="24">
        <f t="shared" si="7"/>
        <v>20.029894710126751</v>
      </c>
      <c r="M35" s="24">
        <f t="shared" si="7"/>
        <v>23.467726949106453</v>
      </c>
      <c r="N35" s="24">
        <f t="shared" si="7"/>
        <v>27.010614687337785</v>
      </c>
      <c r="O35" s="24">
        <f t="shared" si="7"/>
        <v>31.287399243004575</v>
      </c>
      <c r="P35" s="24">
        <f t="shared" si="7"/>
        <v>33.353613418011243</v>
      </c>
      <c r="Q35" s="24">
        <f t="shared" si="7"/>
        <v>36.20486163817602</v>
      </c>
      <c r="R35" s="24">
        <f t="shared" si="7"/>
        <v>38.64993334508236</v>
      </c>
      <c r="S35" s="24"/>
      <c r="T35" s="24">
        <v>1.8769575505323699</v>
      </c>
      <c r="U35" s="24">
        <v>6.9464084845152234</v>
      </c>
      <c r="V35" s="24">
        <v>10.19685229702797</v>
      </c>
      <c r="W35" s="24">
        <v>13.308893443622663</v>
      </c>
      <c r="X35" s="24">
        <v>17.510092987265356</v>
      </c>
      <c r="Y35" s="24">
        <v>19.50345470508562</v>
      </c>
      <c r="Z35" s="24">
        <v>21.653700536392556</v>
      </c>
      <c r="AA35" s="24">
        <v>22.943039727401089</v>
      </c>
      <c r="AB35" s="25"/>
      <c r="AC35" s="24">
        <v>0.60187050836402689</v>
      </c>
      <c r="AD35" s="24">
        <v>1.6329488244519952</v>
      </c>
      <c r="AE35" s="24">
        <v>2.2624467372895878</v>
      </c>
      <c r="AF35" s="24">
        <v>2.8536604908343168</v>
      </c>
      <c r="AG35" s="24">
        <v>3.4911379430343739</v>
      </c>
      <c r="AH35" s="24">
        <v>3.9442763027036505</v>
      </c>
      <c r="AI35" s="24">
        <v>4.3475844711889549</v>
      </c>
      <c r="AJ35" s="24">
        <v>4.7370374236740664</v>
      </c>
      <c r="AK35" s="25"/>
      <c r="AL35" s="24">
        <v>1.7482595867493294</v>
      </c>
      <c r="AM35" s="24">
        <v>2.692861789901245</v>
      </c>
      <c r="AN35" s="24">
        <v>2.5244090075513315</v>
      </c>
      <c r="AO35" s="24">
        <v>2.7021278556357262</v>
      </c>
      <c r="AP35" s="24">
        <v>2.9521327044669214</v>
      </c>
      <c r="AQ35" s="24">
        <v>3.0677333587930664</v>
      </c>
      <c r="AR35" s="24">
        <v>3.488297808291549</v>
      </c>
      <c r="AS35" s="24">
        <v>4.2189748809722092</v>
      </c>
      <c r="AT35" s="25"/>
      <c r="AU35" s="24">
        <v>1.8576128538029442</v>
      </c>
      <c r="AV35" s="24">
        <v>2.9098717808604362</v>
      </c>
      <c r="AW35" s="24">
        <v>3.110813471618068</v>
      </c>
      <c r="AX35" s="24">
        <v>3.3655636981486867</v>
      </c>
      <c r="AY35" s="24">
        <v>3.3482749009082795</v>
      </c>
      <c r="AZ35" s="24">
        <v>3.2094013112022743</v>
      </c>
      <c r="BA35" s="24">
        <v>3.2201770391238527</v>
      </c>
      <c r="BB35" s="24">
        <v>3.4127967084824071</v>
      </c>
      <c r="BD35" s="24">
        <v>6.5873840939364783</v>
      </c>
      <c r="BE35" s="24">
        <v>9.0369104365374398</v>
      </c>
      <c r="BF35" s="24">
        <v>7.9810059561059816</v>
      </c>
      <c r="BG35" s="24">
        <v>5.6253484458104293</v>
      </c>
      <c r="BH35" s="24">
        <v>2.7832808726502529</v>
      </c>
      <c r="BI35" s="24">
        <v>1.5302548603245538</v>
      </c>
      <c r="BJ35" s="24">
        <v>0.51069790896401623</v>
      </c>
      <c r="BK35" s="24">
        <v>8.7414795796945374E-2</v>
      </c>
      <c r="BL35" s="24"/>
      <c r="BM35" s="24">
        <v>0.18944800873501444</v>
      </c>
      <c r="BN35" s="24">
        <v>0.1271508059945024</v>
      </c>
      <c r="BO35" s="24">
        <v>0.23176484559420163</v>
      </c>
      <c r="BP35" s="24">
        <v>0.41862941698243039</v>
      </c>
      <c r="BQ35" s="24">
        <v>0.67999909139467962</v>
      </c>
      <c r="BR35" s="24">
        <v>0.70164887455993019</v>
      </c>
      <c r="BS35" s="24">
        <v>0.66920686248213657</v>
      </c>
      <c r="BT35" s="24">
        <v>0.75669825710405925</v>
      </c>
      <c r="BV35" s="24">
        <v>4.3315791574559475</v>
      </c>
      <c r="BW35" s="24">
        <v>5.7206530244033464</v>
      </c>
      <c r="BX35" s="24">
        <v>5.1414405900252884</v>
      </c>
      <c r="BY35" s="24">
        <v>4.3617397821139612</v>
      </c>
      <c r="BZ35" s="24">
        <v>3.3057616159349621</v>
      </c>
      <c r="CA35" s="24">
        <v>2.9270988656667005</v>
      </c>
      <c r="CB35" s="24">
        <v>2.8258949206969763</v>
      </c>
      <c r="CC35" s="24">
        <v>2.5813863474485257</v>
      </c>
    </row>
    <row r="36" spans="1:84" s="26" customFormat="1" ht="12">
      <c r="A36" s="23">
        <v>1989</v>
      </c>
      <c r="B36" s="24">
        <f t="shared" si="6"/>
        <v>17.180705853567677</v>
      </c>
      <c r="C36" s="24">
        <f t="shared" si="6"/>
        <v>29.491603951772746</v>
      </c>
      <c r="D36" s="24">
        <f t="shared" si="6"/>
        <v>32.269241109195804</v>
      </c>
      <c r="E36" s="24">
        <f t="shared" si="6"/>
        <v>33.599591071221646</v>
      </c>
      <c r="F36" s="24">
        <f t="shared" si="6"/>
        <v>34.89263005766955</v>
      </c>
      <c r="G36" s="24">
        <f t="shared" si="6"/>
        <v>35.963130933281136</v>
      </c>
      <c r="H36" s="24">
        <f t="shared" si="6"/>
        <v>37.86391900122684</v>
      </c>
      <c r="I36" s="24">
        <f t="shared" si="6"/>
        <v>39.83532355540185</v>
      </c>
      <c r="J36" s="24"/>
      <c r="K36" s="24">
        <f t="shared" si="7"/>
        <v>10.65793133907459</v>
      </c>
      <c r="L36" s="24">
        <f t="shared" si="7"/>
        <v>20.619661627638511</v>
      </c>
      <c r="M36" s="24">
        <f t="shared" si="7"/>
        <v>24.414751122878403</v>
      </c>
      <c r="N36" s="24">
        <f t="shared" si="7"/>
        <v>27.942005414588813</v>
      </c>
      <c r="O36" s="24">
        <f t="shared" si="7"/>
        <v>32.125111276344931</v>
      </c>
      <c r="P36" s="24">
        <f t="shared" si="7"/>
        <v>34.385132284364339</v>
      </c>
      <c r="Q36" s="24">
        <f t="shared" si="7"/>
        <v>37.302909737644448</v>
      </c>
      <c r="R36" s="24">
        <f t="shared" si="7"/>
        <v>39.73636435705891</v>
      </c>
      <c r="S36" s="24"/>
      <c r="T36" s="24">
        <v>1.9181478316180234</v>
      </c>
      <c r="U36" s="24">
        <v>7.4788424348138216</v>
      </c>
      <c r="V36" s="24">
        <v>11.012260256210396</v>
      </c>
      <c r="W36" s="24">
        <v>14.214954154873787</v>
      </c>
      <c r="X36" s="24">
        <v>18.007601711215116</v>
      </c>
      <c r="Y36" s="24">
        <v>19.994450812774094</v>
      </c>
      <c r="Z36" s="24">
        <v>21.854363144171408</v>
      </c>
      <c r="AA36" s="24">
        <v>23.02709604122569</v>
      </c>
      <c r="AB36" s="25"/>
      <c r="AC36" s="24">
        <v>0.71441513931286615</v>
      </c>
      <c r="AD36" s="24">
        <v>1.7196392201622093</v>
      </c>
      <c r="AE36" s="24">
        <v>2.368896012321414</v>
      </c>
      <c r="AF36" s="24">
        <v>2.9706572274641516</v>
      </c>
      <c r="AG36" s="24">
        <v>3.5265362853272251</v>
      </c>
      <c r="AH36" s="24">
        <v>4.1846172077723383</v>
      </c>
      <c r="AI36" s="24">
        <v>4.8887629483147013</v>
      </c>
      <c r="AJ36" s="24">
        <v>5.1654424307657552</v>
      </c>
      <c r="AK36" s="25"/>
      <c r="AL36" s="24">
        <v>1.606665475434879</v>
      </c>
      <c r="AM36" s="24">
        <v>2.5225540426943813</v>
      </c>
      <c r="AN36" s="24">
        <v>2.3891063795097969</v>
      </c>
      <c r="AO36" s="24">
        <v>2.5318874112381304</v>
      </c>
      <c r="AP36" s="24">
        <v>2.8735977784814</v>
      </c>
      <c r="AQ36" s="24">
        <v>3.0359641090854406</v>
      </c>
      <c r="AR36" s="24">
        <v>3.4119444129492229</v>
      </c>
      <c r="AS36" s="24">
        <v>4.2128454340261881</v>
      </c>
      <c r="AT36" s="25"/>
      <c r="AU36" s="24">
        <v>1.8945604122475903</v>
      </c>
      <c r="AV36" s="24">
        <v>2.995172054112444</v>
      </c>
      <c r="AW36" s="24">
        <v>3.2218831745088439</v>
      </c>
      <c r="AX36" s="24">
        <v>3.3667655671427079</v>
      </c>
      <c r="AY36" s="24">
        <v>3.5824255139153203</v>
      </c>
      <c r="AZ36" s="24">
        <v>3.4173093251312832</v>
      </c>
      <c r="BA36" s="24">
        <v>3.5093305145800633</v>
      </c>
      <c r="BB36" s="24">
        <v>3.8007852943612495</v>
      </c>
      <c r="BD36" s="24">
        <v>6.5227745144930873</v>
      </c>
      <c r="BE36" s="24">
        <v>8.871942324134233</v>
      </c>
      <c r="BF36" s="24">
        <v>7.8544899863174065</v>
      </c>
      <c r="BG36" s="24">
        <v>5.6575856566328371</v>
      </c>
      <c r="BH36" s="24">
        <v>2.7675187813246174</v>
      </c>
      <c r="BI36" s="24">
        <v>1.5779986489167952</v>
      </c>
      <c r="BJ36" s="24">
        <v>0.561009263582391</v>
      </c>
      <c r="BK36" s="24">
        <v>9.895919834294116E-2</v>
      </c>
      <c r="BL36" s="24"/>
      <c r="BM36" s="24">
        <v>0.1986522103463701</v>
      </c>
      <c r="BN36" s="24">
        <v>0.13205168982866733</v>
      </c>
      <c r="BO36" s="24">
        <v>0.24366452262217864</v>
      </c>
      <c r="BP36" s="24">
        <v>0.44564788838280711</v>
      </c>
      <c r="BQ36" s="24">
        <v>0.6987836959120608</v>
      </c>
      <c r="BR36" s="24">
        <v>0.74823258115160107</v>
      </c>
      <c r="BS36" s="24">
        <v>0.74933288193077519</v>
      </c>
      <c r="BT36" s="24">
        <v>0.87126196664020639</v>
      </c>
      <c r="BV36" s="24">
        <v>4.3254902701148623</v>
      </c>
      <c r="BW36" s="24">
        <v>5.7714021860269868</v>
      </c>
      <c r="BX36" s="24">
        <v>5.1789407777057717</v>
      </c>
      <c r="BY36" s="24">
        <v>4.4120931654872262</v>
      </c>
      <c r="BZ36" s="24">
        <v>3.4361662914938038</v>
      </c>
      <c r="CA36" s="24">
        <v>3.0045582484495843</v>
      </c>
      <c r="CB36" s="24">
        <v>2.8891758356982806</v>
      </c>
      <c r="CC36" s="24">
        <v>2.6589331900398281</v>
      </c>
    </row>
    <row r="37" spans="1:84" s="26" customFormat="1" ht="12">
      <c r="A37" s="23">
        <v>1990</v>
      </c>
      <c r="B37" s="24">
        <f t="shared" si="6"/>
        <v>17.101769222925114</v>
      </c>
      <c r="C37" s="24">
        <f t="shared" si="6"/>
        <v>29.588512417201201</v>
      </c>
      <c r="D37" s="24">
        <f t="shared" si="6"/>
        <v>31.946667887138005</v>
      </c>
      <c r="E37" s="24">
        <f t="shared" si="6"/>
        <v>33.132088374049502</v>
      </c>
      <c r="F37" s="24">
        <f t="shared" si="6"/>
        <v>34.464344905742095</v>
      </c>
      <c r="G37" s="24">
        <f t="shared" si="6"/>
        <v>35.347521046679205</v>
      </c>
      <c r="H37" s="24">
        <f t="shared" si="6"/>
        <v>37.166217189716626</v>
      </c>
      <c r="I37" s="24">
        <f t="shared" si="6"/>
        <v>38.944885716014625</v>
      </c>
      <c r="J37" s="24"/>
      <c r="K37" s="24">
        <f t="shared" si="7"/>
        <v>10.339305886247921</v>
      </c>
      <c r="L37" s="24">
        <f t="shared" si="7"/>
        <v>20.537241619462076</v>
      </c>
      <c r="M37" s="24">
        <f t="shared" si="7"/>
        <v>24.384174688431425</v>
      </c>
      <c r="N37" s="24">
        <f t="shared" si="7"/>
        <v>27.735414199008467</v>
      </c>
      <c r="O37" s="24">
        <f t="shared" si="7"/>
        <v>31.599487893563627</v>
      </c>
      <c r="P37" s="24">
        <f t="shared" si="7"/>
        <v>33.794113861039158</v>
      </c>
      <c r="Q37" s="24">
        <f t="shared" si="7"/>
        <v>36.617142682967604</v>
      </c>
      <c r="R37" s="24">
        <f t="shared" si="7"/>
        <v>38.846144845359589</v>
      </c>
      <c r="S37" s="24"/>
      <c r="T37" s="24">
        <v>1.8171855957107654</v>
      </c>
      <c r="U37" s="24">
        <v>7.5017858709144498</v>
      </c>
      <c r="V37" s="24">
        <v>10.778979859637158</v>
      </c>
      <c r="W37" s="24">
        <v>13.509125984931059</v>
      </c>
      <c r="X37" s="24">
        <v>17.429397821339435</v>
      </c>
      <c r="Y37" s="24">
        <v>19.467895817520109</v>
      </c>
      <c r="Z37" s="24">
        <v>21.58720578162735</v>
      </c>
      <c r="AA37" s="24">
        <v>22.675728159330582</v>
      </c>
      <c r="AB37" s="25"/>
      <c r="AC37" s="24">
        <v>0.75154350248992785</v>
      </c>
      <c r="AD37" s="24">
        <v>1.7906776253556207</v>
      </c>
      <c r="AE37" s="24">
        <v>2.357933667887905</v>
      </c>
      <c r="AF37" s="24">
        <v>2.92448857262842</v>
      </c>
      <c r="AG37" s="24">
        <v>3.6124013878792063</v>
      </c>
      <c r="AH37" s="24">
        <v>4.1238919571844059</v>
      </c>
      <c r="AI37" s="24">
        <v>4.5219255184462703</v>
      </c>
      <c r="AJ37" s="24">
        <v>4.8159237149329419</v>
      </c>
      <c r="AK37" s="25"/>
      <c r="AL37" s="24">
        <v>1.4094158340806322</v>
      </c>
      <c r="AM37" s="24">
        <v>2.2295900952572207</v>
      </c>
      <c r="AN37" s="24">
        <v>2.4429898431362362</v>
      </c>
      <c r="AO37" s="24">
        <v>2.7692142838820435</v>
      </c>
      <c r="AP37" s="24">
        <v>2.6248597470810182</v>
      </c>
      <c r="AQ37" s="24">
        <v>2.7015995258308139</v>
      </c>
      <c r="AR37" s="24">
        <v>3.1103851139610126</v>
      </c>
      <c r="AS37" s="24">
        <v>3.7192634153800039</v>
      </c>
      <c r="AT37" s="25"/>
      <c r="AU37" s="24">
        <v>1.8513258605934126</v>
      </c>
      <c r="AV37" s="24">
        <v>3.0126677916589943</v>
      </c>
      <c r="AW37" s="24">
        <v>3.3617251226124174</v>
      </c>
      <c r="AX37" s="24">
        <v>3.6622115023152406</v>
      </c>
      <c r="AY37" s="24">
        <v>3.6635858149534801</v>
      </c>
      <c r="AZ37" s="24">
        <v>3.5502407463129484</v>
      </c>
      <c r="BA37" s="24">
        <v>3.5099423462305568</v>
      </c>
      <c r="BB37" s="24">
        <v>3.7264326666612031</v>
      </c>
      <c r="BD37" s="24">
        <v>6.7624633366771949</v>
      </c>
      <c r="BE37" s="24">
        <v>9.0512707977391251</v>
      </c>
      <c r="BF37" s="24">
        <v>7.56249319870658</v>
      </c>
      <c r="BG37" s="24">
        <v>5.3966741750410323</v>
      </c>
      <c r="BH37" s="24">
        <v>2.8648570121784682</v>
      </c>
      <c r="BI37" s="24">
        <v>1.5534071856400455</v>
      </c>
      <c r="BJ37" s="24">
        <v>0.54907450674901948</v>
      </c>
      <c r="BK37" s="24">
        <v>9.8740870655030732E-2</v>
      </c>
      <c r="BL37" s="24"/>
      <c r="BM37" s="24">
        <v>0.23880644526532344</v>
      </c>
      <c r="BN37" s="24">
        <v>0.15705484532098352</v>
      </c>
      <c r="BO37" s="24">
        <v>0.29730324343171222</v>
      </c>
      <c r="BP37" s="24">
        <v>0.53371378079378695</v>
      </c>
      <c r="BQ37" s="24">
        <v>0.82678677924246846</v>
      </c>
      <c r="BR37" s="24">
        <v>0.88149905731627287</v>
      </c>
      <c r="BS37" s="24">
        <v>0.88028860377034357</v>
      </c>
      <c r="BT37" s="24">
        <v>1.0656538354471625</v>
      </c>
      <c r="BV37" s="24">
        <v>4.2710286481078592</v>
      </c>
      <c r="BW37" s="24">
        <v>5.8454653909548053</v>
      </c>
      <c r="BX37" s="24">
        <v>5.1452429517259972</v>
      </c>
      <c r="BY37" s="24">
        <v>4.3366600744579182</v>
      </c>
      <c r="BZ37" s="24">
        <v>3.4424563430680162</v>
      </c>
      <c r="CA37" s="24">
        <v>3.0689867568746059</v>
      </c>
      <c r="CB37" s="24">
        <v>3.0073953189320681</v>
      </c>
      <c r="CC37" s="24">
        <v>2.8431430536076938</v>
      </c>
    </row>
    <row r="38" spans="1:84" s="26" customFormat="1" ht="12">
      <c r="A38" s="23">
        <v>1991</v>
      </c>
      <c r="B38" s="24">
        <f t="shared" si="6"/>
        <v>16.497784390627057</v>
      </c>
      <c r="C38" s="24">
        <f t="shared" si="6"/>
        <v>29.144801402396727</v>
      </c>
      <c r="D38" s="24">
        <f t="shared" si="6"/>
        <v>31.56695937583568</v>
      </c>
      <c r="E38" s="24">
        <f t="shared" si="6"/>
        <v>32.986631896621908</v>
      </c>
      <c r="F38" s="24">
        <f t="shared" si="6"/>
        <v>34.693589203216142</v>
      </c>
      <c r="G38" s="24">
        <f t="shared" si="6"/>
        <v>35.63000892909487</v>
      </c>
      <c r="H38" s="24">
        <f t="shared" si="6"/>
        <v>38.294243496308262</v>
      </c>
      <c r="I38" s="24">
        <f t="shared" si="6"/>
        <v>40.082693871520206</v>
      </c>
      <c r="J38" s="24"/>
      <c r="K38" s="24">
        <f t="shared" si="7"/>
        <v>9.7066407967359449</v>
      </c>
      <c r="L38" s="24">
        <f t="shared" si="7"/>
        <v>20.152699184368785</v>
      </c>
      <c r="M38" s="24">
        <f t="shared" si="7"/>
        <v>24.041930445309006</v>
      </c>
      <c r="N38" s="24">
        <f t="shared" si="7"/>
        <v>27.329108456259071</v>
      </c>
      <c r="O38" s="24">
        <f t="shared" si="7"/>
        <v>31.376720102327084</v>
      </c>
      <c r="P38" s="24">
        <f t="shared" si="7"/>
        <v>33.747086029575478</v>
      </c>
      <c r="Q38" s="24">
        <f t="shared" si="7"/>
        <v>37.616721646770316</v>
      </c>
      <c r="R38" s="24">
        <f t="shared" si="7"/>
        <v>39.96056930681128</v>
      </c>
      <c r="S38" s="24"/>
      <c r="T38" s="24">
        <v>1.500033262108535</v>
      </c>
      <c r="U38" s="24">
        <v>7.1574004691355819</v>
      </c>
      <c r="V38" s="24">
        <v>10.134061326337667</v>
      </c>
      <c r="W38" s="24">
        <v>12.770159797527251</v>
      </c>
      <c r="X38" s="24">
        <v>16.662650816276457</v>
      </c>
      <c r="Y38" s="24">
        <v>18.90347646353159</v>
      </c>
      <c r="Z38" s="24">
        <v>21.532696253800225</v>
      </c>
      <c r="AA38" s="24">
        <v>22.450499320238507</v>
      </c>
      <c r="AB38" s="25"/>
      <c r="AC38" s="24">
        <v>0.66666319403396512</v>
      </c>
      <c r="AD38" s="24">
        <v>1.7668097698544609</v>
      </c>
      <c r="AE38" s="24">
        <v>2.3609867058747813</v>
      </c>
      <c r="AF38" s="24">
        <v>2.9310778560607464</v>
      </c>
      <c r="AG38" s="24">
        <v>3.6682581113608679</v>
      </c>
      <c r="AH38" s="24">
        <v>4.0236024603576652</v>
      </c>
      <c r="AI38" s="24">
        <v>4.6658058492244532</v>
      </c>
      <c r="AJ38" s="24">
        <v>4.9708804633143657</v>
      </c>
      <c r="AK38" s="25"/>
      <c r="AL38" s="24">
        <v>1.2058325992061185</v>
      </c>
      <c r="AM38" s="24">
        <v>1.9562451852334362</v>
      </c>
      <c r="AN38" s="24">
        <v>2.4067266615652976</v>
      </c>
      <c r="AO38" s="24">
        <v>2.7933346766482661</v>
      </c>
      <c r="AP38" s="24">
        <v>2.7227390027535896</v>
      </c>
      <c r="AQ38" s="24">
        <v>2.8765639369218547</v>
      </c>
      <c r="AR38" s="24">
        <v>3.3927054886354884</v>
      </c>
      <c r="AS38" s="24">
        <v>4.2444291553125284</v>
      </c>
      <c r="AT38" s="25"/>
      <c r="AU38" s="24">
        <v>1.8391538960527414</v>
      </c>
      <c r="AV38" s="24">
        <v>3.0932649419841822</v>
      </c>
      <c r="AW38" s="24">
        <v>3.6191092903089555</v>
      </c>
      <c r="AX38" s="24">
        <v>3.9526964477593922</v>
      </c>
      <c r="AY38" s="24">
        <v>3.9849067831707154</v>
      </c>
      <c r="AZ38" s="24">
        <v>4.0039824522060554</v>
      </c>
      <c r="BA38" s="24">
        <v>4.2157717290748975</v>
      </c>
      <c r="BB38" s="24">
        <v>4.4857092500753648</v>
      </c>
      <c r="BD38" s="24">
        <v>6.7911435938911104</v>
      </c>
      <c r="BE38" s="24">
        <v>8.9921022180279397</v>
      </c>
      <c r="BF38" s="24">
        <v>7.5250289305266742</v>
      </c>
      <c r="BG38" s="24">
        <v>5.6575234403628345</v>
      </c>
      <c r="BH38" s="24">
        <v>3.3168691008890527</v>
      </c>
      <c r="BI38" s="24">
        <v>1.8829228995193945</v>
      </c>
      <c r="BJ38" s="24">
        <v>0.67752184953794814</v>
      </c>
      <c r="BK38" s="24">
        <v>0.12212456470893063</v>
      </c>
      <c r="BL38" s="24"/>
      <c r="BM38" s="24">
        <v>0.22509175911500481</v>
      </c>
      <c r="BN38" s="24">
        <v>0.14805594170784331</v>
      </c>
      <c r="BO38" s="24">
        <v>0.28547516989605159</v>
      </c>
      <c r="BP38" s="24">
        <v>0.50776543731237722</v>
      </c>
      <c r="BQ38" s="24">
        <v>0.80367562197822129</v>
      </c>
      <c r="BR38" s="24">
        <v>0.86228947592000926</v>
      </c>
      <c r="BS38" s="24">
        <v>0.89357451083645778</v>
      </c>
      <c r="BT38" s="24">
        <v>1.0953375135765411</v>
      </c>
      <c r="BV38" s="24">
        <v>4.2698660862195812</v>
      </c>
      <c r="BW38" s="24">
        <v>6.030922876453281</v>
      </c>
      <c r="BX38" s="24">
        <v>5.235571291326254</v>
      </c>
      <c r="BY38" s="24">
        <v>4.3740742409510398</v>
      </c>
      <c r="BZ38" s="24">
        <v>3.534489766787237</v>
      </c>
      <c r="CA38" s="24">
        <v>3.0771712406383007</v>
      </c>
      <c r="CB38" s="24">
        <v>2.9161678151987895</v>
      </c>
      <c r="CC38" s="24">
        <v>2.7137136042939751</v>
      </c>
    </row>
    <row r="39" spans="1:84" s="26" customFormat="1" ht="12">
      <c r="A39" s="23">
        <v>1992</v>
      </c>
      <c r="B39" s="24">
        <f t="shared" si="6"/>
        <v>15.171949134196987</v>
      </c>
      <c r="C39" s="24">
        <f t="shared" si="6"/>
        <v>28.605325530591308</v>
      </c>
      <c r="D39" s="24">
        <f t="shared" si="6"/>
        <v>31.358952667192369</v>
      </c>
      <c r="E39" s="24">
        <f t="shared" si="6"/>
        <v>32.998955158110114</v>
      </c>
      <c r="F39" s="24">
        <f t="shared" si="6"/>
        <v>34.85523232668109</v>
      </c>
      <c r="G39" s="24">
        <f t="shared" si="6"/>
        <v>36.346203520105583</v>
      </c>
      <c r="H39" s="24">
        <f t="shared" si="6"/>
        <v>39.603390791751487</v>
      </c>
      <c r="I39" s="24">
        <f t="shared" si="6"/>
        <v>41.9283767414491</v>
      </c>
      <c r="J39" s="24"/>
      <c r="K39" s="24">
        <f t="shared" si="7"/>
        <v>8.8257517379092985</v>
      </c>
      <c r="L39" s="24">
        <f t="shared" si="7"/>
        <v>19.605309603725807</v>
      </c>
      <c r="M39" s="24">
        <f t="shared" si="7"/>
        <v>23.58159266635457</v>
      </c>
      <c r="N39" s="24">
        <f t="shared" si="7"/>
        <v>27.060381431509491</v>
      </c>
      <c r="O39" s="24">
        <f t="shared" si="7"/>
        <v>31.355197090718004</v>
      </c>
      <c r="P39" s="24">
        <f t="shared" si="7"/>
        <v>34.38016269477216</v>
      </c>
      <c r="Q39" s="24">
        <f t="shared" si="7"/>
        <v>38.919973553238563</v>
      </c>
      <c r="R39" s="24">
        <f t="shared" si="7"/>
        <v>41.812561302077988</v>
      </c>
      <c r="S39" s="24"/>
      <c r="T39" s="24">
        <v>1.0273478237149465</v>
      </c>
      <c r="U39" s="24">
        <v>6.6731114773961835</v>
      </c>
      <c r="V39" s="24">
        <v>9.5246408962737661</v>
      </c>
      <c r="W39" s="24">
        <v>12.175152042204139</v>
      </c>
      <c r="X39" s="24">
        <v>16.316527415231057</v>
      </c>
      <c r="Y39" s="24">
        <v>19.157664018636442</v>
      </c>
      <c r="Z39" s="24">
        <v>22.298202653261249</v>
      </c>
      <c r="AA39" s="24">
        <v>23.99471789975064</v>
      </c>
      <c r="AB39" s="25"/>
      <c r="AC39" s="24">
        <v>0.6096101804154761</v>
      </c>
      <c r="AD39" s="24">
        <v>1.7452080556689735</v>
      </c>
      <c r="AE39" s="24">
        <v>2.3212431245728795</v>
      </c>
      <c r="AF39" s="24">
        <v>3.0369536317136911</v>
      </c>
      <c r="AG39" s="24">
        <v>3.7696737491073731</v>
      </c>
      <c r="AH39" s="24">
        <v>4.1879282076582331</v>
      </c>
      <c r="AI39" s="24">
        <v>4.8998088262266242</v>
      </c>
      <c r="AJ39" s="24">
        <v>5.0395267463674429</v>
      </c>
      <c r="AK39" s="25"/>
      <c r="AL39" s="24">
        <v>1.1910390785461709</v>
      </c>
      <c r="AM39" s="24">
        <v>1.9779013739540952</v>
      </c>
      <c r="AN39" s="24">
        <v>2.6111431155291283</v>
      </c>
      <c r="AO39" s="24">
        <v>3.111572839669158</v>
      </c>
      <c r="AP39" s="24">
        <v>2.9998468377987342</v>
      </c>
      <c r="AQ39" s="24">
        <v>3.0448167820158636</v>
      </c>
      <c r="AR39" s="24">
        <v>3.6875282711103576</v>
      </c>
      <c r="AS39" s="24">
        <v>4.5432745811517909</v>
      </c>
      <c r="AT39" s="25"/>
      <c r="AU39" s="24">
        <v>1.723729598955466</v>
      </c>
      <c r="AV39" s="24">
        <v>3.0178838422264205</v>
      </c>
      <c r="AW39" s="24">
        <v>3.6290523158562698</v>
      </c>
      <c r="AX39" s="24">
        <v>3.939834010897044</v>
      </c>
      <c r="AY39" s="24">
        <v>4.0361090431106224</v>
      </c>
      <c r="AZ39" s="24">
        <v>4.043649827362227</v>
      </c>
      <c r="BA39" s="24">
        <v>4.1817856074430111</v>
      </c>
      <c r="BB39" s="24">
        <v>4.404663477020188</v>
      </c>
      <c r="BD39" s="24">
        <v>6.3461973962876863</v>
      </c>
      <c r="BE39" s="24">
        <v>9.0000159268655011</v>
      </c>
      <c r="BF39" s="24">
        <v>7.7773600008377981</v>
      </c>
      <c r="BG39" s="24">
        <v>5.9385737266006249</v>
      </c>
      <c r="BH39" s="24">
        <v>3.500035235963086</v>
      </c>
      <c r="BI39" s="24">
        <v>1.9660408253334209</v>
      </c>
      <c r="BJ39" s="24">
        <v>0.68341723851292047</v>
      </c>
      <c r="BK39" s="24">
        <v>0.11581543937111485</v>
      </c>
      <c r="BL39" s="24"/>
      <c r="BM39" s="24">
        <v>0.21021326112230779</v>
      </c>
      <c r="BN39" s="24">
        <v>0.14223836107320048</v>
      </c>
      <c r="BO39" s="24">
        <v>0.2670845958330329</v>
      </c>
      <c r="BP39" s="24">
        <v>0.48156811815053457</v>
      </c>
      <c r="BQ39" s="24">
        <v>0.73698366360237122</v>
      </c>
      <c r="BR39" s="24">
        <v>0.79929699691798028</v>
      </c>
      <c r="BS39" s="24">
        <v>0.7964271239472841</v>
      </c>
      <c r="BT39" s="24">
        <v>0.93523320546447886</v>
      </c>
      <c r="BV39" s="24">
        <v>4.0638117951549324</v>
      </c>
      <c r="BW39" s="24">
        <v>6.0489664934069323</v>
      </c>
      <c r="BX39" s="24">
        <v>5.2284286182894961</v>
      </c>
      <c r="BY39" s="24">
        <v>4.3153007888749224</v>
      </c>
      <c r="BZ39" s="24">
        <v>3.4960563818678452</v>
      </c>
      <c r="CA39" s="24">
        <v>3.1468068621814131</v>
      </c>
      <c r="CB39" s="24">
        <v>3.0562210712500386</v>
      </c>
      <c r="CC39" s="24">
        <v>2.8951453923234514</v>
      </c>
      <c r="CE39" s="27"/>
      <c r="CF39" s="27"/>
    </row>
    <row r="40" spans="1:84" s="26" customFormat="1" ht="12">
      <c r="A40" s="23">
        <v>1993</v>
      </c>
      <c r="B40" s="24">
        <f t="shared" si="6"/>
        <v>15.118537858449816</v>
      </c>
      <c r="C40" s="24">
        <f t="shared" si="6"/>
        <v>28.528313121893824</v>
      </c>
      <c r="D40" s="24">
        <f t="shared" si="6"/>
        <v>31.310897943637546</v>
      </c>
      <c r="E40" s="24">
        <f t="shared" si="6"/>
        <v>33.377906480303878</v>
      </c>
      <c r="F40" s="24">
        <f t="shared" si="6"/>
        <v>36.29994789611731</v>
      </c>
      <c r="G40" s="24">
        <f t="shared" si="6"/>
        <v>38.418379431998716</v>
      </c>
      <c r="H40" s="24">
        <f t="shared" si="6"/>
        <v>44.505543388558287</v>
      </c>
      <c r="I40" s="24">
        <f t="shared" si="6"/>
        <v>48.284483417721702</v>
      </c>
      <c r="J40" s="24"/>
      <c r="K40" s="24">
        <f t="shared" si="7"/>
        <v>8.6190566679110745</v>
      </c>
      <c r="L40" s="24">
        <f t="shared" si="7"/>
        <v>19.667300576261731</v>
      </c>
      <c r="M40" s="24">
        <f t="shared" si="7"/>
        <v>23.632876757976149</v>
      </c>
      <c r="N40" s="24">
        <f t="shared" si="7"/>
        <v>27.452572132830976</v>
      </c>
      <c r="O40" s="24">
        <f t="shared" si="7"/>
        <v>32.709635002732199</v>
      </c>
      <c r="P40" s="24">
        <f t="shared" si="7"/>
        <v>36.375479770034005</v>
      </c>
      <c r="Q40" s="24">
        <f t="shared" si="7"/>
        <v>43.776140354223834</v>
      </c>
      <c r="R40" s="24">
        <f t="shared" si="7"/>
        <v>48.153499989277371</v>
      </c>
      <c r="S40" s="24"/>
      <c r="T40" s="24">
        <v>0.9161920419330033</v>
      </c>
      <c r="U40" s="24">
        <v>6.6072981669324822</v>
      </c>
      <c r="V40" s="24">
        <v>9.4748331284388758</v>
      </c>
      <c r="W40" s="24">
        <v>12.311258119794768</v>
      </c>
      <c r="X40" s="24">
        <v>17.300844041799106</v>
      </c>
      <c r="Y40" s="24">
        <v>20.869792666982793</v>
      </c>
      <c r="Z40" s="24">
        <v>26.312688177958538</v>
      </c>
      <c r="AA40" s="24">
        <v>28.461976427716923</v>
      </c>
      <c r="AB40" s="25"/>
      <c r="AC40" s="24">
        <v>0.59063498701028272</v>
      </c>
      <c r="AD40" s="24">
        <v>1.7476311916640774</v>
      </c>
      <c r="AE40" s="24">
        <v>2.3162700083943601</v>
      </c>
      <c r="AF40" s="24">
        <v>3.0349209789696006</v>
      </c>
      <c r="AG40" s="24">
        <v>3.8217508096880861</v>
      </c>
      <c r="AH40" s="24">
        <v>4.2700433739831594</v>
      </c>
      <c r="AI40" s="24">
        <v>5.2622432751765782</v>
      </c>
      <c r="AJ40" s="24">
        <v>5.8083154742368759</v>
      </c>
      <c r="AK40" s="25"/>
      <c r="AL40" s="24">
        <v>1.3363577603183385</v>
      </c>
      <c r="AM40" s="24">
        <v>2.2431948824754486</v>
      </c>
      <c r="AN40" s="24">
        <v>2.8647594110264221</v>
      </c>
      <c r="AO40" s="24">
        <v>3.436943153305144</v>
      </c>
      <c r="AP40" s="24">
        <v>3.3627084840187926</v>
      </c>
      <c r="AQ40" s="24">
        <v>3.4641279316670346</v>
      </c>
      <c r="AR40" s="24">
        <v>4.3129045935397761</v>
      </c>
      <c r="AS40" s="24">
        <v>5.5989626804670465</v>
      </c>
      <c r="AT40" s="25"/>
      <c r="AU40" s="24">
        <v>1.6053838122958519</v>
      </c>
      <c r="AV40" s="24">
        <v>2.9248182814824206</v>
      </c>
      <c r="AW40" s="24">
        <v>3.4983463696671575</v>
      </c>
      <c r="AX40" s="24">
        <v>3.8666574748967739</v>
      </c>
      <c r="AY40" s="24">
        <v>3.9889877077594562</v>
      </c>
      <c r="AZ40" s="24">
        <v>3.9854489250848828</v>
      </c>
      <c r="BA40" s="24">
        <v>4.2695514375614669</v>
      </c>
      <c r="BB40" s="24">
        <v>4.7084306971794065</v>
      </c>
      <c r="BD40" s="24">
        <v>6.4994811905387406</v>
      </c>
      <c r="BE40" s="24">
        <v>8.861012545632093</v>
      </c>
      <c r="BF40" s="24">
        <v>7.6780211856613958</v>
      </c>
      <c r="BG40" s="24">
        <v>5.9253343474728988</v>
      </c>
      <c r="BH40" s="24">
        <v>3.5903128933851098</v>
      </c>
      <c r="BI40" s="24">
        <v>2.0428996619647077</v>
      </c>
      <c r="BJ40" s="24">
        <v>0.72940303433445441</v>
      </c>
      <c r="BK40" s="24">
        <v>0.13098342844433311</v>
      </c>
      <c r="BL40" s="24"/>
      <c r="BM40" s="24">
        <v>0.22050779585459263</v>
      </c>
      <c r="BN40" s="24">
        <v>0.15261400231219879</v>
      </c>
      <c r="BO40" s="24">
        <v>0.28353065988738108</v>
      </c>
      <c r="BP40" s="24">
        <v>0.51857490344466262</v>
      </c>
      <c r="BQ40" s="24">
        <v>0.80656921637063139</v>
      </c>
      <c r="BR40" s="24">
        <v>0.86317840003464419</v>
      </c>
      <c r="BS40" s="24">
        <v>0.90890203562703342</v>
      </c>
      <c r="BT40" s="24">
        <v>1.0918596016121984</v>
      </c>
      <c r="BV40" s="24">
        <v>3.9499802704990059</v>
      </c>
      <c r="BW40" s="24">
        <v>5.9917440513951048</v>
      </c>
      <c r="BX40" s="24">
        <v>5.1951371805619493</v>
      </c>
      <c r="BY40" s="24">
        <v>4.28421750242003</v>
      </c>
      <c r="BZ40" s="24">
        <v>3.4287747430961288</v>
      </c>
      <c r="CA40" s="24">
        <v>2.9228884722814938</v>
      </c>
      <c r="CB40" s="24">
        <v>2.7098508343604348</v>
      </c>
      <c r="CC40" s="24">
        <v>2.4839551080649183</v>
      </c>
      <c r="CE40" s="27"/>
      <c r="CF40" s="27"/>
    </row>
    <row r="41" spans="1:84" s="26" customFormat="1" ht="12">
      <c r="A41" s="23">
        <v>1994</v>
      </c>
      <c r="B41" s="24">
        <f t="shared" si="6"/>
        <v>15.30627927715156</v>
      </c>
      <c r="C41" s="24">
        <f t="shared" si="6"/>
        <v>28.909105538915075</v>
      </c>
      <c r="D41" s="24">
        <f t="shared" si="6"/>
        <v>31.76347766030133</v>
      </c>
      <c r="E41" s="24">
        <f t="shared" si="6"/>
        <v>33.878792810525816</v>
      </c>
      <c r="F41" s="24">
        <f t="shared" si="6"/>
        <v>36.874312615873727</v>
      </c>
      <c r="G41" s="24">
        <f t="shared" si="6"/>
        <v>39.497165325561731</v>
      </c>
      <c r="H41" s="24">
        <f t="shared" si="6"/>
        <v>45.123910313163186</v>
      </c>
      <c r="I41" s="24">
        <f t="shared" si="6"/>
        <v>48.205937733651986</v>
      </c>
      <c r="J41" s="24"/>
      <c r="K41" s="24">
        <f t="shared" si="7"/>
        <v>8.9223342291836865</v>
      </c>
      <c r="L41" s="24">
        <f t="shared" si="7"/>
        <v>20.184142787139351</v>
      </c>
      <c r="M41" s="24">
        <f t="shared" si="7"/>
        <v>24.094706592277493</v>
      </c>
      <c r="N41" s="24">
        <f t="shared" si="7"/>
        <v>27.940476028886589</v>
      </c>
      <c r="O41" s="24">
        <f t="shared" si="7"/>
        <v>32.842353435751505</v>
      </c>
      <c r="P41" s="24">
        <f t="shared" si="7"/>
        <v>36.755830203480961</v>
      </c>
      <c r="Q41" s="24">
        <f t="shared" si="7"/>
        <v>43.614804366781804</v>
      </c>
      <c r="R41" s="24">
        <f t="shared" si="7"/>
        <v>47.521021874585401</v>
      </c>
      <c r="S41" s="24"/>
      <c r="T41" s="24">
        <v>0.89615903530750551</v>
      </c>
      <c r="U41" s="24">
        <v>6.6626571716403804</v>
      </c>
      <c r="V41" s="24">
        <v>9.6969634972133747</v>
      </c>
      <c r="W41" s="24">
        <v>12.566702966175145</v>
      </c>
      <c r="X41" s="24">
        <v>17.418795086840625</v>
      </c>
      <c r="Y41" s="24">
        <v>21.103953457046888</v>
      </c>
      <c r="Z41" s="24">
        <v>26.091093369030155</v>
      </c>
      <c r="AA41" s="24">
        <v>27.854037333658514</v>
      </c>
      <c r="AB41" s="25"/>
      <c r="AC41" s="24">
        <v>0.61420015698374297</v>
      </c>
      <c r="AD41" s="24">
        <v>1.77528528883042</v>
      </c>
      <c r="AE41" s="24">
        <v>2.3264492746419165</v>
      </c>
      <c r="AF41" s="24">
        <v>2.9355816616233823</v>
      </c>
      <c r="AG41" s="24">
        <v>3.726940087094182</v>
      </c>
      <c r="AH41" s="24">
        <v>4.0151673012540741</v>
      </c>
      <c r="AI41" s="24">
        <v>4.7584486687012237</v>
      </c>
      <c r="AJ41" s="24">
        <v>5.0863182337414061</v>
      </c>
      <c r="AK41" s="25"/>
      <c r="AL41" s="24">
        <v>1.446847634998518</v>
      </c>
      <c r="AM41" s="24">
        <v>2.3764580888139046</v>
      </c>
      <c r="AN41" s="24">
        <v>2.8879197152596032</v>
      </c>
      <c r="AO41" s="24">
        <v>3.5263712823697024</v>
      </c>
      <c r="AP41" s="24">
        <v>3.3513525966099875</v>
      </c>
      <c r="AQ41" s="24">
        <v>3.6273389319274858</v>
      </c>
      <c r="AR41" s="24">
        <v>4.5262072248691947</v>
      </c>
      <c r="AS41" s="24">
        <v>5.9704336807606575</v>
      </c>
      <c r="AT41" s="25"/>
      <c r="AU41" s="24">
        <v>1.608652109176949</v>
      </c>
      <c r="AV41" s="24">
        <v>2.9347739491402338</v>
      </c>
      <c r="AW41" s="24">
        <v>3.4529900554454129</v>
      </c>
      <c r="AX41" s="24">
        <v>3.8723948261965608</v>
      </c>
      <c r="AY41" s="24">
        <v>3.8666874439323742</v>
      </c>
      <c r="AZ41" s="24">
        <v>4.0341774712790368</v>
      </c>
      <c r="BA41" s="24">
        <v>4.4396382377031411</v>
      </c>
      <c r="BB41" s="24">
        <v>4.8515954417784108</v>
      </c>
      <c r="BD41" s="24">
        <v>6.3839450479678748</v>
      </c>
      <c r="BE41" s="24">
        <v>8.724962751775724</v>
      </c>
      <c r="BF41" s="24">
        <v>7.6687710680238341</v>
      </c>
      <c r="BG41" s="24">
        <v>5.9383167816392222</v>
      </c>
      <c r="BH41" s="24">
        <v>4.0319591801222154</v>
      </c>
      <c r="BI41" s="24">
        <v>2.7413351220807733</v>
      </c>
      <c r="BJ41" s="24">
        <v>1.5091059463813805</v>
      </c>
      <c r="BK41" s="24">
        <v>0.68491585906658592</v>
      </c>
      <c r="BL41" s="24"/>
      <c r="BM41" s="24">
        <v>0.23823071246291821</v>
      </c>
      <c r="BN41" s="24">
        <v>0.16549535147443556</v>
      </c>
      <c r="BO41" s="24">
        <v>0.31060888833863903</v>
      </c>
      <c r="BP41" s="24">
        <v>0.55913344807165977</v>
      </c>
      <c r="BQ41" s="24">
        <v>0.86666987641666748</v>
      </c>
      <c r="BR41" s="24">
        <v>0.92337441219934135</v>
      </c>
      <c r="BS41" s="24">
        <v>0.96870307383538445</v>
      </c>
      <c r="BT41" s="24">
        <v>1.1541135205240263</v>
      </c>
      <c r="BV41" s="24">
        <v>4.1182445802540508</v>
      </c>
      <c r="BW41" s="24">
        <v>6.269472937239974</v>
      </c>
      <c r="BX41" s="24">
        <v>5.419775161378551</v>
      </c>
      <c r="BY41" s="24">
        <v>4.4802918444501412</v>
      </c>
      <c r="BZ41" s="24">
        <v>3.6119083448576719</v>
      </c>
      <c r="CA41" s="24">
        <v>3.0518186297741332</v>
      </c>
      <c r="CB41" s="24">
        <v>2.830713792642702</v>
      </c>
      <c r="CC41" s="24">
        <v>2.6045236641223912</v>
      </c>
      <c r="CE41" s="27"/>
      <c r="CF41" s="27"/>
    </row>
    <row r="42" spans="1:84" s="26" customFormat="1" ht="12">
      <c r="A42" s="23">
        <v>1995</v>
      </c>
      <c r="B42" s="24">
        <f t="shared" si="6"/>
        <v>14.909024633720623</v>
      </c>
      <c r="C42" s="24">
        <f t="shared" si="6"/>
        <v>28.866051559792755</v>
      </c>
      <c r="D42" s="24">
        <f t="shared" si="6"/>
        <v>31.837644009626263</v>
      </c>
      <c r="E42" s="24">
        <f t="shared" si="6"/>
        <v>34.171808248267496</v>
      </c>
      <c r="F42" s="24">
        <f t="shared" si="6"/>
        <v>37.03486715106559</v>
      </c>
      <c r="G42" s="24">
        <f t="shared" si="6"/>
        <v>39.825187339216725</v>
      </c>
      <c r="H42" s="24">
        <f t="shared" si="6"/>
        <v>45.45788792694065</v>
      </c>
      <c r="I42" s="24">
        <f t="shared" si="6"/>
        <v>47.563771695418119</v>
      </c>
      <c r="J42" s="24"/>
      <c r="K42" s="24">
        <f t="shared" si="7"/>
        <v>8.4797094557510864</v>
      </c>
      <c r="L42" s="24">
        <f t="shared" si="7"/>
        <v>20.173670794564011</v>
      </c>
      <c r="M42" s="24">
        <f t="shared" si="7"/>
        <v>24.287880714334417</v>
      </c>
      <c r="N42" s="24">
        <f t="shared" si="7"/>
        <v>28.361376057176223</v>
      </c>
      <c r="O42" s="24">
        <f t="shared" si="7"/>
        <v>33.147060089157335</v>
      </c>
      <c r="P42" s="24">
        <f t="shared" si="7"/>
        <v>37.190230850157796</v>
      </c>
      <c r="Q42" s="24">
        <f t="shared" si="7"/>
        <v>43.977748690916059</v>
      </c>
      <c r="R42" s="24">
        <f t="shared" si="7"/>
        <v>46.829628373411396</v>
      </c>
      <c r="S42" s="24"/>
      <c r="T42" s="24">
        <v>0.61779239200114944</v>
      </c>
      <c r="U42" s="24">
        <v>6.6978544665180424</v>
      </c>
      <c r="V42" s="24">
        <v>9.8284821639166235</v>
      </c>
      <c r="W42" s="24">
        <v>12.928374665127773</v>
      </c>
      <c r="X42" s="24">
        <v>17.841871288897686</v>
      </c>
      <c r="Y42" s="24">
        <v>21.647888940558936</v>
      </c>
      <c r="Z42" s="24">
        <v>26.678080210737793</v>
      </c>
      <c r="AA42" s="24">
        <v>27.636338321211195</v>
      </c>
      <c r="AB42" s="25"/>
      <c r="AC42" s="24">
        <v>0.60403986625893313</v>
      </c>
      <c r="AD42" s="24">
        <v>1.7927344701436123</v>
      </c>
      <c r="AE42" s="24">
        <v>2.3160953265659621</v>
      </c>
      <c r="AF42" s="24">
        <v>3.0007714226559923</v>
      </c>
      <c r="AG42" s="24">
        <v>3.685164751272644</v>
      </c>
      <c r="AH42" s="24">
        <v>4.087939817904175</v>
      </c>
      <c r="AI42" s="24">
        <v>4.8649884448364302</v>
      </c>
      <c r="AJ42" s="24">
        <v>5.0005133278741232</v>
      </c>
      <c r="AK42" s="25"/>
      <c r="AL42" s="24">
        <v>1.5172486992911678</v>
      </c>
      <c r="AM42" s="24">
        <v>2.540212451769003</v>
      </c>
      <c r="AN42" s="24">
        <v>3.074313535157899</v>
      </c>
      <c r="AO42" s="24">
        <v>3.7541436566750082</v>
      </c>
      <c r="AP42" s="24">
        <v>3.6180834276041844</v>
      </c>
      <c r="AQ42" s="24">
        <v>3.8153213633705252</v>
      </c>
      <c r="AR42" s="24">
        <v>4.7459439731585142</v>
      </c>
      <c r="AS42" s="24">
        <v>6.1701301167777594</v>
      </c>
      <c r="AT42" s="25"/>
      <c r="AU42" s="24">
        <v>1.5166892360709485</v>
      </c>
      <c r="AV42" s="24">
        <v>2.8149867563754021</v>
      </c>
      <c r="AW42" s="24">
        <v>3.4214446763904642</v>
      </c>
      <c r="AX42" s="24">
        <v>3.7390289070601987</v>
      </c>
      <c r="AY42" s="24">
        <v>3.7156026539738791</v>
      </c>
      <c r="AZ42" s="24">
        <v>3.8578743726488085</v>
      </c>
      <c r="BA42" s="24">
        <v>4.1292393845603463</v>
      </c>
      <c r="BB42" s="24">
        <v>4.530681737562352</v>
      </c>
      <c r="BD42" s="24">
        <v>6.4293151779695359</v>
      </c>
      <c r="BE42" s="24">
        <v>8.6923807652287426</v>
      </c>
      <c r="BF42" s="24">
        <v>7.5497632952918465</v>
      </c>
      <c r="BG42" s="24">
        <v>5.8104321910912651</v>
      </c>
      <c r="BH42" s="24">
        <v>3.887807061908255</v>
      </c>
      <c r="BI42" s="24">
        <v>2.6349564890589297</v>
      </c>
      <c r="BJ42" s="24">
        <v>1.4801392360245893</v>
      </c>
      <c r="BK42" s="24">
        <v>0.73414332200672405</v>
      </c>
      <c r="BL42" s="24"/>
      <c r="BM42" s="24">
        <v>0.22499001341698227</v>
      </c>
      <c r="BN42" s="24">
        <v>0.15586017728605733</v>
      </c>
      <c r="BO42" s="24">
        <v>0.29280054902431102</v>
      </c>
      <c r="BP42" s="24">
        <v>0.52253606186717627</v>
      </c>
      <c r="BQ42" s="24">
        <v>0.79718107115860615</v>
      </c>
      <c r="BR42" s="24">
        <v>0.831993404350303</v>
      </c>
      <c r="BS42" s="24">
        <v>0.85219874188016786</v>
      </c>
      <c r="BT42" s="24">
        <v>1.0020480799138733</v>
      </c>
      <c r="BV42" s="24">
        <v>3.9989492487119036</v>
      </c>
      <c r="BW42" s="24">
        <v>6.1720224724718902</v>
      </c>
      <c r="BX42" s="24">
        <v>5.3547444632791574</v>
      </c>
      <c r="BY42" s="24">
        <v>4.4165213437900777</v>
      </c>
      <c r="BZ42" s="24">
        <v>3.4891568962503401</v>
      </c>
      <c r="CA42" s="24">
        <v>2.9492129513250522</v>
      </c>
      <c r="CB42" s="24">
        <v>2.7072979357428077</v>
      </c>
      <c r="CC42" s="24">
        <v>2.4899167900720931</v>
      </c>
      <c r="CE42" s="27"/>
      <c r="CF42" s="27"/>
    </row>
    <row r="43" spans="1:84" s="26" customFormat="1" ht="12">
      <c r="A43" s="23">
        <v>1996</v>
      </c>
      <c r="B43" s="24">
        <f t="shared" si="6"/>
        <v>14.840952535251885</v>
      </c>
      <c r="C43" s="24">
        <f t="shared" si="6"/>
        <v>29.049115020311014</v>
      </c>
      <c r="D43" s="24">
        <f t="shared" si="6"/>
        <v>32.045280202375338</v>
      </c>
      <c r="E43" s="24">
        <f t="shared" si="6"/>
        <v>34.601260993890406</v>
      </c>
      <c r="F43" s="24">
        <f t="shared" si="6"/>
        <v>37.769848261186418</v>
      </c>
      <c r="G43" s="24">
        <f t="shared" si="6"/>
        <v>41.038762126149003</v>
      </c>
      <c r="H43" s="24">
        <f t="shared" si="6"/>
        <v>47.458021867577713</v>
      </c>
      <c r="I43" s="24">
        <f t="shared" si="6"/>
        <v>50.683131559973887</v>
      </c>
      <c r="J43" s="24"/>
      <c r="K43" s="24">
        <f t="shared" si="7"/>
        <v>8.3606477223372497</v>
      </c>
      <c r="L43" s="24">
        <f t="shared" si="7"/>
        <v>20.467558561267868</v>
      </c>
      <c r="M43" s="24">
        <f t="shared" si="7"/>
        <v>24.771122070474959</v>
      </c>
      <c r="N43" s="24">
        <f t="shared" si="7"/>
        <v>29.018154882109133</v>
      </c>
      <c r="O43" s="24">
        <f t="shared" si="7"/>
        <v>34.078454329565041</v>
      </c>
      <c r="P43" s="24">
        <f t="shared" si="7"/>
        <v>38.492808988869967</v>
      </c>
      <c r="Q43" s="24">
        <f t="shared" si="7"/>
        <v>45.969491618403822</v>
      </c>
      <c r="R43" s="24">
        <f t="shared" si="7"/>
        <v>49.882227270965799</v>
      </c>
      <c r="S43" s="24"/>
      <c r="T43" s="24">
        <v>0.52231179858158505</v>
      </c>
      <c r="U43" s="24">
        <v>6.9256765263503137</v>
      </c>
      <c r="V43" s="24">
        <v>10.212255521900779</v>
      </c>
      <c r="W43" s="24">
        <v>13.64574078222053</v>
      </c>
      <c r="X43" s="24">
        <v>18.94653189845123</v>
      </c>
      <c r="Y43" s="24">
        <v>23.119273658528002</v>
      </c>
      <c r="Z43" s="24">
        <v>28.943532940034121</v>
      </c>
      <c r="AA43" s="24">
        <v>31.065041992832963</v>
      </c>
      <c r="AB43" s="25"/>
      <c r="AC43" s="24">
        <v>0.59884752313044465</v>
      </c>
      <c r="AD43" s="24">
        <v>1.7981376931373103</v>
      </c>
      <c r="AE43" s="24">
        <v>2.2755785283594157</v>
      </c>
      <c r="AF43" s="24">
        <v>2.9644068039733047</v>
      </c>
      <c r="AG43" s="24">
        <v>3.733380395029938</v>
      </c>
      <c r="AH43" s="24">
        <v>4.1712413257070029</v>
      </c>
      <c r="AI43" s="24">
        <v>4.9930599776534086</v>
      </c>
      <c r="AJ43" s="24">
        <v>5.3088429003758648</v>
      </c>
      <c r="AK43" s="25"/>
      <c r="AL43" s="24">
        <v>1.5229987877849822</v>
      </c>
      <c r="AM43" s="24">
        <v>2.6310429812476666</v>
      </c>
      <c r="AN43" s="24">
        <v>3.2568853280164496</v>
      </c>
      <c r="AO43" s="24">
        <v>3.7776268488416602</v>
      </c>
      <c r="AP43" s="24">
        <v>3.5370802227524907</v>
      </c>
      <c r="AQ43" s="24">
        <v>3.7840655531425802</v>
      </c>
      <c r="AR43" s="24">
        <v>4.5946494329000469</v>
      </c>
      <c r="AS43" s="24">
        <v>5.8097821830014222</v>
      </c>
      <c r="AT43" s="25"/>
      <c r="AU43" s="24">
        <v>1.4753796492869582</v>
      </c>
      <c r="AV43" s="24">
        <v>2.7979423117583431</v>
      </c>
      <c r="AW43" s="24">
        <v>3.4027817566012879</v>
      </c>
      <c r="AX43" s="24">
        <v>3.6780830829411513</v>
      </c>
      <c r="AY43" s="24">
        <v>3.5719401139580249</v>
      </c>
      <c r="AZ43" s="24">
        <v>3.657624423042348</v>
      </c>
      <c r="BA43" s="24">
        <v>3.9131350427091087</v>
      </c>
      <c r="BB43" s="24">
        <v>4.2190217221092992</v>
      </c>
      <c r="BD43" s="24">
        <v>6.4803048129146346</v>
      </c>
      <c r="BE43" s="24">
        <v>8.5815564590431457</v>
      </c>
      <c r="BF43" s="24">
        <v>7.274158131900375</v>
      </c>
      <c r="BG43" s="24">
        <v>5.5831061117812695</v>
      </c>
      <c r="BH43" s="24">
        <v>3.6913939316213793</v>
      </c>
      <c r="BI43" s="24">
        <v>2.5459531372790352</v>
      </c>
      <c r="BJ43" s="24">
        <v>1.4885302491738905</v>
      </c>
      <c r="BK43" s="24">
        <v>0.80090428900808486</v>
      </c>
      <c r="BL43" s="24"/>
      <c r="BM43" s="24">
        <v>0.24857654558961734</v>
      </c>
      <c r="BN43" s="24">
        <v>0.17044743407550533</v>
      </c>
      <c r="BO43" s="24">
        <v>0.32080682462085081</v>
      </c>
      <c r="BP43" s="24">
        <v>0.56148981095475803</v>
      </c>
      <c r="BQ43" s="24">
        <v>0.83901876826508637</v>
      </c>
      <c r="BR43" s="24">
        <v>0.87033373511482492</v>
      </c>
      <c r="BS43" s="24">
        <v>0.87808542202504458</v>
      </c>
      <c r="BT43" s="24">
        <v>1.0096024138768871</v>
      </c>
      <c r="BV43" s="24">
        <v>3.9925334179636618</v>
      </c>
      <c r="BW43" s="24">
        <v>6.1443116146987302</v>
      </c>
      <c r="BX43" s="24">
        <v>5.3028141109761746</v>
      </c>
      <c r="BY43" s="24">
        <v>4.3908075531777317</v>
      </c>
      <c r="BZ43" s="24">
        <v>3.4505029311082716</v>
      </c>
      <c r="CA43" s="24">
        <v>2.8902702933352105</v>
      </c>
      <c r="CB43" s="24">
        <v>2.647028803082097</v>
      </c>
      <c r="CC43" s="24">
        <v>2.4699360587693708</v>
      </c>
      <c r="CE43" s="27"/>
      <c r="CF43" s="27"/>
    </row>
    <row r="44" spans="1:84" s="26" customFormat="1" ht="12">
      <c r="A44" s="23">
        <v>1997</v>
      </c>
      <c r="B44" s="24">
        <f t="shared" si="6"/>
        <v>14.856102996845905</v>
      </c>
      <c r="C44" s="24">
        <f t="shared" si="6"/>
        <v>29.081369155041575</v>
      </c>
      <c r="D44" s="24">
        <f t="shared" si="6"/>
        <v>32.287625215396673</v>
      </c>
      <c r="E44" s="24">
        <f t="shared" si="6"/>
        <v>35.140705859770407</v>
      </c>
      <c r="F44" s="24">
        <f t="shared" si="6"/>
        <v>39.212858139816056</v>
      </c>
      <c r="G44" s="24">
        <f t="shared" si="6"/>
        <v>41.698199759806378</v>
      </c>
      <c r="H44" s="24">
        <f t="shared" si="6"/>
        <v>48.002958073298018</v>
      </c>
      <c r="I44" s="24">
        <f t="shared" ref="I44:I62" si="8">AA44+AJ44+AS44+BB44+BK44+CC44+BT44</f>
        <v>50.775060477259274</v>
      </c>
      <c r="J44" s="24"/>
      <c r="K44" s="24">
        <f t="shared" si="7"/>
        <v>8.2689241159358371</v>
      </c>
      <c r="L44" s="24">
        <f t="shared" si="7"/>
        <v>20.542091026927039</v>
      </c>
      <c r="M44" s="24">
        <f t="shared" si="7"/>
        <v>25.08343372509842</v>
      </c>
      <c r="N44" s="24">
        <f t="shared" si="7"/>
        <v>29.629629513306224</v>
      </c>
      <c r="O44" s="24">
        <f t="shared" si="7"/>
        <v>35.630101682590805</v>
      </c>
      <c r="P44" s="24">
        <f t="shared" si="7"/>
        <v>39.230319903132539</v>
      </c>
      <c r="Q44" s="24">
        <f t="shared" si="7"/>
        <v>46.531224805271819</v>
      </c>
      <c r="R44" s="24">
        <f t="shared" ref="R44:R62" si="9">AA44+AJ44+AS44+BB44+CC44+BT44</f>
        <v>49.919127385887045</v>
      </c>
      <c r="S44" s="24"/>
      <c r="T44" s="24">
        <v>0.51575461361381481</v>
      </c>
      <c r="U44" s="24">
        <v>7.1655119809744372</v>
      </c>
      <c r="V44" s="24">
        <v>10.540910144146292</v>
      </c>
      <c r="W44" s="24">
        <v>14.290042664397717</v>
      </c>
      <c r="X44" s="24">
        <v>20.134056037446321</v>
      </c>
      <c r="Y44" s="24">
        <v>23.941354247258953</v>
      </c>
      <c r="Z44" s="24">
        <v>29.71334534811708</v>
      </c>
      <c r="AA44" s="24">
        <v>31.394379634286601</v>
      </c>
      <c r="AB44" s="25"/>
      <c r="AC44" s="24">
        <v>0.59970941769982955</v>
      </c>
      <c r="AD44" s="24">
        <v>1.7724188228332154</v>
      </c>
      <c r="AE44" s="24">
        <v>2.3281239924599526</v>
      </c>
      <c r="AF44" s="24">
        <v>3.0110834021484512</v>
      </c>
      <c r="AG44" s="24">
        <v>3.8110688459481299</v>
      </c>
      <c r="AH44" s="24">
        <v>4.2248831797111173</v>
      </c>
      <c r="AI44" s="24">
        <v>5.0132071727236083</v>
      </c>
      <c r="AJ44" s="24">
        <v>5.4353219846201677</v>
      </c>
      <c r="AK44" s="25"/>
      <c r="AL44" s="24">
        <v>1.477850978970163</v>
      </c>
      <c r="AM44" s="24">
        <v>2.5964134844247804</v>
      </c>
      <c r="AN44" s="24">
        <v>3.3168427529906044</v>
      </c>
      <c r="AO44" s="24">
        <v>3.782429676248642</v>
      </c>
      <c r="AP44" s="24">
        <v>3.7522439866613508</v>
      </c>
      <c r="AQ44" s="24">
        <v>3.7319189255605933</v>
      </c>
      <c r="AR44" s="24">
        <v>4.5194366589644712</v>
      </c>
      <c r="AS44" s="24">
        <v>5.6179622720549469</v>
      </c>
      <c r="AT44" s="25"/>
      <c r="AU44" s="24">
        <v>1.4326752948985451</v>
      </c>
      <c r="AV44" s="24">
        <v>2.7570387751634269</v>
      </c>
      <c r="AW44" s="24">
        <v>3.3597153342574875</v>
      </c>
      <c r="AX44" s="24">
        <v>3.617058850245118</v>
      </c>
      <c r="AY44" s="24">
        <v>3.6533237456020098</v>
      </c>
      <c r="AZ44" s="24">
        <v>3.6261423749967907</v>
      </c>
      <c r="BA44" s="24">
        <v>3.8060492073426251</v>
      </c>
      <c r="BB44" s="24">
        <v>4.0534477389076677</v>
      </c>
      <c r="BD44" s="24">
        <v>6.5871788809100691</v>
      </c>
      <c r="BE44" s="24">
        <v>8.5392781281145336</v>
      </c>
      <c r="BF44" s="24">
        <v>7.2041914902982578</v>
      </c>
      <c r="BG44" s="24">
        <v>5.5110763464641863</v>
      </c>
      <c r="BH44" s="24">
        <v>3.5827564572252486</v>
      </c>
      <c r="BI44" s="24">
        <v>2.4678798566738389</v>
      </c>
      <c r="BJ44" s="24">
        <v>1.4717332680261959</v>
      </c>
      <c r="BK44" s="24">
        <v>0.85593309137222962</v>
      </c>
      <c r="BL44" s="24"/>
      <c r="BM44" s="24">
        <v>0.27640607986456134</v>
      </c>
      <c r="BN44" s="24">
        <v>0.18906124822930082</v>
      </c>
      <c r="BO44" s="24">
        <v>0.35129062998799576</v>
      </c>
      <c r="BP44" s="24">
        <v>0.60861382806215025</v>
      </c>
      <c r="BQ44" s="24">
        <v>0.90685672489876112</v>
      </c>
      <c r="BR44" s="24">
        <v>0.90939270530277638</v>
      </c>
      <c r="BS44" s="24">
        <v>0.90120556368341009</v>
      </c>
      <c r="BT44" s="24">
        <v>1.002042163374353</v>
      </c>
      <c r="BV44" s="24">
        <v>3.9665277308889237</v>
      </c>
      <c r="BW44" s="24">
        <v>6.0616467153018796</v>
      </c>
      <c r="BX44" s="24">
        <v>5.1865508712560873</v>
      </c>
      <c r="BY44" s="24">
        <v>4.3204010922041443</v>
      </c>
      <c r="BZ44" s="24">
        <v>3.3725523420342367</v>
      </c>
      <c r="CA44" s="24">
        <v>2.7966284703023061</v>
      </c>
      <c r="CB44" s="24">
        <v>2.5779808544406184</v>
      </c>
      <c r="CC44" s="24">
        <v>2.4159735926433048</v>
      </c>
      <c r="CE44" s="27"/>
      <c r="CF44" s="27"/>
    </row>
    <row r="45" spans="1:84" s="26" customFormat="1" ht="12">
      <c r="A45" s="23">
        <v>1998</v>
      </c>
      <c r="B45" s="24">
        <f t="shared" ref="B45:H62" si="10">T45+AC45+AL45+AU45+BD45+BV45+BM45</f>
        <v>14.913726826375411</v>
      </c>
      <c r="C45" s="24">
        <f t="shared" si="10"/>
        <v>29.073247570766696</v>
      </c>
      <c r="D45" s="24">
        <f t="shared" si="10"/>
        <v>32.688200989611921</v>
      </c>
      <c r="E45" s="24">
        <f t="shared" si="10"/>
        <v>35.919102901969339</v>
      </c>
      <c r="F45" s="24">
        <f t="shared" si="10"/>
        <v>40.090572899019392</v>
      </c>
      <c r="G45" s="24">
        <f t="shared" si="10"/>
        <v>43.77612544352364</v>
      </c>
      <c r="H45" s="24">
        <f t="shared" si="10"/>
        <v>50.782905532238246</v>
      </c>
      <c r="I45" s="24">
        <f t="shared" si="8"/>
        <v>52.662606788410798</v>
      </c>
      <c r="J45" s="24"/>
      <c r="K45" s="24">
        <f t="shared" ref="K45:Q62" si="11">T45+AC45+AL45+AU45+BV45+BM45</f>
        <v>8.2078901585404989</v>
      </c>
      <c r="L45" s="24">
        <f t="shared" si="11"/>
        <v>20.552288015429863</v>
      </c>
      <c r="M45" s="24">
        <f t="shared" si="11"/>
        <v>25.498311684826891</v>
      </c>
      <c r="N45" s="24">
        <f t="shared" si="11"/>
        <v>30.385153701344606</v>
      </c>
      <c r="O45" s="24">
        <f t="shared" si="11"/>
        <v>36.518048717460154</v>
      </c>
      <c r="P45" s="24">
        <f t="shared" si="11"/>
        <v>41.29199812222609</v>
      </c>
      <c r="Q45" s="24">
        <f t="shared" si="11"/>
        <v>49.255727533567892</v>
      </c>
      <c r="R45" s="24">
        <f t="shared" si="9"/>
        <v>51.639589752664222</v>
      </c>
      <c r="S45" s="24"/>
      <c r="T45" s="24">
        <v>0.38658886635069772</v>
      </c>
      <c r="U45" s="24">
        <v>7.2951716129019895</v>
      </c>
      <c r="V45" s="24">
        <v>11.067477375012604</v>
      </c>
      <c r="W45" s="24">
        <v>15.177288110592244</v>
      </c>
      <c r="X45" s="24">
        <v>21.131859378186839</v>
      </c>
      <c r="Y45" s="24">
        <v>25.646063416497672</v>
      </c>
      <c r="Z45" s="24">
        <v>31.886612119243324</v>
      </c>
      <c r="AA45" s="24">
        <v>33.330452376017007</v>
      </c>
      <c r="AB45" s="25"/>
      <c r="AC45" s="24">
        <v>0.63516651723016737</v>
      </c>
      <c r="AD45" s="24">
        <v>1.823216618920134</v>
      </c>
      <c r="AE45" s="24">
        <v>2.4078018029616266</v>
      </c>
      <c r="AF45" s="24">
        <v>3.13596539856221</v>
      </c>
      <c r="AG45" s="24">
        <v>4.0836311334320907</v>
      </c>
      <c r="AH45" s="24">
        <v>4.5641630663785859</v>
      </c>
      <c r="AI45" s="24">
        <v>5.4921273638734069</v>
      </c>
      <c r="AJ45" s="24">
        <v>5.5795129457376822</v>
      </c>
      <c r="AK45" s="25"/>
      <c r="AL45" s="24">
        <v>1.3727815894627511</v>
      </c>
      <c r="AM45" s="24">
        <v>2.4095692328030016</v>
      </c>
      <c r="AN45" s="24">
        <v>3.1161092347875332</v>
      </c>
      <c r="AO45" s="24">
        <v>3.4479058138290797</v>
      </c>
      <c r="AP45" s="24">
        <v>3.3996470904472531</v>
      </c>
      <c r="AQ45" s="24">
        <v>3.5620806120569974</v>
      </c>
      <c r="AR45" s="24">
        <v>4.4029548658211262</v>
      </c>
      <c r="AS45" s="24">
        <v>5.2082877107818621</v>
      </c>
      <c r="AT45" s="25"/>
      <c r="AU45" s="24">
        <v>1.3816725207847036</v>
      </c>
      <c r="AV45" s="24">
        <v>2.6608625769096337</v>
      </c>
      <c r="AW45" s="24">
        <v>3.2868279694639657</v>
      </c>
      <c r="AX45" s="24">
        <v>3.5649899460612207</v>
      </c>
      <c r="AY45" s="24">
        <v>3.5411297694745372</v>
      </c>
      <c r="AZ45" s="24">
        <v>3.6361557417187731</v>
      </c>
      <c r="BA45" s="24">
        <v>3.8323012789074253</v>
      </c>
      <c r="BB45" s="24">
        <v>3.9247463471470767</v>
      </c>
      <c r="BD45" s="24">
        <v>6.7058366678349133</v>
      </c>
      <c r="BE45" s="24">
        <v>8.520959555336832</v>
      </c>
      <c r="BF45" s="24">
        <v>7.1898893047850274</v>
      </c>
      <c r="BG45" s="24">
        <v>5.5339492006247362</v>
      </c>
      <c r="BH45" s="24">
        <v>3.5725241815592375</v>
      </c>
      <c r="BI45" s="24">
        <v>2.4841273212975508</v>
      </c>
      <c r="BJ45" s="24">
        <v>1.5271779986703564</v>
      </c>
      <c r="BK45" s="24">
        <v>1.0230170357465764</v>
      </c>
      <c r="BL45" s="24"/>
      <c r="BM45" s="24">
        <v>0.31828282633684324</v>
      </c>
      <c r="BN45" s="24">
        <v>0.21689331085165217</v>
      </c>
      <c r="BO45" s="24">
        <v>0.3995787050912733</v>
      </c>
      <c r="BP45" s="24">
        <v>0.68381164515933401</v>
      </c>
      <c r="BQ45" s="24">
        <v>0.99763334155042427</v>
      </c>
      <c r="BR45" s="24">
        <v>1.036307442587004</v>
      </c>
      <c r="BS45" s="24">
        <v>0.98465576893810214</v>
      </c>
      <c r="BT45" s="24">
        <v>1.0485083315793584</v>
      </c>
      <c r="BV45" s="24">
        <v>4.1133978383753371</v>
      </c>
      <c r="BW45" s="24">
        <v>6.1465746630434515</v>
      </c>
      <c r="BX45" s="24">
        <v>5.2205165975098895</v>
      </c>
      <c r="BY45" s="24">
        <v>4.3751927871405156</v>
      </c>
      <c r="BZ45" s="24">
        <v>3.3641480043690053</v>
      </c>
      <c r="CA45" s="24">
        <v>2.8472278429870617</v>
      </c>
      <c r="CB45" s="24">
        <v>2.6570761367845046</v>
      </c>
      <c r="CC45" s="24">
        <v>2.5480820414012362</v>
      </c>
      <c r="CE45" s="27"/>
      <c r="CF45" s="27"/>
    </row>
    <row r="46" spans="1:84" s="26" customFormat="1" ht="12">
      <c r="A46" s="23">
        <v>1999</v>
      </c>
      <c r="B46" s="24">
        <f t="shared" si="10"/>
        <v>15.142039177988112</v>
      </c>
      <c r="C46" s="24">
        <f t="shared" si="10"/>
        <v>28.885051738458866</v>
      </c>
      <c r="D46" s="24">
        <f t="shared" si="10"/>
        <v>33.158917712699441</v>
      </c>
      <c r="E46" s="24">
        <f t="shared" si="10"/>
        <v>36.431865011932672</v>
      </c>
      <c r="F46" s="24">
        <f t="shared" si="10"/>
        <v>40.709473126628666</v>
      </c>
      <c r="G46" s="24">
        <f t="shared" si="10"/>
        <v>44.192603760941743</v>
      </c>
      <c r="H46" s="24">
        <f t="shared" si="10"/>
        <v>50.817498134691817</v>
      </c>
      <c r="I46" s="24">
        <f t="shared" si="8"/>
        <v>52.378168467252443</v>
      </c>
      <c r="J46" s="24"/>
      <c r="K46" s="24">
        <f t="shared" si="11"/>
        <v>8.360573075900394</v>
      </c>
      <c r="L46" s="24">
        <f t="shared" si="11"/>
        <v>20.312349336234902</v>
      </c>
      <c r="M46" s="24">
        <f t="shared" si="11"/>
        <v>25.781686864578933</v>
      </c>
      <c r="N46" s="24">
        <f t="shared" si="11"/>
        <v>30.799841685059338</v>
      </c>
      <c r="O46" s="24">
        <f t="shared" si="11"/>
        <v>37.142805380641754</v>
      </c>
      <c r="P46" s="24">
        <f t="shared" si="11"/>
        <v>41.737994601571351</v>
      </c>
      <c r="Q46" s="24">
        <f t="shared" si="11"/>
        <v>49.272723508802642</v>
      </c>
      <c r="R46" s="24">
        <f t="shared" si="9"/>
        <v>51.195737461487141</v>
      </c>
      <c r="S46" s="24"/>
      <c r="T46" s="24">
        <v>0.46341925593784367</v>
      </c>
      <c r="U46" s="24">
        <v>7.242228469189441</v>
      </c>
      <c r="V46" s="24">
        <v>11.428012196391574</v>
      </c>
      <c r="W46" s="24">
        <v>15.67775350681301</v>
      </c>
      <c r="X46" s="24">
        <v>21.679091712961267</v>
      </c>
      <c r="Y46" s="24">
        <v>25.880804755268549</v>
      </c>
      <c r="Z46" s="24">
        <v>31.934092841054184</v>
      </c>
      <c r="AA46" s="24">
        <v>33.148851833326965</v>
      </c>
      <c r="AB46" s="25"/>
      <c r="AC46" s="24">
        <v>0.57442727625973611</v>
      </c>
      <c r="AD46" s="24">
        <v>1.7717479018601969</v>
      </c>
      <c r="AE46" s="24">
        <v>2.5064385101621598</v>
      </c>
      <c r="AF46" s="24">
        <v>3.2915025848063308</v>
      </c>
      <c r="AG46" s="24">
        <v>4.1266594794030196</v>
      </c>
      <c r="AH46" s="24">
        <v>4.700869679066602</v>
      </c>
      <c r="AI46" s="24">
        <v>5.7137353382434215</v>
      </c>
      <c r="AJ46" s="24">
        <v>5.7765626232024676</v>
      </c>
      <c r="AK46" s="25"/>
      <c r="AL46" s="24">
        <v>1.4021191939792095</v>
      </c>
      <c r="AM46" s="24">
        <v>2.4001837568566131</v>
      </c>
      <c r="AN46" s="24">
        <v>2.9987782532322944</v>
      </c>
      <c r="AO46" s="24">
        <v>3.3094919463557075</v>
      </c>
      <c r="AP46" s="24">
        <v>3.4908622658363244</v>
      </c>
      <c r="AQ46" s="24">
        <v>3.7625022669212824</v>
      </c>
      <c r="AR46" s="24">
        <v>4.355356253269691</v>
      </c>
      <c r="AS46" s="24">
        <v>5.0192798179824205</v>
      </c>
      <c r="AT46" s="25"/>
      <c r="AU46" s="24">
        <v>1.404399087599554</v>
      </c>
      <c r="AV46" s="24">
        <v>2.6479614132653961</v>
      </c>
      <c r="AW46" s="24">
        <v>3.2544925840825458</v>
      </c>
      <c r="AX46" s="24">
        <v>3.5054201484776062</v>
      </c>
      <c r="AY46" s="24">
        <v>3.5651379924904845</v>
      </c>
      <c r="AZ46" s="24">
        <v>3.6161874780977743</v>
      </c>
      <c r="BA46" s="24">
        <v>3.703924190046501</v>
      </c>
      <c r="BB46" s="24">
        <v>3.6953377645985741</v>
      </c>
      <c r="BD46" s="24">
        <v>6.7814661020877187</v>
      </c>
      <c r="BE46" s="24">
        <v>8.572702402223964</v>
      </c>
      <c r="BF46" s="24">
        <v>7.377230848120508</v>
      </c>
      <c r="BG46" s="24">
        <v>5.6320233268733322</v>
      </c>
      <c r="BH46" s="24">
        <v>3.5666677459869129</v>
      </c>
      <c r="BI46" s="24">
        <v>2.454609159370392</v>
      </c>
      <c r="BJ46" s="24">
        <v>1.5447746258891724</v>
      </c>
      <c r="BK46" s="24">
        <v>1.1824310057652987</v>
      </c>
      <c r="BL46" s="24"/>
      <c r="BM46" s="24">
        <v>0.3453738537044278</v>
      </c>
      <c r="BN46" s="24">
        <v>0.2327579551524793</v>
      </c>
      <c r="BO46" s="24">
        <v>0.42848969545261983</v>
      </c>
      <c r="BP46" s="24">
        <v>0.73481370462497686</v>
      </c>
      <c r="BQ46" s="24">
        <v>1.0596527320362699</v>
      </c>
      <c r="BR46" s="24">
        <v>1.061837256622203</v>
      </c>
      <c r="BS46" s="24">
        <v>0.99742926074039773</v>
      </c>
      <c r="BT46" s="24">
        <v>1.043982056802488</v>
      </c>
      <c r="BV46" s="24">
        <v>4.1708344084196218</v>
      </c>
      <c r="BW46" s="24">
        <v>6.0174698399107767</v>
      </c>
      <c r="BX46" s="24">
        <v>5.1654756252577423</v>
      </c>
      <c r="BY46" s="24">
        <v>4.2808597939817092</v>
      </c>
      <c r="BZ46" s="24">
        <v>3.2214011979143917</v>
      </c>
      <c r="CA46" s="24">
        <v>2.7157931655949352</v>
      </c>
      <c r="CB46" s="24">
        <v>2.5681856254484483</v>
      </c>
      <c r="CC46" s="24">
        <v>2.5117233655742184</v>
      </c>
      <c r="CE46" s="27"/>
      <c r="CF46" s="27"/>
    </row>
    <row r="47" spans="1:84" s="26" customFormat="1" ht="12">
      <c r="A47" s="23">
        <v>2000</v>
      </c>
      <c r="B47" s="24">
        <f t="shared" si="10"/>
        <v>15.435556988466844</v>
      </c>
      <c r="C47" s="24">
        <f t="shared" si="10"/>
        <v>29.040462848722097</v>
      </c>
      <c r="D47" s="24">
        <f t="shared" si="10"/>
        <v>33.07276361086651</v>
      </c>
      <c r="E47" s="24">
        <f t="shared" si="10"/>
        <v>36.44180040970538</v>
      </c>
      <c r="F47" s="24">
        <f t="shared" si="10"/>
        <v>41.586640561052889</v>
      </c>
      <c r="G47" s="24">
        <f t="shared" si="10"/>
        <v>44.678698497953711</v>
      </c>
      <c r="H47" s="24">
        <f t="shared" si="10"/>
        <v>51.806704487616187</v>
      </c>
      <c r="I47" s="24">
        <f t="shared" si="8"/>
        <v>54.127500541467796</v>
      </c>
      <c r="J47" s="24"/>
      <c r="K47" s="24">
        <f t="shared" si="11"/>
        <v>8.4388663626150517</v>
      </c>
      <c r="L47" s="24">
        <f t="shared" si="11"/>
        <v>20.572290218459813</v>
      </c>
      <c r="M47" s="24">
        <f t="shared" si="11"/>
        <v>25.671564151650671</v>
      </c>
      <c r="N47" s="24">
        <f t="shared" si="11"/>
        <v>30.810648612687348</v>
      </c>
      <c r="O47" s="24">
        <f t="shared" si="11"/>
        <v>38.011976696617168</v>
      </c>
      <c r="P47" s="24">
        <f t="shared" si="11"/>
        <v>42.223743425461784</v>
      </c>
      <c r="Q47" s="24">
        <f t="shared" si="11"/>
        <v>50.148795571023427</v>
      </c>
      <c r="R47" s="24">
        <f t="shared" si="9"/>
        <v>52.794228461237189</v>
      </c>
      <c r="S47" s="24"/>
      <c r="T47" s="24">
        <v>0.52443269670985393</v>
      </c>
      <c r="U47" s="24">
        <v>7.4285006633727644</v>
      </c>
      <c r="V47" s="24">
        <v>11.599931190733519</v>
      </c>
      <c r="W47" s="24">
        <v>16.005795419705532</v>
      </c>
      <c r="X47" s="24">
        <v>22.458124594998839</v>
      </c>
      <c r="Y47" s="24">
        <v>26.551539708636557</v>
      </c>
      <c r="Z47" s="24">
        <v>33.207751253632217</v>
      </c>
      <c r="AA47" s="24">
        <v>34.982829620331621</v>
      </c>
      <c r="AB47" s="25"/>
      <c r="AC47" s="24">
        <v>0.5715925171826467</v>
      </c>
      <c r="AD47" s="24">
        <v>1.7918712633609784</v>
      </c>
      <c r="AE47" s="24">
        <v>2.5340081128129435</v>
      </c>
      <c r="AF47" s="24">
        <v>3.3701852603036957</v>
      </c>
      <c r="AG47" s="24">
        <v>4.3393990614692273</v>
      </c>
      <c r="AH47" s="24">
        <v>4.840172970896873</v>
      </c>
      <c r="AI47" s="24">
        <v>6.0391521457062423</v>
      </c>
      <c r="AJ47" s="24">
        <v>6.6342098338587245</v>
      </c>
      <c r="AK47" s="25"/>
      <c r="AL47" s="24">
        <v>1.4028443434323312</v>
      </c>
      <c r="AM47" s="24">
        <v>2.3794054029573233</v>
      </c>
      <c r="AN47" s="24">
        <v>2.7339219219682507</v>
      </c>
      <c r="AO47" s="24">
        <v>3.0111072432424821</v>
      </c>
      <c r="AP47" s="24">
        <v>3.3346344213849051</v>
      </c>
      <c r="AQ47" s="24">
        <v>3.5640434951057252</v>
      </c>
      <c r="AR47" s="24">
        <v>3.8889949533779777</v>
      </c>
      <c r="AS47" s="24">
        <v>4.3446703477154998</v>
      </c>
      <c r="AT47" s="25"/>
      <c r="AU47" s="24">
        <v>1.4060852828070924</v>
      </c>
      <c r="AV47" s="24">
        <v>2.6114380312131273</v>
      </c>
      <c r="AW47" s="24">
        <v>3.1241248571876574</v>
      </c>
      <c r="AX47" s="24">
        <v>3.3830246156091883</v>
      </c>
      <c r="AY47" s="24">
        <v>3.5747889151336261</v>
      </c>
      <c r="AZ47" s="24">
        <v>3.5631364820855613</v>
      </c>
      <c r="BA47" s="24">
        <v>3.4543081036019561</v>
      </c>
      <c r="BB47" s="24">
        <v>3.3247538995305379</v>
      </c>
      <c r="BD47" s="24">
        <v>6.9966906258517927</v>
      </c>
      <c r="BE47" s="24">
        <v>8.4681726302622859</v>
      </c>
      <c r="BF47" s="24">
        <v>7.4011994592158361</v>
      </c>
      <c r="BG47" s="24">
        <v>5.631151797018032</v>
      </c>
      <c r="BH47" s="24">
        <v>3.5746638644357196</v>
      </c>
      <c r="BI47" s="24">
        <v>2.4549550724919245</v>
      </c>
      <c r="BJ47" s="24">
        <v>1.657908916592761</v>
      </c>
      <c r="BK47" s="24">
        <v>1.3332720802306055</v>
      </c>
      <c r="BL47" s="24"/>
      <c r="BM47" s="24">
        <v>0.31634089114746189</v>
      </c>
      <c r="BN47" s="24">
        <v>0.21479367121330861</v>
      </c>
      <c r="BO47" s="24">
        <v>0.38716459719809904</v>
      </c>
      <c r="BP47" s="24">
        <v>0.65656772562717558</v>
      </c>
      <c r="BQ47" s="24">
        <v>0.96639443406786041</v>
      </c>
      <c r="BR47" s="24">
        <v>0.94060574540619346</v>
      </c>
      <c r="BS47" s="24">
        <v>0.85848356965709438</v>
      </c>
      <c r="BT47" s="24">
        <v>0.87079534231256495</v>
      </c>
      <c r="BV47" s="24">
        <v>4.2175706313356667</v>
      </c>
      <c r="BW47" s="24">
        <v>6.1462811863423115</v>
      </c>
      <c r="BX47" s="24">
        <v>5.292413471750204</v>
      </c>
      <c r="BY47" s="24">
        <v>4.3839683481992759</v>
      </c>
      <c r="BZ47" s="24">
        <v>3.3386352695627175</v>
      </c>
      <c r="CA47" s="24">
        <v>2.7642450233308731</v>
      </c>
      <c r="CB47" s="24">
        <v>2.7001055450479399</v>
      </c>
      <c r="CC47" s="24">
        <v>2.636969417488245</v>
      </c>
      <c r="CE47" s="27"/>
      <c r="CF47" s="27"/>
    </row>
    <row r="48" spans="1:84" s="26" customFormat="1" ht="12">
      <c r="A48" s="23">
        <v>2001</v>
      </c>
      <c r="B48" s="24">
        <f t="shared" si="10"/>
        <v>14.250620689531889</v>
      </c>
      <c r="C48" s="24">
        <f t="shared" si="10"/>
        <v>28.532059256533298</v>
      </c>
      <c r="D48" s="24">
        <f t="shared" si="10"/>
        <v>32.581966568296046</v>
      </c>
      <c r="E48" s="24">
        <f t="shared" si="10"/>
        <v>35.248890755541041</v>
      </c>
      <c r="F48" s="24">
        <f t="shared" si="10"/>
        <v>40.095940373048997</v>
      </c>
      <c r="G48" s="24">
        <f t="shared" si="10"/>
        <v>41.925633414807265</v>
      </c>
      <c r="H48" s="24">
        <f t="shared" si="10"/>
        <v>48.941238400232002</v>
      </c>
      <c r="I48" s="24">
        <f t="shared" si="8"/>
        <v>52.14187261918913</v>
      </c>
      <c r="J48" s="24"/>
      <c r="K48" s="24">
        <f t="shared" si="11"/>
        <v>7.72701104806535</v>
      </c>
      <c r="L48" s="24">
        <f t="shared" si="11"/>
        <v>20.058846166826196</v>
      </c>
      <c r="M48" s="24">
        <f t="shared" si="11"/>
        <v>24.961711770556782</v>
      </c>
      <c r="N48" s="24">
        <f t="shared" si="11"/>
        <v>29.367620144511189</v>
      </c>
      <c r="O48" s="24">
        <f t="shared" si="11"/>
        <v>36.391130504928178</v>
      </c>
      <c r="P48" s="24">
        <f t="shared" si="11"/>
        <v>39.412703227304569</v>
      </c>
      <c r="Q48" s="24">
        <f t="shared" si="11"/>
        <v>47.348549327996245</v>
      </c>
      <c r="R48" s="24">
        <f t="shared" si="9"/>
        <v>51.017255575293987</v>
      </c>
      <c r="S48" s="24"/>
      <c r="T48" s="24">
        <v>0.40786257353461353</v>
      </c>
      <c r="U48" s="24">
        <v>7.6502343471209713</v>
      </c>
      <c r="V48" s="24">
        <v>11.84823616398012</v>
      </c>
      <c r="W48" s="24">
        <v>15.618000556350326</v>
      </c>
      <c r="X48" s="24">
        <v>21.6375779588721</v>
      </c>
      <c r="Y48" s="24">
        <v>24.795222086692384</v>
      </c>
      <c r="Z48" s="24">
        <v>31.087167693285057</v>
      </c>
      <c r="AA48" s="24">
        <v>33.525948560070027</v>
      </c>
      <c r="AB48" s="25"/>
      <c r="AC48" s="24">
        <v>0.57786556030961689</v>
      </c>
      <c r="AD48" s="24">
        <v>1.8371924867534795</v>
      </c>
      <c r="AE48" s="24">
        <v>2.5857154846464536</v>
      </c>
      <c r="AF48" s="24">
        <v>3.407884654405982</v>
      </c>
      <c r="AG48" s="24">
        <v>4.2620631812458685</v>
      </c>
      <c r="AH48" s="24">
        <v>4.7388267582465682</v>
      </c>
      <c r="AI48" s="24">
        <v>6.0925229430128889</v>
      </c>
      <c r="AJ48" s="24">
        <v>6.4000103820652106</v>
      </c>
      <c r="AK48" s="25"/>
      <c r="AL48" s="24">
        <v>1.0120311992336408</v>
      </c>
      <c r="AM48" s="24">
        <v>1.7453138990286918</v>
      </c>
      <c r="AN48" s="24">
        <v>1.8625353902732722</v>
      </c>
      <c r="AO48" s="24">
        <v>1.9864821211087089</v>
      </c>
      <c r="AP48" s="24">
        <v>2.445322820358621</v>
      </c>
      <c r="AQ48" s="24">
        <v>2.4919595143177347</v>
      </c>
      <c r="AR48" s="24">
        <v>2.7412711057670531</v>
      </c>
      <c r="AS48" s="24">
        <v>3.4608281368569269</v>
      </c>
      <c r="AT48" s="25"/>
      <c r="AU48" s="24">
        <v>1.4141734145835023</v>
      </c>
      <c r="AV48" s="24">
        <v>2.6552757106505993</v>
      </c>
      <c r="AW48" s="24">
        <v>3.1019343651398357</v>
      </c>
      <c r="AX48" s="24">
        <v>3.3736004340692336</v>
      </c>
      <c r="AY48" s="24">
        <v>3.7294644101293324</v>
      </c>
      <c r="AZ48" s="24">
        <v>3.7092011249997037</v>
      </c>
      <c r="BA48" s="24">
        <v>3.7936440659460806</v>
      </c>
      <c r="BB48" s="24">
        <v>3.9554804933849801</v>
      </c>
      <c r="BD48" s="24">
        <v>6.523609641466539</v>
      </c>
      <c r="BE48" s="24">
        <v>8.4732130897071016</v>
      </c>
      <c r="BF48" s="24">
        <v>7.6202547977392632</v>
      </c>
      <c r="BG48" s="24">
        <v>5.8812706110298523</v>
      </c>
      <c r="BH48" s="24">
        <v>3.7048098681208215</v>
      </c>
      <c r="BI48" s="24">
        <v>2.5129301875026995</v>
      </c>
      <c r="BJ48" s="24">
        <v>1.5926890722357585</v>
      </c>
      <c r="BK48" s="24">
        <v>1.1246170438951444</v>
      </c>
      <c r="BL48" s="24"/>
      <c r="BM48" s="24">
        <v>0.29965471453257886</v>
      </c>
      <c r="BN48" s="24">
        <v>0.20697679802883792</v>
      </c>
      <c r="BO48" s="24">
        <v>0.37658714386759101</v>
      </c>
      <c r="BP48" s="24">
        <v>0.62889232273515672</v>
      </c>
      <c r="BQ48" s="24">
        <v>0.97639941563509247</v>
      </c>
      <c r="BR48" s="24">
        <v>0.93444274300722263</v>
      </c>
      <c r="BS48" s="24">
        <v>0.92028684586342413</v>
      </c>
      <c r="BT48" s="24">
        <v>1.0439665451644173</v>
      </c>
      <c r="BV48" s="24">
        <v>4.0154235858713969</v>
      </c>
      <c r="BW48" s="24">
        <v>5.9638529252436188</v>
      </c>
      <c r="BX48" s="24">
        <v>5.18670322264951</v>
      </c>
      <c r="BY48" s="24">
        <v>4.3527600558417854</v>
      </c>
      <c r="BZ48" s="24">
        <v>3.3403027186871639</v>
      </c>
      <c r="CA48" s="24">
        <v>2.74305100004096</v>
      </c>
      <c r="CB48" s="24">
        <v>2.7136566741217401</v>
      </c>
      <c r="CC48" s="24">
        <v>2.6310214577524218</v>
      </c>
      <c r="CE48" s="27"/>
      <c r="CF48" s="27"/>
    </row>
    <row r="49" spans="1:84" s="26" customFormat="1" ht="12">
      <c r="A49" s="23">
        <v>2002</v>
      </c>
      <c r="B49" s="24">
        <f t="shared" si="10"/>
        <v>12.760291704348434</v>
      </c>
      <c r="C49" s="24">
        <f t="shared" si="10"/>
        <v>26.518054721026335</v>
      </c>
      <c r="D49" s="24">
        <f t="shared" si="10"/>
        <v>30.352716337779228</v>
      </c>
      <c r="E49" s="24">
        <f t="shared" si="10"/>
        <v>32.848357110686791</v>
      </c>
      <c r="F49" s="24">
        <f t="shared" si="10"/>
        <v>36.760156346207673</v>
      </c>
      <c r="G49" s="24">
        <f t="shared" si="10"/>
        <v>37.516701494014939</v>
      </c>
      <c r="H49" s="24">
        <f t="shared" si="10"/>
        <v>43.23890662142405</v>
      </c>
      <c r="I49" s="24">
        <f t="shared" si="8"/>
        <v>46.243090250397039</v>
      </c>
      <c r="J49" s="24"/>
      <c r="K49" s="24">
        <f t="shared" si="11"/>
        <v>6.440927787502349</v>
      </c>
      <c r="L49" s="24">
        <f t="shared" si="11"/>
        <v>18.244191565936326</v>
      </c>
      <c r="M49" s="24">
        <f t="shared" si="11"/>
        <v>22.793172040437366</v>
      </c>
      <c r="N49" s="24">
        <f t="shared" si="11"/>
        <v>26.796730744942089</v>
      </c>
      <c r="O49" s="24">
        <f t="shared" si="11"/>
        <v>32.927454401551067</v>
      </c>
      <c r="P49" s="24">
        <f t="shared" si="11"/>
        <v>34.907246226605984</v>
      </c>
      <c r="Q49" s="24">
        <f t="shared" si="11"/>
        <v>41.664968557119771</v>
      </c>
      <c r="R49" s="24">
        <f t="shared" si="9"/>
        <v>45.293816796110626</v>
      </c>
      <c r="S49" s="24"/>
      <c r="T49" s="24">
        <v>-0.40755512942754107</v>
      </c>
      <c r="U49" s="24">
        <v>6.0768241365782805</v>
      </c>
      <c r="V49" s="24">
        <v>9.807680713122517</v>
      </c>
      <c r="W49" s="24">
        <v>13.337397106331162</v>
      </c>
      <c r="X49" s="24">
        <v>18.752541927015407</v>
      </c>
      <c r="Y49" s="24">
        <v>21.149460345301989</v>
      </c>
      <c r="Z49" s="24">
        <v>26.52154345715693</v>
      </c>
      <c r="AA49" s="24">
        <v>28.647490723772506</v>
      </c>
      <c r="AB49" s="25"/>
      <c r="AC49" s="24">
        <v>0.43153053234005245</v>
      </c>
      <c r="AD49" s="24">
        <v>1.654325995275358</v>
      </c>
      <c r="AE49" s="24">
        <v>2.4259521022600827</v>
      </c>
      <c r="AF49" s="24">
        <v>3.0558557200282195</v>
      </c>
      <c r="AG49" s="24">
        <v>3.8616695141111532</v>
      </c>
      <c r="AH49" s="24">
        <v>4.0650740405584749</v>
      </c>
      <c r="AI49" s="24">
        <v>5.0218274070256514</v>
      </c>
      <c r="AJ49" s="24">
        <v>5.4121880018663919</v>
      </c>
      <c r="AK49" s="25"/>
      <c r="AL49" s="24">
        <v>0.88484554083005718</v>
      </c>
      <c r="AM49" s="24">
        <v>1.6356501214631523</v>
      </c>
      <c r="AN49" s="24">
        <v>1.8417649792156792</v>
      </c>
      <c r="AO49" s="24">
        <v>1.9083507253916583</v>
      </c>
      <c r="AP49" s="24">
        <v>2.1452754902372826</v>
      </c>
      <c r="AQ49" s="24">
        <v>2.1341849323915323</v>
      </c>
      <c r="AR49" s="24">
        <v>2.3619244360925209</v>
      </c>
      <c r="AS49" s="24">
        <v>3.1126211693179671</v>
      </c>
      <c r="AT49" s="25"/>
      <c r="AU49" s="24">
        <v>1.4200379279227215</v>
      </c>
      <c r="AV49" s="24">
        <v>2.7802606852463998</v>
      </c>
      <c r="AW49" s="24">
        <v>3.3029733849372604</v>
      </c>
      <c r="AX49" s="24">
        <v>3.5903035722161429</v>
      </c>
      <c r="AY49" s="24">
        <v>3.9028620909107832</v>
      </c>
      <c r="AZ49" s="24">
        <v>3.8577711642058441</v>
      </c>
      <c r="BA49" s="24">
        <v>4.0256849452871935</v>
      </c>
      <c r="BB49" s="24">
        <v>4.3282023858900782</v>
      </c>
      <c r="BD49" s="24">
        <v>6.3193639168460862</v>
      </c>
      <c r="BE49" s="24">
        <v>8.2738631550900106</v>
      </c>
      <c r="BF49" s="24">
        <v>7.5595442973418621</v>
      </c>
      <c r="BG49" s="24">
        <v>6.0516263657447054</v>
      </c>
      <c r="BH49" s="24">
        <v>3.8327019446566064</v>
      </c>
      <c r="BI49" s="24">
        <v>2.6094552674089524</v>
      </c>
      <c r="BJ49" s="24">
        <v>1.573938064304278</v>
      </c>
      <c r="BK49" s="24">
        <v>0.94927345428640963</v>
      </c>
      <c r="BL49" s="24"/>
      <c r="BM49" s="24">
        <v>0.24812223678868495</v>
      </c>
      <c r="BN49" s="24">
        <v>0.17553602303128268</v>
      </c>
      <c r="BO49" s="24">
        <v>0.31687284976171315</v>
      </c>
      <c r="BP49" s="24">
        <v>0.54369976489581429</v>
      </c>
      <c r="BQ49" s="24">
        <v>0.89243520777634866</v>
      </c>
      <c r="BR49" s="24">
        <v>0.92302112294913208</v>
      </c>
      <c r="BS49" s="24">
        <v>0.99482078689578246</v>
      </c>
      <c r="BT49" s="24">
        <v>1.1607573905078123</v>
      </c>
      <c r="BV49" s="24">
        <v>3.8639466790483739</v>
      </c>
      <c r="BW49" s="24">
        <v>5.9215946043418537</v>
      </c>
      <c r="BX49" s="24">
        <v>5.0979280111401168</v>
      </c>
      <c r="BY49" s="24">
        <v>4.3611238560790948</v>
      </c>
      <c r="BZ49" s="24">
        <v>3.3726701715000891</v>
      </c>
      <c r="CA49" s="24">
        <v>2.7777346211990142</v>
      </c>
      <c r="CB49" s="24">
        <v>2.739167524661696</v>
      </c>
      <c r="CC49" s="24">
        <v>2.6325571247558721</v>
      </c>
      <c r="CE49" s="27"/>
      <c r="CF49" s="27"/>
    </row>
    <row r="50" spans="1:84" s="26" customFormat="1" ht="12">
      <c r="A50" s="23">
        <v>2003</v>
      </c>
      <c r="B50" s="24">
        <f t="shared" si="10"/>
        <v>12.399429023440591</v>
      </c>
      <c r="C50" s="24">
        <f t="shared" si="10"/>
        <v>25.95517290117245</v>
      </c>
      <c r="D50" s="24">
        <f t="shared" si="10"/>
        <v>29.531663636469435</v>
      </c>
      <c r="E50" s="24">
        <f t="shared" si="10"/>
        <v>31.636699381383501</v>
      </c>
      <c r="F50" s="24">
        <f t="shared" si="10"/>
        <v>35.418738284136985</v>
      </c>
      <c r="G50" s="24">
        <f t="shared" si="10"/>
        <v>35.705086055409978</v>
      </c>
      <c r="H50" s="24">
        <f t="shared" si="10"/>
        <v>40.81837328644653</v>
      </c>
      <c r="I50" s="24">
        <f t="shared" si="8"/>
        <v>43.122471627394795</v>
      </c>
      <c r="J50" s="24"/>
      <c r="K50" s="24">
        <f t="shared" si="11"/>
        <v>5.97595065479676</v>
      </c>
      <c r="L50" s="24">
        <f t="shared" si="11"/>
        <v>17.823617400974868</v>
      </c>
      <c r="M50" s="24">
        <f t="shared" si="11"/>
        <v>22.091957526410241</v>
      </c>
      <c r="N50" s="24">
        <f t="shared" si="11"/>
        <v>25.665106889750064</v>
      </c>
      <c r="O50" s="24">
        <f t="shared" si="11"/>
        <v>31.620358789616269</v>
      </c>
      <c r="P50" s="24">
        <f t="shared" si="11"/>
        <v>33.161257889826892</v>
      </c>
      <c r="Q50" s="24">
        <f t="shared" si="11"/>
        <v>39.297603690565083</v>
      </c>
      <c r="R50" s="24">
        <f t="shared" si="9"/>
        <v>42.274092993232124</v>
      </c>
      <c r="S50" s="24"/>
      <c r="T50" s="24">
        <v>-0.76730247525492046</v>
      </c>
      <c r="U50" s="24">
        <v>5.4017805714393647</v>
      </c>
      <c r="V50" s="24">
        <v>8.6499574684641374</v>
      </c>
      <c r="W50" s="24">
        <v>11.830130876692266</v>
      </c>
      <c r="X50" s="24">
        <v>17.140675891106621</v>
      </c>
      <c r="Y50" s="24">
        <v>19.017026287881592</v>
      </c>
      <c r="Z50" s="24">
        <v>23.404065060831325</v>
      </c>
      <c r="AA50" s="24">
        <v>24.49578436951408</v>
      </c>
      <c r="AB50" s="25"/>
      <c r="AC50" s="24">
        <v>0.40848618958449567</v>
      </c>
      <c r="AD50" s="24">
        <v>1.6066793657466094</v>
      </c>
      <c r="AE50" s="24">
        <v>2.3351285990537285</v>
      </c>
      <c r="AF50" s="24">
        <v>2.9282067995653684</v>
      </c>
      <c r="AG50" s="24">
        <v>3.7332269495377011</v>
      </c>
      <c r="AH50" s="24">
        <v>3.9504134656776491</v>
      </c>
      <c r="AI50" s="24">
        <v>4.839921245723203</v>
      </c>
      <c r="AJ50" s="24">
        <v>5.1347422983854356</v>
      </c>
      <c r="AK50" s="25"/>
      <c r="AL50" s="24">
        <v>1.0473900891193233</v>
      </c>
      <c r="AM50" s="24">
        <v>2.0170796835660738</v>
      </c>
      <c r="AN50" s="24">
        <v>2.3905007275032246</v>
      </c>
      <c r="AO50" s="24">
        <v>2.4598668520007885</v>
      </c>
      <c r="AP50" s="24">
        <v>2.7265974318702795</v>
      </c>
      <c r="AQ50" s="24">
        <v>2.6858522171842898</v>
      </c>
      <c r="AR50" s="24">
        <v>3.2746080141614411</v>
      </c>
      <c r="AS50" s="24">
        <v>4.4696832661872872</v>
      </c>
      <c r="AT50" s="25"/>
      <c r="AU50" s="24">
        <v>1.3703269094601764</v>
      </c>
      <c r="AV50" s="24">
        <v>2.7893093149805468</v>
      </c>
      <c r="AW50" s="24">
        <v>3.4165060801615201</v>
      </c>
      <c r="AX50" s="24">
        <v>3.6925757397273542</v>
      </c>
      <c r="AY50" s="24">
        <v>3.9238429861088631</v>
      </c>
      <c r="AZ50" s="24">
        <v>3.9254728607104141</v>
      </c>
      <c r="BA50" s="24">
        <v>4.221656208554438</v>
      </c>
      <c r="BB50" s="24">
        <v>4.6701618096490076</v>
      </c>
      <c r="BD50" s="24">
        <v>6.4234783686438313</v>
      </c>
      <c r="BE50" s="24">
        <v>8.1315555001975799</v>
      </c>
      <c r="BF50" s="24">
        <v>7.4397061100591939</v>
      </c>
      <c r="BG50" s="24">
        <v>5.9715924916334364</v>
      </c>
      <c r="BH50" s="24">
        <v>3.7983794945207179</v>
      </c>
      <c r="BI50" s="24">
        <v>2.5438281655830863</v>
      </c>
      <c r="BJ50" s="24">
        <v>1.52076959588145</v>
      </c>
      <c r="BK50" s="24">
        <v>0.84837863416267045</v>
      </c>
      <c r="BL50" s="24"/>
      <c r="BM50" s="24">
        <v>0.20565127348137749</v>
      </c>
      <c r="BN50" s="24">
        <v>0.1449757832452746</v>
      </c>
      <c r="BO50" s="24">
        <v>0.26287034579160046</v>
      </c>
      <c r="BP50" s="24">
        <v>0.44024980708520267</v>
      </c>
      <c r="BQ50" s="24">
        <v>0.72876442546661302</v>
      </c>
      <c r="BR50" s="24">
        <v>0.75249415875058945</v>
      </c>
      <c r="BS50" s="24">
        <v>0.78751115466706212</v>
      </c>
      <c r="BT50" s="24">
        <v>0.87195293813222374</v>
      </c>
      <c r="BV50" s="24">
        <v>3.7113986684063081</v>
      </c>
      <c r="BW50" s="24">
        <v>5.8637926819969977</v>
      </c>
      <c r="BX50" s="24">
        <v>5.0369943054360284</v>
      </c>
      <c r="BY50" s="24">
        <v>4.3140768146790878</v>
      </c>
      <c r="BZ50" s="24">
        <v>3.3672511055261931</v>
      </c>
      <c r="CA50" s="24">
        <v>2.8299988996223626</v>
      </c>
      <c r="CB50" s="24">
        <v>2.7698420066276102</v>
      </c>
      <c r="CC50" s="24">
        <v>2.6317683113640848</v>
      </c>
      <c r="CE50" s="27"/>
      <c r="CF50" s="27"/>
    </row>
    <row r="51" spans="1:84" s="26" customFormat="1" ht="12">
      <c r="A51" s="23">
        <v>2004</v>
      </c>
      <c r="B51" s="24">
        <f t="shared" si="10"/>
        <v>12.708594882374566</v>
      </c>
      <c r="C51" s="24">
        <f t="shared" si="10"/>
        <v>25.928466401445895</v>
      </c>
      <c r="D51" s="24">
        <f t="shared" si="10"/>
        <v>29.482466700700886</v>
      </c>
      <c r="E51" s="24">
        <f t="shared" si="10"/>
        <v>31.890371076905133</v>
      </c>
      <c r="F51" s="24">
        <f t="shared" si="10"/>
        <v>35.177062677781969</v>
      </c>
      <c r="G51" s="24">
        <f t="shared" si="10"/>
        <v>36.162153856356014</v>
      </c>
      <c r="H51" s="24">
        <f t="shared" si="10"/>
        <v>41.309121074879677</v>
      </c>
      <c r="I51" s="24">
        <f t="shared" si="8"/>
        <v>42.485496219783343</v>
      </c>
      <c r="J51" s="24"/>
      <c r="K51" s="24">
        <f t="shared" si="11"/>
        <v>6.0847103047723801</v>
      </c>
      <c r="L51" s="24">
        <f t="shared" si="11"/>
        <v>17.786530381740466</v>
      </c>
      <c r="M51" s="24">
        <f t="shared" si="11"/>
        <v>22.181184288968964</v>
      </c>
      <c r="N51" s="24">
        <f t="shared" si="11"/>
        <v>26.135950620008366</v>
      </c>
      <c r="O51" s="24">
        <f t="shared" si="11"/>
        <v>31.561633582283076</v>
      </c>
      <c r="P51" s="24">
        <f t="shared" si="11"/>
        <v>33.693182467215777</v>
      </c>
      <c r="Q51" s="24">
        <f t="shared" si="11"/>
        <v>39.861725138892425</v>
      </c>
      <c r="R51" s="24">
        <f t="shared" si="9"/>
        <v>41.628269963150046</v>
      </c>
      <c r="S51" s="24"/>
      <c r="T51" s="24">
        <v>-0.86612603388859566</v>
      </c>
      <c r="U51" s="24">
        <v>4.9593367686759979</v>
      </c>
      <c r="V51" s="24">
        <v>8.0634534722663833</v>
      </c>
      <c r="W51" s="24">
        <v>11.51720655041783</v>
      </c>
      <c r="X51" s="24">
        <v>16.500214945886135</v>
      </c>
      <c r="Y51" s="24">
        <v>18.719782904565189</v>
      </c>
      <c r="Z51" s="24">
        <v>22.719120571114932</v>
      </c>
      <c r="AA51" s="24">
        <v>22.76223000365702</v>
      </c>
      <c r="AB51" s="25"/>
      <c r="AC51" s="24">
        <v>0.38589831441435696</v>
      </c>
      <c r="AD51" s="24">
        <v>1.5759413921328598</v>
      </c>
      <c r="AE51" s="24">
        <v>2.2994677783824509</v>
      </c>
      <c r="AF51" s="24">
        <v>2.9955194452300491</v>
      </c>
      <c r="AG51" s="24">
        <v>3.8500769891868782</v>
      </c>
      <c r="AH51" s="24">
        <v>4.2111074841864387</v>
      </c>
      <c r="AI51" s="24">
        <v>5.1936630697744972</v>
      </c>
      <c r="AJ51" s="24">
        <v>5.3759204870363781</v>
      </c>
      <c r="AK51" s="25"/>
      <c r="AL51" s="24">
        <v>1.2393400462417792</v>
      </c>
      <c r="AM51" s="24">
        <v>2.3898750930292163</v>
      </c>
      <c r="AN51" s="24">
        <v>2.9924055446165791</v>
      </c>
      <c r="AO51" s="24">
        <v>3.0732376299607131</v>
      </c>
      <c r="AP51" s="24">
        <v>3.2120316533769468</v>
      </c>
      <c r="AQ51" s="24">
        <v>3.2063461583807977</v>
      </c>
      <c r="AR51" s="24">
        <v>4.1130678284617836</v>
      </c>
      <c r="AS51" s="24">
        <v>5.4604164022326236</v>
      </c>
      <c r="AT51" s="25"/>
      <c r="AU51" s="24">
        <v>1.3383092497994173</v>
      </c>
      <c r="AV51" s="24">
        <v>2.7336918119415383</v>
      </c>
      <c r="AW51" s="24">
        <v>3.4700602018479709</v>
      </c>
      <c r="AX51" s="24">
        <v>3.7455012006292705</v>
      </c>
      <c r="AY51" s="24">
        <v>3.8710317724220964</v>
      </c>
      <c r="AZ51" s="24">
        <v>3.8562634363430068</v>
      </c>
      <c r="BA51" s="24">
        <v>4.1739054770955546</v>
      </c>
      <c r="BB51" s="24">
        <v>4.4887418145195142</v>
      </c>
      <c r="BD51" s="24">
        <v>6.6238845776021851</v>
      </c>
      <c r="BE51" s="24">
        <v>8.1419360197054296</v>
      </c>
      <c r="BF51" s="24">
        <v>7.3012824117319228</v>
      </c>
      <c r="BG51" s="24">
        <v>5.7544204568967645</v>
      </c>
      <c r="BH51" s="24">
        <v>3.6154290954988912</v>
      </c>
      <c r="BI51" s="24">
        <v>2.4689713891402381</v>
      </c>
      <c r="BJ51" s="24">
        <v>1.4473959359872528</v>
      </c>
      <c r="BK51" s="24">
        <v>0.85722625663329877</v>
      </c>
      <c r="BL51" s="24"/>
      <c r="BM51" s="24">
        <v>0.19889726848831826</v>
      </c>
      <c r="BN51" s="24">
        <v>0.14188709115106252</v>
      </c>
      <c r="BO51" s="24">
        <v>0.24724400302263685</v>
      </c>
      <c r="BP51" s="24">
        <v>0.42914289453769183</v>
      </c>
      <c r="BQ51" s="24">
        <v>0.72470696362153619</v>
      </c>
      <c r="BR51" s="24">
        <v>0.80023239864290518</v>
      </c>
      <c r="BS51" s="24">
        <v>0.84600114836701301</v>
      </c>
      <c r="BT51" s="24">
        <v>0.81440564569882257</v>
      </c>
      <c r="BV51" s="24">
        <v>3.7883914597171038</v>
      </c>
      <c r="BW51" s="24">
        <v>5.9857982248097912</v>
      </c>
      <c r="BX51" s="24">
        <v>5.108553288832943</v>
      </c>
      <c r="BY51" s="24">
        <v>4.3753428992328143</v>
      </c>
      <c r="BZ51" s="24">
        <v>3.4035712577894848</v>
      </c>
      <c r="CA51" s="24">
        <v>2.899450085097441</v>
      </c>
      <c r="CB51" s="24">
        <v>2.8159670440786453</v>
      </c>
      <c r="CC51" s="24">
        <v>2.7265556100056907</v>
      </c>
      <c r="CE51" s="27"/>
      <c r="CF51" s="27"/>
    </row>
    <row r="52" spans="1:84" s="26" customFormat="1" ht="12">
      <c r="A52" s="23">
        <v>2005</v>
      </c>
      <c r="B52" s="24">
        <f t="shared" si="10"/>
        <v>13.193582723044795</v>
      </c>
      <c r="C52" s="24">
        <f t="shared" si="10"/>
        <v>26.902763271093779</v>
      </c>
      <c r="D52" s="24">
        <f t="shared" si="10"/>
        <v>30.906058275745067</v>
      </c>
      <c r="E52" s="24">
        <f t="shared" si="10"/>
        <v>33.736886420257171</v>
      </c>
      <c r="F52" s="24">
        <f t="shared" si="10"/>
        <v>36.79367108971541</v>
      </c>
      <c r="G52" s="24">
        <f t="shared" si="10"/>
        <v>39.18397247466968</v>
      </c>
      <c r="H52" s="24">
        <f t="shared" si="10"/>
        <v>44.087361521704601</v>
      </c>
      <c r="I52" s="24">
        <f t="shared" si="8"/>
        <v>45.105108657575592</v>
      </c>
      <c r="J52" s="24"/>
      <c r="K52" s="24">
        <f t="shared" si="11"/>
        <v>6.5371740385859667</v>
      </c>
      <c r="L52" s="24">
        <f t="shared" si="11"/>
        <v>18.826927278767972</v>
      </c>
      <c r="M52" s="24">
        <f t="shared" si="11"/>
        <v>23.632031837026076</v>
      </c>
      <c r="N52" s="24">
        <f t="shared" si="11"/>
        <v>28.132406663535363</v>
      </c>
      <c r="O52" s="24">
        <f t="shared" si="11"/>
        <v>33.370634345466144</v>
      </c>
      <c r="P52" s="24">
        <f t="shared" si="11"/>
        <v>36.855527915554092</v>
      </c>
      <c r="Q52" s="24">
        <f t="shared" si="11"/>
        <v>42.728350252577869</v>
      </c>
      <c r="R52" s="24">
        <f t="shared" si="9"/>
        <v>44.321174807877988</v>
      </c>
      <c r="S52" s="24"/>
      <c r="T52" s="24">
        <v>-0.9322320607467911</v>
      </c>
      <c r="U52" s="24">
        <v>5.1693798132403295</v>
      </c>
      <c r="V52" s="24">
        <v>8.5985337957166195</v>
      </c>
      <c r="W52" s="24">
        <v>12.596612268617758</v>
      </c>
      <c r="X52" s="24">
        <v>17.624010604271241</v>
      </c>
      <c r="Y52" s="24">
        <v>20.601494227595136</v>
      </c>
      <c r="Z52" s="24">
        <v>24.709510147469526</v>
      </c>
      <c r="AA52" s="24">
        <v>24.581108172268188</v>
      </c>
      <c r="AB52" s="25"/>
      <c r="AC52" s="24">
        <v>0.41943209708111578</v>
      </c>
      <c r="AD52" s="24">
        <v>1.6020812603941472</v>
      </c>
      <c r="AE52" s="24">
        <v>2.4242206499510246</v>
      </c>
      <c r="AF52" s="24">
        <v>3.1121926634824186</v>
      </c>
      <c r="AG52" s="24">
        <v>3.9524148242796988</v>
      </c>
      <c r="AH52" s="24">
        <v>4.4790676566261993</v>
      </c>
      <c r="AI52" s="24">
        <v>5.4438482310244796</v>
      </c>
      <c r="AJ52" s="24">
        <v>5.70203406035656</v>
      </c>
      <c r="AK52" s="25"/>
      <c r="AL52" s="24">
        <v>1.6113417600396702</v>
      </c>
      <c r="AM52" s="24">
        <v>3.0720370590972785</v>
      </c>
      <c r="AN52" s="24">
        <v>3.6805768537082786</v>
      </c>
      <c r="AO52" s="24">
        <v>3.8610897875185928</v>
      </c>
      <c r="AP52" s="24">
        <v>3.9996159140777228</v>
      </c>
      <c r="AQ52" s="24">
        <v>4.1828089763350755</v>
      </c>
      <c r="AR52" s="24">
        <v>4.9797451892721192</v>
      </c>
      <c r="AS52" s="24">
        <v>6.3766416189018251</v>
      </c>
      <c r="AT52" s="25"/>
      <c r="AU52" s="24">
        <v>1.3690470840655666</v>
      </c>
      <c r="AV52" s="24">
        <v>2.786513884892472</v>
      </c>
      <c r="AW52" s="24">
        <v>3.4651520962953124</v>
      </c>
      <c r="AX52" s="24">
        <v>3.7450927013057562</v>
      </c>
      <c r="AY52" s="24">
        <v>3.7775961460342149</v>
      </c>
      <c r="AZ52" s="24">
        <v>3.915029493703869</v>
      </c>
      <c r="BA52" s="24">
        <v>4.0167226693001528</v>
      </c>
      <c r="BB52" s="24">
        <v>4.2441019492198269</v>
      </c>
      <c r="BD52" s="24">
        <v>6.6564086844588282</v>
      </c>
      <c r="BE52" s="24">
        <v>8.075835992325807</v>
      </c>
      <c r="BF52" s="24">
        <v>7.2740264387189901</v>
      </c>
      <c r="BG52" s="24">
        <v>5.6044797567218048</v>
      </c>
      <c r="BH52" s="24">
        <v>3.4230367442492677</v>
      </c>
      <c r="BI52" s="24">
        <v>2.3284445591155865</v>
      </c>
      <c r="BJ52" s="24">
        <v>1.3590112691267322</v>
      </c>
      <c r="BK52" s="24">
        <v>0.78393384969760449</v>
      </c>
      <c r="BL52" s="24"/>
      <c r="BM52" s="24">
        <v>0.18988538289283693</v>
      </c>
      <c r="BN52" s="24">
        <v>0.13525588705749467</v>
      </c>
      <c r="BO52" s="24">
        <v>0.23497536417756959</v>
      </c>
      <c r="BP52" s="24">
        <v>0.40575581569862984</v>
      </c>
      <c r="BQ52" s="24">
        <v>0.64262487988979133</v>
      </c>
      <c r="BR52" s="24">
        <v>0.71593057766643375</v>
      </c>
      <c r="BS52" s="24">
        <v>0.72061456316328087</v>
      </c>
      <c r="BT52" s="24">
        <v>0.66114509400332944</v>
      </c>
      <c r="BV52" s="24">
        <v>3.8796997752535685</v>
      </c>
      <c r="BW52" s="24">
        <v>6.0616593740862523</v>
      </c>
      <c r="BX52" s="24">
        <v>5.2285730771772743</v>
      </c>
      <c r="BY52" s="24">
        <v>4.4116634269122086</v>
      </c>
      <c r="BZ52" s="24">
        <v>3.3743719769134741</v>
      </c>
      <c r="CA52" s="24">
        <v>2.9611969836273784</v>
      </c>
      <c r="CB52" s="24">
        <v>2.8579094523483106</v>
      </c>
      <c r="CC52" s="24">
        <v>2.756143913128263</v>
      </c>
      <c r="CE52" s="27"/>
      <c r="CF52" s="27"/>
    </row>
    <row r="53" spans="1:84" s="26" customFormat="1" ht="12">
      <c r="A53" s="23">
        <v>2006</v>
      </c>
      <c r="B53" s="24">
        <f t="shared" si="10"/>
        <v>13.45183776777181</v>
      </c>
      <c r="C53" s="24">
        <f t="shared" si="10"/>
        <v>27.117611829667116</v>
      </c>
      <c r="D53" s="24">
        <f t="shared" si="10"/>
        <v>31.133031144280462</v>
      </c>
      <c r="E53" s="24">
        <f t="shared" si="10"/>
        <v>34.200460741796093</v>
      </c>
      <c r="F53" s="24">
        <f t="shared" si="10"/>
        <v>37.895306065501302</v>
      </c>
      <c r="G53" s="24">
        <f t="shared" si="10"/>
        <v>39.889238121500085</v>
      </c>
      <c r="H53" s="24">
        <f t="shared" si="10"/>
        <v>45.317278851771071</v>
      </c>
      <c r="I53" s="24">
        <f t="shared" si="8"/>
        <v>46.888213910643152</v>
      </c>
      <c r="J53" s="24"/>
      <c r="K53" s="24">
        <f t="shared" si="11"/>
        <v>6.9161128923479653</v>
      </c>
      <c r="L53" s="24">
        <f t="shared" si="11"/>
        <v>19.130608475838248</v>
      </c>
      <c r="M53" s="24">
        <f t="shared" si="11"/>
        <v>23.938762532363008</v>
      </c>
      <c r="N53" s="24">
        <f t="shared" si="11"/>
        <v>28.727671626331578</v>
      </c>
      <c r="O53" s="24">
        <f t="shared" si="11"/>
        <v>34.589982381818146</v>
      </c>
      <c r="P53" s="24">
        <f t="shared" si="11"/>
        <v>37.673037588317044</v>
      </c>
      <c r="Q53" s="24">
        <f t="shared" si="11"/>
        <v>43.985500524147973</v>
      </c>
      <c r="R53" s="24">
        <f t="shared" si="9"/>
        <v>46.127722630452439</v>
      </c>
      <c r="S53" s="24"/>
      <c r="T53" s="24">
        <v>-0.86877977751993118</v>
      </c>
      <c r="U53" s="24">
        <v>5.3846188739939107</v>
      </c>
      <c r="V53" s="24">
        <v>9.0339492898357108</v>
      </c>
      <c r="W53" s="24">
        <v>13.196544003429425</v>
      </c>
      <c r="X53" s="24">
        <v>18.519193703377439</v>
      </c>
      <c r="Y53" s="24">
        <v>21.167106592067945</v>
      </c>
      <c r="Z53" s="24">
        <v>25.614275687890174</v>
      </c>
      <c r="AA53" s="24">
        <v>25.680391415148087</v>
      </c>
      <c r="AB53" s="25"/>
      <c r="AC53" s="24">
        <v>0.47510227441725655</v>
      </c>
      <c r="AD53" s="24">
        <v>1.6546912232799982</v>
      </c>
      <c r="AE53" s="24">
        <v>2.3944329984933255</v>
      </c>
      <c r="AF53" s="24">
        <v>3.1037548321539847</v>
      </c>
      <c r="AG53" s="24">
        <v>3.8831223453084172</v>
      </c>
      <c r="AH53" s="24">
        <v>4.5253947496242191</v>
      </c>
      <c r="AI53" s="24">
        <v>5.5021155930232837</v>
      </c>
      <c r="AJ53" s="24">
        <v>5.9400539781206847</v>
      </c>
      <c r="AK53" s="25"/>
      <c r="AL53" s="24">
        <v>1.7127729241127807</v>
      </c>
      <c r="AM53" s="24">
        <v>3.2894506415942866</v>
      </c>
      <c r="AN53" s="24">
        <v>3.7417617294950065</v>
      </c>
      <c r="AO53" s="24">
        <v>4.0345814842424916</v>
      </c>
      <c r="AP53" s="24">
        <v>4.3823870487696679</v>
      </c>
      <c r="AQ53" s="24">
        <v>4.5018680066768306</v>
      </c>
      <c r="AR53" s="24">
        <v>5.2888042280672742</v>
      </c>
      <c r="AS53" s="24">
        <v>6.8532598688264583</v>
      </c>
      <c r="AT53" s="25"/>
      <c r="AU53" s="24">
        <v>1.3858183681963725</v>
      </c>
      <c r="AV53" s="24">
        <v>2.7777946536061875</v>
      </c>
      <c r="AW53" s="24">
        <v>3.4070244196668216</v>
      </c>
      <c r="AX53" s="24">
        <v>3.7006096505256556</v>
      </c>
      <c r="AY53" s="24">
        <v>3.8397161765481136</v>
      </c>
      <c r="AZ53" s="24">
        <v>3.8714912089593616</v>
      </c>
      <c r="BA53" s="24">
        <v>4.0008914501168755</v>
      </c>
      <c r="BB53" s="24">
        <v>4.2689459450911311</v>
      </c>
      <c r="BD53" s="24">
        <v>6.5357248754238446</v>
      </c>
      <c r="BE53" s="24">
        <v>7.9870033538288654</v>
      </c>
      <c r="BF53" s="24">
        <v>7.1942686119174555</v>
      </c>
      <c r="BG53" s="24">
        <v>5.4727891154645167</v>
      </c>
      <c r="BH53" s="24">
        <v>3.3053236836831519</v>
      </c>
      <c r="BI53" s="24">
        <v>2.2162005331830392</v>
      </c>
      <c r="BJ53" s="24">
        <v>1.3317783276231006</v>
      </c>
      <c r="BK53" s="24">
        <v>0.76049128019071688</v>
      </c>
      <c r="BL53" s="24"/>
      <c r="BM53" s="24">
        <v>0.18683949878944281</v>
      </c>
      <c r="BN53" s="24">
        <v>0.1295270595790145</v>
      </c>
      <c r="BO53" s="24">
        <v>0.22352380812170822</v>
      </c>
      <c r="BP53" s="24">
        <v>0.39894757564847022</v>
      </c>
      <c r="BQ53" s="24">
        <v>0.66262590131623544</v>
      </c>
      <c r="BR53" s="24">
        <v>0.74928147575992554</v>
      </c>
      <c r="BS53" s="24">
        <v>0.79360375812461481</v>
      </c>
      <c r="BT53" s="24">
        <v>0.72869662019881443</v>
      </c>
      <c r="BV53" s="24">
        <v>4.0243596043520444</v>
      </c>
      <c r="BW53" s="24">
        <v>5.8945260237848514</v>
      </c>
      <c r="BX53" s="24">
        <v>5.1380702867504331</v>
      </c>
      <c r="BY53" s="24">
        <v>4.2932340803315521</v>
      </c>
      <c r="BZ53" s="24">
        <v>3.3029372064982772</v>
      </c>
      <c r="CA53" s="24">
        <v>2.8578955552287604</v>
      </c>
      <c r="CB53" s="24">
        <v>2.7858098069257466</v>
      </c>
      <c r="CC53" s="24">
        <v>2.6563748030672572</v>
      </c>
      <c r="CE53" s="27"/>
      <c r="CF53" s="27"/>
    </row>
    <row r="54" spans="1:84" s="26" customFormat="1" ht="12">
      <c r="A54" s="23">
        <v>2007</v>
      </c>
      <c r="B54" s="24">
        <f t="shared" si="10"/>
        <v>13.581051475399116</v>
      </c>
      <c r="C54" s="24">
        <f t="shared" si="10"/>
        <v>27.471268511309187</v>
      </c>
      <c r="D54" s="24">
        <f t="shared" si="10"/>
        <v>31.680196223097479</v>
      </c>
      <c r="E54" s="24">
        <f t="shared" si="10"/>
        <v>35.20702357883718</v>
      </c>
      <c r="F54" s="24">
        <f t="shared" si="10"/>
        <v>39.247603496444817</v>
      </c>
      <c r="G54" s="24">
        <f t="shared" si="10"/>
        <v>41.953631986762723</v>
      </c>
      <c r="H54" s="24">
        <f t="shared" si="10"/>
        <v>47.494028016345446</v>
      </c>
      <c r="I54" s="24">
        <f t="shared" si="8"/>
        <v>50.554822435087118</v>
      </c>
      <c r="J54" s="24"/>
      <c r="K54" s="24">
        <f t="shared" si="11"/>
        <v>7.2021094043010772</v>
      </c>
      <c r="L54" s="24">
        <f t="shared" si="11"/>
        <v>19.360357450596165</v>
      </c>
      <c r="M54" s="24">
        <f t="shared" si="11"/>
        <v>24.295757283392952</v>
      </c>
      <c r="N54" s="24">
        <f t="shared" si="11"/>
        <v>29.687349183205846</v>
      </c>
      <c r="O54" s="24">
        <f t="shared" si="11"/>
        <v>35.865267758926407</v>
      </c>
      <c r="P54" s="24">
        <f t="shared" si="11"/>
        <v>39.648266120003932</v>
      </c>
      <c r="Q54" s="24">
        <f t="shared" si="11"/>
        <v>46.066391240271145</v>
      </c>
      <c r="R54" s="24">
        <f t="shared" si="9"/>
        <v>49.687984443982465</v>
      </c>
      <c r="S54" s="24"/>
      <c r="T54" s="24">
        <v>-0.73720771098391391</v>
      </c>
      <c r="U54" s="24">
        <v>5.73909985166285</v>
      </c>
      <c r="V54" s="24">
        <v>9.7106113335603208</v>
      </c>
      <c r="W54" s="24">
        <v>14.300918699267465</v>
      </c>
      <c r="X54" s="24">
        <v>19.983396277621015</v>
      </c>
      <c r="Y54" s="24">
        <v>23.016730399769781</v>
      </c>
      <c r="Z54" s="24">
        <v>27.795154742392992</v>
      </c>
      <c r="AA54" s="24">
        <v>29.380858604950035</v>
      </c>
      <c r="AB54" s="25"/>
      <c r="AC54" s="24">
        <v>0.4640564495547318</v>
      </c>
      <c r="AD54" s="24">
        <v>1.6546303916864464</v>
      </c>
      <c r="AE54" s="24">
        <v>2.4874060959053135</v>
      </c>
      <c r="AF54" s="24">
        <v>3.3077812483161493</v>
      </c>
      <c r="AG54" s="24">
        <v>4.2182060595595487</v>
      </c>
      <c r="AH54" s="24">
        <v>4.955617153527518</v>
      </c>
      <c r="AI54" s="24">
        <v>6.0628958410525877</v>
      </c>
      <c r="AJ54" s="24">
        <v>6.6854483024257876</v>
      </c>
      <c r="AK54" s="25"/>
      <c r="AL54" s="24">
        <v>1.6391734316247446</v>
      </c>
      <c r="AM54" s="24">
        <v>3.0150891913339142</v>
      </c>
      <c r="AN54" s="24">
        <v>3.2039850661412435</v>
      </c>
      <c r="AO54" s="24">
        <v>3.5434035215237083</v>
      </c>
      <c r="AP54" s="24">
        <v>3.7729503299445395</v>
      </c>
      <c r="AQ54" s="24">
        <v>4.0119846246433672</v>
      </c>
      <c r="AR54" s="24">
        <v>4.5623248553388773</v>
      </c>
      <c r="AS54" s="24">
        <v>5.8702779110534546</v>
      </c>
      <c r="AT54" s="25"/>
      <c r="AU54" s="24">
        <v>1.5264168645510512</v>
      </c>
      <c r="AV54" s="24">
        <v>2.9210047279309337</v>
      </c>
      <c r="AW54" s="24">
        <v>3.4714117980810055</v>
      </c>
      <c r="AX54" s="24">
        <v>3.8562538808685702</v>
      </c>
      <c r="AY54" s="24">
        <v>3.9563060870340498</v>
      </c>
      <c r="AZ54" s="24">
        <v>4.0460748079655398</v>
      </c>
      <c r="BA54" s="24">
        <v>4.0768968110087895</v>
      </c>
      <c r="BB54" s="24">
        <v>4.3161211021463268</v>
      </c>
      <c r="BD54" s="24">
        <v>6.3789420710980389</v>
      </c>
      <c r="BE54" s="24">
        <v>8.1109110607130237</v>
      </c>
      <c r="BF54" s="24">
        <v>7.3844389397045269</v>
      </c>
      <c r="BG54" s="24">
        <v>5.5196743956313359</v>
      </c>
      <c r="BH54" s="24">
        <v>3.3823357375184133</v>
      </c>
      <c r="BI54" s="24">
        <v>2.3053658667587915</v>
      </c>
      <c r="BJ54" s="24">
        <v>1.4276367760743027</v>
      </c>
      <c r="BK54" s="24">
        <v>0.86683799110465354</v>
      </c>
      <c r="BL54" s="24"/>
      <c r="BM54" s="24">
        <v>0.17556820291136249</v>
      </c>
      <c r="BN54" s="24">
        <v>0.12036633057453025</v>
      </c>
      <c r="BO54" s="24">
        <v>0.20990717953140578</v>
      </c>
      <c r="BP54" s="24">
        <v>0.37727133177291911</v>
      </c>
      <c r="BQ54" s="24">
        <v>0.620154095414027</v>
      </c>
      <c r="BR54" s="24">
        <v>0.70023770213985492</v>
      </c>
      <c r="BS54" s="24">
        <v>0.71977941023394754</v>
      </c>
      <c r="BT54" s="24">
        <v>0.65548985205548405</v>
      </c>
      <c r="BV54" s="24">
        <v>4.1341021666431006</v>
      </c>
      <c r="BW54" s="24">
        <v>5.9101669574074922</v>
      </c>
      <c r="BX54" s="24">
        <v>5.2124358101736616</v>
      </c>
      <c r="BY54" s="24">
        <v>4.3017205014570337</v>
      </c>
      <c r="BZ54" s="24">
        <v>3.314254909353223</v>
      </c>
      <c r="CA54" s="24">
        <v>2.9176214319578788</v>
      </c>
      <c r="CB54" s="24">
        <v>2.8493395802439516</v>
      </c>
      <c r="CC54" s="24">
        <v>2.7797886713513775</v>
      </c>
      <c r="CE54" s="27"/>
      <c r="CF54" s="27"/>
    </row>
    <row r="55" spans="1:84" s="26" customFormat="1" ht="12">
      <c r="A55" s="23">
        <v>2008</v>
      </c>
      <c r="B55" s="24">
        <f t="shared" si="10"/>
        <v>12.020468892590413</v>
      </c>
      <c r="C55" s="24">
        <f t="shared" si="10"/>
        <v>26.554824963514857</v>
      </c>
      <c r="D55" s="24">
        <f t="shared" si="10"/>
        <v>31.004534041714482</v>
      </c>
      <c r="E55" s="24">
        <f t="shared" si="10"/>
        <v>34.31653976821314</v>
      </c>
      <c r="F55" s="24">
        <f t="shared" si="10"/>
        <v>38.073074899401746</v>
      </c>
      <c r="G55" s="24">
        <f t="shared" si="10"/>
        <v>39.772156613376609</v>
      </c>
      <c r="H55" s="24">
        <f t="shared" si="10"/>
        <v>45.866221490111293</v>
      </c>
      <c r="I55" s="24">
        <f t="shared" si="8"/>
        <v>48.169333755576709</v>
      </c>
      <c r="J55" s="24"/>
      <c r="K55" s="24">
        <f t="shared" si="11"/>
        <v>5.9298675483836352</v>
      </c>
      <c r="L55" s="24">
        <f t="shared" si="11"/>
        <v>18.514430588313846</v>
      </c>
      <c r="M55" s="24">
        <f t="shared" si="11"/>
        <v>23.595089779294199</v>
      </c>
      <c r="N55" s="24">
        <f t="shared" si="11"/>
        <v>28.678592475688198</v>
      </c>
      <c r="O55" s="24">
        <f t="shared" si="11"/>
        <v>34.558296643012817</v>
      </c>
      <c r="P55" s="24">
        <f t="shared" si="11"/>
        <v>37.366239185030302</v>
      </c>
      <c r="Q55" s="24">
        <f t="shared" si="11"/>
        <v>44.366035240689563</v>
      </c>
      <c r="R55" s="24">
        <f t="shared" si="9"/>
        <v>47.265084289748287</v>
      </c>
      <c r="S55" s="24"/>
      <c r="T55" s="24">
        <v>-1.2142356313370903</v>
      </c>
      <c r="U55" s="24">
        <v>5.9649174888897729</v>
      </c>
      <c r="V55" s="24">
        <v>9.9522451896423547</v>
      </c>
      <c r="W55" s="24">
        <v>14.261667482895835</v>
      </c>
      <c r="X55" s="24">
        <v>19.609323207454615</v>
      </c>
      <c r="Y55" s="24">
        <v>21.855338035834272</v>
      </c>
      <c r="Z55" s="24">
        <v>27.013295278515699</v>
      </c>
      <c r="AA55" s="24">
        <v>27.970364302375177</v>
      </c>
      <c r="AB55" s="25"/>
      <c r="AC55" s="24">
        <v>0.49444983021827071</v>
      </c>
      <c r="AD55" s="24">
        <v>1.6951787095642081</v>
      </c>
      <c r="AE55" s="24">
        <v>2.573841361668801</v>
      </c>
      <c r="AF55" s="24">
        <v>3.3557827710704551</v>
      </c>
      <c r="AG55" s="24">
        <v>4.2315709348307351</v>
      </c>
      <c r="AH55" s="24">
        <v>4.9571243108643737</v>
      </c>
      <c r="AI55" s="24">
        <v>6.1921931522200451</v>
      </c>
      <c r="AJ55" s="24">
        <v>7.1049909693442759</v>
      </c>
      <c r="AK55" s="25"/>
      <c r="AL55" s="24">
        <v>1.0636355322199083</v>
      </c>
      <c r="AM55" s="24">
        <v>1.9402022994809445</v>
      </c>
      <c r="AN55" s="24">
        <v>2.1968296171530723</v>
      </c>
      <c r="AO55" s="24">
        <v>2.4395308138919929</v>
      </c>
      <c r="AP55" s="24">
        <v>2.6331358811042316</v>
      </c>
      <c r="AQ55" s="24">
        <v>2.6755050639255464</v>
      </c>
      <c r="AR55" s="24">
        <v>3.0448629868018036</v>
      </c>
      <c r="AS55" s="24">
        <v>3.8701536875242768</v>
      </c>
      <c r="AT55" s="25"/>
      <c r="AU55" s="24">
        <v>1.4574231362370829</v>
      </c>
      <c r="AV55" s="24">
        <v>2.8774204499711011</v>
      </c>
      <c r="AW55" s="24">
        <v>3.5120854750213857</v>
      </c>
      <c r="AX55" s="24">
        <v>3.9486301581270808</v>
      </c>
      <c r="AY55" s="24">
        <v>4.0718449733552591</v>
      </c>
      <c r="AZ55" s="24">
        <v>4.2027694510353468</v>
      </c>
      <c r="BA55" s="24">
        <v>4.3120378430649549</v>
      </c>
      <c r="BB55" s="24">
        <v>4.6102078048779243</v>
      </c>
      <c r="BD55" s="24">
        <v>6.090601344206779</v>
      </c>
      <c r="BE55" s="24">
        <v>8.0403943752010107</v>
      </c>
      <c r="BF55" s="24">
        <v>7.4094442624202852</v>
      </c>
      <c r="BG55" s="24">
        <v>5.6379472925249434</v>
      </c>
      <c r="BH55" s="24">
        <v>3.5147782563889307</v>
      </c>
      <c r="BI55" s="24">
        <v>2.4059174283463078</v>
      </c>
      <c r="BJ55" s="24">
        <v>1.500186249421732</v>
      </c>
      <c r="BK55" s="24">
        <v>0.90424946582842425</v>
      </c>
      <c r="BL55" s="24"/>
      <c r="BM55" s="24">
        <v>0.18099937281527623</v>
      </c>
      <c r="BN55" s="24">
        <v>0.12577572393419256</v>
      </c>
      <c r="BO55" s="24">
        <v>0.22150491795985619</v>
      </c>
      <c r="BP55" s="24">
        <v>0.39787739808089539</v>
      </c>
      <c r="BQ55" s="24">
        <v>0.67198372771206205</v>
      </c>
      <c r="BR55" s="24">
        <v>0.75375728820908938</v>
      </c>
      <c r="BS55" s="24">
        <v>0.81909408344317869</v>
      </c>
      <c r="BT55" s="24">
        <v>0.74501758064432377</v>
      </c>
      <c r="BV55" s="24">
        <v>3.9475953082301873</v>
      </c>
      <c r="BW55" s="24">
        <v>5.9109359164736244</v>
      </c>
      <c r="BX55" s="24">
        <v>5.1385832178487298</v>
      </c>
      <c r="BY55" s="24">
        <v>4.2751038516219433</v>
      </c>
      <c r="BZ55" s="24">
        <v>3.340437918555915</v>
      </c>
      <c r="CA55" s="24">
        <v>2.9217450351616749</v>
      </c>
      <c r="CB55" s="24">
        <v>2.9845518966438855</v>
      </c>
      <c r="CC55" s="24">
        <v>2.9643499449823101</v>
      </c>
      <c r="CE55" s="27"/>
      <c r="CF55" s="27"/>
    </row>
    <row r="56" spans="1:84" s="26" customFormat="1" ht="12">
      <c r="A56" s="23">
        <v>2009</v>
      </c>
      <c r="B56" s="24">
        <f t="shared" si="10"/>
        <v>10.33024771652493</v>
      </c>
      <c r="C56" s="24">
        <f t="shared" si="10"/>
        <v>24.345316510886228</v>
      </c>
      <c r="D56" s="24">
        <f t="shared" si="10"/>
        <v>28.285425663911159</v>
      </c>
      <c r="E56" s="24">
        <f t="shared" si="10"/>
        <v>30.745111862002176</v>
      </c>
      <c r="F56" s="24">
        <f t="shared" si="10"/>
        <v>33.187487718637144</v>
      </c>
      <c r="G56" s="24">
        <f t="shared" si="10"/>
        <v>33.803953158142022</v>
      </c>
      <c r="H56" s="24">
        <f t="shared" si="10"/>
        <v>38.567425001996504</v>
      </c>
      <c r="I56" s="24">
        <f t="shared" si="8"/>
        <v>40.474045769296126</v>
      </c>
      <c r="J56" s="24"/>
      <c r="K56" s="24">
        <f t="shared" si="11"/>
        <v>4.7341717852923209</v>
      </c>
      <c r="L56" s="24">
        <f t="shared" si="11"/>
        <v>16.498745774562675</v>
      </c>
      <c r="M56" s="24">
        <f t="shared" si="11"/>
        <v>20.870097456862581</v>
      </c>
      <c r="N56" s="24">
        <f t="shared" si="11"/>
        <v>24.880600687660312</v>
      </c>
      <c r="O56" s="24">
        <f t="shared" si="11"/>
        <v>29.496641206450889</v>
      </c>
      <c r="P56" s="24">
        <f t="shared" si="11"/>
        <v>31.282173254307462</v>
      </c>
      <c r="Q56" s="24">
        <f t="shared" si="11"/>
        <v>37.041028465059227</v>
      </c>
      <c r="R56" s="24">
        <f t="shared" si="9"/>
        <v>39.729003309082827</v>
      </c>
      <c r="S56" s="24"/>
      <c r="T56" s="24">
        <v>-1.6086004375704948</v>
      </c>
      <c r="U56" s="24">
        <v>4.6022610104049022</v>
      </c>
      <c r="V56" s="24">
        <v>7.7692466691201139</v>
      </c>
      <c r="W56" s="24">
        <v>11.010880645063637</v>
      </c>
      <c r="X56" s="24">
        <v>15.055239860204875</v>
      </c>
      <c r="Y56" s="24">
        <v>16.526269825124594</v>
      </c>
      <c r="Z56" s="24">
        <v>20.330019847947746</v>
      </c>
      <c r="AA56" s="24">
        <v>20.719416311442082</v>
      </c>
      <c r="AB56" s="25"/>
      <c r="AC56" s="24">
        <v>0.31296515608286696</v>
      </c>
      <c r="AD56" s="24">
        <v>1.4739416359519599</v>
      </c>
      <c r="AE56" s="24">
        <v>2.3597559134616222</v>
      </c>
      <c r="AF56" s="24">
        <v>3.0835751448944255</v>
      </c>
      <c r="AG56" s="24">
        <v>3.7416438317923206</v>
      </c>
      <c r="AH56" s="24">
        <v>4.249527351680932</v>
      </c>
      <c r="AI56" s="24">
        <v>5.498036659578716</v>
      </c>
      <c r="AJ56" s="24">
        <v>6.1923754871302839</v>
      </c>
      <c r="AK56" s="25"/>
      <c r="AL56" s="24">
        <v>0.77724069889058056</v>
      </c>
      <c r="AM56" s="24">
        <v>1.5380273068497923</v>
      </c>
      <c r="AN56" s="24">
        <v>1.8426876104681438</v>
      </c>
      <c r="AO56" s="24">
        <v>2.1014878986145771</v>
      </c>
      <c r="AP56" s="24">
        <v>2.3218108650005904</v>
      </c>
      <c r="AQ56" s="24">
        <v>2.3032065575169942</v>
      </c>
      <c r="AR56" s="24">
        <v>2.5700036864322486</v>
      </c>
      <c r="AS56" s="24">
        <v>3.7531975283337236</v>
      </c>
      <c r="AT56" s="25"/>
      <c r="AU56" s="24">
        <v>1.4446750545877183</v>
      </c>
      <c r="AV56" s="24">
        <v>3.0753653560279552</v>
      </c>
      <c r="AW56" s="24">
        <v>3.7952073506737647</v>
      </c>
      <c r="AX56" s="24">
        <v>4.2408372126542329</v>
      </c>
      <c r="AY56" s="24">
        <v>4.5566136690681986</v>
      </c>
      <c r="AZ56" s="24">
        <v>4.649060249210927</v>
      </c>
      <c r="BA56" s="24">
        <v>4.8289326264992765</v>
      </c>
      <c r="BB56" s="24">
        <v>5.5549900962071446</v>
      </c>
      <c r="BD56" s="24">
        <v>5.59607593123261</v>
      </c>
      <c r="BE56" s="24">
        <v>7.8465707363235531</v>
      </c>
      <c r="BF56" s="24">
        <v>7.4153282070485789</v>
      </c>
      <c r="BG56" s="24">
        <v>5.8645111743418648</v>
      </c>
      <c r="BH56" s="24">
        <v>3.6908465121862584</v>
      </c>
      <c r="BI56" s="24">
        <v>2.5217799038345636</v>
      </c>
      <c r="BJ56" s="24">
        <v>1.5263965369372765</v>
      </c>
      <c r="BK56" s="24">
        <v>0.74504246021330045</v>
      </c>
      <c r="BL56" s="24"/>
      <c r="BM56" s="24">
        <v>0.1048777853119903</v>
      </c>
      <c r="BN56" s="24">
        <v>7.606241085185754E-2</v>
      </c>
      <c r="BO56" s="24">
        <v>0.12677849945561204</v>
      </c>
      <c r="BP56" s="24">
        <v>0.25651944383135178</v>
      </c>
      <c r="BQ56" s="24">
        <v>0.56237116873721349</v>
      </c>
      <c r="BR56" s="24">
        <v>0.74062706086676033</v>
      </c>
      <c r="BS56" s="24">
        <v>0.97079476279867427</v>
      </c>
      <c r="BT56" s="24">
        <v>0.84840214373329192</v>
      </c>
      <c r="BV56" s="24">
        <v>3.703013527989659</v>
      </c>
      <c r="BW56" s="24">
        <v>5.7330880544762097</v>
      </c>
      <c r="BX56" s="24">
        <v>4.9764214136833251</v>
      </c>
      <c r="BY56" s="24">
        <v>4.1873003426020867</v>
      </c>
      <c r="BZ56" s="24">
        <v>3.2589618116476893</v>
      </c>
      <c r="CA56" s="24">
        <v>2.8134822099072547</v>
      </c>
      <c r="CB56" s="24">
        <v>2.8432408818025623</v>
      </c>
      <c r="CC56" s="24">
        <v>2.6606217422363074</v>
      </c>
      <c r="CE56" s="27"/>
      <c r="CF56" s="27"/>
    </row>
    <row r="57" spans="1:84" s="26" customFormat="1" ht="12">
      <c r="A57" s="23">
        <v>2010</v>
      </c>
      <c r="B57" s="24">
        <f t="shared" si="10"/>
        <v>8.3954096151710242</v>
      </c>
      <c r="C57" s="24">
        <f t="shared" si="10"/>
        <v>24.593314351610001</v>
      </c>
      <c r="D57" s="24">
        <f t="shared" si="10"/>
        <v>28.49761893760018</v>
      </c>
      <c r="E57" s="24">
        <f t="shared" si="10"/>
        <v>30.829547194557939</v>
      </c>
      <c r="F57" s="24">
        <f t="shared" si="10"/>
        <v>32.867154553191135</v>
      </c>
      <c r="G57" s="24">
        <f t="shared" si="10"/>
        <v>33.651072468805964</v>
      </c>
      <c r="H57" s="24">
        <f t="shared" si="10"/>
        <v>37.679478076431266</v>
      </c>
      <c r="I57" s="24">
        <f t="shared" si="8"/>
        <v>38.329167576198316</v>
      </c>
      <c r="J57" s="24"/>
      <c r="K57" s="24">
        <f t="shared" si="11"/>
        <v>2.8854602575171162</v>
      </c>
      <c r="L57" s="24">
        <f t="shared" si="11"/>
        <v>16.808387316468576</v>
      </c>
      <c r="M57" s="24">
        <f t="shared" si="11"/>
        <v>21.31827712159976</v>
      </c>
      <c r="N57" s="24">
        <f t="shared" si="11"/>
        <v>25.217035983525669</v>
      </c>
      <c r="O57" s="24">
        <f t="shared" si="11"/>
        <v>29.385827862189352</v>
      </c>
      <c r="P57" s="24">
        <f t="shared" si="11"/>
        <v>31.282282587660063</v>
      </c>
      <c r="Q57" s="24">
        <f t="shared" si="11"/>
        <v>36.274681798633196</v>
      </c>
      <c r="R57" s="24">
        <f t="shared" si="9"/>
        <v>37.705668104114721</v>
      </c>
      <c r="S57" s="24"/>
      <c r="T57" s="24">
        <v>-3.3712040090981685</v>
      </c>
      <c r="U57" s="24">
        <v>4.7404943585587089</v>
      </c>
      <c r="V57" s="24">
        <v>7.8983953224341139</v>
      </c>
      <c r="W57" s="24">
        <v>11.178757659343491</v>
      </c>
      <c r="X57" s="24">
        <v>14.952396795834613</v>
      </c>
      <c r="Y57" s="24">
        <v>16.57038153708562</v>
      </c>
      <c r="Z57" s="24">
        <v>19.877232009875247</v>
      </c>
      <c r="AA57" s="24">
        <v>19.54790561940332</v>
      </c>
      <c r="AB57" s="25"/>
      <c r="AC57" s="24">
        <v>0.2726229497613924</v>
      </c>
      <c r="AD57" s="24">
        <v>1.4462708693962221</v>
      </c>
      <c r="AE57" s="24">
        <v>2.3339969565104433</v>
      </c>
      <c r="AF57" s="24">
        <v>2.993113965286974</v>
      </c>
      <c r="AG57" s="24">
        <v>3.6164637167961837</v>
      </c>
      <c r="AH57" s="24">
        <v>4.0401778868065188</v>
      </c>
      <c r="AI57" s="24">
        <v>5.0781324640942556</v>
      </c>
      <c r="AJ57" s="24">
        <v>5.1143302158508197</v>
      </c>
      <c r="AK57" s="25"/>
      <c r="AL57" s="24">
        <v>0.90558419515565147</v>
      </c>
      <c r="AM57" s="24">
        <v>1.8512585146381402</v>
      </c>
      <c r="AN57" s="24">
        <v>2.319628721893654</v>
      </c>
      <c r="AO57" s="24">
        <v>2.6587484417888323</v>
      </c>
      <c r="AP57" s="24">
        <v>2.9047085284713248</v>
      </c>
      <c r="AQ57" s="24">
        <v>2.9582393671402381</v>
      </c>
      <c r="AR57" s="24">
        <v>3.3048124955957761</v>
      </c>
      <c r="AS57" s="24">
        <v>4.8712132256722516</v>
      </c>
      <c r="AT57" s="25"/>
      <c r="AU57" s="24">
        <v>1.3033516985172144</v>
      </c>
      <c r="AV57" s="24">
        <v>2.9051690621437101</v>
      </c>
      <c r="AW57" s="24">
        <v>3.65647099223282</v>
      </c>
      <c r="AX57" s="24">
        <v>4.0373605233003138</v>
      </c>
      <c r="AY57" s="24">
        <v>4.2687023063967269</v>
      </c>
      <c r="AZ57" s="24">
        <v>4.317677950087095</v>
      </c>
      <c r="BA57" s="24">
        <v>4.4716110198045325</v>
      </c>
      <c r="BB57" s="24">
        <v>5.1658350538414943</v>
      </c>
      <c r="BD57" s="24">
        <v>5.509949357653908</v>
      </c>
      <c r="BE57" s="24">
        <v>7.7849270351414228</v>
      </c>
      <c r="BF57" s="24">
        <v>7.1793418160004192</v>
      </c>
      <c r="BG57" s="24">
        <v>5.6125112110322704</v>
      </c>
      <c r="BH57" s="24">
        <v>3.481326691001787</v>
      </c>
      <c r="BI57" s="24">
        <v>2.3687898811458958</v>
      </c>
      <c r="BJ57" s="24">
        <v>1.4047962777980685</v>
      </c>
      <c r="BK57" s="24">
        <v>0.62349947208359402</v>
      </c>
      <c r="BL57" s="24"/>
      <c r="BM57" s="24">
        <v>6.2007548929472148E-2</v>
      </c>
      <c r="BN57" s="24">
        <v>4.5715081587563898E-2</v>
      </c>
      <c r="BO57" s="24">
        <v>6.9801241521655719E-2</v>
      </c>
      <c r="BP57" s="24">
        <v>0.16121524964454195</v>
      </c>
      <c r="BQ57" s="24">
        <v>0.42851290440139472</v>
      </c>
      <c r="BR57" s="24">
        <v>0.617278709832492</v>
      </c>
      <c r="BS57" s="24">
        <v>0.8203093313186921</v>
      </c>
      <c r="BT57" s="24">
        <v>0.6398140239533987</v>
      </c>
      <c r="BV57" s="24">
        <v>3.7130978742515546</v>
      </c>
      <c r="BW57" s="24">
        <v>5.8194794301442334</v>
      </c>
      <c r="BX57" s="24">
        <v>5.0399838870070708</v>
      </c>
      <c r="BY57" s="24">
        <v>4.1878401441615134</v>
      </c>
      <c r="BZ57" s="24">
        <v>3.2150436102891109</v>
      </c>
      <c r="CA57" s="24">
        <v>2.7785271367081035</v>
      </c>
      <c r="CB57" s="24">
        <v>2.7225844779446917</v>
      </c>
      <c r="CC57" s="24">
        <v>2.3665699653934333</v>
      </c>
      <c r="CE57" s="27"/>
      <c r="CF57" s="27"/>
    </row>
    <row r="58" spans="1:84" s="26" customFormat="1" ht="12">
      <c r="A58" s="23">
        <v>2011</v>
      </c>
      <c r="B58" s="24">
        <f t="shared" si="10"/>
        <v>8.0111468517813673</v>
      </c>
      <c r="C58" s="24">
        <f t="shared" si="10"/>
        <v>24.396643623794894</v>
      </c>
      <c r="D58" s="24">
        <f t="shared" si="10"/>
        <v>28.745147976908068</v>
      </c>
      <c r="E58" s="24">
        <f t="shared" si="10"/>
        <v>31.599958906940383</v>
      </c>
      <c r="F58" s="24">
        <f t="shared" si="10"/>
        <v>34.671166078958429</v>
      </c>
      <c r="G58" s="24">
        <f t="shared" si="10"/>
        <v>35.332194888754003</v>
      </c>
      <c r="H58" s="24">
        <f t="shared" si="10"/>
        <v>41.02548024711129</v>
      </c>
      <c r="I58" s="24">
        <f t="shared" si="8"/>
        <v>42.409783247983995</v>
      </c>
      <c r="J58" s="24"/>
      <c r="K58" s="24">
        <f t="shared" si="11"/>
        <v>2.9431808626528269</v>
      </c>
      <c r="L58" s="24">
        <f t="shared" si="11"/>
        <v>17.649321309151773</v>
      </c>
      <c r="M58" s="24">
        <f t="shared" si="11"/>
        <v>22.556400903422183</v>
      </c>
      <c r="N58" s="24">
        <f t="shared" si="11"/>
        <v>26.756520578202075</v>
      </c>
      <c r="O58" s="24">
        <f t="shared" si="11"/>
        <v>31.492540165533242</v>
      </c>
      <c r="P58" s="24">
        <f t="shared" si="11"/>
        <v>33.180711988327175</v>
      </c>
      <c r="Q58" s="24">
        <f t="shared" si="11"/>
        <v>39.645883018957186</v>
      </c>
      <c r="R58" s="24">
        <f t="shared" si="9"/>
        <v>41.719369448266903</v>
      </c>
      <c r="S58" s="24"/>
      <c r="T58" s="24">
        <v>-3.3405086478547905</v>
      </c>
      <c r="U58" s="24">
        <v>5.4962953355808617</v>
      </c>
      <c r="V58" s="24">
        <v>9.0906923716660515</v>
      </c>
      <c r="W58" s="24">
        <v>12.817812738779685</v>
      </c>
      <c r="X58" s="24">
        <v>17.343063693652198</v>
      </c>
      <c r="Y58" s="24">
        <v>18.776385841972303</v>
      </c>
      <c r="Z58" s="24">
        <v>23.053808179530655</v>
      </c>
      <c r="AA58" s="24">
        <v>22.964607774198349</v>
      </c>
      <c r="AB58" s="25"/>
      <c r="AC58" s="24">
        <v>0.31872506129004319</v>
      </c>
      <c r="AD58" s="24">
        <v>1.5155265886814548</v>
      </c>
      <c r="AE58" s="24">
        <v>2.3744495972867545</v>
      </c>
      <c r="AF58" s="24">
        <v>3.0265208782095145</v>
      </c>
      <c r="AG58" s="24">
        <v>3.7290619389908146</v>
      </c>
      <c r="AH58" s="24">
        <v>4.2237500089270785</v>
      </c>
      <c r="AI58" s="24">
        <v>5.6238356389565825</v>
      </c>
      <c r="AJ58" s="24">
        <v>6.2263295236547878</v>
      </c>
      <c r="AK58" s="25"/>
      <c r="AL58" s="24">
        <v>0.90193776479625054</v>
      </c>
      <c r="AM58" s="24">
        <v>1.888774481695412</v>
      </c>
      <c r="AN58" s="24">
        <v>2.4077075729562858</v>
      </c>
      <c r="AO58" s="24">
        <v>2.6582720483554692</v>
      </c>
      <c r="AP58" s="24">
        <v>2.7425386884337417</v>
      </c>
      <c r="AQ58" s="24">
        <v>2.8174704930979866</v>
      </c>
      <c r="AR58" s="24">
        <v>3.2683526906915046</v>
      </c>
      <c r="AS58" s="24">
        <v>4.5905615314989436</v>
      </c>
      <c r="AT58" s="25"/>
      <c r="AU58" s="24">
        <v>1.2461979360135642</v>
      </c>
      <c r="AV58" s="24">
        <v>2.8223165585633483</v>
      </c>
      <c r="AW58" s="24">
        <v>3.5659272635976644</v>
      </c>
      <c r="AX58" s="24">
        <v>3.9238212919981024</v>
      </c>
      <c r="AY58" s="24">
        <v>4.0848451227997131</v>
      </c>
      <c r="AZ58" s="24">
        <v>4.139160723978363</v>
      </c>
      <c r="BA58" s="24">
        <v>4.3559347343949426</v>
      </c>
      <c r="BB58" s="24">
        <v>4.9548973912950993</v>
      </c>
      <c r="BD58" s="24">
        <v>5.0679659891285418</v>
      </c>
      <c r="BE58" s="24">
        <v>6.74732231464312</v>
      </c>
      <c r="BF58" s="24">
        <v>6.188747073485886</v>
      </c>
      <c r="BG58" s="24">
        <v>4.8434383287383085</v>
      </c>
      <c r="BH58" s="24">
        <v>3.1786259134251864</v>
      </c>
      <c r="BI58" s="24">
        <v>2.1514829004268288</v>
      </c>
      <c r="BJ58" s="24">
        <v>1.3795972281541036</v>
      </c>
      <c r="BK58" s="24">
        <v>0.69041379971709549</v>
      </c>
      <c r="BL58" s="24"/>
      <c r="BM58" s="24">
        <v>4.5865149040582344E-2</v>
      </c>
      <c r="BN58" s="24">
        <v>3.3010320346426689E-2</v>
      </c>
      <c r="BO58" s="24">
        <v>5.0653676229171558E-2</v>
      </c>
      <c r="BP58" s="24">
        <v>0.1136774203786472</v>
      </c>
      <c r="BQ58" s="24">
        <v>0.30282104979514285</v>
      </c>
      <c r="BR58" s="24">
        <v>0.42307508467217469</v>
      </c>
      <c r="BS58" s="24">
        <v>0.58589524106758117</v>
      </c>
      <c r="BT58" s="24">
        <v>0.49960595362396454</v>
      </c>
      <c r="BV58" s="24">
        <v>3.7709635993671768</v>
      </c>
      <c r="BW58" s="24">
        <v>5.8933980242842718</v>
      </c>
      <c r="BX58" s="24">
        <v>5.0669704216862552</v>
      </c>
      <c r="BY58" s="24">
        <v>4.2164162004806585</v>
      </c>
      <c r="BZ58" s="24">
        <v>3.2902096718616316</v>
      </c>
      <c r="CA58" s="24">
        <v>2.8008698356792672</v>
      </c>
      <c r="CB58" s="24">
        <v>2.7580565343159185</v>
      </c>
      <c r="CC58" s="24">
        <v>2.483367273995762</v>
      </c>
      <c r="CE58" s="27"/>
      <c r="CF58" s="27"/>
    </row>
    <row r="59" spans="1:84" s="26" customFormat="1" ht="12">
      <c r="A59" s="23">
        <v>2012</v>
      </c>
      <c r="B59" s="24">
        <f t="shared" si="10"/>
        <v>9.4067957011049579</v>
      </c>
      <c r="C59" s="24">
        <f t="shared" si="10"/>
        <v>23.90399425837218</v>
      </c>
      <c r="D59" s="24">
        <f t="shared" si="10"/>
        <v>28.241698069489367</v>
      </c>
      <c r="E59" s="24">
        <f t="shared" si="10"/>
        <v>31.041927240559318</v>
      </c>
      <c r="F59" s="24">
        <f t="shared" si="10"/>
        <v>34.068051156483044</v>
      </c>
      <c r="G59" s="24">
        <f t="shared" si="10"/>
        <v>35.343791028746864</v>
      </c>
      <c r="H59" s="24">
        <f t="shared" si="10"/>
        <v>40.096605646011334</v>
      </c>
      <c r="I59" s="24">
        <f t="shared" si="8"/>
        <v>40.504504945880015</v>
      </c>
      <c r="J59" s="24"/>
      <c r="K59" s="24">
        <f t="shared" si="11"/>
        <v>4.1770268427584014</v>
      </c>
      <c r="L59" s="24">
        <f t="shared" si="11"/>
        <v>17.176338498459074</v>
      </c>
      <c r="M59" s="24">
        <f t="shared" si="11"/>
        <v>22.092433749547158</v>
      </c>
      <c r="N59" s="24">
        <f t="shared" si="11"/>
        <v>26.2248366373849</v>
      </c>
      <c r="O59" s="24">
        <f t="shared" si="11"/>
        <v>30.974283186891086</v>
      </c>
      <c r="P59" s="24">
        <f t="shared" si="11"/>
        <v>33.25777924629763</v>
      </c>
      <c r="Q59" s="24">
        <f t="shared" si="11"/>
        <v>38.818528261749286</v>
      </c>
      <c r="R59" s="24">
        <f t="shared" si="9"/>
        <v>39.83593567130373</v>
      </c>
      <c r="S59" s="24"/>
      <c r="T59" s="24">
        <v>-1.9395926443835414</v>
      </c>
      <c r="U59" s="24">
        <v>5.1107509486433766</v>
      </c>
      <c r="V59" s="24">
        <v>8.5280470026536683</v>
      </c>
      <c r="W59" s="24">
        <v>12.295519086217354</v>
      </c>
      <c r="X59" s="24">
        <v>16.976615644264374</v>
      </c>
      <c r="Y59" s="24">
        <v>18.738793608208614</v>
      </c>
      <c r="Z59" s="24">
        <v>22.33934211316269</v>
      </c>
      <c r="AA59" s="24">
        <v>21.899349107200926</v>
      </c>
      <c r="AB59" s="25"/>
      <c r="AC59" s="24">
        <v>0.34459553136807042</v>
      </c>
      <c r="AD59" s="24">
        <v>1.5193307254210182</v>
      </c>
      <c r="AE59" s="24">
        <v>2.4098919396781535</v>
      </c>
      <c r="AF59" s="24">
        <v>3.0274318711134316</v>
      </c>
      <c r="AG59" s="24">
        <v>3.8251657979406257</v>
      </c>
      <c r="AH59" s="24">
        <v>4.3102023146401507</v>
      </c>
      <c r="AI59" s="24">
        <v>5.3402563537793188</v>
      </c>
      <c r="AJ59" s="24">
        <v>5.3489024330777992</v>
      </c>
      <c r="AK59" s="25"/>
      <c r="AL59" s="24">
        <v>0.96192691554449483</v>
      </c>
      <c r="AM59" s="24">
        <v>2.1084687186392883</v>
      </c>
      <c r="AN59" s="24">
        <v>2.763025068165192</v>
      </c>
      <c r="AO59" s="24">
        <v>2.9679928217511664</v>
      </c>
      <c r="AP59" s="24">
        <v>2.8715054511478919</v>
      </c>
      <c r="AQ59" s="24">
        <v>3.0777286468679712</v>
      </c>
      <c r="AR59" s="24">
        <v>3.7627868250191336</v>
      </c>
      <c r="AS59" s="24">
        <v>5.088582172080117</v>
      </c>
      <c r="AT59" s="25"/>
      <c r="AU59" s="24">
        <v>1.1483918000023363</v>
      </c>
      <c r="AV59" s="24">
        <v>2.7045044509765819</v>
      </c>
      <c r="AW59" s="24">
        <v>3.4736618436254014</v>
      </c>
      <c r="AX59" s="24">
        <v>3.7494531824266137</v>
      </c>
      <c r="AY59" s="24">
        <v>3.7601170153890648</v>
      </c>
      <c r="AZ59" s="24">
        <v>3.884645437596475</v>
      </c>
      <c r="BA59" s="24">
        <v>4.0854179543949956</v>
      </c>
      <c r="BB59" s="24">
        <v>4.5149224848315246</v>
      </c>
      <c r="BD59" s="24">
        <v>5.2297688583465574</v>
      </c>
      <c r="BE59" s="24">
        <v>6.7276557599131053</v>
      </c>
      <c r="BF59" s="24">
        <v>6.1492643199422092</v>
      </c>
      <c r="BG59" s="24">
        <v>4.8170906031744165</v>
      </c>
      <c r="BH59" s="24">
        <v>3.0937679695919522</v>
      </c>
      <c r="BI59" s="24">
        <v>2.0860117824492304</v>
      </c>
      <c r="BJ59" s="24">
        <v>1.2780773842620476</v>
      </c>
      <c r="BK59" s="24">
        <v>0.66856927457628734</v>
      </c>
      <c r="BL59" s="24"/>
      <c r="BM59" s="24">
        <v>5.88185384997474E-2</v>
      </c>
      <c r="BN59" s="24">
        <v>4.2511353317578257E-2</v>
      </c>
      <c r="BO59" s="24">
        <v>6.3125075749348517E-2</v>
      </c>
      <c r="BP59" s="24">
        <v>0.14185237086770755</v>
      </c>
      <c r="BQ59" s="24">
        <v>0.36237295646612955</v>
      </c>
      <c r="BR59" s="24">
        <v>0.51563828741851003</v>
      </c>
      <c r="BS59" s="24">
        <v>0.6460772090749215</v>
      </c>
      <c r="BT59" s="24">
        <v>0.50232915631410113</v>
      </c>
      <c r="BV59" s="24">
        <v>3.6028867017272934</v>
      </c>
      <c r="BW59" s="24">
        <v>5.6907723014612284</v>
      </c>
      <c r="BX59" s="24">
        <v>4.8546828196753955</v>
      </c>
      <c r="BY59" s="24">
        <v>4.0425873050086274</v>
      </c>
      <c r="BZ59" s="24">
        <v>3.178506321683003</v>
      </c>
      <c r="CA59" s="24">
        <v>2.7307709515659111</v>
      </c>
      <c r="CB59" s="24">
        <v>2.6446478063182148</v>
      </c>
      <c r="CC59" s="24">
        <v>2.481850317799259</v>
      </c>
      <c r="CE59" s="27"/>
      <c r="CF59" s="27"/>
    </row>
    <row r="60" spans="1:84" s="26" customFormat="1" ht="12">
      <c r="A60" s="23">
        <v>2013</v>
      </c>
      <c r="B60" s="24">
        <f t="shared" si="10"/>
        <v>10.438858799152973</v>
      </c>
      <c r="C60" s="24">
        <f t="shared" si="10"/>
        <v>25.357340955911315</v>
      </c>
      <c r="D60" s="24">
        <f t="shared" si="10"/>
        <v>29.903342058870606</v>
      </c>
      <c r="E60" s="24">
        <f t="shared" si="10"/>
        <v>32.956671917419555</v>
      </c>
      <c r="F60" s="24">
        <f t="shared" si="10"/>
        <v>37.154658054236265</v>
      </c>
      <c r="G60" s="24">
        <f t="shared" si="10"/>
        <v>39.670969793759504</v>
      </c>
      <c r="H60" s="24">
        <f t="shared" si="10"/>
        <v>47.496495389460975</v>
      </c>
      <c r="I60" s="24">
        <f t="shared" si="8"/>
        <v>51.41656041494322</v>
      </c>
      <c r="J60" s="24"/>
      <c r="K60" s="24">
        <f t="shared" si="11"/>
        <v>4.568034076709961</v>
      </c>
      <c r="L60" s="24">
        <f t="shared" si="11"/>
        <v>17.807477169656408</v>
      </c>
      <c r="M60" s="24">
        <f t="shared" si="11"/>
        <v>23.004978279839595</v>
      </c>
      <c r="N60" s="24">
        <f t="shared" si="11"/>
        <v>27.5441589774208</v>
      </c>
      <c r="O60" s="24">
        <f t="shared" si="11"/>
        <v>33.622039379070173</v>
      </c>
      <c r="P60" s="24">
        <f t="shared" si="11"/>
        <v>37.328776139992726</v>
      </c>
      <c r="Q60" s="24">
        <f t="shared" si="11"/>
        <v>46.084123065398018</v>
      </c>
      <c r="R60" s="24">
        <f t="shared" si="9"/>
        <v>50.702797852104865</v>
      </c>
      <c r="S60" s="24"/>
      <c r="T60" s="24">
        <v>-1.758340742050329</v>
      </c>
      <c r="U60" s="24">
        <v>5.5055556065179054</v>
      </c>
      <c r="V60" s="24">
        <v>9.1179792939757522</v>
      </c>
      <c r="W60" s="24">
        <v>13.129089640267679</v>
      </c>
      <c r="X60" s="24">
        <v>18.838905727339977</v>
      </c>
      <c r="Y60" s="24">
        <v>21.701635552023919</v>
      </c>
      <c r="Z60" s="24">
        <v>27.219904110686009</v>
      </c>
      <c r="AA60" s="24">
        <v>28.711103878659561</v>
      </c>
      <c r="AB60" s="25"/>
      <c r="AC60" s="24">
        <v>0.37060947708124914</v>
      </c>
      <c r="AD60" s="24">
        <v>1.5162709673753665</v>
      </c>
      <c r="AE60" s="24">
        <v>2.3924121851860067</v>
      </c>
      <c r="AF60" s="24">
        <v>3.1661003233302871</v>
      </c>
      <c r="AG60" s="24">
        <v>4.1201401537945417</v>
      </c>
      <c r="AH60" s="24">
        <v>4.9816376046250266</v>
      </c>
      <c r="AI60" s="24">
        <v>6.7551796131954234</v>
      </c>
      <c r="AJ60" s="24">
        <v>8.1047145281044752</v>
      </c>
      <c r="AK60" s="25"/>
      <c r="AL60" s="24">
        <v>1.0093294690847232</v>
      </c>
      <c r="AM60" s="24">
        <v>2.2244081312709807</v>
      </c>
      <c r="AN60" s="24">
        <v>2.9481012990828668</v>
      </c>
      <c r="AO60" s="24">
        <v>3.122499760566015</v>
      </c>
      <c r="AP60" s="24">
        <v>3.0109784690491725</v>
      </c>
      <c r="AQ60" s="24">
        <v>3.2202604770847492</v>
      </c>
      <c r="AR60" s="24">
        <v>4.2218447529688747</v>
      </c>
      <c r="AS60" s="24">
        <v>5.8293079177405769</v>
      </c>
      <c r="AT60" s="25"/>
      <c r="AU60" s="24">
        <v>1.1063113219776166</v>
      </c>
      <c r="AV60" s="24">
        <v>2.6318229083274995</v>
      </c>
      <c r="AW60" s="24">
        <v>3.462835227827918</v>
      </c>
      <c r="AX60" s="24">
        <v>3.7346750837538476</v>
      </c>
      <c r="AY60" s="24">
        <v>3.8489841589779235</v>
      </c>
      <c r="AZ60" s="24">
        <v>4.0057935758877887</v>
      </c>
      <c r="BA60" s="24">
        <v>4.4266573788358095</v>
      </c>
      <c r="BB60" s="24">
        <v>4.9678184972663884</v>
      </c>
      <c r="BD60" s="24">
        <v>5.8708247224430128</v>
      </c>
      <c r="BE60" s="24">
        <v>7.5498637862549085</v>
      </c>
      <c r="BF60" s="24">
        <v>6.8983637790310119</v>
      </c>
      <c r="BG60" s="24">
        <v>5.4125129399987548</v>
      </c>
      <c r="BH60" s="24">
        <v>3.5326186751660891</v>
      </c>
      <c r="BI60" s="24">
        <v>2.3421936537667807</v>
      </c>
      <c r="BJ60" s="24">
        <v>1.4123723240629544</v>
      </c>
      <c r="BK60" s="24">
        <v>0.7137625628383526</v>
      </c>
      <c r="BL60" s="24"/>
      <c r="BM60" s="24">
        <v>7.8339043800768032E-2</v>
      </c>
      <c r="BN60" s="24">
        <v>5.5372879665183873E-2</v>
      </c>
      <c r="BO60" s="24">
        <v>8.2607744905671868E-2</v>
      </c>
      <c r="BP60" s="24">
        <v>0.18730874365959171</v>
      </c>
      <c r="BQ60" s="24">
        <v>0.49468350639536846</v>
      </c>
      <c r="BR60" s="24">
        <v>0.72776932248447668</v>
      </c>
      <c r="BS60" s="24">
        <v>0.98684755840562388</v>
      </c>
      <c r="BT60" s="24">
        <v>0.83059300211363218</v>
      </c>
      <c r="BV60" s="24">
        <v>3.7617855068159325</v>
      </c>
      <c r="BW60" s="24">
        <v>5.8740466764994714</v>
      </c>
      <c r="BX60" s="24">
        <v>5.0010425288613787</v>
      </c>
      <c r="BY60" s="24">
        <v>4.2044854258433784</v>
      </c>
      <c r="BZ60" s="24">
        <v>3.3083473635131906</v>
      </c>
      <c r="CA60" s="24">
        <v>2.6916796078867722</v>
      </c>
      <c r="CB60" s="24">
        <v>2.4736896513062776</v>
      </c>
      <c r="CC60" s="24">
        <v>2.2592600282202357</v>
      </c>
      <c r="CE60" s="27"/>
      <c r="CF60" s="27"/>
    </row>
    <row r="61" spans="1:84" s="26" customFormat="1" ht="12">
      <c r="A61" s="23">
        <v>2014</v>
      </c>
      <c r="B61" s="24">
        <f t="shared" si="10"/>
        <v>10.183696581137568</v>
      </c>
      <c r="C61" s="24">
        <f t="shared" si="10"/>
        <v>25.520640196564866</v>
      </c>
      <c r="D61" s="24">
        <f t="shared" si="10"/>
        <v>30.011815611486508</v>
      </c>
      <c r="E61" s="24">
        <f t="shared" si="10"/>
        <v>33.03283174933825</v>
      </c>
      <c r="F61" s="24">
        <f t="shared" si="10"/>
        <v>36.978262000819704</v>
      </c>
      <c r="G61" s="24">
        <f t="shared" si="10"/>
        <v>39.901334684213552</v>
      </c>
      <c r="H61" s="24">
        <f t="shared" si="10"/>
        <v>47.555560877458817</v>
      </c>
      <c r="I61" s="24">
        <f t="shared" si="8"/>
        <v>51.748679219998927</v>
      </c>
      <c r="J61" s="24"/>
      <c r="K61" s="24">
        <f t="shared" si="11"/>
        <v>4.2614837192464128</v>
      </c>
      <c r="L61" s="24">
        <f t="shared" si="11"/>
        <v>17.967265817841344</v>
      </c>
      <c r="M61" s="24">
        <f t="shared" si="11"/>
        <v>23.126410751355312</v>
      </c>
      <c r="N61" s="24">
        <f t="shared" si="11"/>
        <v>27.705677040109467</v>
      </c>
      <c r="O61" s="24">
        <f t="shared" si="11"/>
        <v>33.53367510051438</v>
      </c>
      <c r="P61" s="24">
        <f t="shared" si="11"/>
        <v>37.550787811648377</v>
      </c>
      <c r="Q61" s="24">
        <f t="shared" si="11"/>
        <v>46.136811478053872</v>
      </c>
      <c r="R61" s="24">
        <f t="shared" si="9"/>
        <v>51.006895601932371</v>
      </c>
      <c r="S61" s="24"/>
      <c r="T61" s="24">
        <v>-2.034203509494251</v>
      </c>
      <c r="U61" s="24">
        <v>5.5512829399619266</v>
      </c>
      <c r="V61" s="24">
        <v>9.136935677554618</v>
      </c>
      <c r="W61" s="24">
        <v>13.30540810637979</v>
      </c>
      <c r="X61" s="24">
        <v>19.086983422732061</v>
      </c>
      <c r="Y61" s="24">
        <v>22.487423136534257</v>
      </c>
      <c r="Z61" s="24">
        <v>28.261572264224366</v>
      </c>
      <c r="AA61" s="24">
        <v>30.126789516545326</v>
      </c>
      <c r="AB61" s="25"/>
      <c r="AC61" s="24">
        <v>0.34465910926900628</v>
      </c>
      <c r="AD61" s="24">
        <v>1.4929245642402209</v>
      </c>
      <c r="AE61" s="24">
        <v>2.4252388803593208</v>
      </c>
      <c r="AF61" s="24">
        <v>3.1271078127762801</v>
      </c>
      <c r="AG61" s="24">
        <v>3.8385441711794588</v>
      </c>
      <c r="AH61" s="24">
        <v>4.5417118478961873</v>
      </c>
      <c r="AI61" s="24">
        <v>6.1811618373030806</v>
      </c>
      <c r="AJ61" s="24">
        <v>7.3854674165197727</v>
      </c>
      <c r="AK61" s="25"/>
      <c r="AL61" s="24">
        <v>0.99245218231898946</v>
      </c>
      <c r="AM61" s="24">
        <v>2.2437178312866597</v>
      </c>
      <c r="AN61" s="24">
        <v>2.945042239306578</v>
      </c>
      <c r="AO61" s="24">
        <v>3.1409205765129995</v>
      </c>
      <c r="AP61" s="24">
        <v>3.0428130244874856</v>
      </c>
      <c r="AQ61" s="24">
        <v>3.2186371493698482</v>
      </c>
      <c r="AR61" s="24">
        <v>4.1323689702843298</v>
      </c>
      <c r="AS61" s="24">
        <v>5.7851433474419576</v>
      </c>
      <c r="AT61" s="25"/>
      <c r="AU61" s="24">
        <v>1.0446647437155883</v>
      </c>
      <c r="AV61" s="24">
        <v>2.5339079401432643</v>
      </c>
      <c r="AW61" s="24">
        <v>3.3627073907724814</v>
      </c>
      <c r="AX61" s="24">
        <v>3.635838309520214</v>
      </c>
      <c r="AY61" s="24">
        <v>3.7510770731287426</v>
      </c>
      <c r="AZ61" s="24">
        <v>3.8583642984629365</v>
      </c>
      <c r="BA61" s="24">
        <v>4.1606935949092207</v>
      </c>
      <c r="BB61" s="24">
        <v>4.652741494418815</v>
      </c>
      <c r="BD61" s="24">
        <v>5.922212861891154</v>
      </c>
      <c r="BE61" s="24">
        <v>7.5533743787235181</v>
      </c>
      <c r="BF61" s="24">
        <v>6.8854048601311959</v>
      </c>
      <c r="BG61" s="24">
        <v>5.3271547092287905</v>
      </c>
      <c r="BH61" s="24">
        <v>3.4445869003053269</v>
      </c>
      <c r="BI61" s="24">
        <v>2.3505468725651784</v>
      </c>
      <c r="BJ61" s="24">
        <v>1.4187493994049476</v>
      </c>
      <c r="BK61" s="24">
        <v>0.74178361806655502</v>
      </c>
      <c r="BL61" s="24"/>
      <c r="BM61" s="24">
        <v>6.9044576562017554E-2</v>
      </c>
      <c r="BN61" s="24">
        <v>4.920252777476683E-2</v>
      </c>
      <c r="BO61" s="24">
        <v>7.3707104018070874E-2</v>
      </c>
      <c r="BP61" s="24">
        <v>0.16289337687724589</v>
      </c>
      <c r="BQ61" s="24">
        <v>0.42459757610846294</v>
      </c>
      <c r="BR61" s="24">
        <v>0.63251147485805004</v>
      </c>
      <c r="BS61" s="24">
        <v>0.83200923077146416</v>
      </c>
      <c r="BT61" s="24">
        <v>0.69647804710153727</v>
      </c>
      <c r="BV61" s="24">
        <v>3.8448666168750623</v>
      </c>
      <c r="BW61" s="24">
        <v>6.0962300144345072</v>
      </c>
      <c r="BX61" s="24">
        <v>5.1827794593442471</v>
      </c>
      <c r="BY61" s="24">
        <v>4.3335088580429355</v>
      </c>
      <c r="BZ61" s="24">
        <v>3.3896598328781766</v>
      </c>
      <c r="CA61" s="24">
        <v>2.8121399045270987</v>
      </c>
      <c r="CB61" s="24">
        <v>2.569005580561408</v>
      </c>
      <c r="CC61" s="24">
        <v>2.3602757799049647</v>
      </c>
      <c r="CE61" s="27"/>
      <c r="CF61" s="27"/>
    </row>
    <row r="62" spans="1:84" s="26" customFormat="1" ht="12">
      <c r="A62" s="23">
        <v>2015</v>
      </c>
      <c r="B62" s="24">
        <f t="shared" si="10"/>
        <v>10.043662406147996</v>
      </c>
      <c r="C62" s="24">
        <f t="shared" si="10"/>
        <v>25.743895961439641</v>
      </c>
      <c r="D62" s="24">
        <f t="shared" si="10"/>
        <v>30.466289551779656</v>
      </c>
      <c r="E62" s="24">
        <f t="shared" si="10"/>
        <v>33.717339815541521</v>
      </c>
      <c r="F62" s="24">
        <f t="shared" si="10"/>
        <v>37.937550457089507</v>
      </c>
      <c r="G62" s="24">
        <f t="shared" si="10"/>
        <v>41.338764279644316</v>
      </c>
      <c r="H62" s="24">
        <f t="shared" si="10"/>
        <v>49.045472738588295</v>
      </c>
      <c r="I62" s="24">
        <f t="shared" si="8"/>
        <v>52.422222326393445</v>
      </c>
      <c r="J62" s="24"/>
      <c r="K62" s="24">
        <f t="shared" si="11"/>
        <v>4.1749927759911962</v>
      </c>
      <c r="L62" s="24">
        <f t="shared" si="11"/>
        <v>18.212070605814638</v>
      </c>
      <c r="M62" s="24">
        <f t="shared" si="11"/>
        <v>23.536398758269105</v>
      </c>
      <c r="N62" s="24">
        <f t="shared" si="11"/>
        <v>28.381087603515038</v>
      </c>
      <c r="O62" s="24">
        <f t="shared" si="11"/>
        <v>34.496909230327539</v>
      </c>
      <c r="P62" s="24">
        <f t="shared" si="11"/>
        <v>38.956848070646309</v>
      </c>
      <c r="Q62" s="24">
        <f t="shared" si="11"/>
        <v>47.602179013971131</v>
      </c>
      <c r="R62" s="24">
        <f t="shared" si="9"/>
        <v>51.62778009713611</v>
      </c>
      <c r="S62" s="24"/>
      <c r="T62" s="24">
        <v>-2.0792428869142725</v>
      </c>
      <c r="U62" s="24">
        <v>5.8537130043546037</v>
      </c>
      <c r="V62" s="24">
        <v>9.7409991761677759</v>
      </c>
      <c r="W62" s="24">
        <v>14.069971115227972</v>
      </c>
      <c r="X62" s="24">
        <v>19.939699426858475</v>
      </c>
      <c r="Y62" s="24">
        <v>23.623300573425798</v>
      </c>
      <c r="Z62" s="24">
        <v>29.355287872390917</v>
      </c>
      <c r="AA62" s="24">
        <v>30.458950511348664</v>
      </c>
      <c r="AB62" s="25"/>
      <c r="AC62" s="24">
        <v>0.36589377504371845</v>
      </c>
      <c r="AD62" s="24">
        <v>1.4978572508438899</v>
      </c>
      <c r="AE62" s="24">
        <v>2.4395984352729547</v>
      </c>
      <c r="AF62" s="24">
        <v>3.2315934971271645</v>
      </c>
      <c r="AG62" s="24">
        <v>4.1167504731915674</v>
      </c>
      <c r="AH62" s="24">
        <v>4.9470226124585261</v>
      </c>
      <c r="AI62" s="24">
        <v>6.6892913083918106</v>
      </c>
      <c r="AJ62" s="24">
        <v>7.7831495928161756</v>
      </c>
      <c r="AK62" s="25"/>
      <c r="AL62" s="24">
        <v>0.92874468224066287</v>
      </c>
      <c r="AM62" s="24">
        <v>2.1203879038232967</v>
      </c>
      <c r="AN62" s="24">
        <v>2.6709480468430065</v>
      </c>
      <c r="AO62" s="24">
        <v>2.8870407658960895</v>
      </c>
      <c r="AP62" s="24">
        <v>2.8790256345225509</v>
      </c>
      <c r="AQ62" s="24">
        <v>3.0165325075754357</v>
      </c>
      <c r="AR62" s="24">
        <v>3.9042898105349222</v>
      </c>
      <c r="AS62" s="24">
        <v>5.5760799315327967</v>
      </c>
      <c r="AT62" s="25"/>
      <c r="AU62" s="24">
        <v>0.9980329924673168</v>
      </c>
      <c r="AV62" s="24">
        <v>2.4594847350803684</v>
      </c>
      <c r="AW62" s="24">
        <v>3.2369051971228262</v>
      </c>
      <c r="AX62" s="24">
        <v>3.5289049818995153</v>
      </c>
      <c r="AY62" s="24">
        <v>3.6420246451874756</v>
      </c>
      <c r="AZ62" s="24">
        <v>3.7757155600019727</v>
      </c>
      <c r="BA62" s="24">
        <v>4.0598183244954944</v>
      </c>
      <c r="BB62" s="24">
        <v>4.5142942097629009</v>
      </c>
      <c r="BD62" s="24">
        <v>5.8686696301568002</v>
      </c>
      <c r="BE62" s="24">
        <v>7.5318253556250019</v>
      </c>
      <c r="BF62" s="24">
        <v>6.9298907935105518</v>
      </c>
      <c r="BG62" s="24">
        <v>5.3362522120264888</v>
      </c>
      <c r="BH62" s="24">
        <v>3.4406412267619668</v>
      </c>
      <c r="BI62" s="24">
        <v>2.3819162089980064</v>
      </c>
      <c r="BJ62" s="24">
        <v>1.4432937246171647</v>
      </c>
      <c r="BK62" s="24">
        <v>0.79444222925733454</v>
      </c>
      <c r="BL62" s="24"/>
      <c r="BM62" s="24">
        <v>7.0766503655393664E-2</v>
      </c>
      <c r="BN62" s="24">
        <v>5.0025316368062081E-2</v>
      </c>
      <c r="BO62" s="24">
        <v>7.5301606090957734E-2</v>
      </c>
      <c r="BP62" s="24">
        <v>0.16944823191589581</v>
      </c>
      <c r="BQ62" s="24">
        <v>0.43825922909906639</v>
      </c>
      <c r="BR62" s="24">
        <v>0.65953576951171977</v>
      </c>
      <c r="BS62" s="24">
        <v>0.85823887761827899</v>
      </c>
      <c r="BT62" s="24">
        <v>0.70885119128025864</v>
      </c>
      <c r="BV62" s="24">
        <v>3.8907977094983766</v>
      </c>
      <c r="BW62" s="24">
        <v>6.2306023953444187</v>
      </c>
      <c r="BX62" s="24">
        <v>5.3726462967715864</v>
      </c>
      <c r="BY62" s="24">
        <v>4.4941290114484014</v>
      </c>
      <c r="BZ62" s="24">
        <v>3.4811498214684065</v>
      </c>
      <c r="CA62" s="24">
        <v>2.9347410476728566</v>
      </c>
      <c r="CB62" s="24">
        <v>2.7352528205397144</v>
      </c>
      <c r="CC62" s="24">
        <v>2.586454660395312</v>
      </c>
      <c r="CE62" s="27"/>
      <c r="CF62" s="27"/>
    </row>
    <row r="63" spans="1:84" s="26" customFormat="1" ht="9" customHeight="1">
      <c r="A63" s="28"/>
      <c r="B63" s="28"/>
      <c r="C63" s="28"/>
      <c r="D63" s="28"/>
      <c r="E63" s="28"/>
      <c r="F63" s="29"/>
      <c r="G63" s="28"/>
      <c r="H63" s="28"/>
      <c r="I63" s="28"/>
      <c r="J63" s="28"/>
      <c r="K63" s="28"/>
      <c r="L63" s="28"/>
      <c r="M63" s="28"/>
      <c r="N63" s="28"/>
      <c r="O63" s="28"/>
      <c r="P63" s="28"/>
      <c r="Q63" s="28"/>
      <c r="R63" s="28"/>
      <c r="S63" s="28"/>
      <c r="T63" s="28"/>
      <c r="U63" s="28"/>
      <c r="V63" s="28"/>
      <c r="W63" s="28"/>
      <c r="X63" s="28"/>
      <c r="Y63" s="28"/>
      <c r="Z63" s="28"/>
      <c r="AA63" s="28"/>
      <c r="AB63" s="28"/>
      <c r="AC63" s="28"/>
      <c r="AD63" s="28"/>
      <c r="AE63" s="30"/>
      <c r="AF63" s="30"/>
      <c r="AG63" s="30"/>
      <c r="AH63" s="30"/>
      <c r="AI63" s="30"/>
      <c r="AJ63" s="30"/>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c r="BP63" s="28"/>
      <c r="BQ63" s="28"/>
      <c r="BR63" s="28"/>
      <c r="BS63" s="28"/>
      <c r="BT63" s="28"/>
      <c r="BU63" s="28"/>
      <c r="BV63" s="28"/>
      <c r="BW63" s="28"/>
      <c r="BX63" s="28"/>
      <c r="BY63" s="28"/>
      <c r="BZ63" s="28"/>
      <c r="CA63" s="28"/>
      <c r="CB63" s="28"/>
      <c r="CC63" s="28"/>
    </row>
    <row r="64" spans="1:84" s="26" customFormat="1">
      <c r="F64" s="27"/>
      <c r="AE64" s="31"/>
      <c r="AF64" s="31"/>
      <c r="AG64" s="31"/>
      <c r="AH64" s="31"/>
      <c r="AI64" s="31"/>
      <c r="AJ64" s="31"/>
    </row>
    <row r="65" spans="1:36">
      <c r="A65" s="12" t="s">
        <v>1066</v>
      </c>
      <c r="F65" s="32"/>
      <c r="AC65" s="33"/>
      <c r="AD65" s="33"/>
    </row>
    <row r="66" spans="1:36">
      <c r="A66" s="38"/>
      <c r="B66" s="32"/>
      <c r="C66" s="32"/>
      <c r="F66" s="32"/>
      <c r="AC66" s="34"/>
      <c r="AD66" s="34"/>
      <c r="AE66" s="35"/>
      <c r="AF66" s="35"/>
      <c r="AG66" s="35"/>
      <c r="AH66" s="35"/>
      <c r="AI66" s="35"/>
      <c r="AJ66" s="35"/>
    </row>
    <row r="67" spans="1:36">
      <c r="B67" s="823" t="s">
        <v>1067</v>
      </c>
      <c r="C67" s="823"/>
      <c r="D67" s="823"/>
      <c r="E67" s="823"/>
      <c r="F67" s="823"/>
      <c r="G67" s="823"/>
      <c r="H67" s="823"/>
      <c r="I67" s="823"/>
    </row>
    <row r="68" spans="1:36">
      <c r="B68" s="22" t="s">
        <v>67</v>
      </c>
      <c r="C68" s="22" t="s">
        <v>68</v>
      </c>
      <c r="D68" s="22" t="s">
        <v>51</v>
      </c>
      <c r="E68" s="22" t="s">
        <v>52</v>
      </c>
      <c r="F68" s="22" t="s">
        <v>62</v>
      </c>
      <c r="G68" s="22" t="s">
        <v>63</v>
      </c>
      <c r="H68" s="22" t="s">
        <v>64</v>
      </c>
      <c r="I68" s="22" t="s">
        <v>61</v>
      </c>
    </row>
    <row r="69" spans="1:36">
      <c r="A69" s="37">
        <v>2014</v>
      </c>
      <c r="B69" s="832">
        <f>T61+AL61+BD61+BM61</f>
        <v>4.94950611127791</v>
      </c>
      <c r="C69" s="832">
        <f t="shared" ref="C69:I69" si="12">U61+AM61+BE61+BN61</f>
        <v>15.397577677746872</v>
      </c>
      <c r="D69" s="832">
        <f t="shared" si="12"/>
        <v>19.041089881010461</v>
      </c>
      <c r="E69" s="832">
        <f t="shared" si="12"/>
        <v>21.936376768998826</v>
      </c>
      <c r="F69" s="832">
        <f t="shared" si="12"/>
        <v>25.99898092363334</v>
      </c>
      <c r="G69" s="832">
        <f t="shared" si="12"/>
        <v>28.689118633327332</v>
      </c>
      <c r="H69" s="832">
        <f t="shared" si="12"/>
        <v>34.644699864685101</v>
      </c>
      <c r="I69" s="832">
        <f t="shared" si="12"/>
        <v>37.350194529155374</v>
      </c>
    </row>
  </sheetData>
  <mergeCells count="10">
    <mergeCell ref="BD5:BK5"/>
    <mergeCell ref="BM5:BT5"/>
    <mergeCell ref="BV5:CC5"/>
    <mergeCell ref="B5:I5"/>
    <mergeCell ref="K5:R5"/>
    <mergeCell ref="T5:AA5"/>
    <mergeCell ref="AC5:AJ5"/>
    <mergeCell ref="AL5:AS5"/>
    <mergeCell ref="AU5:BB5"/>
    <mergeCell ref="B67:I67"/>
  </mergeCells>
  <hyperlinks>
    <hyperlink ref="A2" r:id="rId1" xr:uid="{00000000-0004-0000-0800-000000000000}"/>
    <hyperlink ref="H1" location="Index!A1" display="index" xr:uid="{8C6EE2C8-4378-4BC9-B9BC-0BA14D78FA6C}"/>
  </hyperlinks>
  <pageMargins left="0.7" right="0.7" top="0.75" bottom="0.75" header="0.3" footer="0.3"/>
  <pageSetup orientation="portrait"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C243BC-506E-46AF-A461-8AE6FEFFF8B6}">
  <sheetPr>
    <tabColor theme="5" tint="0.79998168889431442"/>
  </sheetPr>
  <dimension ref="A1:BW83"/>
  <sheetViews>
    <sheetView workbookViewId="0"/>
  </sheetViews>
  <sheetFormatPr defaultColWidth="9.140625" defaultRowHeight="15"/>
  <cols>
    <col min="1" max="1" width="9.140625" style="564"/>
    <col min="2" max="2" width="9.42578125" style="564" customWidth="1"/>
    <col min="3" max="3" width="7.28515625" style="564" customWidth="1"/>
    <col min="4" max="4" width="6.28515625" style="564" customWidth="1"/>
    <col min="5" max="5" width="6.85546875" style="564" customWidth="1"/>
    <col min="6" max="7" width="7.5703125" style="564" customWidth="1"/>
    <col min="8" max="8" width="8.28515625" style="564" customWidth="1"/>
    <col min="9" max="9" width="3" style="564" customWidth="1"/>
    <col min="10" max="10" width="8.7109375" style="564" customWidth="1"/>
    <col min="11" max="13" width="7.140625" style="564" customWidth="1"/>
    <col min="14" max="14" width="7.7109375" style="564" customWidth="1"/>
    <col min="15" max="15" width="8.140625" style="564" customWidth="1"/>
    <col min="16" max="16" width="9.28515625" style="564" customWidth="1"/>
    <col min="17" max="17" width="3.140625" style="564" customWidth="1"/>
    <col min="18" max="18" width="7.42578125" style="564" customWidth="1"/>
    <col min="19" max="21" width="7.140625" style="564" customWidth="1"/>
    <col min="22" max="23" width="7.42578125" style="564" customWidth="1"/>
    <col min="24" max="24" width="8.42578125" style="564" customWidth="1"/>
    <col min="25" max="25" width="2.28515625" style="564" customWidth="1"/>
    <col min="26" max="27" width="7.42578125" style="564" customWidth="1"/>
    <col min="28" max="28" width="7.28515625" style="564" customWidth="1"/>
    <col min="29" max="29" width="6.7109375" style="564" customWidth="1"/>
    <col min="30" max="31" width="7.42578125" style="564" customWidth="1"/>
    <col min="32" max="32" width="9.140625" style="564"/>
    <col min="33" max="33" width="2.5703125" style="564" customWidth="1"/>
    <col min="34" max="38" width="7.42578125" style="564" customWidth="1"/>
    <col min="39" max="39" width="7.85546875" style="564" customWidth="1"/>
    <col min="40" max="40" width="9.140625" style="564"/>
    <col min="41" max="41" width="1.85546875" style="564" customWidth="1"/>
    <col min="42" max="42" width="7.85546875" style="564" customWidth="1"/>
    <col min="43" max="43" width="7.42578125" style="564" customWidth="1"/>
    <col min="44" max="45" width="6.7109375" style="564" customWidth="1"/>
    <col min="46" max="46" width="7.42578125" style="564" customWidth="1"/>
    <col min="47" max="47" width="7.85546875" style="564" customWidth="1"/>
    <col min="48" max="48" width="9.140625" style="564"/>
    <col min="49" max="49" width="1.85546875" style="564" customWidth="1"/>
    <col min="50" max="51" width="7.42578125" style="564" customWidth="1"/>
    <col min="52" max="53" width="7.5703125" style="564" customWidth="1"/>
    <col min="54" max="54" width="8" style="564" customWidth="1"/>
    <col min="55" max="55" width="8.42578125" style="564" customWidth="1"/>
    <col min="56" max="56" width="9.140625" style="564"/>
    <col min="57" max="57" width="3" style="564" customWidth="1"/>
    <col min="58" max="58" width="7.28515625" style="564" customWidth="1"/>
    <col min="59" max="59" width="7.7109375" style="564" customWidth="1"/>
    <col min="60" max="61" width="7.140625" style="564" customWidth="1"/>
    <col min="62" max="64" width="7.85546875" style="564" customWidth="1"/>
    <col min="65" max="65" width="1.85546875" style="564" customWidth="1"/>
    <col min="66" max="66" width="7.5703125" style="564" customWidth="1"/>
    <col min="67" max="67" width="7.85546875" style="564" customWidth="1"/>
    <col min="68" max="69" width="7.28515625" style="564" customWidth="1"/>
    <col min="70" max="70" width="7.85546875" style="564" customWidth="1"/>
    <col min="71" max="71" width="8" style="564" customWidth="1"/>
    <col min="72" max="16384" width="9.140625" style="564"/>
  </cols>
  <sheetData>
    <row r="1" spans="1:72">
      <c r="A1" s="33" t="s">
        <v>1062</v>
      </c>
      <c r="B1" s="12"/>
      <c r="C1" s="12"/>
      <c r="D1" s="12"/>
      <c r="E1" s="12"/>
      <c r="F1" s="12"/>
      <c r="G1" s="12"/>
      <c r="H1" s="641" t="s">
        <v>762</v>
      </c>
    </row>
    <row r="2" spans="1:72">
      <c r="A2" s="565" t="s">
        <v>152</v>
      </c>
      <c r="B2" s="12"/>
      <c r="C2" s="12"/>
      <c r="D2" s="12"/>
      <c r="E2" s="12"/>
      <c r="F2" s="12"/>
      <c r="G2" s="12"/>
      <c r="H2" s="12"/>
    </row>
    <row r="3" spans="1:72">
      <c r="A3" s="648" t="s">
        <v>787</v>
      </c>
      <c r="B3" s="648"/>
      <c r="C3" s="648"/>
      <c r="D3" s="648"/>
      <c r="E3" s="648"/>
      <c r="F3" s="648"/>
      <c r="G3" s="648"/>
      <c r="H3" s="648"/>
      <c r="I3" s="648"/>
      <c r="J3" s="648"/>
      <c r="K3" s="648"/>
      <c r="L3" s="648"/>
      <c r="M3" s="648"/>
      <c r="N3" s="648"/>
      <c r="O3" s="648"/>
      <c r="P3" s="648"/>
      <c r="Q3" s="648"/>
    </row>
    <row r="4" spans="1:72" ht="15.75">
      <c r="A4" s="664"/>
      <c r="B4" s="649"/>
      <c r="C4" s="649"/>
      <c r="D4" s="649"/>
      <c r="E4" s="649"/>
      <c r="F4" s="649"/>
      <c r="G4" s="649"/>
      <c r="H4" s="649"/>
      <c r="I4" s="649"/>
      <c r="J4" s="649"/>
      <c r="K4" s="649"/>
      <c r="L4" s="649"/>
      <c r="M4" s="649"/>
      <c r="N4" s="649"/>
      <c r="O4" s="649"/>
      <c r="P4" s="649"/>
      <c r="Q4" s="649"/>
      <c r="R4" s="191"/>
      <c r="S4" s="191"/>
      <c r="T4" s="191"/>
      <c r="U4" s="191"/>
      <c r="V4" s="191"/>
      <c r="W4" s="191"/>
      <c r="X4" s="191"/>
      <c r="Y4" s="191"/>
      <c r="Z4" s="191"/>
      <c r="AA4" s="191"/>
      <c r="AB4" s="191"/>
      <c r="AC4" s="191"/>
      <c r="AD4" s="191"/>
      <c r="AE4" s="191"/>
      <c r="AF4" s="191"/>
      <c r="AG4" s="191"/>
      <c r="AH4" s="191"/>
      <c r="AI4" s="191"/>
      <c r="AJ4" s="191"/>
      <c r="AK4" s="191"/>
      <c r="AL4" s="191"/>
      <c r="AM4" s="191"/>
      <c r="AN4" s="191"/>
      <c r="AO4" s="191"/>
      <c r="AP4" s="191"/>
      <c r="AQ4" s="191"/>
      <c r="AR4" s="191"/>
      <c r="AS4" s="191"/>
      <c r="AT4" s="191"/>
      <c r="AU4" s="191"/>
      <c r="AV4" s="191"/>
      <c r="AW4" s="191"/>
      <c r="AX4" s="191"/>
      <c r="AY4" s="191"/>
      <c r="AZ4" s="191"/>
      <c r="BA4" s="191"/>
      <c r="BB4" s="191"/>
      <c r="BC4" s="191"/>
      <c r="BD4" s="191"/>
      <c r="BE4" s="191"/>
      <c r="BF4" s="191"/>
      <c r="BG4" s="191"/>
      <c r="BH4" s="191"/>
      <c r="BI4" s="191"/>
      <c r="BJ4" s="191"/>
      <c r="BK4" s="191"/>
      <c r="BL4" s="191"/>
      <c r="BM4" s="191"/>
      <c r="BN4" s="191"/>
      <c r="BO4" s="191"/>
      <c r="BP4" s="191"/>
      <c r="BQ4" s="191"/>
      <c r="BR4" s="191"/>
      <c r="BS4" s="191"/>
      <c r="BT4" s="191"/>
    </row>
    <row r="5" spans="1:72">
      <c r="B5" s="748" t="s">
        <v>53</v>
      </c>
      <c r="C5" s="748"/>
      <c r="D5" s="748"/>
      <c r="E5" s="748"/>
      <c r="F5" s="748"/>
      <c r="G5" s="748"/>
      <c r="H5" s="748"/>
      <c r="J5" s="748" t="s">
        <v>54</v>
      </c>
      <c r="K5" s="748"/>
      <c r="L5" s="748"/>
      <c r="M5" s="748"/>
      <c r="N5" s="748"/>
      <c r="O5" s="748"/>
      <c r="P5" s="748"/>
      <c r="R5" s="748" t="s">
        <v>55</v>
      </c>
      <c r="S5" s="748"/>
      <c r="T5" s="748"/>
      <c r="U5" s="748"/>
      <c r="V5" s="748"/>
      <c r="W5" s="748"/>
      <c r="X5" s="748"/>
      <c r="Z5" s="748" t="s">
        <v>56</v>
      </c>
      <c r="AA5" s="748"/>
      <c r="AB5" s="748"/>
      <c r="AC5" s="748"/>
      <c r="AD5" s="748"/>
      <c r="AE5" s="748"/>
      <c r="AF5" s="748"/>
      <c r="AG5" s="557"/>
      <c r="AH5" s="749" t="s">
        <v>57</v>
      </c>
      <c r="AI5" s="749"/>
      <c r="AJ5" s="749"/>
      <c r="AK5" s="749"/>
      <c r="AL5" s="749"/>
      <c r="AM5" s="749"/>
      <c r="AN5" s="749"/>
      <c r="AO5" s="557"/>
      <c r="AP5" s="748" t="s">
        <v>58</v>
      </c>
      <c r="AQ5" s="748"/>
      <c r="AR5" s="748"/>
      <c r="AS5" s="748"/>
      <c r="AT5" s="748"/>
      <c r="AU5" s="748"/>
      <c r="AV5" s="748"/>
      <c r="AW5" s="557"/>
      <c r="AX5" s="749" t="s">
        <v>17</v>
      </c>
      <c r="AY5" s="749"/>
      <c r="AZ5" s="749"/>
      <c r="BA5" s="749"/>
      <c r="BB5" s="749"/>
      <c r="BC5" s="749"/>
      <c r="BD5" s="749"/>
      <c r="BE5" s="557"/>
      <c r="BF5" s="749" t="s">
        <v>59</v>
      </c>
      <c r="BG5" s="749"/>
      <c r="BH5" s="749"/>
      <c r="BI5" s="749"/>
      <c r="BJ5" s="749"/>
      <c r="BK5" s="749"/>
      <c r="BL5" s="749"/>
      <c r="BM5" s="557"/>
      <c r="BN5" s="748" t="s">
        <v>60</v>
      </c>
      <c r="BO5" s="748"/>
      <c r="BP5" s="748"/>
      <c r="BQ5" s="748"/>
      <c r="BR5" s="748"/>
      <c r="BS5" s="748"/>
      <c r="BT5" s="748"/>
    </row>
    <row r="6" spans="1:72">
      <c r="B6" s="650" t="s">
        <v>776</v>
      </c>
      <c r="C6" s="650" t="s">
        <v>777</v>
      </c>
      <c r="D6" s="650" t="s">
        <v>778</v>
      </c>
      <c r="E6" s="650" t="s">
        <v>28</v>
      </c>
      <c r="F6" s="650" t="s">
        <v>779</v>
      </c>
      <c r="G6" s="650" t="s">
        <v>744</v>
      </c>
      <c r="H6" s="650" t="s">
        <v>780</v>
      </c>
      <c r="J6" s="650" t="s">
        <v>776</v>
      </c>
      <c r="K6" s="650" t="s">
        <v>777</v>
      </c>
      <c r="L6" s="650" t="s">
        <v>778</v>
      </c>
      <c r="M6" s="650" t="s">
        <v>28</v>
      </c>
      <c r="N6" s="650" t="s">
        <v>779</v>
      </c>
      <c r="O6" s="650" t="s">
        <v>744</v>
      </c>
      <c r="P6" s="650" t="s">
        <v>780</v>
      </c>
      <c r="R6" s="650" t="s">
        <v>776</v>
      </c>
      <c r="S6" s="650" t="s">
        <v>777</v>
      </c>
      <c r="T6" s="650" t="s">
        <v>778</v>
      </c>
      <c r="U6" s="650" t="s">
        <v>28</v>
      </c>
      <c r="V6" s="650" t="s">
        <v>779</v>
      </c>
      <c r="W6" s="650" t="s">
        <v>744</v>
      </c>
      <c r="X6" s="650" t="s">
        <v>780</v>
      </c>
      <c r="Z6" s="650" t="s">
        <v>776</v>
      </c>
      <c r="AA6" s="650" t="s">
        <v>777</v>
      </c>
      <c r="AB6" s="650" t="s">
        <v>778</v>
      </c>
      <c r="AC6" s="650" t="s">
        <v>28</v>
      </c>
      <c r="AD6" s="650" t="s">
        <v>779</v>
      </c>
      <c r="AE6" s="650" t="s">
        <v>744</v>
      </c>
      <c r="AF6" s="650" t="s">
        <v>780</v>
      </c>
      <c r="AG6" s="650"/>
      <c r="AH6" s="650" t="s">
        <v>776</v>
      </c>
      <c r="AI6" s="650" t="s">
        <v>777</v>
      </c>
      <c r="AJ6" s="650" t="s">
        <v>778</v>
      </c>
      <c r="AK6" s="650" t="s">
        <v>28</v>
      </c>
      <c r="AL6" s="650" t="s">
        <v>779</v>
      </c>
      <c r="AM6" s="650" t="s">
        <v>744</v>
      </c>
      <c r="AN6" s="650" t="s">
        <v>780</v>
      </c>
      <c r="AO6" s="650"/>
      <c r="AP6" s="650" t="s">
        <v>776</v>
      </c>
      <c r="AQ6" s="650" t="s">
        <v>777</v>
      </c>
      <c r="AR6" s="650" t="s">
        <v>778</v>
      </c>
      <c r="AS6" s="650" t="s">
        <v>28</v>
      </c>
      <c r="AT6" s="650" t="s">
        <v>779</v>
      </c>
      <c r="AU6" s="650" t="s">
        <v>744</v>
      </c>
      <c r="AV6" s="650" t="s">
        <v>780</v>
      </c>
      <c r="AW6" s="650"/>
      <c r="AX6" s="650" t="s">
        <v>776</v>
      </c>
      <c r="AY6" s="650" t="s">
        <v>777</v>
      </c>
      <c r="AZ6" s="650" t="s">
        <v>778</v>
      </c>
      <c r="BA6" s="650" t="s">
        <v>28</v>
      </c>
      <c r="BB6" s="650" t="s">
        <v>779</v>
      </c>
      <c r="BC6" s="650" t="s">
        <v>744</v>
      </c>
      <c r="BD6" s="650" t="s">
        <v>780</v>
      </c>
      <c r="BE6" s="650"/>
      <c r="BF6" s="650" t="s">
        <v>776</v>
      </c>
      <c r="BG6" s="650" t="s">
        <v>777</v>
      </c>
      <c r="BH6" s="650" t="s">
        <v>778</v>
      </c>
      <c r="BI6" s="650" t="s">
        <v>28</v>
      </c>
      <c r="BJ6" s="650" t="s">
        <v>779</v>
      </c>
      <c r="BK6" s="650" t="s">
        <v>744</v>
      </c>
      <c r="BL6" s="650" t="s">
        <v>780</v>
      </c>
      <c r="BM6" s="650"/>
      <c r="BN6" s="650" t="s">
        <v>776</v>
      </c>
      <c r="BO6" s="650" t="s">
        <v>777</v>
      </c>
      <c r="BP6" s="650" t="s">
        <v>778</v>
      </c>
      <c r="BQ6" s="650" t="s">
        <v>28</v>
      </c>
      <c r="BR6" s="650" t="s">
        <v>779</v>
      </c>
      <c r="BS6" s="650" t="s">
        <v>744</v>
      </c>
      <c r="BT6" s="650" t="s">
        <v>780</v>
      </c>
    </row>
    <row r="7" spans="1:72">
      <c r="A7" s="651"/>
      <c r="B7" s="652" t="s">
        <v>781</v>
      </c>
      <c r="C7" s="652" t="s">
        <v>782</v>
      </c>
      <c r="D7" s="652" t="s">
        <v>783</v>
      </c>
      <c r="E7" s="652" t="s">
        <v>784</v>
      </c>
      <c r="F7" s="652" t="s">
        <v>785</v>
      </c>
      <c r="G7" s="652" t="s">
        <v>786</v>
      </c>
      <c r="H7" s="652" t="s">
        <v>61</v>
      </c>
      <c r="I7" s="651"/>
      <c r="J7" s="652" t="s">
        <v>781</v>
      </c>
      <c r="K7" s="652" t="s">
        <v>782</v>
      </c>
      <c r="L7" s="652" t="s">
        <v>783</v>
      </c>
      <c r="M7" s="652" t="s">
        <v>784</v>
      </c>
      <c r="N7" s="652" t="s">
        <v>785</v>
      </c>
      <c r="O7" s="652" t="s">
        <v>786</v>
      </c>
      <c r="P7" s="652" t="s">
        <v>61</v>
      </c>
      <c r="Q7" s="651"/>
      <c r="R7" s="652" t="s">
        <v>781</v>
      </c>
      <c r="S7" s="652" t="s">
        <v>782</v>
      </c>
      <c r="T7" s="652" t="s">
        <v>783</v>
      </c>
      <c r="U7" s="652" t="s">
        <v>784</v>
      </c>
      <c r="V7" s="652" t="s">
        <v>785</v>
      </c>
      <c r="W7" s="652" t="s">
        <v>786</v>
      </c>
      <c r="X7" s="652" t="s">
        <v>61</v>
      </c>
      <c r="Y7" s="191"/>
      <c r="Z7" s="652" t="s">
        <v>781</v>
      </c>
      <c r="AA7" s="652" t="s">
        <v>782</v>
      </c>
      <c r="AB7" s="652" t="s">
        <v>783</v>
      </c>
      <c r="AC7" s="652" t="s">
        <v>784</v>
      </c>
      <c r="AD7" s="652" t="s">
        <v>785</v>
      </c>
      <c r="AE7" s="652" t="s">
        <v>786</v>
      </c>
      <c r="AF7" s="652" t="s">
        <v>61</v>
      </c>
      <c r="AG7" s="652"/>
      <c r="AH7" s="652" t="s">
        <v>781</v>
      </c>
      <c r="AI7" s="652" t="s">
        <v>782</v>
      </c>
      <c r="AJ7" s="652" t="s">
        <v>783</v>
      </c>
      <c r="AK7" s="652" t="s">
        <v>784</v>
      </c>
      <c r="AL7" s="652" t="s">
        <v>785</v>
      </c>
      <c r="AM7" s="652" t="s">
        <v>786</v>
      </c>
      <c r="AN7" s="652" t="s">
        <v>61</v>
      </c>
      <c r="AO7" s="652"/>
      <c r="AP7" s="652" t="s">
        <v>781</v>
      </c>
      <c r="AQ7" s="652" t="s">
        <v>782</v>
      </c>
      <c r="AR7" s="652" t="s">
        <v>783</v>
      </c>
      <c r="AS7" s="652" t="s">
        <v>784</v>
      </c>
      <c r="AT7" s="652" t="s">
        <v>785</v>
      </c>
      <c r="AU7" s="652" t="s">
        <v>786</v>
      </c>
      <c r="AV7" s="652" t="s">
        <v>61</v>
      </c>
      <c r="AW7" s="652"/>
      <c r="AX7" s="652" t="s">
        <v>781</v>
      </c>
      <c r="AY7" s="652" t="s">
        <v>782</v>
      </c>
      <c r="AZ7" s="652" t="s">
        <v>783</v>
      </c>
      <c r="BA7" s="652" t="s">
        <v>784</v>
      </c>
      <c r="BB7" s="652" t="s">
        <v>785</v>
      </c>
      <c r="BC7" s="652" t="s">
        <v>786</v>
      </c>
      <c r="BD7" s="652" t="s">
        <v>61</v>
      </c>
      <c r="BE7" s="652"/>
      <c r="BF7" s="652" t="s">
        <v>781</v>
      </c>
      <c r="BG7" s="652" t="s">
        <v>782</v>
      </c>
      <c r="BH7" s="652" t="s">
        <v>783</v>
      </c>
      <c r="BI7" s="652" t="s">
        <v>784</v>
      </c>
      <c r="BJ7" s="652" t="s">
        <v>785</v>
      </c>
      <c r="BK7" s="652" t="s">
        <v>786</v>
      </c>
      <c r="BL7" s="652" t="s">
        <v>61</v>
      </c>
      <c r="BM7" s="652"/>
      <c r="BN7" s="652" t="s">
        <v>781</v>
      </c>
      <c r="BO7" s="652" t="s">
        <v>782</v>
      </c>
      <c r="BP7" s="652" t="s">
        <v>783</v>
      </c>
      <c r="BQ7" s="652" t="s">
        <v>784</v>
      </c>
      <c r="BR7" s="652" t="s">
        <v>785</v>
      </c>
      <c r="BS7" s="652" t="s">
        <v>786</v>
      </c>
      <c r="BT7" s="652" t="s">
        <v>61</v>
      </c>
    </row>
    <row r="8" spans="1:72" s="148" customFormat="1" ht="12">
      <c r="A8" s="653">
        <v>1960</v>
      </c>
      <c r="B8" s="654">
        <v>21.658089096972226</v>
      </c>
      <c r="C8" s="654">
        <v>34.042108324898955</v>
      </c>
      <c r="D8" s="654">
        <v>36.650881834289905</v>
      </c>
      <c r="E8" s="654">
        <v>41.776680803588775</v>
      </c>
      <c r="F8" s="654">
        <v>43.75224698204434</v>
      </c>
      <c r="G8" s="654">
        <v>47.977307468257322</v>
      </c>
      <c r="H8" s="654">
        <v>50.325224513703503</v>
      </c>
      <c r="I8" s="654"/>
      <c r="J8" s="654">
        <v>17.490941678030204</v>
      </c>
      <c r="K8" s="654">
        <v>32.640443694342764</v>
      </c>
      <c r="L8" s="654">
        <v>35.732414311894367</v>
      </c>
      <c r="M8" s="654">
        <v>41.503043448454889</v>
      </c>
      <c r="N8" s="654">
        <v>43.57094088790322</v>
      </c>
      <c r="O8" s="654">
        <v>47.900668076908808</v>
      </c>
      <c r="P8" s="654">
        <v>50.303142951333648</v>
      </c>
      <c r="Q8" s="654"/>
      <c r="R8" s="654">
        <v>6.0298464492064756</v>
      </c>
      <c r="S8" s="654">
        <v>12.899050716487311</v>
      </c>
      <c r="T8" s="654">
        <v>13.935903971538011</v>
      </c>
      <c r="U8" s="654">
        <v>16.225464954458722</v>
      </c>
      <c r="V8" s="654">
        <v>16.919113117617236</v>
      </c>
      <c r="W8" s="654">
        <v>17.736528025677302</v>
      </c>
      <c r="X8" s="654">
        <v>17.217164140132056</v>
      </c>
      <c r="Y8" s="655"/>
      <c r="Z8" s="654">
        <v>0.2976467665548389</v>
      </c>
      <c r="AA8" s="654">
        <v>0.80227653645258878</v>
      </c>
      <c r="AB8" s="654">
        <v>0.93695970394445449</v>
      </c>
      <c r="AC8" s="654">
        <v>1.2201975156463578</v>
      </c>
      <c r="AD8" s="654">
        <v>1.2670106388982796</v>
      </c>
      <c r="AE8" s="654">
        <v>1.312500337373453</v>
      </c>
      <c r="AF8" s="654">
        <v>1.3575899410118268</v>
      </c>
      <c r="AG8" s="655"/>
      <c r="AH8" s="654">
        <v>2.4256801477081997</v>
      </c>
      <c r="AI8" s="654">
        <v>8.2106674241534883</v>
      </c>
      <c r="AJ8" s="654">
        <v>9.9782892159655407</v>
      </c>
      <c r="AK8" s="654">
        <v>13.660130540178111</v>
      </c>
      <c r="AL8" s="654">
        <v>15.195672925018014</v>
      </c>
      <c r="AM8" s="654">
        <v>18.53187670432256</v>
      </c>
      <c r="AN8" s="654">
        <v>20.919367494553413</v>
      </c>
      <c r="AO8" s="655"/>
      <c r="AP8" s="654">
        <v>2.0146765592235387</v>
      </c>
      <c r="AQ8" s="654">
        <v>5.6574827586070855</v>
      </c>
      <c r="AR8" s="654">
        <v>6.4501915651715427</v>
      </c>
      <c r="AS8" s="654">
        <v>7.2344144760643196</v>
      </c>
      <c r="AT8" s="654">
        <v>7.384451008925967</v>
      </c>
      <c r="AU8" s="654">
        <v>7.919633239478391</v>
      </c>
      <c r="AV8" s="654">
        <v>8.4198132916754247</v>
      </c>
      <c r="AX8" s="654">
        <v>4.1671474189420232</v>
      </c>
      <c r="AY8" s="654">
        <v>1.4016646305561919</v>
      </c>
      <c r="AZ8" s="654">
        <v>0.91846752239553542</v>
      </c>
      <c r="BA8" s="654">
        <v>0.27363735513388743</v>
      </c>
      <c r="BB8" s="654">
        <v>0.18130609414112583</v>
      </c>
      <c r="BC8" s="654">
        <v>7.6639391348515648E-2</v>
      </c>
      <c r="BD8" s="654">
        <v>2.2081562369855735E-2</v>
      </c>
      <c r="BE8" s="654"/>
      <c r="BF8" s="654">
        <v>0.23461560857366257</v>
      </c>
      <c r="BG8" s="654">
        <v>0.86921229996755678</v>
      </c>
      <c r="BH8" s="654">
        <v>1.0328865019300351</v>
      </c>
      <c r="BI8" s="654">
        <v>1.2857614373488522</v>
      </c>
      <c r="BJ8" s="654">
        <v>1.3223274134818119</v>
      </c>
      <c r="BK8" s="654">
        <v>1.4658870196251732</v>
      </c>
      <c r="BL8" s="654">
        <v>1.8360135920502956</v>
      </c>
      <c r="BN8" s="654">
        <v>6.4884761467634871</v>
      </c>
      <c r="BO8" s="654">
        <v>4.2017539586747308</v>
      </c>
      <c r="BP8" s="654">
        <v>3.3981833533447809</v>
      </c>
      <c r="BQ8" s="654">
        <v>1.8770745247585268</v>
      </c>
      <c r="BR8" s="654">
        <v>1.4823657839619131</v>
      </c>
      <c r="BS8" s="654">
        <v>0.93424275043192528</v>
      </c>
      <c r="BT8" s="654">
        <v>0.55319449191063952</v>
      </c>
    </row>
    <row r="9" spans="1:72" s="148" customFormat="1" ht="5.25" customHeight="1">
      <c r="A9" s="653"/>
      <c r="I9" s="654"/>
      <c r="J9" s="653"/>
      <c r="K9" s="653"/>
      <c r="L9" s="653"/>
      <c r="M9" s="653"/>
      <c r="N9" s="653"/>
      <c r="O9" s="653"/>
      <c r="P9" s="653"/>
      <c r="Q9" s="654"/>
      <c r="R9" s="655"/>
      <c r="S9" s="655"/>
      <c r="T9" s="655"/>
      <c r="U9" s="655"/>
      <c r="V9" s="655"/>
      <c r="W9" s="655"/>
      <c r="X9" s="655"/>
      <c r="Y9" s="655"/>
      <c r="Z9" s="654"/>
      <c r="AA9" s="654"/>
      <c r="AB9" s="654"/>
      <c r="AC9" s="654"/>
      <c r="AD9" s="654"/>
      <c r="AE9" s="654"/>
      <c r="AF9" s="654"/>
      <c r="AG9" s="655"/>
      <c r="AH9" s="654"/>
      <c r="AI9" s="654"/>
      <c r="AJ9" s="654"/>
      <c r="AK9" s="654"/>
      <c r="AL9" s="654"/>
      <c r="AM9" s="654"/>
      <c r="AN9" s="654"/>
      <c r="AO9" s="655"/>
      <c r="AP9" s="654"/>
      <c r="AQ9" s="654"/>
      <c r="AR9" s="654"/>
      <c r="AS9" s="654"/>
      <c r="AT9" s="654"/>
      <c r="AU9" s="654"/>
      <c r="AV9" s="654"/>
      <c r="AX9" s="654"/>
      <c r="AY9" s="654"/>
      <c r="AZ9" s="654"/>
      <c r="BA9" s="654"/>
      <c r="BB9" s="654"/>
      <c r="BC9" s="654"/>
      <c r="BD9" s="654"/>
      <c r="BE9" s="654"/>
      <c r="BF9" s="654"/>
      <c r="BG9" s="654"/>
      <c r="BH9" s="654"/>
      <c r="BI9" s="654"/>
      <c r="BJ9" s="654"/>
      <c r="BK9" s="654"/>
      <c r="BL9" s="654"/>
      <c r="BN9" s="654"/>
      <c r="BO9" s="654"/>
      <c r="BP9" s="654"/>
      <c r="BQ9" s="654"/>
      <c r="BR9" s="654"/>
      <c r="BS9" s="654"/>
      <c r="BT9" s="654"/>
    </row>
    <row r="10" spans="1:72" s="148" customFormat="1" ht="12">
      <c r="A10" s="653">
        <v>1962</v>
      </c>
      <c r="B10" s="654">
        <v>22.468247393529325</v>
      </c>
      <c r="C10" s="654">
        <v>32.417733137229988</v>
      </c>
      <c r="D10" s="654">
        <v>34.359040488286084</v>
      </c>
      <c r="E10" s="654">
        <v>38.573777622551901</v>
      </c>
      <c r="F10" s="654">
        <v>40.033808165899629</v>
      </c>
      <c r="G10" s="654">
        <v>42.484900387280348</v>
      </c>
      <c r="H10" s="654">
        <v>45.114925464342882</v>
      </c>
      <c r="I10" s="654"/>
      <c r="J10" s="654">
        <v>18.201459958964133</v>
      </c>
      <c r="K10" s="654">
        <v>30.853510548306794</v>
      </c>
      <c r="L10" s="654">
        <v>33.312966138216062</v>
      </c>
      <c r="M10" s="654">
        <v>38.233228945789186</v>
      </c>
      <c r="N10" s="654">
        <v>39.802237134063326</v>
      </c>
      <c r="O10" s="654">
        <v>42.39601835073158</v>
      </c>
      <c r="P10" s="654">
        <v>45.091001657126476</v>
      </c>
      <c r="Q10" s="654"/>
      <c r="R10" s="654">
        <v>6.0305513030115634</v>
      </c>
      <c r="S10" s="654">
        <v>12.863697087659503</v>
      </c>
      <c r="T10" s="654">
        <v>13.88888540248788</v>
      </c>
      <c r="U10" s="654">
        <v>15.754037767074095</v>
      </c>
      <c r="V10" s="654">
        <v>16.182391063637201</v>
      </c>
      <c r="W10" s="654">
        <v>16.181322192157314</v>
      </c>
      <c r="X10" s="654">
        <v>16.334947334212156</v>
      </c>
      <c r="Y10" s="655"/>
      <c r="Z10" s="654">
        <v>0.36743918966953587</v>
      </c>
      <c r="AA10" s="654">
        <v>0.97017218633100932</v>
      </c>
      <c r="AB10" s="654">
        <v>1.1378437077911365</v>
      </c>
      <c r="AC10" s="654">
        <v>1.4617271500987592</v>
      </c>
      <c r="AD10" s="654">
        <v>1.5215932124283884</v>
      </c>
      <c r="AE10" s="654">
        <v>1.5283782744335259</v>
      </c>
      <c r="AF10" s="654">
        <v>1.4834366205942175</v>
      </c>
      <c r="AG10" s="655"/>
      <c r="AH10" s="654">
        <v>2.8840965796126552</v>
      </c>
      <c r="AI10" s="654">
        <v>6.7092684170643677</v>
      </c>
      <c r="AJ10" s="654">
        <v>7.9977150447347238</v>
      </c>
      <c r="AK10" s="654">
        <v>11.211291491857095</v>
      </c>
      <c r="AL10" s="654">
        <v>12.446557150279029</v>
      </c>
      <c r="AM10" s="654">
        <v>15.066128232410907</v>
      </c>
      <c r="AN10" s="654">
        <v>17.069900310173832</v>
      </c>
      <c r="AO10" s="655"/>
      <c r="AP10" s="654">
        <v>2.514393687144699</v>
      </c>
      <c r="AQ10" s="654">
        <v>5.1135815462241112</v>
      </c>
      <c r="AR10" s="654">
        <v>5.6519108859757781</v>
      </c>
      <c r="AS10" s="654">
        <v>6.3480265799159508</v>
      </c>
      <c r="AT10" s="654">
        <v>6.5265032162844685</v>
      </c>
      <c r="AU10" s="654">
        <v>6.9949449596344806</v>
      </c>
      <c r="AV10" s="654">
        <v>7.5212055968743208</v>
      </c>
      <c r="AX10" s="654">
        <v>4.2667874345651953</v>
      </c>
      <c r="AY10" s="654">
        <v>1.5642225889231969</v>
      </c>
      <c r="AZ10" s="654">
        <v>1.0460743500700211</v>
      </c>
      <c r="BA10" s="654">
        <v>0.34054867676271694</v>
      </c>
      <c r="BB10" s="654">
        <v>0.23157103183630176</v>
      </c>
      <c r="BC10" s="654">
        <v>8.8882036548765239E-2</v>
      </c>
      <c r="BD10" s="654">
        <v>2.39238072164062E-2</v>
      </c>
      <c r="BE10" s="654"/>
      <c r="BF10" s="654">
        <v>0.24736518393189433</v>
      </c>
      <c r="BG10" s="654">
        <v>0.92370527461333174</v>
      </c>
      <c r="BH10" s="654">
        <v>1.1037381034474145</v>
      </c>
      <c r="BI10" s="654">
        <v>1.3727697939427308</v>
      </c>
      <c r="BJ10" s="654">
        <v>1.4262059644279594</v>
      </c>
      <c r="BK10" s="654">
        <v>1.5567781111589358</v>
      </c>
      <c r="BL10" s="654">
        <v>1.9839913719920232</v>
      </c>
      <c r="BN10" s="654">
        <v>6.1576140155937837</v>
      </c>
      <c r="BO10" s="654">
        <v>4.2730860364144672</v>
      </c>
      <c r="BP10" s="654">
        <v>3.5328729937791348</v>
      </c>
      <c r="BQ10" s="654">
        <v>2.0853761629005541</v>
      </c>
      <c r="BR10" s="654">
        <v>1.6989865270062858</v>
      </c>
      <c r="BS10" s="654">
        <v>1.0684665809364151</v>
      </c>
      <c r="BT10" s="654">
        <v>0.69752042327992658</v>
      </c>
    </row>
    <row r="11" spans="1:72" s="148" customFormat="1" ht="5.25" customHeight="1">
      <c r="A11" s="653"/>
      <c r="I11" s="654"/>
      <c r="J11" s="653"/>
      <c r="K11" s="653"/>
      <c r="L11" s="653"/>
      <c r="M11" s="653"/>
      <c r="N11" s="653"/>
      <c r="O11" s="653"/>
      <c r="P11" s="653"/>
      <c r="Q11" s="654"/>
      <c r="R11" s="655"/>
      <c r="S11" s="655"/>
      <c r="T11" s="655"/>
      <c r="U11" s="655"/>
      <c r="V11" s="655"/>
      <c r="W11" s="655"/>
      <c r="X11" s="655"/>
      <c r="Y11" s="655"/>
      <c r="Z11" s="654"/>
      <c r="AA11" s="654"/>
      <c r="AB11" s="654"/>
      <c r="AC11" s="654"/>
      <c r="AD11" s="654"/>
      <c r="AE11" s="654"/>
      <c r="AF11" s="654"/>
      <c r="AG11" s="655"/>
      <c r="AH11" s="654"/>
      <c r="AI11" s="654"/>
      <c r="AJ11" s="654"/>
      <c r="AK11" s="654"/>
      <c r="AL11" s="654"/>
      <c r="AM11" s="654"/>
      <c r="AN11" s="654"/>
      <c r="AO11" s="655"/>
      <c r="AP11" s="654"/>
      <c r="AQ11" s="654"/>
      <c r="AR11" s="654"/>
      <c r="AS11" s="654"/>
      <c r="AT11" s="654"/>
      <c r="AU11" s="654"/>
      <c r="AV11" s="654"/>
      <c r="AX11" s="654"/>
      <c r="AY11" s="654"/>
      <c r="AZ11" s="654"/>
      <c r="BA11" s="654"/>
      <c r="BB11" s="654"/>
      <c r="BC11" s="654"/>
      <c r="BD11" s="654"/>
      <c r="BE11" s="654"/>
      <c r="BF11" s="654"/>
      <c r="BG11" s="654"/>
      <c r="BH11" s="654"/>
      <c r="BI11" s="654"/>
      <c r="BJ11" s="654"/>
      <c r="BK11" s="654"/>
      <c r="BL11" s="654"/>
      <c r="BN11" s="654"/>
      <c r="BO11" s="654"/>
      <c r="BP11" s="654"/>
      <c r="BQ11" s="654"/>
      <c r="BR11" s="654"/>
      <c r="BS11" s="654"/>
      <c r="BT11" s="654"/>
    </row>
    <row r="12" spans="1:72" s="148" customFormat="1" ht="12">
      <c r="A12" s="653">
        <v>1964</v>
      </c>
      <c r="B12" s="654">
        <v>21.49196352906776</v>
      </c>
      <c r="C12" s="654">
        <v>32.391817008511332</v>
      </c>
      <c r="D12" s="654">
        <v>34.213685471388303</v>
      </c>
      <c r="E12" s="654">
        <v>38.3669616717875</v>
      </c>
      <c r="F12" s="654">
        <v>39.710492504334709</v>
      </c>
      <c r="G12" s="654">
        <v>42.262207991495949</v>
      </c>
      <c r="H12" s="654">
        <v>45.087046068239829</v>
      </c>
      <c r="I12" s="654"/>
      <c r="J12" s="654">
        <v>17.186414642776736</v>
      </c>
      <c r="K12" s="654">
        <v>30.58770707306839</v>
      </c>
      <c r="L12" s="654">
        <v>33.020222212955268</v>
      </c>
      <c r="M12" s="654">
        <v>38.018844507362594</v>
      </c>
      <c r="N12" s="654">
        <v>39.482969581657287</v>
      </c>
      <c r="O12" s="654">
        <v>42.173372489896181</v>
      </c>
      <c r="P12" s="654">
        <v>45.063761321418475</v>
      </c>
      <c r="Q12" s="654"/>
      <c r="R12" s="654">
        <v>4.9885915631802593</v>
      </c>
      <c r="S12" s="654">
        <v>11.861919353512244</v>
      </c>
      <c r="T12" s="654">
        <v>12.812430434973681</v>
      </c>
      <c r="U12" s="654">
        <v>14.626151036320611</v>
      </c>
      <c r="V12" s="654">
        <v>14.896927251688016</v>
      </c>
      <c r="W12" s="654">
        <v>15.174219629727052</v>
      </c>
      <c r="X12" s="654">
        <v>15.560252036738348</v>
      </c>
      <c r="Y12" s="655"/>
      <c r="Z12" s="654">
        <v>0.45441163584734928</v>
      </c>
      <c r="AA12" s="654">
        <v>0.99517022054307691</v>
      </c>
      <c r="AB12" s="654">
        <v>1.114180285707685</v>
      </c>
      <c r="AC12" s="654">
        <v>1.3520412575133427</v>
      </c>
      <c r="AD12" s="654">
        <v>1.3493326575851117</v>
      </c>
      <c r="AE12" s="654">
        <v>1.33327352888497</v>
      </c>
      <c r="AF12" s="654">
        <v>1.2735694803901958</v>
      </c>
      <c r="AG12" s="655"/>
      <c r="AH12" s="654">
        <v>2.756817013875327</v>
      </c>
      <c r="AI12" s="654">
        <v>7.1063563092696125</v>
      </c>
      <c r="AJ12" s="654">
        <v>8.5093939639332916</v>
      </c>
      <c r="AK12" s="654">
        <v>11.832587575119522</v>
      </c>
      <c r="AL12" s="654">
        <v>13.208610750917446</v>
      </c>
      <c r="AM12" s="654">
        <v>15.742228647497125</v>
      </c>
      <c r="AN12" s="654">
        <v>17.763590471868309</v>
      </c>
      <c r="AO12" s="655"/>
      <c r="AP12" s="654">
        <v>2.5689285147695253</v>
      </c>
      <c r="AQ12" s="654">
        <v>5.125794378320907</v>
      </c>
      <c r="AR12" s="654">
        <v>5.7022465956704425</v>
      </c>
      <c r="AS12" s="654">
        <v>6.6644190890097432</v>
      </c>
      <c r="AT12" s="654">
        <v>6.8833017192720973</v>
      </c>
      <c r="AU12" s="654">
        <v>7.294248118196939</v>
      </c>
      <c r="AV12" s="654">
        <v>7.7278388628757657</v>
      </c>
      <c r="AX12" s="654">
        <v>4.3055488862910236</v>
      </c>
      <c r="AY12" s="654">
        <v>1.8041099354429408</v>
      </c>
      <c r="AZ12" s="654">
        <v>1.1934632584330342</v>
      </c>
      <c r="BA12" s="654">
        <v>0.34811716442490315</v>
      </c>
      <c r="BB12" s="654">
        <v>0.22752292267742757</v>
      </c>
      <c r="BC12" s="654">
        <v>8.8835501599768107E-2</v>
      </c>
      <c r="BD12" s="654">
        <v>2.3284746821355513E-2</v>
      </c>
      <c r="BE12" s="654"/>
      <c r="BF12" s="654">
        <v>0.2705095454671953</v>
      </c>
      <c r="BG12" s="654">
        <v>1.0367260773496407</v>
      </c>
      <c r="BH12" s="654">
        <v>1.2203540793744982</v>
      </c>
      <c r="BI12" s="654">
        <v>1.4610109703152541</v>
      </c>
      <c r="BJ12" s="654">
        <v>1.4703743339489712</v>
      </c>
      <c r="BK12" s="654">
        <v>1.5925236582423756</v>
      </c>
      <c r="BL12" s="654">
        <v>2.0545296608099508</v>
      </c>
      <c r="BN12" s="654">
        <v>6.1471563696370817</v>
      </c>
      <c r="BO12" s="654">
        <v>4.4617407340729072</v>
      </c>
      <c r="BP12" s="654">
        <v>3.661616853295671</v>
      </c>
      <c r="BQ12" s="654">
        <v>2.0826345790841212</v>
      </c>
      <c r="BR12" s="654">
        <v>1.6744228682456432</v>
      </c>
      <c r="BS12" s="654">
        <v>1.0368789073477103</v>
      </c>
      <c r="BT12" s="654">
        <v>0.68398080873591138</v>
      </c>
    </row>
    <row r="13" spans="1:72" s="148" customFormat="1" ht="5.25" customHeight="1">
      <c r="A13" s="653"/>
      <c r="I13" s="654"/>
      <c r="J13" s="653"/>
      <c r="K13" s="653"/>
      <c r="L13" s="653"/>
      <c r="M13" s="653"/>
      <c r="N13" s="653"/>
      <c r="O13" s="653"/>
      <c r="P13" s="653"/>
      <c r="Q13" s="654"/>
      <c r="R13" s="655"/>
      <c r="S13" s="655"/>
      <c r="T13" s="655"/>
      <c r="U13" s="655"/>
      <c r="V13" s="655"/>
      <c r="W13" s="655"/>
      <c r="X13" s="655"/>
      <c r="Y13" s="655"/>
      <c r="Z13" s="654"/>
      <c r="AA13" s="654"/>
      <c r="AB13" s="654"/>
      <c r="AC13" s="654"/>
      <c r="AD13" s="654"/>
      <c r="AE13" s="654"/>
      <c r="AF13" s="654"/>
      <c r="AG13" s="655"/>
      <c r="AH13" s="654"/>
      <c r="AI13" s="654"/>
      <c r="AJ13" s="654"/>
      <c r="AK13" s="654"/>
      <c r="AL13" s="654"/>
      <c r="AM13" s="654"/>
      <c r="AN13" s="654"/>
      <c r="AO13" s="655"/>
      <c r="AP13" s="654"/>
      <c r="AQ13" s="654"/>
      <c r="AR13" s="654"/>
      <c r="AS13" s="654"/>
      <c r="AT13" s="654"/>
      <c r="AU13" s="654"/>
      <c r="AV13" s="654"/>
      <c r="AX13" s="654"/>
      <c r="AY13" s="654"/>
      <c r="AZ13" s="654"/>
      <c r="BA13" s="654"/>
      <c r="BB13" s="654"/>
      <c r="BC13" s="654"/>
      <c r="BD13" s="654"/>
      <c r="BE13" s="654"/>
      <c r="BF13" s="654"/>
      <c r="BG13" s="654"/>
      <c r="BH13" s="654"/>
      <c r="BI13" s="654"/>
      <c r="BJ13" s="654"/>
      <c r="BK13" s="654"/>
      <c r="BL13" s="654"/>
      <c r="BN13" s="654"/>
      <c r="BO13" s="654"/>
      <c r="BP13" s="654"/>
      <c r="BQ13" s="654"/>
      <c r="BR13" s="654"/>
      <c r="BS13" s="654"/>
      <c r="BT13" s="654"/>
    </row>
    <row r="14" spans="1:72" s="148" customFormat="1" ht="12">
      <c r="A14" s="653">
        <v>1966</v>
      </c>
      <c r="B14" s="654">
        <v>22.729103282981576</v>
      </c>
      <c r="C14" s="654">
        <v>31.6117115064426</v>
      </c>
      <c r="D14" s="654">
        <v>33.298048786381457</v>
      </c>
      <c r="E14" s="654">
        <v>36.801923793810523</v>
      </c>
      <c r="F14" s="654">
        <v>38.075729175689332</v>
      </c>
      <c r="G14" s="654">
        <v>40.363727788799942</v>
      </c>
      <c r="H14" s="654">
        <v>42.452221208100205</v>
      </c>
      <c r="I14" s="654"/>
      <c r="J14" s="654">
        <v>17.633714092503119</v>
      </c>
      <c r="K14" s="654">
        <v>29.604581138239229</v>
      </c>
      <c r="L14" s="654">
        <v>31.959403417717407</v>
      </c>
      <c r="M14" s="654">
        <v>36.359328700338367</v>
      </c>
      <c r="N14" s="654">
        <v>37.784469030688136</v>
      </c>
      <c r="O14" s="654">
        <v>40.253990142048934</v>
      </c>
      <c r="P14" s="654">
        <v>42.423235879222517</v>
      </c>
      <c r="Q14" s="654"/>
      <c r="R14" s="654">
        <v>5.595982434332833</v>
      </c>
      <c r="S14" s="654">
        <v>12.241869158239664</v>
      </c>
      <c r="T14" s="654">
        <v>13.310355173190095</v>
      </c>
      <c r="U14" s="654">
        <v>15.1905011622045</v>
      </c>
      <c r="V14" s="654">
        <v>15.648645759579841</v>
      </c>
      <c r="W14" s="654">
        <v>16.197400702806885</v>
      </c>
      <c r="X14" s="654">
        <v>16.51496280527007</v>
      </c>
      <c r="Y14" s="655"/>
      <c r="Z14" s="654">
        <v>0.49981798734104788</v>
      </c>
      <c r="AA14" s="654">
        <v>1.166898804951189</v>
      </c>
      <c r="AB14" s="654">
        <v>1.3367937131912038</v>
      </c>
      <c r="AC14" s="654">
        <v>1.598450563048242</v>
      </c>
      <c r="AD14" s="654">
        <v>1.6511237042144138</v>
      </c>
      <c r="AE14" s="654">
        <v>1.6542584001699192</v>
      </c>
      <c r="AF14" s="654">
        <v>1.5555377514709439</v>
      </c>
      <c r="AG14" s="655"/>
      <c r="AH14" s="654">
        <v>3.0563015768643593</v>
      </c>
      <c r="AI14" s="654">
        <v>6.7598822855897041</v>
      </c>
      <c r="AJ14" s="654">
        <v>7.9914921097822997</v>
      </c>
      <c r="AK14" s="654">
        <v>10.86197942909757</v>
      </c>
      <c r="AL14" s="654">
        <v>12.011080917556914</v>
      </c>
      <c r="AM14" s="654">
        <v>14.024492384825177</v>
      </c>
      <c r="AN14" s="654">
        <v>15.552499711692125</v>
      </c>
      <c r="AO14" s="655"/>
      <c r="AP14" s="654">
        <v>2.5803218429302834</v>
      </c>
      <c r="AQ14" s="654">
        <v>4.6174511576002146</v>
      </c>
      <c r="AR14" s="654">
        <v>5.0125538402913161</v>
      </c>
      <c r="AS14" s="654">
        <v>5.4675903177735403</v>
      </c>
      <c r="AT14" s="654">
        <v>5.5648569292964707</v>
      </c>
      <c r="AU14" s="654">
        <v>5.8219306838440854</v>
      </c>
      <c r="AV14" s="654">
        <v>6.0621494823127327</v>
      </c>
      <c r="AX14" s="654">
        <v>5.095389190478457</v>
      </c>
      <c r="AY14" s="654">
        <v>2.0071303682033692</v>
      </c>
      <c r="AZ14" s="654">
        <v>1.3386453686640531</v>
      </c>
      <c r="BA14" s="654">
        <v>0.44259509347215698</v>
      </c>
      <c r="BB14" s="654">
        <v>0.29126014500119868</v>
      </c>
      <c r="BC14" s="654">
        <v>0.10973764675100621</v>
      </c>
      <c r="BD14" s="654">
        <v>2.8985328877686366E-2</v>
      </c>
      <c r="BE14" s="654"/>
      <c r="BF14" s="654">
        <v>0.27653792286837298</v>
      </c>
      <c r="BG14" s="654">
        <v>1.0062782126982728</v>
      </c>
      <c r="BH14" s="654">
        <v>1.1847824773529851</v>
      </c>
      <c r="BI14" s="654">
        <v>1.3845498659955922</v>
      </c>
      <c r="BJ14" s="654">
        <v>1.4042612386914317</v>
      </c>
      <c r="BK14" s="654">
        <v>1.550539942504688</v>
      </c>
      <c r="BL14" s="654">
        <v>2.0130247756594626</v>
      </c>
      <c r="BN14" s="654">
        <v>5.6247523281662239</v>
      </c>
      <c r="BO14" s="654">
        <v>3.8122015191601819</v>
      </c>
      <c r="BP14" s="654">
        <v>3.1234261039095079</v>
      </c>
      <c r="BQ14" s="654">
        <v>1.856257362218916</v>
      </c>
      <c r="BR14" s="654">
        <v>1.5045004813490594</v>
      </c>
      <c r="BS14" s="654">
        <v>1.0053680278981842</v>
      </c>
      <c r="BT14" s="654">
        <v>0.72506135281718531</v>
      </c>
    </row>
    <row r="15" spans="1:72" s="148" customFormat="1" ht="12">
      <c r="A15" s="653">
        <v>1967</v>
      </c>
      <c r="B15" s="654">
        <v>22.740093120325469</v>
      </c>
      <c r="C15" s="654">
        <v>32.182091047942968</v>
      </c>
      <c r="D15" s="654">
        <v>34.229255614590151</v>
      </c>
      <c r="E15" s="654">
        <v>38.672274842274653</v>
      </c>
      <c r="F15" s="654">
        <v>40.224758784746719</v>
      </c>
      <c r="G15" s="654">
        <v>43.298919473501634</v>
      </c>
      <c r="H15" s="654">
        <v>45.847895065512603</v>
      </c>
      <c r="I15" s="654"/>
      <c r="J15" s="654">
        <v>17.41146857732431</v>
      </c>
      <c r="K15" s="654">
        <v>30.194975900064836</v>
      </c>
      <c r="L15" s="654">
        <v>32.900690324149892</v>
      </c>
      <c r="M15" s="654">
        <v>38.221897360522291</v>
      </c>
      <c r="N15" s="654">
        <v>39.924083270768229</v>
      </c>
      <c r="O15" s="654">
        <v>43.17935964074492</v>
      </c>
      <c r="P15" s="654">
        <v>45.813650833566676</v>
      </c>
      <c r="Q15" s="654"/>
      <c r="R15" s="654">
        <v>5.7458769436875103</v>
      </c>
      <c r="S15" s="654">
        <v>12.777886783757161</v>
      </c>
      <c r="T15" s="654">
        <v>14.082273015844091</v>
      </c>
      <c r="U15" s="654">
        <v>16.573598901727692</v>
      </c>
      <c r="V15" s="654">
        <v>17.137822356362513</v>
      </c>
      <c r="W15" s="654">
        <v>18.07406730686424</v>
      </c>
      <c r="X15" s="654">
        <v>18.40297281239036</v>
      </c>
      <c r="Y15" s="655"/>
      <c r="Z15" s="654">
        <v>0.55616600167611563</v>
      </c>
      <c r="AA15" s="654">
        <v>1.1869127480059931</v>
      </c>
      <c r="AB15" s="654">
        <v>1.3426457032632197</v>
      </c>
      <c r="AC15" s="654">
        <v>1.5777733912386578</v>
      </c>
      <c r="AD15" s="654">
        <v>1.5958289834364097</v>
      </c>
      <c r="AE15" s="654">
        <v>1.6445205363818303</v>
      </c>
      <c r="AF15" s="654">
        <v>1.6753552843394686</v>
      </c>
      <c r="AG15" s="655"/>
      <c r="AH15" s="654">
        <v>2.6860698873953939</v>
      </c>
      <c r="AI15" s="654">
        <v>6.3013754999456868</v>
      </c>
      <c r="AJ15" s="654">
        <v>7.5229635418620457</v>
      </c>
      <c r="AK15" s="654">
        <v>10.591986029721621</v>
      </c>
      <c r="AL15" s="654">
        <v>11.813578225836185</v>
      </c>
      <c r="AM15" s="654">
        <v>13.902017187224647</v>
      </c>
      <c r="AN15" s="654">
        <v>15.458692645278516</v>
      </c>
      <c r="AO15" s="655"/>
      <c r="AP15" s="654">
        <v>2.5196290971243021</v>
      </c>
      <c r="AQ15" s="654">
        <v>5.0969254169964104</v>
      </c>
      <c r="AR15" s="654">
        <v>5.6244208503018722</v>
      </c>
      <c r="AS15" s="654">
        <v>6.178696874127426</v>
      </c>
      <c r="AT15" s="654">
        <v>6.4116669113319054</v>
      </c>
      <c r="AU15" s="654">
        <v>6.9067145334820736</v>
      </c>
      <c r="AV15" s="654">
        <v>7.4534778278780562</v>
      </c>
      <c r="AX15" s="654">
        <v>5.328624543001161</v>
      </c>
      <c r="AY15" s="654">
        <v>1.9871151478781275</v>
      </c>
      <c r="AZ15" s="654">
        <v>1.3285652904402676</v>
      </c>
      <c r="BA15" s="654">
        <v>0.45037748175236264</v>
      </c>
      <c r="BB15" s="654">
        <v>0.3006755139784919</v>
      </c>
      <c r="BC15" s="654">
        <v>0.11955983275671266</v>
      </c>
      <c r="BD15" s="654">
        <v>3.4244231945928849E-2</v>
      </c>
      <c r="BE15" s="654"/>
      <c r="BF15" s="654">
        <v>0.26307059102793445</v>
      </c>
      <c r="BG15" s="654">
        <v>0.981227627546713</v>
      </c>
      <c r="BH15" s="654">
        <v>1.1620300202740537</v>
      </c>
      <c r="BI15" s="654">
        <v>1.3724258155213549</v>
      </c>
      <c r="BJ15" s="654">
        <v>1.4033800844057325</v>
      </c>
      <c r="BK15" s="654">
        <v>1.6051119528123092</v>
      </c>
      <c r="BL15" s="654">
        <v>2.0947050870667354</v>
      </c>
      <c r="BN15" s="654">
        <v>5.6406560564130546</v>
      </c>
      <c r="BO15" s="654">
        <v>3.8506478238128756</v>
      </c>
      <c r="BP15" s="654">
        <v>3.1663571926046039</v>
      </c>
      <c r="BQ15" s="654">
        <v>1.9274163481855364</v>
      </c>
      <c r="BR15" s="654">
        <v>1.5618067093954842</v>
      </c>
      <c r="BS15" s="654">
        <v>1.0469281239798278</v>
      </c>
      <c r="BT15" s="654">
        <v>0.72844717661354186</v>
      </c>
    </row>
    <row r="16" spans="1:72" s="148" customFormat="1" ht="12">
      <c r="A16" s="653">
        <v>1968</v>
      </c>
      <c r="B16" s="654">
        <v>23.760250229779768</v>
      </c>
      <c r="C16" s="654">
        <v>34.333173208477504</v>
      </c>
      <c r="D16" s="654">
        <v>36.575792760518624</v>
      </c>
      <c r="E16" s="654">
        <v>41.422888099162755</v>
      </c>
      <c r="F16" s="654">
        <v>43.351116065261806</v>
      </c>
      <c r="G16" s="654">
        <v>46.565323825440437</v>
      </c>
      <c r="H16" s="654">
        <v>49.929618752526189</v>
      </c>
      <c r="I16" s="654"/>
      <c r="J16" s="654">
        <v>18.459374901259622</v>
      </c>
      <c r="K16" s="654">
        <v>32.23761878483127</v>
      </c>
      <c r="L16" s="654">
        <v>35.160140307083267</v>
      </c>
      <c r="M16" s="654">
        <v>40.949914770750354</v>
      </c>
      <c r="N16" s="654">
        <v>43.037134409293337</v>
      </c>
      <c r="O16" s="654">
        <v>46.448608022372866</v>
      </c>
      <c r="P16" s="654">
        <v>49.892499009474285</v>
      </c>
      <c r="Q16" s="654"/>
      <c r="R16" s="654">
        <v>6.262503860925511</v>
      </c>
      <c r="S16" s="654">
        <v>13.778780011150522</v>
      </c>
      <c r="T16" s="654">
        <v>15.160131229153833</v>
      </c>
      <c r="U16" s="654">
        <v>17.901577657705204</v>
      </c>
      <c r="V16" s="654">
        <v>18.655239134273888</v>
      </c>
      <c r="W16" s="654">
        <v>19.208487022821558</v>
      </c>
      <c r="X16" s="654">
        <v>20.109647125275426</v>
      </c>
      <c r="Y16" s="655"/>
      <c r="Z16" s="654">
        <v>0.69841891413073298</v>
      </c>
      <c r="AA16" s="654">
        <v>1.2894145957991179</v>
      </c>
      <c r="AB16" s="654">
        <v>1.4156854557261835</v>
      </c>
      <c r="AC16" s="654">
        <v>1.5757091017785421</v>
      </c>
      <c r="AD16" s="654">
        <v>1.5936405024108244</v>
      </c>
      <c r="AE16" s="654">
        <v>1.6065818137478989</v>
      </c>
      <c r="AF16" s="654">
        <v>1.7356096015267526</v>
      </c>
      <c r="AG16" s="655"/>
      <c r="AH16" s="654">
        <v>2.8742045719612941</v>
      </c>
      <c r="AI16" s="654">
        <v>7.0460385241385284</v>
      </c>
      <c r="AJ16" s="654">
        <v>8.4791429609641433</v>
      </c>
      <c r="AK16" s="654">
        <v>11.906238157479828</v>
      </c>
      <c r="AL16" s="654">
        <v>13.27494449686589</v>
      </c>
      <c r="AM16" s="654">
        <v>15.887781512368129</v>
      </c>
      <c r="AN16" s="654">
        <v>17.459422399675454</v>
      </c>
      <c r="AO16" s="655"/>
      <c r="AP16" s="654">
        <v>2.5042089064274284</v>
      </c>
      <c r="AQ16" s="654">
        <v>5.2563831359799904</v>
      </c>
      <c r="AR16" s="654">
        <v>5.7997554026953324</v>
      </c>
      <c r="AS16" s="654">
        <v>6.3899833135855149</v>
      </c>
      <c r="AT16" s="654">
        <v>6.660209632195448</v>
      </c>
      <c r="AU16" s="654">
        <v>7.2667917316547443</v>
      </c>
      <c r="AV16" s="654">
        <v>7.8567685230746696</v>
      </c>
      <c r="AX16" s="654">
        <v>5.3008753285201449</v>
      </c>
      <c r="AY16" s="654">
        <v>2.0955544236462309</v>
      </c>
      <c r="AZ16" s="654">
        <v>1.415652453435353</v>
      </c>
      <c r="BA16" s="654">
        <v>0.47297332841240347</v>
      </c>
      <c r="BB16" s="654">
        <v>0.31398165596847133</v>
      </c>
      <c r="BC16" s="654">
        <v>0.11671580306757384</v>
      </c>
      <c r="BD16" s="654">
        <v>3.7119743051903874E-2</v>
      </c>
      <c r="BE16" s="654"/>
      <c r="BF16" s="654">
        <v>0.24781580157475111</v>
      </c>
      <c r="BG16" s="654">
        <v>0.92152509066675981</v>
      </c>
      <c r="BH16" s="654">
        <v>1.088693216648096</v>
      </c>
      <c r="BI16" s="654">
        <v>1.2946016735545904</v>
      </c>
      <c r="BJ16" s="654">
        <v>1.336290456933473</v>
      </c>
      <c r="BK16" s="654">
        <v>1.4914519850740178</v>
      </c>
      <c r="BL16" s="654">
        <v>2.0107136219849457</v>
      </c>
      <c r="BN16" s="654">
        <v>5.8722228462399046</v>
      </c>
      <c r="BO16" s="654">
        <v>3.9454774270963546</v>
      </c>
      <c r="BP16" s="654">
        <v>3.2167320418956793</v>
      </c>
      <c r="BQ16" s="654">
        <v>1.8818048666466782</v>
      </c>
      <c r="BR16" s="654">
        <v>1.5168101866138133</v>
      </c>
      <c r="BS16" s="654">
        <v>0.98751395670652398</v>
      </c>
      <c r="BT16" s="654">
        <v>0.72033773793703104</v>
      </c>
    </row>
    <row r="17" spans="1:72" s="148" customFormat="1" ht="12">
      <c r="A17" s="653">
        <v>1969</v>
      </c>
      <c r="B17" s="654">
        <v>25.019279703707973</v>
      </c>
      <c r="C17" s="654">
        <v>35.534423735854794</v>
      </c>
      <c r="D17" s="654">
        <v>37.747101549385981</v>
      </c>
      <c r="E17" s="654">
        <v>42.839371396354672</v>
      </c>
      <c r="F17" s="654">
        <v>44.815402697492921</v>
      </c>
      <c r="G17" s="654">
        <v>48.804615372023221</v>
      </c>
      <c r="H17" s="654">
        <v>52.950555551767863</v>
      </c>
      <c r="I17" s="654"/>
      <c r="J17" s="654">
        <v>19.527368142043983</v>
      </c>
      <c r="K17" s="654">
        <v>33.239205098635722</v>
      </c>
      <c r="L17" s="654">
        <v>36.188396375115893</v>
      </c>
      <c r="M17" s="654">
        <v>42.268610948043019</v>
      </c>
      <c r="N17" s="654">
        <v>44.431022747369937</v>
      </c>
      <c r="O17" s="654">
        <v>48.648685466315172</v>
      </c>
      <c r="P17" s="654">
        <v>52.90551661150959</v>
      </c>
      <c r="Q17" s="654"/>
      <c r="R17" s="654">
        <v>7.156035068274778</v>
      </c>
      <c r="S17" s="654">
        <v>15.08646770616898</v>
      </c>
      <c r="T17" s="654">
        <v>16.578632858822591</v>
      </c>
      <c r="U17" s="654">
        <v>19.756614083601161</v>
      </c>
      <c r="V17" s="654">
        <v>20.595721157561911</v>
      </c>
      <c r="W17" s="654">
        <v>21.804757793555339</v>
      </c>
      <c r="X17" s="654">
        <v>22.90412114103431</v>
      </c>
      <c r="Y17" s="655"/>
      <c r="Z17" s="654">
        <v>0.79451435707822404</v>
      </c>
      <c r="AA17" s="654">
        <v>1.5291094861678223</v>
      </c>
      <c r="AB17" s="654">
        <v>1.7080414580712326</v>
      </c>
      <c r="AC17" s="654">
        <v>1.9991129082699715</v>
      </c>
      <c r="AD17" s="654">
        <v>2.0314826733585245</v>
      </c>
      <c r="AE17" s="654">
        <v>2.1210147354330586</v>
      </c>
      <c r="AF17" s="654">
        <v>2.2450136290982692</v>
      </c>
      <c r="AG17" s="655"/>
      <c r="AH17" s="654">
        <v>2.8211176839343124</v>
      </c>
      <c r="AI17" s="654">
        <v>6.2014269526633701</v>
      </c>
      <c r="AJ17" s="654">
        <v>7.4847368041652125</v>
      </c>
      <c r="AK17" s="654">
        <v>10.604967421997053</v>
      </c>
      <c r="AL17" s="654">
        <v>11.988899111407731</v>
      </c>
      <c r="AM17" s="654">
        <v>14.655276778157845</v>
      </c>
      <c r="AN17" s="654">
        <v>16.758445195711499</v>
      </c>
      <c r="AO17" s="655"/>
      <c r="AP17" s="654">
        <v>2.5935506000383848</v>
      </c>
      <c r="AQ17" s="654">
        <v>5.2885672504650465</v>
      </c>
      <c r="AR17" s="654">
        <v>5.8019927787280334</v>
      </c>
      <c r="AS17" s="654">
        <v>6.3260487306728104</v>
      </c>
      <c r="AT17" s="654">
        <v>6.5788167613506197</v>
      </c>
      <c r="AU17" s="654">
        <v>7.1712181238911699</v>
      </c>
      <c r="AV17" s="654">
        <v>7.8725840427812024</v>
      </c>
      <c r="AX17" s="654">
        <v>5.4919115616639882</v>
      </c>
      <c r="AY17" s="654">
        <v>2.2952186372190728</v>
      </c>
      <c r="AZ17" s="654">
        <v>1.5587051742700875</v>
      </c>
      <c r="BA17" s="654">
        <v>0.57076044831165296</v>
      </c>
      <c r="BB17" s="654">
        <v>0.38437995012298426</v>
      </c>
      <c r="BC17" s="654">
        <v>0.15592990570804652</v>
      </c>
      <c r="BD17" s="654">
        <v>4.5038940258272639E-2</v>
      </c>
      <c r="BE17" s="654"/>
      <c r="BF17" s="654">
        <v>0.25584178689207593</v>
      </c>
      <c r="BG17" s="654">
        <v>0.99527054006411353</v>
      </c>
      <c r="BH17" s="654">
        <v>1.1970877156182023</v>
      </c>
      <c r="BI17" s="654">
        <v>1.4949310682825483</v>
      </c>
      <c r="BJ17" s="654">
        <v>1.5487987425992671</v>
      </c>
      <c r="BK17" s="654">
        <v>1.7927049361602116</v>
      </c>
      <c r="BL17" s="654">
        <v>2.3629256881876732</v>
      </c>
      <c r="BN17" s="654">
        <v>5.9063086458262086</v>
      </c>
      <c r="BO17" s="654">
        <v>4.1383631631063951</v>
      </c>
      <c r="BP17" s="654">
        <v>3.4179047597106256</v>
      </c>
      <c r="BQ17" s="654">
        <v>2.0869367352194756</v>
      </c>
      <c r="BR17" s="654">
        <v>1.6873043010918762</v>
      </c>
      <c r="BS17" s="654">
        <v>1.1037130991175437</v>
      </c>
      <c r="BT17" s="654">
        <v>0.76242691469664192</v>
      </c>
    </row>
    <row r="18" spans="1:72" s="148" customFormat="1" ht="12">
      <c r="A18" s="653">
        <v>1970</v>
      </c>
      <c r="B18" s="654">
        <v>24.049797549357141</v>
      </c>
      <c r="C18" s="654">
        <v>33.740739746701571</v>
      </c>
      <c r="D18" s="654">
        <v>35.772051237934853</v>
      </c>
      <c r="E18" s="654">
        <v>40.298319924226995</v>
      </c>
      <c r="F18" s="654">
        <v>42.123222667559226</v>
      </c>
      <c r="G18" s="654">
        <v>45.911158652067471</v>
      </c>
      <c r="H18" s="654">
        <v>49.302028488857573</v>
      </c>
      <c r="I18" s="654"/>
      <c r="J18" s="654">
        <v>18.651595031722881</v>
      </c>
      <c r="K18" s="654">
        <v>31.424064298825957</v>
      </c>
      <c r="L18" s="654">
        <v>34.156134190568551</v>
      </c>
      <c r="M18" s="654">
        <v>39.689481723246153</v>
      </c>
      <c r="N18" s="654">
        <v>41.714327134579499</v>
      </c>
      <c r="O18" s="654">
        <v>45.739659553899784</v>
      </c>
      <c r="P18" s="654">
        <v>49.253187430982294</v>
      </c>
      <c r="Q18" s="654"/>
      <c r="R18" s="654">
        <v>6.6412197542251166</v>
      </c>
      <c r="S18" s="654">
        <v>13.915354222435846</v>
      </c>
      <c r="T18" s="654">
        <v>15.277392064234597</v>
      </c>
      <c r="U18" s="654">
        <v>18.011655120863548</v>
      </c>
      <c r="V18" s="654">
        <v>18.707655657099338</v>
      </c>
      <c r="W18" s="654">
        <v>19.578237259242435</v>
      </c>
      <c r="X18" s="654">
        <v>19.946559019560969</v>
      </c>
      <c r="Y18" s="655"/>
      <c r="Z18" s="654">
        <v>0.82246848873049561</v>
      </c>
      <c r="AA18" s="654">
        <v>1.6841780819791909</v>
      </c>
      <c r="AB18" s="654">
        <v>1.9140752035542177</v>
      </c>
      <c r="AC18" s="654">
        <v>2.3116098337892255</v>
      </c>
      <c r="AD18" s="654">
        <v>2.3698693565442954</v>
      </c>
      <c r="AE18" s="654">
        <v>2.4711395388119226</v>
      </c>
      <c r="AF18" s="654">
        <v>2.5332315692819005</v>
      </c>
      <c r="AG18" s="655"/>
      <c r="AH18" s="654">
        <v>2.3070151969064372</v>
      </c>
      <c r="AI18" s="654">
        <v>4.9504465169533409</v>
      </c>
      <c r="AJ18" s="654">
        <v>5.9445509223607864</v>
      </c>
      <c r="AK18" s="654">
        <v>8.6464736320650388</v>
      </c>
      <c r="AL18" s="654">
        <v>9.9255618144541966</v>
      </c>
      <c r="AM18" s="654">
        <v>12.519875397462958</v>
      </c>
      <c r="AN18" s="654">
        <v>14.648566003950203</v>
      </c>
      <c r="AO18" s="655"/>
      <c r="AP18" s="654">
        <v>2.8149419773007369</v>
      </c>
      <c r="AQ18" s="654">
        <v>5.550524230269815</v>
      </c>
      <c r="AR18" s="654">
        <v>6.1359052208300735</v>
      </c>
      <c r="AS18" s="654">
        <v>6.7692083273013113</v>
      </c>
      <c r="AT18" s="654">
        <v>7.0682827245203832</v>
      </c>
      <c r="AU18" s="654">
        <v>7.8502103412442805</v>
      </c>
      <c r="AV18" s="654">
        <v>8.5487050974925793</v>
      </c>
      <c r="AX18" s="654">
        <v>5.3982025176342585</v>
      </c>
      <c r="AY18" s="654">
        <v>2.3166754478756055</v>
      </c>
      <c r="AZ18" s="654">
        <v>1.6159170473663018</v>
      </c>
      <c r="BA18" s="654">
        <v>0.60883820098083852</v>
      </c>
      <c r="BB18" s="654">
        <v>0.40889553297972847</v>
      </c>
      <c r="BC18" s="654">
        <v>0.17149909816768424</v>
      </c>
      <c r="BD18" s="654">
        <v>4.8841057875273097E-2</v>
      </c>
      <c r="BE18" s="654"/>
      <c r="BF18" s="654">
        <v>0.24351226434378109</v>
      </c>
      <c r="BG18" s="654">
        <v>1.0097293316669009</v>
      </c>
      <c r="BH18" s="654">
        <v>1.2375622284654126</v>
      </c>
      <c r="BI18" s="654">
        <v>1.5985046479802361</v>
      </c>
      <c r="BJ18" s="654">
        <v>1.6695850584694143</v>
      </c>
      <c r="BK18" s="654">
        <v>1.9398568488712229</v>
      </c>
      <c r="BL18" s="654">
        <v>2.5680186138034635</v>
      </c>
      <c r="BN18" s="654">
        <v>5.8224373502163109</v>
      </c>
      <c r="BO18" s="654">
        <v>4.3138319155208666</v>
      </c>
      <c r="BP18" s="654">
        <v>3.646648551123461</v>
      </c>
      <c r="BQ18" s="654">
        <v>2.3520301612467978</v>
      </c>
      <c r="BR18" s="654">
        <v>1.9733725234918762</v>
      </c>
      <c r="BS18" s="654">
        <v>1.3803401682669709</v>
      </c>
      <c r="BT18" s="654">
        <v>1.0081071268931885</v>
      </c>
    </row>
    <row r="19" spans="1:72" s="148" customFormat="1" ht="12">
      <c r="A19" s="653">
        <v>1971</v>
      </c>
      <c r="B19" s="654">
        <v>23.386871325076712</v>
      </c>
      <c r="C19" s="654">
        <v>32.845904790016732</v>
      </c>
      <c r="D19" s="654">
        <v>34.674293771382374</v>
      </c>
      <c r="E19" s="654">
        <v>38.620011554534862</v>
      </c>
      <c r="F19" s="654">
        <v>40.023681560548411</v>
      </c>
      <c r="G19" s="654">
        <v>43.41699140939793</v>
      </c>
      <c r="H19" s="654">
        <v>47.156543414192143</v>
      </c>
      <c r="I19" s="654"/>
      <c r="J19" s="654">
        <v>17.922079852544179</v>
      </c>
      <c r="K19" s="654">
        <v>30.476648053456614</v>
      </c>
      <c r="L19" s="654">
        <v>33.047303846688685</v>
      </c>
      <c r="M19" s="654">
        <v>38.00893807565393</v>
      </c>
      <c r="N19" s="654">
        <v>39.620417868572531</v>
      </c>
      <c r="O19" s="654">
        <v>43.254338941328626</v>
      </c>
      <c r="P19" s="654">
        <v>47.110164330262094</v>
      </c>
      <c r="Q19" s="654"/>
      <c r="R19" s="654">
        <v>5.7571328033611353</v>
      </c>
      <c r="S19" s="654">
        <v>12.567645419127851</v>
      </c>
      <c r="T19" s="654">
        <v>13.811384955859477</v>
      </c>
      <c r="U19" s="654">
        <v>16.198344272613241</v>
      </c>
      <c r="V19" s="654">
        <v>16.787868211886952</v>
      </c>
      <c r="W19" s="654">
        <v>17.564606525770969</v>
      </c>
      <c r="X19" s="654">
        <v>18.609876611675276</v>
      </c>
      <c r="Y19" s="655"/>
      <c r="Z19" s="654">
        <v>0.86371159268003228</v>
      </c>
      <c r="AA19" s="654">
        <v>1.7461530085868271</v>
      </c>
      <c r="AB19" s="654">
        <v>1.9745686992032176</v>
      </c>
      <c r="AC19" s="654">
        <v>2.346742825437429</v>
      </c>
      <c r="AD19" s="654">
        <v>2.388801006428662</v>
      </c>
      <c r="AE19" s="654">
        <v>2.4352742240506737</v>
      </c>
      <c r="AF19" s="654">
        <v>2.5125370140772838</v>
      </c>
      <c r="AG19" s="655"/>
      <c r="AH19" s="654">
        <v>2.2967535511969084</v>
      </c>
      <c r="AI19" s="654">
        <v>5.163829108832271</v>
      </c>
      <c r="AJ19" s="654">
        <v>6.1850879587399001</v>
      </c>
      <c r="AK19" s="654">
        <v>8.8918182197491866</v>
      </c>
      <c r="AL19" s="654">
        <v>9.9997571492775901</v>
      </c>
      <c r="AM19" s="654">
        <v>12.492389480835527</v>
      </c>
      <c r="AN19" s="654">
        <v>14.329413983585267</v>
      </c>
      <c r="AO19" s="655"/>
      <c r="AP19" s="654">
        <v>2.8607668375937236</v>
      </c>
      <c r="AQ19" s="654">
        <v>5.5550863573812563</v>
      </c>
      <c r="AR19" s="654">
        <v>6.0858042345900483</v>
      </c>
      <c r="AS19" s="654">
        <v>6.5439769427536074</v>
      </c>
      <c r="AT19" s="654">
        <v>6.7465622386094655</v>
      </c>
      <c r="AU19" s="654">
        <v>7.4118344913555996</v>
      </c>
      <c r="AV19" s="654">
        <v>8.0774079534740508</v>
      </c>
      <c r="AX19" s="654">
        <v>5.4647914725325339</v>
      </c>
      <c r="AY19" s="654">
        <v>2.3692567365601152</v>
      </c>
      <c r="AZ19" s="654">
        <v>1.6269899246936927</v>
      </c>
      <c r="BA19" s="654">
        <v>0.61107347888093311</v>
      </c>
      <c r="BB19" s="654">
        <v>0.40326369197588274</v>
      </c>
      <c r="BC19" s="654">
        <v>0.16265246806930356</v>
      </c>
      <c r="BD19" s="654">
        <v>4.6379083930047138E-2</v>
      </c>
      <c r="BE19" s="654"/>
      <c r="BF19" s="654">
        <v>0.27335631243172764</v>
      </c>
      <c r="BG19" s="654">
        <v>1.112889542333896</v>
      </c>
      <c r="BH19" s="654">
        <v>1.3585060501780388</v>
      </c>
      <c r="BI19" s="654">
        <v>1.7275763829926745</v>
      </c>
      <c r="BJ19" s="654">
        <v>1.7945823295889722</v>
      </c>
      <c r="BK19" s="654">
        <v>2.0470987662332201</v>
      </c>
      <c r="BL19" s="654">
        <v>2.6715560283709037</v>
      </c>
      <c r="BN19" s="654">
        <v>5.8703587552806527</v>
      </c>
      <c r="BO19" s="654">
        <v>4.3310446171945154</v>
      </c>
      <c r="BP19" s="654">
        <v>3.631951948118004</v>
      </c>
      <c r="BQ19" s="654">
        <v>2.3004794321077893</v>
      </c>
      <c r="BR19" s="654">
        <v>1.9028469327808994</v>
      </c>
      <c r="BS19" s="654">
        <v>1.3031354530826416</v>
      </c>
      <c r="BT19" s="654">
        <v>0.9093727390793146</v>
      </c>
    </row>
    <row r="20" spans="1:72" s="148" customFormat="1" ht="12">
      <c r="A20" s="653">
        <v>1972</v>
      </c>
      <c r="B20" s="654">
        <v>24.199779734385043</v>
      </c>
      <c r="C20" s="654">
        <v>33.916855553505378</v>
      </c>
      <c r="D20" s="654">
        <v>35.804670712928775</v>
      </c>
      <c r="E20" s="654">
        <v>39.811081026828077</v>
      </c>
      <c r="F20" s="654">
        <v>41.234640405581565</v>
      </c>
      <c r="G20" s="654">
        <v>44.259109796114871</v>
      </c>
      <c r="H20" s="654">
        <v>47.708084792608282</v>
      </c>
      <c r="I20" s="654"/>
      <c r="J20" s="654">
        <v>18.448006881920385</v>
      </c>
      <c r="K20" s="654">
        <v>31.479320389236875</v>
      </c>
      <c r="L20" s="654">
        <v>34.127975070205345</v>
      </c>
      <c r="M20" s="654">
        <v>39.21798077944122</v>
      </c>
      <c r="N20" s="654">
        <v>40.834635115789844</v>
      </c>
      <c r="O20" s="654">
        <v>44.098225003178442</v>
      </c>
      <c r="P20" s="654">
        <v>47.661096217143069</v>
      </c>
      <c r="Q20" s="654"/>
      <c r="R20" s="654">
        <v>6.1908534651319167</v>
      </c>
      <c r="S20" s="654">
        <v>13.741737376208066</v>
      </c>
      <c r="T20" s="654">
        <v>15.030956019346231</v>
      </c>
      <c r="U20" s="654">
        <v>17.283660672052449</v>
      </c>
      <c r="V20" s="654">
        <v>17.733434021277173</v>
      </c>
      <c r="W20" s="654">
        <v>18.288097489122084</v>
      </c>
      <c r="X20" s="654">
        <v>19.444900573096398</v>
      </c>
      <c r="Y20" s="655"/>
      <c r="Z20" s="654">
        <v>1.1214869498315929</v>
      </c>
      <c r="AA20" s="654">
        <v>2.0915320125325181</v>
      </c>
      <c r="AB20" s="654">
        <v>2.2997935632698709</v>
      </c>
      <c r="AC20" s="654">
        <v>2.5999614742266139</v>
      </c>
      <c r="AD20" s="654">
        <v>2.6548172194173318</v>
      </c>
      <c r="AE20" s="654">
        <v>2.7265638328723516</v>
      </c>
      <c r="AF20" s="654">
        <v>2.7487015315775682</v>
      </c>
      <c r="AG20" s="655"/>
      <c r="AH20" s="654">
        <v>2.3279996093452366</v>
      </c>
      <c r="AI20" s="654">
        <v>5.2726593430749906</v>
      </c>
      <c r="AJ20" s="654">
        <v>6.3487180457735661</v>
      </c>
      <c r="AK20" s="654">
        <v>8.9978854900339691</v>
      </c>
      <c r="AL20" s="654">
        <v>10.127156579522095</v>
      </c>
      <c r="AM20" s="654">
        <v>12.443465015484058</v>
      </c>
      <c r="AN20" s="654">
        <v>14.161476453998576</v>
      </c>
      <c r="AO20" s="655"/>
      <c r="AP20" s="654">
        <v>2.8646065648528798</v>
      </c>
      <c r="AQ20" s="654">
        <v>5.1516131697236602</v>
      </c>
      <c r="AR20" s="654">
        <v>5.6722052865468742</v>
      </c>
      <c r="AS20" s="654">
        <v>6.5119023709433783</v>
      </c>
      <c r="AT20" s="654">
        <v>6.7759113113172775</v>
      </c>
      <c r="AU20" s="654">
        <v>7.3873012949893564</v>
      </c>
      <c r="AV20" s="654">
        <v>7.7546381516323741</v>
      </c>
      <c r="AX20" s="654">
        <v>5.7517728524646579</v>
      </c>
      <c r="AY20" s="654">
        <v>2.437535164268505</v>
      </c>
      <c r="AZ20" s="654">
        <v>1.676695642723429</v>
      </c>
      <c r="BA20" s="654">
        <v>0.59310024738686096</v>
      </c>
      <c r="BB20" s="654">
        <v>0.4000052897917189</v>
      </c>
      <c r="BC20" s="654">
        <v>0.1608847929364278</v>
      </c>
      <c r="BD20" s="654">
        <v>4.6988575465213914E-2</v>
      </c>
      <c r="BE20" s="654"/>
      <c r="BF20" s="654">
        <v>0.29930570986033811</v>
      </c>
      <c r="BG20" s="654">
        <v>1.1624004574112592</v>
      </c>
      <c r="BH20" s="654">
        <v>1.4062822461959561</v>
      </c>
      <c r="BI20" s="654">
        <v>1.7747842417986739</v>
      </c>
      <c r="BJ20" s="654">
        <v>1.8385204769925139</v>
      </c>
      <c r="BK20" s="654">
        <v>2.0834058957368393</v>
      </c>
      <c r="BL20" s="654">
        <v>2.7040111737523773</v>
      </c>
      <c r="BN20" s="654">
        <v>5.6437545828984232</v>
      </c>
      <c r="BO20" s="654">
        <v>4.0593780302863802</v>
      </c>
      <c r="BP20" s="654">
        <v>3.3700199090728451</v>
      </c>
      <c r="BQ20" s="654">
        <v>2.0497865303861378</v>
      </c>
      <c r="BR20" s="654">
        <v>1.7047955072634513</v>
      </c>
      <c r="BS20" s="654">
        <v>1.1693914749737575</v>
      </c>
      <c r="BT20" s="654">
        <v>0.84736833308578141</v>
      </c>
    </row>
    <row r="21" spans="1:72" s="148" customFormat="1" ht="12">
      <c r="A21" s="653">
        <v>1973</v>
      </c>
      <c r="B21" s="654">
        <v>24.945682459431968</v>
      </c>
      <c r="C21" s="654">
        <v>32.861854325164728</v>
      </c>
      <c r="D21" s="654">
        <v>34.078712484653096</v>
      </c>
      <c r="E21" s="654">
        <v>36.42602712290519</v>
      </c>
      <c r="F21" s="654">
        <v>37.140955893161042</v>
      </c>
      <c r="G21" s="654">
        <v>39.138068388846875</v>
      </c>
      <c r="H21" s="654">
        <v>40.863907474263165</v>
      </c>
      <c r="I21" s="654"/>
      <c r="J21" s="654">
        <v>18.450471677452004</v>
      </c>
      <c r="K21" s="654">
        <v>29.953764272845604</v>
      </c>
      <c r="L21" s="654">
        <v>32.09135308122142</v>
      </c>
      <c r="M21" s="654">
        <v>35.707234262512166</v>
      </c>
      <c r="N21" s="654">
        <v>36.643197485086866</v>
      </c>
      <c r="O21" s="654">
        <v>38.928144749594772</v>
      </c>
      <c r="P21" s="654">
        <v>40.803131835263905</v>
      </c>
      <c r="Q21" s="654"/>
      <c r="R21" s="654">
        <v>6.0055082529909249</v>
      </c>
      <c r="S21" s="654">
        <v>12.838815419676502</v>
      </c>
      <c r="T21" s="654">
        <v>13.909528431119236</v>
      </c>
      <c r="U21" s="654">
        <v>15.470084649185409</v>
      </c>
      <c r="V21" s="654">
        <v>15.679008708002435</v>
      </c>
      <c r="W21" s="654">
        <v>16.093511351874788</v>
      </c>
      <c r="X21" s="654">
        <v>16.228240831626508</v>
      </c>
      <c r="Y21" s="655"/>
      <c r="Z21" s="654">
        <v>1.0822150768374867</v>
      </c>
      <c r="AA21" s="654">
        <v>2.0867045740150014</v>
      </c>
      <c r="AB21" s="654">
        <v>2.2858977107318315</v>
      </c>
      <c r="AC21" s="654">
        <v>2.5796683812840038</v>
      </c>
      <c r="AD21" s="654">
        <v>2.5741733030567735</v>
      </c>
      <c r="AE21" s="654">
        <v>2.5863556728362114</v>
      </c>
      <c r="AF21" s="654">
        <v>2.4243369247295137</v>
      </c>
      <c r="AG21" s="655"/>
      <c r="AH21" s="654">
        <v>2.5996830766030565</v>
      </c>
      <c r="AI21" s="654">
        <v>5.0903168597114332</v>
      </c>
      <c r="AJ21" s="654">
        <v>6.0248277513155024</v>
      </c>
      <c r="AK21" s="654">
        <v>8.3309784458265987</v>
      </c>
      <c r="AL21" s="654">
        <v>9.2359752781527042</v>
      </c>
      <c r="AM21" s="654">
        <v>11.157106795872947</v>
      </c>
      <c r="AN21" s="654">
        <v>12.704457686352264</v>
      </c>
      <c r="AO21" s="655"/>
      <c r="AP21" s="654">
        <v>2.8088903701551171</v>
      </c>
      <c r="AQ21" s="654">
        <v>4.7777550131978499</v>
      </c>
      <c r="AR21" s="654">
        <v>5.1949415353125712</v>
      </c>
      <c r="AS21" s="654">
        <v>5.635390743518542</v>
      </c>
      <c r="AT21" s="654">
        <v>5.7445547677792979</v>
      </c>
      <c r="AU21" s="654">
        <v>5.9303569813614816</v>
      </c>
      <c r="AV21" s="654">
        <v>6.0754740981310213</v>
      </c>
      <c r="AX21" s="654">
        <v>6.4952107819799636</v>
      </c>
      <c r="AY21" s="654">
        <v>2.9080900523191278</v>
      </c>
      <c r="AZ21" s="654">
        <v>1.9873594034316748</v>
      </c>
      <c r="BA21" s="654">
        <v>0.71879286039302148</v>
      </c>
      <c r="BB21" s="654">
        <v>0.49775840807417349</v>
      </c>
      <c r="BC21" s="654">
        <v>0.20992363925210322</v>
      </c>
      <c r="BD21" s="654">
        <v>6.0775638999259009E-2</v>
      </c>
      <c r="BE21" s="654"/>
      <c r="BF21" s="654">
        <v>0.25763831279728</v>
      </c>
      <c r="BG21" s="654">
        <v>1.0135021689982919</v>
      </c>
      <c r="BH21" s="654">
        <v>1.2235254661653245</v>
      </c>
      <c r="BI21" s="654">
        <v>1.5293676157483198</v>
      </c>
      <c r="BJ21" s="654">
        <v>1.5917433700048309</v>
      </c>
      <c r="BK21" s="654">
        <v>1.8549058693644003</v>
      </c>
      <c r="BL21" s="654">
        <v>2.3832876258538138</v>
      </c>
      <c r="BN21" s="654">
        <v>5.69653658806814</v>
      </c>
      <c r="BO21" s="654">
        <v>4.1466702372465196</v>
      </c>
      <c r="BP21" s="654">
        <v>3.452632186576948</v>
      </c>
      <c r="BQ21" s="654">
        <v>2.1617444269492929</v>
      </c>
      <c r="BR21" s="654">
        <v>1.8177420580908277</v>
      </c>
      <c r="BS21" s="654">
        <v>1.3059080782849353</v>
      </c>
      <c r="BT21" s="654">
        <v>0.98733466857078533</v>
      </c>
    </row>
    <row r="22" spans="1:72" s="148" customFormat="1" ht="12">
      <c r="A22" s="653">
        <v>1974</v>
      </c>
      <c r="B22" s="654">
        <v>25.691923627275866</v>
      </c>
      <c r="C22" s="654">
        <v>33.160410719519881</v>
      </c>
      <c r="D22" s="654">
        <v>34.287818273169272</v>
      </c>
      <c r="E22" s="654">
        <v>36.491524377956999</v>
      </c>
      <c r="F22" s="654">
        <v>37.251254941076006</v>
      </c>
      <c r="G22" s="654">
        <v>39.094616184829896</v>
      </c>
      <c r="H22" s="654">
        <v>40.510406719602905</v>
      </c>
      <c r="I22" s="654"/>
      <c r="J22" s="654">
        <v>19.043055504407047</v>
      </c>
      <c r="K22" s="654">
        <v>29.898960613995047</v>
      </c>
      <c r="L22" s="654">
        <v>32.001066055119914</v>
      </c>
      <c r="M22" s="654">
        <v>35.630990404386047</v>
      </c>
      <c r="N22" s="654">
        <v>36.662754699076629</v>
      </c>
      <c r="O22" s="654">
        <v>38.831475804883702</v>
      </c>
      <c r="P22" s="654">
        <v>40.436009501644946</v>
      </c>
      <c r="Q22" s="654"/>
      <c r="R22" s="654">
        <v>6.4109990825008607</v>
      </c>
      <c r="S22" s="654">
        <v>13.700737897271665</v>
      </c>
      <c r="T22" s="654">
        <v>15.032715027012927</v>
      </c>
      <c r="U22" s="654">
        <v>17.461403624635174</v>
      </c>
      <c r="V22" s="654">
        <v>18.072452968565418</v>
      </c>
      <c r="W22" s="654">
        <v>18.929243541409331</v>
      </c>
      <c r="X22" s="654">
        <v>18.883330162789743</v>
      </c>
      <c r="Y22" s="655"/>
      <c r="Z22" s="654">
        <v>1.0820415732400712</v>
      </c>
      <c r="AA22" s="654">
        <v>2.0779250334516006</v>
      </c>
      <c r="AB22" s="654">
        <v>2.2719883692511038</v>
      </c>
      <c r="AC22" s="654">
        <v>2.5343469182941676</v>
      </c>
      <c r="AD22" s="654">
        <v>2.5408075423013865</v>
      </c>
      <c r="AE22" s="654">
        <v>2.5330621408464746</v>
      </c>
      <c r="AF22" s="654">
        <v>2.4446405970616469</v>
      </c>
      <c r="AG22" s="655"/>
      <c r="AH22" s="654">
        <v>2.7188862334272303</v>
      </c>
      <c r="AI22" s="654">
        <v>4.3308104643639167</v>
      </c>
      <c r="AJ22" s="654">
        <v>4.9419069046674746</v>
      </c>
      <c r="AK22" s="654">
        <v>6.3916876553542012</v>
      </c>
      <c r="AL22" s="654">
        <v>7.0921192796605563</v>
      </c>
      <c r="AM22" s="654">
        <v>8.5918030996861781</v>
      </c>
      <c r="AN22" s="654">
        <v>10.07586520291024</v>
      </c>
      <c r="AO22" s="655"/>
      <c r="AP22" s="654">
        <v>2.7941805149258472</v>
      </c>
      <c r="AQ22" s="654">
        <v>4.5504594864671208</v>
      </c>
      <c r="AR22" s="654">
        <v>4.9641034176203958</v>
      </c>
      <c r="AS22" s="654">
        <v>5.3829703652964573</v>
      </c>
      <c r="AT22" s="654">
        <v>5.3790352419139538</v>
      </c>
      <c r="AU22" s="654">
        <v>5.4167534121029659</v>
      </c>
      <c r="AV22" s="654">
        <v>5.454560217483488</v>
      </c>
      <c r="AX22" s="654">
        <v>6.6488681228688211</v>
      </c>
      <c r="AY22" s="654">
        <v>3.2614501055248351</v>
      </c>
      <c r="AZ22" s="654">
        <v>2.2867522180493554</v>
      </c>
      <c r="BA22" s="654">
        <v>0.86053397357094641</v>
      </c>
      <c r="BB22" s="654">
        <v>0.58850024199937701</v>
      </c>
      <c r="BC22" s="654">
        <v>0.26314037994619482</v>
      </c>
      <c r="BD22" s="654">
        <v>7.4397217957961087E-2</v>
      </c>
      <c r="BE22" s="654"/>
      <c r="BF22" s="654">
        <v>0.22768215614821183</v>
      </c>
      <c r="BG22" s="654">
        <v>0.89728224691566072</v>
      </c>
      <c r="BH22" s="654">
        <v>1.101036829644634</v>
      </c>
      <c r="BI22" s="654">
        <v>1.4281031626823184</v>
      </c>
      <c r="BJ22" s="654">
        <v>1.4934939084695387</v>
      </c>
      <c r="BK22" s="654">
        <v>1.7449772956739309</v>
      </c>
      <c r="BL22" s="654">
        <v>2.2688399962088619</v>
      </c>
      <c r="BN22" s="654">
        <v>5.8092659441648253</v>
      </c>
      <c r="BO22" s="654">
        <v>4.3417454855250828</v>
      </c>
      <c r="BP22" s="654">
        <v>3.6893155069233794</v>
      </c>
      <c r="BQ22" s="654">
        <v>2.4324786781237275</v>
      </c>
      <c r="BR22" s="654">
        <v>2.0848457581657764</v>
      </c>
      <c r="BS22" s="654">
        <v>1.6156363151648225</v>
      </c>
      <c r="BT22" s="654">
        <v>1.3087733251909706</v>
      </c>
    </row>
    <row r="23" spans="1:72" s="148" customFormat="1" ht="12">
      <c r="A23" s="653">
        <v>1975</v>
      </c>
      <c r="B23" s="654">
        <v>23.988098432167025</v>
      </c>
      <c r="C23" s="654">
        <v>31.752953294498095</v>
      </c>
      <c r="D23" s="654">
        <v>32.569762753537042</v>
      </c>
      <c r="E23" s="654">
        <v>34.32154021005573</v>
      </c>
      <c r="F23" s="654">
        <v>34.733712061457169</v>
      </c>
      <c r="G23" s="654">
        <v>35.521211133017971</v>
      </c>
      <c r="H23" s="654">
        <v>36.606556379409</v>
      </c>
      <c r="I23" s="654"/>
      <c r="J23" s="654">
        <v>17.648911107491561</v>
      </c>
      <c r="K23" s="654">
        <v>28.55062593560006</v>
      </c>
      <c r="L23" s="654">
        <v>30.291230270701771</v>
      </c>
      <c r="M23" s="654">
        <v>33.471358629429972</v>
      </c>
      <c r="N23" s="654">
        <v>34.14206027458701</v>
      </c>
      <c r="O23" s="654">
        <v>35.272886138324651</v>
      </c>
      <c r="P23" s="654">
        <v>36.532836083383565</v>
      </c>
      <c r="Q23" s="654"/>
      <c r="R23" s="654">
        <v>5.4209198835729566</v>
      </c>
      <c r="S23" s="654">
        <v>12.548921545395689</v>
      </c>
      <c r="T23" s="654">
        <v>13.694461295193616</v>
      </c>
      <c r="U23" s="654">
        <v>15.717772456012485</v>
      </c>
      <c r="V23" s="654">
        <v>16.100386807838944</v>
      </c>
      <c r="W23" s="654">
        <v>16.17855963443758</v>
      </c>
      <c r="X23" s="654">
        <v>16.00057927131207</v>
      </c>
      <c r="Y23" s="655"/>
      <c r="Z23" s="654">
        <v>1.0927628973135337</v>
      </c>
      <c r="AA23" s="654">
        <v>2.1152769825090521</v>
      </c>
      <c r="AB23" s="654">
        <v>2.3134850761080861</v>
      </c>
      <c r="AC23" s="654">
        <v>2.5882591070705057</v>
      </c>
      <c r="AD23" s="654">
        <v>2.5820983668642046</v>
      </c>
      <c r="AE23" s="654">
        <v>2.5020544898939479</v>
      </c>
      <c r="AF23" s="654">
        <v>2.3366371420592764</v>
      </c>
      <c r="AG23" s="655"/>
      <c r="AH23" s="654">
        <v>2.3708967458517858</v>
      </c>
      <c r="AI23" s="654">
        <v>4.0709355357296344</v>
      </c>
      <c r="AJ23" s="654">
        <v>4.6401735643905155</v>
      </c>
      <c r="AK23" s="654">
        <v>6.1892328624782484</v>
      </c>
      <c r="AL23" s="654">
        <v>6.7552492808278002</v>
      </c>
      <c r="AM23" s="654">
        <v>8.1429301978937669</v>
      </c>
      <c r="AN23" s="654">
        <v>9.4910819833227684</v>
      </c>
      <c r="AO23" s="655"/>
      <c r="AP23" s="654">
        <v>2.7729153217394122</v>
      </c>
      <c r="AQ23" s="654">
        <v>4.6079157529514738</v>
      </c>
      <c r="AR23" s="654">
        <v>4.9272209101661977</v>
      </c>
      <c r="AS23" s="654">
        <v>5.2076283203161777</v>
      </c>
      <c r="AT23" s="654">
        <v>5.2019803249849002</v>
      </c>
      <c r="AU23" s="654">
        <v>5.2443270151362755</v>
      </c>
      <c r="AV23" s="654">
        <v>5.321439257728005</v>
      </c>
      <c r="AX23" s="654">
        <v>6.3391873246754633</v>
      </c>
      <c r="AY23" s="654">
        <v>3.2023273588980334</v>
      </c>
      <c r="AZ23" s="654">
        <v>2.2785324828352733</v>
      </c>
      <c r="BA23" s="654">
        <v>0.85018158062575344</v>
      </c>
      <c r="BB23" s="654">
        <v>0.59165178687015707</v>
      </c>
      <c r="BC23" s="654">
        <v>0.24832499469331801</v>
      </c>
      <c r="BD23" s="654">
        <v>7.3720296025432203E-2</v>
      </c>
      <c r="BE23" s="654"/>
      <c r="BF23" s="654">
        <v>0.21160515195456225</v>
      </c>
      <c r="BG23" s="654">
        <v>0.85387068698725421</v>
      </c>
      <c r="BH23" s="654">
        <v>1.0426276636980762</v>
      </c>
      <c r="BI23" s="654">
        <v>1.3587349042924544</v>
      </c>
      <c r="BJ23" s="654">
        <v>1.4261823615510545</v>
      </c>
      <c r="BK23" s="654">
        <v>1.6369730330084376</v>
      </c>
      <c r="BL23" s="654">
        <v>2.115285693269779</v>
      </c>
      <c r="BN23" s="654">
        <v>5.7798111070593086</v>
      </c>
      <c r="BO23" s="654">
        <v>4.3537054320269561</v>
      </c>
      <c r="BP23" s="654">
        <v>3.6732617611452754</v>
      </c>
      <c r="BQ23" s="654">
        <v>2.4097309792601012</v>
      </c>
      <c r="BR23" s="654">
        <v>2.0761631325201031</v>
      </c>
      <c r="BS23" s="654">
        <v>1.5680417679546386</v>
      </c>
      <c r="BT23" s="654">
        <v>1.2678127356916733</v>
      </c>
    </row>
    <row r="24" spans="1:72" s="148" customFormat="1" ht="12">
      <c r="A24" s="653">
        <v>1976</v>
      </c>
      <c r="B24" s="654">
        <v>24.45295133560623</v>
      </c>
      <c r="C24" s="654">
        <v>33.286733934188476</v>
      </c>
      <c r="D24" s="654">
        <v>34.342526337601747</v>
      </c>
      <c r="E24" s="654">
        <v>36.320248672547322</v>
      </c>
      <c r="F24" s="654">
        <v>37.028703292622524</v>
      </c>
      <c r="G24" s="654">
        <v>38.537455034203546</v>
      </c>
      <c r="H24" s="654">
        <v>39.876460924493017</v>
      </c>
      <c r="I24" s="654"/>
      <c r="J24" s="654">
        <v>18.007331874423308</v>
      </c>
      <c r="K24" s="654">
        <v>29.908272841177926</v>
      </c>
      <c r="L24" s="654">
        <v>31.969295941005104</v>
      </c>
      <c r="M24" s="654">
        <v>35.449424788126727</v>
      </c>
      <c r="N24" s="654">
        <v>36.437790081294835</v>
      </c>
      <c r="O24" s="654">
        <v>38.29718181194513</v>
      </c>
      <c r="P24" s="654">
        <v>39.826650026264709</v>
      </c>
      <c r="Q24" s="654"/>
      <c r="R24" s="654">
        <v>5.656191412351868</v>
      </c>
      <c r="S24" s="654">
        <v>13.346599246411058</v>
      </c>
      <c r="T24" s="654">
        <v>14.647981270951133</v>
      </c>
      <c r="U24" s="654">
        <v>16.72583717922868</v>
      </c>
      <c r="V24" s="654">
        <v>17.235590972238139</v>
      </c>
      <c r="W24" s="654">
        <v>17.629683107956652</v>
      </c>
      <c r="X24" s="654">
        <v>17.563454052566989</v>
      </c>
      <c r="Y24" s="655"/>
      <c r="Z24" s="654">
        <v>1.155953076406929</v>
      </c>
      <c r="AA24" s="654">
        <v>2.2119254304178799</v>
      </c>
      <c r="AB24" s="654">
        <v>2.3868187029944989</v>
      </c>
      <c r="AC24" s="654">
        <v>2.6040733150368096</v>
      </c>
      <c r="AD24" s="654">
        <v>2.6132546785015127</v>
      </c>
      <c r="AE24" s="654">
        <v>2.5847075958986379</v>
      </c>
      <c r="AF24" s="654">
        <v>2.484085698923693</v>
      </c>
      <c r="AG24" s="655"/>
      <c r="AH24" s="654">
        <v>2.6828486611482383</v>
      </c>
      <c r="AI24" s="654">
        <v>4.8439201765477824</v>
      </c>
      <c r="AJ24" s="654">
        <v>5.6007755265209926</v>
      </c>
      <c r="AK24" s="654">
        <v>7.3794432088467614</v>
      </c>
      <c r="AL24" s="654">
        <v>8.0815052656979081</v>
      </c>
      <c r="AM24" s="654">
        <v>9.7150584708460528</v>
      </c>
      <c r="AN24" s="654">
        <v>11.096284840940752</v>
      </c>
      <c r="AO24" s="655"/>
      <c r="AP24" s="654">
        <v>2.7539606670382333</v>
      </c>
      <c r="AQ24" s="654">
        <v>4.4511119677519222</v>
      </c>
      <c r="AR24" s="654">
        <v>4.7600847589351272</v>
      </c>
      <c r="AS24" s="654">
        <v>5.1178847889812333</v>
      </c>
      <c r="AT24" s="654">
        <v>5.1597559962828514</v>
      </c>
      <c r="AU24" s="654">
        <v>5.2946753398004773</v>
      </c>
      <c r="AV24" s="654">
        <v>5.4748628370767891</v>
      </c>
      <c r="AX24" s="654">
        <v>6.4456194611829183</v>
      </c>
      <c r="AY24" s="654">
        <v>3.3784610930105483</v>
      </c>
      <c r="AZ24" s="654">
        <v>2.3732303965966515</v>
      </c>
      <c r="BA24" s="654">
        <v>0.87082388442059744</v>
      </c>
      <c r="BB24" s="654">
        <v>0.59091321132768493</v>
      </c>
      <c r="BC24" s="654">
        <v>0.24027322225841694</v>
      </c>
      <c r="BD24" s="654">
        <v>4.9810898228305249E-2</v>
      </c>
      <c r="BE24" s="654"/>
      <c r="BF24" s="654">
        <v>0.21479361748025444</v>
      </c>
      <c r="BG24" s="654">
        <v>0.85832583995637313</v>
      </c>
      <c r="BH24" s="654">
        <v>1.0509056569510895</v>
      </c>
      <c r="BI24" s="654">
        <v>1.3504578276504413</v>
      </c>
      <c r="BJ24" s="654">
        <v>1.416464622765798</v>
      </c>
      <c r="BK24" s="654">
        <v>1.6424627595524068</v>
      </c>
      <c r="BL24" s="654">
        <v>2.0730489240562067</v>
      </c>
      <c r="BN24" s="654">
        <v>5.5435844399977858</v>
      </c>
      <c r="BO24" s="654">
        <v>4.196390180092914</v>
      </c>
      <c r="BP24" s="654">
        <v>3.5227300246522604</v>
      </c>
      <c r="BQ24" s="654">
        <v>2.2717284683827952</v>
      </c>
      <c r="BR24" s="654">
        <v>1.9312185458086191</v>
      </c>
      <c r="BS24" s="654">
        <v>1.4305945378908989</v>
      </c>
      <c r="BT24" s="654">
        <v>1.1349136727002704</v>
      </c>
    </row>
    <row r="25" spans="1:72" s="148" customFormat="1" ht="12">
      <c r="A25" s="653">
        <v>1977</v>
      </c>
      <c r="B25" s="654">
        <v>24.828066094350813</v>
      </c>
      <c r="C25" s="654">
        <v>33.288778110661511</v>
      </c>
      <c r="D25" s="654">
        <v>34.172346785595025</v>
      </c>
      <c r="E25" s="654">
        <v>35.351543103741392</v>
      </c>
      <c r="F25" s="654">
        <v>35.645068205635177</v>
      </c>
      <c r="G25" s="654">
        <v>36.823197285296828</v>
      </c>
      <c r="H25" s="654">
        <v>37.934094198924996</v>
      </c>
      <c r="I25" s="654"/>
      <c r="J25" s="654">
        <v>18.323724114164079</v>
      </c>
      <c r="K25" s="654">
        <v>29.927845775757092</v>
      </c>
      <c r="L25" s="654">
        <v>31.802480877022184</v>
      </c>
      <c r="M25" s="654">
        <v>34.479220733480417</v>
      </c>
      <c r="N25" s="654">
        <v>35.046452833745249</v>
      </c>
      <c r="O25" s="654">
        <v>36.567607882404936</v>
      </c>
      <c r="P25" s="654">
        <v>37.860328175338765</v>
      </c>
      <c r="Q25" s="654"/>
      <c r="R25" s="654">
        <v>5.8669812814354261</v>
      </c>
      <c r="S25" s="654">
        <v>13.792749996883158</v>
      </c>
      <c r="T25" s="654">
        <v>15.067893596126112</v>
      </c>
      <c r="U25" s="654">
        <v>16.922551037021623</v>
      </c>
      <c r="V25" s="654">
        <v>17.229546928151652</v>
      </c>
      <c r="W25" s="654">
        <v>17.697911247961372</v>
      </c>
      <c r="X25" s="654">
        <v>17.751413354181253</v>
      </c>
      <c r="Y25" s="655"/>
      <c r="Z25" s="654">
        <v>1.2250091556336009</v>
      </c>
      <c r="AA25" s="654">
        <v>2.2646360909714476</v>
      </c>
      <c r="AB25" s="654">
        <v>2.4662031776370701</v>
      </c>
      <c r="AC25" s="654">
        <v>2.6240020175762711</v>
      </c>
      <c r="AD25" s="654">
        <v>2.6208146345102241</v>
      </c>
      <c r="AE25" s="654">
        <v>2.602699741706302</v>
      </c>
      <c r="AF25" s="654">
        <v>2.4895690419359564</v>
      </c>
      <c r="AG25" s="655"/>
      <c r="AH25" s="654">
        <v>2.9120597292550698</v>
      </c>
      <c r="AI25" s="654">
        <v>4.7438997064801836</v>
      </c>
      <c r="AJ25" s="654">
        <v>5.3553913834974569</v>
      </c>
      <c r="AK25" s="654">
        <v>6.8259943601410855</v>
      </c>
      <c r="AL25" s="654">
        <v>7.3963918397833099</v>
      </c>
      <c r="AM25" s="654">
        <v>8.7491281321446674</v>
      </c>
      <c r="AN25" s="654">
        <v>9.9760306053746852</v>
      </c>
      <c r="AO25" s="655"/>
      <c r="AP25" s="654">
        <v>2.7248686578349708</v>
      </c>
      <c r="AQ25" s="654">
        <v>4.2844154995181736</v>
      </c>
      <c r="AR25" s="654">
        <v>4.4899654987763533</v>
      </c>
      <c r="AS25" s="654">
        <v>4.5154800871533638</v>
      </c>
      <c r="AT25" s="654">
        <v>4.4498253981927594</v>
      </c>
      <c r="AU25" s="654">
        <v>4.3534669109785664</v>
      </c>
      <c r="AV25" s="654">
        <v>4.2917883284314451</v>
      </c>
      <c r="AX25" s="654">
        <v>6.5043419801867328</v>
      </c>
      <c r="AY25" s="654">
        <v>3.3609323349044198</v>
      </c>
      <c r="AZ25" s="654">
        <v>2.3698659085728453</v>
      </c>
      <c r="BA25" s="654">
        <v>0.87232237026097292</v>
      </c>
      <c r="BB25" s="654">
        <v>0.59861537188992853</v>
      </c>
      <c r="BC25" s="654">
        <v>0.25558940289189502</v>
      </c>
      <c r="BD25" s="654">
        <v>7.3766023586235269E-2</v>
      </c>
      <c r="BE25" s="654"/>
      <c r="BF25" s="654">
        <v>0.24949456823298924</v>
      </c>
      <c r="BG25" s="654">
        <v>0.99112390830434216</v>
      </c>
      <c r="BH25" s="654">
        <v>1.2062366616957796</v>
      </c>
      <c r="BI25" s="654">
        <v>1.527023459467616</v>
      </c>
      <c r="BJ25" s="654">
        <v>1.5930132869012619</v>
      </c>
      <c r="BK25" s="654">
        <v>1.8355088463083153</v>
      </c>
      <c r="BL25" s="654">
        <v>2.3042438478963057</v>
      </c>
      <c r="BN25" s="654">
        <v>5.3453107217720222</v>
      </c>
      <c r="BO25" s="654">
        <v>3.851020573599786</v>
      </c>
      <c r="BP25" s="654">
        <v>3.2167905592894135</v>
      </c>
      <c r="BQ25" s="654">
        <v>2.064169772120461</v>
      </c>
      <c r="BR25" s="654">
        <v>1.7568607462060455</v>
      </c>
      <c r="BS25" s="654">
        <v>1.3288930033057103</v>
      </c>
      <c r="BT25" s="654">
        <v>1.0472829975191142</v>
      </c>
    </row>
    <row r="26" spans="1:72" s="148" customFormat="1" ht="12">
      <c r="A26" s="653">
        <v>1978</v>
      </c>
      <c r="B26" s="654">
        <v>25.130047692531633</v>
      </c>
      <c r="C26" s="654">
        <v>32.816874939148484</v>
      </c>
      <c r="D26" s="654">
        <v>33.495674428766328</v>
      </c>
      <c r="E26" s="654">
        <v>34.39657488314586</v>
      </c>
      <c r="F26" s="654">
        <v>34.646729230403672</v>
      </c>
      <c r="G26" s="654">
        <v>35.122674439920651</v>
      </c>
      <c r="H26" s="654">
        <v>35.575397437924885</v>
      </c>
      <c r="I26" s="654"/>
      <c r="J26" s="654">
        <v>18.402336916905018</v>
      </c>
      <c r="K26" s="654">
        <v>29.333934892330721</v>
      </c>
      <c r="L26" s="654">
        <v>31.018046918421856</v>
      </c>
      <c r="M26" s="654">
        <v>33.463202790810335</v>
      </c>
      <c r="N26" s="654">
        <v>34.012664751164245</v>
      </c>
      <c r="O26" s="654">
        <v>34.860569129728013</v>
      </c>
      <c r="P26" s="654">
        <v>35.499030973012808</v>
      </c>
      <c r="Q26" s="654"/>
      <c r="R26" s="654">
        <v>6.1957522348510921</v>
      </c>
      <c r="S26" s="654">
        <v>14.068214300300275</v>
      </c>
      <c r="T26" s="654">
        <v>15.335176589573452</v>
      </c>
      <c r="U26" s="654">
        <v>17.092870011683292</v>
      </c>
      <c r="V26" s="654">
        <v>17.382731601624009</v>
      </c>
      <c r="W26" s="654">
        <v>17.386763451090349</v>
      </c>
      <c r="X26" s="654">
        <v>16.790173097356011</v>
      </c>
      <c r="Y26" s="655"/>
      <c r="Z26" s="654">
        <v>1.2553793453640836</v>
      </c>
      <c r="AA26" s="654">
        <v>2.3199905950588144</v>
      </c>
      <c r="AB26" s="654">
        <v>2.4870559148973008</v>
      </c>
      <c r="AC26" s="654">
        <v>2.6735125386787422</v>
      </c>
      <c r="AD26" s="654">
        <v>2.6791313853997325</v>
      </c>
      <c r="AE26" s="654">
        <v>2.6668821102172533</v>
      </c>
      <c r="AF26" s="654">
        <v>2.7008026556521338</v>
      </c>
      <c r="AG26" s="655"/>
      <c r="AH26" s="654">
        <v>3.0044574032055626</v>
      </c>
      <c r="AI26" s="654">
        <v>4.656858646481699</v>
      </c>
      <c r="AJ26" s="654">
        <v>5.1791114897922137</v>
      </c>
      <c r="AK26" s="654">
        <v>6.5455121544143902</v>
      </c>
      <c r="AL26" s="654">
        <v>7.0958622268666431</v>
      </c>
      <c r="AM26" s="654">
        <v>8.3031671169294796</v>
      </c>
      <c r="AN26" s="654">
        <v>9.4098494403974851</v>
      </c>
      <c r="AO26" s="655"/>
      <c r="AP26" s="654">
        <v>2.4972603383801113</v>
      </c>
      <c r="AQ26" s="654">
        <v>3.7239630503084342</v>
      </c>
      <c r="AR26" s="654">
        <v>3.9139816933998643</v>
      </c>
      <c r="AS26" s="654">
        <v>3.9810352418985091</v>
      </c>
      <c r="AT26" s="654">
        <v>3.9448258090482033</v>
      </c>
      <c r="AU26" s="654">
        <v>3.871705864885131</v>
      </c>
      <c r="AV26" s="654">
        <v>3.8775541671919851</v>
      </c>
      <c r="AX26" s="654">
        <v>6.7277107756266137</v>
      </c>
      <c r="AY26" s="654">
        <v>3.4829400468177618</v>
      </c>
      <c r="AZ26" s="654">
        <v>2.4776275103444712</v>
      </c>
      <c r="BA26" s="654">
        <v>0.93337209233551965</v>
      </c>
      <c r="BB26" s="654">
        <v>0.63406447923942777</v>
      </c>
      <c r="BC26" s="654">
        <v>0.26210531019263872</v>
      </c>
      <c r="BD26" s="654">
        <v>7.6366464912077922E-2</v>
      </c>
      <c r="BE26" s="654"/>
      <c r="BF26" s="654">
        <v>0.17308590787086572</v>
      </c>
      <c r="BG26" s="654">
        <v>0.68100495770139557</v>
      </c>
      <c r="BH26" s="654">
        <v>0.83295705448178603</v>
      </c>
      <c r="BI26" s="654">
        <v>1.0587064312125363</v>
      </c>
      <c r="BJ26" s="654">
        <v>1.1005908923619327</v>
      </c>
      <c r="BK26" s="654">
        <v>1.2489417908766098</v>
      </c>
      <c r="BL26" s="654">
        <v>1.5647333023889523</v>
      </c>
      <c r="BN26" s="654">
        <v>5.2764016872333004</v>
      </c>
      <c r="BO26" s="654">
        <v>3.883903342480103</v>
      </c>
      <c r="BP26" s="654">
        <v>3.2697641762772367</v>
      </c>
      <c r="BQ26" s="654">
        <v>2.1115664129228664</v>
      </c>
      <c r="BR26" s="654">
        <v>1.8095228358637212</v>
      </c>
      <c r="BS26" s="654">
        <v>1.3831087957291948</v>
      </c>
      <c r="BT26" s="654">
        <v>1.1559183100262347</v>
      </c>
    </row>
    <row r="27" spans="1:72" s="148" customFormat="1" ht="12">
      <c r="A27" s="653">
        <v>1979</v>
      </c>
      <c r="B27" s="654">
        <v>25.287615300708381</v>
      </c>
      <c r="C27" s="654">
        <v>33.656233573194662</v>
      </c>
      <c r="D27" s="654">
        <v>34.472477207841919</v>
      </c>
      <c r="E27" s="654">
        <v>36.153666991007135</v>
      </c>
      <c r="F27" s="654">
        <v>36.659825268114759</v>
      </c>
      <c r="G27" s="654">
        <v>38.089000733169165</v>
      </c>
      <c r="H27" s="654">
        <v>40.26256276050507</v>
      </c>
      <c r="I27" s="654"/>
      <c r="J27" s="654">
        <v>18.298356184539784</v>
      </c>
      <c r="K27" s="654">
        <v>29.815250860720038</v>
      </c>
      <c r="L27" s="654">
        <v>31.726013222985006</v>
      </c>
      <c r="M27" s="654">
        <v>35.100597924521281</v>
      </c>
      <c r="N27" s="654">
        <v>35.947790589963162</v>
      </c>
      <c r="O27" s="654">
        <v>37.795841583469873</v>
      </c>
      <c r="P27" s="654">
        <v>40.179471005288612</v>
      </c>
      <c r="Q27" s="654"/>
      <c r="R27" s="654">
        <v>6.5590014448160483</v>
      </c>
      <c r="S27" s="654">
        <v>15.247330028171181</v>
      </c>
      <c r="T27" s="654">
        <v>16.725904721718042</v>
      </c>
      <c r="U27" s="654">
        <v>19.351102927035178</v>
      </c>
      <c r="V27" s="654">
        <v>19.942467705029504</v>
      </c>
      <c r="W27" s="654">
        <v>20.873278514292661</v>
      </c>
      <c r="X27" s="654">
        <v>21.872710374544216</v>
      </c>
      <c r="Y27" s="655"/>
      <c r="Z27" s="654">
        <v>1.2227597714912193</v>
      </c>
      <c r="AA27" s="654">
        <v>2.3221051139913778</v>
      </c>
      <c r="AB27" s="654">
        <v>2.502724601477238</v>
      </c>
      <c r="AC27" s="654">
        <v>2.6685486910889962</v>
      </c>
      <c r="AD27" s="654">
        <v>2.6780141857728328</v>
      </c>
      <c r="AE27" s="654">
        <v>2.7370837761813167</v>
      </c>
      <c r="AF27" s="654">
        <v>2.8955739719483167</v>
      </c>
      <c r="AG27" s="655"/>
      <c r="AH27" s="654">
        <v>2.7967955196264827</v>
      </c>
      <c r="AI27" s="654">
        <v>4.3923144909415299</v>
      </c>
      <c r="AJ27" s="654">
        <v>4.9466471099698586</v>
      </c>
      <c r="AK27" s="654">
        <v>6.3724327661925662</v>
      </c>
      <c r="AL27" s="654">
        <v>6.9383525573679332</v>
      </c>
      <c r="AM27" s="654">
        <v>8.1865232140026709</v>
      </c>
      <c r="AN27" s="654">
        <v>9.3998113760438038</v>
      </c>
      <c r="AO27" s="655"/>
      <c r="AP27" s="654">
        <v>2.2726622471292051</v>
      </c>
      <c r="AQ27" s="654">
        <v>3.40333570157429</v>
      </c>
      <c r="AR27" s="654">
        <v>3.5625910527069835</v>
      </c>
      <c r="AS27" s="654">
        <v>3.596617527979677</v>
      </c>
      <c r="AT27" s="654">
        <v>3.5503319506519588</v>
      </c>
      <c r="AU27" s="654">
        <v>3.4662661200664546</v>
      </c>
      <c r="AV27" s="654">
        <v>3.4516598871213424</v>
      </c>
      <c r="AX27" s="654">
        <v>6.9892591161685962</v>
      </c>
      <c r="AY27" s="654">
        <v>3.8409827124746276</v>
      </c>
      <c r="AZ27" s="654">
        <v>2.7464639848569119</v>
      </c>
      <c r="BA27" s="654">
        <v>1.0530690664858531</v>
      </c>
      <c r="BB27" s="654">
        <v>0.71203467815159649</v>
      </c>
      <c r="BC27" s="654">
        <v>0.29315914969929457</v>
      </c>
      <c r="BD27" s="654">
        <v>8.3091755216461047E-2</v>
      </c>
      <c r="BE27" s="654"/>
      <c r="BF27" s="654">
        <v>0.16345707484746466</v>
      </c>
      <c r="BG27" s="654">
        <v>0.64562168754847338</v>
      </c>
      <c r="BH27" s="654">
        <v>0.78855627834254738</v>
      </c>
      <c r="BI27" s="654">
        <v>1.0203946560054498</v>
      </c>
      <c r="BJ27" s="654">
        <v>1.0582319075474502</v>
      </c>
      <c r="BK27" s="654">
        <v>1.1861900624726383</v>
      </c>
      <c r="BL27" s="654">
        <v>1.4980757385583163</v>
      </c>
      <c r="BN27" s="654">
        <v>5.2836801266293651</v>
      </c>
      <c r="BO27" s="654">
        <v>3.8045438384931884</v>
      </c>
      <c r="BP27" s="654">
        <v>3.1995894587703364</v>
      </c>
      <c r="BQ27" s="654">
        <v>2.0915013562194105</v>
      </c>
      <c r="BR27" s="654">
        <v>1.7803922835934758</v>
      </c>
      <c r="BS27" s="654">
        <v>1.3464998964541266</v>
      </c>
      <c r="BT27" s="654">
        <v>1.0616396570726165</v>
      </c>
    </row>
    <row r="28" spans="1:72" s="148" customFormat="1" ht="12">
      <c r="A28" s="653">
        <v>1980</v>
      </c>
      <c r="B28" s="654">
        <v>24.976743013723798</v>
      </c>
      <c r="C28" s="654">
        <v>34.181636486113035</v>
      </c>
      <c r="D28" s="654">
        <v>35.141613467771869</v>
      </c>
      <c r="E28" s="654">
        <v>37.194888124762194</v>
      </c>
      <c r="F28" s="654">
        <v>37.773747107734472</v>
      </c>
      <c r="G28" s="654">
        <v>39.243943956722291</v>
      </c>
      <c r="H28" s="654">
        <v>41.091614116960152</v>
      </c>
      <c r="I28" s="654"/>
      <c r="J28" s="654">
        <v>18.109242996062466</v>
      </c>
      <c r="K28" s="654">
        <v>30.09658553131656</v>
      </c>
      <c r="L28" s="654">
        <v>32.153062420044947</v>
      </c>
      <c r="M28" s="654">
        <v>36.033533349390751</v>
      </c>
      <c r="N28" s="654">
        <v>36.981779424439139</v>
      </c>
      <c r="O28" s="654">
        <v>38.904019676870533</v>
      </c>
      <c r="P28" s="654">
        <v>40.993220370134289</v>
      </c>
      <c r="Q28" s="654"/>
      <c r="R28" s="654">
        <v>6.7018719504798918</v>
      </c>
      <c r="S28" s="654">
        <v>15.650176866654956</v>
      </c>
      <c r="T28" s="654">
        <v>17.159400847677801</v>
      </c>
      <c r="U28" s="654">
        <v>19.999652680173043</v>
      </c>
      <c r="V28" s="654">
        <v>20.644672416832563</v>
      </c>
      <c r="W28" s="654">
        <v>21.516445163208346</v>
      </c>
      <c r="X28" s="654">
        <v>21.931187736162212</v>
      </c>
      <c r="Y28" s="655"/>
      <c r="Z28" s="654">
        <v>1.2214150589113588</v>
      </c>
      <c r="AA28" s="654">
        <v>2.4501354333520493</v>
      </c>
      <c r="AB28" s="654">
        <v>2.6743785604089427</v>
      </c>
      <c r="AC28" s="654">
        <v>2.9267072806658034</v>
      </c>
      <c r="AD28" s="654">
        <v>2.9396921027894205</v>
      </c>
      <c r="AE28" s="654">
        <v>3.0549130718750388</v>
      </c>
      <c r="AF28" s="654">
        <v>3.1873763546962626</v>
      </c>
      <c r="AG28" s="655"/>
      <c r="AH28" s="654">
        <v>2.346306436948256</v>
      </c>
      <c r="AI28" s="654">
        <v>3.9016381579097406</v>
      </c>
      <c r="AJ28" s="654">
        <v>4.4551640738165341</v>
      </c>
      <c r="AK28" s="654">
        <v>5.8714797310779812</v>
      </c>
      <c r="AL28" s="654">
        <v>6.4064450592317019</v>
      </c>
      <c r="AM28" s="654">
        <v>7.5590634874746492</v>
      </c>
      <c r="AN28" s="654">
        <v>8.8748023665888791</v>
      </c>
      <c r="AO28" s="655"/>
      <c r="AP28" s="654">
        <v>2.2222385053041989</v>
      </c>
      <c r="AQ28" s="654">
        <v>3.3566378570432183</v>
      </c>
      <c r="AR28" s="654">
        <v>3.5674598044229495</v>
      </c>
      <c r="AS28" s="654">
        <v>3.7546875799724209</v>
      </c>
      <c r="AT28" s="654">
        <v>3.7575185285929793</v>
      </c>
      <c r="AU28" s="654">
        <v>3.7934324514487923</v>
      </c>
      <c r="AV28" s="654">
        <v>3.8811938785823847</v>
      </c>
      <c r="AX28" s="654">
        <v>6.8675000176613352</v>
      </c>
      <c r="AY28" s="654">
        <v>4.0850509547964844</v>
      </c>
      <c r="AZ28" s="654">
        <v>2.9885510477269177</v>
      </c>
      <c r="BA28" s="654">
        <v>1.161354775371443</v>
      </c>
      <c r="BB28" s="654">
        <v>0.79196768329533296</v>
      </c>
      <c r="BC28" s="654">
        <v>0.33992427985176021</v>
      </c>
      <c r="BD28" s="654">
        <v>9.8393746825863673E-2</v>
      </c>
      <c r="BE28" s="654"/>
      <c r="BF28" s="654">
        <v>0.17141066559310603</v>
      </c>
      <c r="BG28" s="654">
        <v>0.69954246747903648</v>
      </c>
      <c r="BH28" s="654">
        <v>0.85965785144009632</v>
      </c>
      <c r="BI28" s="654">
        <v>1.151789229135771</v>
      </c>
      <c r="BJ28" s="654">
        <v>1.2059210062071277</v>
      </c>
      <c r="BK28" s="654">
        <v>1.3745179923511768</v>
      </c>
      <c r="BL28" s="654">
        <v>1.7584022548422815</v>
      </c>
      <c r="BN28" s="654">
        <v>5.4460003788256532</v>
      </c>
      <c r="BO28" s="654">
        <v>4.0384547488775571</v>
      </c>
      <c r="BP28" s="654">
        <v>3.4370012822786262</v>
      </c>
      <c r="BQ28" s="654">
        <v>2.329216848365733</v>
      </c>
      <c r="BR28" s="654">
        <v>2.0275303107853442</v>
      </c>
      <c r="BS28" s="654">
        <v>1.6056475105125285</v>
      </c>
      <c r="BT28" s="654">
        <v>1.3602577792622714</v>
      </c>
    </row>
    <row r="29" spans="1:72" s="148" customFormat="1" ht="12">
      <c r="A29" s="653">
        <v>1981</v>
      </c>
      <c r="B29" s="654">
        <v>25.688711115901967</v>
      </c>
      <c r="C29" s="654">
        <v>34.186944680622993</v>
      </c>
      <c r="D29" s="654">
        <v>34.656111027996467</v>
      </c>
      <c r="E29" s="654">
        <v>35.922526693149109</v>
      </c>
      <c r="F29" s="654">
        <v>36.286881990689359</v>
      </c>
      <c r="G29" s="654">
        <v>37.235208137425616</v>
      </c>
      <c r="H29" s="654">
        <v>38.564974206838315</v>
      </c>
      <c r="I29" s="654"/>
      <c r="J29" s="654">
        <v>18.555098415877914</v>
      </c>
      <c r="K29" s="654">
        <v>29.772591694776239</v>
      </c>
      <c r="L29" s="654">
        <v>31.405455131795879</v>
      </c>
      <c r="M29" s="654">
        <v>34.590169957599635</v>
      </c>
      <c r="N29" s="654">
        <v>35.368530979832052</v>
      </c>
      <c r="O29" s="654">
        <v>36.842066514475889</v>
      </c>
      <c r="P29" s="654">
        <v>38.451891577690091</v>
      </c>
      <c r="Q29" s="654"/>
      <c r="R29" s="654">
        <v>7.0862930884119937</v>
      </c>
      <c r="S29" s="654">
        <v>15.857472802144439</v>
      </c>
      <c r="T29" s="654">
        <v>17.209879370519317</v>
      </c>
      <c r="U29" s="654">
        <v>19.864845166632801</v>
      </c>
      <c r="V29" s="654">
        <v>20.510469077096349</v>
      </c>
      <c r="W29" s="654">
        <v>21.333485633666871</v>
      </c>
      <c r="X29" s="654">
        <v>21.518642484434146</v>
      </c>
      <c r="Y29" s="655"/>
      <c r="Z29" s="654">
        <v>1.2237620087703851</v>
      </c>
      <c r="AA29" s="654">
        <v>2.4614132052890119</v>
      </c>
      <c r="AB29" s="654">
        <v>2.6834244608046447</v>
      </c>
      <c r="AC29" s="654">
        <v>3.0345860187267806</v>
      </c>
      <c r="AD29" s="654">
        <v>3.1144106290842104</v>
      </c>
      <c r="AE29" s="654">
        <v>3.2858399133294927</v>
      </c>
      <c r="AF29" s="654">
        <v>3.4957749755454661</v>
      </c>
      <c r="AG29" s="655"/>
      <c r="AH29" s="654">
        <v>2.0255758532537955</v>
      </c>
      <c r="AI29" s="654">
        <v>3.0514221183851968</v>
      </c>
      <c r="AJ29" s="654">
        <v>3.3882862510151761</v>
      </c>
      <c r="AK29" s="654">
        <v>4.2666458212421636</v>
      </c>
      <c r="AL29" s="654">
        <v>4.6067645878826466</v>
      </c>
      <c r="AM29" s="654">
        <v>5.3872107939110858</v>
      </c>
      <c r="AN29" s="654">
        <v>6.3385578610716848</v>
      </c>
      <c r="AO29" s="655"/>
      <c r="AP29" s="654">
        <v>2.223427503243709</v>
      </c>
      <c r="AQ29" s="654">
        <v>3.3377405142353997</v>
      </c>
      <c r="AR29" s="654">
        <v>3.5260096156175242</v>
      </c>
      <c r="AS29" s="654">
        <v>3.6739239644007284</v>
      </c>
      <c r="AT29" s="654">
        <v>3.6412006204053355</v>
      </c>
      <c r="AU29" s="654">
        <v>3.5906605660003552</v>
      </c>
      <c r="AV29" s="654">
        <v>3.6709490252346795</v>
      </c>
      <c r="AX29" s="654">
        <v>7.1336127000240506</v>
      </c>
      <c r="AY29" s="654">
        <v>4.4143529858467536</v>
      </c>
      <c r="AZ29" s="654">
        <v>3.2506558962005965</v>
      </c>
      <c r="BA29" s="654">
        <v>1.332356735549477</v>
      </c>
      <c r="BB29" s="654">
        <v>0.91835101085730397</v>
      </c>
      <c r="BC29" s="654">
        <v>0.39314162294972466</v>
      </c>
      <c r="BD29" s="654">
        <v>0.11308262914822151</v>
      </c>
      <c r="BE29" s="654"/>
      <c r="BF29" s="654">
        <v>0.16124586747437475</v>
      </c>
      <c r="BG29" s="654">
        <v>0.65983748445745527</v>
      </c>
      <c r="BH29" s="654">
        <v>0.81562387028057037</v>
      </c>
      <c r="BI29" s="654">
        <v>1.1215408056316021</v>
      </c>
      <c r="BJ29" s="654">
        <v>1.1853243779820788</v>
      </c>
      <c r="BK29" s="654">
        <v>1.3457226125529247</v>
      </c>
      <c r="BL29" s="654">
        <v>1.7312442588614481</v>
      </c>
      <c r="BN29" s="654">
        <v>5.8347940947236587</v>
      </c>
      <c r="BO29" s="654">
        <v>4.4047055702647331</v>
      </c>
      <c r="BP29" s="654">
        <v>3.782231563558641</v>
      </c>
      <c r="BQ29" s="654">
        <v>2.6286281809655567</v>
      </c>
      <c r="BR29" s="654">
        <v>2.3103616873814334</v>
      </c>
      <c r="BS29" s="654">
        <v>1.8991469950151594</v>
      </c>
      <c r="BT29" s="654">
        <v>1.6967229725426647</v>
      </c>
    </row>
    <row r="30" spans="1:72" s="148" customFormat="1" ht="12">
      <c r="A30" s="653">
        <v>1982</v>
      </c>
      <c r="B30" s="654">
        <v>24.405013143600041</v>
      </c>
      <c r="C30" s="654">
        <v>33.41819853532693</v>
      </c>
      <c r="D30" s="654">
        <v>34.056646126787776</v>
      </c>
      <c r="E30" s="654">
        <v>35.869362928493651</v>
      </c>
      <c r="F30" s="654">
        <v>36.392071870007584</v>
      </c>
      <c r="G30" s="654">
        <v>37.943102784179047</v>
      </c>
      <c r="H30" s="654">
        <v>39.440657813402559</v>
      </c>
      <c r="I30" s="654"/>
      <c r="J30" s="654">
        <v>17.258480880218766</v>
      </c>
      <c r="K30" s="654">
        <v>28.644717791309755</v>
      </c>
      <c r="L30" s="654">
        <v>30.52544749539182</v>
      </c>
      <c r="M30" s="654">
        <v>34.413170680641876</v>
      </c>
      <c r="N30" s="654">
        <v>35.39825403213316</v>
      </c>
      <c r="O30" s="654">
        <v>37.539264191039997</v>
      </c>
      <c r="P30" s="654">
        <v>39.323566369962073</v>
      </c>
      <c r="Q30" s="654"/>
      <c r="R30" s="654">
        <v>6.6868176011847584</v>
      </c>
      <c r="S30" s="654">
        <v>15.665921139802441</v>
      </c>
      <c r="T30" s="654">
        <v>17.294639381013756</v>
      </c>
      <c r="U30" s="654">
        <v>20.807875183709097</v>
      </c>
      <c r="V30" s="654">
        <v>21.725677958111966</v>
      </c>
      <c r="W30" s="654">
        <v>23.115485933211726</v>
      </c>
      <c r="X30" s="654">
        <v>23.811345414301126</v>
      </c>
      <c r="Y30" s="655"/>
      <c r="Z30" s="654">
        <v>1.2292389183086945</v>
      </c>
      <c r="AA30" s="654">
        <v>2.6072535556581755</v>
      </c>
      <c r="AB30" s="654">
        <v>2.8115248190594349</v>
      </c>
      <c r="AC30" s="654">
        <v>3.1621209688447998</v>
      </c>
      <c r="AD30" s="654">
        <v>3.2400603043790706</v>
      </c>
      <c r="AE30" s="654">
        <v>3.4754502820614492</v>
      </c>
      <c r="AF30" s="654">
        <v>3.6846561002792995</v>
      </c>
      <c r="AG30" s="655"/>
      <c r="AH30" s="654">
        <v>1.4103112277772485</v>
      </c>
      <c r="AI30" s="654">
        <v>2.1046075645773965</v>
      </c>
      <c r="AJ30" s="654">
        <v>2.3304995550782892</v>
      </c>
      <c r="AK30" s="654">
        <v>2.926969115491536</v>
      </c>
      <c r="AL30" s="654">
        <v>3.1597585927811753</v>
      </c>
      <c r="AM30" s="654">
        <v>3.7823219585836911</v>
      </c>
      <c r="AN30" s="654">
        <v>4.3914206979651418</v>
      </c>
      <c r="AO30" s="655"/>
      <c r="AP30" s="654">
        <v>2.3937962039394214</v>
      </c>
      <c r="AQ30" s="654">
        <v>3.3823469308776737</v>
      </c>
      <c r="AR30" s="654">
        <v>3.5961599584086512</v>
      </c>
      <c r="AS30" s="654">
        <v>3.7649351081031761</v>
      </c>
      <c r="AT30" s="654">
        <v>3.7552687590442293</v>
      </c>
      <c r="AU30" s="654">
        <v>3.8256661061340256</v>
      </c>
      <c r="AV30" s="654">
        <v>3.9269866307571308</v>
      </c>
      <c r="AX30" s="654">
        <v>7.1465322633812747</v>
      </c>
      <c r="AY30" s="654">
        <v>4.7734807440171698</v>
      </c>
      <c r="AZ30" s="654">
        <v>3.5311986313959571</v>
      </c>
      <c r="BA30" s="654">
        <v>1.4561922478517808</v>
      </c>
      <c r="BB30" s="654">
        <v>0.99381783787442679</v>
      </c>
      <c r="BC30" s="654">
        <v>0.4038385931390483</v>
      </c>
      <c r="BD30" s="654">
        <v>0.11709144344048879</v>
      </c>
      <c r="BE30" s="654"/>
      <c r="BF30" s="654">
        <v>0.16646248138959138</v>
      </c>
      <c r="BG30" s="654">
        <v>0.68428820315950067</v>
      </c>
      <c r="BH30" s="654">
        <v>0.8504900128977182</v>
      </c>
      <c r="BI30" s="654">
        <v>1.1655203933836438</v>
      </c>
      <c r="BJ30" s="654">
        <v>1.2165962389670124</v>
      </c>
      <c r="BK30" s="654">
        <v>1.3533455809115198</v>
      </c>
      <c r="BL30" s="654">
        <v>1.6753356001440591</v>
      </c>
      <c r="BN30" s="654">
        <v>5.3718544476190502</v>
      </c>
      <c r="BO30" s="654">
        <v>4.2003003972345656</v>
      </c>
      <c r="BP30" s="654">
        <v>3.6421337689339666</v>
      </c>
      <c r="BQ30" s="654">
        <v>2.5857499111096174</v>
      </c>
      <c r="BR30" s="654">
        <v>2.300892178849709</v>
      </c>
      <c r="BS30" s="654">
        <v>1.9869943301375856</v>
      </c>
      <c r="BT30" s="654">
        <v>1.8338219265153177</v>
      </c>
    </row>
    <row r="31" spans="1:72" s="148" customFormat="1" ht="12">
      <c r="A31" s="653">
        <v>1983</v>
      </c>
      <c r="B31" s="654">
        <v>23.892812083363065</v>
      </c>
      <c r="C31" s="654">
        <v>32.50458456111059</v>
      </c>
      <c r="D31" s="654">
        <v>33.269529960878678</v>
      </c>
      <c r="E31" s="654">
        <v>35.166695130179285</v>
      </c>
      <c r="F31" s="654">
        <v>36.145552417178585</v>
      </c>
      <c r="G31" s="654">
        <v>38.357510182278837</v>
      </c>
      <c r="H31" s="654">
        <v>40.142960988922219</v>
      </c>
      <c r="I31" s="654"/>
      <c r="J31" s="654">
        <v>16.752133922614576</v>
      </c>
      <c r="K31" s="654">
        <v>27.639495008652133</v>
      </c>
      <c r="L31" s="654">
        <v>29.564993988896447</v>
      </c>
      <c r="M31" s="654">
        <v>33.683988012401883</v>
      </c>
      <c r="N31" s="654">
        <v>35.134853195076147</v>
      </c>
      <c r="O31" s="654">
        <v>37.935736118463623</v>
      </c>
      <c r="P31" s="654">
        <v>40.024796502512288</v>
      </c>
      <c r="Q31" s="654"/>
      <c r="R31" s="654">
        <v>5.8750492966637546</v>
      </c>
      <c r="S31" s="654">
        <v>14.388845860283395</v>
      </c>
      <c r="T31" s="654">
        <v>16.105139382272231</v>
      </c>
      <c r="U31" s="654">
        <v>19.889624371494783</v>
      </c>
      <c r="V31" s="654">
        <v>21.23419898625399</v>
      </c>
      <c r="W31" s="654">
        <v>23.455365513583473</v>
      </c>
      <c r="X31" s="654">
        <v>24.67897436932472</v>
      </c>
      <c r="Y31" s="655"/>
      <c r="Z31" s="654">
        <v>1.2738257655241827</v>
      </c>
      <c r="AA31" s="654">
        <v>2.7260217253622763</v>
      </c>
      <c r="AB31" s="654">
        <v>2.9444548154563792</v>
      </c>
      <c r="AC31" s="654">
        <v>3.3335013205235415</v>
      </c>
      <c r="AD31" s="654">
        <v>3.4390323297134566</v>
      </c>
      <c r="AE31" s="654">
        <v>3.6484503671171757</v>
      </c>
      <c r="AF31" s="654">
        <v>3.8070373878704022</v>
      </c>
      <c r="AG31" s="655"/>
      <c r="AH31" s="654">
        <v>1.7130695385868155</v>
      </c>
      <c r="AI31" s="654">
        <v>2.4787627970311452</v>
      </c>
      <c r="AJ31" s="654">
        <v>2.7186019340457666</v>
      </c>
      <c r="AK31" s="654">
        <v>3.3341623352912362</v>
      </c>
      <c r="AL31" s="654">
        <v>3.5576225274222355</v>
      </c>
      <c r="AM31" s="654">
        <v>4.057882083079015</v>
      </c>
      <c r="AN31" s="654">
        <v>4.496327525595599</v>
      </c>
      <c r="AO31" s="655"/>
      <c r="AP31" s="654">
        <v>2.4219806648322675</v>
      </c>
      <c r="AQ31" s="654">
        <v>3.303302312678781</v>
      </c>
      <c r="AR31" s="654">
        <v>3.4731006597725296</v>
      </c>
      <c r="AS31" s="654">
        <v>3.6643727150117211</v>
      </c>
      <c r="AT31" s="654">
        <v>3.6833681592799663</v>
      </c>
      <c r="AU31" s="654">
        <v>3.8105313856732796</v>
      </c>
      <c r="AV31" s="654">
        <v>4.0384619518829572</v>
      </c>
      <c r="AX31" s="654">
        <v>7.140678160748493</v>
      </c>
      <c r="AY31" s="654">
        <v>4.8650895524584561</v>
      </c>
      <c r="AZ31" s="654">
        <v>3.7045359719822359</v>
      </c>
      <c r="BA31" s="654">
        <v>1.4827071177773981</v>
      </c>
      <c r="BB31" s="654">
        <v>1.0106992221024365</v>
      </c>
      <c r="BC31" s="654">
        <v>0.42177406381521704</v>
      </c>
      <c r="BD31" s="654">
        <v>0.11816448640993332</v>
      </c>
      <c r="BE31" s="654"/>
      <c r="BF31" s="654">
        <v>0.12598940312067847</v>
      </c>
      <c r="BG31" s="654">
        <v>0.52021501408084514</v>
      </c>
      <c r="BH31" s="654">
        <v>0.64577783628643493</v>
      </c>
      <c r="BI31" s="654">
        <v>0.88854986386449752</v>
      </c>
      <c r="BJ31" s="654">
        <v>0.93176473826394657</v>
      </c>
      <c r="BK31" s="654">
        <v>1.0432723242732505</v>
      </c>
      <c r="BL31" s="654">
        <v>1.2699913490161461</v>
      </c>
      <c r="BN31" s="654">
        <v>5.3422192538868787</v>
      </c>
      <c r="BO31" s="654">
        <v>4.2223472992156941</v>
      </c>
      <c r="BP31" s="654">
        <v>3.6779193610631067</v>
      </c>
      <c r="BQ31" s="654">
        <v>2.5737774062161054</v>
      </c>
      <c r="BR31" s="654">
        <v>2.2888664541425601</v>
      </c>
      <c r="BS31" s="654">
        <v>1.9202344447374213</v>
      </c>
      <c r="BT31" s="654">
        <v>1.7340039188224692</v>
      </c>
    </row>
    <row r="32" spans="1:72" s="148" customFormat="1" ht="12">
      <c r="A32" s="653">
        <v>1984</v>
      </c>
      <c r="B32" s="654">
        <v>24.274230463041011</v>
      </c>
      <c r="C32" s="654">
        <v>31.539087376096063</v>
      </c>
      <c r="D32" s="654">
        <v>32.107653759106853</v>
      </c>
      <c r="E32" s="654">
        <v>33.858537518649833</v>
      </c>
      <c r="F32" s="654">
        <v>34.776290284461815</v>
      </c>
      <c r="G32" s="654">
        <v>37.298805171501996</v>
      </c>
      <c r="H32" s="654">
        <v>39.588762430567051</v>
      </c>
      <c r="I32" s="654"/>
      <c r="J32" s="654">
        <v>16.853837790722601</v>
      </c>
      <c r="K32" s="654">
        <v>26.856894130636206</v>
      </c>
      <c r="L32" s="654">
        <v>28.58912652623097</v>
      </c>
      <c r="M32" s="654">
        <v>32.480947790988239</v>
      </c>
      <c r="N32" s="654">
        <v>33.842912288222259</v>
      </c>
      <c r="O32" s="654">
        <v>36.919442131799769</v>
      </c>
      <c r="P32" s="654">
        <v>39.477851578142385</v>
      </c>
      <c r="Q32" s="654"/>
      <c r="R32" s="654">
        <v>5.5258860013827347</v>
      </c>
      <c r="S32" s="654">
        <v>13.550350091168378</v>
      </c>
      <c r="T32" s="654">
        <v>15.218655402236184</v>
      </c>
      <c r="U32" s="654">
        <v>18.960621479659348</v>
      </c>
      <c r="V32" s="654">
        <v>20.286506302666186</v>
      </c>
      <c r="W32" s="654">
        <v>22.630417488551693</v>
      </c>
      <c r="X32" s="654">
        <v>24.823509808222322</v>
      </c>
      <c r="Y32" s="655"/>
      <c r="Z32" s="654">
        <v>1.3184746826523546</v>
      </c>
      <c r="AA32" s="654">
        <v>2.8245323245328158</v>
      </c>
      <c r="AB32" s="654">
        <v>3.0537748324236906</v>
      </c>
      <c r="AC32" s="654">
        <v>3.5480552339219278</v>
      </c>
      <c r="AD32" s="654">
        <v>3.7282302644216099</v>
      </c>
      <c r="AE32" s="654">
        <v>4.1473817552378183</v>
      </c>
      <c r="AF32" s="654">
        <v>4.0200170021490695</v>
      </c>
      <c r="AG32" s="655"/>
      <c r="AH32" s="654">
        <v>1.9503208001561343</v>
      </c>
      <c r="AI32" s="654">
        <v>2.564757922152558</v>
      </c>
      <c r="AJ32" s="654">
        <v>2.7356625001875483</v>
      </c>
      <c r="AK32" s="654">
        <v>3.2168209755689077</v>
      </c>
      <c r="AL32" s="654">
        <v>3.339520140092092</v>
      </c>
      <c r="AM32" s="654">
        <v>3.737182649240836</v>
      </c>
      <c r="AN32" s="654">
        <v>4.0784016076419016</v>
      </c>
      <c r="AO32" s="655"/>
      <c r="AP32" s="654">
        <v>2.4001063112263634</v>
      </c>
      <c r="AQ32" s="654">
        <v>3.1063046303554307</v>
      </c>
      <c r="AR32" s="654">
        <v>3.2478387873673902</v>
      </c>
      <c r="AS32" s="654">
        <v>3.3293435632016086</v>
      </c>
      <c r="AT32" s="654">
        <v>3.3199576029339442</v>
      </c>
      <c r="AU32" s="654">
        <v>3.4751538836382574</v>
      </c>
      <c r="AV32" s="654">
        <v>3.7158981609378419</v>
      </c>
      <c r="AX32" s="654">
        <v>7.4203926723184113</v>
      </c>
      <c r="AY32" s="654">
        <v>4.6821932454598549</v>
      </c>
      <c r="AZ32" s="654">
        <v>3.5185272328758797</v>
      </c>
      <c r="BA32" s="654">
        <v>1.3775897276615929</v>
      </c>
      <c r="BB32" s="654">
        <v>0.93337799623955364</v>
      </c>
      <c r="BC32" s="654">
        <v>0.37936303970222607</v>
      </c>
      <c r="BD32" s="654">
        <v>0.11091085242466352</v>
      </c>
      <c r="BE32" s="654"/>
      <c r="BF32" s="654">
        <v>0.11504741626303726</v>
      </c>
      <c r="BG32" s="654">
        <v>0.4641228107318896</v>
      </c>
      <c r="BH32" s="654">
        <v>0.57311283077446662</v>
      </c>
      <c r="BI32" s="654">
        <v>0.77804083292026971</v>
      </c>
      <c r="BJ32" s="654">
        <v>0.81217723570533307</v>
      </c>
      <c r="BK32" s="654">
        <v>0.89470782085435785</v>
      </c>
      <c r="BL32" s="654">
        <v>1.0667070274153181</v>
      </c>
      <c r="BN32" s="654">
        <v>5.544002579041976</v>
      </c>
      <c r="BO32" s="654">
        <v>4.3468263516951318</v>
      </c>
      <c r="BP32" s="654">
        <v>3.7600821732416909</v>
      </c>
      <c r="BQ32" s="654">
        <v>2.6480657057161778</v>
      </c>
      <c r="BR32" s="654">
        <v>2.3565207424030969</v>
      </c>
      <c r="BS32" s="654">
        <v>2.0345985342768111</v>
      </c>
      <c r="BT32" s="654">
        <v>1.773317971775928</v>
      </c>
    </row>
    <row r="33" spans="1:75" s="148" customFormat="1" ht="12">
      <c r="A33" s="653">
        <v>1985</v>
      </c>
      <c r="B33" s="654">
        <v>24.458762248040909</v>
      </c>
      <c r="C33" s="654">
        <v>32.51308770791298</v>
      </c>
      <c r="D33" s="654">
        <v>33.395734466147722</v>
      </c>
      <c r="E33" s="654">
        <v>35.763564128340221</v>
      </c>
      <c r="F33" s="654">
        <v>36.887446197725275</v>
      </c>
      <c r="G33" s="654">
        <v>39.704463064635632</v>
      </c>
      <c r="H33" s="654">
        <v>42.244857731871988</v>
      </c>
      <c r="I33" s="654"/>
      <c r="J33" s="654">
        <v>16.837933015927813</v>
      </c>
      <c r="K33" s="654">
        <v>27.797834717474977</v>
      </c>
      <c r="L33" s="654">
        <v>29.827930249035433</v>
      </c>
      <c r="M33" s="654">
        <v>34.331226380441365</v>
      </c>
      <c r="N33" s="654">
        <v>35.935481862095379</v>
      </c>
      <c r="O33" s="654">
        <v>39.301230298625363</v>
      </c>
      <c r="P33" s="654">
        <v>42.143302426503865</v>
      </c>
      <c r="Q33" s="654"/>
      <c r="R33" s="654">
        <v>5.6459629954942816</v>
      </c>
      <c r="S33" s="654">
        <v>14.408202680590573</v>
      </c>
      <c r="T33" s="654">
        <v>16.276892534622718</v>
      </c>
      <c r="U33" s="654">
        <v>20.506562307040014</v>
      </c>
      <c r="V33" s="654">
        <v>21.895032890514596</v>
      </c>
      <c r="W33" s="654">
        <v>24.57154328706612</v>
      </c>
      <c r="X33" s="654">
        <v>26.438460352998572</v>
      </c>
      <c r="Y33" s="655"/>
      <c r="Z33" s="654">
        <v>1.2373829935945047</v>
      </c>
      <c r="AA33" s="654">
        <v>3.0180527378175461</v>
      </c>
      <c r="AB33" s="654">
        <v>3.3156387648637287</v>
      </c>
      <c r="AC33" s="654">
        <v>3.9127515896188227</v>
      </c>
      <c r="AD33" s="654">
        <v>4.1543550552500266</v>
      </c>
      <c r="AE33" s="654">
        <v>4.6151226190596093</v>
      </c>
      <c r="AF33" s="654">
        <v>4.6999906686569455</v>
      </c>
      <c r="AG33" s="655"/>
      <c r="AH33" s="654">
        <v>1.8196982083941549</v>
      </c>
      <c r="AI33" s="654">
        <v>2.4239902673200691</v>
      </c>
      <c r="AJ33" s="654">
        <v>2.5911762022887181</v>
      </c>
      <c r="AK33" s="654">
        <v>3.0321942685235594</v>
      </c>
      <c r="AL33" s="654">
        <v>3.2266320798106736</v>
      </c>
      <c r="AM33" s="654">
        <v>3.5809070990470016</v>
      </c>
      <c r="AN33" s="654">
        <v>4.1139382589892852</v>
      </c>
      <c r="AO33" s="655"/>
      <c r="AP33" s="654">
        <v>2.4215317044489741</v>
      </c>
      <c r="AQ33" s="654">
        <v>3.1342364233413869</v>
      </c>
      <c r="AR33" s="654">
        <v>3.2881292641888451</v>
      </c>
      <c r="AS33" s="654">
        <v>3.4424978848706913</v>
      </c>
      <c r="AT33" s="654">
        <v>3.4748044708444037</v>
      </c>
      <c r="AU33" s="654">
        <v>3.5546511764868773</v>
      </c>
      <c r="AV33" s="654">
        <v>3.9162813371373582</v>
      </c>
      <c r="AX33" s="654">
        <v>7.6208292321130982</v>
      </c>
      <c r="AY33" s="654">
        <v>4.7152529904380094</v>
      </c>
      <c r="AZ33" s="654">
        <v>3.5678042171122852</v>
      </c>
      <c r="BA33" s="654">
        <v>1.4323377478988539</v>
      </c>
      <c r="BB33" s="654">
        <v>0.95196433562989791</v>
      </c>
      <c r="BC33" s="654">
        <v>0.4032327660102677</v>
      </c>
      <c r="BD33" s="654">
        <v>0.10155530536812207</v>
      </c>
      <c r="BE33" s="654"/>
      <c r="BF33" s="654">
        <v>0.11312269911288479</v>
      </c>
      <c r="BG33" s="654">
        <v>0.46872161213813524</v>
      </c>
      <c r="BH33" s="654">
        <v>0.58183057256651793</v>
      </c>
      <c r="BI33" s="654">
        <v>0.80111163295607624</v>
      </c>
      <c r="BJ33" s="654">
        <v>0.84074806896014265</v>
      </c>
      <c r="BK33" s="654">
        <v>0.93474225079815143</v>
      </c>
      <c r="BL33" s="654">
        <v>1.0785695296569209</v>
      </c>
      <c r="BN33" s="654">
        <v>5.6002344148830128</v>
      </c>
      <c r="BO33" s="654">
        <v>4.3446309962672656</v>
      </c>
      <c r="BP33" s="654">
        <v>3.7742629105049068</v>
      </c>
      <c r="BQ33" s="654">
        <v>2.6361086974322023</v>
      </c>
      <c r="BR33" s="654">
        <v>2.3439092967155393</v>
      </c>
      <c r="BS33" s="654">
        <v>2.0442638661676011</v>
      </c>
      <c r="BT33" s="654">
        <v>1.8960622790647912</v>
      </c>
    </row>
    <row r="34" spans="1:75" s="148" customFormat="1" ht="12">
      <c r="A34" s="653">
        <v>1986</v>
      </c>
      <c r="B34" s="654">
        <v>24.345393632280395</v>
      </c>
      <c r="C34" s="654">
        <v>34.092015791872193</v>
      </c>
      <c r="D34" s="654">
        <v>35.66151677654053</v>
      </c>
      <c r="E34" s="654">
        <v>39.959560314712398</v>
      </c>
      <c r="F34" s="654">
        <v>41.967812342061663</v>
      </c>
      <c r="G34" s="654">
        <v>47.028255278723677</v>
      </c>
      <c r="H34" s="654">
        <v>49.677497798844989</v>
      </c>
      <c r="I34" s="654"/>
      <c r="J34" s="654">
        <v>16.613070667457386</v>
      </c>
      <c r="K34" s="654">
        <v>28.939319753412132</v>
      </c>
      <c r="L34" s="654">
        <v>31.75262052661499</v>
      </c>
      <c r="M34" s="654">
        <v>38.35204103362009</v>
      </c>
      <c r="N34" s="654">
        <v>40.878903499957687</v>
      </c>
      <c r="O34" s="654">
        <v>46.635783994056261</v>
      </c>
      <c r="P34" s="654">
        <v>49.546229634929013</v>
      </c>
      <c r="Q34" s="654"/>
      <c r="R34" s="654">
        <v>5.3468213858664262</v>
      </c>
      <c r="S34" s="654">
        <v>15.092641751835389</v>
      </c>
      <c r="T34" s="654">
        <v>17.596664342682388</v>
      </c>
      <c r="U34" s="654">
        <v>23.487075840260712</v>
      </c>
      <c r="V34" s="654">
        <v>25.69837933265331</v>
      </c>
      <c r="W34" s="654">
        <v>30.081804842728733</v>
      </c>
      <c r="X34" s="654">
        <v>32.86912918228974</v>
      </c>
      <c r="Y34" s="655"/>
      <c r="Z34" s="654">
        <v>1.2292043019384176</v>
      </c>
      <c r="AA34" s="654">
        <v>3.204809892548556</v>
      </c>
      <c r="AB34" s="654">
        <v>3.5911485117090249</v>
      </c>
      <c r="AC34" s="654">
        <v>4.4440140472839254</v>
      </c>
      <c r="AD34" s="654">
        <v>4.7813300274100916</v>
      </c>
      <c r="AE34" s="654">
        <v>5.7228092009319917</v>
      </c>
      <c r="AF34" s="654">
        <v>5.7242901102845325</v>
      </c>
      <c r="AG34" s="655"/>
      <c r="AH34" s="654">
        <v>1.9504216047411518</v>
      </c>
      <c r="AI34" s="654">
        <v>2.6287982957194762</v>
      </c>
      <c r="AJ34" s="654">
        <v>2.8361877088883332</v>
      </c>
      <c r="AK34" s="654">
        <v>3.3958288260906975</v>
      </c>
      <c r="AL34" s="654">
        <v>3.6093939512363749</v>
      </c>
      <c r="AM34" s="654">
        <v>4.238066255808798</v>
      </c>
      <c r="AN34" s="654">
        <v>4.1656950966464503</v>
      </c>
      <c r="AO34" s="655"/>
      <c r="AP34" s="654">
        <v>2.4898064358761429</v>
      </c>
      <c r="AQ34" s="654">
        <v>3.2671190669551513</v>
      </c>
      <c r="AR34" s="654">
        <v>3.4382659015724433</v>
      </c>
      <c r="AS34" s="654">
        <v>3.6387720122771068</v>
      </c>
      <c r="AT34" s="654">
        <v>3.6529797490125251</v>
      </c>
      <c r="AU34" s="654">
        <v>3.7913800495429819</v>
      </c>
      <c r="AV34" s="654">
        <v>3.8897438503338688</v>
      </c>
      <c r="AX34" s="654">
        <v>7.7323229648230098</v>
      </c>
      <c r="AY34" s="654">
        <v>5.1526960384600651</v>
      </c>
      <c r="AZ34" s="654">
        <v>3.908896249925542</v>
      </c>
      <c r="BA34" s="654">
        <v>1.607519281092306</v>
      </c>
      <c r="BB34" s="654">
        <v>1.0889088421039756</v>
      </c>
      <c r="BC34" s="654">
        <v>0.39247128466741232</v>
      </c>
      <c r="BD34" s="654">
        <v>0.13126816391597951</v>
      </c>
      <c r="BE34" s="654"/>
      <c r="BF34" s="654">
        <v>0.12126103720821557</v>
      </c>
      <c r="BG34" s="654">
        <v>0.50451318102988751</v>
      </c>
      <c r="BH34" s="654">
        <v>0.63462824159554532</v>
      </c>
      <c r="BI34" s="654">
        <v>0.89772398253978691</v>
      </c>
      <c r="BJ34" s="654">
        <v>0.96106718214614262</v>
      </c>
      <c r="BK34" s="654">
        <v>1.0689023891549148</v>
      </c>
      <c r="BL34" s="654">
        <v>1.2054768774679301</v>
      </c>
      <c r="BN34" s="654">
        <v>5.4755559018270326</v>
      </c>
      <c r="BO34" s="654">
        <v>4.2414375653236718</v>
      </c>
      <c r="BP34" s="654">
        <v>3.6557258201672558</v>
      </c>
      <c r="BQ34" s="654">
        <v>2.488626325167862</v>
      </c>
      <c r="BR34" s="654">
        <v>2.1757532574992373</v>
      </c>
      <c r="BS34" s="654">
        <v>1.732821255888841</v>
      </c>
      <c r="BT34" s="654">
        <v>1.6918945179064802</v>
      </c>
    </row>
    <row r="35" spans="1:75" s="148" customFormat="1" ht="12">
      <c r="A35" s="653">
        <v>1987</v>
      </c>
      <c r="B35" s="654">
        <v>24.769156102373795</v>
      </c>
      <c r="C35" s="654">
        <v>35.034443131881083</v>
      </c>
      <c r="D35" s="654">
        <v>36.479417450841446</v>
      </c>
      <c r="E35" s="654">
        <v>39.331736346740392</v>
      </c>
      <c r="F35" s="654">
        <v>40.385014516974586</v>
      </c>
      <c r="G35" s="654">
        <v>42.794774197482532</v>
      </c>
      <c r="H35" s="654">
        <v>44.659735682322989</v>
      </c>
      <c r="I35" s="654"/>
      <c r="J35" s="654">
        <v>17.023026857831752</v>
      </c>
      <c r="K35" s="654">
        <v>30.046041659320494</v>
      </c>
      <c r="L35" s="654">
        <v>32.721458193212719</v>
      </c>
      <c r="M35" s="654">
        <v>37.819656775827752</v>
      </c>
      <c r="N35" s="654">
        <v>39.359526939607704</v>
      </c>
      <c r="O35" s="654">
        <v>42.368364427420993</v>
      </c>
      <c r="P35" s="654">
        <v>44.537596854481031</v>
      </c>
      <c r="Q35" s="654"/>
      <c r="R35" s="654">
        <v>5.5177096940981558</v>
      </c>
      <c r="S35" s="654">
        <v>15.953823505974308</v>
      </c>
      <c r="T35" s="654">
        <v>18.278012144210333</v>
      </c>
      <c r="U35" s="654">
        <v>22.703236548111459</v>
      </c>
      <c r="V35" s="654">
        <v>23.943598579634688</v>
      </c>
      <c r="W35" s="654">
        <v>25.997248908374456</v>
      </c>
      <c r="X35" s="654">
        <v>26.98624016050119</v>
      </c>
      <c r="Y35" s="655"/>
      <c r="Z35" s="654">
        <v>1.2694666079103618</v>
      </c>
      <c r="AA35" s="654">
        <v>3.3335773655374719</v>
      </c>
      <c r="AB35" s="654">
        <v>3.7925165029529855</v>
      </c>
      <c r="AC35" s="654">
        <v>4.7347821569995476</v>
      </c>
      <c r="AD35" s="654">
        <v>5.094935275745657</v>
      </c>
      <c r="AE35" s="654">
        <v>5.704240911175531</v>
      </c>
      <c r="AF35" s="654">
        <v>6.2120185615161336</v>
      </c>
      <c r="AG35" s="655"/>
      <c r="AH35" s="654">
        <v>2.3164426963480591</v>
      </c>
      <c r="AI35" s="654">
        <v>2.8369072092457635</v>
      </c>
      <c r="AJ35" s="654">
        <v>2.9871913620393094</v>
      </c>
      <c r="AK35" s="654">
        <v>3.3400524711213873</v>
      </c>
      <c r="AL35" s="654">
        <v>3.4413623079810032</v>
      </c>
      <c r="AM35" s="654">
        <v>3.7284684796886487</v>
      </c>
      <c r="AN35" s="654">
        <v>4.0803196272513791</v>
      </c>
      <c r="AO35" s="655"/>
      <c r="AP35" s="654">
        <v>2.5569981871375642</v>
      </c>
      <c r="AQ35" s="654">
        <v>3.279747508934804</v>
      </c>
      <c r="AR35" s="654">
        <v>3.3901371233950197</v>
      </c>
      <c r="AS35" s="654">
        <v>3.4283734555686354</v>
      </c>
      <c r="AT35" s="654">
        <v>3.4062560740519809</v>
      </c>
      <c r="AU35" s="654">
        <v>3.5057512609539181</v>
      </c>
      <c r="AV35" s="654">
        <v>3.7815701591840187</v>
      </c>
      <c r="AX35" s="654">
        <v>7.7461292445420433</v>
      </c>
      <c r="AY35" s="654">
        <v>4.9884014725605947</v>
      </c>
      <c r="AZ35" s="654">
        <v>3.7579592576287233</v>
      </c>
      <c r="BA35" s="654">
        <v>1.5120795709126422</v>
      </c>
      <c r="BB35" s="654">
        <v>1.0254875773668846</v>
      </c>
      <c r="BC35" s="654">
        <v>0.42640977006153707</v>
      </c>
      <c r="BD35" s="654">
        <v>0.12213882784195829</v>
      </c>
      <c r="BE35" s="654"/>
      <c r="BF35" s="654">
        <v>0.12029742617294885</v>
      </c>
      <c r="BG35" s="654">
        <v>0.49457796088642558</v>
      </c>
      <c r="BH35" s="654">
        <v>0.6194443589492018</v>
      </c>
      <c r="BI35" s="654">
        <v>0.84624570936295485</v>
      </c>
      <c r="BJ35" s="654">
        <v>0.88454807354425036</v>
      </c>
      <c r="BK35" s="654">
        <v>0.97059604721324111</v>
      </c>
      <c r="BL35" s="654">
        <v>1.1112971236133695</v>
      </c>
      <c r="BN35" s="654">
        <v>5.2421122461646599</v>
      </c>
      <c r="BO35" s="654">
        <v>4.1474081087417245</v>
      </c>
      <c r="BP35" s="654">
        <v>3.6541567016658685</v>
      </c>
      <c r="BQ35" s="654">
        <v>2.7669664346637717</v>
      </c>
      <c r="BR35" s="654">
        <v>2.5888266286501245</v>
      </c>
      <c r="BS35" s="654">
        <v>2.4620588200151987</v>
      </c>
      <c r="BT35" s="654">
        <v>2.366151222414945</v>
      </c>
    </row>
    <row r="36" spans="1:75" s="148" customFormat="1" ht="12">
      <c r="A36" s="653">
        <v>1988</v>
      </c>
      <c r="B36" s="654">
        <v>24.714098870366445</v>
      </c>
      <c r="C36" s="654">
        <v>33.32998654080501</v>
      </c>
      <c r="D36" s="654">
        <v>34.162472825011157</v>
      </c>
      <c r="E36" s="654">
        <v>35.787559410577337</v>
      </c>
      <c r="F36" s="654">
        <v>36.323844943865396</v>
      </c>
      <c r="G36" s="654">
        <v>37.530259848951538</v>
      </c>
      <c r="H36" s="654">
        <v>38.737348140879305</v>
      </c>
      <c r="I36" s="654"/>
      <c r="J36" s="654">
        <v>16.590504375230605</v>
      </c>
      <c r="K36" s="654">
        <v>28.422575061144126</v>
      </c>
      <c r="L36" s="654">
        <v>30.615178448351298</v>
      </c>
      <c r="M36" s="654">
        <v>34.45251288917774</v>
      </c>
      <c r="N36" s="654">
        <v>35.441169846411256</v>
      </c>
      <c r="O36" s="654">
        <v>37.190128180749191</v>
      </c>
      <c r="P36" s="654">
        <v>38.64993334508236</v>
      </c>
      <c r="Q36" s="654"/>
      <c r="R36" s="654">
        <v>5.1634307698558572</v>
      </c>
      <c r="S36" s="654">
        <v>14.646575874540883</v>
      </c>
      <c r="T36" s="654">
        <v>16.61565318379024</v>
      </c>
      <c r="U36" s="654">
        <v>20.135952415482972</v>
      </c>
      <c r="V36" s="654">
        <v>20.956167574443661</v>
      </c>
      <c r="W36" s="654">
        <v>22.173252892808467</v>
      </c>
      <c r="X36" s="654">
        <v>22.943039727401089</v>
      </c>
      <c r="Y36" s="655"/>
      <c r="Z36" s="654">
        <v>1.2485070462440744</v>
      </c>
      <c r="AA36" s="654">
        <v>3.0802783400014055</v>
      </c>
      <c r="AB36" s="654">
        <v>3.4421825400341999</v>
      </c>
      <c r="AC36" s="654">
        <v>4.0687093760986768</v>
      </c>
      <c r="AD36" s="654">
        <v>4.249119964605903</v>
      </c>
      <c r="AE36" s="654">
        <v>4.5045185042097771</v>
      </c>
      <c r="AF36" s="654">
        <v>4.7370374236740664</v>
      </c>
      <c r="AG36" s="655"/>
      <c r="AH36" s="654">
        <v>2.3406629850067198</v>
      </c>
      <c r="AI36" s="654">
        <v>2.8606727774006124</v>
      </c>
      <c r="AJ36" s="654">
        <v>3.0094751350299718</v>
      </c>
      <c r="AK36" s="654">
        <v>3.3366698744517067</v>
      </c>
      <c r="AL36" s="654">
        <v>3.4567841549863103</v>
      </c>
      <c r="AM36" s="654">
        <v>3.7827315752457449</v>
      </c>
      <c r="AN36" s="654">
        <v>4.2189748809722092</v>
      </c>
      <c r="AO36" s="655"/>
      <c r="AP36" s="654">
        <v>2.5175327249990112</v>
      </c>
      <c r="AQ36" s="654">
        <v>3.2583839984242475</v>
      </c>
      <c r="AR36" s="654">
        <v>3.3236864314374981</v>
      </c>
      <c r="AS36" s="654">
        <v>3.2791048708124388</v>
      </c>
      <c r="AT36" s="654">
        <v>3.2574988752207839</v>
      </c>
      <c r="AU36" s="654">
        <v>3.2977950963466465</v>
      </c>
      <c r="AV36" s="654">
        <v>3.4127967084824071</v>
      </c>
      <c r="AX36" s="654">
        <v>8.1235944951358405</v>
      </c>
      <c r="AY36" s="654">
        <v>4.9074114796608805</v>
      </c>
      <c r="AZ36" s="654">
        <v>3.5472943766598619</v>
      </c>
      <c r="BA36" s="654">
        <v>1.3350465213995975</v>
      </c>
      <c r="BB36" s="654">
        <v>0.88267509745414796</v>
      </c>
      <c r="BC36" s="654">
        <v>0.34013166820234858</v>
      </c>
      <c r="BD36" s="654">
        <v>8.7414795796945374E-2</v>
      </c>
      <c r="BE36" s="654"/>
      <c r="BF36" s="654">
        <v>0.11763971206914027</v>
      </c>
      <c r="BG36" s="654">
        <v>0.45499777078793741</v>
      </c>
      <c r="BH36" s="654">
        <v>0.55378208401982332</v>
      </c>
      <c r="BI36" s="654">
        <v>0.69766245856098907</v>
      </c>
      <c r="BJ36" s="654">
        <v>0.70317979941800879</v>
      </c>
      <c r="BK36" s="654">
        <v>0.70446241087385042</v>
      </c>
      <c r="BL36" s="654">
        <v>0.75669825710405925</v>
      </c>
      <c r="BN36" s="654">
        <v>5.2027311370558005</v>
      </c>
      <c r="BO36" s="654">
        <v>4.1216662999890419</v>
      </c>
      <c r="BP36" s="654">
        <v>3.670399074039564</v>
      </c>
      <c r="BQ36" s="654">
        <v>2.9344138937709543</v>
      </c>
      <c r="BR36" s="654">
        <v>2.8184194777365867</v>
      </c>
      <c r="BS36" s="654">
        <v>2.7273677012647046</v>
      </c>
      <c r="BT36" s="654">
        <v>2.5813863474485257</v>
      </c>
    </row>
    <row r="37" spans="1:75" s="148" customFormat="1" ht="12">
      <c r="A37" s="653">
        <v>1989</v>
      </c>
      <c r="B37" s="654">
        <v>25.020352137524334</v>
      </c>
      <c r="C37" s="654">
        <v>34.211507493039896</v>
      </c>
      <c r="D37" s="654">
        <v>35.091746135344657</v>
      </c>
      <c r="E37" s="654">
        <v>36.761583876663849</v>
      </c>
      <c r="F37" s="654">
        <v>37.380413267238438</v>
      </c>
      <c r="G37" s="654">
        <v>38.641976110129875</v>
      </c>
      <c r="H37" s="654">
        <v>39.83532355540185</v>
      </c>
      <c r="I37" s="654"/>
      <c r="J37" s="654">
        <v>17.024068585940245</v>
      </c>
      <c r="K37" s="654">
        <v>29.252277652425175</v>
      </c>
      <c r="L37" s="654">
        <v>31.444653435634596</v>
      </c>
      <c r="M37" s="654">
        <v>35.364389393865466</v>
      </c>
      <c r="N37" s="654">
        <v>36.436946930062646</v>
      </c>
      <c r="O37" s="654">
        <v>38.263324819276782</v>
      </c>
      <c r="P37" s="654">
        <v>39.73636435705891</v>
      </c>
      <c r="Q37" s="654"/>
      <c r="R37" s="654">
        <v>5.5582194016962436</v>
      </c>
      <c r="S37" s="654">
        <v>15.232249540266492</v>
      </c>
      <c r="T37" s="654">
        <v>17.144756325554269</v>
      </c>
      <c r="U37" s="654">
        <v>20.423433158029813</v>
      </c>
      <c r="V37" s="654">
        <v>21.223339226745704</v>
      </c>
      <c r="W37" s="654">
        <v>22.31720734601986</v>
      </c>
      <c r="X37" s="654">
        <v>23.02709604122569</v>
      </c>
      <c r="Y37" s="655"/>
      <c r="Z37" s="654">
        <v>1.3449391748262196</v>
      </c>
      <c r="AA37" s="654">
        <v>3.2290227540375569</v>
      </c>
      <c r="AB37" s="654">
        <v>3.6188337509409614</v>
      </c>
      <c r="AC37" s="654">
        <v>4.344193767444863</v>
      </c>
      <c r="AD37" s="654">
        <v>4.6149283764090869</v>
      </c>
      <c r="AE37" s="654">
        <v>4.9979604429399185</v>
      </c>
      <c r="AF37" s="654">
        <v>5.1654424307657552</v>
      </c>
      <c r="AG37" s="655"/>
      <c r="AH37" s="654">
        <v>2.1811540561511977</v>
      </c>
      <c r="AI37" s="654">
        <v>2.727259492498864</v>
      </c>
      <c r="AJ37" s="654">
        <v>2.8805110956489486</v>
      </c>
      <c r="AK37" s="654">
        <v>3.2706481529453928</v>
      </c>
      <c r="AL37" s="654">
        <v>3.402115521887223</v>
      </c>
      <c r="AM37" s="654">
        <v>3.7280371863259223</v>
      </c>
      <c r="AN37" s="654">
        <v>4.2128454340261881</v>
      </c>
      <c r="AO37" s="655"/>
      <c r="AP37" s="654">
        <v>2.5849160326335014</v>
      </c>
      <c r="AQ37" s="654">
        <v>3.3780564397793547</v>
      </c>
      <c r="AR37" s="654">
        <v>3.4488344464057881</v>
      </c>
      <c r="AS37" s="654">
        <v>3.5406759146795981</v>
      </c>
      <c r="AT37" s="654">
        <v>3.5268522028311815</v>
      </c>
      <c r="AU37" s="654">
        <v>3.6243593973389441</v>
      </c>
      <c r="AV37" s="654">
        <v>3.8007852943612495</v>
      </c>
      <c r="AX37" s="654">
        <v>7.9962835515840878</v>
      </c>
      <c r="AY37" s="654">
        <v>4.9592298406147197</v>
      </c>
      <c r="AZ37" s="654">
        <v>3.6470926997100603</v>
      </c>
      <c r="BA37" s="654">
        <v>1.3971944827983862</v>
      </c>
      <c r="BB37" s="654">
        <v>0.94346633717579453</v>
      </c>
      <c r="BC37" s="654">
        <v>0.37865129085309029</v>
      </c>
      <c r="BD37" s="654">
        <v>9.895919834294116E-2</v>
      </c>
      <c r="BE37" s="654"/>
      <c r="BF37" s="654">
        <v>0.12240538447213445</v>
      </c>
      <c r="BG37" s="654">
        <v>0.48327463153123773</v>
      </c>
      <c r="BH37" s="654">
        <v>0.5918663667859918</v>
      </c>
      <c r="BI37" s="654">
        <v>0.75549623313597836</v>
      </c>
      <c r="BJ37" s="654">
        <v>0.77427432411475972</v>
      </c>
      <c r="BK37" s="654">
        <v>0.79745481151610764</v>
      </c>
      <c r="BL37" s="654">
        <v>0.87126196664020639</v>
      </c>
      <c r="BN37" s="654">
        <v>5.2324345361609472</v>
      </c>
      <c r="BO37" s="654">
        <v>4.2024147943116716</v>
      </c>
      <c r="BP37" s="654">
        <v>3.7598514502986373</v>
      </c>
      <c r="BQ37" s="654">
        <v>3.0299421676298186</v>
      </c>
      <c r="BR37" s="654">
        <v>2.8954372780746982</v>
      </c>
      <c r="BS37" s="654">
        <v>2.7983056351360376</v>
      </c>
      <c r="BT37" s="654">
        <v>2.6589331900398281</v>
      </c>
    </row>
    <row r="38" spans="1:75" s="148" customFormat="1" ht="12">
      <c r="A38" s="653">
        <v>1990</v>
      </c>
      <c r="B38" s="654">
        <v>25.057507760180847</v>
      </c>
      <c r="C38" s="654">
        <v>33.731800471513928</v>
      </c>
      <c r="D38" s="654">
        <v>34.53507544859341</v>
      </c>
      <c r="E38" s="654">
        <v>36.114421715151764</v>
      </c>
      <c r="F38" s="654">
        <v>36.667865106324776</v>
      </c>
      <c r="G38" s="654">
        <v>37.865854570252296</v>
      </c>
      <c r="H38" s="654">
        <v>38.944885716014625</v>
      </c>
      <c r="I38" s="654"/>
      <c r="J38" s="654">
        <v>16.858608499620157</v>
      </c>
      <c r="K38" s="654">
        <v>28.953534906377378</v>
      </c>
      <c r="L38" s="654">
        <v>31.009658219829525</v>
      </c>
      <c r="M38" s="654">
        <v>34.695483388080511</v>
      </c>
      <c r="N38" s="654">
        <v>35.73389459158976</v>
      </c>
      <c r="O38" s="654">
        <v>37.493918322186964</v>
      </c>
      <c r="P38" s="654">
        <v>38.846144845359589</v>
      </c>
      <c r="Q38" s="654"/>
      <c r="R38" s="654">
        <v>5.5463640114681825</v>
      </c>
      <c r="S38" s="654">
        <v>14.753513728225858</v>
      </c>
      <c r="T38" s="654">
        <v>16.541976742197637</v>
      </c>
      <c r="U38" s="654">
        <v>19.956064874174757</v>
      </c>
      <c r="V38" s="654">
        <v>20.803520685996386</v>
      </c>
      <c r="W38" s="654">
        <v>22.015374905739442</v>
      </c>
      <c r="X38" s="654">
        <v>22.675728159330582</v>
      </c>
      <c r="Y38" s="655"/>
      <c r="Z38" s="654">
        <v>1.4036951619068834</v>
      </c>
      <c r="AA38" s="654">
        <v>3.1615530278842252</v>
      </c>
      <c r="AB38" s="654">
        <v>3.5231661252146642</v>
      </c>
      <c r="AC38" s="654">
        <v>4.1970990321566291</v>
      </c>
      <c r="AD38" s="654">
        <v>4.3932093254559694</v>
      </c>
      <c r="AE38" s="654">
        <v>4.6375693975788614</v>
      </c>
      <c r="AF38" s="654">
        <v>4.8159237149329419</v>
      </c>
      <c r="AG38" s="655"/>
      <c r="AH38" s="654">
        <v>1.9241501630451332</v>
      </c>
      <c r="AI38" s="654">
        <v>2.7223627989546171</v>
      </c>
      <c r="AJ38" s="654">
        <v>2.8480752007368579</v>
      </c>
      <c r="AK38" s="654">
        <v>2.9368491437559046</v>
      </c>
      <c r="AL38" s="654">
        <v>3.0414918299151905</v>
      </c>
      <c r="AM38" s="654">
        <v>3.3498867487914405</v>
      </c>
      <c r="AN38" s="654">
        <v>3.7192634153800039</v>
      </c>
      <c r="AO38" s="655"/>
      <c r="AP38" s="654">
        <v>2.5801740918556635</v>
      </c>
      <c r="AQ38" s="654">
        <v>3.5475821601430675</v>
      </c>
      <c r="AR38" s="654">
        <v>3.6312142157501217</v>
      </c>
      <c r="AS38" s="654">
        <v>3.5963204881468398</v>
      </c>
      <c r="AT38" s="654">
        <v>3.5737593865278514</v>
      </c>
      <c r="AU38" s="654">
        <v>3.5950985844267072</v>
      </c>
      <c r="AV38" s="654">
        <v>3.7264326666612031</v>
      </c>
      <c r="AX38" s="654">
        <v>8.1988992605606903</v>
      </c>
      <c r="AY38" s="654">
        <v>4.7782655651365493</v>
      </c>
      <c r="AZ38" s="654">
        <v>3.5254172287638843</v>
      </c>
      <c r="BA38" s="654">
        <v>1.4189383270712521</v>
      </c>
      <c r="BB38" s="654">
        <v>0.93397051473501425</v>
      </c>
      <c r="BC38" s="654">
        <v>0.37193624806533176</v>
      </c>
      <c r="BD38" s="654">
        <v>9.8740870655030732E-2</v>
      </c>
      <c r="BE38" s="654"/>
      <c r="BF38" s="654">
        <v>0.14509343258200205</v>
      </c>
      <c r="BG38" s="654">
        <v>0.57785789231965778</v>
      </c>
      <c r="BH38" s="654">
        <v>0.70410203302240071</v>
      </c>
      <c r="BI38" s="654">
        <v>0.89590853994274877</v>
      </c>
      <c r="BJ38" s="654">
        <v>0.91909229807307424</v>
      </c>
      <c r="BK38" s="654">
        <v>0.95320182127843345</v>
      </c>
      <c r="BL38" s="654">
        <v>1.0656538354471625</v>
      </c>
      <c r="BN38" s="654">
        <v>5.2591316387622928</v>
      </c>
      <c r="BO38" s="654">
        <v>4.1906652988499538</v>
      </c>
      <c r="BP38" s="654">
        <v>3.7611239029078418</v>
      </c>
      <c r="BQ38" s="654">
        <v>3.1132413099036271</v>
      </c>
      <c r="BR38" s="654">
        <v>3.0028210656212893</v>
      </c>
      <c r="BS38" s="654">
        <v>2.9427868643720845</v>
      </c>
      <c r="BT38" s="654">
        <v>2.8431430536076938</v>
      </c>
    </row>
    <row r="39" spans="1:75" s="148" customFormat="1" ht="12">
      <c r="A39" s="653">
        <v>1991</v>
      </c>
      <c r="B39" s="654">
        <v>24.548610862926701</v>
      </c>
      <c r="C39" s="654">
        <v>33.693898486844624</v>
      </c>
      <c r="D39" s="654">
        <v>34.667092268796054</v>
      </c>
      <c r="E39" s="654">
        <v>36.665283665137665</v>
      </c>
      <c r="F39" s="654">
        <v>37.356737339521075</v>
      </c>
      <c r="G39" s="654">
        <v>38.984753689889814</v>
      </c>
      <c r="H39" s="654">
        <v>40.082693871520206</v>
      </c>
      <c r="I39" s="654"/>
      <c r="J39" s="654">
        <v>16.380007840701516</v>
      </c>
      <c r="K39" s="654">
        <v>28.686019231023181</v>
      </c>
      <c r="L39" s="654">
        <v>30.810949985126186</v>
      </c>
      <c r="M39" s="654">
        <v>34.951116514257642</v>
      </c>
      <c r="N39" s="654">
        <v>36.204621852160557</v>
      </c>
      <c r="O39" s="654">
        <v>38.521667472437272</v>
      </c>
      <c r="P39" s="654">
        <v>39.96056930681128</v>
      </c>
      <c r="Q39" s="654"/>
      <c r="R39" s="654">
        <v>5.2171537494545799</v>
      </c>
      <c r="S39" s="654">
        <v>14.038878391801735</v>
      </c>
      <c r="T39" s="654">
        <v>15.82555092422078</v>
      </c>
      <c r="U39" s="654">
        <v>19.45863645418104</v>
      </c>
      <c r="V39" s="654">
        <v>20.439160861075329</v>
      </c>
      <c r="W39" s="654">
        <v>21.887054631231269</v>
      </c>
      <c r="X39" s="654">
        <v>22.450499320238507</v>
      </c>
      <c r="Y39" s="655"/>
      <c r="Z39" s="654">
        <v>1.3551846668116274</v>
      </c>
      <c r="AA39" s="654">
        <v>3.1563763431361935</v>
      </c>
      <c r="AB39" s="654">
        <v>3.5203116552496749</v>
      </c>
      <c r="AC39" s="654">
        <v>4.2209541264849237</v>
      </c>
      <c r="AD39" s="654">
        <v>4.4147791322630274</v>
      </c>
      <c r="AE39" s="654">
        <v>4.7835933672634026</v>
      </c>
      <c r="AF39" s="654">
        <v>4.9708804633143657</v>
      </c>
      <c r="AG39" s="655"/>
      <c r="AH39" s="654">
        <v>1.6754747271535548</v>
      </c>
      <c r="AI39" s="654">
        <v>2.7864574764535068</v>
      </c>
      <c r="AJ39" s="654">
        <v>2.9602055945598376</v>
      </c>
      <c r="AK39" s="654">
        <v>3.1586274306184485</v>
      </c>
      <c r="AL39" s="654">
        <v>3.3114891751174587</v>
      </c>
      <c r="AM39" s="654">
        <v>3.7215509976339995</v>
      </c>
      <c r="AN39" s="654">
        <v>4.2444291553125284</v>
      </c>
      <c r="AO39" s="655"/>
      <c r="AP39" s="654">
        <v>2.6240332960794701</v>
      </c>
      <c r="AQ39" s="654">
        <v>3.9002401015864185</v>
      </c>
      <c r="AR39" s="654">
        <v>4.0288731950464403</v>
      </c>
      <c r="AS39" s="654">
        <v>4.1194529692266162</v>
      </c>
      <c r="AT39" s="654">
        <v>4.16663698100903</v>
      </c>
      <c r="AU39" s="654">
        <v>4.3199930216891058</v>
      </c>
      <c r="AV39" s="654">
        <v>4.4857092500753648</v>
      </c>
      <c r="AX39" s="654">
        <v>8.1686030222251844</v>
      </c>
      <c r="AY39" s="654">
        <v>5.0078792558214413</v>
      </c>
      <c r="AZ39" s="654">
        <v>3.8561422836698687</v>
      </c>
      <c r="BA39" s="654">
        <v>1.714167150880022</v>
      </c>
      <c r="BB39" s="654">
        <v>1.1521154873605144</v>
      </c>
      <c r="BC39" s="654">
        <v>0.46308621745254447</v>
      </c>
      <c r="BD39" s="654">
        <v>0.12212456470893063</v>
      </c>
      <c r="BE39" s="654"/>
      <c r="BF39" s="654">
        <v>0.13614634546697968</v>
      </c>
      <c r="BG39" s="654">
        <v>0.55736643172381917</v>
      </c>
      <c r="BH39" s="654">
        <v>0.68177191376518986</v>
      </c>
      <c r="BI39" s="654">
        <v>0.88867845551593938</v>
      </c>
      <c r="BJ39" s="654">
        <v>0.91848810539717718</v>
      </c>
      <c r="BK39" s="654">
        <v>0.97147402206172118</v>
      </c>
      <c r="BL39" s="654">
        <v>1.0953375135765411</v>
      </c>
      <c r="BN39" s="654">
        <v>5.3720150557353037</v>
      </c>
      <c r="BO39" s="654">
        <v>4.246700486321509</v>
      </c>
      <c r="BP39" s="654">
        <v>3.7942367022842629</v>
      </c>
      <c r="BQ39" s="654">
        <v>3.1047670782306804</v>
      </c>
      <c r="BR39" s="654">
        <v>2.9540675972985415</v>
      </c>
      <c r="BS39" s="654">
        <v>2.8380014325577751</v>
      </c>
      <c r="BT39" s="654">
        <v>2.7137136042939751</v>
      </c>
    </row>
    <row r="40" spans="1:75" s="148" customFormat="1" ht="12">
      <c r="A40" s="653">
        <v>1992</v>
      </c>
      <c r="B40" s="654">
        <v>23.762875544171646</v>
      </c>
      <c r="C40" s="654">
        <v>33.993801673057661</v>
      </c>
      <c r="D40" s="654">
        <v>35.163673686670123</v>
      </c>
      <c r="E40" s="654">
        <v>37.635856572737751</v>
      </c>
      <c r="F40" s="654">
        <v>38.567693993228119</v>
      </c>
      <c r="G40" s="654">
        <v>40.538049039758846</v>
      </c>
      <c r="H40" s="654">
        <v>41.9283767414491</v>
      </c>
      <c r="I40" s="654"/>
      <c r="J40" s="654">
        <v>15.760629202114158</v>
      </c>
      <c r="K40" s="654">
        <v>28.843559704210591</v>
      </c>
      <c r="L40" s="654">
        <v>31.179871181807925</v>
      </c>
      <c r="M40" s="654">
        <v>35.884469920930549</v>
      </c>
      <c r="N40" s="654">
        <v>37.402311073609759</v>
      </c>
      <c r="O40" s="654">
        <v>40.0828111170051</v>
      </c>
      <c r="P40" s="654">
        <v>41.812561302077988</v>
      </c>
      <c r="Q40" s="654"/>
      <c r="R40" s="654">
        <v>4.7971232666619992</v>
      </c>
      <c r="S40" s="654">
        <v>13.877614485753078</v>
      </c>
      <c r="T40" s="654">
        <v>15.810333198282736</v>
      </c>
      <c r="U40" s="654">
        <v>19.961834893882475</v>
      </c>
      <c r="V40" s="654">
        <v>21.183443287256026</v>
      </c>
      <c r="W40" s="654">
        <v>22.98021192226684</v>
      </c>
      <c r="X40" s="654">
        <v>23.99471789975064</v>
      </c>
      <c r="Y40" s="655"/>
      <c r="Z40" s="654">
        <v>1.3182515748677628</v>
      </c>
      <c r="AA40" s="654">
        <v>3.2536204558597737</v>
      </c>
      <c r="AB40" s="654">
        <v>3.6675956565529155</v>
      </c>
      <c r="AC40" s="654">
        <v>4.3878105022583611</v>
      </c>
      <c r="AD40" s="654">
        <v>4.5949592956932781</v>
      </c>
      <c r="AE40" s="654">
        <v>4.9559762652044963</v>
      </c>
      <c r="AF40" s="654">
        <v>5.0395267463674429</v>
      </c>
      <c r="AG40" s="655"/>
      <c r="AH40" s="654">
        <v>1.6820607741752913</v>
      </c>
      <c r="AI40" s="654">
        <v>3.0590956188781786</v>
      </c>
      <c r="AJ40" s="654">
        <v>3.2579863697064582</v>
      </c>
      <c r="AK40" s="654">
        <v>3.4251956481745198</v>
      </c>
      <c r="AL40" s="654">
        <v>3.5677377190175386</v>
      </c>
      <c r="AM40" s="654">
        <v>4.0315434024646386</v>
      </c>
      <c r="AN40" s="654">
        <v>4.5432745811517909</v>
      </c>
      <c r="AO40" s="655"/>
      <c r="AP40" s="654">
        <v>2.5313141212346686</v>
      </c>
      <c r="AQ40" s="654">
        <v>3.9064518930841174</v>
      </c>
      <c r="AR40" s="654">
        <v>4.0296172058835928</v>
      </c>
      <c r="AS40" s="654">
        <v>4.13215269729913</v>
      </c>
      <c r="AT40" s="654">
        <v>4.1643386609727226</v>
      </c>
      <c r="AU40" s="654">
        <v>4.2713838431337292</v>
      </c>
      <c r="AV40" s="654">
        <v>4.404663477020188</v>
      </c>
      <c r="AX40" s="654">
        <v>8.0022463420574876</v>
      </c>
      <c r="AY40" s="654">
        <v>5.1502419688470704</v>
      </c>
      <c r="AZ40" s="654">
        <v>3.9838025048621959</v>
      </c>
      <c r="BA40" s="654">
        <v>1.751386651807199</v>
      </c>
      <c r="BB40" s="654">
        <v>1.1653829196183616</v>
      </c>
      <c r="BC40" s="654">
        <v>0.45523792275374408</v>
      </c>
      <c r="BD40" s="654">
        <v>0.11581543937111485</v>
      </c>
      <c r="BE40" s="654"/>
      <c r="BF40" s="654">
        <v>0.12928163120380429</v>
      </c>
      <c r="BG40" s="654">
        <v>0.52007677856822654</v>
      </c>
      <c r="BH40" s="654">
        <v>0.63240521696670504</v>
      </c>
      <c r="BI40" s="654">
        <v>0.80466636286518956</v>
      </c>
      <c r="BJ40" s="654">
        <v>0.8273480581652044</v>
      </c>
      <c r="BK40" s="654">
        <v>0.85222799834848217</v>
      </c>
      <c r="BL40" s="654">
        <v>0.93523320546447886</v>
      </c>
      <c r="BN40" s="654">
        <v>5.3025978339706326</v>
      </c>
      <c r="BO40" s="654">
        <v>4.2267004720672157</v>
      </c>
      <c r="BP40" s="654">
        <v>3.7819335344155149</v>
      </c>
      <c r="BQ40" s="654">
        <v>3.1728098164508713</v>
      </c>
      <c r="BR40" s="654">
        <v>3.0644840525049903</v>
      </c>
      <c r="BS40" s="654">
        <v>2.9914676855869131</v>
      </c>
      <c r="BT40" s="654">
        <v>2.8951453923234514</v>
      </c>
      <c r="BV40" s="656"/>
      <c r="BW40" s="656"/>
    </row>
    <row r="41" spans="1:75" s="148" customFormat="1" ht="12">
      <c r="A41" s="653">
        <v>1993</v>
      </c>
      <c r="B41" s="654">
        <v>23.692398626641172</v>
      </c>
      <c r="C41" s="654">
        <v>35.015125282315594</v>
      </c>
      <c r="D41" s="654">
        <v>36.708365619093968</v>
      </c>
      <c r="E41" s="654">
        <v>40.761793481913713</v>
      </c>
      <c r="F41" s="654">
        <v>42.343647805092857</v>
      </c>
      <c r="G41" s="654">
        <v>45.997976743456498</v>
      </c>
      <c r="H41" s="654">
        <v>48.284483417721702</v>
      </c>
      <c r="I41" s="654"/>
      <c r="J41" s="654">
        <v>15.721305295597295</v>
      </c>
      <c r="K41" s="654">
        <v>29.799800508309946</v>
      </c>
      <c r="L41" s="654">
        <v>32.618764652024808</v>
      </c>
      <c r="M41" s="654">
        <v>38.906422848485576</v>
      </c>
      <c r="N41" s="654">
        <v>41.103364776470137</v>
      </c>
      <c r="O41" s="654">
        <v>45.504910187913211</v>
      </c>
      <c r="P41" s="654">
        <v>48.153499989277371</v>
      </c>
      <c r="Q41" s="654"/>
      <c r="R41" s="654">
        <v>4.7208584653575558</v>
      </c>
      <c r="S41" s="654">
        <v>14.52617084760967</v>
      </c>
      <c r="T41" s="654">
        <v>16.835189166081033</v>
      </c>
      <c r="U41" s="654">
        <v>22.341165185697882</v>
      </c>
      <c r="V41" s="654">
        <v>24.128105956814778</v>
      </c>
      <c r="W41" s="654">
        <v>27.161516010227771</v>
      </c>
      <c r="X41" s="654">
        <v>28.461976427716923</v>
      </c>
      <c r="Y41" s="655"/>
      <c r="Z41" s="654">
        <v>1.3116288699052137</v>
      </c>
      <c r="AA41" s="654">
        <v>3.2984291800980223</v>
      </c>
      <c r="AB41" s="654">
        <v>3.7473842183865127</v>
      </c>
      <c r="AC41" s="654">
        <v>4.6145074063732787</v>
      </c>
      <c r="AD41" s="654">
        <v>4.8955627287912611</v>
      </c>
      <c r="AE41" s="654">
        <v>5.4779059630654432</v>
      </c>
      <c r="AF41" s="654">
        <v>5.8083154742368759</v>
      </c>
      <c r="AG41" s="655"/>
      <c r="AH41" s="654">
        <v>1.9014624816885886</v>
      </c>
      <c r="AI41" s="654">
        <v>3.4182025154518292</v>
      </c>
      <c r="AJ41" s="654">
        <v>3.6711870390365435</v>
      </c>
      <c r="AK41" s="654">
        <v>3.9562800708230728</v>
      </c>
      <c r="AL41" s="654">
        <v>4.1667185009856125</v>
      </c>
      <c r="AM41" s="654">
        <v>4.8208131526739511</v>
      </c>
      <c r="AN41" s="654">
        <v>5.5989626804670465</v>
      </c>
      <c r="AO41" s="655"/>
      <c r="AP41" s="654">
        <v>2.4276027420881867</v>
      </c>
      <c r="AQ41" s="654">
        <v>3.8423089196343567</v>
      </c>
      <c r="AR41" s="654">
        <v>3.9995377316633336</v>
      </c>
      <c r="AS41" s="654">
        <v>4.1612633414817708</v>
      </c>
      <c r="AT41" s="654">
        <v>4.2223400754793738</v>
      </c>
      <c r="AU41" s="654">
        <v>4.4428799478770573</v>
      </c>
      <c r="AV41" s="654">
        <v>4.7084306971794065</v>
      </c>
      <c r="AX41" s="654">
        <v>7.971093331043873</v>
      </c>
      <c r="AY41" s="654">
        <v>5.2153247740056479</v>
      </c>
      <c r="AZ41" s="654">
        <v>4.0896009670691615</v>
      </c>
      <c r="BA41" s="654">
        <v>1.8553706334281355</v>
      </c>
      <c r="BB41" s="654">
        <v>1.240283028622718</v>
      </c>
      <c r="BC41" s="654">
        <v>0.49306655554328999</v>
      </c>
      <c r="BD41" s="654">
        <v>0.13098342844433311</v>
      </c>
      <c r="BE41" s="654"/>
      <c r="BF41" s="654">
        <v>0.13742672246747231</v>
      </c>
      <c r="BG41" s="654">
        <v>0.56088637779178074</v>
      </c>
      <c r="BH41" s="654">
        <v>0.68766852323090277</v>
      </c>
      <c r="BI41" s="654">
        <v>0.89346861303941894</v>
      </c>
      <c r="BJ41" s="654">
        <v>0.9242769822801139</v>
      </c>
      <c r="BK41" s="654">
        <v>0.98115826935924744</v>
      </c>
      <c r="BL41" s="654">
        <v>1.0918596016121984</v>
      </c>
      <c r="BN41" s="654">
        <v>5.222326014090279</v>
      </c>
      <c r="BO41" s="654">
        <v>4.1538026677242899</v>
      </c>
      <c r="BP41" s="654">
        <v>3.677797973626483</v>
      </c>
      <c r="BQ41" s="654">
        <v>2.9397382310701552</v>
      </c>
      <c r="BR41" s="654">
        <v>2.7663605321190032</v>
      </c>
      <c r="BS41" s="654">
        <v>2.6206368447097388</v>
      </c>
      <c r="BT41" s="654">
        <v>2.4839551080649183</v>
      </c>
      <c r="BV41" s="656"/>
      <c r="BW41" s="656"/>
    </row>
    <row r="42" spans="1:75" s="148" customFormat="1" ht="12">
      <c r="A42" s="653">
        <v>1994</v>
      </c>
      <c r="B42" s="654">
        <v>23.984045300056891</v>
      </c>
      <c r="C42" s="654">
        <v>35.572430307023865</v>
      </c>
      <c r="D42" s="654">
        <v>37.300528642637943</v>
      </c>
      <c r="E42" s="654">
        <v>41.430603645399515</v>
      </c>
      <c r="F42" s="654">
        <v>43.047296398568719</v>
      </c>
      <c r="G42" s="654">
        <v>46.339314079914772</v>
      </c>
      <c r="H42" s="654">
        <v>48.205937733651986</v>
      </c>
      <c r="I42" s="654"/>
      <c r="J42" s="654">
        <v>16.149104955313344</v>
      </c>
      <c r="K42" s="654">
        <v>30.171041863684348</v>
      </c>
      <c r="L42" s="654">
        <v>32.927837718887886</v>
      </c>
      <c r="M42" s="654">
        <v>38.947641367169659</v>
      </c>
      <c r="N42" s="654">
        <v>41.113959253971196</v>
      </c>
      <c r="O42" s="654">
        <v>45.155229166760549</v>
      </c>
      <c r="P42" s="654">
        <v>47.521021874585401</v>
      </c>
      <c r="Q42" s="654"/>
      <c r="R42" s="654">
        <v>4.7609853361648575</v>
      </c>
      <c r="S42" s="654">
        <v>14.709511382629628</v>
      </c>
      <c r="T42" s="654">
        <v>16.983673458502942</v>
      </c>
      <c r="U42" s="654">
        <v>22.315008287772336</v>
      </c>
      <c r="V42" s="654">
        <v>24.052314431875583</v>
      </c>
      <c r="W42" s="654">
        <v>26.786313898522216</v>
      </c>
      <c r="X42" s="654">
        <v>27.854037333658514</v>
      </c>
      <c r="Y42" s="655"/>
      <c r="Z42" s="654">
        <v>1.3338568527555625</v>
      </c>
      <c r="AA42" s="654">
        <v>3.1625990388434193</v>
      </c>
      <c r="AB42" s="654">
        <v>3.5419550324350011</v>
      </c>
      <c r="AC42" s="654">
        <v>4.2738547535141347</v>
      </c>
      <c r="AD42" s="654">
        <v>4.4679145648987273</v>
      </c>
      <c r="AE42" s="654">
        <v>4.8877446969272924</v>
      </c>
      <c r="AF42" s="654">
        <v>5.0863182337414061</v>
      </c>
      <c r="AG42" s="655"/>
      <c r="AH42" s="654">
        <v>2.0230331094294014</v>
      </c>
      <c r="AI42" s="654">
        <v>3.5113351540325959</v>
      </c>
      <c r="AJ42" s="654">
        <v>3.7941748955732852</v>
      </c>
      <c r="AK42" s="654">
        <v>4.1174169758535193</v>
      </c>
      <c r="AL42" s="654">
        <v>4.3892369106115021</v>
      </c>
      <c r="AM42" s="654">
        <v>5.0957408581080497</v>
      </c>
      <c r="AN42" s="654">
        <v>5.9704336807606575</v>
      </c>
      <c r="AO42" s="655"/>
      <c r="AP42" s="654">
        <v>2.4306008495082887</v>
      </c>
      <c r="AQ42" s="654">
        <v>3.8460448975275332</v>
      </c>
      <c r="AR42" s="654">
        <v>4.0243714564023518</v>
      </c>
      <c r="AS42" s="654">
        <v>4.2078090191523181</v>
      </c>
      <c r="AT42" s="654">
        <v>4.3288479903317221</v>
      </c>
      <c r="AU42" s="654">
        <v>4.6020943969978312</v>
      </c>
      <c r="AV42" s="654">
        <v>4.8515954417784108</v>
      </c>
      <c r="AX42" s="654">
        <v>7.8349403447435462</v>
      </c>
      <c r="AY42" s="654">
        <v>5.4013884433395258</v>
      </c>
      <c r="AZ42" s="654">
        <v>4.3726909237500564</v>
      </c>
      <c r="BA42" s="654">
        <v>2.4829622782298579</v>
      </c>
      <c r="BB42" s="654">
        <v>1.933337144597524</v>
      </c>
      <c r="BC42" s="654">
        <v>1.1840849131542197</v>
      </c>
      <c r="BD42" s="654">
        <v>0.68491585906658592</v>
      </c>
      <c r="BE42" s="654"/>
      <c r="BF42" s="654">
        <v>0.14902300434507504</v>
      </c>
      <c r="BG42" s="654">
        <v>0.60460963269777634</v>
      </c>
      <c r="BH42" s="654">
        <v>0.73799595805246199</v>
      </c>
      <c r="BI42" s="654">
        <v>0.95388509083420503</v>
      </c>
      <c r="BJ42" s="654">
        <v>0.98483135923567844</v>
      </c>
      <c r="BK42" s="654">
        <v>1.0418200596877454</v>
      </c>
      <c r="BL42" s="654">
        <v>1.1541135205240263</v>
      </c>
      <c r="BN42" s="654">
        <v>5.4516058031101586</v>
      </c>
      <c r="BO42" s="654">
        <v>4.336941757953392</v>
      </c>
      <c r="BP42" s="654">
        <v>3.8456669179218479</v>
      </c>
      <c r="BQ42" s="654">
        <v>3.079667240043146</v>
      </c>
      <c r="BR42" s="654">
        <v>2.8908139970179811</v>
      </c>
      <c r="BS42" s="654">
        <v>2.741515256517411</v>
      </c>
      <c r="BT42" s="654">
        <v>2.6045236641223912</v>
      </c>
      <c r="BV42" s="656"/>
      <c r="BW42" s="656"/>
    </row>
    <row r="43" spans="1:75" s="148" customFormat="1" ht="12">
      <c r="A43" s="653">
        <v>1995</v>
      </c>
      <c r="B43" s="654">
        <v>23.891769020612845</v>
      </c>
      <c r="C43" s="654">
        <v>35.861522512762832</v>
      </c>
      <c r="D43" s="654">
        <v>37.638031058551974</v>
      </c>
      <c r="E43" s="654">
        <v>41.63737258510421</v>
      </c>
      <c r="F43" s="654">
        <v>43.206120228133578</v>
      </c>
      <c r="G43" s="654">
        <v>46.290304937473408</v>
      </c>
      <c r="H43" s="654">
        <v>47.563771695418119</v>
      </c>
      <c r="I43" s="654"/>
      <c r="J43" s="654">
        <v>16.063381865088559</v>
      </c>
      <c r="K43" s="654">
        <v>30.620710614356529</v>
      </c>
      <c r="L43" s="654">
        <v>33.416601799353487</v>
      </c>
      <c r="M43" s="654">
        <v>39.249341165328083</v>
      </c>
      <c r="N43" s="654">
        <v>41.329282013316501</v>
      </c>
      <c r="O43" s="654">
        <v>45.105044126322838</v>
      </c>
      <c r="P43" s="654">
        <v>46.829628373411396</v>
      </c>
      <c r="Q43" s="654"/>
      <c r="R43" s="654">
        <v>4.7726927220786877</v>
      </c>
      <c r="S43" s="654">
        <v>15.155311553201258</v>
      </c>
      <c r="T43" s="654">
        <v>17.50706196630356</v>
      </c>
      <c r="U43" s="654">
        <v>22.789969402708905</v>
      </c>
      <c r="V43" s="654">
        <v>24.476511084140043</v>
      </c>
      <c r="W43" s="654">
        <v>27.056861966682348</v>
      </c>
      <c r="X43" s="654">
        <v>27.636338321211195</v>
      </c>
      <c r="Y43" s="655"/>
      <c r="Z43" s="654">
        <v>1.3389144185160506</v>
      </c>
      <c r="AA43" s="654">
        <v>3.2126078762423327</v>
      </c>
      <c r="AB43" s="654">
        <v>3.6084106333747417</v>
      </c>
      <c r="AC43" s="654">
        <v>4.3095071472452595</v>
      </c>
      <c r="AD43" s="654">
        <v>4.5223120371388754</v>
      </c>
      <c r="AE43" s="654">
        <v>4.9185589313370217</v>
      </c>
      <c r="AF43" s="654">
        <v>5.0005133278741232</v>
      </c>
      <c r="AG43" s="655"/>
      <c r="AH43" s="654">
        <v>2.1496651560670923</v>
      </c>
      <c r="AI43" s="654">
        <v>3.7371098576739481</v>
      </c>
      <c r="AJ43" s="654">
        <v>4.0297288644728742</v>
      </c>
      <c r="AK43" s="654">
        <v>4.3477001623304057</v>
      </c>
      <c r="AL43" s="654">
        <v>4.5963874369725124</v>
      </c>
      <c r="AM43" s="654">
        <v>5.3088984865364397</v>
      </c>
      <c r="AN43" s="654">
        <v>6.1701301167777594</v>
      </c>
      <c r="AO43" s="655"/>
      <c r="AP43" s="654">
        <v>2.319322482501351</v>
      </c>
      <c r="AQ43" s="654">
        <v>3.7224147310832736</v>
      </c>
      <c r="AR43" s="654">
        <v>3.855290481126826</v>
      </c>
      <c r="AS43" s="654">
        <v>3.9894335430579275</v>
      </c>
      <c r="AT43" s="654">
        <v>4.082767829784081</v>
      </c>
      <c r="AU43" s="654">
        <v>4.2879221420749092</v>
      </c>
      <c r="AV43" s="654">
        <v>4.530681737562352</v>
      </c>
      <c r="AX43" s="654">
        <v>7.828387155524287</v>
      </c>
      <c r="AY43" s="654">
        <v>5.2408118984062977</v>
      </c>
      <c r="AZ43" s="654">
        <v>4.2214292591984837</v>
      </c>
      <c r="BA43" s="654">
        <v>2.388031419776127</v>
      </c>
      <c r="BB43" s="654">
        <v>1.876838214817077</v>
      </c>
      <c r="BC43" s="654">
        <v>1.1852608111505691</v>
      </c>
      <c r="BD43" s="654">
        <v>0.73414332200672405</v>
      </c>
      <c r="BE43" s="654"/>
      <c r="BF43" s="654">
        <v>0.14040092152989184</v>
      </c>
      <c r="BG43" s="654">
        <v>0.55897692793925291</v>
      </c>
      <c r="BH43" s="654">
        <v>0.67649156250414089</v>
      </c>
      <c r="BI43" s="654">
        <v>0.85412602532969084</v>
      </c>
      <c r="BJ43" s="654">
        <v>0.87353551086285997</v>
      </c>
      <c r="BK43" s="654">
        <v>0.91143142122529286</v>
      </c>
      <c r="BL43" s="654">
        <v>1.0020480799138733</v>
      </c>
      <c r="BN43" s="654">
        <v>5.342386164395486</v>
      </c>
      <c r="BO43" s="654">
        <v>4.2342896682164675</v>
      </c>
      <c r="BP43" s="654">
        <v>3.7396182915713436</v>
      </c>
      <c r="BQ43" s="654">
        <v>2.9586048846558897</v>
      </c>
      <c r="BR43" s="654">
        <v>2.7777681144181283</v>
      </c>
      <c r="BS43" s="654">
        <v>2.6213711784668217</v>
      </c>
      <c r="BT43" s="654">
        <v>2.4899167900720931</v>
      </c>
      <c r="BV43" s="656"/>
      <c r="BW43" s="656"/>
    </row>
    <row r="44" spans="1:75" s="148" customFormat="1" ht="12">
      <c r="A44" s="653">
        <v>1996</v>
      </c>
      <c r="B44" s="654">
        <v>24.059188314951417</v>
      </c>
      <c r="C44" s="654">
        <v>36.67484386613588</v>
      </c>
      <c r="D44" s="654">
        <v>38.676738060293587</v>
      </c>
      <c r="E44" s="654">
        <v>43.256704059945399</v>
      </c>
      <c r="F44" s="654">
        <v>45.094148603146955</v>
      </c>
      <c r="G44" s="654">
        <v>48.748426465442193</v>
      </c>
      <c r="H44" s="654">
        <v>50.683131559973887</v>
      </c>
      <c r="I44" s="654"/>
      <c r="J44" s="654">
        <v>16.276715531219121</v>
      </c>
      <c r="K44" s="654">
        <v>31.657753229453551</v>
      </c>
      <c r="L44" s="654">
        <v>34.635637958068855</v>
      </c>
      <c r="M44" s="654">
        <v>40.948489453077066</v>
      </c>
      <c r="N44" s="654">
        <v>43.249134669988969</v>
      </c>
      <c r="O44" s="654">
        <v>47.535023509675071</v>
      </c>
      <c r="P44" s="654">
        <v>49.882227270965799</v>
      </c>
      <c r="Q44" s="654"/>
      <c r="R44" s="654">
        <v>4.9501605502528383</v>
      </c>
      <c r="S44" s="654">
        <v>16.243613365706448</v>
      </c>
      <c r="T44" s="654">
        <v>18.851664820947573</v>
      </c>
      <c r="U44" s="654">
        <v>24.702011836930794</v>
      </c>
      <c r="V44" s="654">
        <v>26.62941353916931</v>
      </c>
      <c r="W44" s="654">
        <v>29.792373846933245</v>
      </c>
      <c r="X44" s="654">
        <v>31.065041992832963</v>
      </c>
      <c r="Y44" s="655"/>
      <c r="Z44" s="654">
        <v>1.3420603838921481</v>
      </c>
      <c r="AA44" s="654">
        <v>3.2398787561359157</v>
      </c>
      <c r="AB44" s="654">
        <v>3.6568569354234781</v>
      </c>
      <c r="AC44" s="654">
        <v>4.4350230266131776</v>
      </c>
      <c r="AD44" s="654">
        <v>4.6699899132902072</v>
      </c>
      <c r="AE44" s="654">
        <v>5.1194084663168704</v>
      </c>
      <c r="AF44" s="654">
        <v>5.3088429003758648</v>
      </c>
      <c r="AG44" s="655"/>
      <c r="AH44" s="654">
        <v>2.2096655473975302</v>
      </c>
      <c r="AI44" s="654">
        <v>3.7701476723301375</v>
      </c>
      <c r="AJ44" s="654">
        <v>3.9920901666529653</v>
      </c>
      <c r="AK44" s="654">
        <v>4.2331011422380094</v>
      </c>
      <c r="AL44" s="654">
        <v>4.4661854235402547</v>
      </c>
      <c r="AM44" s="654">
        <v>5.0808384426702915</v>
      </c>
      <c r="AN44" s="654">
        <v>5.8097821830014222</v>
      </c>
      <c r="AO44" s="655"/>
      <c r="AP44" s="654">
        <v>2.2949857833940572</v>
      </c>
      <c r="AQ44" s="654">
        <v>3.6301343080850303</v>
      </c>
      <c r="AR44" s="654">
        <v>3.7284450314918547</v>
      </c>
      <c r="AS44" s="654">
        <v>3.7850411080444326</v>
      </c>
      <c r="AT44" s="654">
        <v>3.8564046125898708</v>
      </c>
      <c r="AU44" s="654">
        <v>4.0355239271722088</v>
      </c>
      <c r="AV44" s="654">
        <v>4.2190217221092992</v>
      </c>
      <c r="AX44" s="654">
        <v>7.7824727837322971</v>
      </c>
      <c r="AY44" s="654">
        <v>5.0170906366823225</v>
      </c>
      <c r="AZ44" s="654">
        <v>4.0411001022247319</v>
      </c>
      <c r="BA44" s="654">
        <v>2.3082146068683334</v>
      </c>
      <c r="BB44" s="654">
        <v>1.8450139331579833</v>
      </c>
      <c r="BC44" s="654">
        <v>1.2134029557671122</v>
      </c>
      <c r="BD44" s="654">
        <v>0.80090428900808486</v>
      </c>
      <c r="BE44" s="654"/>
      <c r="BF44" s="654">
        <v>0.15383003724782823</v>
      </c>
      <c r="BG44" s="654">
        <v>0.59559242445986293</v>
      </c>
      <c r="BH44" s="654">
        <v>0.71441392404564186</v>
      </c>
      <c r="BI44" s="654">
        <v>0.88626797378546407</v>
      </c>
      <c r="BJ44" s="654">
        <v>0.90209084175178877</v>
      </c>
      <c r="BK44" s="654">
        <v>0.93070692863086535</v>
      </c>
      <c r="BL44" s="654">
        <v>1.0096024138768871</v>
      </c>
      <c r="BN44" s="654">
        <v>5.326013229034718</v>
      </c>
      <c r="BO44" s="654">
        <v>4.1783867027361605</v>
      </c>
      <c r="BP44" s="654">
        <v>3.692167079507342</v>
      </c>
      <c r="BQ44" s="654">
        <v>2.9070443654651879</v>
      </c>
      <c r="BR44" s="654">
        <v>2.7250503396475443</v>
      </c>
      <c r="BS44" s="654">
        <v>2.5761718979515948</v>
      </c>
      <c r="BT44" s="654">
        <v>2.4699360587693708</v>
      </c>
      <c r="BV44" s="656"/>
      <c r="BW44" s="656"/>
    </row>
    <row r="45" spans="1:75" s="148" customFormat="1" ht="12">
      <c r="A45" s="653">
        <v>1997</v>
      </c>
      <c r="B45" s="654">
        <v>24.141483944125486</v>
      </c>
      <c r="C45" s="654">
        <v>37.332514289741553</v>
      </c>
      <c r="D45" s="654">
        <v>39.455323582371008</v>
      </c>
      <c r="E45" s="654">
        <v>44.099000877494312</v>
      </c>
      <c r="F45" s="654">
        <v>45.678306310609059</v>
      </c>
      <c r="G45" s="654">
        <v>49.11192778306846</v>
      </c>
      <c r="H45" s="654">
        <v>50.775060477259274</v>
      </c>
      <c r="I45" s="654"/>
      <c r="J45" s="654">
        <v>16.34037243988578</v>
      </c>
      <c r="K45" s="654">
        <v>32.430186967578948</v>
      </c>
      <c r="L45" s="654">
        <v>35.521584186420377</v>
      </c>
      <c r="M45" s="654">
        <v>41.862895954579663</v>
      </c>
      <c r="N45" s="654">
        <v>43.877467854277334</v>
      </c>
      <c r="O45" s="654">
        <v>47.886543186074292</v>
      </c>
      <c r="P45" s="654">
        <v>49.919127385887045</v>
      </c>
      <c r="Q45" s="654"/>
      <c r="R45" s="654">
        <v>5.1414182756036135</v>
      </c>
      <c r="S45" s="654">
        <v>17.022481370137513</v>
      </c>
      <c r="T45" s="654">
        <v>19.749823721299229</v>
      </c>
      <c r="U45" s="654">
        <v>25.626001626348092</v>
      </c>
      <c r="V45" s="654">
        <v>27.401115447735236</v>
      </c>
      <c r="W45" s="654">
        <v>30.385837136942662</v>
      </c>
      <c r="X45" s="654">
        <v>31.394379634286601</v>
      </c>
      <c r="Y45" s="655"/>
      <c r="Z45" s="654">
        <v>1.3289705997916657</v>
      </c>
      <c r="AA45" s="654">
        <v>3.3176652831489051</v>
      </c>
      <c r="AB45" s="654">
        <v>3.7340485606321328</v>
      </c>
      <c r="AC45" s="654">
        <v>4.5121515369468828</v>
      </c>
      <c r="AD45" s="654">
        <v>4.7387563993916411</v>
      </c>
      <c r="AE45" s="654">
        <v>5.182072702283345</v>
      </c>
      <c r="AF45" s="654">
        <v>5.4353219846201677</v>
      </c>
      <c r="AG45" s="655"/>
      <c r="AH45" s="654">
        <v>2.1734403648834264</v>
      </c>
      <c r="AI45" s="654">
        <v>3.7978532303955479</v>
      </c>
      <c r="AJ45" s="654">
        <v>4.0002548087533318</v>
      </c>
      <c r="AK45" s="654">
        <v>4.2346926401331126</v>
      </c>
      <c r="AL45" s="654">
        <v>4.3906303236050634</v>
      </c>
      <c r="AM45" s="654">
        <v>4.9588979243865339</v>
      </c>
      <c r="AN45" s="654">
        <v>5.6179622720549469</v>
      </c>
      <c r="AO45" s="655"/>
      <c r="AP45" s="654">
        <v>2.2562440945598499</v>
      </c>
      <c r="AQ45" s="654">
        <v>3.5845286873353519</v>
      </c>
      <c r="AR45" s="654">
        <v>3.6791265799724369</v>
      </c>
      <c r="AS45" s="654">
        <v>3.7459279806584922</v>
      </c>
      <c r="AT45" s="654">
        <v>3.7758596423814219</v>
      </c>
      <c r="AU45" s="654">
        <v>3.9050201102051139</v>
      </c>
      <c r="AV45" s="654">
        <v>4.0534477389076677</v>
      </c>
      <c r="AX45" s="654">
        <v>7.8011115042397075</v>
      </c>
      <c r="AY45" s="654">
        <v>4.9023273221626047</v>
      </c>
      <c r="AZ45" s="654">
        <v>3.9337393959506368</v>
      </c>
      <c r="BA45" s="654">
        <v>2.236104922914647</v>
      </c>
      <c r="BB45" s="654">
        <v>1.8008384563317228</v>
      </c>
      <c r="BC45" s="654">
        <v>1.2253845969941679</v>
      </c>
      <c r="BD45" s="654">
        <v>0.85593309137222962</v>
      </c>
      <c r="BE45" s="654"/>
      <c r="BF45" s="654">
        <v>0.17090048346031522</v>
      </c>
      <c r="BG45" s="654">
        <v>0.63857770349564247</v>
      </c>
      <c r="BH45" s="654">
        <v>0.75946354663453175</v>
      </c>
      <c r="BI45" s="654">
        <v>0.9218180026135635</v>
      </c>
      <c r="BJ45" s="654">
        <v>0.92665380632415117</v>
      </c>
      <c r="BK45" s="654">
        <v>0.94154488683890047</v>
      </c>
      <c r="BL45" s="654">
        <v>1.002042163374353</v>
      </c>
      <c r="BN45" s="654">
        <v>5.2693986215869089</v>
      </c>
      <c r="BO45" s="654">
        <v>4.0690806930659935</v>
      </c>
      <c r="BP45" s="654">
        <v>3.5988669691287103</v>
      </c>
      <c r="BQ45" s="654">
        <v>2.8223041678795253</v>
      </c>
      <c r="BR45" s="654">
        <v>2.6444522348398194</v>
      </c>
      <c r="BS45" s="654">
        <v>2.5131704254177429</v>
      </c>
      <c r="BT45" s="654">
        <v>2.4159735926433048</v>
      </c>
      <c r="BV45" s="656"/>
      <c r="BW45" s="656"/>
    </row>
    <row r="46" spans="1:75" s="148" customFormat="1" ht="12">
      <c r="A46" s="653">
        <v>1998</v>
      </c>
      <c r="B46" s="654">
        <v>24.174456565062751</v>
      </c>
      <c r="C46" s="654">
        <v>38.454422573413382</v>
      </c>
      <c r="D46" s="654">
        <v>40.845364616777019</v>
      </c>
      <c r="E46" s="654">
        <v>46.069785332897936</v>
      </c>
      <c r="F46" s="654">
        <v>47.977029926038533</v>
      </c>
      <c r="G46" s="654">
        <v>51.532692205142382</v>
      </c>
      <c r="H46" s="654">
        <v>52.662606788410798</v>
      </c>
      <c r="I46" s="654"/>
      <c r="J46" s="654">
        <v>16.337398743112256</v>
      </c>
      <c r="K46" s="654">
        <v>33.554215727144324</v>
      </c>
      <c r="L46" s="654">
        <v>36.894565970740359</v>
      </c>
      <c r="M46" s="654">
        <v>43.797956468200034</v>
      </c>
      <c r="N46" s="654">
        <v>46.120095855235398</v>
      </c>
      <c r="O46" s="654">
        <v>50.206616998608517</v>
      </c>
      <c r="P46" s="654">
        <v>51.639589752664222</v>
      </c>
      <c r="Q46" s="654"/>
      <c r="R46" s="654">
        <v>5.1862901885250725</v>
      </c>
      <c r="S46" s="654">
        <v>18.149810538943129</v>
      </c>
      <c r="T46" s="654">
        <v>21.086473287790621</v>
      </c>
      <c r="U46" s="654">
        <v>27.353308312481346</v>
      </c>
      <c r="V46" s="654">
        <v>29.33782131860923</v>
      </c>
      <c r="W46" s="654">
        <v>32.462539904989299</v>
      </c>
      <c r="X46" s="654">
        <v>33.330452376017007</v>
      </c>
      <c r="Y46" s="655"/>
      <c r="Z46" s="654">
        <v>1.37558327712816</v>
      </c>
      <c r="AA46" s="654">
        <v>3.508258273333297</v>
      </c>
      <c r="AB46" s="654">
        <v>3.964558400490148</v>
      </c>
      <c r="AC46" s="654">
        <v>4.8433014911166516</v>
      </c>
      <c r="AD46" s="654">
        <v>5.0856205587673751</v>
      </c>
      <c r="AE46" s="654">
        <v>5.5269842564092029</v>
      </c>
      <c r="AF46" s="654">
        <v>5.5795129457376822</v>
      </c>
      <c r="AG46" s="655"/>
      <c r="AH46" s="654">
        <v>2.0189285377204866</v>
      </c>
      <c r="AI46" s="654">
        <v>3.5400490257091959</v>
      </c>
      <c r="AJ46" s="654">
        <v>3.7158340619306376</v>
      </c>
      <c r="AK46" s="654">
        <v>3.9999785046849148</v>
      </c>
      <c r="AL46" s="654">
        <v>4.191471758446851</v>
      </c>
      <c r="AM46" s="654">
        <v>4.7241909305525214</v>
      </c>
      <c r="AN46" s="654">
        <v>5.2082877107818621</v>
      </c>
      <c r="AO46" s="655"/>
      <c r="AP46" s="654">
        <v>2.17888953655069</v>
      </c>
      <c r="AQ46" s="654">
        <v>3.532813455595305</v>
      </c>
      <c r="AR46" s="654">
        <v>3.6348104101523178</v>
      </c>
      <c r="AS46" s="654">
        <v>3.7088567154694414</v>
      </c>
      <c r="AT46" s="654">
        <v>3.7623581279732372</v>
      </c>
      <c r="AU46" s="654">
        <v>3.8691763301498456</v>
      </c>
      <c r="AV46" s="654">
        <v>3.9247463471470767</v>
      </c>
      <c r="AX46" s="654">
        <v>7.8370578219504967</v>
      </c>
      <c r="AY46" s="654">
        <v>4.9002068462690529</v>
      </c>
      <c r="AZ46" s="654">
        <v>3.9507986460366684</v>
      </c>
      <c r="BA46" s="654">
        <v>2.2718288646979037</v>
      </c>
      <c r="BB46" s="654">
        <v>1.8569340708031346</v>
      </c>
      <c r="BC46" s="654">
        <v>1.3260752065338677</v>
      </c>
      <c r="BD46" s="654">
        <v>1.0230170357465764</v>
      </c>
      <c r="BE46" s="654"/>
      <c r="BF46" s="654">
        <v>0.19719260376087436</v>
      </c>
      <c r="BG46" s="654">
        <v>0.71453190467519945</v>
      </c>
      <c r="BH46" s="654">
        <v>0.84512606163450599</v>
      </c>
      <c r="BI46" s="654">
        <v>1.0162039352904217</v>
      </c>
      <c r="BJ46" s="654">
        <v>1.0221275690287612</v>
      </c>
      <c r="BK46" s="654">
        <v>1.0101256675945913</v>
      </c>
      <c r="BL46" s="654">
        <v>1.0485083315793584</v>
      </c>
      <c r="BN46" s="654">
        <v>5.380514599426971</v>
      </c>
      <c r="BO46" s="654">
        <v>4.1087525288882025</v>
      </c>
      <c r="BP46" s="654">
        <v>3.6477637487421255</v>
      </c>
      <c r="BQ46" s="654">
        <v>2.8763075091572556</v>
      </c>
      <c r="BR46" s="654">
        <v>2.7206965224099426</v>
      </c>
      <c r="BS46" s="654">
        <v>2.6135999089130504</v>
      </c>
      <c r="BT46" s="654">
        <v>2.5480820414012362</v>
      </c>
      <c r="BV46" s="656"/>
      <c r="BW46" s="656"/>
    </row>
    <row r="47" spans="1:75" s="148" customFormat="1" ht="12">
      <c r="A47" s="653">
        <v>1999</v>
      </c>
      <c r="B47" s="654">
        <v>24.104025862687497</v>
      </c>
      <c r="C47" s="654">
        <v>39.031188192605846</v>
      </c>
      <c r="D47" s="654">
        <v>41.394044857362253</v>
      </c>
      <c r="E47" s="654">
        <v>46.399442126598373</v>
      </c>
      <c r="F47" s="654">
        <v>48.150979307358206</v>
      </c>
      <c r="G47" s="654">
        <v>51.447291408387102</v>
      </c>
      <c r="H47" s="654">
        <v>52.378168467252443</v>
      </c>
      <c r="I47" s="654"/>
      <c r="J47" s="654">
        <v>16.210815899863064</v>
      </c>
      <c r="K47" s="654">
        <v>34.089866097155436</v>
      </c>
      <c r="L47" s="654">
        <v>37.432872305547441</v>
      </c>
      <c r="M47" s="654">
        <v>44.123672395175475</v>
      </c>
      <c r="N47" s="654">
        <v>46.272585355854318</v>
      </c>
      <c r="O47" s="654">
        <v>50.048737012330839</v>
      </c>
      <c r="P47" s="654">
        <v>51.195737461487141</v>
      </c>
      <c r="Q47" s="654"/>
      <c r="R47" s="654">
        <v>5.1645584419733455</v>
      </c>
      <c r="S47" s="654">
        <v>18.698439968921445</v>
      </c>
      <c r="T47" s="654">
        <v>21.623880610106987</v>
      </c>
      <c r="U47" s="654">
        <v>27.621794690704348</v>
      </c>
      <c r="V47" s="654">
        <v>29.451130706381168</v>
      </c>
      <c r="W47" s="654">
        <v>32.424296970993041</v>
      </c>
      <c r="X47" s="654">
        <v>33.148851833326965</v>
      </c>
      <c r="Y47" s="655"/>
      <c r="Z47" s="654">
        <v>1.3175530462899114</v>
      </c>
      <c r="AA47" s="654">
        <v>3.6723483305289948</v>
      </c>
      <c r="AB47" s="654">
        <v>4.1414816579166382</v>
      </c>
      <c r="AC47" s="654">
        <v>4.9988635070192595</v>
      </c>
      <c r="AD47" s="654">
        <v>5.267353156714444</v>
      </c>
      <c r="AE47" s="654">
        <v>5.7390886756178965</v>
      </c>
      <c r="AF47" s="654">
        <v>5.7765626232024676</v>
      </c>
      <c r="AG47" s="655"/>
      <c r="AH47" s="654">
        <v>2.0215752368884692</v>
      </c>
      <c r="AI47" s="654">
        <v>3.4859424423967651</v>
      </c>
      <c r="AJ47" s="654">
        <v>3.6819652848623372</v>
      </c>
      <c r="AK47" s="654">
        <v>4.0576826287513406</v>
      </c>
      <c r="AL47" s="654">
        <v>4.2321663457035266</v>
      </c>
      <c r="AM47" s="654">
        <v>4.6232761249941889</v>
      </c>
      <c r="AN47" s="654">
        <v>5.0192798179824205</v>
      </c>
      <c r="AO47" s="655"/>
      <c r="AP47" s="654">
        <v>2.1762251056951611</v>
      </c>
      <c r="AQ47" s="654">
        <v>3.4809599714032955</v>
      </c>
      <c r="AR47" s="654">
        <v>3.5720848569670358</v>
      </c>
      <c r="AS47" s="654">
        <v>3.6393301725786324</v>
      </c>
      <c r="AT47" s="654">
        <v>3.6621686734468639</v>
      </c>
      <c r="AU47" s="654">
        <v>3.7004592218982832</v>
      </c>
      <c r="AV47" s="654">
        <v>3.6953377645985741</v>
      </c>
      <c r="AX47" s="654">
        <v>7.8932099628244297</v>
      </c>
      <c r="AY47" s="654">
        <v>4.9413220954504062</v>
      </c>
      <c r="AZ47" s="654">
        <v>3.9611725518148138</v>
      </c>
      <c r="BA47" s="654">
        <v>2.2757697314228951</v>
      </c>
      <c r="BB47" s="654">
        <v>1.8783939515038903</v>
      </c>
      <c r="BC47" s="654">
        <v>1.3985543960562645</v>
      </c>
      <c r="BD47" s="654">
        <v>1.1824310057652987</v>
      </c>
      <c r="BE47" s="654"/>
      <c r="BF47" s="654">
        <v>0.21394192534296202</v>
      </c>
      <c r="BG47" s="654">
        <v>0.75607339178379807</v>
      </c>
      <c r="BH47" s="654">
        <v>0.88788498370386271</v>
      </c>
      <c r="BI47" s="654">
        <v>1.0422894160634895</v>
      </c>
      <c r="BJ47" s="654">
        <v>1.0369444847452751</v>
      </c>
      <c r="BK47" s="654">
        <v>1.0162151870311276</v>
      </c>
      <c r="BL47" s="654">
        <v>1.043982056802488</v>
      </c>
      <c r="BN47" s="654">
        <v>5.316962143673214</v>
      </c>
      <c r="BO47" s="654">
        <v>3.9961019921211394</v>
      </c>
      <c r="BP47" s="654">
        <v>3.5255749119905797</v>
      </c>
      <c r="BQ47" s="654">
        <v>2.7637119800584058</v>
      </c>
      <c r="BR47" s="654">
        <v>2.6228219888630382</v>
      </c>
      <c r="BS47" s="654">
        <v>2.5454008317962988</v>
      </c>
      <c r="BT47" s="654">
        <v>2.5117233655742184</v>
      </c>
      <c r="BV47" s="656"/>
      <c r="BW47" s="656"/>
    </row>
    <row r="48" spans="1:75" s="148" customFormat="1" ht="12">
      <c r="A48" s="653">
        <v>2000</v>
      </c>
      <c r="B48" s="654">
        <v>24.344938809398233</v>
      </c>
      <c r="C48" s="654">
        <v>39.456995834906841</v>
      </c>
      <c r="D48" s="654">
        <v>41.973264650238491</v>
      </c>
      <c r="E48" s="654">
        <v>47.398800935344632</v>
      </c>
      <c r="F48" s="654">
        <v>49.156249785835385</v>
      </c>
      <c r="G48" s="654">
        <v>52.763513422104232</v>
      </c>
      <c r="H48" s="654">
        <v>54.127500541467796</v>
      </c>
      <c r="I48" s="654"/>
      <c r="J48" s="654">
        <v>16.429885863475533</v>
      </c>
      <c r="K48" s="654">
        <v>34.524776335872737</v>
      </c>
      <c r="L48" s="654">
        <v>38.014164088841078</v>
      </c>
      <c r="M48" s="654">
        <v>45.079731702892751</v>
      </c>
      <c r="N48" s="654">
        <v>47.216840301318669</v>
      </c>
      <c r="O48" s="654">
        <v>51.239444540692396</v>
      </c>
      <c r="P48" s="654">
        <v>52.794228461237189</v>
      </c>
      <c r="Q48" s="654"/>
      <c r="R48" s="654">
        <v>5.308250269853974</v>
      </c>
      <c r="S48" s="654">
        <v>19.372449095118537</v>
      </c>
      <c r="T48" s="654">
        <v>22.435894116082007</v>
      </c>
      <c r="U48" s="654">
        <v>28.74285593974588</v>
      </c>
      <c r="V48" s="654">
        <v>30.643198181904818</v>
      </c>
      <c r="W48" s="654">
        <v>33.939573784033264</v>
      </c>
      <c r="X48" s="654">
        <v>34.982829620331621</v>
      </c>
      <c r="Y48" s="655"/>
      <c r="Z48" s="654">
        <v>1.3331771081695472</v>
      </c>
      <c r="AA48" s="654">
        <v>3.8463886645159899</v>
      </c>
      <c r="AB48" s="654">
        <v>4.3636477710477104</v>
      </c>
      <c r="AC48" s="654">
        <v>5.3380854001364604</v>
      </c>
      <c r="AD48" s="654">
        <v>5.6400626417925679</v>
      </c>
      <c r="AE48" s="654">
        <v>6.2844802569873668</v>
      </c>
      <c r="AF48" s="654">
        <v>6.6342098338587245</v>
      </c>
      <c r="AG48" s="655"/>
      <c r="AH48" s="654">
        <v>2.0123230034690653</v>
      </c>
      <c r="AI48" s="654">
        <v>3.1926474480922695</v>
      </c>
      <c r="AJ48" s="654">
        <v>3.3734486307052629</v>
      </c>
      <c r="AK48" s="654">
        <v>3.7288511533988822</v>
      </c>
      <c r="AL48" s="654">
        <v>3.8480522245851896</v>
      </c>
      <c r="AM48" s="654">
        <v>4.0768590648344452</v>
      </c>
      <c r="AN48" s="654">
        <v>4.3446703477154998</v>
      </c>
      <c r="AO48" s="655"/>
      <c r="AP48" s="654">
        <v>2.1583544530804173</v>
      </c>
      <c r="AQ48" s="654">
        <v>3.351048563909921</v>
      </c>
      <c r="AR48" s="654">
        <v>3.4404878303160746</v>
      </c>
      <c r="AS48" s="654">
        <v>3.4968506201478338</v>
      </c>
      <c r="AT48" s="654">
        <v>3.4732840703434196</v>
      </c>
      <c r="AU48" s="654">
        <v>3.4008959910855201</v>
      </c>
      <c r="AV48" s="654">
        <v>3.3247538995305379</v>
      </c>
      <c r="AX48" s="654">
        <v>7.9150529459227004</v>
      </c>
      <c r="AY48" s="654">
        <v>4.9322194990341064</v>
      </c>
      <c r="AZ48" s="654">
        <v>3.9591005613974142</v>
      </c>
      <c r="BA48" s="654">
        <v>2.3190692324518829</v>
      </c>
      <c r="BB48" s="654">
        <v>1.9394094845167187</v>
      </c>
      <c r="BC48" s="654">
        <v>1.5240688814118377</v>
      </c>
      <c r="BD48" s="654">
        <v>1.3332720802306055</v>
      </c>
      <c r="BE48" s="654"/>
      <c r="BF48" s="654">
        <v>0.19648850716511615</v>
      </c>
      <c r="BG48" s="654">
        <v>0.67356219382797966</v>
      </c>
      <c r="BH48" s="654">
        <v>0.78644238300280689</v>
      </c>
      <c r="BI48" s="654">
        <v>0.91382993094062082</v>
      </c>
      <c r="BJ48" s="654">
        <v>0.89793576772960615</v>
      </c>
      <c r="BK48" s="654">
        <v>0.8635594202716238</v>
      </c>
      <c r="BL48" s="654">
        <v>0.87079534231256495</v>
      </c>
      <c r="BN48" s="654">
        <v>5.4212925217374126</v>
      </c>
      <c r="BO48" s="654">
        <v>4.0886803704080448</v>
      </c>
      <c r="BP48" s="654">
        <v>3.6142433576872182</v>
      </c>
      <c r="BQ48" s="654">
        <v>2.8592586585230695</v>
      </c>
      <c r="BR48" s="654">
        <v>2.7143074149630628</v>
      </c>
      <c r="BS48" s="654">
        <v>2.6740760234801839</v>
      </c>
      <c r="BT48" s="654">
        <v>2.636969417488245</v>
      </c>
      <c r="BV48" s="656"/>
      <c r="BW48" s="656"/>
    </row>
    <row r="49" spans="1:75" s="148" customFormat="1" ht="12">
      <c r="A49" s="653">
        <v>2001</v>
      </c>
      <c r="B49" s="654">
        <v>23.55640545635622</v>
      </c>
      <c r="C49" s="654">
        <v>37.754099318960641</v>
      </c>
      <c r="D49" s="654">
        <v>39.910111165990998</v>
      </c>
      <c r="E49" s="654">
        <v>44.816678978226328</v>
      </c>
      <c r="F49" s="654">
        <v>46.326002911696179</v>
      </c>
      <c r="G49" s="654">
        <v>50.209308034760078</v>
      </c>
      <c r="H49" s="654">
        <v>52.14187261918913</v>
      </c>
      <c r="I49" s="654"/>
      <c r="J49" s="654">
        <v>15.816456607100845</v>
      </c>
      <c r="K49" s="654">
        <v>32.573137864683417</v>
      </c>
      <c r="L49" s="654">
        <v>35.745973061077855</v>
      </c>
      <c r="M49" s="654">
        <v>42.460056146559388</v>
      </c>
      <c r="N49" s="654">
        <v>44.400425120032509</v>
      </c>
      <c r="O49" s="654">
        <v>48.802065935000947</v>
      </c>
      <c r="P49" s="654">
        <v>51.017255575293987</v>
      </c>
      <c r="Q49" s="654"/>
      <c r="R49" s="654">
        <v>5.3769198983800397</v>
      </c>
      <c r="S49" s="654">
        <v>18.405968365874557</v>
      </c>
      <c r="T49" s="654">
        <v>21.139569570352563</v>
      </c>
      <c r="U49" s="654">
        <v>26.951771185277728</v>
      </c>
      <c r="V49" s="654">
        <v>28.650835610260035</v>
      </c>
      <c r="W49" s="654">
        <v>32.053396181414435</v>
      </c>
      <c r="X49" s="654">
        <v>33.525948560070027</v>
      </c>
      <c r="Y49" s="655"/>
      <c r="Z49" s="654">
        <v>1.3635477550350308</v>
      </c>
      <c r="AA49" s="654">
        <v>3.7881354422759568</v>
      </c>
      <c r="AB49" s="654">
        <v>4.2893661335071185</v>
      </c>
      <c r="AC49" s="654">
        <v>5.2172451590822542</v>
      </c>
      <c r="AD49" s="654">
        <v>5.5226378403009102</v>
      </c>
      <c r="AE49" s="654">
        <v>6.2143473871032544</v>
      </c>
      <c r="AF49" s="654">
        <v>6.4000103820652106</v>
      </c>
      <c r="AG49" s="655"/>
      <c r="AH49" s="654">
        <v>1.4695193612282733</v>
      </c>
      <c r="AI49" s="654">
        <v>2.1938993628368211</v>
      </c>
      <c r="AJ49" s="654">
        <v>2.3320289671928296</v>
      </c>
      <c r="AK49" s="654">
        <v>2.6957639729039458</v>
      </c>
      <c r="AL49" s="654">
        <v>2.7758355161679327</v>
      </c>
      <c r="AM49" s="654">
        <v>3.0263547357650964</v>
      </c>
      <c r="AN49" s="654">
        <v>3.4608281368569269</v>
      </c>
      <c r="AO49" s="655"/>
      <c r="AP49" s="654">
        <v>2.1884854342639732</v>
      </c>
      <c r="AQ49" s="654">
        <v>3.4313179083680185</v>
      </c>
      <c r="AR49" s="654">
        <v>3.5686219675736806</v>
      </c>
      <c r="AS49" s="654">
        <v>3.7739086295904478</v>
      </c>
      <c r="AT49" s="654">
        <v>3.7881184238085557</v>
      </c>
      <c r="AU49" s="654">
        <v>3.857762564142555</v>
      </c>
      <c r="AV49" s="654">
        <v>3.9554804933849801</v>
      </c>
      <c r="AX49" s="654">
        <v>7.7399488492553763</v>
      </c>
      <c r="AY49" s="654">
        <v>5.1809614542772264</v>
      </c>
      <c r="AZ49" s="654">
        <v>4.1641381049131443</v>
      </c>
      <c r="BA49" s="654">
        <v>2.3566228316669395</v>
      </c>
      <c r="BB49" s="654">
        <v>1.9255777916636712</v>
      </c>
      <c r="BC49" s="654">
        <v>1.4072420997591288</v>
      </c>
      <c r="BD49" s="654">
        <v>1.1246170438951444</v>
      </c>
      <c r="BE49" s="654"/>
      <c r="BF49" s="654">
        <v>0.18695387998512167</v>
      </c>
      <c r="BG49" s="654">
        <v>0.66804165508383795</v>
      </c>
      <c r="BH49" s="654">
        <v>0.78953493635584815</v>
      </c>
      <c r="BI49" s="654">
        <v>0.9586331140557427</v>
      </c>
      <c r="BJ49" s="654">
        <v>0.95295283678863318</v>
      </c>
      <c r="BK49" s="654">
        <v>0.96928790639143891</v>
      </c>
      <c r="BL49" s="654">
        <v>1.0439665451644173</v>
      </c>
      <c r="BN49" s="654">
        <v>5.2310302782084062</v>
      </c>
      <c r="BO49" s="654">
        <v>4.0857751302442216</v>
      </c>
      <c r="BP49" s="654">
        <v>3.6268514860958128</v>
      </c>
      <c r="BQ49" s="654">
        <v>2.8627340856492705</v>
      </c>
      <c r="BR49" s="654">
        <v>2.7100448927064433</v>
      </c>
      <c r="BS49" s="654">
        <v>2.6809171601841761</v>
      </c>
      <c r="BT49" s="654">
        <v>2.6310214577524218</v>
      </c>
      <c r="BV49" s="656"/>
      <c r="BW49" s="656"/>
    </row>
    <row r="50" spans="1:75" s="148" customFormat="1" ht="12">
      <c r="A50" s="653">
        <v>2002</v>
      </c>
      <c r="B50" s="654">
        <v>21.829133263260925</v>
      </c>
      <c r="C50" s="654">
        <v>34.470278656628459</v>
      </c>
      <c r="D50" s="654">
        <v>36.237513480585392</v>
      </c>
      <c r="E50" s="654">
        <v>40.022167999760953</v>
      </c>
      <c r="F50" s="654">
        <v>41.123123384001708</v>
      </c>
      <c r="G50" s="654">
        <v>44.423128948527513</v>
      </c>
      <c r="H50" s="654">
        <v>46.243090250397039</v>
      </c>
      <c r="I50" s="654"/>
      <c r="J50" s="654">
        <v>14.288760150699188</v>
      </c>
      <c r="K50" s="654">
        <v>29.167042976489803</v>
      </c>
      <c r="L50" s="654">
        <v>31.9026728976289</v>
      </c>
      <c r="M50" s="654">
        <v>37.604453793443199</v>
      </c>
      <c r="N50" s="654">
        <v>39.182979013298095</v>
      </c>
      <c r="O50" s="654">
        <v>43.095428088567303</v>
      </c>
      <c r="P50" s="654">
        <v>45.293816796110626</v>
      </c>
      <c r="Q50" s="654"/>
      <c r="R50" s="654">
        <v>4.1633106802880384</v>
      </c>
      <c r="S50" s="654">
        <v>15.461275072908172</v>
      </c>
      <c r="T50" s="654">
        <v>17.887766297437359</v>
      </c>
      <c r="U50" s="654">
        <v>22.96914155530207</v>
      </c>
      <c r="V50" s="654">
        <v>24.392278121627044</v>
      </c>
      <c r="W50" s="654">
        <v>27.35957286224739</v>
      </c>
      <c r="X50" s="654">
        <v>28.647490723772506</v>
      </c>
      <c r="Y50" s="655"/>
      <c r="Z50" s="654">
        <v>1.1954318301808493</v>
      </c>
      <c r="AA50" s="654">
        <v>3.3266660106379886</v>
      </c>
      <c r="AB50" s="654">
        <v>3.7132474056592679</v>
      </c>
      <c r="AC50" s="654">
        <v>4.4473535200863301</v>
      </c>
      <c r="AD50" s="654">
        <v>4.6450266213273048</v>
      </c>
      <c r="AE50" s="654">
        <v>5.1757040634235914</v>
      </c>
      <c r="AF50" s="654">
        <v>5.4121880018663919</v>
      </c>
      <c r="AG50" s="655"/>
      <c r="AH50" s="654">
        <v>1.3538860393887118</v>
      </c>
      <c r="AI50" s="654">
        <v>2.0315125081578511</v>
      </c>
      <c r="AJ50" s="654">
        <v>2.1129510912173783</v>
      </c>
      <c r="AK50" s="654">
        <v>2.3414273297364208</v>
      </c>
      <c r="AL50" s="654">
        <v>2.4076301661334245</v>
      </c>
      <c r="AM50" s="654">
        <v>2.6578423765924208</v>
      </c>
      <c r="AN50" s="654">
        <v>3.1126211693179671</v>
      </c>
      <c r="AO50" s="655"/>
      <c r="AP50" s="654">
        <v>2.2697924135812277</v>
      </c>
      <c r="AQ50" s="654">
        <v>3.633252214631614</v>
      </c>
      <c r="AR50" s="654">
        <v>3.7750060496081121</v>
      </c>
      <c r="AS50" s="654">
        <v>3.9812624123929767</v>
      </c>
      <c r="AT50" s="654">
        <v>4.0077231566297442</v>
      </c>
      <c r="AU50" s="654">
        <v>4.1449346156619038</v>
      </c>
      <c r="AV50" s="654">
        <v>4.3282023858900782</v>
      </c>
      <c r="AX50" s="654">
        <v>7.5403731125617348</v>
      </c>
      <c r="AY50" s="654">
        <v>5.303235680138652</v>
      </c>
      <c r="AZ50" s="654">
        <v>4.3348405829564864</v>
      </c>
      <c r="BA50" s="654">
        <v>2.4177142063177519</v>
      </c>
      <c r="BB50" s="654">
        <v>1.9401443707036135</v>
      </c>
      <c r="BC50" s="654">
        <v>1.3277008599602074</v>
      </c>
      <c r="BD50" s="654">
        <v>0.94927345428640963</v>
      </c>
      <c r="BE50" s="654"/>
      <c r="BF50" s="654">
        <v>0.15694455859502537</v>
      </c>
      <c r="BG50" s="654">
        <v>0.61612745118901302</v>
      </c>
      <c r="BH50" s="654">
        <v>0.74456586011137726</v>
      </c>
      <c r="BI50" s="654">
        <v>0.96887205670904952</v>
      </c>
      <c r="BJ50" s="654">
        <v>0.994670113038857</v>
      </c>
      <c r="BK50" s="654">
        <v>1.0602315124539468</v>
      </c>
      <c r="BL50" s="654">
        <v>1.1607573905078123</v>
      </c>
      <c r="BN50" s="654">
        <v>5.1493946286653358</v>
      </c>
      <c r="BO50" s="654">
        <v>4.0982097189651654</v>
      </c>
      <c r="BP50" s="654">
        <v>3.6691361935954054</v>
      </c>
      <c r="BQ50" s="654">
        <v>2.8963969192163415</v>
      </c>
      <c r="BR50" s="654">
        <v>2.7356508345417256</v>
      </c>
      <c r="BS50" s="654">
        <v>2.6971426581880493</v>
      </c>
      <c r="BT50" s="654">
        <v>2.6325571247558721</v>
      </c>
      <c r="BV50" s="656"/>
      <c r="BW50" s="656"/>
    </row>
    <row r="51" spans="1:75" s="148" customFormat="1" ht="12">
      <c r="A51" s="653">
        <v>2003</v>
      </c>
      <c r="B51" s="654">
        <v>21.450745085146259</v>
      </c>
      <c r="C51" s="654">
        <v>33.164451788248982</v>
      </c>
      <c r="D51" s="654">
        <v>34.717662158331585</v>
      </c>
      <c r="E51" s="654">
        <v>38.076933433733615</v>
      </c>
      <c r="F51" s="654">
        <v>38.944877974282626</v>
      </c>
      <c r="G51" s="654">
        <v>41.766136776151193</v>
      </c>
      <c r="H51" s="654">
        <v>43.122471627394795</v>
      </c>
      <c r="I51" s="654"/>
      <c r="J51" s="654">
        <v>13.954682582766338</v>
      </c>
      <c r="K51" s="654">
        <v>27.973863513745957</v>
      </c>
      <c r="L51" s="654">
        <v>30.488691517384318</v>
      </c>
      <c r="M51" s="654">
        <v>35.747998577281209</v>
      </c>
      <c r="N51" s="654">
        <v>37.095741018087445</v>
      </c>
      <c r="O51" s="654">
        <v>40.521947217240822</v>
      </c>
      <c r="P51" s="654">
        <v>42.274092993232124</v>
      </c>
      <c r="Q51" s="654"/>
      <c r="R51" s="654">
        <v>3.6840857101833366</v>
      </c>
      <c r="S51" s="654">
        <v>13.784368484154175</v>
      </c>
      <c r="T51" s="654">
        <v>15.979602585523301</v>
      </c>
      <c r="U51" s="654">
        <v>20.503902984042654</v>
      </c>
      <c r="V51" s="654">
        <v>21.602052077566999</v>
      </c>
      <c r="W51" s="654">
        <v>23.853130833496785</v>
      </c>
      <c r="X51" s="654">
        <v>24.49578436951408</v>
      </c>
      <c r="Y51" s="655"/>
      <c r="Z51" s="654">
        <v>1.1608895595267492</v>
      </c>
      <c r="AA51" s="654">
        <v>3.2117114718538051</v>
      </c>
      <c r="AB51" s="654">
        <v>3.5864973254145025</v>
      </c>
      <c r="AC51" s="654">
        <v>4.3042523307329477</v>
      </c>
      <c r="AD51" s="654">
        <v>4.4907015318755121</v>
      </c>
      <c r="AE51" s="654">
        <v>4.9611923845212829</v>
      </c>
      <c r="AF51" s="654">
        <v>5.1347422983854356</v>
      </c>
      <c r="AG51" s="655"/>
      <c r="AH51" s="654">
        <v>1.6563050230172263</v>
      </c>
      <c r="AI51" s="654">
        <v>2.6640674846326418</v>
      </c>
      <c r="AJ51" s="654">
        <v>2.7810318399240836</v>
      </c>
      <c r="AK51" s="654">
        <v>3.1312081960513964</v>
      </c>
      <c r="AL51" s="654">
        <v>3.2633202811523176</v>
      </c>
      <c r="AM51" s="654">
        <v>3.7661880266940466</v>
      </c>
      <c r="AN51" s="654">
        <v>4.4696832661872872</v>
      </c>
      <c r="AO51" s="655"/>
      <c r="AP51" s="654">
        <v>2.2613745009863031</v>
      </c>
      <c r="AQ51" s="654">
        <v>3.7527130830773103</v>
      </c>
      <c r="AR51" s="654">
        <v>3.8964594788497688</v>
      </c>
      <c r="AS51" s="654">
        <v>4.1187603756603224</v>
      </c>
      <c r="AT51" s="654">
        <v>4.1824041168449853</v>
      </c>
      <c r="AU51" s="654">
        <v>4.4061436612343172</v>
      </c>
      <c r="AV51" s="654">
        <v>4.6701618096490076</v>
      </c>
      <c r="AX51" s="654">
        <v>7.4960625023799228</v>
      </c>
      <c r="AY51" s="654">
        <v>5.1905882745030159</v>
      </c>
      <c r="AZ51" s="654">
        <v>4.2289706409472636</v>
      </c>
      <c r="BA51" s="654">
        <v>2.3289348564524062</v>
      </c>
      <c r="BB51" s="654">
        <v>1.8491369561951791</v>
      </c>
      <c r="BC51" s="654">
        <v>1.2441895589103729</v>
      </c>
      <c r="BD51" s="654">
        <v>0.84837863416267045</v>
      </c>
      <c r="BE51" s="654"/>
      <c r="BF51" s="654">
        <v>0.12903695546949176</v>
      </c>
      <c r="BG51" s="654">
        <v>0.49922346943577978</v>
      </c>
      <c r="BH51" s="654">
        <v>0.60027701489664786</v>
      </c>
      <c r="BI51" s="654">
        <v>0.77475974688742122</v>
      </c>
      <c r="BJ51" s="654">
        <v>0.78977797763095603</v>
      </c>
      <c r="BK51" s="654">
        <v>0.82224527948783277</v>
      </c>
      <c r="BL51" s="654">
        <v>0.87195293813222374</v>
      </c>
      <c r="BN51" s="654">
        <v>5.0629908335832319</v>
      </c>
      <c r="BO51" s="654">
        <v>4.0617795205922445</v>
      </c>
      <c r="BP51" s="654">
        <v>3.6448232727760161</v>
      </c>
      <c r="BQ51" s="654">
        <v>2.9151149439064699</v>
      </c>
      <c r="BR51" s="654">
        <v>2.7674850330166798</v>
      </c>
      <c r="BS51" s="654">
        <v>2.7130470318065614</v>
      </c>
      <c r="BT51" s="654">
        <v>2.6317683113640848</v>
      </c>
      <c r="BV51" s="656"/>
      <c r="BW51" s="656"/>
    </row>
    <row r="52" spans="1:75" s="148" customFormat="1" ht="12">
      <c r="A52" s="653">
        <v>2004</v>
      </c>
      <c r="B52" s="654">
        <v>21.56790220915757</v>
      </c>
      <c r="C52" s="654">
        <v>33.458050150576859</v>
      </c>
      <c r="D52" s="654">
        <v>35.078465487975848</v>
      </c>
      <c r="E52" s="654">
        <v>38.335731536561909</v>
      </c>
      <c r="F52" s="654">
        <v>39.309366113422421</v>
      </c>
      <c r="G52" s="654">
        <v>41.815843836017599</v>
      </c>
      <c r="H52" s="654">
        <v>42.485496219783343</v>
      </c>
      <c r="I52" s="654"/>
      <c r="J52" s="654">
        <v>13.9908454789438</v>
      </c>
      <c r="K52" s="654">
        <v>28.50607103676407</v>
      </c>
      <c r="L52" s="654">
        <v>31.084043206800782</v>
      </c>
      <c r="M52" s="654">
        <v>36.139493864802567</v>
      </c>
      <c r="N52" s="654">
        <v>37.55058292110175</v>
      </c>
      <c r="O52" s="654">
        <v>40.622663071744647</v>
      </c>
      <c r="P52" s="654">
        <v>41.628269963150046</v>
      </c>
      <c r="Q52" s="654"/>
      <c r="R52" s="654">
        <v>3.3864609314719281</v>
      </c>
      <c r="S52" s="654">
        <v>13.465136205066337</v>
      </c>
      <c r="T52" s="654">
        <v>15.666817960297857</v>
      </c>
      <c r="U52" s="654">
        <v>19.906462907226533</v>
      </c>
      <c r="V52" s="654">
        <v>20.956411775181831</v>
      </c>
      <c r="W52" s="654">
        <v>22.737689928673575</v>
      </c>
      <c r="X52" s="654">
        <v>22.76223000365702</v>
      </c>
      <c r="Y52" s="655"/>
      <c r="Z52" s="654">
        <v>1.1331166830605968</v>
      </c>
      <c r="AA52" s="654">
        <v>3.3498922123971346</v>
      </c>
      <c r="AB52" s="654">
        <v>3.7780366307237445</v>
      </c>
      <c r="AC52" s="654">
        <v>4.5775319818942561</v>
      </c>
      <c r="AD52" s="654">
        <v>4.8017642030215102</v>
      </c>
      <c r="AE52" s="654">
        <v>5.2721703232751391</v>
      </c>
      <c r="AF52" s="654">
        <v>5.3759204870363781</v>
      </c>
      <c r="AG52" s="655"/>
      <c r="AH52" s="654">
        <v>1.961751643626148</v>
      </c>
      <c r="AI52" s="654">
        <v>3.3194339749358126</v>
      </c>
      <c r="AJ52" s="654">
        <v>3.4527280916198269</v>
      </c>
      <c r="AK52" s="654">
        <v>3.8404523046268486</v>
      </c>
      <c r="AL52" s="654">
        <v>4.0341579769290847</v>
      </c>
      <c r="AM52" s="654">
        <v>4.6934372730850891</v>
      </c>
      <c r="AN52" s="654">
        <v>5.4604164022326236</v>
      </c>
      <c r="AO52" s="655"/>
      <c r="AP52" s="654">
        <v>2.2144586104764934</v>
      </c>
      <c r="AQ52" s="654">
        <v>3.7736609788834996</v>
      </c>
      <c r="AR52" s="654">
        <v>3.8974061754709264</v>
      </c>
      <c r="AS52" s="654">
        <v>4.0526070112569865</v>
      </c>
      <c r="AT52" s="654">
        <v>4.1085761358266453</v>
      </c>
      <c r="AU52" s="654">
        <v>4.3095210066289358</v>
      </c>
      <c r="AV52" s="654">
        <v>4.4887418145195142</v>
      </c>
      <c r="AX52" s="654">
        <v>7.5770567302137684</v>
      </c>
      <c r="AY52" s="654">
        <v>4.9519791138127918</v>
      </c>
      <c r="AZ52" s="654">
        <v>3.9944222811750705</v>
      </c>
      <c r="BA52" s="654">
        <v>2.1962376717593433</v>
      </c>
      <c r="BB52" s="654">
        <v>1.7587831923206707</v>
      </c>
      <c r="BC52" s="654">
        <v>1.1931807642729548</v>
      </c>
      <c r="BD52" s="654">
        <v>0.85722625663329877</v>
      </c>
      <c r="BE52" s="654"/>
      <c r="BF52" s="654">
        <v>0.12693231657551618</v>
      </c>
      <c r="BG52" s="654">
        <v>0.50542885335095178</v>
      </c>
      <c r="BH52" s="654">
        <v>0.61066288921784206</v>
      </c>
      <c r="BI52" s="654">
        <v>0.79612129777626373</v>
      </c>
      <c r="BJ52" s="654">
        <v>0.81813419881944893</v>
      </c>
      <c r="BK52" s="654">
        <v>0.83239140795305921</v>
      </c>
      <c r="BL52" s="654">
        <v>0.81440564569882257</v>
      </c>
      <c r="BN52" s="654">
        <v>5.1681252937331204</v>
      </c>
      <c r="BO52" s="654">
        <v>4.0925188121303355</v>
      </c>
      <c r="BP52" s="654">
        <v>3.6783914594705842</v>
      </c>
      <c r="BQ52" s="654">
        <v>2.9663183620216751</v>
      </c>
      <c r="BR52" s="654">
        <v>2.8315386313232298</v>
      </c>
      <c r="BS52" s="654">
        <v>2.7774531321288487</v>
      </c>
      <c r="BT52" s="654">
        <v>2.7265556100056907</v>
      </c>
      <c r="BV52" s="656"/>
      <c r="BW52" s="656"/>
    </row>
    <row r="53" spans="1:75" s="148" customFormat="1" ht="12">
      <c r="A53" s="653">
        <v>2005</v>
      </c>
      <c r="B53" s="654">
        <v>22.371525756379505</v>
      </c>
      <c r="C53" s="654">
        <v>35.637679782272627</v>
      </c>
      <c r="D53" s="654">
        <v>37.471300374282578</v>
      </c>
      <c r="E53" s="654">
        <v>41.016864406332139</v>
      </c>
      <c r="F53" s="654">
        <v>42.231709964893795</v>
      </c>
      <c r="G53" s="654">
        <v>44.533308727434964</v>
      </c>
      <c r="H53" s="654">
        <v>45.105108657575592</v>
      </c>
      <c r="I53" s="654"/>
      <c r="J53" s="654">
        <v>14.829046754253579</v>
      </c>
      <c r="K53" s="654">
        <v>30.887460198103081</v>
      </c>
      <c r="L53" s="654">
        <v>33.699118490798412</v>
      </c>
      <c r="M53" s="654">
        <v>38.984320794162144</v>
      </c>
      <c r="N53" s="654">
        <v>40.599156189577933</v>
      </c>
      <c r="O53" s="654">
        <v>43.426279664137354</v>
      </c>
      <c r="P53" s="654">
        <v>44.321174807877988</v>
      </c>
      <c r="Q53" s="654"/>
      <c r="R53" s="654">
        <v>3.531010201659627</v>
      </c>
      <c r="S53" s="654">
        <v>14.856270563007316</v>
      </c>
      <c r="T53" s="654">
        <v>17.281298638488941</v>
      </c>
      <c r="U53" s="654">
        <v>21.729079655519456</v>
      </c>
      <c r="V53" s="654">
        <v>22.909945538422722</v>
      </c>
      <c r="W53" s="654">
        <v>24.653248134997938</v>
      </c>
      <c r="X53" s="654">
        <v>24.581108172268188</v>
      </c>
      <c r="Y53" s="655"/>
      <c r="Z53" s="654">
        <v>1.1576948556018278</v>
      </c>
      <c r="AA53" s="654">
        <v>3.558210784413681</v>
      </c>
      <c r="AB53" s="654">
        <v>3.9976600638664714</v>
      </c>
      <c r="AC53" s="654">
        <v>4.8383492335740774</v>
      </c>
      <c r="AD53" s="654">
        <v>5.0931974968713014</v>
      </c>
      <c r="AE53" s="654">
        <v>5.5569777551388189</v>
      </c>
      <c r="AF53" s="654">
        <v>5.70203406035656</v>
      </c>
      <c r="AG53" s="655"/>
      <c r="AH53" s="654">
        <v>2.5231734124796716</v>
      </c>
      <c r="AI53" s="654">
        <v>4.1449696901951549</v>
      </c>
      <c r="AJ53" s="654">
        <v>4.324933422837236</v>
      </c>
      <c r="AK53" s="654">
        <v>4.7653204099595818</v>
      </c>
      <c r="AL53" s="654">
        <v>4.9855832860000211</v>
      </c>
      <c r="AM53" s="654">
        <v>5.5918245924285541</v>
      </c>
      <c r="AN53" s="654">
        <v>6.3766416189018251</v>
      </c>
      <c r="AO53" s="655"/>
      <c r="AP53" s="654">
        <v>2.2538935651288736</v>
      </c>
      <c r="AQ53" s="654">
        <v>3.7513151761394448</v>
      </c>
      <c r="AR53" s="654">
        <v>3.8622104612232819</v>
      </c>
      <c r="AS53" s="654">
        <v>3.973405556943773</v>
      </c>
      <c r="AT53" s="654">
        <v>4.0297321741109497</v>
      </c>
      <c r="AU53" s="654">
        <v>4.1163536591082277</v>
      </c>
      <c r="AV53" s="654">
        <v>4.2441019492198269</v>
      </c>
      <c r="AX53" s="654">
        <v>7.5424790021259254</v>
      </c>
      <c r="AY53" s="654">
        <v>4.7502195841695469</v>
      </c>
      <c r="AZ53" s="654">
        <v>3.7721818834841629</v>
      </c>
      <c r="BA53" s="654">
        <v>2.032543612169992</v>
      </c>
      <c r="BB53" s="654">
        <v>1.6325537753158592</v>
      </c>
      <c r="BC53" s="654">
        <v>1.1070290632976065</v>
      </c>
      <c r="BD53" s="654">
        <v>0.78393384969760449</v>
      </c>
      <c r="BE53" s="654"/>
      <c r="BF53" s="654">
        <v>0.12149770061143531</v>
      </c>
      <c r="BG53" s="654">
        <v>0.46317969641449952</v>
      </c>
      <c r="BH53" s="654">
        <v>0.55161453047682929</v>
      </c>
      <c r="BI53" s="654">
        <v>0.69009714628890595</v>
      </c>
      <c r="BJ53" s="654">
        <v>0.70375303832749758</v>
      </c>
      <c r="BK53" s="654">
        <v>0.69455677074763111</v>
      </c>
      <c r="BL53" s="654">
        <v>0.66114509400332944</v>
      </c>
      <c r="BN53" s="654">
        <v>5.2417770187721437</v>
      </c>
      <c r="BO53" s="654">
        <v>4.1135142879329871</v>
      </c>
      <c r="BP53" s="654">
        <v>3.6814013739056564</v>
      </c>
      <c r="BQ53" s="654">
        <v>2.9880687918763535</v>
      </c>
      <c r="BR53" s="654">
        <v>2.8769446558454392</v>
      </c>
      <c r="BS53" s="654">
        <v>2.8133187517161882</v>
      </c>
      <c r="BT53" s="654">
        <v>2.756143913128263</v>
      </c>
      <c r="BV53" s="656"/>
      <c r="BW53" s="656"/>
    </row>
    <row r="54" spans="1:75" s="148" customFormat="1" ht="12">
      <c r="A54" s="653">
        <v>2006</v>
      </c>
      <c r="B54" s="654">
        <v>22.636007925995692</v>
      </c>
      <c r="C54" s="654">
        <v>36.337212691152537</v>
      </c>
      <c r="D54" s="654">
        <v>38.330511695228708</v>
      </c>
      <c r="E54" s="654">
        <v>42.136459160218337</v>
      </c>
      <c r="F54" s="654">
        <v>43.353540400349246</v>
      </c>
      <c r="G54" s="654">
        <v>45.991048616019157</v>
      </c>
      <c r="H54" s="654">
        <v>46.888213910643152</v>
      </c>
      <c r="I54" s="654"/>
      <c r="J54" s="654">
        <v>15.190108045678549</v>
      </c>
      <c r="K54" s="654">
        <v>31.709207428599754</v>
      </c>
      <c r="L54" s="654">
        <v>34.685433360265577</v>
      </c>
      <c r="M54" s="654">
        <v>40.175663002452545</v>
      </c>
      <c r="N54" s="654">
        <v>41.778582525731508</v>
      </c>
      <c r="O54" s="654">
        <v>44.904293745662869</v>
      </c>
      <c r="P54" s="654">
        <v>46.127722630452439</v>
      </c>
      <c r="Q54" s="654"/>
      <c r="R54" s="654">
        <v>3.6996848889401113</v>
      </c>
      <c r="S54" s="654">
        <v>15.563775410298977</v>
      </c>
      <c r="T54" s="654">
        <v>18.064821114696638</v>
      </c>
      <c r="U54" s="654">
        <v>22.551062843771401</v>
      </c>
      <c r="V54" s="654">
        <v>23.708085989092133</v>
      </c>
      <c r="W54" s="654">
        <v>25.642632543074019</v>
      </c>
      <c r="X54" s="654">
        <v>25.680391415148087</v>
      </c>
      <c r="Y54" s="655"/>
      <c r="Z54" s="654">
        <v>1.2148861224373588</v>
      </c>
      <c r="AA54" s="654">
        <v>3.5816930257794879</v>
      </c>
      <c r="AB54" s="654">
        <v>4.0364358529952975</v>
      </c>
      <c r="AC54" s="654">
        <v>4.89592524112612</v>
      </c>
      <c r="AD54" s="654">
        <v>5.1865686998556457</v>
      </c>
      <c r="AE54" s="654">
        <v>5.6899461725343912</v>
      </c>
      <c r="AF54" s="654">
        <v>5.9400539781206847</v>
      </c>
      <c r="AG54" s="655"/>
      <c r="AH54" s="654">
        <v>2.7015925549261786</v>
      </c>
      <c r="AI54" s="654">
        <v>4.3613176539489942</v>
      </c>
      <c r="AJ54" s="654">
        <v>4.5986191769763538</v>
      </c>
      <c r="AK54" s="654">
        <v>5.1183943204367139</v>
      </c>
      <c r="AL54" s="654">
        <v>5.3296058996795681</v>
      </c>
      <c r="AM54" s="654">
        <v>5.9597949875501728</v>
      </c>
      <c r="AN54" s="654">
        <v>6.8532598688264583</v>
      </c>
      <c r="AO54" s="655"/>
      <c r="AP54" s="654">
        <v>2.2588017695464861</v>
      </c>
      <c r="AQ54" s="654">
        <v>3.7215040591952833</v>
      </c>
      <c r="AR54" s="654">
        <v>3.8419556511754047</v>
      </c>
      <c r="AS54" s="654">
        <v>3.9722096017743005</v>
      </c>
      <c r="AT54" s="654">
        <v>4.0102311630530831</v>
      </c>
      <c r="AU54" s="654">
        <v>4.115859292272054</v>
      </c>
      <c r="AV54" s="654">
        <v>4.2689459450911311</v>
      </c>
      <c r="AX54" s="654">
        <v>7.4458998803171417</v>
      </c>
      <c r="AY54" s="654">
        <v>4.6280052625527883</v>
      </c>
      <c r="AZ54" s="654">
        <v>3.6450783349631295</v>
      </c>
      <c r="BA54" s="654">
        <v>1.9607961577657884</v>
      </c>
      <c r="BB54" s="654">
        <v>1.5749578746177388</v>
      </c>
      <c r="BC54" s="654">
        <v>1.0867548703562775</v>
      </c>
      <c r="BD54" s="654">
        <v>0.76049128019071688</v>
      </c>
      <c r="BE54" s="654"/>
      <c r="BF54" s="654">
        <v>0.11790088108807931</v>
      </c>
      <c r="BG54" s="654">
        <v>0.47765852556264693</v>
      </c>
      <c r="BH54" s="654">
        <v>0.57499688215412081</v>
      </c>
      <c r="BI54" s="654">
        <v>0.73723081567290072</v>
      </c>
      <c r="BJ54" s="654">
        <v>0.75864014461181017</v>
      </c>
      <c r="BK54" s="654">
        <v>0.76576526361060004</v>
      </c>
      <c r="BL54" s="654">
        <v>0.72869662019881443</v>
      </c>
      <c r="BN54" s="654">
        <v>5.1972418287403359</v>
      </c>
      <c r="BO54" s="654">
        <v>4.0032587538143662</v>
      </c>
      <c r="BP54" s="654">
        <v>3.5686046822677695</v>
      </c>
      <c r="BQ54" s="654">
        <v>2.900840179671107</v>
      </c>
      <c r="BR54" s="654">
        <v>2.7854506294392687</v>
      </c>
      <c r="BS54" s="654">
        <v>2.7302954866216345</v>
      </c>
      <c r="BT54" s="654">
        <v>2.6563748030672572</v>
      </c>
      <c r="BV54" s="656"/>
      <c r="BW54" s="656"/>
    </row>
    <row r="55" spans="1:75" s="148" customFormat="1" ht="12">
      <c r="A55" s="653">
        <v>2007</v>
      </c>
      <c r="B55" s="654">
        <v>22.861934834559829</v>
      </c>
      <c r="C55" s="654">
        <v>37.679890030762117</v>
      </c>
      <c r="D55" s="654">
        <v>39.971702102443359</v>
      </c>
      <c r="E55" s="654">
        <v>44.375373744936688</v>
      </c>
      <c r="F55" s="654">
        <v>45.857881724644983</v>
      </c>
      <c r="G55" s="654">
        <v>48.826434553451776</v>
      </c>
      <c r="H55" s="654">
        <v>50.554822435087118</v>
      </c>
      <c r="I55" s="654"/>
      <c r="J55" s="654">
        <v>15.404418757513566</v>
      </c>
      <c r="K55" s="654">
        <v>32.948580767769492</v>
      </c>
      <c r="L55" s="654">
        <v>36.253856995414203</v>
      </c>
      <c r="M55" s="654">
        <v>42.322838165826305</v>
      </c>
      <c r="N55" s="654">
        <v>44.189809421134186</v>
      </c>
      <c r="O55" s="654">
        <v>47.642921316848003</v>
      </c>
      <c r="P55" s="654">
        <v>49.687984443982465</v>
      </c>
      <c r="Q55" s="654"/>
      <c r="R55" s="654">
        <v>3.9571710515753948</v>
      </c>
      <c r="S55" s="654">
        <v>16.96006216307967</v>
      </c>
      <c r="T55" s="654">
        <v>19.729266635302423</v>
      </c>
      <c r="U55" s="654">
        <v>24.746323243229011</v>
      </c>
      <c r="V55" s="654">
        <v>26.123350077720751</v>
      </c>
      <c r="W55" s="654">
        <v>28.48543376912173</v>
      </c>
      <c r="X55" s="654">
        <v>29.380858604950035</v>
      </c>
      <c r="Y55" s="655"/>
      <c r="Z55" s="654">
        <v>1.205479716277325</v>
      </c>
      <c r="AA55" s="654">
        <v>3.8668894728456351</v>
      </c>
      <c r="AB55" s="654">
        <v>4.3938358066596361</v>
      </c>
      <c r="AC55" s="654">
        <v>5.397602931153493</v>
      </c>
      <c r="AD55" s="654">
        <v>5.7385825750630994</v>
      </c>
      <c r="AE55" s="654">
        <v>6.3339016179012981</v>
      </c>
      <c r="AF55" s="654">
        <v>6.6854483024257876</v>
      </c>
      <c r="AG55" s="655"/>
      <c r="AH55" s="654">
        <v>2.4960172791157498</v>
      </c>
      <c r="AI55" s="654">
        <v>3.7911822349382311</v>
      </c>
      <c r="AJ55" s="654">
        <v>4.0154846082004783</v>
      </c>
      <c r="AK55" s="654">
        <v>4.451797380207287</v>
      </c>
      <c r="AL55" s="654">
        <v>4.6480612766468674</v>
      </c>
      <c r="AM55" s="654">
        <v>5.1316950786349427</v>
      </c>
      <c r="AN55" s="654">
        <v>5.8702779110534546</v>
      </c>
      <c r="AO55" s="655"/>
      <c r="AP55" s="654">
        <v>2.3948886602191641</v>
      </c>
      <c r="AQ55" s="654">
        <v>3.8360560952744107</v>
      </c>
      <c r="AR55" s="654">
        <v>3.975345903882638</v>
      </c>
      <c r="AS55" s="654">
        <v>4.0854146445113937</v>
      </c>
      <c r="AT55" s="654">
        <v>4.1227416809099298</v>
      </c>
      <c r="AU55" s="654">
        <v>4.181034484350902</v>
      </c>
      <c r="AV55" s="654">
        <v>4.3161211021463268</v>
      </c>
      <c r="AX55" s="654">
        <v>7.457516077046261</v>
      </c>
      <c r="AY55" s="654">
        <v>4.7313092629926246</v>
      </c>
      <c r="AZ55" s="654">
        <v>3.7178451070291545</v>
      </c>
      <c r="BA55" s="654">
        <v>2.0525355791103803</v>
      </c>
      <c r="BB55" s="654">
        <v>1.6680723035107963</v>
      </c>
      <c r="BC55" s="654">
        <v>1.1835132366037777</v>
      </c>
      <c r="BD55" s="654">
        <v>0.86683799110465354</v>
      </c>
      <c r="BE55" s="654"/>
      <c r="BF55" s="654">
        <v>0.1107254640803301</v>
      </c>
      <c r="BG55" s="654">
        <v>0.44430717846172113</v>
      </c>
      <c r="BH55" s="654">
        <v>0.53384520562975613</v>
      </c>
      <c r="BI55" s="654">
        <v>0.6785558980390366</v>
      </c>
      <c r="BJ55" s="654">
        <v>0.69544065188431481</v>
      </c>
      <c r="BK55" s="654">
        <v>0.69179326811994102</v>
      </c>
      <c r="BL55" s="654">
        <v>0.65548985205548405</v>
      </c>
      <c r="BN55" s="654">
        <v>5.2401365862456029</v>
      </c>
      <c r="BO55" s="654">
        <v>4.0500836231698223</v>
      </c>
      <c r="BP55" s="654">
        <v>3.606078835739277</v>
      </c>
      <c r="BQ55" s="654">
        <v>2.9631440686860824</v>
      </c>
      <c r="BR55" s="654">
        <v>2.8616331589092221</v>
      </c>
      <c r="BS55" s="654">
        <v>2.8190630987191816</v>
      </c>
      <c r="BT55" s="654">
        <v>2.7797886713513775</v>
      </c>
      <c r="BV55" s="656"/>
      <c r="BW55" s="656"/>
    </row>
    <row r="56" spans="1:75" s="148" customFormat="1" ht="12">
      <c r="A56" s="653">
        <v>2008</v>
      </c>
      <c r="B56" s="654">
        <v>21.823319877297244</v>
      </c>
      <c r="C56" s="654">
        <v>36.289384751277751</v>
      </c>
      <c r="D56" s="654">
        <v>38.406997618595902</v>
      </c>
      <c r="E56" s="654">
        <v>42.42597937973369</v>
      </c>
      <c r="F56" s="654">
        <v>43.739482202802058</v>
      </c>
      <c r="G56" s="654">
        <v>46.870098398412793</v>
      </c>
      <c r="H56" s="654">
        <v>48.169333755576709</v>
      </c>
      <c r="I56" s="654"/>
      <c r="J56" s="654">
        <v>14.522855999857859</v>
      </c>
      <c r="K56" s="654">
        <v>31.396208353983464</v>
      </c>
      <c r="L56" s="654">
        <v>34.522076988899329</v>
      </c>
      <c r="M56" s="654">
        <v>40.263453269769485</v>
      </c>
      <c r="N56" s="654">
        <v>41.985002494925148</v>
      </c>
      <c r="O56" s="654">
        <v>45.629668125643761</v>
      </c>
      <c r="P56" s="654">
        <v>47.265084289748287</v>
      </c>
      <c r="Q56" s="654"/>
      <c r="R56" s="654">
        <v>4.0568266877340191</v>
      </c>
      <c r="S56" s="654">
        <v>16.438002900563763</v>
      </c>
      <c r="T56" s="654">
        <v>19.036813110680395</v>
      </c>
      <c r="U56" s="654">
        <v>23.728518510614354</v>
      </c>
      <c r="V56" s="654">
        <v>24.971498843382349</v>
      </c>
      <c r="W56" s="654">
        <v>27.430461001224849</v>
      </c>
      <c r="X56" s="654">
        <v>27.970364302375177</v>
      </c>
      <c r="Y56" s="655"/>
      <c r="Z56" s="654">
        <v>1.2395119268605279</v>
      </c>
      <c r="AA56" s="654">
        <v>3.9006797105581748</v>
      </c>
      <c r="AB56" s="654">
        <v>4.4323371054160718</v>
      </c>
      <c r="AC56" s="654">
        <v>5.4900798796641963</v>
      </c>
      <c r="AD56" s="654">
        <v>5.8698389714073462</v>
      </c>
      <c r="AE56" s="654">
        <v>6.5900620118059461</v>
      </c>
      <c r="AF56" s="654">
        <v>7.1049909693442759</v>
      </c>
      <c r="AG56" s="655"/>
      <c r="AH56" s="654">
        <v>1.6075523853051683</v>
      </c>
      <c r="AI56" s="654">
        <v>2.5642752022659319</v>
      </c>
      <c r="AJ56" s="654">
        <v>2.7115087840331906</v>
      </c>
      <c r="AK56" s="654">
        <v>2.9787342491058779</v>
      </c>
      <c r="AL56" s="654">
        <v>3.0830196599319311</v>
      </c>
      <c r="AM56" s="654">
        <v>3.4045893837796029</v>
      </c>
      <c r="AN56" s="654">
        <v>3.8701536875242768</v>
      </c>
      <c r="AO56" s="655"/>
      <c r="AP56" s="654">
        <v>2.3385430909543774</v>
      </c>
      <c r="AQ56" s="654">
        <v>3.9413291001513162</v>
      </c>
      <c r="AR56" s="654">
        <v>4.1133248430290834</v>
      </c>
      <c r="AS56" s="654">
        <v>4.2751416760067293</v>
      </c>
      <c r="AT56" s="654">
        <v>4.336487105032278</v>
      </c>
      <c r="AU56" s="654">
        <v>4.4420036914091696</v>
      </c>
      <c r="AV56" s="654">
        <v>4.6102078048779243</v>
      </c>
      <c r="AX56" s="654">
        <v>7.3004638774393849</v>
      </c>
      <c r="AY56" s="654">
        <v>4.8931763972942823</v>
      </c>
      <c r="AZ56" s="654">
        <v>3.8849206296965741</v>
      </c>
      <c r="BA56" s="654">
        <v>2.162526109964213</v>
      </c>
      <c r="BB56" s="654">
        <v>1.7544797078769141</v>
      </c>
      <c r="BC56" s="654">
        <v>1.2404302727690295</v>
      </c>
      <c r="BD56" s="654">
        <v>0.90424946582842425</v>
      </c>
      <c r="BE56" s="654"/>
      <c r="BF56" s="654">
        <v>0.11455768498172833</v>
      </c>
      <c r="BG56" s="654">
        <v>0.47386329262434046</v>
      </c>
      <c r="BH56" s="654">
        <v>0.57498201304495389</v>
      </c>
      <c r="BI56" s="654">
        <v>0.74899192669979797</v>
      </c>
      <c r="BJ56" s="654">
        <v>0.77222939658383472</v>
      </c>
      <c r="BK56" s="654">
        <v>0.78680573531418552</v>
      </c>
      <c r="BL56" s="654">
        <v>0.74501758064432377</v>
      </c>
      <c r="BN56" s="654">
        <v>5.1658642240220383</v>
      </c>
      <c r="BO56" s="654">
        <v>4.0780581478199363</v>
      </c>
      <c r="BP56" s="654">
        <v>3.6531111326956336</v>
      </c>
      <c r="BQ56" s="654">
        <v>3.0419870276785304</v>
      </c>
      <c r="BR56" s="654">
        <v>2.9519285185874189</v>
      </c>
      <c r="BS56" s="654">
        <v>2.9757463021100126</v>
      </c>
      <c r="BT56" s="654">
        <v>2.9643499449823101</v>
      </c>
      <c r="BV56" s="656"/>
      <c r="BW56" s="656"/>
    </row>
    <row r="57" spans="1:75" s="148" customFormat="1" ht="12">
      <c r="A57" s="653">
        <v>2009</v>
      </c>
      <c r="B57" s="654">
        <v>19.839806576493412</v>
      </c>
      <c r="C57" s="654">
        <v>31.812019689738591</v>
      </c>
      <c r="D57" s="654">
        <v>33.299445920981292</v>
      </c>
      <c r="E57" s="654">
        <v>36.00557738155608</v>
      </c>
      <c r="F57" s="654">
        <v>36.909080071612664</v>
      </c>
      <c r="G57" s="654">
        <v>39.421001002575061</v>
      </c>
      <c r="H57" s="654">
        <v>40.474045769296126</v>
      </c>
      <c r="I57" s="654"/>
      <c r="J57" s="654">
        <v>12.845749156571665</v>
      </c>
      <c r="K57" s="654">
        <v>26.724460247131816</v>
      </c>
      <c r="L57" s="654">
        <v>29.193679192574383</v>
      </c>
      <c r="M57" s="654">
        <v>33.763072687934852</v>
      </c>
      <c r="N57" s="654">
        <v>35.130925659820136</v>
      </c>
      <c r="O57" s="654">
        <v>38.244409261266028</v>
      </c>
      <c r="P57" s="654">
        <v>39.729003309082827</v>
      </c>
      <c r="Q57" s="654"/>
      <c r="R57" s="654">
        <v>3.0716110863501482</v>
      </c>
      <c r="S57" s="654">
        <v>12.379629633707308</v>
      </c>
      <c r="T57" s="654">
        <v>14.324170033702032</v>
      </c>
      <c r="U57" s="654">
        <v>17.834359556902644</v>
      </c>
      <c r="V57" s="654">
        <v>18.725368155740085</v>
      </c>
      <c r="W57" s="654">
        <v>20.504348944561798</v>
      </c>
      <c r="X57" s="654">
        <v>20.719416311442082</v>
      </c>
      <c r="Y57" s="655"/>
      <c r="Z57" s="654">
        <v>1.0341503923202284</v>
      </c>
      <c r="AA57" s="654">
        <v>3.4478723785614158</v>
      </c>
      <c r="AB57" s="654">
        <v>3.9068117860983449</v>
      </c>
      <c r="AC57" s="654">
        <v>4.7789712307209573</v>
      </c>
      <c r="AD57" s="654">
        <v>5.1115469140761345</v>
      </c>
      <c r="AE57" s="654">
        <v>5.8088855549819103</v>
      </c>
      <c r="AF57" s="654">
        <v>6.1923754871302839</v>
      </c>
      <c r="AG57" s="655"/>
      <c r="AH57" s="654">
        <v>1.2498325895110955</v>
      </c>
      <c r="AI57" s="654">
        <v>2.2090178406203256</v>
      </c>
      <c r="AJ57" s="654">
        <v>2.3635264655527588</v>
      </c>
      <c r="AK57" s="654">
        <v>2.6411373001194631</v>
      </c>
      <c r="AL57" s="654">
        <v>2.7435159777507643</v>
      </c>
      <c r="AM57" s="654">
        <v>3.0997083266003358</v>
      </c>
      <c r="AN57" s="654">
        <v>3.7531975283337236</v>
      </c>
      <c r="AO57" s="655"/>
      <c r="AP57" s="654">
        <v>2.4576411143366252</v>
      </c>
      <c r="AQ57" s="654">
        <v>4.3125775484158666</v>
      </c>
      <c r="AR57" s="654">
        <v>4.5307909287337971</v>
      </c>
      <c r="AS57" s="654">
        <v>4.8379758368452608</v>
      </c>
      <c r="AT57" s="654">
        <v>4.9281828585776424</v>
      </c>
      <c r="AU57" s="654">
        <v>5.1539816566014656</v>
      </c>
      <c r="AV57" s="654">
        <v>5.5549900962071446</v>
      </c>
      <c r="AX57" s="654">
        <v>6.9940574199217451</v>
      </c>
      <c r="AY57" s="654">
        <v>5.0875594426067732</v>
      </c>
      <c r="AZ57" s="654">
        <v>4.1057667284069055</v>
      </c>
      <c r="BA57" s="654">
        <v>2.2425046936212323</v>
      </c>
      <c r="BB57" s="654">
        <v>1.7781544117925343</v>
      </c>
      <c r="BC57" s="654">
        <v>1.1765917413090332</v>
      </c>
      <c r="BD57" s="654">
        <v>0.74504246021330045</v>
      </c>
      <c r="BE57" s="654"/>
      <c r="BF57" s="654">
        <v>6.8441499263598313E-2</v>
      </c>
      <c r="BG57" s="654">
        <v>0.39365833925849025</v>
      </c>
      <c r="BH57" s="654">
        <v>0.50622135938653368</v>
      </c>
      <c r="BI57" s="654">
        <v>0.77076240759998993</v>
      </c>
      <c r="BJ57" s="654">
        <v>0.83757435023410864</v>
      </c>
      <c r="BK57" s="654">
        <v>0.91600075023259409</v>
      </c>
      <c r="BL57" s="654">
        <v>0.84840214373329192</v>
      </c>
      <c r="BN57" s="654">
        <v>4.9640724747899707</v>
      </c>
      <c r="BO57" s="654">
        <v>3.98170450656841</v>
      </c>
      <c r="BP57" s="654">
        <v>3.5621586191009156</v>
      </c>
      <c r="BQ57" s="654">
        <v>2.8998663557465334</v>
      </c>
      <c r="BR57" s="654">
        <v>2.7847374034413979</v>
      </c>
      <c r="BS57" s="654">
        <v>2.7614840282879345</v>
      </c>
      <c r="BT57" s="654">
        <v>2.6606217422363074</v>
      </c>
      <c r="BV57" s="656"/>
      <c r="BW57" s="656"/>
    </row>
    <row r="58" spans="1:75" s="148" customFormat="1" ht="12">
      <c r="A58" s="653">
        <v>2010</v>
      </c>
      <c r="B58" s="654">
        <v>19.893665778667319</v>
      </c>
      <c r="C58" s="654">
        <v>31.797749143299225</v>
      </c>
      <c r="D58" s="654">
        <v>33.110308855288835</v>
      </c>
      <c r="E58" s="654">
        <v>35.365948563824013</v>
      </c>
      <c r="F58" s="654">
        <v>36.112770891677322</v>
      </c>
      <c r="G58" s="654">
        <v>37.978219082446003</v>
      </c>
      <c r="H58" s="654">
        <v>38.329167576198316</v>
      </c>
      <c r="I58" s="654"/>
      <c r="J58" s="654">
        <v>12.979690964983133</v>
      </c>
      <c r="K58" s="654">
        <v>27.022561231592054</v>
      </c>
      <c r="L58" s="654">
        <v>29.291324292997515</v>
      </c>
      <c r="M58" s="654">
        <v>33.320735455547606</v>
      </c>
      <c r="N58" s="654">
        <v>34.496773510807401</v>
      </c>
      <c r="O58" s="654">
        <v>36.93267964013463</v>
      </c>
      <c r="P58" s="654">
        <v>37.705668104114721</v>
      </c>
      <c r="Q58" s="654"/>
      <c r="R58" s="654">
        <v>3.1468184683285405</v>
      </c>
      <c r="S58" s="654">
        <v>12.547916199226272</v>
      </c>
      <c r="T58" s="654">
        <v>14.397168623386092</v>
      </c>
      <c r="U58" s="654">
        <v>17.580129690239986</v>
      </c>
      <c r="V58" s="654">
        <v>18.365488382803651</v>
      </c>
      <c r="W58" s="654">
        <v>19.725800753510381</v>
      </c>
      <c r="X58" s="654">
        <v>19.54790561940332</v>
      </c>
      <c r="Y58" s="655"/>
      <c r="Z58" s="654">
        <v>0.99695161983614322</v>
      </c>
      <c r="AA58" s="654">
        <v>3.3132719279427327</v>
      </c>
      <c r="AB58" s="654">
        <v>3.7027586434190187</v>
      </c>
      <c r="AC58" s="654">
        <v>4.4045867837747004</v>
      </c>
      <c r="AD58" s="654">
        <v>4.6401355729150744</v>
      </c>
      <c r="AE58" s="654">
        <v>5.0947769577779383</v>
      </c>
      <c r="AF58" s="654">
        <v>5.1143302158508197</v>
      </c>
      <c r="AG58" s="655"/>
      <c r="AH58" s="654">
        <v>1.4892166548525267</v>
      </c>
      <c r="AI58" s="654">
        <v>2.8336256099003294</v>
      </c>
      <c r="AJ58" s="654">
        <v>3.0380574247785819</v>
      </c>
      <c r="AK58" s="654">
        <v>3.4131884253416094</v>
      </c>
      <c r="AL58" s="654">
        <v>3.5651593915882835</v>
      </c>
      <c r="AM58" s="654">
        <v>4.0250767604377531</v>
      </c>
      <c r="AN58" s="654">
        <v>4.8712132256722516</v>
      </c>
      <c r="AO58" s="655"/>
      <c r="AP58" s="654">
        <v>2.2919294664215979</v>
      </c>
      <c r="AQ58" s="654">
        <v>4.1002984627476549</v>
      </c>
      <c r="AR58" s="654">
        <v>4.2768218180583073</v>
      </c>
      <c r="AS58" s="654">
        <v>4.5136455135865292</v>
      </c>
      <c r="AT58" s="654">
        <v>4.5868524507758082</v>
      </c>
      <c r="AU58" s="654">
        <v>4.7908299488501358</v>
      </c>
      <c r="AV58" s="654">
        <v>5.1658350538414943</v>
      </c>
      <c r="AX58" s="654">
        <v>6.9139748136841854</v>
      </c>
      <c r="AY58" s="654">
        <v>4.7751879117071692</v>
      </c>
      <c r="AZ58" s="654">
        <v>3.8189845622913179</v>
      </c>
      <c r="BA58" s="654">
        <v>2.0452131082764033</v>
      </c>
      <c r="BB58" s="654">
        <v>1.6159973808699262</v>
      </c>
      <c r="BC58" s="654">
        <v>1.0455394423113751</v>
      </c>
      <c r="BD58" s="654">
        <v>0.62349947208359402</v>
      </c>
      <c r="BE58" s="654"/>
      <c r="BF58" s="654">
        <v>4.1702224903110569E-2</v>
      </c>
      <c r="BG58" s="654">
        <v>0.30253822436618938</v>
      </c>
      <c r="BH58" s="654">
        <v>0.39510462875963182</v>
      </c>
      <c r="BI58" s="654">
        <v>0.62641778173834706</v>
      </c>
      <c r="BJ58" s="654">
        <v>0.68556622717137983</v>
      </c>
      <c r="BK58" s="654">
        <v>0.73731376232368617</v>
      </c>
      <c r="BL58" s="654">
        <v>0.6398140239533987</v>
      </c>
      <c r="BN58" s="654">
        <v>5.0130725306412156</v>
      </c>
      <c r="BO58" s="654">
        <v>3.9249108074088745</v>
      </c>
      <c r="BP58" s="654">
        <v>3.4814131545958844</v>
      </c>
      <c r="BQ58" s="654">
        <v>2.7827672608664362</v>
      </c>
      <c r="BR58" s="654">
        <v>2.6535714855532038</v>
      </c>
      <c r="BS58" s="654">
        <v>2.5588814572347309</v>
      </c>
      <c r="BT58" s="654">
        <v>2.3665699653934333</v>
      </c>
      <c r="BV58" s="656"/>
      <c r="BW58" s="656"/>
    </row>
    <row r="59" spans="1:75" s="148" customFormat="1" ht="12">
      <c r="A59" s="653">
        <v>2011</v>
      </c>
      <c r="B59" s="654">
        <v>19.690225657015024</v>
      </c>
      <c r="C59" s="654">
        <v>32.942444911255492</v>
      </c>
      <c r="D59" s="654">
        <v>34.646095142763677</v>
      </c>
      <c r="E59" s="654">
        <v>37.796787149554724</v>
      </c>
      <c r="F59" s="654">
        <v>38.789131990915699</v>
      </c>
      <c r="G59" s="654">
        <v>41.622522652582667</v>
      </c>
      <c r="H59" s="654">
        <v>42.409783247983995</v>
      </c>
      <c r="I59" s="654"/>
      <c r="J59" s="654">
        <v>13.580469148666877</v>
      </c>
      <c r="K59" s="654">
        <v>28.721220502061097</v>
      </c>
      <c r="L59" s="654">
        <v>31.223472904191976</v>
      </c>
      <c r="M59" s="654">
        <v>35.843749181628148</v>
      </c>
      <c r="N59" s="654">
        <v>37.225202570660166</v>
      </c>
      <c r="O59" s="654">
        <v>40.540166513746172</v>
      </c>
      <c r="P59" s="654">
        <v>41.719369448266903</v>
      </c>
      <c r="Q59" s="654"/>
      <c r="R59" s="654">
        <v>3.6632904693323698</v>
      </c>
      <c r="S59" s="654">
        <v>14.322624624924471</v>
      </c>
      <c r="T59" s="654">
        <v>16.44622529790966</v>
      </c>
      <c r="U59" s="654">
        <v>20.199179717002252</v>
      </c>
      <c r="V59" s="654">
        <v>21.105960141783271</v>
      </c>
      <c r="W59" s="654">
        <v>23.015336526622985</v>
      </c>
      <c r="X59" s="654">
        <v>22.964607774198349</v>
      </c>
      <c r="Y59" s="655"/>
      <c r="Z59" s="654">
        <v>1.0611621877538819</v>
      </c>
      <c r="AA59" s="654">
        <v>3.4572854567994056</v>
      </c>
      <c r="AB59" s="654">
        <v>3.8968001234049288</v>
      </c>
      <c r="AC59" s="654">
        <v>4.7969508879265508</v>
      </c>
      <c r="AD59" s="654">
        <v>5.1359920146939082</v>
      </c>
      <c r="AE59" s="654">
        <v>5.8836879964066755</v>
      </c>
      <c r="AF59" s="654">
        <v>6.2263295236547878</v>
      </c>
      <c r="AG59" s="655"/>
      <c r="AH59" s="654">
        <v>1.514122993186259</v>
      </c>
      <c r="AI59" s="654">
        <v>2.7842130230078985</v>
      </c>
      <c r="AJ59" s="654">
        <v>2.9370336614277184</v>
      </c>
      <c r="AK59" s="654">
        <v>3.2253635055686312</v>
      </c>
      <c r="AL59" s="654">
        <v>3.3786542294737694</v>
      </c>
      <c r="AM59" s="654">
        <v>3.8386142203952778</v>
      </c>
      <c r="AN59" s="654">
        <v>4.5905615314989436</v>
      </c>
      <c r="AO59" s="655"/>
      <c r="AP59" s="654">
        <v>2.2239448341500867</v>
      </c>
      <c r="AQ59" s="654">
        <v>3.960503142959773</v>
      </c>
      <c r="AR59" s="654">
        <v>4.1206584283106569</v>
      </c>
      <c r="AS59" s="654">
        <v>4.324251814819843</v>
      </c>
      <c r="AT59" s="654">
        <v>4.4002603873395261</v>
      </c>
      <c r="AU59" s="654">
        <v>4.6142640923734701</v>
      </c>
      <c r="AV59" s="654">
        <v>4.9548973912950993</v>
      </c>
      <c r="AX59" s="654">
        <v>6.1097565083481475</v>
      </c>
      <c r="AY59" s="654">
        <v>4.2212244091943907</v>
      </c>
      <c r="AZ59" s="654">
        <v>3.422622238571702</v>
      </c>
      <c r="BA59" s="654">
        <v>1.9530379679265792</v>
      </c>
      <c r="BB59" s="654">
        <v>1.5639294202555394</v>
      </c>
      <c r="BC59" s="654">
        <v>1.0823561388364924</v>
      </c>
      <c r="BD59" s="654">
        <v>0.69041379971709549</v>
      </c>
      <c r="BE59" s="654"/>
      <c r="BF59" s="654">
        <v>3.0330565799056446E-2</v>
      </c>
      <c r="BG59" s="654">
        <v>0.21184821838337062</v>
      </c>
      <c r="BH59" s="654">
        <v>0.27727583128623373</v>
      </c>
      <c r="BI59" s="654">
        <v>0.44648960429758427</v>
      </c>
      <c r="BJ59" s="654">
        <v>0.49210253872123322</v>
      </c>
      <c r="BK59" s="654">
        <v>0.54867913757776055</v>
      </c>
      <c r="BL59" s="654">
        <v>0.49960595362396454</v>
      </c>
      <c r="BN59" s="654">
        <v>5.0876180984452217</v>
      </c>
      <c r="BO59" s="654">
        <v>3.9847460359861793</v>
      </c>
      <c r="BP59" s="654">
        <v>3.5454795618527752</v>
      </c>
      <c r="BQ59" s="654">
        <v>2.8515136520132911</v>
      </c>
      <c r="BR59" s="654">
        <v>2.7122332586484497</v>
      </c>
      <c r="BS59" s="654">
        <v>2.6395845403700062</v>
      </c>
      <c r="BT59" s="654">
        <v>2.483367273995762</v>
      </c>
      <c r="BV59" s="656"/>
      <c r="BW59" s="656"/>
    </row>
    <row r="60" spans="1:75" s="148" customFormat="1" ht="12">
      <c r="A60" s="653">
        <v>2012</v>
      </c>
      <c r="B60" s="654">
        <v>19.428540871241257</v>
      </c>
      <c r="C60" s="654">
        <v>32.59125879980094</v>
      </c>
      <c r="D60" s="654">
        <v>34.257341373062673</v>
      </c>
      <c r="E60" s="654">
        <v>37.285307523011184</v>
      </c>
      <c r="F60" s="654">
        <v>38.204038897031097</v>
      </c>
      <c r="G60" s="654">
        <v>40.282689370881329</v>
      </c>
      <c r="H60" s="654">
        <v>40.504504945880015</v>
      </c>
      <c r="I60" s="654"/>
      <c r="J60" s="654">
        <v>13.260944296225791</v>
      </c>
      <c r="K60" s="654">
        <v>28.521013598912972</v>
      </c>
      <c r="L60" s="654">
        <v>30.983456480376706</v>
      </c>
      <c r="M60" s="654">
        <v>35.464664564709679</v>
      </c>
      <c r="N60" s="654">
        <v>36.746954125478688</v>
      </c>
      <c r="O60" s="654">
        <v>39.282669682293957</v>
      </c>
      <c r="P60" s="654">
        <v>39.83593567130373</v>
      </c>
      <c r="Q60" s="654"/>
      <c r="R60" s="654">
        <v>3.4292647595019821</v>
      </c>
      <c r="S60" s="654">
        <v>14.075957567907341</v>
      </c>
      <c r="T60" s="654">
        <v>16.201063454202593</v>
      </c>
      <c r="U60" s="654">
        <v>19.87892753517384</v>
      </c>
      <c r="V60" s="654">
        <v>20.707722224683465</v>
      </c>
      <c r="W60" s="654">
        <v>22.138617234516243</v>
      </c>
      <c r="X60" s="654">
        <v>21.899349107200926</v>
      </c>
      <c r="Y60" s="655"/>
      <c r="Z60" s="654">
        <v>1.0800978069918761</v>
      </c>
      <c r="AA60" s="654">
        <v>3.4674027090849027</v>
      </c>
      <c r="AB60" s="654">
        <v>3.8724781576622078</v>
      </c>
      <c r="AC60" s="654">
        <v>4.668261047630808</v>
      </c>
      <c r="AD60" s="654">
        <v>4.909018379012946</v>
      </c>
      <c r="AE60" s="654">
        <v>5.3442006965175901</v>
      </c>
      <c r="AF60" s="654">
        <v>5.3489024330777992</v>
      </c>
      <c r="AG60" s="655"/>
      <c r="AH60" s="654">
        <v>1.679777295394469</v>
      </c>
      <c r="AI60" s="654">
        <v>3.1514075811807962</v>
      </c>
      <c r="AJ60" s="654">
        <v>3.3001760147804218</v>
      </c>
      <c r="AK60" s="654">
        <v>3.612994029078104</v>
      </c>
      <c r="AL60" s="654">
        <v>3.8247361914712812</v>
      </c>
      <c r="AM60" s="654">
        <v>4.3676148712448732</v>
      </c>
      <c r="AN60" s="654">
        <v>5.088582172080117</v>
      </c>
      <c r="AO60" s="655"/>
      <c r="AP60" s="654">
        <v>2.1226746866585473</v>
      </c>
      <c r="AQ60" s="654">
        <v>3.7796603947890359</v>
      </c>
      <c r="AR60" s="654">
        <v>3.8968719674391665</v>
      </c>
      <c r="AS60" s="654">
        <v>4.0356967260829375</v>
      </c>
      <c r="AT60" s="654">
        <v>4.1143922658266385</v>
      </c>
      <c r="AU60" s="654">
        <v>4.2813579888542366</v>
      </c>
      <c r="AV60" s="654">
        <v>4.5149224848315246</v>
      </c>
      <c r="AX60" s="654">
        <v>6.1675965750154678</v>
      </c>
      <c r="AY60" s="654">
        <v>4.0702452008879657</v>
      </c>
      <c r="AZ60" s="654">
        <v>3.2738848926859654</v>
      </c>
      <c r="BA60" s="654">
        <v>1.8206429583015085</v>
      </c>
      <c r="BB60" s="654">
        <v>1.457084771552408</v>
      </c>
      <c r="BC60" s="654">
        <v>1.0000196885873733</v>
      </c>
      <c r="BD60" s="654">
        <v>0.66856927457628734</v>
      </c>
      <c r="BE60" s="654"/>
      <c r="BF60" s="654">
        <v>3.9016857768426561E-2</v>
      </c>
      <c r="BG60" s="654">
        <v>0.25743958477616841</v>
      </c>
      <c r="BH60" s="654">
        <v>0.33187101298117327</v>
      </c>
      <c r="BI60" s="654">
        <v>0.51081219830550495</v>
      </c>
      <c r="BJ60" s="654">
        <v>0.55320104553334637</v>
      </c>
      <c r="BK60" s="654">
        <v>0.58049932475603627</v>
      </c>
      <c r="BL60" s="654">
        <v>0.50232915631410113</v>
      </c>
      <c r="BN60" s="654">
        <v>4.91011288991049</v>
      </c>
      <c r="BO60" s="654">
        <v>3.7891457611747268</v>
      </c>
      <c r="BP60" s="654">
        <v>3.3809958733111394</v>
      </c>
      <c r="BQ60" s="654">
        <v>2.7579730284384847</v>
      </c>
      <c r="BR60" s="654">
        <v>2.6378840189510058</v>
      </c>
      <c r="BS60" s="654">
        <v>2.5703795664049784</v>
      </c>
      <c r="BT60" s="654">
        <v>2.481850317799259</v>
      </c>
      <c r="BV60" s="656"/>
      <c r="BW60" s="656"/>
    </row>
    <row r="61" spans="1:75" s="148" customFormat="1" ht="12">
      <c r="A61" s="653">
        <v>2013</v>
      </c>
      <c r="B61" s="654">
        <v>20.736031346848783</v>
      </c>
      <c r="C61" s="654">
        <v>35.6161114224968</v>
      </c>
      <c r="D61" s="654">
        <v>37.948381225900022</v>
      </c>
      <c r="E61" s="654">
        <v>43.107131422703404</v>
      </c>
      <c r="F61" s="654">
        <v>44.975278179262503</v>
      </c>
      <c r="G61" s="654">
        <v>49.206239613027925</v>
      </c>
      <c r="H61" s="654">
        <v>51.41656041494322</v>
      </c>
      <c r="I61" s="654"/>
      <c r="J61" s="654">
        <v>13.80675125032001</v>
      </c>
      <c r="K61" s="654">
        <v>30.92825117472341</v>
      </c>
      <c r="L61" s="654">
        <v>34.162971314927169</v>
      </c>
      <c r="M61" s="654">
        <v>41.003273371520635</v>
      </c>
      <c r="N61" s="654">
        <v>43.319827766446231</v>
      </c>
      <c r="O61" s="654">
        <v>48.098567337565392</v>
      </c>
      <c r="P61" s="654">
        <v>50.702797852104865</v>
      </c>
      <c r="Q61" s="654"/>
      <c r="R61" s="654">
        <v>3.7260552464639405</v>
      </c>
      <c r="S61" s="654">
        <v>15.633113827244566</v>
      </c>
      <c r="T61" s="654">
        <v>18.292953664959843</v>
      </c>
      <c r="U61" s="654">
        <v>23.629619505734908</v>
      </c>
      <c r="V61" s="654">
        <v>25.133155238313282</v>
      </c>
      <c r="W61" s="654">
        <v>27.870293880473952</v>
      </c>
      <c r="X61" s="654">
        <v>28.711103878659561</v>
      </c>
      <c r="Y61" s="655"/>
      <c r="Z61" s="654">
        <v>1.0928270760761707</v>
      </c>
      <c r="AA61" s="654">
        <v>3.853194273973287</v>
      </c>
      <c r="AB61" s="654">
        <v>4.4495666702970684</v>
      </c>
      <c r="AC61" s="654">
        <v>5.7759825052009131</v>
      </c>
      <c r="AD61" s="654">
        <v>6.2956583318144146</v>
      </c>
      <c r="AE61" s="654">
        <v>7.3437819731738321</v>
      </c>
      <c r="AF61" s="654">
        <v>8.1047145281044752</v>
      </c>
      <c r="AG61" s="655"/>
      <c r="AH61" s="654">
        <v>1.7753072045926461</v>
      </c>
      <c r="AI61" s="654">
        <v>3.3403715109980041</v>
      </c>
      <c r="AJ61" s="654">
        <v>3.5005180024438851</v>
      </c>
      <c r="AK61" s="654">
        <v>3.891186120150516</v>
      </c>
      <c r="AL61" s="654">
        <v>4.1674338186642741</v>
      </c>
      <c r="AM61" s="654">
        <v>4.9229430364665996</v>
      </c>
      <c r="AN61" s="654">
        <v>5.8293079177405769</v>
      </c>
      <c r="AO61" s="655"/>
      <c r="AP61" s="654">
        <v>2.0679839665296318</v>
      </c>
      <c r="AQ61" s="654">
        <v>3.8345884729626798</v>
      </c>
      <c r="AR61" s="654">
        <v>3.9863587988339502</v>
      </c>
      <c r="AS61" s="654">
        <v>4.2464647734538801</v>
      </c>
      <c r="AT61" s="654">
        <v>4.3712115929292938</v>
      </c>
      <c r="AU61" s="654">
        <v>4.6626858860776981</v>
      </c>
      <c r="AV61" s="654">
        <v>4.9678184972663884</v>
      </c>
      <c r="AX61" s="654">
        <v>6.9292800965287729</v>
      </c>
      <c r="AY61" s="654">
        <v>4.6878602477733944</v>
      </c>
      <c r="AZ61" s="654">
        <v>3.7854099109728492</v>
      </c>
      <c r="BA61" s="654">
        <v>2.1038580511827698</v>
      </c>
      <c r="BB61" s="654">
        <v>1.6554504128162748</v>
      </c>
      <c r="BC61" s="654">
        <v>1.1076722754625334</v>
      </c>
      <c r="BD61" s="654">
        <v>0.7137625628383526</v>
      </c>
      <c r="BE61" s="654"/>
      <c r="BF61" s="654">
        <v>5.1236460157760268E-2</v>
      </c>
      <c r="BG61" s="654">
        <v>0.35447427662011177</v>
      </c>
      <c r="BH61" s="654">
        <v>0.46546529728177444</v>
      </c>
      <c r="BI61" s="654">
        <v>0.75292998864566307</v>
      </c>
      <c r="BJ61" s="654">
        <v>0.83397904142503299</v>
      </c>
      <c r="BK61" s="654">
        <v>0.91869682027000221</v>
      </c>
      <c r="BL61" s="654">
        <v>0.83059300211363218</v>
      </c>
      <c r="BN61" s="654">
        <v>5.0933412964998617</v>
      </c>
      <c r="BO61" s="654">
        <v>3.9125088129247634</v>
      </c>
      <c r="BP61" s="654">
        <v>3.468108881110648</v>
      </c>
      <c r="BQ61" s="654">
        <v>2.7070904783347527</v>
      </c>
      <c r="BR61" s="654">
        <v>2.518389743299934</v>
      </c>
      <c r="BS61" s="654">
        <v>2.3801657411033088</v>
      </c>
      <c r="BT61" s="654">
        <v>2.2592600282202357</v>
      </c>
      <c r="BV61" s="656"/>
      <c r="BW61" s="656"/>
    </row>
    <row r="62" spans="1:75" s="148" customFormat="1" ht="12">
      <c r="A62" s="653">
        <v>2014</v>
      </c>
      <c r="B62" s="654">
        <v>20.84132513826847</v>
      </c>
      <c r="C62" s="654">
        <v>35.81397390690686</v>
      </c>
      <c r="D62" s="654">
        <v>38.122449822816471</v>
      </c>
      <c r="E62" s="654">
        <v>43.27036680089671</v>
      </c>
      <c r="F62" s="654">
        <v>45.204195303533908</v>
      </c>
      <c r="G62" s="654">
        <v>49.385414190099695</v>
      </c>
      <c r="H62" s="654">
        <v>51.748679219998927</v>
      </c>
      <c r="I62" s="654"/>
      <c r="J62" s="654">
        <v>13.893428550568764</v>
      </c>
      <c r="K62" s="654">
        <v>31.197136603614346</v>
      </c>
      <c r="L62" s="654">
        <v>34.408196230952434</v>
      </c>
      <c r="M62" s="654">
        <v>41.187489262437069</v>
      </c>
      <c r="N62" s="654">
        <v>43.539828336642131</v>
      </c>
      <c r="O62" s="654">
        <v>48.262088858496313</v>
      </c>
      <c r="P62" s="654">
        <v>51.006895601932371</v>
      </c>
      <c r="Q62" s="654"/>
      <c r="R62" s="654">
        <v>3.7604710573494038</v>
      </c>
      <c r="S62" s="654">
        <v>16.102351749626688</v>
      </c>
      <c r="T62" s="654">
        <v>18.873647262084468</v>
      </c>
      <c r="U62" s="654">
        <v>24.505667675764325</v>
      </c>
      <c r="V62" s="654">
        <v>26.171057301057431</v>
      </c>
      <c r="W62" s="654">
        <v>29.075542605420807</v>
      </c>
      <c r="X62" s="654">
        <v>30.126789516545326</v>
      </c>
      <c r="Y62" s="655"/>
      <c r="Z62" s="654">
        <v>1.0666950192132727</v>
      </c>
      <c r="AA62" s="654">
        <v>3.7009665839470727</v>
      </c>
      <c r="AB62" s="654">
        <v>4.2085340319630085</v>
      </c>
      <c r="AC62" s="654">
        <v>5.3023474210859298</v>
      </c>
      <c r="AD62" s="654">
        <v>5.7522357393617902</v>
      </c>
      <c r="AE62" s="654">
        <v>6.7067140334346549</v>
      </c>
      <c r="AF62" s="654">
        <v>7.3854674165197727</v>
      </c>
      <c r="AG62" s="655"/>
      <c r="AH62" s="654">
        <v>1.7792552055424158</v>
      </c>
      <c r="AI62" s="654">
        <v>3.3468029879326595</v>
      </c>
      <c r="AJ62" s="654">
        <v>3.50664954242828</v>
      </c>
      <c r="AK62" s="654">
        <v>3.876567741756809</v>
      </c>
      <c r="AL62" s="654">
        <v>4.1328156409405468</v>
      </c>
      <c r="AM62" s="654">
        <v>4.8536304330022517</v>
      </c>
      <c r="AN62" s="654">
        <v>5.7851433474419576</v>
      </c>
      <c r="AO62" s="655"/>
      <c r="AP62" s="654">
        <v>1.981109414941826</v>
      </c>
      <c r="AQ62" s="654">
        <v>3.7069183689810519</v>
      </c>
      <c r="AR62" s="654">
        <v>3.8438678820292145</v>
      </c>
      <c r="AS62" s="654">
        <v>4.0542803241419865</v>
      </c>
      <c r="AT62" s="654">
        <v>4.1474674383957897</v>
      </c>
      <c r="AU62" s="654">
        <v>4.3754205368514745</v>
      </c>
      <c r="AV62" s="654">
        <v>4.652741494418815</v>
      </c>
      <c r="AX62" s="654">
        <v>6.947896587699705</v>
      </c>
      <c r="AY62" s="654">
        <v>4.6168373032925123</v>
      </c>
      <c r="AZ62" s="654">
        <v>3.7142535918640385</v>
      </c>
      <c r="BA62" s="654">
        <v>2.0828775384596399</v>
      </c>
      <c r="BB62" s="654">
        <v>1.6643669668917782</v>
      </c>
      <c r="BC62" s="654">
        <v>1.1233253316033796</v>
      </c>
      <c r="BD62" s="654">
        <v>0.74178361806655502</v>
      </c>
      <c r="BE62" s="654"/>
      <c r="BF62" s="654">
        <v>4.5361007838235767E-2</v>
      </c>
      <c r="BG62" s="654">
        <v>0.30849426563657878</v>
      </c>
      <c r="BH62" s="654">
        <v>0.40190786801776585</v>
      </c>
      <c r="BI62" s="654">
        <v>0.64366014474776123</v>
      </c>
      <c r="BJ62" s="654">
        <v>0.71098728766032215</v>
      </c>
      <c r="BK62" s="654">
        <v>0.77286418282742786</v>
      </c>
      <c r="BL62" s="654">
        <v>0.69647804710153727</v>
      </c>
      <c r="BN62" s="654">
        <v>5.2605368456836086</v>
      </c>
      <c r="BO62" s="654">
        <v>4.0316026474902991</v>
      </c>
      <c r="BP62" s="654">
        <v>3.5735896444296986</v>
      </c>
      <c r="BQ62" s="654">
        <v>2.8049659549402577</v>
      </c>
      <c r="BR62" s="654">
        <v>2.6252649292262569</v>
      </c>
      <c r="BS62" s="654">
        <v>2.4779170669596948</v>
      </c>
      <c r="BT62" s="654">
        <v>2.3602757799049647</v>
      </c>
      <c r="BV62" s="656"/>
      <c r="BW62" s="656"/>
    </row>
    <row r="63" spans="1:75" s="148" customFormat="1" ht="12">
      <c r="A63" s="653">
        <v>2015</v>
      </c>
      <c r="B63" s="654">
        <v>20.972042822063472</v>
      </c>
      <c r="C63" s="654">
        <v>36.583843364777877</v>
      </c>
      <c r="D63" s="654">
        <v>39.036001257100303</v>
      </c>
      <c r="E63" s="654">
        <v>44.456368855472498</v>
      </c>
      <c r="F63" s="654">
        <v>46.46503488631302</v>
      </c>
      <c r="G63" s="654">
        <v>50.525644854961286</v>
      </c>
      <c r="H63" s="654">
        <v>52.422222326393445</v>
      </c>
      <c r="I63" s="654"/>
      <c r="J63" s="654">
        <v>14.058764939648185</v>
      </c>
      <c r="K63" s="654">
        <v>31.932361808661017</v>
      </c>
      <c r="L63" s="654">
        <v>35.29779637401316</v>
      </c>
      <c r="M63" s="654">
        <v>42.346769977416095</v>
      </c>
      <c r="N63" s="654">
        <v>44.765574684940461</v>
      </c>
      <c r="O63" s="654">
        <v>49.366770174790588</v>
      </c>
      <c r="P63" s="654">
        <v>51.62778009713611</v>
      </c>
      <c r="Q63" s="654"/>
      <c r="R63" s="654">
        <v>3.9819935190245364</v>
      </c>
      <c r="S63" s="654">
        <v>16.839467125243758</v>
      </c>
      <c r="T63" s="654">
        <v>19.684814258560344</v>
      </c>
      <c r="U63" s="654">
        <v>25.407027296271849</v>
      </c>
      <c r="V63" s="654">
        <v>27.091693918290723</v>
      </c>
      <c r="W63" s="654">
        <v>29.839069870904378</v>
      </c>
      <c r="X63" s="654">
        <v>30.458950511348664</v>
      </c>
      <c r="Y63" s="655"/>
      <c r="Z63" s="654">
        <v>1.076866517985859</v>
      </c>
      <c r="AA63" s="654">
        <v>3.8773758484822403</v>
      </c>
      <c r="AB63" s="654">
        <v>4.4536939878851101</v>
      </c>
      <c r="AC63" s="654">
        <v>5.6991641075469701</v>
      </c>
      <c r="AD63" s="654">
        <v>6.1867586867819195</v>
      </c>
      <c r="AE63" s="654">
        <v>7.1687756437762822</v>
      </c>
      <c r="AF63" s="654">
        <v>7.7831495928161756</v>
      </c>
      <c r="AG63" s="655"/>
      <c r="AH63" s="654">
        <v>1.6772015609028654</v>
      </c>
      <c r="AI63" s="654">
        <v>3.103936443862378</v>
      </c>
      <c r="AJ63" s="654">
        <v>3.2774953446078245</v>
      </c>
      <c r="AK63" s="654">
        <v>3.6754163949209815</v>
      </c>
      <c r="AL63" s="654">
        <v>3.920811030869789</v>
      </c>
      <c r="AM63" s="654">
        <v>4.6371061053722604</v>
      </c>
      <c r="AN63" s="654">
        <v>5.5760799315327967</v>
      </c>
      <c r="AO63" s="655"/>
      <c r="AP63" s="654">
        <v>1.915953381540541</v>
      </c>
      <c r="AQ63" s="654">
        <v>3.5943666364566846</v>
      </c>
      <c r="AR63" s="654">
        <v>3.7376513408431031</v>
      </c>
      <c r="AS63" s="654">
        <v>3.9503894541313187</v>
      </c>
      <c r="AT63" s="654">
        <v>4.0454069678859232</v>
      </c>
      <c r="AU63" s="654">
        <v>4.2590343206612014</v>
      </c>
      <c r="AV63" s="654">
        <v>4.5142942097629009</v>
      </c>
      <c r="AX63" s="654">
        <v>6.9132778824152821</v>
      </c>
      <c r="AY63" s="654">
        <v>4.6514815561168561</v>
      </c>
      <c r="AZ63" s="654">
        <v>3.7382048830871408</v>
      </c>
      <c r="BA63" s="654">
        <v>2.1095988780563997</v>
      </c>
      <c r="BB63" s="654">
        <v>1.6994602013725606</v>
      </c>
      <c r="BC63" s="654">
        <v>1.1588746801706984</v>
      </c>
      <c r="BD63" s="654">
        <v>0.79444222925733454</v>
      </c>
      <c r="BE63" s="654"/>
      <c r="BF63" s="654">
        <v>4.6348865949957858E-2</v>
      </c>
      <c r="BG63" s="654">
        <v>0.31744181477158184</v>
      </c>
      <c r="BH63" s="654">
        <v>0.41450120189183765</v>
      </c>
      <c r="BI63" s="654">
        <v>0.66424019974637727</v>
      </c>
      <c r="BJ63" s="654">
        <v>0.73387249683080302</v>
      </c>
      <c r="BK63" s="654">
        <v>0.79275593844933179</v>
      </c>
      <c r="BL63" s="654">
        <v>0.70885119128025864</v>
      </c>
      <c r="BN63" s="654">
        <v>5.3604010942444251</v>
      </c>
      <c r="BO63" s="654">
        <v>4.1997739398443787</v>
      </c>
      <c r="BP63" s="654">
        <v>3.7296402402249393</v>
      </c>
      <c r="BQ63" s="654">
        <v>2.9505325247985978</v>
      </c>
      <c r="BR63" s="654">
        <v>2.7870315842813009</v>
      </c>
      <c r="BS63" s="654">
        <v>2.6700282956271328</v>
      </c>
      <c r="BT63" s="654">
        <v>2.586454660395312</v>
      </c>
      <c r="BV63" s="656"/>
      <c r="BW63" s="656"/>
    </row>
    <row r="64" spans="1:75" s="148" customFormat="1" ht="9" customHeight="1">
      <c r="A64" s="657"/>
      <c r="B64" s="657"/>
      <c r="C64" s="657"/>
      <c r="D64" s="657"/>
      <c r="E64" s="658"/>
      <c r="F64" s="657"/>
      <c r="G64" s="657"/>
      <c r="H64" s="657"/>
      <c r="I64" s="657"/>
      <c r="J64" s="657"/>
      <c r="K64" s="657"/>
      <c r="L64" s="657"/>
      <c r="M64" s="657"/>
      <c r="N64" s="657"/>
      <c r="O64" s="657"/>
      <c r="P64" s="657"/>
      <c r="Q64" s="657"/>
      <c r="R64" s="657"/>
      <c r="S64" s="657"/>
      <c r="T64" s="657"/>
      <c r="U64" s="657"/>
      <c r="V64" s="657"/>
      <c r="W64" s="657"/>
      <c r="X64" s="657"/>
      <c r="Y64" s="657"/>
      <c r="Z64" s="657"/>
      <c r="AA64" s="659"/>
      <c r="AB64" s="659"/>
      <c r="AC64" s="659"/>
      <c r="AD64" s="659"/>
      <c r="AE64" s="659"/>
      <c r="AF64" s="659"/>
      <c r="AG64" s="657"/>
      <c r="AH64" s="657"/>
      <c r="AI64" s="657"/>
      <c r="AJ64" s="657"/>
      <c r="AK64" s="657"/>
      <c r="AL64" s="657"/>
      <c r="AM64" s="657"/>
      <c r="AN64" s="657"/>
      <c r="AO64" s="657"/>
      <c r="AP64" s="657"/>
      <c r="AQ64" s="657"/>
      <c r="AR64" s="657"/>
      <c r="AS64" s="657"/>
      <c r="AT64" s="657"/>
      <c r="AU64" s="657"/>
      <c r="AV64" s="657"/>
      <c r="AW64" s="657"/>
      <c r="AX64" s="657"/>
      <c r="AY64" s="657"/>
      <c r="AZ64" s="657"/>
      <c r="BA64" s="657"/>
      <c r="BB64" s="657"/>
      <c r="BC64" s="657"/>
      <c r="BD64" s="657"/>
      <c r="BE64" s="657"/>
      <c r="BF64" s="657"/>
      <c r="BG64" s="657"/>
      <c r="BH64" s="657"/>
      <c r="BI64" s="657"/>
      <c r="BJ64" s="657"/>
      <c r="BK64" s="657"/>
      <c r="BL64" s="657"/>
      <c r="BM64" s="657"/>
      <c r="BN64" s="657"/>
      <c r="BO64" s="657"/>
      <c r="BP64" s="657"/>
      <c r="BQ64" s="657"/>
      <c r="BR64" s="657"/>
      <c r="BS64" s="657"/>
      <c r="BT64" s="657"/>
    </row>
    <row r="65" spans="1:32" s="148" customFormat="1">
      <c r="E65" s="656"/>
      <c r="AA65" s="660"/>
      <c r="AB65" s="660"/>
      <c r="AC65" s="660"/>
      <c r="AD65" s="660"/>
      <c r="AE65" s="660"/>
      <c r="AF65" s="660"/>
    </row>
    <row r="66" spans="1:32">
      <c r="A66" s="564" t="str">
        <f>'[1]C8-Tax Dist'!A64</f>
        <v>Notes: See Table B1 for definitions of each tax and the online appendix for other details. In 1960, corporate income tax and property tax totals are distributed using 1962 distributions.</v>
      </c>
      <c r="E66" s="32"/>
      <c r="Z66" s="9"/>
    </row>
    <row r="67" spans="1:32">
      <c r="B67" s="32"/>
      <c r="E67" s="32"/>
      <c r="Z67" s="661"/>
      <c r="AA67" s="662"/>
      <c r="AB67" s="662"/>
      <c r="AC67" s="662"/>
      <c r="AD67" s="662"/>
      <c r="AE67" s="662"/>
      <c r="AF67" s="662"/>
    </row>
    <row r="68" spans="1:32">
      <c r="B68" s="32"/>
      <c r="C68" s="3"/>
      <c r="E68" s="32"/>
      <c r="J68" s="41"/>
      <c r="M68" s="41"/>
      <c r="P68" s="44"/>
      <c r="U68" s="44"/>
      <c r="X68" s="663"/>
      <c r="AA68" s="44"/>
      <c r="AB68" s="662"/>
      <c r="AC68" s="662"/>
      <c r="AD68" s="662"/>
      <c r="AE68" s="662"/>
      <c r="AF68" s="662"/>
    </row>
    <row r="69" spans="1:32">
      <c r="B69" s="32"/>
      <c r="C69" s="3"/>
      <c r="E69" s="41"/>
      <c r="J69" s="41"/>
      <c r="M69" s="41"/>
      <c r="P69" s="44"/>
      <c r="Z69" s="661"/>
      <c r="AA69" s="660"/>
      <c r="AB69" s="660"/>
      <c r="AC69" s="660"/>
      <c r="AD69" s="660"/>
      <c r="AE69" s="660"/>
      <c r="AF69" s="660"/>
    </row>
    <row r="70" spans="1:32">
      <c r="B70" s="41"/>
      <c r="C70" s="3"/>
      <c r="E70" s="41"/>
      <c r="J70" s="41"/>
      <c r="M70" s="41"/>
      <c r="Z70" s="661"/>
      <c r="AA70" s="660"/>
      <c r="AB70" s="660"/>
      <c r="AC70" s="660"/>
      <c r="AD70" s="660"/>
      <c r="AE70" s="660"/>
      <c r="AF70" s="660"/>
    </row>
    <row r="71" spans="1:32">
      <c r="Z71" s="661"/>
      <c r="AA71" s="660"/>
      <c r="AB71" s="660"/>
      <c r="AC71" s="660"/>
      <c r="AD71" s="660"/>
      <c r="AE71" s="660"/>
      <c r="AF71" s="660"/>
    </row>
    <row r="72" spans="1:32">
      <c r="Z72" s="661"/>
      <c r="AA72" s="662"/>
      <c r="AB72" s="662"/>
      <c r="AC72" s="662"/>
      <c r="AD72" s="662"/>
      <c r="AE72" s="662"/>
      <c r="AF72" s="662"/>
    </row>
    <row r="73" spans="1:32">
      <c r="Z73" s="46"/>
      <c r="AA73" s="662"/>
      <c r="AB73" s="662"/>
      <c r="AC73" s="662"/>
      <c r="AD73" s="662"/>
      <c r="AE73" s="662"/>
      <c r="AF73" s="662"/>
    </row>
    <row r="74" spans="1:32">
      <c r="Z74" s="46"/>
      <c r="AA74" s="662"/>
      <c r="AB74" s="662"/>
      <c r="AC74" s="662"/>
      <c r="AD74" s="662"/>
      <c r="AE74" s="662"/>
      <c r="AF74" s="662"/>
    </row>
    <row r="75" spans="1:32">
      <c r="Z75" s="46"/>
    </row>
    <row r="80" spans="1:32">
      <c r="Z80" s="661"/>
      <c r="AA80" s="662"/>
      <c r="AB80" s="662"/>
      <c r="AC80" s="662"/>
      <c r="AD80" s="662"/>
      <c r="AE80" s="662"/>
      <c r="AF80" s="662"/>
    </row>
    <row r="82" spans="26:26">
      <c r="Z82" s="46"/>
    </row>
    <row r="83" spans="26:26">
      <c r="Z83" s="46"/>
    </row>
  </sheetData>
  <mergeCells count="9">
    <mergeCell ref="AX5:BD5"/>
    <mergeCell ref="BF5:BL5"/>
    <mergeCell ref="BN5:BT5"/>
    <mergeCell ref="B5:H5"/>
    <mergeCell ref="J5:P5"/>
    <mergeCell ref="R5:X5"/>
    <mergeCell ref="Z5:AF5"/>
    <mergeCell ref="AH5:AN5"/>
    <mergeCell ref="AP5:AV5"/>
  </mergeCells>
  <hyperlinks>
    <hyperlink ref="A2" r:id="rId1" xr:uid="{DDEF686A-9197-45F7-98A2-3DF0CBDEC788}"/>
    <hyperlink ref="H1" location="Index!A1" display="index" xr:uid="{83080E62-B07B-4F5A-92DF-8E5B8F6515B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3B3210-7468-43CC-B297-FC28E473EE10}">
  <sheetPr codeName="Sheet20"/>
  <dimension ref="A1:M168"/>
  <sheetViews>
    <sheetView zoomScale="85" zoomScaleNormal="85" workbookViewId="0"/>
  </sheetViews>
  <sheetFormatPr defaultRowHeight="15"/>
  <cols>
    <col min="1" max="1" width="10.28515625" customWidth="1"/>
    <col min="3" max="3" width="10.28515625" customWidth="1"/>
  </cols>
  <sheetData>
    <row r="1" spans="1:9" ht="15.75">
      <c r="A1" s="190" t="s">
        <v>662</v>
      </c>
      <c r="I1" s="641" t="s">
        <v>762</v>
      </c>
    </row>
    <row r="27" spans="1:13" s="564" customFormat="1">
      <c r="A27" s="718" t="s">
        <v>664</v>
      </c>
      <c r="B27" s="718"/>
      <c r="C27" s="718"/>
      <c r="D27" s="718"/>
      <c r="E27" s="718"/>
      <c r="F27" s="718"/>
      <c r="G27" s="718"/>
      <c r="H27" s="718"/>
      <c r="I27" s="718"/>
      <c r="J27" s="718"/>
      <c r="K27" s="718"/>
    </row>
    <row r="28" spans="1:13" s="564" customFormat="1"/>
    <row r="29" spans="1:13">
      <c r="A29" s="9" t="s">
        <v>208</v>
      </c>
    </row>
    <row r="30" spans="1:13">
      <c r="E30" s="9" t="s">
        <v>274</v>
      </c>
    </row>
    <row r="31" spans="1:13">
      <c r="A31" s="144"/>
      <c r="B31" s="729" t="s">
        <v>193</v>
      </c>
      <c r="C31" s="729" t="s">
        <v>587</v>
      </c>
      <c r="E31" s="729" t="s">
        <v>193</v>
      </c>
      <c r="F31" s="729" t="s">
        <v>587</v>
      </c>
      <c r="J31" s="9"/>
      <c r="L31" s="297"/>
      <c r="M31" s="9"/>
    </row>
    <row r="32" spans="1:13" ht="21.75" customHeight="1">
      <c r="A32" s="53"/>
      <c r="B32" s="730"/>
      <c r="C32" s="730"/>
      <c r="E32" s="730"/>
      <c r="F32" s="730"/>
      <c r="J32" s="131"/>
      <c r="L32" s="297"/>
    </row>
    <row r="33" spans="1:13">
      <c r="A33" s="46">
        <v>1979</v>
      </c>
      <c r="B33" s="141">
        <f>'3-Kak'!B9</f>
        <v>0.144776109915911</v>
      </c>
      <c r="C33" s="141">
        <f>'B1-Elast'!B34</f>
        <v>0.46605505552056625</v>
      </c>
      <c r="E33" s="46">
        <f>100</f>
        <v>100</v>
      </c>
      <c r="F33" s="46">
        <f>100</f>
        <v>100</v>
      </c>
      <c r="J33" s="46"/>
      <c r="L33" s="163"/>
      <c r="M33" s="46"/>
    </row>
    <row r="34" spans="1:13">
      <c r="A34" s="46">
        <f>A33+1</f>
        <v>1980</v>
      </c>
      <c r="B34" s="141">
        <f>'3-Kak'!B10</f>
        <v>0.14149268749371235</v>
      </c>
      <c r="C34" s="141">
        <f>'B1-Elast'!B35</f>
        <v>0.48643729051379014</v>
      </c>
      <c r="E34" s="102">
        <f t="shared" ref="E34:E70" si="0">B34/B$33*E$33</f>
        <v>97.732068899968567</v>
      </c>
      <c r="F34" s="102">
        <f t="shared" ref="F34:F70" si="1">C34/C$33*F$33</f>
        <v>104.37335348083666</v>
      </c>
      <c r="J34" s="102"/>
      <c r="L34" s="163"/>
      <c r="M34" s="102"/>
    </row>
    <row r="35" spans="1:13">
      <c r="A35" s="46">
        <f t="shared" ref="A35:A73" si="2">A34+1</f>
        <v>1981</v>
      </c>
      <c r="B35" s="141">
        <f>'3-Kak'!B11</f>
        <v>0.12679562212610018</v>
      </c>
      <c r="C35" s="141">
        <f>'B1-Elast'!B36</f>
        <v>0.45123345328153963</v>
      </c>
      <c r="E35" s="102">
        <f t="shared" si="0"/>
        <v>87.580487001443629</v>
      </c>
      <c r="F35" s="102">
        <f t="shared" si="1"/>
        <v>96.819774388570593</v>
      </c>
      <c r="J35" s="102"/>
      <c r="L35" s="163"/>
      <c r="M35" s="102"/>
    </row>
    <row r="36" spans="1:13">
      <c r="A36" s="46">
        <f t="shared" si="2"/>
        <v>1982</v>
      </c>
      <c r="B36" s="141">
        <f>'3-Kak'!B12</f>
        <v>0.11600197333747542</v>
      </c>
      <c r="C36" s="141">
        <f>'B1-Elast'!B37</f>
        <v>0.39751332196359268</v>
      </c>
      <c r="E36" s="102">
        <f t="shared" si="0"/>
        <v>80.125079617660532</v>
      </c>
      <c r="F36" s="102">
        <f t="shared" si="1"/>
        <v>85.293211017652197</v>
      </c>
      <c r="J36" s="102"/>
      <c r="L36" s="163"/>
      <c r="M36" s="102"/>
    </row>
    <row r="37" spans="1:13">
      <c r="A37" s="46">
        <f t="shared" si="2"/>
        <v>1983</v>
      </c>
      <c r="B37" s="141">
        <f>'3-Kak'!B13</f>
        <v>0.10804600274855319</v>
      </c>
      <c r="C37" s="141">
        <f>'B1-Elast'!B38</f>
        <v>0.32077907531844496</v>
      </c>
      <c r="E37" s="102">
        <f t="shared" si="0"/>
        <v>74.629718129122665</v>
      </c>
      <c r="F37" s="102">
        <f t="shared" si="1"/>
        <v>68.828579696479551</v>
      </c>
      <c r="J37" s="102"/>
      <c r="L37" s="260"/>
      <c r="M37" s="102"/>
    </row>
    <row r="38" spans="1:13">
      <c r="A38" s="46">
        <f t="shared" si="2"/>
        <v>1984</v>
      </c>
      <c r="B38" s="141">
        <f>'3-Kak'!B14</f>
        <v>9.9769132092976165E-2</v>
      </c>
      <c r="C38" s="141">
        <f>'B1-Elast'!B39</f>
        <v>0.28259644715037391</v>
      </c>
      <c r="E38" s="102">
        <f t="shared" si="0"/>
        <v>68.912704002700565</v>
      </c>
      <c r="F38" s="102">
        <f t="shared" si="1"/>
        <v>60.635850593815391</v>
      </c>
      <c r="J38" s="102"/>
      <c r="L38" s="163"/>
      <c r="M38" s="102"/>
    </row>
    <row r="39" spans="1:13">
      <c r="A39" s="46">
        <f t="shared" si="2"/>
        <v>1985</v>
      </c>
      <c r="B39" s="141">
        <f>'3-Kak'!B15</f>
        <v>0.10118863283840152</v>
      </c>
      <c r="C39" s="141">
        <f>'B1-Elast'!B40</f>
        <v>0.29165868859437349</v>
      </c>
      <c r="E39" s="102">
        <f t="shared" si="0"/>
        <v>69.893183963275433</v>
      </c>
      <c r="F39" s="102">
        <f t="shared" si="1"/>
        <v>62.58030787126674</v>
      </c>
      <c r="J39" s="102"/>
      <c r="L39" s="141"/>
      <c r="M39" s="102"/>
    </row>
    <row r="40" spans="1:13">
      <c r="A40" s="46">
        <f t="shared" si="2"/>
        <v>1986</v>
      </c>
      <c r="B40" s="141">
        <f>'3-Kak'!B16</f>
        <v>9.622197288316614E-2</v>
      </c>
      <c r="C40" s="141">
        <f>'B1-Elast'!B41</f>
        <v>0.28395024632202048</v>
      </c>
      <c r="E40" s="102">
        <f t="shared" si="0"/>
        <v>66.462604181763055</v>
      </c>
      <c r="F40" s="102">
        <f t="shared" si="1"/>
        <v>60.926331118725571</v>
      </c>
      <c r="G40" s="42"/>
      <c r="H40" s="42"/>
      <c r="J40" s="102"/>
      <c r="L40" s="141"/>
      <c r="M40" s="102"/>
    </row>
    <row r="41" spans="1:13">
      <c r="A41" s="46">
        <f t="shared" si="2"/>
        <v>1987</v>
      </c>
      <c r="B41" s="141">
        <f>'3-Kak'!B17</f>
        <v>0.12002843057260215</v>
      </c>
      <c r="C41" s="141">
        <f>'B1-Elast'!B42</f>
        <v>0.34059687683785622</v>
      </c>
      <c r="E41" s="102">
        <f t="shared" si="0"/>
        <v>82.906240982933696</v>
      </c>
      <c r="F41" s="102">
        <f t="shared" si="1"/>
        <v>73.080824422647268</v>
      </c>
      <c r="J41" s="102"/>
      <c r="L41" s="141"/>
      <c r="M41" s="102"/>
    </row>
    <row r="42" spans="1:13">
      <c r="A42" s="46">
        <f t="shared" si="2"/>
        <v>1988</v>
      </c>
      <c r="B42" s="141">
        <f>'3-Kak'!B18</f>
        <v>0.12308957361974787</v>
      </c>
      <c r="C42" s="141">
        <f>'B1-Elast'!B43</f>
        <v>0.3549676919877629</v>
      </c>
      <c r="E42" s="102">
        <f t="shared" si="0"/>
        <v>85.020638896321273</v>
      </c>
      <c r="F42" s="102">
        <f t="shared" si="1"/>
        <v>76.16432603467355</v>
      </c>
      <c r="J42" s="102"/>
      <c r="L42" s="141"/>
      <c r="M42" s="102"/>
    </row>
    <row r="43" spans="1:13">
      <c r="A43" s="46">
        <f t="shared" si="2"/>
        <v>1989</v>
      </c>
      <c r="B43" s="141">
        <f>'3-Kak'!B19</f>
        <v>0.12059219597802201</v>
      </c>
      <c r="C43" s="141">
        <f>'B1-Elast'!B44</f>
        <v>0.38362715775823686</v>
      </c>
      <c r="E43" s="102">
        <f t="shared" si="0"/>
        <v>83.295645979205062</v>
      </c>
      <c r="F43" s="102">
        <f t="shared" si="1"/>
        <v>82.313699468347039</v>
      </c>
      <c r="J43" s="102"/>
      <c r="L43" s="141"/>
      <c r="M43" s="102"/>
    </row>
    <row r="44" spans="1:13">
      <c r="A44" s="46">
        <f t="shared" si="2"/>
        <v>1990</v>
      </c>
      <c r="B44" s="141">
        <f>'3-Kak'!B20</f>
        <v>0.11166439983621468</v>
      </c>
      <c r="C44" s="141">
        <f>'B1-Elast'!B45</f>
        <v>0.34356374765485143</v>
      </c>
      <c r="E44" s="102">
        <f t="shared" si="0"/>
        <v>77.129023497779912</v>
      </c>
      <c r="F44" s="102">
        <f t="shared" si="1"/>
        <v>73.717416769807045</v>
      </c>
      <c r="J44" s="102"/>
      <c r="L44" s="141"/>
      <c r="M44" s="102"/>
    </row>
    <row r="45" spans="1:13">
      <c r="A45" s="46">
        <f t="shared" si="2"/>
        <v>1991</v>
      </c>
      <c r="B45" s="141">
        <f>'3-Kak'!B21</f>
        <v>0.12153529792592455</v>
      </c>
      <c r="C45" s="141">
        <f>'B1-Elast'!B46</f>
        <v>0.37016686907821716</v>
      </c>
      <c r="E45" s="102">
        <f t="shared" si="0"/>
        <v>83.947066954979519</v>
      </c>
      <c r="F45" s="102">
        <f t="shared" si="1"/>
        <v>79.425566720814672</v>
      </c>
      <c r="J45" s="102"/>
      <c r="L45" s="141"/>
      <c r="M45" s="102"/>
    </row>
    <row r="46" spans="1:13">
      <c r="A46" s="46">
        <f t="shared" si="2"/>
        <v>1992</v>
      </c>
      <c r="B46" s="141">
        <f>'3-Kak'!B22</f>
        <v>0.12762535557852822</v>
      </c>
      <c r="C46" s="141">
        <f>'B1-Elast'!B47</f>
        <v>0.37633381745596539</v>
      </c>
      <c r="E46" s="102">
        <f t="shared" si="0"/>
        <v>88.153601897893026</v>
      </c>
      <c r="F46" s="102">
        <f t="shared" si="1"/>
        <v>80.748789868959676</v>
      </c>
      <c r="J46" s="102"/>
      <c r="L46" s="141"/>
      <c r="M46" s="102"/>
    </row>
    <row r="47" spans="1:13">
      <c r="A47" s="46">
        <f t="shared" si="2"/>
        <v>1993</v>
      </c>
      <c r="B47" s="141">
        <f>'3-Kak'!B23</f>
        <v>0.13922773534757588</v>
      </c>
      <c r="C47" s="141">
        <f>'B1-Elast'!B48</f>
        <v>0.38521040670625251</v>
      </c>
      <c r="E47" s="102">
        <f t="shared" si="0"/>
        <v>96.167617315068256</v>
      </c>
      <c r="F47" s="102">
        <f t="shared" si="1"/>
        <v>82.653412326143908</v>
      </c>
      <c r="J47" s="102"/>
      <c r="L47" s="141"/>
      <c r="M47" s="102"/>
    </row>
    <row r="48" spans="1:13">
      <c r="A48" s="46">
        <f t="shared" si="2"/>
        <v>1994</v>
      </c>
      <c r="B48" s="141">
        <f>'3-Kak'!B24</f>
        <v>0.14742630099389781</v>
      </c>
      <c r="C48" s="141">
        <f>'B1-Elast'!B49</f>
        <v>0.46776806229187384</v>
      </c>
      <c r="E48" s="102">
        <f t="shared" si="0"/>
        <v>101.83054447279049</v>
      </c>
      <c r="F48" s="102">
        <f t="shared" si="1"/>
        <v>100.36755459489528</v>
      </c>
      <c r="J48" s="102"/>
      <c r="L48" s="141"/>
      <c r="M48" s="102"/>
    </row>
    <row r="49" spans="1:13">
      <c r="A49" s="46">
        <f t="shared" si="2"/>
        <v>1995</v>
      </c>
      <c r="B49" s="141">
        <f>'3-Kak'!B25</f>
        <v>0.1566994973413755</v>
      </c>
      <c r="C49" s="141">
        <f>'B1-Elast'!B50</f>
        <v>0.50436887425171451</v>
      </c>
      <c r="E49" s="102">
        <f t="shared" si="0"/>
        <v>108.23574236964224</v>
      </c>
      <c r="F49" s="102">
        <f t="shared" si="1"/>
        <v>108.22087825833219</v>
      </c>
      <c r="J49" s="102"/>
      <c r="L49" s="141"/>
      <c r="M49" s="102"/>
    </row>
    <row r="50" spans="1:13">
      <c r="A50" s="46">
        <f t="shared" si="2"/>
        <v>1996</v>
      </c>
      <c r="B50" s="141">
        <f>'3-Kak'!B26</f>
        <v>0.16277325691880884</v>
      </c>
      <c r="C50" s="141">
        <f>'B1-Elast'!B51</f>
        <v>0.53716271449857289</v>
      </c>
      <c r="E50" s="102">
        <f t="shared" si="0"/>
        <v>112.43101987845299</v>
      </c>
      <c r="F50" s="102">
        <f t="shared" si="1"/>
        <v>115.25735170892675</v>
      </c>
      <c r="J50" s="102"/>
      <c r="L50" s="141"/>
      <c r="M50" s="102"/>
    </row>
    <row r="51" spans="1:13">
      <c r="A51" s="46">
        <f t="shared" si="2"/>
        <v>1997</v>
      </c>
      <c r="B51" s="141">
        <f>'3-Kak'!B27</f>
        <v>0.15097482655788019</v>
      </c>
      <c r="C51" s="141">
        <f>'B1-Elast'!B52</f>
        <v>0.52313350788626956</v>
      </c>
      <c r="E51" s="102">
        <f t="shared" si="0"/>
        <v>104.28158806419756</v>
      </c>
      <c r="F51" s="102">
        <f t="shared" si="1"/>
        <v>112.24714799026239</v>
      </c>
      <c r="J51" s="102"/>
      <c r="L51" s="141"/>
      <c r="M51" s="102"/>
    </row>
    <row r="52" spans="1:13">
      <c r="A52" s="46">
        <f t="shared" si="2"/>
        <v>1998</v>
      </c>
      <c r="B52" s="141">
        <f>'3-Kak'!B28</f>
        <v>0.1533546451108535</v>
      </c>
      <c r="C52" s="141">
        <f>'B1-Elast'!B53</f>
        <v>0.52895512606139139</v>
      </c>
      <c r="E52" s="102">
        <f t="shared" si="0"/>
        <v>105.92538036829771</v>
      </c>
      <c r="F52" s="102">
        <f t="shared" si="1"/>
        <v>113.49627469882675</v>
      </c>
      <c r="J52" s="102"/>
      <c r="L52" s="141"/>
      <c r="M52" s="102"/>
    </row>
    <row r="53" spans="1:13">
      <c r="A53" s="46">
        <f t="shared" si="2"/>
        <v>1999</v>
      </c>
      <c r="B53" s="141">
        <f>'3-Kak'!B29</f>
        <v>0.159855797278603</v>
      </c>
      <c r="C53" s="141">
        <f>'B1-Elast'!B54</f>
        <v>0.51348774268706343</v>
      </c>
      <c r="E53" s="102">
        <f t="shared" si="0"/>
        <v>110.41586721141394</v>
      </c>
      <c r="F53" s="102">
        <f t="shared" si="1"/>
        <v>110.17748581517191</v>
      </c>
      <c r="J53" s="102"/>
      <c r="L53" s="141"/>
      <c r="M53" s="102"/>
    </row>
    <row r="54" spans="1:13">
      <c r="A54" s="46">
        <f t="shared" si="2"/>
        <v>2000</v>
      </c>
      <c r="B54" s="141">
        <f>'3-Kak'!B30</f>
        <v>0.15872355153514295</v>
      </c>
      <c r="C54" s="141">
        <f>'B1-Elast'!B55</f>
        <v>0.53520363285059402</v>
      </c>
      <c r="E54" s="102">
        <f t="shared" si="0"/>
        <v>109.63380051262112</v>
      </c>
      <c r="F54" s="102">
        <f t="shared" si="1"/>
        <v>114.83699758450025</v>
      </c>
      <c r="J54" s="102"/>
      <c r="L54" s="141"/>
      <c r="M54" s="102"/>
    </row>
    <row r="55" spans="1:13">
      <c r="A55" s="46">
        <f t="shared" si="2"/>
        <v>2001</v>
      </c>
      <c r="B55" s="141">
        <f>'3-Kak'!B31</f>
        <v>0.17420702507603447</v>
      </c>
      <c r="C55" s="141">
        <f>'B1-Elast'!B56</f>
        <v>0.56914564594090522</v>
      </c>
      <c r="E55" s="102">
        <f t="shared" si="0"/>
        <v>120.32857159735649</v>
      </c>
      <c r="F55" s="102">
        <f t="shared" si="1"/>
        <v>122.11983095112886</v>
      </c>
      <c r="J55" s="102"/>
      <c r="L55" s="141"/>
      <c r="M55" s="102"/>
    </row>
    <row r="56" spans="1:13">
      <c r="A56" s="46">
        <f t="shared" si="2"/>
        <v>2002</v>
      </c>
      <c r="B56" s="141">
        <f>'3-Kak'!B32</f>
        <v>0.17972427794353285</v>
      </c>
      <c r="C56" s="141">
        <f>'B1-Elast'!B57</f>
        <v>0.59868921625498928</v>
      </c>
      <c r="E56" s="102">
        <f t="shared" si="0"/>
        <v>124.13945784834286</v>
      </c>
      <c r="F56" s="102">
        <f t="shared" si="1"/>
        <v>128.4589039778306</v>
      </c>
      <c r="J56" s="102"/>
      <c r="L56" s="141"/>
      <c r="M56" s="102"/>
    </row>
    <row r="57" spans="1:13">
      <c r="A57" s="46">
        <f t="shared" si="2"/>
        <v>2003</v>
      </c>
      <c r="B57" s="141">
        <f>'3-Kak'!B33</f>
        <v>0.17688475127043002</v>
      </c>
      <c r="C57" s="141">
        <f>'B1-Elast'!B58</f>
        <v>0.57032237651560158</v>
      </c>
      <c r="E57" s="102">
        <f t="shared" si="0"/>
        <v>122.17813517241787</v>
      </c>
      <c r="F57" s="102">
        <f t="shared" si="1"/>
        <v>122.37231841173197</v>
      </c>
      <c r="J57" s="102"/>
      <c r="L57" s="141"/>
      <c r="M57" s="102"/>
    </row>
    <row r="58" spans="1:13">
      <c r="A58" s="46">
        <f t="shared" si="2"/>
        <v>2004</v>
      </c>
      <c r="B58" s="141">
        <f>'3-Kak'!B34</f>
        <v>0.1753293762279543</v>
      </c>
      <c r="C58" s="141">
        <f>'B1-Elast'!B59</f>
        <v>0.58661247010257722</v>
      </c>
      <c r="E58" s="102">
        <f t="shared" si="0"/>
        <v>121.10380388711181</v>
      </c>
      <c r="F58" s="102">
        <f t="shared" si="1"/>
        <v>125.86763369562696</v>
      </c>
      <c r="J58" s="102"/>
      <c r="L58" s="141"/>
      <c r="M58" s="102"/>
    </row>
    <row r="59" spans="1:13">
      <c r="A59" s="46">
        <f t="shared" si="2"/>
        <v>2005</v>
      </c>
      <c r="B59" s="141">
        <f>'3-Kak'!B35</f>
        <v>0.17509691743269029</v>
      </c>
      <c r="C59" s="141">
        <f>'B1-Elast'!B60</f>
        <v>0.56541282189009578</v>
      </c>
      <c r="E59" s="102">
        <f t="shared" si="0"/>
        <v>120.94323955408821</v>
      </c>
      <c r="F59" s="102">
        <f t="shared" si="1"/>
        <v>121.318890374132</v>
      </c>
      <c r="J59" s="102"/>
      <c r="L59" s="141"/>
      <c r="M59" s="102"/>
    </row>
    <row r="60" spans="1:13">
      <c r="A60" s="46">
        <f t="shared" si="2"/>
        <v>2006</v>
      </c>
      <c r="B60" s="141">
        <f>'3-Kak'!B36</f>
        <v>0.16841486255969706</v>
      </c>
      <c r="C60" s="141">
        <f>'B1-Elast'!B61</f>
        <v>0.54180902931732144</v>
      </c>
      <c r="E60" s="102">
        <f t="shared" si="0"/>
        <v>116.32779928782169</v>
      </c>
      <c r="F60" s="102">
        <f t="shared" si="1"/>
        <v>116.25429719073443</v>
      </c>
      <c r="J60" s="102"/>
      <c r="L60" s="141"/>
      <c r="M60" s="102"/>
    </row>
    <row r="61" spans="1:13">
      <c r="A61" s="46">
        <f t="shared" si="2"/>
        <v>2007</v>
      </c>
      <c r="B61" s="141">
        <f>'3-Kak'!B37</f>
        <v>0.17462052606690648</v>
      </c>
      <c r="C61" s="141">
        <f>'B1-Elast'!B62</f>
        <v>0.57092277691975291</v>
      </c>
      <c r="E61" s="102">
        <f t="shared" si="0"/>
        <v>120.61418570255115</v>
      </c>
      <c r="F61" s="102">
        <f t="shared" si="1"/>
        <v>122.50114448003428</v>
      </c>
      <c r="J61" s="102"/>
      <c r="L61" s="141"/>
      <c r="M61" s="102"/>
    </row>
    <row r="62" spans="1:13">
      <c r="A62" s="46">
        <f t="shared" si="2"/>
        <v>2008</v>
      </c>
      <c r="B62" s="141">
        <f>'3-Kak'!B38</f>
        <v>0.21734212712030798</v>
      </c>
      <c r="C62" s="141">
        <f>'B1-Elast'!B63</f>
        <v>1.2150966796418934</v>
      </c>
      <c r="E62" s="102">
        <f t="shared" si="0"/>
        <v>150.12292238446307</v>
      </c>
      <c r="F62" s="102">
        <f t="shared" si="1"/>
        <v>260.7195577536811</v>
      </c>
      <c r="J62" s="102"/>
      <c r="K62" s="42"/>
      <c r="L62" s="42"/>
      <c r="M62" s="102"/>
    </row>
    <row r="63" spans="1:13">
      <c r="A63" s="46">
        <f t="shared" si="2"/>
        <v>2009</v>
      </c>
      <c r="B63" s="141">
        <f>'3-Kak'!B39</f>
        <v>0.22528863785988273</v>
      </c>
      <c r="C63" s="141">
        <f>'B1-Elast'!B64</f>
        <v>1.4543424176371653</v>
      </c>
      <c r="E63" s="102">
        <f t="shared" si="0"/>
        <v>155.6117497498276</v>
      </c>
      <c r="F63" s="102">
        <f t="shared" si="1"/>
        <v>312.05378000088825</v>
      </c>
      <c r="J63" s="102"/>
      <c r="K63" s="42"/>
      <c r="L63" s="42"/>
      <c r="M63" s="102"/>
    </row>
    <row r="64" spans="1:13">
      <c r="A64" s="46">
        <f t="shared" si="2"/>
        <v>2010</v>
      </c>
      <c r="B64" s="141">
        <f>'3-Kak'!B40</f>
        <v>0.22774320435924211</v>
      </c>
      <c r="C64" s="141">
        <f>'B1-Elast'!B65</f>
        <v>1.4159857252738428</v>
      </c>
      <c r="E64" s="102">
        <f t="shared" si="0"/>
        <v>157.30717208213437</v>
      </c>
      <c r="F64" s="102">
        <f t="shared" si="1"/>
        <v>303.82370247915003</v>
      </c>
      <c r="J64" s="102"/>
      <c r="K64" s="42"/>
      <c r="L64" s="42"/>
      <c r="M64" s="102"/>
    </row>
    <row r="65" spans="1:13">
      <c r="A65" s="46">
        <f t="shared" si="2"/>
        <v>2011</v>
      </c>
      <c r="B65" s="141">
        <f>'3-Kak'!B41</f>
        <v>0.21759084912036042</v>
      </c>
      <c r="C65" s="141">
        <f>'B1-Elast'!B66</f>
        <v>1.3381033361326713</v>
      </c>
      <c r="E65" s="102">
        <f t="shared" si="0"/>
        <v>150.29472006586013</v>
      </c>
      <c r="F65" s="102">
        <f t="shared" si="1"/>
        <v>287.11271775349792</v>
      </c>
      <c r="J65" s="102"/>
      <c r="K65" s="42"/>
      <c r="L65" s="42"/>
      <c r="M65" s="102"/>
    </row>
    <row r="66" spans="1:13">
      <c r="A66" s="46">
        <f t="shared" si="2"/>
        <v>2012</v>
      </c>
      <c r="B66" s="141">
        <f>'3-Kak'!B42</f>
        <v>0.21777168724923168</v>
      </c>
      <c r="C66" s="141">
        <f>'B1-Elast'!B67</f>
        <v>1.1631519476657046</v>
      </c>
      <c r="E66" s="102">
        <f t="shared" si="0"/>
        <v>150.419628884709</v>
      </c>
      <c r="F66" s="102">
        <f t="shared" si="1"/>
        <v>249.57393635962322</v>
      </c>
      <c r="J66" s="102"/>
      <c r="K66" s="42"/>
      <c r="L66" s="42"/>
      <c r="M66" s="102"/>
    </row>
    <row r="67" spans="1:13">
      <c r="A67" s="46">
        <f t="shared" si="2"/>
        <v>2013</v>
      </c>
      <c r="B67" s="141">
        <f>'3-Kak'!B43</f>
        <v>0.21346384195179069</v>
      </c>
      <c r="C67" s="141">
        <f>'B1-Elast'!B68</f>
        <v>0.88237684677883266</v>
      </c>
      <c r="E67" s="102">
        <f t="shared" si="0"/>
        <v>147.44410668015254</v>
      </c>
      <c r="F67" s="102">
        <f t="shared" si="1"/>
        <v>189.32888643236589</v>
      </c>
      <c r="J67" s="102"/>
      <c r="L67" s="141"/>
      <c r="M67" s="102"/>
    </row>
    <row r="68" spans="1:13">
      <c r="A68" s="46">
        <f t="shared" si="2"/>
        <v>2014</v>
      </c>
      <c r="B68" s="141">
        <f>'3-Kak'!B44</f>
        <v>0.20951340414220065</v>
      </c>
      <c r="C68" s="141">
        <f>'B1-Elast'!B69</f>
        <v>0.93515832898767015</v>
      </c>
      <c r="E68" s="102">
        <f t="shared" si="0"/>
        <v>144.71545358131976</v>
      </c>
      <c r="F68" s="102">
        <f t="shared" si="1"/>
        <v>200.65404675057817</v>
      </c>
      <c r="J68" s="102"/>
      <c r="L68" s="141"/>
      <c r="M68" s="102"/>
    </row>
    <row r="69" spans="1:13">
      <c r="A69" s="46">
        <f t="shared" si="2"/>
        <v>2015</v>
      </c>
      <c r="B69" s="141">
        <f>'3-Kak'!B45</f>
        <v>0.21223535792582549</v>
      </c>
      <c r="C69" s="141">
        <f>'B1-Elast'!B70</f>
        <v>1.0179341097002794</v>
      </c>
      <c r="E69" s="102">
        <f t="shared" si="0"/>
        <v>146.59556611176819</v>
      </c>
      <c r="F69" s="102">
        <f t="shared" si="1"/>
        <v>218.41499145702534</v>
      </c>
      <c r="J69" s="102"/>
      <c r="L69" s="141"/>
      <c r="M69" s="102"/>
    </row>
    <row r="70" spans="1:13">
      <c r="A70" s="46">
        <f t="shared" si="2"/>
        <v>2016</v>
      </c>
      <c r="B70" s="141">
        <f>'3-Kak'!B46</f>
        <v>0.21200505671314096</v>
      </c>
      <c r="C70" s="141">
        <f>'B1-Elast'!B71</f>
        <v>0.97979200975771663</v>
      </c>
      <c r="E70" s="102">
        <f t="shared" si="0"/>
        <v>146.43649206784045</v>
      </c>
      <c r="F70" s="102">
        <f t="shared" si="1"/>
        <v>210.23095837107167</v>
      </c>
      <c r="G70" s="48"/>
      <c r="J70" s="102"/>
    </row>
    <row r="71" spans="1:13">
      <c r="A71" s="46">
        <f t="shared" si="2"/>
        <v>2017</v>
      </c>
      <c r="B71" s="141"/>
      <c r="C71" s="141"/>
      <c r="J71" s="48"/>
    </row>
    <row r="72" spans="1:13">
      <c r="A72" s="46">
        <f t="shared" si="2"/>
        <v>2018</v>
      </c>
      <c r="B72" s="141"/>
      <c r="C72" s="141"/>
      <c r="J72" s="48"/>
    </row>
    <row r="73" spans="1:13">
      <c r="A73" s="46">
        <f t="shared" si="2"/>
        <v>2019</v>
      </c>
      <c r="B73" s="141"/>
      <c r="C73" s="141"/>
      <c r="J73" s="48"/>
    </row>
    <row r="74" spans="1:13">
      <c r="A74" s="46"/>
      <c r="B74" s="141"/>
      <c r="C74" s="141"/>
      <c r="D74" s="45"/>
    </row>
    <row r="75" spans="1:13">
      <c r="A75" s="160" t="s">
        <v>154</v>
      </c>
      <c r="B75" s="16">
        <f>(B$70-B33)/B33</f>
        <v>0.46436492067840435</v>
      </c>
      <c r="C75" s="16">
        <f>(C$70-C33)/C33</f>
        <v>1.1023095837107169</v>
      </c>
      <c r="D75" s="45"/>
    </row>
    <row r="76" spans="1:13">
      <c r="A76" s="160" t="s">
        <v>791</v>
      </c>
      <c r="B76" s="16">
        <f>(B$70-B40)/B40</f>
        <v>1.2032915181500177</v>
      </c>
      <c r="C76" s="16">
        <f>(C$70-C40)/C40</f>
        <v>2.4505763683915256</v>
      </c>
      <c r="D76" s="45"/>
    </row>
    <row r="77" spans="1:13">
      <c r="A77" s="46"/>
      <c r="B77" s="141"/>
      <c r="C77" s="141"/>
    </row>
    <row r="78" spans="1:13">
      <c r="A78" s="46"/>
      <c r="B78" s="141"/>
      <c r="C78" s="141"/>
    </row>
    <row r="79" spans="1:13">
      <c r="A79" s="46"/>
      <c r="B79" s="141"/>
      <c r="C79" s="141"/>
    </row>
    <row r="80" spans="1:13">
      <c r="A80" s="258"/>
      <c r="B80" s="12"/>
      <c r="C80" s="164"/>
    </row>
    <row r="81" spans="1:3">
      <c r="A81" s="37"/>
      <c r="B81" s="12"/>
      <c r="C81" s="164"/>
    </row>
    <row r="82" spans="1:3">
      <c r="A82" s="37"/>
      <c r="B82" s="12"/>
      <c r="C82" s="164"/>
    </row>
    <row r="83" spans="1:3">
      <c r="A83" s="37"/>
      <c r="B83" s="12"/>
      <c r="C83" s="164"/>
    </row>
    <row r="84" spans="1:3">
      <c r="A84" s="37"/>
      <c r="B84" s="12"/>
      <c r="C84" s="12"/>
    </row>
    <row r="85" spans="1:3">
      <c r="A85" s="543"/>
      <c r="B85" s="12"/>
      <c r="C85" s="544"/>
    </row>
    <row r="86" spans="1:3">
      <c r="A86" s="543"/>
      <c r="B86" s="12"/>
      <c r="C86" s="544"/>
    </row>
    <row r="87" spans="1:3">
      <c r="A87" s="543"/>
      <c r="B87" s="12"/>
      <c r="C87" s="544"/>
    </row>
    <row r="88" spans="1:3">
      <c r="A88" s="37"/>
      <c r="B88" s="164"/>
      <c r="C88" s="164"/>
    </row>
    <row r="89" spans="1:3">
      <c r="A89" s="46"/>
      <c r="B89" s="141"/>
      <c r="C89" s="141"/>
    </row>
    <row r="90" spans="1:3">
      <c r="A90" s="46"/>
      <c r="B90" s="141"/>
      <c r="C90" s="141"/>
    </row>
    <row r="91" spans="1:3">
      <c r="A91" s="46"/>
      <c r="B91" s="141"/>
      <c r="C91" s="141"/>
    </row>
    <row r="92" spans="1:3">
      <c r="A92" s="46"/>
      <c r="B92" s="141"/>
      <c r="C92" s="141"/>
    </row>
    <row r="93" spans="1:3">
      <c r="A93" s="46"/>
      <c r="B93" s="141"/>
      <c r="C93" s="141"/>
    </row>
    <row r="94" spans="1:3">
      <c r="A94" s="46"/>
      <c r="B94" s="141"/>
      <c r="C94" s="141"/>
    </row>
    <row r="95" spans="1:3">
      <c r="A95" s="46"/>
      <c r="B95" s="141"/>
      <c r="C95" s="141"/>
    </row>
    <row r="96" spans="1:3">
      <c r="A96" s="46"/>
      <c r="B96" s="141"/>
      <c r="C96" s="141"/>
    </row>
    <row r="97" spans="1:3">
      <c r="A97" s="46"/>
      <c r="B97" s="141"/>
      <c r="C97" s="141"/>
    </row>
    <row r="98" spans="1:3">
      <c r="A98" s="46"/>
      <c r="B98" s="141"/>
      <c r="C98" s="141"/>
    </row>
    <row r="99" spans="1:3">
      <c r="A99" s="46"/>
      <c r="B99" s="141"/>
      <c r="C99" s="141"/>
    </row>
    <row r="100" spans="1:3">
      <c r="A100" s="46"/>
      <c r="B100" s="141"/>
      <c r="C100" s="141"/>
    </row>
    <row r="101" spans="1:3">
      <c r="A101" s="46"/>
      <c r="B101" s="141"/>
      <c r="C101" s="141"/>
    </row>
    <row r="102" spans="1:3">
      <c r="A102" s="46"/>
      <c r="B102" s="141"/>
      <c r="C102" s="141"/>
    </row>
    <row r="103" spans="1:3">
      <c r="A103" s="46"/>
      <c r="B103" s="141"/>
      <c r="C103" s="141"/>
    </row>
    <row r="104" spans="1:3">
      <c r="A104" s="46"/>
      <c r="B104" s="141"/>
      <c r="C104" s="141"/>
    </row>
    <row r="105" spans="1:3">
      <c r="A105" s="46"/>
      <c r="B105" s="141"/>
      <c r="C105" s="141"/>
    </row>
    <row r="106" spans="1:3">
      <c r="A106" s="46"/>
      <c r="B106" s="141"/>
      <c r="C106" s="141"/>
    </row>
    <row r="107" spans="1:3">
      <c r="A107" s="46"/>
      <c r="B107" s="141"/>
      <c r="C107" s="141"/>
    </row>
    <row r="108" spans="1:3">
      <c r="A108" s="46"/>
      <c r="B108" s="141"/>
      <c r="C108" s="141"/>
    </row>
    <row r="109" spans="1:3">
      <c r="A109" s="46"/>
      <c r="B109" s="141"/>
      <c r="C109" s="141"/>
    </row>
    <row r="110" spans="1:3">
      <c r="A110" s="46"/>
      <c r="B110" s="141"/>
      <c r="C110" s="141"/>
    </row>
    <row r="111" spans="1:3">
      <c r="A111" s="46"/>
      <c r="B111" s="141"/>
      <c r="C111" s="141"/>
    </row>
    <row r="112" spans="1:3">
      <c r="A112" s="46"/>
      <c r="B112" s="141"/>
      <c r="C112" s="141"/>
    </row>
    <row r="113" spans="1:3">
      <c r="A113" s="46"/>
      <c r="B113" s="141"/>
      <c r="C113" s="141"/>
    </row>
    <row r="114" spans="1:3">
      <c r="A114" s="46"/>
      <c r="B114" s="141"/>
      <c r="C114" s="141"/>
    </row>
    <row r="115" spans="1:3">
      <c r="A115" s="46"/>
      <c r="B115" s="141"/>
      <c r="C115" s="141"/>
    </row>
    <row r="116" spans="1:3">
      <c r="A116" s="46"/>
      <c r="B116" s="141"/>
      <c r="C116" s="141"/>
    </row>
    <row r="117" spans="1:3">
      <c r="A117" s="46"/>
      <c r="B117" s="141"/>
      <c r="C117" s="141"/>
    </row>
    <row r="118" spans="1:3">
      <c r="A118" s="46"/>
      <c r="B118" s="141"/>
      <c r="C118" s="141"/>
    </row>
    <row r="119" spans="1:3">
      <c r="A119" s="46"/>
      <c r="B119" s="141"/>
      <c r="C119" s="141"/>
    </row>
    <row r="120" spans="1:3">
      <c r="A120" s="46"/>
      <c r="B120" s="141"/>
      <c r="C120" s="141"/>
    </row>
    <row r="121" spans="1:3">
      <c r="A121" s="46"/>
      <c r="B121" s="141"/>
      <c r="C121" s="141"/>
    </row>
    <row r="122" spans="1:3">
      <c r="A122" s="46"/>
      <c r="B122" s="141"/>
      <c r="C122" s="141"/>
    </row>
    <row r="123" spans="1:3">
      <c r="A123" s="46"/>
      <c r="B123" s="141"/>
      <c r="C123" s="141"/>
    </row>
    <row r="124" spans="1:3">
      <c r="A124" s="46"/>
      <c r="B124" s="141"/>
      <c r="C124" s="141"/>
    </row>
    <row r="125" spans="1:3">
      <c r="A125" s="46"/>
      <c r="B125" s="141"/>
      <c r="C125" s="141"/>
    </row>
    <row r="126" spans="1:3">
      <c r="A126" s="46"/>
      <c r="B126" s="141"/>
      <c r="C126" s="141"/>
    </row>
    <row r="127" spans="1:3">
      <c r="A127" s="46"/>
      <c r="B127" s="141"/>
      <c r="C127" s="141"/>
    </row>
    <row r="128" spans="1:3">
      <c r="A128" s="46"/>
      <c r="B128" s="141"/>
      <c r="C128" s="141"/>
    </row>
    <row r="129" spans="1:3">
      <c r="A129" s="46"/>
      <c r="B129" s="141"/>
      <c r="C129" s="141"/>
    </row>
    <row r="130" spans="1:3">
      <c r="A130" s="46"/>
      <c r="B130" s="141"/>
      <c r="C130" s="141"/>
    </row>
    <row r="131" spans="1:3">
      <c r="A131" s="46"/>
      <c r="B131" s="141"/>
      <c r="C131" s="141"/>
    </row>
    <row r="132" spans="1:3">
      <c r="A132" s="46"/>
      <c r="B132" s="141"/>
      <c r="C132" s="141"/>
    </row>
    <row r="133" spans="1:3">
      <c r="A133" s="46"/>
      <c r="B133" s="141"/>
      <c r="C133" s="141"/>
    </row>
    <row r="134" spans="1:3">
      <c r="A134" s="46"/>
      <c r="B134" s="141"/>
      <c r="C134" s="141"/>
    </row>
    <row r="135" spans="1:3">
      <c r="A135" s="46"/>
      <c r="B135" s="141"/>
      <c r="C135" s="141"/>
    </row>
    <row r="136" spans="1:3">
      <c r="A136" s="46"/>
      <c r="B136" s="141"/>
      <c r="C136" s="141"/>
    </row>
    <row r="137" spans="1:3">
      <c r="A137" s="46"/>
      <c r="B137" s="141"/>
      <c r="C137" s="141"/>
    </row>
    <row r="138" spans="1:3">
      <c r="A138" s="46"/>
      <c r="B138" s="141"/>
      <c r="C138" s="141"/>
    </row>
    <row r="139" spans="1:3">
      <c r="A139" s="46"/>
      <c r="B139" s="141"/>
      <c r="C139" s="141"/>
    </row>
    <row r="140" spans="1:3">
      <c r="A140" s="46"/>
      <c r="B140" s="141"/>
      <c r="C140" s="141"/>
    </row>
    <row r="141" spans="1:3">
      <c r="A141" s="46"/>
      <c r="B141" s="141"/>
      <c r="C141" s="141"/>
    </row>
    <row r="142" spans="1:3">
      <c r="A142" s="46"/>
      <c r="B142" s="141"/>
      <c r="C142" s="141"/>
    </row>
    <row r="143" spans="1:3">
      <c r="A143" s="46"/>
      <c r="B143" s="141"/>
      <c r="C143" s="141"/>
    </row>
    <row r="144" spans="1:3">
      <c r="A144" s="46"/>
      <c r="B144" s="141"/>
      <c r="C144" s="141"/>
    </row>
    <row r="145" spans="1:3">
      <c r="A145" s="46"/>
      <c r="B145" s="141"/>
      <c r="C145" s="141"/>
    </row>
    <row r="146" spans="1:3">
      <c r="A146" s="46"/>
      <c r="B146" s="141"/>
      <c r="C146" s="141"/>
    </row>
    <row r="147" spans="1:3">
      <c r="A147" s="46"/>
      <c r="B147" s="141"/>
      <c r="C147" s="141"/>
    </row>
    <row r="148" spans="1:3">
      <c r="A148" s="46"/>
      <c r="B148" s="141"/>
      <c r="C148" s="141"/>
    </row>
    <row r="149" spans="1:3">
      <c r="A149" s="46"/>
      <c r="B149" s="141"/>
      <c r="C149" s="141"/>
    </row>
    <row r="150" spans="1:3">
      <c r="A150" s="46"/>
      <c r="B150" s="141"/>
      <c r="C150" s="141"/>
    </row>
    <row r="151" spans="1:3">
      <c r="A151" s="46"/>
      <c r="B151" s="141"/>
      <c r="C151" s="141"/>
    </row>
    <row r="152" spans="1:3">
      <c r="A152" s="46"/>
      <c r="B152" s="141"/>
      <c r="C152" s="141"/>
    </row>
    <row r="153" spans="1:3">
      <c r="A153" s="46"/>
      <c r="B153" s="141"/>
      <c r="C153" s="141"/>
    </row>
    <row r="154" spans="1:3">
      <c r="A154" s="46"/>
      <c r="B154" s="141"/>
      <c r="C154" s="141"/>
    </row>
    <row r="155" spans="1:3">
      <c r="A155" s="46"/>
      <c r="B155" s="141"/>
      <c r="C155" s="141"/>
    </row>
    <row r="156" spans="1:3">
      <c r="A156" s="46"/>
      <c r="B156" s="141"/>
      <c r="C156" s="141"/>
    </row>
    <row r="157" spans="1:3">
      <c r="A157" s="46"/>
      <c r="B157" s="141"/>
      <c r="C157" s="141"/>
    </row>
    <row r="158" spans="1:3">
      <c r="A158" s="46"/>
      <c r="B158" s="141"/>
      <c r="C158" s="141"/>
    </row>
    <row r="159" spans="1:3">
      <c r="A159" s="46"/>
      <c r="B159" s="141"/>
      <c r="C159" s="141"/>
    </row>
    <row r="160" spans="1:3">
      <c r="A160" s="46"/>
      <c r="B160" s="141"/>
      <c r="C160" s="141"/>
    </row>
    <row r="161" spans="1:3">
      <c r="A161" s="46"/>
      <c r="B161" s="141"/>
      <c r="C161" s="141"/>
    </row>
    <row r="162" spans="1:3">
      <c r="A162" s="46"/>
      <c r="B162" s="141"/>
      <c r="C162" s="141"/>
    </row>
    <row r="163" spans="1:3">
      <c r="A163" s="46"/>
      <c r="B163" s="141"/>
      <c r="C163" s="141"/>
    </row>
    <row r="164" spans="1:3">
      <c r="A164" s="46"/>
      <c r="B164" s="141"/>
      <c r="C164" s="141"/>
    </row>
    <row r="165" spans="1:3">
      <c r="A165" s="46"/>
      <c r="B165" s="141"/>
      <c r="C165" s="141"/>
    </row>
    <row r="166" spans="1:3">
      <c r="A166" s="46"/>
      <c r="B166" s="141"/>
      <c r="C166" s="141"/>
    </row>
    <row r="167" spans="1:3">
      <c r="A167" s="46"/>
      <c r="B167" s="141"/>
      <c r="C167" s="141"/>
    </row>
    <row r="168" spans="1:3">
      <c r="A168" s="46"/>
      <c r="B168" s="141"/>
      <c r="C168" s="141"/>
    </row>
  </sheetData>
  <mergeCells count="5">
    <mergeCell ref="A27:K27"/>
    <mergeCell ref="B31:B32"/>
    <mergeCell ref="C31:C32"/>
    <mergeCell ref="E31:E32"/>
    <mergeCell ref="F31:F32"/>
  </mergeCells>
  <phoneticPr fontId="46" type="noConversion"/>
  <hyperlinks>
    <hyperlink ref="I1" location="Index!A1" display="index" xr:uid="{A426E7A5-FE2E-49AD-9DB5-2246D8B39A23}"/>
  </hyperlinks>
  <pageMargins left="0.7" right="0.7" top="0.75" bottom="0.75" header="0.3" footer="0.3"/>
  <pageSetup orientation="portrait" horizontalDpi="1200" verticalDpi="1200"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1ADDF-D3F2-4959-8CBE-E825980D789E}">
  <sheetPr>
    <tabColor theme="5" tint="0.79998168889431442"/>
  </sheetPr>
  <dimension ref="A1:CD93"/>
  <sheetViews>
    <sheetView zoomScale="85" zoomScaleNormal="85" workbookViewId="0">
      <selection activeCell="F25" sqref="F25"/>
    </sheetView>
  </sheetViews>
  <sheetFormatPr defaultRowHeight="15"/>
  <cols>
    <col min="1" max="1" width="7" customWidth="1"/>
    <col min="2" max="2" width="34.42578125" customWidth="1"/>
    <col min="3" max="82" width="8" customWidth="1"/>
  </cols>
  <sheetData>
    <row r="1" spans="1:82" s="696" customFormat="1" ht="15.75">
      <c r="A1" s="190" t="s">
        <v>1064</v>
      </c>
      <c r="G1" s="641" t="s">
        <v>762</v>
      </c>
    </row>
    <row r="2" spans="1:82" s="673" customFormat="1"/>
    <row r="3" spans="1:82" s="673" customFormat="1">
      <c r="C3" s="665" t="str">
        <f>C25</f>
        <v>1940</v>
      </c>
      <c r="D3" s="665" t="str">
        <f t="shared" ref="D3:BO3" si="0">D25</f>
        <v>1941</v>
      </c>
      <c r="E3" s="665" t="str">
        <f t="shared" si="0"/>
        <v>1942</v>
      </c>
      <c r="F3" s="665" t="str">
        <f t="shared" si="0"/>
        <v>1943</v>
      </c>
      <c r="G3" s="665" t="str">
        <f t="shared" si="0"/>
        <v>1944</v>
      </c>
      <c r="H3" s="665" t="str">
        <f t="shared" si="0"/>
        <v>1945</v>
      </c>
      <c r="I3" s="665" t="str">
        <f t="shared" si="0"/>
        <v>1946</v>
      </c>
      <c r="J3" s="665" t="str">
        <f t="shared" si="0"/>
        <v>1947</v>
      </c>
      <c r="K3" s="665" t="str">
        <f t="shared" si="0"/>
        <v>1948</v>
      </c>
      <c r="L3" s="665" t="str">
        <f t="shared" si="0"/>
        <v>1949</v>
      </c>
      <c r="M3" s="665" t="str">
        <f t="shared" si="0"/>
        <v>1950</v>
      </c>
      <c r="N3" s="665" t="str">
        <f t="shared" si="0"/>
        <v>1951</v>
      </c>
      <c r="O3" s="665" t="str">
        <f t="shared" si="0"/>
        <v>1952</v>
      </c>
      <c r="P3" s="665" t="str">
        <f t="shared" si="0"/>
        <v>1953</v>
      </c>
      <c r="Q3" s="665" t="str">
        <f t="shared" si="0"/>
        <v>1954</v>
      </c>
      <c r="R3" s="665" t="str">
        <f t="shared" si="0"/>
        <v>1955</v>
      </c>
      <c r="S3" s="665" t="str">
        <f t="shared" si="0"/>
        <v>1956</v>
      </c>
      <c r="T3" s="665" t="str">
        <f t="shared" si="0"/>
        <v>1957</v>
      </c>
      <c r="U3" s="665" t="str">
        <f t="shared" si="0"/>
        <v>1958</v>
      </c>
      <c r="V3" s="665" t="str">
        <f t="shared" si="0"/>
        <v>1959</v>
      </c>
      <c r="W3" s="665" t="str">
        <f t="shared" si="0"/>
        <v>1960</v>
      </c>
      <c r="X3" s="665" t="str">
        <f t="shared" si="0"/>
        <v>1961</v>
      </c>
      <c r="Y3" s="665" t="str">
        <f t="shared" si="0"/>
        <v>1962</v>
      </c>
      <c r="Z3" s="665" t="str">
        <f t="shared" si="0"/>
        <v>1963</v>
      </c>
      <c r="AA3" s="665" t="str">
        <f t="shared" si="0"/>
        <v>1964</v>
      </c>
      <c r="AB3" s="665" t="str">
        <f t="shared" si="0"/>
        <v>1965</v>
      </c>
      <c r="AC3" s="665" t="str">
        <f t="shared" si="0"/>
        <v>1966</v>
      </c>
      <c r="AD3" s="665" t="str">
        <f t="shared" si="0"/>
        <v>1967</v>
      </c>
      <c r="AE3" s="665" t="str">
        <f t="shared" si="0"/>
        <v>1968</v>
      </c>
      <c r="AF3" s="665" t="str">
        <f t="shared" si="0"/>
        <v>1969</v>
      </c>
      <c r="AG3" s="665" t="str">
        <f t="shared" si="0"/>
        <v>1970</v>
      </c>
      <c r="AH3" s="665" t="str">
        <f t="shared" si="0"/>
        <v>1971</v>
      </c>
      <c r="AI3" s="665" t="str">
        <f t="shared" si="0"/>
        <v>1972</v>
      </c>
      <c r="AJ3" s="665" t="str">
        <f t="shared" si="0"/>
        <v>1973</v>
      </c>
      <c r="AK3" s="665" t="str">
        <f t="shared" si="0"/>
        <v>1974</v>
      </c>
      <c r="AL3" s="665" t="str">
        <f t="shared" si="0"/>
        <v>1975</v>
      </c>
      <c r="AM3" s="665" t="str">
        <f t="shared" si="0"/>
        <v>1976</v>
      </c>
      <c r="AN3" s="665" t="str">
        <f t="shared" si="0"/>
        <v>1977</v>
      </c>
      <c r="AO3" s="665" t="str">
        <f t="shared" si="0"/>
        <v>1978</v>
      </c>
      <c r="AP3" s="665" t="str">
        <f t="shared" si="0"/>
        <v>1979</v>
      </c>
      <c r="AQ3" s="665" t="str">
        <f t="shared" si="0"/>
        <v>1980</v>
      </c>
      <c r="AR3" s="665" t="str">
        <f t="shared" si="0"/>
        <v>1981</v>
      </c>
      <c r="AS3" s="665" t="str">
        <f t="shared" si="0"/>
        <v>1982</v>
      </c>
      <c r="AT3" s="665" t="str">
        <f t="shared" si="0"/>
        <v>1983</v>
      </c>
      <c r="AU3" s="665" t="str">
        <f t="shared" si="0"/>
        <v>1984</v>
      </c>
      <c r="AV3" s="665" t="str">
        <f t="shared" si="0"/>
        <v>1985</v>
      </c>
      <c r="AW3" s="665" t="str">
        <f t="shared" si="0"/>
        <v>1986</v>
      </c>
      <c r="AX3" s="665" t="str">
        <f t="shared" si="0"/>
        <v>1987</v>
      </c>
      <c r="AY3" s="665" t="str">
        <f t="shared" si="0"/>
        <v>1988</v>
      </c>
      <c r="AZ3" s="665" t="str">
        <f t="shared" si="0"/>
        <v>1989</v>
      </c>
      <c r="BA3" s="665" t="str">
        <f t="shared" si="0"/>
        <v>1990</v>
      </c>
      <c r="BB3" s="665" t="str">
        <f t="shared" si="0"/>
        <v>1991</v>
      </c>
      <c r="BC3" s="665" t="str">
        <f t="shared" si="0"/>
        <v>1992</v>
      </c>
      <c r="BD3" s="665" t="str">
        <f t="shared" si="0"/>
        <v>1993</v>
      </c>
      <c r="BE3" s="665" t="str">
        <f t="shared" si="0"/>
        <v>1994</v>
      </c>
      <c r="BF3" s="665" t="str">
        <f t="shared" si="0"/>
        <v>1995</v>
      </c>
      <c r="BG3" s="665" t="str">
        <f t="shared" si="0"/>
        <v>1996</v>
      </c>
      <c r="BH3" s="665" t="str">
        <f t="shared" si="0"/>
        <v>1997</v>
      </c>
      <c r="BI3" s="665" t="str">
        <f t="shared" si="0"/>
        <v>1998</v>
      </c>
      <c r="BJ3" s="665" t="str">
        <f t="shared" si="0"/>
        <v>1999</v>
      </c>
      <c r="BK3" s="665" t="str">
        <f t="shared" si="0"/>
        <v>2000</v>
      </c>
      <c r="BL3" s="665" t="str">
        <f t="shared" si="0"/>
        <v>2001</v>
      </c>
      <c r="BM3" s="665" t="str">
        <f t="shared" si="0"/>
        <v>2002</v>
      </c>
      <c r="BN3" s="665" t="str">
        <f t="shared" si="0"/>
        <v>2003</v>
      </c>
      <c r="BO3" s="665" t="str">
        <f t="shared" si="0"/>
        <v>2004</v>
      </c>
      <c r="BP3" s="665" t="str">
        <f t="shared" ref="BP3:CD3" si="1">BP25</f>
        <v>2005</v>
      </c>
      <c r="BQ3" s="665" t="str">
        <f t="shared" si="1"/>
        <v>2006</v>
      </c>
      <c r="BR3" s="665" t="str">
        <f t="shared" si="1"/>
        <v>2007</v>
      </c>
      <c r="BS3" s="665" t="str">
        <f t="shared" si="1"/>
        <v>2008</v>
      </c>
      <c r="BT3" s="665" t="str">
        <f t="shared" si="1"/>
        <v>2009</v>
      </c>
      <c r="BU3" s="665" t="str">
        <f t="shared" si="1"/>
        <v>2010</v>
      </c>
      <c r="BV3" s="665" t="str">
        <f t="shared" si="1"/>
        <v>2011</v>
      </c>
      <c r="BW3" s="665" t="str">
        <f t="shared" si="1"/>
        <v>2012</v>
      </c>
      <c r="BX3" s="665" t="str">
        <f t="shared" si="1"/>
        <v>2013</v>
      </c>
      <c r="BY3" s="665" t="str">
        <f t="shared" si="1"/>
        <v>2014</v>
      </c>
      <c r="BZ3" s="665" t="str">
        <f t="shared" si="1"/>
        <v>2015</v>
      </c>
      <c r="CA3" s="665" t="str">
        <f t="shared" si="1"/>
        <v>2016</v>
      </c>
      <c r="CB3" s="665" t="str">
        <f t="shared" si="1"/>
        <v>2017</v>
      </c>
      <c r="CC3" s="665" t="str">
        <f t="shared" si="1"/>
        <v>2018</v>
      </c>
      <c r="CD3" s="665" t="str">
        <f t="shared" si="1"/>
        <v>2019</v>
      </c>
    </row>
    <row r="4" spans="1:82" s="673" customFormat="1">
      <c r="A4" s="9" t="s">
        <v>1017</v>
      </c>
      <c r="C4" s="665"/>
      <c r="D4" s="665"/>
      <c r="E4" s="665"/>
      <c r="F4" s="665"/>
      <c r="G4" s="665"/>
      <c r="H4" s="665"/>
      <c r="I4" s="665"/>
      <c r="J4" s="665"/>
      <c r="K4" s="665"/>
      <c r="L4" s="665"/>
      <c r="M4" s="665"/>
      <c r="N4" s="665"/>
      <c r="O4" s="665"/>
      <c r="P4" s="665"/>
      <c r="Q4" s="665"/>
      <c r="R4" s="665"/>
      <c r="S4" s="665"/>
      <c r="T4" s="665"/>
      <c r="U4" s="665"/>
      <c r="V4" s="665"/>
      <c r="W4" s="665"/>
      <c r="X4" s="665"/>
      <c r="Y4" s="665"/>
      <c r="Z4" s="665"/>
      <c r="AA4" s="665"/>
      <c r="AB4" s="665"/>
      <c r="AC4" s="665"/>
      <c r="AD4" s="665"/>
      <c r="AE4" s="665"/>
      <c r="AF4" s="665"/>
      <c r="AG4" s="665"/>
      <c r="AH4" s="665"/>
      <c r="AI4" s="665"/>
      <c r="AJ4" s="665"/>
      <c r="AK4" s="665"/>
      <c r="AL4" s="665"/>
      <c r="AM4" s="665"/>
      <c r="AN4" s="665"/>
      <c r="AO4" s="665"/>
      <c r="AP4" s="665"/>
      <c r="AQ4" s="665"/>
      <c r="AR4" s="665"/>
      <c r="AS4" s="665"/>
      <c r="AT4" s="665"/>
      <c r="AU4" s="665"/>
      <c r="AV4" s="665"/>
      <c r="AW4" s="665"/>
      <c r="AX4" s="665"/>
      <c r="AY4" s="665"/>
      <c r="AZ4" s="665"/>
      <c r="BA4" s="665"/>
      <c r="BB4" s="665"/>
      <c r="BC4" s="665"/>
      <c r="BD4" s="665"/>
      <c r="BE4" s="665"/>
      <c r="BF4" s="665"/>
      <c r="BG4" s="665"/>
      <c r="BH4" s="665"/>
      <c r="BI4" s="665"/>
      <c r="BJ4" s="665"/>
      <c r="BK4" s="665"/>
      <c r="BL4" s="665"/>
      <c r="BM4" s="665"/>
      <c r="BN4" s="665"/>
      <c r="BO4" s="665"/>
      <c r="BP4" s="665"/>
      <c r="BQ4" s="665"/>
      <c r="BR4" s="665"/>
      <c r="BS4" s="665"/>
      <c r="BT4" s="665"/>
      <c r="BU4" s="665"/>
      <c r="BV4" s="665"/>
      <c r="BW4" s="665"/>
      <c r="BX4" s="665"/>
      <c r="BY4" s="665"/>
      <c r="BZ4" s="665"/>
      <c r="CA4" s="665"/>
      <c r="CB4" s="665"/>
      <c r="CC4" s="665"/>
      <c r="CD4" s="665"/>
    </row>
    <row r="5" spans="1:82" s="673" customFormat="1">
      <c r="A5" s="9" t="s">
        <v>1016</v>
      </c>
      <c r="C5" s="686">
        <f>SUM(C6:C9)</f>
        <v>8.1</v>
      </c>
      <c r="D5" s="686">
        <f t="shared" ref="D5:BO5" si="2">SUM(D6:D9)</f>
        <v>14.7</v>
      </c>
      <c r="E5" s="686">
        <f t="shared" si="2"/>
        <v>22.2</v>
      </c>
      <c r="F5" s="686">
        <f t="shared" si="2"/>
        <v>38.199999999999996</v>
      </c>
      <c r="G5" s="686">
        <f t="shared" si="2"/>
        <v>39.700000000000003</v>
      </c>
      <c r="H5" s="686">
        <f t="shared" si="2"/>
        <v>41</v>
      </c>
      <c r="I5" s="686">
        <f t="shared" si="2"/>
        <v>39.200000000000003</v>
      </c>
      <c r="J5" s="686">
        <f t="shared" si="2"/>
        <v>42.500000000000007</v>
      </c>
      <c r="K5" s="686">
        <f t="shared" si="2"/>
        <v>41.9</v>
      </c>
      <c r="L5" s="686">
        <f t="shared" si="2"/>
        <v>37.4</v>
      </c>
      <c r="M5" s="686">
        <f t="shared" si="2"/>
        <v>48.400000000000006</v>
      </c>
      <c r="N5" s="686">
        <f t="shared" si="2"/>
        <v>62.399999999999991</v>
      </c>
      <c r="O5" s="686">
        <f t="shared" si="2"/>
        <v>65.199999999999989</v>
      </c>
      <c r="P5" s="686">
        <f t="shared" si="2"/>
        <v>67.900000000000006</v>
      </c>
      <c r="Q5" s="686">
        <f t="shared" si="2"/>
        <v>62</v>
      </c>
      <c r="R5" s="686">
        <f t="shared" si="2"/>
        <v>70.5</v>
      </c>
      <c r="S5" s="686">
        <f t="shared" si="2"/>
        <v>75</v>
      </c>
      <c r="T5" s="686">
        <f t="shared" si="2"/>
        <v>78.400000000000006</v>
      </c>
      <c r="U5" s="686">
        <f t="shared" si="2"/>
        <v>75.099999999999994</v>
      </c>
      <c r="V5" s="686">
        <f t="shared" si="2"/>
        <v>85.7</v>
      </c>
      <c r="W5" s="686">
        <f t="shared" si="2"/>
        <v>91.5</v>
      </c>
      <c r="X5" s="686">
        <f t="shared" si="2"/>
        <v>93.2</v>
      </c>
      <c r="Y5" s="686">
        <f t="shared" si="2"/>
        <v>100.89999999999999</v>
      </c>
      <c r="Z5" s="686">
        <f t="shared" si="2"/>
        <v>108.5</v>
      </c>
      <c r="AA5" s="686">
        <f t="shared" si="2"/>
        <v>107.70000000000002</v>
      </c>
      <c r="AB5" s="686">
        <f t="shared" si="2"/>
        <v>116.80000000000001</v>
      </c>
      <c r="AC5" s="686">
        <f t="shared" si="2"/>
        <v>133.29999999999998</v>
      </c>
      <c r="AD5" s="686">
        <f t="shared" si="2"/>
        <v>141.69999999999999</v>
      </c>
      <c r="AE5" s="686">
        <f t="shared" si="2"/>
        <v>164.70000000000002</v>
      </c>
      <c r="AF5" s="686">
        <f t="shared" si="2"/>
        <v>185.60000000000002</v>
      </c>
      <c r="AG5" s="686">
        <f t="shared" si="2"/>
        <v>179.39999999999998</v>
      </c>
      <c r="AH5" s="686">
        <f t="shared" si="2"/>
        <v>184.9</v>
      </c>
      <c r="AI5" s="686">
        <f t="shared" si="2"/>
        <v>212.6</v>
      </c>
      <c r="AJ5" s="686">
        <f t="shared" si="2"/>
        <v>242.3</v>
      </c>
      <c r="AK5" s="686">
        <f t="shared" si="2"/>
        <v>269.7</v>
      </c>
      <c r="AL5" s="686">
        <f t="shared" si="2"/>
        <v>268.5</v>
      </c>
      <c r="AM5" s="686">
        <f t="shared" si="2"/>
        <v>310.79999999999995</v>
      </c>
      <c r="AN5" s="686">
        <f t="shared" si="2"/>
        <v>351.2</v>
      </c>
      <c r="AO5" s="686">
        <f t="shared" si="2"/>
        <v>406.8</v>
      </c>
      <c r="AP5" s="686">
        <f t="shared" si="2"/>
        <v>464.59999999999997</v>
      </c>
      <c r="AQ5" s="686">
        <f t="shared" si="2"/>
        <v>505.5</v>
      </c>
      <c r="AR5" s="686">
        <f t="shared" si="2"/>
        <v>584.6</v>
      </c>
      <c r="AS5" s="686">
        <f t="shared" si="2"/>
        <v>575.29999999999995</v>
      </c>
      <c r="AT5" s="686">
        <f t="shared" si="2"/>
        <v>600.1</v>
      </c>
      <c r="AU5" s="686">
        <f t="shared" si="2"/>
        <v>661.2</v>
      </c>
      <c r="AV5" s="686">
        <f t="shared" si="2"/>
        <v>717.6</v>
      </c>
      <c r="AW5" s="686">
        <f t="shared" si="2"/>
        <v>757.80000000000007</v>
      </c>
      <c r="AX5" s="686">
        <f t="shared" si="2"/>
        <v>840.19999999999993</v>
      </c>
      <c r="AY5" s="686">
        <f t="shared" si="2"/>
        <v>900.5</v>
      </c>
      <c r="AZ5" s="686">
        <f t="shared" si="2"/>
        <v>974.70000000000016</v>
      </c>
      <c r="BA5" s="686">
        <f t="shared" si="2"/>
        <v>1017.6</v>
      </c>
      <c r="BB5" s="686">
        <f t="shared" si="2"/>
        <v>1033.2</v>
      </c>
      <c r="BC5" s="686">
        <f t="shared" si="2"/>
        <v>1084.5999999999999</v>
      </c>
      <c r="BD5" s="686">
        <f t="shared" si="2"/>
        <v>1159.9000000000001</v>
      </c>
      <c r="BE5" s="686">
        <f t="shared" si="2"/>
        <v>1254.0999999999999</v>
      </c>
      <c r="BF5" s="686">
        <f t="shared" si="2"/>
        <v>1341</v>
      </c>
      <c r="BG5" s="686">
        <f t="shared" si="2"/>
        <v>1454.4</v>
      </c>
      <c r="BH5" s="686">
        <f t="shared" si="2"/>
        <v>1586.2999999999997</v>
      </c>
      <c r="BI5" s="686">
        <f t="shared" si="2"/>
        <v>1703.9</v>
      </c>
      <c r="BJ5" s="686">
        <f t="shared" si="2"/>
        <v>1819.9</v>
      </c>
      <c r="BK5" s="686">
        <f t="shared" si="2"/>
        <v>1975.9999999999998</v>
      </c>
      <c r="BL5" s="686">
        <f t="shared" si="2"/>
        <v>1938.3999999999999</v>
      </c>
      <c r="BM5" s="686">
        <f t="shared" si="2"/>
        <v>1780.8</v>
      </c>
      <c r="BN5" s="686">
        <f t="shared" si="2"/>
        <v>1804</v>
      </c>
      <c r="BO5" s="686">
        <f t="shared" si="2"/>
        <v>1935.1</v>
      </c>
      <c r="BP5" s="686">
        <f t="shared" ref="BP5:CD5" si="3">SUM(BP6:BP9)</f>
        <v>2204.8000000000002</v>
      </c>
      <c r="BQ5" s="686">
        <f t="shared" si="3"/>
        <v>2422.1</v>
      </c>
      <c r="BR5" s="686">
        <f t="shared" si="3"/>
        <v>2536.2999999999997</v>
      </c>
      <c r="BS5" s="686">
        <f t="shared" si="3"/>
        <v>2442.3000000000002</v>
      </c>
      <c r="BT5" s="686">
        <f t="shared" si="3"/>
        <v>2056.7000000000003</v>
      </c>
      <c r="BU5" s="686">
        <f t="shared" si="3"/>
        <v>2225.8000000000002</v>
      </c>
      <c r="BV5" s="686">
        <f t="shared" si="3"/>
        <v>2362.1999999999998</v>
      </c>
      <c r="BW5" s="686">
        <f t="shared" si="3"/>
        <v>2489.5999999999995</v>
      </c>
      <c r="BX5" s="686">
        <f t="shared" si="3"/>
        <v>2813.4</v>
      </c>
      <c r="BY5" s="686">
        <f t="shared" si="3"/>
        <v>3014.4</v>
      </c>
      <c r="BZ5" s="686">
        <f t="shared" si="3"/>
        <v>3187.5</v>
      </c>
      <c r="CA5" s="686">
        <f t="shared" si="3"/>
        <v>3215.4</v>
      </c>
      <c r="CB5" s="686">
        <f t="shared" si="3"/>
        <v>3269.3</v>
      </c>
      <c r="CC5" s="686">
        <f t="shared" si="3"/>
        <v>3330.4</v>
      </c>
      <c r="CD5" s="686">
        <f t="shared" si="3"/>
        <v>3501.1</v>
      </c>
    </row>
    <row r="6" spans="1:82" s="673" customFormat="1">
      <c r="A6" s="673" t="s">
        <v>1012</v>
      </c>
      <c r="B6" s="673" t="s">
        <v>1013</v>
      </c>
      <c r="C6" s="403">
        <f>C37</f>
        <v>1</v>
      </c>
      <c r="D6" s="403">
        <f t="shared" ref="D6:BO6" si="4">D37</f>
        <v>1.6</v>
      </c>
      <c r="E6" s="403">
        <f t="shared" si="4"/>
        <v>4.2</v>
      </c>
      <c r="F6" s="403">
        <f t="shared" si="4"/>
        <v>16</v>
      </c>
      <c r="G6" s="403">
        <f t="shared" si="4"/>
        <v>16.899999999999999</v>
      </c>
      <c r="H6" s="403">
        <f t="shared" si="4"/>
        <v>18.600000000000001</v>
      </c>
      <c r="I6" s="403">
        <f t="shared" si="4"/>
        <v>16.399999999999999</v>
      </c>
      <c r="J6" s="403">
        <f t="shared" si="4"/>
        <v>18.8</v>
      </c>
      <c r="K6" s="403">
        <f t="shared" si="4"/>
        <v>18.100000000000001</v>
      </c>
      <c r="L6" s="403">
        <f t="shared" si="4"/>
        <v>15.4</v>
      </c>
      <c r="M6" s="403">
        <f t="shared" si="4"/>
        <v>17.399999999999999</v>
      </c>
      <c r="N6" s="403">
        <f t="shared" si="4"/>
        <v>25.4</v>
      </c>
      <c r="O6" s="403">
        <f t="shared" si="4"/>
        <v>30.2</v>
      </c>
      <c r="P6" s="403">
        <f t="shared" si="4"/>
        <v>31.3</v>
      </c>
      <c r="Q6" s="403">
        <f t="shared" si="4"/>
        <v>28.1</v>
      </c>
      <c r="R6" s="403">
        <f t="shared" si="4"/>
        <v>30.5</v>
      </c>
      <c r="S6" s="403">
        <f t="shared" si="4"/>
        <v>33.9</v>
      </c>
      <c r="T6" s="403">
        <f t="shared" si="4"/>
        <v>36</v>
      </c>
      <c r="U6" s="403">
        <f t="shared" si="4"/>
        <v>35.5</v>
      </c>
      <c r="V6" s="403">
        <f t="shared" si="4"/>
        <v>38.5</v>
      </c>
      <c r="W6" s="403">
        <f t="shared" si="4"/>
        <v>41.8</v>
      </c>
      <c r="X6" s="403">
        <f t="shared" si="4"/>
        <v>42.7</v>
      </c>
      <c r="Y6" s="403">
        <f t="shared" si="4"/>
        <v>46.5</v>
      </c>
      <c r="Z6" s="403">
        <f t="shared" si="4"/>
        <v>49.1</v>
      </c>
      <c r="AA6" s="403">
        <f t="shared" si="4"/>
        <v>46</v>
      </c>
      <c r="AB6" s="403">
        <f t="shared" si="4"/>
        <v>51.1</v>
      </c>
      <c r="AC6" s="403">
        <f t="shared" si="4"/>
        <v>58.6</v>
      </c>
      <c r="AD6" s="403">
        <f t="shared" si="4"/>
        <v>64.400000000000006</v>
      </c>
      <c r="AE6" s="403">
        <f t="shared" si="4"/>
        <v>76.400000000000006</v>
      </c>
      <c r="AF6" s="403">
        <f t="shared" si="4"/>
        <v>91.7</v>
      </c>
      <c r="AG6" s="403">
        <f t="shared" si="4"/>
        <v>88.9</v>
      </c>
      <c r="AH6" s="403">
        <f t="shared" si="4"/>
        <v>85.8</v>
      </c>
      <c r="AI6" s="403">
        <f t="shared" si="4"/>
        <v>102.8</v>
      </c>
      <c r="AJ6" s="403">
        <f t="shared" si="4"/>
        <v>109.6</v>
      </c>
      <c r="AK6" s="403">
        <f t="shared" si="4"/>
        <v>126.5</v>
      </c>
      <c r="AL6" s="403">
        <f t="shared" si="4"/>
        <v>120.7</v>
      </c>
      <c r="AM6" s="403">
        <f t="shared" si="4"/>
        <v>141.6</v>
      </c>
      <c r="AN6" s="403">
        <f t="shared" si="4"/>
        <v>162.5</v>
      </c>
      <c r="AO6" s="403">
        <f t="shared" si="4"/>
        <v>189.2</v>
      </c>
      <c r="AP6" s="403">
        <f t="shared" si="4"/>
        <v>224.9</v>
      </c>
      <c r="AQ6" s="403">
        <f t="shared" si="4"/>
        <v>250.6</v>
      </c>
      <c r="AR6" s="403">
        <f t="shared" si="4"/>
        <v>291.2</v>
      </c>
      <c r="AS6" s="403">
        <f t="shared" si="4"/>
        <v>295.60000000000002</v>
      </c>
      <c r="AT6" s="403">
        <f t="shared" si="4"/>
        <v>286.8</v>
      </c>
      <c r="AU6" s="403">
        <f t="shared" si="4"/>
        <v>301.89999999999998</v>
      </c>
      <c r="AV6" s="403">
        <f t="shared" si="4"/>
        <v>336.5</v>
      </c>
      <c r="AW6" s="403">
        <f t="shared" si="4"/>
        <v>350.6</v>
      </c>
      <c r="AX6" s="403">
        <f t="shared" si="4"/>
        <v>393</v>
      </c>
      <c r="AY6" s="403">
        <f t="shared" si="4"/>
        <v>403.8</v>
      </c>
      <c r="AZ6" s="403">
        <f t="shared" si="4"/>
        <v>453.1</v>
      </c>
      <c r="BA6" s="403">
        <f t="shared" si="4"/>
        <v>472.1</v>
      </c>
      <c r="BB6" s="403">
        <f t="shared" si="4"/>
        <v>463.6</v>
      </c>
      <c r="BC6" s="403">
        <f t="shared" si="4"/>
        <v>477.5</v>
      </c>
      <c r="BD6" s="403">
        <f t="shared" si="4"/>
        <v>507.7</v>
      </c>
      <c r="BE6" s="403">
        <f t="shared" si="4"/>
        <v>545.1</v>
      </c>
      <c r="BF6" s="403">
        <f t="shared" si="4"/>
        <v>590.29999999999995</v>
      </c>
      <c r="BG6" s="403">
        <f t="shared" si="4"/>
        <v>668.4</v>
      </c>
      <c r="BH6" s="403">
        <f t="shared" si="4"/>
        <v>749.8</v>
      </c>
      <c r="BI6" s="403">
        <f t="shared" si="4"/>
        <v>831.2</v>
      </c>
      <c r="BJ6" s="403">
        <f t="shared" si="4"/>
        <v>897.4</v>
      </c>
      <c r="BK6" s="403">
        <f t="shared" si="4"/>
        <v>999.6</v>
      </c>
      <c r="BL6" s="403">
        <f t="shared" si="4"/>
        <v>996</v>
      </c>
      <c r="BM6" s="403">
        <f t="shared" si="4"/>
        <v>832.3</v>
      </c>
      <c r="BN6" s="403">
        <f t="shared" si="4"/>
        <v>778.6</v>
      </c>
      <c r="BO6" s="403">
        <f t="shared" si="4"/>
        <v>803</v>
      </c>
      <c r="BP6" s="403">
        <f t="shared" ref="BP6:CD6" si="5">BP37</f>
        <v>937.2</v>
      </c>
      <c r="BQ6" s="403">
        <f t="shared" si="5"/>
        <v>1055.8</v>
      </c>
      <c r="BR6" s="403">
        <f t="shared" si="5"/>
        <v>1170.9000000000001</v>
      </c>
      <c r="BS6" s="403">
        <f t="shared" si="5"/>
        <v>1176.5999999999999</v>
      </c>
      <c r="BT6" s="403">
        <f t="shared" si="5"/>
        <v>866.6</v>
      </c>
      <c r="BU6" s="403">
        <f t="shared" si="5"/>
        <v>943.6</v>
      </c>
      <c r="BV6" s="403">
        <f t="shared" si="5"/>
        <v>1130.8</v>
      </c>
      <c r="BW6" s="403">
        <f t="shared" si="5"/>
        <v>1166.4000000000001</v>
      </c>
      <c r="BX6" s="403">
        <f t="shared" si="5"/>
        <v>1302.9000000000001</v>
      </c>
      <c r="BY6" s="403">
        <f t="shared" si="5"/>
        <v>1403.7</v>
      </c>
      <c r="BZ6" s="403">
        <f t="shared" si="5"/>
        <v>1532.6</v>
      </c>
      <c r="CA6" s="403">
        <f t="shared" si="5"/>
        <v>1548</v>
      </c>
      <c r="CB6" s="403">
        <f t="shared" si="5"/>
        <v>1614.6</v>
      </c>
      <c r="CC6" s="403">
        <f t="shared" si="5"/>
        <v>1617.5</v>
      </c>
      <c r="CD6" s="403">
        <f t="shared" si="5"/>
        <v>1713</v>
      </c>
    </row>
    <row r="7" spans="1:82" s="673" customFormat="1">
      <c r="B7" s="673" t="s">
        <v>231</v>
      </c>
      <c r="C7" s="403">
        <f>C45</f>
        <v>1.9</v>
      </c>
      <c r="D7" s="403">
        <f t="shared" ref="D7:BO7" si="6">D45</f>
        <v>2.2999999999999998</v>
      </c>
      <c r="E7" s="403">
        <f t="shared" si="6"/>
        <v>2.9</v>
      </c>
      <c r="F7" s="403">
        <f t="shared" si="6"/>
        <v>3.8</v>
      </c>
      <c r="G7" s="403">
        <f t="shared" si="6"/>
        <v>4.3</v>
      </c>
      <c r="H7" s="403">
        <f t="shared" si="6"/>
        <v>5.3</v>
      </c>
      <c r="I7" s="403">
        <f t="shared" si="6"/>
        <v>6.5</v>
      </c>
      <c r="J7" s="403">
        <f t="shared" si="6"/>
        <v>5.4</v>
      </c>
      <c r="K7" s="403">
        <f t="shared" si="6"/>
        <v>4.4000000000000004</v>
      </c>
      <c r="L7" s="403">
        <f t="shared" si="6"/>
        <v>4.7</v>
      </c>
      <c r="M7" s="403">
        <f t="shared" si="6"/>
        <v>5.3</v>
      </c>
      <c r="N7" s="403">
        <f t="shared" si="6"/>
        <v>6.4</v>
      </c>
      <c r="O7" s="403">
        <f t="shared" si="6"/>
        <v>6.6</v>
      </c>
      <c r="P7" s="403">
        <f t="shared" si="6"/>
        <v>6.8</v>
      </c>
      <c r="Q7" s="403">
        <f t="shared" si="6"/>
        <v>7.8</v>
      </c>
      <c r="R7" s="403">
        <f t="shared" si="6"/>
        <v>8.8000000000000007</v>
      </c>
      <c r="S7" s="403">
        <f t="shared" si="6"/>
        <v>9.6</v>
      </c>
      <c r="T7" s="403">
        <f t="shared" si="6"/>
        <v>11</v>
      </c>
      <c r="U7" s="403">
        <f t="shared" si="6"/>
        <v>11</v>
      </c>
      <c r="V7" s="403">
        <f t="shared" si="6"/>
        <v>13.4</v>
      </c>
      <c r="W7" s="403">
        <f t="shared" si="6"/>
        <v>16</v>
      </c>
      <c r="X7" s="403">
        <f t="shared" si="6"/>
        <v>16.5</v>
      </c>
      <c r="Y7" s="403">
        <f t="shared" si="6"/>
        <v>18.600000000000001</v>
      </c>
      <c r="Z7" s="403">
        <f t="shared" si="6"/>
        <v>21</v>
      </c>
      <c r="AA7" s="403">
        <f t="shared" si="6"/>
        <v>21.7</v>
      </c>
      <c r="AB7" s="403">
        <f t="shared" si="6"/>
        <v>22.7</v>
      </c>
      <c r="AC7" s="403">
        <f t="shared" si="6"/>
        <v>30.5</v>
      </c>
      <c r="AD7" s="403">
        <f t="shared" si="6"/>
        <v>34</v>
      </c>
      <c r="AE7" s="403">
        <f t="shared" si="6"/>
        <v>37.799999999999997</v>
      </c>
      <c r="AF7" s="403">
        <f t="shared" si="6"/>
        <v>43.1</v>
      </c>
      <c r="AG7" s="403">
        <f t="shared" si="6"/>
        <v>45.3</v>
      </c>
      <c r="AH7" s="403">
        <f t="shared" si="6"/>
        <v>50</v>
      </c>
      <c r="AI7" s="403">
        <f t="shared" si="6"/>
        <v>57.9</v>
      </c>
      <c r="AJ7" s="403">
        <f t="shared" si="6"/>
        <v>74</v>
      </c>
      <c r="AK7" s="403">
        <f t="shared" si="6"/>
        <v>83.5</v>
      </c>
      <c r="AL7" s="403">
        <f t="shared" si="6"/>
        <v>87.5</v>
      </c>
      <c r="AM7" s="403">
        <f t="shared" si="6"/>
        <v>99.1</v>
      </c>
      <c r="AN7" s="403">
        <f t="shared" si="6"/>
        <v>110.3</v>
      </c>
      <c r="AO7" s="403">
        <f t="shared" si="6"/>
        <v>127.9</v>
      </c>
      <c r="AP7" s="403">
        <f t="shared" si="6"/>
        <v>148.9</v>
      </c>
      <c r="AQ7" s="403">
        <f t="shared" si="6"/>
        <v>162.6</v>
      </c>
      <c r="AR7" s="403">
        <f t="shared" si="6"/>
        <v>191.8</v>
      </c>
      <c r="AS7" s="403">
        <f t="shared" si="6"/>
        <v>204.9</v>
      </c>
      <c r="AT7" s="403">
        <f t="shared" si="6"/>
        <v>221.8</v>
      </c>
      <c r="AU7" s="403">
        <f t="shared" si="6"/>
        <v>252.8</v>
      </c>
      <c r="AV7" s="403">
        <f t="shared" si="6"/>
        <v>276.5</v>
      </c>
      <c r="AW7" s="403">
        <f t="shared" si="6"/>
        <v>297.5</v>
      </c>
      <c r="AX7" s="403">
        <f t="shared" si="6"/>
        <v>315.89999999999998</v>
      </c>
      <c r="AY7" s="403">
        <f t="shared" si="6"/>
        <v>353.1</v>
      </c>
      <c r="AZ7" s="403">
        <f t="shared" si="6"/>
        <v>376.3</v>
      </c>
      <c r="BA7" s="403">
        <f t="shared" si="6"/>
        <v>400.1</v>
      </c>
      <c r="BB7" s="403">
        <f t="shared" si="6"/>
        <v>418.6</v>
      </c>
      <c r="BC7" s="403">
        <f t="shared" si="6"/>
        <v>441.8</v>
      </c>
      <c r="BD7" s="403">
        <f t="shared" si="6"/>
        <v>463.3</v>
      </c>
      <c r="BE7" s="403">
        <f t="shared" si="6"/>
        <v>493.7</v>
      </c>
      <c r="BF7" s="403">
        <f t="shared" si="6"/>
        <v>519.20000000000005</v>
      </c>
      <c r="BG7" s="403">
        <f t="shared" si="6"/>
        <v>542.6</v>
      </c>
      <c r="BH7" s="403">
        <f t="shared" si="6"/>
        <v>576.4</v>
      </c>
      <c r="BI7" s="403">
        <f t="shared" si="6"/>
        <v>614.29999999999995</v>
      </c>
      <c r="BJ7" s="403">
        <f t="shared" si="6"/>
        <v>651.5</v>
      </c>
      <c r="BK7" s="403">
        <f t="shared" si="6"/>
        <v>695</v>
      </c>
      <c r="BL7" s="403">
        <f t="shared" si="6"/>
        <v>719.5</v>
      </c>
      <c r="BM7" s="403">
        <f t="shared" si="6"/>
        <v>735.7</v>
      </c>
      <c r="BN7" s="403">
        <f t="shared" si="6"/>
        <v>759.4</v>
      </c>
      <c r="BO7" s="403">
        <f t="shared" si="6"/>
        <v>804.6</v>
      </c>
      <c r="BP7" s="403">
        <f t="shared" ref="BP7:CD7" si="7">BP45</f>
        <v>848.7</v>
      </c>
      <c r="BQ7" s="403">
        <f t="shared" si="7"/>
        <v>901.1</v>
      </c>
      <c r="BR7" s="403">
        <f t="shared" si="7"/>
        <v>942.6</v>
      </c>
      <c r="BS7" s="403">
        <f t="shared" si="7"/>
        <v>969.7</v>
      </c>
      <c r="BT7" s="403">
        <f t="shared" si="7"/>
        <v>945.7</v>
      </c>
      <c r="BU7" s="403">
        <f t="shared" si="7"/>
        <v>966</v>
      </c>
      <c r="BV7" s="403">
        <f t="shared" si="7"/>
        <v>898.8</v>
      </c>
      <c r="BW7" s="403">
        <f t="shared" si="7"/>
        <v>933.3</v>
      </c>
      <c r="BX7" s="403">
        <f t="shared" si="7"/>
        <v>1086.5999999999999</v>
      </c>
      <c r="BY7" s="403">
        <f t="shared" si="7"/>
        <v>1134.8</v>
      </c>
      <c r="BZ7" s="403">
        <f t="shared" si="7"/>
        <v>1185.5</v>
      </c>
      <c r="CA7" s="403">
        <f t="shared" si="7"/>
        <v>1219.0999999999999</v>
      </c>
      <c r="CB7" s="403">
        <f t="shared" si="7"/>
        <v>1278.4000000000001</v>
      </c>
      <c r="CC7" s="403">
        <f t="shared" si="7"/>
        <v>1339.5</v>
      </c>
      <c r="CD7" s="403">
        <f t="shared" si="7"/>
        <v>1397.1</v>
      </c>
    </row>
    <row r="8" spans="1:82" s="673" customFormat="1">
      <c r="B8" s="673" t="s">
        <v>1014</v>
      </c>
      <c r="C8" s="403">
        <f>C42</f>
        <v>2.6</v>
      </c>
      <c r="D8" s="403">
        <f t="shared" ref="D8:BO8" si="8">D42</f>
        <v>7.3</v>
      </c>
      <c r="E8" s="403">
        <f t="shared" si="8"/>
        <v>11.1</v>
      </c>
      <c r="F8" s="403">
        <f t="shared" si="8"/>
        <v>13.6</v>
      </c>
      <c r="G8" s="403">
        <f t="shared" si="8"/>
        <v>12.5</v>
      </c>
      <c r="H8" s="403">
        <f t="shared" si="8"/>
        <v>10.199999999999999</v>
      </c>
      <c r="I8" s="403">
        <f t="shared" si="8"/>
        <v>8.6</v>
      </c>
      <c r="J8" s="403">
        <f t="shared" si="8"/>
        <v>10.6</v>
      </c>
      <c r="K8" s="403">
        <f t="shared" si="8"/>
        <v>11.6</v>
      </c>
      <c r="L8" s="403">
        <f t="shared" si="8"/>
        <v>9.4</v>
      </c>
      <c r="M8" s="403">
        <f t="shared" si="8"/>
        <v>17</v>
      </c>
      <c r="N8" s="403">
        <f t="shared" si="8"/>
        <v>21.4</v>
      </c>
      <c r="O8" s="403">
        <f t="shared" si="8"/>
        <v>18.3</v>
      </c>
      <c r="P8" s="403">
        <f t="shared" si="8"/>
        <v>19.100000000000001</v>
      </c>
      <c r="Q8" s="403">
        <f t="shared" si="8"/>
        <v>16.600000000000001</v>
      </c>
      <c r="R8" s="403">
        <f t="shared" si="8"/>
        <v>20.8</v>
      </c>
      <c r="S8" s="403">
        <f t="shared" si="8"/>
        <v>20.5</v>
      </c>
      <c r="T8" s="403">
        <f t="shared" si="8"/>
        <v>19.899999999999999</v>
      </c>
      <c r="U8" s="403">
        <f t="shared" si="8"/>
        <v>17.399999999999999</v>
      </c>
      <c r="V8" s="403">
        <f t="shared" si="8"/>
        <v>21.6</v>
      </c>
      <c r="W8" s="403">
        <f t="shared" si="8"/>
        <v>20.6</v>
      </c>
      <c r="X8" s="403">
        <f t="shared" si="8"/>
        <v>20.8</v>
      </c>
      <c r="Y8" s="403">
        <f t="shared" si="8"/>
        <v>21.7</v>
      </c>
      <c r="Z8" s="403">
        <f t="shared" si="8"/>
        <v>23.7</v>
      </c>
      <c r="AA8" s="403">
        <f t="shared" si="8"/>
        <v>24.6</v>
      </c>
      <c r="AB8" s="403">
        <f t="shared" si="8"/>
        <v>27.6</v>
      </c>
      <c r="AC8" s="403">
        <f t="shared" si="8"/>
        <v>29.8</v>
      </c>
      <c r="AD8" s="403">
        <f t="shared" si="8"/>
        <v>28.1</v>
      </c>
      <c r="AE8" s="403">
        <f t="shared" si="8"/>
        <v>33.6</v>
      </c>
      <c r="AF8" s="403">
        <f t="shared" si="8"/>
        <v>33</v>
      </c>
      <c r="AG8" s="403">
        <f t="shared" si="8"/>
        <v>27.1</v>
      </c>
      <c r="AH8" s="403">
        <f t="shared" si="8"/>
        <v>30.1</v>
      </c>
      <c r="AI8" s="403">
        <f t="shared" si="8"/>
        <v>33.4</v>
      </c>
      <c r="AJ8" s="403">
        <f t="shared" si="8"/>
        <v>38.9</v>
      </c>
      <c r="AK8" s="403">
        <f t="shared" si="8"/>
        <v>39.6</v>
      </c>
      <c r="AL8" s="403">
        <f t="shared" si="8"/>
        <v>38.200000000000003</v>
      </c>
      <c r="AM8" s="403">
        <f t="shared" si="8"/>
        <v>48.7</v>
      </c>
      <c r="AN8" s="403">
        <f t="shared" si="8"/>
        <v>55.7</v>
      </c>
      <c r="AO8" s="403">
        <f t="shared" si="8"/>
        <v>64.400000000000006</v>
      </c>
      <c r="AP8" s="403">
        <f t="shared" si="8"/>
        <v>65.099999999999994</v>
      </c>
      <c r="AQ8" s="403">
        <f t="shared" si="8"/>
        <v>58.6</v>
      </c>
      <c r="AR8" s="403">
        <f t="shared" si="8"/>
        <v>51.7</v>
      </c>
      <c r="AS8" s="403">
        <f t="shared" si="8"/>
        <v>33.799999999999997</v>
      </c>
      <c r="AT8" s="403">
        <f t="shared" si="8"/>
        <v>47.1</v>
      </c>
      <c r="AU8" s="403">
        <f t="shared" si="8"/>
        <v>59.2</v>
      </c>
      <c r="AV8" s="403">
        <f t="shared" si="8"/>
        <v>58.5</v>
      </c>
      <c r="AW8" s="403">
        <f t="shared" si="8"/>
        <v>66</v>
      </c>
      <c r="AX8" s="403">
        <f t="shared" si="8"/>
        <v>85.4</v>
      </c>
      <c r="AY8" s="403">
        <f t="shared" si="8"/>
        <v>93.8</v>
      </c>
      <c r="AZ8" s="403">
        <f t="shared" si="8"/>
        <v>95.6</v>
      </c>
      <c r="BA8" s="403">
        <f t="shared" si="8"/>
        <v>94.5</v>
      </c>
      <c r="BB8" s="403">
        <f t="shared" si="8"/>
        <v>89.2</v>
      </c>
      <c r="BC8" s="403">
        <f t="shared" si="8"/>
        <v>102</v>
      </c>
      <c r="BD8" s="403">
        <f t="shared" si="8"/>
        <v>122.5</v>
      </c>
      <c r="BE8" s="403">
        <f t="shared" si="8"/>
        <v>136.30000000000001</v>
      </c>
      <c r="BF8" s="403">
        <f t="shared" si="8"/>
        <v>155.9</v>
      </c>
      <c r="BG8" s="403">
        <f t="shared" si="8"/>
        <v>170.5</v>
      </c>
      <c r="BH8" s="403">
        <f t="shared" si="8"/>
        <v>182.3</v>
      </c>
      <c r="BI8" s="403">
        <f t="shared" si="8"/>
        <v>177.7</v>
      </c>
      <c r="BJ8" s="403">
        <f t="shared" si="8"/>
        <v>187.6</v>
      </c>
      <c r="BK8" s="403">
        <f t="shared" si="8"/>
        <v>194.1</v>
      </c>
      <c r="BL8" s="403">
        <f t="shared" si="8"/>
        <v>137.6</v>
      </c>
      <c r="BM8" s="403">
        <f t="shared" si="8"/>
        <v>126</v>
      </c>
      <c r="BN8" s="403">
        <f t="shared" si="8"/>
        <v>175.8</v>
      </c>
      <c r="BO8" s="403">
        <f t="shared" si="8"/>
        <v>232.2</v>
      </c>
      <c r="BP8" s="403">
        <f t="shared" ref="BP8:CD8" si="9">BP42</f>
        <v>319.5</v>
      </c>
      <c r="BQ8" s="403">
        <f t="shared" si="9"/>
        <v>366</v>
      </c>
      <c r="BR8" s="403">
        <f t="shared" si="9"/>
        <v>328.2</v>
      </c>
      <c r="BS8" s="403">
        <f t="shared" si="9"/>
        <v>202</v>
      </c>
      <c r="BT8" s="403">
        <f t="shared" si="9"/>
        <v>153</v>
      </c>
      <c r="BU8" s="403">
        <f t="shared" si="9"/>
        <v>219.4</v>
      </c>
      <c r="BV8" s="403">
        <f t="shared" si="9"/>
        <v>224</v>
      </c>
      <c r="BW8" s="403">
        <f t="shared" si="9"/>
        <v>274.7</v>
      </c>
      <c r="BX8" s="403">
        <f t="shared" si="9"/>
        <v>298.39999999999998</v>
      </c>
      <c r="BY8" s="403">
        <f t="shared" si="9"/>
        <v>339.6</v>
      </c>
      <c r="BZ8" s="403">
        <f t="shared" si="9"/>
        <v>329.1</v>
      </c>
      <c r="CA8" s="403">
        <f t="shared" si="9"/>
        <v>311.89999999999998</v>
      </c>
      <c r="CB8" s="403">
        <f t="shared" si="9"/>
        <v>245.4</v>
      </c>
      <c r="CC8" s="403">
        <f t="shared" si="9"/>
        <v>210.6</v>
      </c>
      <c r="CD8" s="403">
        <f t="shared" si="9"/>
        <v>217.3</v>
      </c>
    </row>
    <row r="9" spans="1:82" s="673" customFormat="1">
      <c r="B9" s="673" t="s">
        <v>1015</v>
      </c>
      <c r="C9" s="403">
        <f>C38</f>
        <v>2.6</v>
      </c>
      <c r="D9" s="403">
        <f t="shared" ref="D9:BO9" si="10">D38</f>
        <v>3.5</v>
      </c>
      <c r="E9" s="403">
        <f t="shared" si="10"/>
        <v>4</v>
      </c>
      <c r="F9" s="403">
        <f t="shared" si="10"/>
        <v>4.8</v>
      </c>
      <c r="G9" s="403">
        <f t="shared" si="10"/>
        <v>6</v>
      </c>
      <c r="H9" s="403">
        <f t="shared" si="10"/>
        <v>6.9</v>
      </c>
      <c r="I9" s="403">
        <f t="shared" si="10"/>
        <v>7.7</v>
      </c>
      <c r="J9" s="403">
        <f t="shared" si="10"/>
        <v>7.7</v>
      </c>
      <c r="K9" s="403">
        <f t="shared" si="10"/>
        <v>7.8</v>
      </c>
      <c r="L9" s="403">
        <f t="shared" si="10"/>
        <v>7.9</v>
      </c>
      <c r="M9" s="403">
        <f t="shared" si="10"/>
        <v>8.6999999999999993</v>
      </c>
      <c r="N9" s="403">
        <f t="shared" si="10"/>
        <v>9.1999999999999993</v>
      </c>
      <c r="O9" s="403">
        <f t="shared" si="10"/>
        <v>10.1</v>
      </c>
      <c r="P9" s="403">
        <f t="shared" si="10"/>
        <v>10.7</v>
      </c>
      <c r="Q9" s="403">
        <f t="shared" si="10"/>
        <v>9.5</v>
      </c>
      <c r="R9" s="403">
        <f t="shared" si="10"/>
        <v>10.4</v>
      </c>
      <c r="S9" s="403">
        <f t="shared" si="10"/>
        <v>11</v>
      </c>
      <c r="T9" s="403">
        <f t="shared" si="10"/>
        <v>11.5</v>
      </c>
      <c r="U9" s="403">
        <f t="shared" si="10"/>
        <v>11.2</v>
      </c>
      <c r="V9" s="403">
        <f t="shared" si="10"/>
        <v>12.2</v>
      </c>
      <c r="W9" s="403">
        <f t="shared" si="10"/>
        <v>13.1</v>
      </c>
      <c r="X9" s="403">
        <f t="shared" si="10"/>
        <v>13.2</v>
      </c>
      <c r="Y9" s="403">
        <f t="shared" si="10"/>
        <v>14.1</v>
      </c>
      <c r="Z9" s="403">
        <f t="shared" si="10"/>
        <v>14.7</v>
      </c>
      <c r="AA9" s="403">
        <f t="shared" si="10"/>
        <v>15.4</v>
      </c>
      <c r="AB9" s="403">
        <f t="shared" si="10"/>
        <v>15.4</v>
      </c>
      <c r="AC9" s="403">
        <f t="shared" si="10"/>
        <v>14.4</v>
      </c>
      <c r="AD9" s="403">
        <f t="shared" si="10"/>
        <v>15.2</v>
      </c>
      <c r="AE9" s="403">
        <f t="shared" si="10"/>
        <v>16.899999999999999</v>
      </c>
      <c r="AF9" s="403">
        <f t="shared" si="10"/>
        <v>17.8</v>
      </c>
      <c r="AG9" s="403">
        <f t="shared" si="10"/>
        <v>18.100000000000001</v>
      </c>
      <c r="AH9" s="403">
        <f t="shared" si="10"/>
        <v>19</v>
      </c>
      <c r="AI9" s="403">
        <f t="shared" si="10"/>
        <v>18.5</v>
      </c>
      <c r="AJ9" s="403">
        <f t="shared" si="10"/>
        <v>19.8</v>
      </c>
      <c r="AK9" s="403">
        <f t="shared" si="10"/>
        <v>20.100000000000001</v>
      </c>
      <c r="AL9" s="403">
        <f t="shared" si="10"/>
        <v>22.1</v>
      </c>
      <c r="AM9" s="403">
        <f t="shared" si="10"/>
        <v>21.4</v>
      </c>
      <c r="AN9" s="403">
        <f t="shared" si="10"/>
        <v>22.7</v>
      </c>
      <c r="AO9" s="403">
        <f t="shared" si="10"/>
        <v>25.3</v>
      </c>
      <c r="AP9" s="403">
        <f t="shared" si="10"/>
        <v>25.7</v>
      </c>
      <c r="AQ9" s="403">
        <f t="shared" si="10"/>
        <v>33.700000000000003</v>
      </c>
      <c r="AR9" s="403">
        <f t="shared" si="10"/>
        <v>49.9</v>
      </c>
      <c r="AS9" s="403">
        <f t="shared" si="10"/>
        <v>41</v>
      </c>
      <c r="AT9" s="403">
        <f t="shared" si="10"/>
        <v>44.4</v>
      </c>
      <c r="AU9" s="403">
        <f t="shared" si="10"/>
        <v>47.3</v>
      </c>
      <c r="AV9" s="403">
        <f t="shared" si="10"/>
        <v>46.1</v>
      </c>
      <c r="AW9" s="403">
        <f t="shared" si="10"/>
        <v>43.7</v>
      </c>
      <c r="AX9" s="403">
        <f t="shared" si="10"/>
        <v>45.9</v>
      </c>
      <c r="AY9" s="403">
        <f t="shared" si="10"/>
        <v>49.8</v>
      </c>
      <c r="AZ9" s="403">
        <f t="shared" si="10"/>
        <v>49.7</v>
      </c>
      <c r="BA9" s="403">
        <f t="shared" si="10"/>
        <v>50.9</v>
      </c>
      <c r="BB9" s="403">
        <f t="shared" si="10"/>
        <v>61.8</v>
      </c>
      <c r="BC9" s="403">
        <f t="shared" si="10"/>
        <v>63.3</v>
      </c>
      <c r="BD9" s="403">
        <f t="shared" si="10"/>
        <v>66.400000000000006</v>
      </c>
      <c r="BE9" s="403">
        <f t="shared" si="10"/>
        <v>79</v>
      </c>
      <c r="BF9" s="403">
        <f t="shared" si="10"/>
        <v>75.599999999999994</v>
      </c>
      <c r="BG9" s="403">
        <f t="shared" si="10"/>
        <v>72.900000000000006</v>
      </c>
      <c r="BH9" s="403">
        <f t="shared" si="10"/>
        <v>77.8</v>
      </c>
      <c r="BI9" s="403">
        <f t="shared" si="10"/>
        <v>80.7</v>
      </c>
      <c r="BJ9" s="403">
        <f t="shared" si="10"/>
        <v>83.4</v>
      </c>
      <c r="BK9" s="403">
        <f t="shared" si="10"/>
        <v>87.3</v>
      </c>
      <c r="BL9" s="403">
        <f t="shared" si="10"/>
        <v>85.3</v>
      </c>
      <c r="BM9" s="403">
        <f t="shared" si="10"/>
        <v>86.8</v>
      </c>
      <c r="BN9" s="403">
        <f t="shared" si="10"/>
        <v>90.2</v>
      </c>
      <c r="BO9" s="403">
        <f t="shared" si="10"/>
        <v>95.3</v>
      </c>
      <c r="BP9" s="403">
        <f t="shared" ref="BP9:CD9" si="11">BP38</f>
        <v>99.4</v>
      </c>
      <c r="BQ9" s="403">
        <f t="shared" si="11"/>
        <v>99.2</v>
      </c>
      <c r="BR9" s="403">
        <f t="shared" si="11"/>
        <v>94.6</v>
      </c>
      <c r="BS9" s="403">
        <f t="shared" si="11"/>
        <v>94</v>
      </c>
      <c r="BT9" s="403">
        <f t="shared" si="11"/>
        <v>91.4</v>
      </c>
      <c r="BU9" s="403">
        <f t="shared" si="11"/>
        <v>96.8</v>
      </c>
      <c r="BV9" s="403">
        <f t="shared" si="11"/>
        <v>108.6</v>
      </c>
      <c r="BW9" s="403">
        <f t="shared" si="11"/>
        <v>115.2</v>
      </c>
      <c r="BX9" s="403">
        <f t="shared" si="11"/>
        <v>125.5</v>
      </c>
      <c r="BY9" s="403">
        <f t="shared" si="11"/>
        <v>136.30000000000001</v>
      </c>
      <c r="BZ9" s="403">
        <f t="shared" si="11"/>
        <v>140.30000000000001</v>
      </c>
      <c r="CA9" s="403">
        <f t="shared" si="11"/>
        <v>136.4</v>
      </c>
      <c r="CB9" s="403">
        <f t="shared" si="11"/>
        <v>130.9</v>
      </c>
      <c r="CC9" s="403">
        <f t="shared" si="11"/>
        <v>162.80000000000001</v>
      </c>
      <c r="CD9" s="403">
        <f t="shared" si="11"/>
        <v>173.7</v>
      </c>
    </row>
    <row r="10" spans="1:82" s="673" customFormat="1"/>
    <row r="11" spans="1:82" s="673" customFormat="1">
      <c r="A11" s="9" t="s">
        <v>1018</v>
      </c>
    </row>
    <row r="12" spans="1:82" s="673" customFormat="1">
      <c r="B12" s="673" t="s">
        <v>1013</v>
      </c>
      <c r="C12" s="282">
        <f>C6/C$5</f>
        <v>0.1234567901234568</v>
      </c>
      <c r="D12" s="282">
        <f t="shared" ref="D12:BO13" si="12">D6/D$5</f>
        <v>0.108843537414966</v>
      </c>
      <c r="E12" s="282">
        <f t="shared" si="12"/>
        <v>0.1891891891891892</v>
      </c>
      <c r="F12" s="282">
        <f t="shared" si="12"/>
        <v>0.41884816753926707</v>
      </c>
      <c r="G12" s="282">
        <f t="shared" si="12"/>
        <v>0.42569269521410574</v>
      </c>
      <c r="H12" s="282">
        <f t="shared" si="12"/>
        <v>0.45365853658536587</v>
      </c>
      <c r="I12" s="282">
        <f t="shared" si="12"/>
        <v>0.41836734693877542</v>
      </c>
      <c r="J12" s="282">
        <f t="shared" si="12"/>
        <v>0.4423529411764705</v>
      </c>
      <c r="K12" s="282">
        <f t="shared" si="12"/>
        <v>0.43198090692124108</v>
      </c>
      <c r="L12" s="282">
        <f t="shared" si="12"/>
        <v>0.41176470588235298</v>
      </c>
      <c r="M12" s="282">
        <f t="shared" si="12"/>
        <v>0.35950413223140487</v>
      </c>
      <c r="N12" s="282">
        <f t="shared" si="12"/>
        <v>0.4070512820512821</v>
      </c>
      <c r="O12" s="282">
        <f t="shared" si="12"/>
        <v>0.4631901840490798</v>
      </c>
      <c r="P12" s="282">
        <f t="shared" si="12"/>
        <v>0.46097201767304857</v>
      </c>
      <c r="Q12" s="282">
        <f t="shared" si="12"/>
        <v>0.45322580645161292</v>
      </c>
      <c r="R12" s="282">
        <f t="shared" si="12"/>
        <v>0.43262411347517732</v>
      </c>
      <c r="S12" s="282">
        <f t="shared" si="12"/>
        <v>0.45199999999999996</v>
      </c>
      <c r="T12" s="282">
        <f t="shared" si="12"/>
        <v>0.45918367346938771</v>
      </c>
      <c r="U12" s="282">
        <f t="shared" si="12"/>
        <v>0.47270306258322242</v>
      </c>
      <c r="V12" s="282">
        <f t="shared" si="12"/>
        <v>0.44924154025670943</v>
      </c>
      <c r="W12" s="282">
        <f t="shared" si="12"/>
        <v>0.45683060109289614</v>
      </c>
      <c r="X12" s="282">
        <f t="shared" si="12"/>
        <v>0.45815450643776828</v>
      </c>
      <c r="Y12" s="282">
        <f t="shared" si="12"/>
        <v>0.46085232903865214</v>
      </c>
      <c r="Z12" s="282">
        <f t="shared" si="12"/>
        <v>0.45253456221198157</v>
      </c>
      <c r="AA12" s="282">
        <f t="shared" si="12"/>
        <v>0.42711234911792006</v>
      </c>
      <c r="AB12" s="282">
        <f t="shared" si="12"/>
        <v>0.43749999999999994</v>
      </c>
      <c r="AC12" s="282">
        <f t="shared" si="12"/>
        <v>0.43960990247561899</v>
      </c>
      <c r="AD12" s="282">
        <f t="shared" si="12"/>
        <v>0.45448129851799585</v>
      </c>
      <c r="AE12" s="282">
        <f t="shared" si="12"/>
        <v>0.46387370977534909</v>
      </c>
      <c r="AF12" s="282">
        <f t="shared" si="12"/>
        <v>0.49407327586206889</v>
      </c>
      <c r="AG12" s="282">
        <f t="shared" si="12"/>
        <v>0.4955406911928652</v>
      </c>
      <c r="AH12" s="282">
        <f t="shared" si="12"/>
        <v>0.46403461330448886</v>
      </c>
      <c r="AI12" s="282">
        <f t="shared" si="12"/>
        <v>0.48353715898400751</v>
      </c>
      <c r="AJ12" s="282">
        <f t="shared" si="12"/>
        <v>0.45233182005777955</v>
      </c>
      <c r="AK12" s="282">
        <f t="shared" si="12"/>
        <v>0.46903967371153132</v>
      </c>
      <c r="AL12" s="282">
        <f t="shared" si="12"/>
        <v>0.44953445065176911</v>
      </c>
      <c r="AM12" s="282">
        <f t="shared" si="12"/>
        <v>0.45559845559845563</v>
      </c>
      <c r="AN12" s="282">
        <f t="shared" si="12"/>
        <v>0.46269931662870162</v>
      </c>
      <c r="AO12" s="282">
        <f t="shared" si="12"/>
        <v>0.4650934119960668</v>
      </c>
      <c r="AP12" s="282">
        <f t="shared" si="12"/>
        <v>0.48407232027550584</v>
      </c>
      <c r="AQ12" s="282">
        <f t="shared" si="12"/>
        <v>0.49574678536102867</v>
      </c>
      <c r="AR12" s="282">
        <f t="shared" si="12"/>
        <v>0.49811837153609301</v>
      </c>
      <c r="AS12" s="282">
        <f t="shared" si="12"/>
        <v>0.51381887710759611</v>
      </c>
      <c r="AT12" s="282">
        <f t="shared" si="12"/>
        <v>0.47792034660889854</v>
      </c>
      <c r="AU12" s="282">
        <f t="shared" si="12"/>
        <v>0.4565940713853599</v>
      </c>
      <c r="AV12" s="282">
        <f t="shared" si="12"/>
        <v>0.46892419175027872</v>
      </c>
      <c r="AW12" s="282">
        <f t="shared" si="12"/>
        <v>0.46265505410398522</v>
      </c>
      <c r="AX12" s="282">
        <f t="shared" si="12"/>
        <v>0.46774577481552015</v>
      </c>
      <c r="AY12" s="282">
        <f t="shared" si="12"/>
        <v>0.44841754580788451</v>
      </c>
      <c r="AZ12" s="282">
        <f t="shared" si="12"/>
        <v>0.464860982866523</v>
      </c>
      <c r="BA12" s="282">
        <f t="shared" si="12"/>
        <v>0.46393474842767296</v>
      </c>
      <c r="BB12" s="282">
        <f t="shared" si="12"/>
        <v>0.44870305845915603</v>
      </c>
      <c r="BC12" s="282">
        <f t="shared" si="12"/>
        <v>0.440254471694634</v>
      </c>
      <c r="BD12" s="282">
        <f t="shared" si="12"/>
        <v>0.43771014742650222</v>
      </c>
      <c r="BE12" s="282">
        <f t="shared" si="12"/>
        <v>0.43465433378518464</v>
      </c>
      <c r="BF12" s="282">
        <f t="shared" si="12"/>
        <v>0.44019388516032809</v>
      </c>
      <c r="BG12" s="282">
        <f t="shared" si="12"/>
        <v>0.45957095709570955</v>
      </c>
      <c r="BH12" s="282">
        <f t="shared" si="12"/>
        <v>0.47267225619365827</v>
      </c>
      <c r="BI12" s="282">
        <f t="shared" si="12"/>
        <v>0.48782205528493455</v>
      </c>
      <c r="BJ12" s="282">
        <f t="shared" si="12"/>
        <v>0.4931040167042145</v>
      </c>
      <c r="BK12" s="282">
        <f t="shared" si="12"/>
        <v>0.50587044534412962</v>
      </c>
      <c r="BL12" s="282">
        <f t="shared" si="12"/>
        <v>0.51382583574081719</v>
      </c>
      <c r="BM12" s="282">
        <f t="shared" si="12"/>
        <v>0.46737421383647798</v>
      </c>
      <c r="BN12" s="282">
        <f t="shared" si="12"/>
        <v>0.43159645232815969</v>
      </c>
      <c r="BO12" s="282">
        <f t="shared" si="12"/>
        <v>0.41496563485091209</v>
      </c>
      <c r="BP12" s="282">
        <f t="shared" ref="BP12:CD15" si="13">BP6/BP$5</f>
        <v>0.42507256894049344</v>
      </c>
      <c r="BQ12" s="282">
        <f t="shared" si="13"/>
        <v>0.43590272903678629</v>
      </c>
      <c r="BR12" s="282">
        <f t="shared" si="13"/>
        <v>0.46165674407601631</v>
      </c>
      <c r="BS12" s="282">
        <f t="shared" si="13"/>
        <v>0.48175899766613428</v>
      </c>
      <c r="BT12" s="282">
        <f t="shared" si="13"/>
        <v>0.42135459717022411</v>
      </c>
      <c r="BU12" s="282">
        <f t="shared" si="13"/>
        <v>0.4239374606882918</v>
      </c>
      <c r="BV12" s="282">
        <f t="shared" si="13"/>
        <v>0.47870629074591486</v>
      </c>
      <c r="BW12" s="282">
        <f t="shared" si="13"/>
        <v>0.46850899742930607</v>
      </c>
      <c r="BX12" s="282">
        <f t="shared" si="13"/>
        <v>0.46310513968863298</v>
      </c>
      <c r="BY12" s="282">
        <f t="shared" si="13"/>
        <v>0.46566480891719747</v>
      </c>
      <c r="BZ12" s="282">
        <f t="shared" si="13"/>
        <v>0.48081568627450977</v>
      </c>
      <c r="CA12" s="282">
        <f t="shared" si="13"/>
        <v>0.48143310319089383</v>
      </c>
      <c r="CB12" s="282">
        <f t="shared" si="13"/>
        <v>0.4938671886948276</v>
      </c>
      <c r="CC12" s="282">
        <f t="shared" si="13"/>
        <v>0.48567739610857552</v>
      </c>
      <c r="CD12" s="282">
        <f t="shared" si="13"/>
        <v>0.4892747993487761</v>
      </c>
    </row>
    <row r="13" spans="1:82" s="673" customFormat="1">
      <c r="B13" s="673" t="s">
        <v>231</v>
      </c>
      <c r="C13" s="282">
        <f>C7/C$5</f>
        <v>0.23456790123456789</v>
      </c>
      <c r="D13" s="282">
        <f t="shared" ref="D13:R13" si="14">D7/D$5</f>
        <v>0.15646258503401361</v>
      </c>
      <c r="E13" s="282">
        <f t="shared" si="14"/>
        <v>0.13063063063063063</v>
      </c>
      <c r="F13" s="282">
        <f t="shared" si="14"/>
        <v>9.9476439790575924E-2</v>
      </c>
      <c r="G13" s="282">
        <f t="shared" si="14"/>
        <v>0.10831234256926951</v>
      </c>
      <c r="H13" s="282">
        <f t="shared" si="14"/>
        <v>0.12926829268292683</v>
      </c>
      <c r="I13" s="282">
        <f t="shared" si="14"/>
        <v>0.16581632653061223</v>
      </c>
      <c r="J13" s="282">
        <f t="shared" si="14"/>
        <v>0.12705882352941175</v>
      </c>
      <c r="K13" s="282">
        <f t="shared" si="14"/>
        <v>0.10501193317422436</v>
      </c>
      <c r="L13" s="282">
        <f t="shared" si="14"/>
        <v>0.12566844919786097</v>
      </c>
      <c r="M13" s="282">
        <f t="shared" si="14"/>
        <v>0.10950413223140494</v>
      </c>
      <c r="N13" s="282">
        <f t="shared" si="14"/>
        <v>0.10256410256410259</v>
      </c>
      <c r="O13" s="282">
        <f t="shared" si="14"/>
        <v>0.10122699386503069</v>
      </c>
      <c r="P13" s="282">
        <f t="shared" si="14"/>
        <v>0.10014727540500735</v>
      </c>
      <c r="Q13" s="282">
        <f t="shared" si="14"/>
        <v>0.12580645161290321</v>
      </c>
      <c r="R13" s="282">
        <f t="shared" si="14"/>
        <v>0.12482269503546101</v>
      </c>
      <c r="S13" s="282">
        <f t="shared" si="12"/>
        <v>0.128</v>
      </c>
      <c r="T13" s="282">
        <f t="shared" si="12"/>
        <v>0.14030612244897958</v>
      </c>
      <c r="U13" s="282">
        <f t="shared" si="12"/>
        <v>0.14647137150466047</v>
      </c>
      <c r="V13" s="282">
        <f t="shared" si="12"/>
        <v>0.15635939323220538</v>
      </c>
      <c r="W13" s="282">
        <f t="shared" si="12"/>
        <v>0.17486338797814208</v>
      </c>
      <c r="X13" s="282">
        <f t="shared" si="12"/>
        <v>0.17703862660944206</v>
      </c>
      <c r="Y13" s="282">
        <f t="shared" si="12"/>
        <v>0.18434093161546089</v>
      </c>
      <c r="Z13" s="282">
        <f t="shared" si="12"/>
        <v>0.19354838709677419</v>
      </c>
      <c r="AA13" s="282">
        <f t="shared" si="12"/>
        <v>0.2014856081708449</v>
      </c>
      <c r="AB13" s="282">
        <f t="shared" si="12"/>
        <v>0.19434931506849312</v>
      </c>
      <c r="AC13" s="282">
        <f t="shared" si="12"/>
        <v>0.22880720180045014</v>
      </c>
      <c r="AD13" s="282">
        <f t="shared" si="12"/>
        <v>0.23994354269583629</v>
      </c>
      <c r="AE13" s="282">
        <f t="shared" si="12"/>
        <v>0.22950819672131142</v>
      </c>
      <c r="AF13" s="282">
        <f t="shared" si="12"/>
        <v>0.23221982758620688</v>
      </c>
      <c r="AG13" s="282">
        <f t="shared" si="12"/>
        <v>0.25250836120401338</v>
      </c>
      <c r="AH13" s="282">
        <f t="shared" si="12"/>
        <v>0.27041644131963222</v>
      </c>
      <c r="AI13" s="282">
        <f t="shared" si="12"/>
        <v>0.27234242709313267</v>
      </c>
      <c r="AJ13" s="282">
        <f t="shared" si="12"/>
        <v>0.30540652084193148</v>
      </c>
      <c r="AK13" s="282">
        <f t="shared" si="12"/>
        <v>0.3096032628846867</v>
      </c>
      <c r="AL13" s="282">
        <f t="shared" si="12"/>
        <v>0.32588454376163872</v>
      </c>
      <c r="AM13" s="282">
        <f t="shared" si="12"/>
        <v>0.31885456885456886</v>
      </c>
      <c r="AN13" s="282">
        <f t="shared" si="12"/>
        <v>0.31406605922551251</v>
      </c>
      <c r="AO13" s="282">
        <f t="shared" si="12"/>
        <v>0.31440511307767943</v>
      </c>
      <c r="AP13" s="282">
        <f t="shared" si="12"/>
        <v>0.32049074472664663</v>
      </c>
      <c r="AQ13" s="282">
        <f t="shared" si="12"/>
        <v>0.32166172106824925</v>
      </c>
      <c r="AR13" s="282">
        <f t="shared" si="12"/>
        <v>0.32808758125213822</v>
      </c>
      <c r="AS13" s="282">
        <f t="shared" si="12"/>
        <v>0.35616200243351298</v>
      </c>
      <c r="AT13" s="282">
        <f t="shared" si="12"/>
        <v>0.36960506582236297</v>
      </c>
      <c r="AU13" s="282">
        <f t="shared" si="12"/>
        <v>0.38233514821536602</v>
      </c>
      <c r="AV13" s="282">
        <f t="shared" si="12"/>
        <v>0.38531215161649945</v>
      </c>
      <c r="AW13" s="282">
        <f t="shared" si="12"/>
        <v>0.39258379519662179</v>
      </c>
      <c r="AX13" s="282">
        <f t="shared" si="12"/>
        <v>0.3759819090692692</v>
      </c>
      <c r="AY13" s="282">
        <f t="shared" si="12"/>
        <v>0.39211549139367019</v>
      </c>
      <c r="AZ13" s="282">
        <f t="shared" si="12"/>
        <v>0.3860675079511644</v>
      </c>
      <c r="BA13" s="282">
        <f t="shared" si="12"/>
        <v>0.3931800314465409</v>
      </c>
      <c r="BB13" s="282">
        <f t="shared" si="12"/>
        <v>0.40514905149051489</v>
      </c>
      <c r="BC13" s="282">
        <f t="shared" si="12"/>
        <v>0.40733911119306659</v>
      </c>
      <c r="BD13" s="282">
        <f t="shared" si="12"/>
        <v>0.3994309854297784</v>
      </c>
      <c r="BE13" s="282">
        <f t="shared" si="12"/>
        <v>0.39366876644605697</v>
      </c>
      <c r="BF13" s="282">
        <f t="shared" si="12"/>
        <v>0.38717375093214024</v>
      </c>
      <c r="BG13" s="282">
        <f t="shared" si="12"/>
        <v>0.37307480748074806</v>
      </c>
      <c r="BH13" s="282">
        <f t="shared" si="12"/>
        <v>0.36336128096829107</v>
      </c>
      <c r="BI13" s="282">
        <f t="shared" si="12"/>
        <v>0.36052585245613</v>
      </c>
      <c r="BJ13" s="282">
        <f t="shared" si="12"/>
        <v>0.35798670256607507</v>
      </c>
      <c r="BK13" s="282">
        <f t="shared" si="12"/>
        <v>0.35172064777327938</v>
      </c>
      <c r="BL13" s="282">
        <f t="shared" si="12"/>
        <v>0.37118241848947586</v>
      </c>
      <c r="BM13" s="282">
        <f t="shared" si="12"/>
        <v>0.4131289308176101</v>
      </c>
      <c r="BN13" s="282">
        <f t="shared" si="12"/>
        <v>0.42095343680709535</v>
      </c>
      <c r="BO13" s="282">
        <f t="shared" si="12"/>
        <v>0.41579246550565863</v>
      </c>
      <c r="BP13" s="282">
        <f t="shared" si="13"/>
        <v>0.38493287373004353</v>
      </c>
      <c r="BQ13" s="282">
        <f t="shared" si="13"/>
        <v>0.37203253375170309</v>
      </c>
      <c r="BR13" s="282">
        <f t="shared" si="13"/>
        <v>0.3716437329968853</v>
      </c>
      <c r="BS13" s="282">
        <f t="shared" si="13"/>
        <v>0.39704377021659909</v>
      </c>
      <c r="BT13" s="282">
        <f t="shared" si="13"/>
        <v>0.45981426557106042</v>
      </c>
      <c r="BU13" s="282">
        <f t="shared" si="13"/>
        <v>0.43400125797466077</v>
      </c>
      <c r="BV13" s="282">
        <f t="shared" si="13"/>
        <v>0.38049276098552198</v>
      </c>
      <c r="BW13" s="282">
        <f t="shared" si="13"/>
        <v>0.37487949871465304</v>
      </c>
      <c r="BX13" s="282">
        <f t="shared" si="13"/>
        <v>0.38622307528257621</v>
      </c>
      <c r="BY13" s="282">
        <f t="shared" si="13"/>
        <v>0.37645966029723987</v>
      </c>
      <c r="BZ13" s="282">
        <f t="shared" si="13"/>
        <v>0.37192156862745096</v>
      </c>
      <c r="CA13" s="282">
        <f t="shared" si="13"/>
        <v>0.37914411892766059</v>
      </c>
      <c r="CB13" s="282">
        <f t="shared" si="13"/>
        <v>0.39103171932829656</v>
      </c>
      <c r="CC13" s="282">
        <f t="shared" si="13"/>
        <v>0.40220393946673072</v>
      </c>
      <c r="CD13" s="282">
        <f t="shared" si="13"/>
        <v>0.39904601410985119</v>
      </c>
    </row>
    <row r="14" spans="1:82" s="673" customFormat="1">
      <c r="B14" s="673" t="s">
        <v>1014</v>
      </c>
      <c r="C14" s="282">
        <f>C8/C$5</f>
        <v>0.32098765432098769</v>
      </c>
      <c r="D14" s="282">
        <f t="shared" ref="D14:BO15" si="15">D8/D$5</f>
        <v>0.49659863945578231</v>
      </c>
      <c r="E14" s="282">
        <f t="shared" si="15"/>
        <v>0.5</v>
      </c>
      <c r="F14" s="282">
        <f t="shared" si="15"/>
        <v>0.35602094240837701</v>
      </c>
      <c r="G14" s="282">
        <f t="shared" si="15"/>
        <v>0.31486146095717882</v>
      </c>
      <c r="H14" s="282">
        <f t="shared" si="15"/>
        <v>0.24878048780487802</v>
      </c>
      <c r="I14" s="282">
        <f t="shared" si="15"/>
        <v>0.21938775510204078</v>
      </c>
      <c r="J14" s="282">
        <f t="shared" si="15"/>
        <v>0.24941176470588231</v>
      </c>
      <c r="K14" s="282">
        <f t="shared" si="15"/>
        <v>0.27684964200477324</v>
      </c>
      <c r="L14" s="282">
        <f t="shared" si="15"/>
        <v>0.25133689839572193</v>
      </c>
      <c r="M14" s="282">
        <f t="shared" si="15"/>
        <v>0.35123966942148754</v>
      </c>
      <c r="N14" s="282">
        <f t="shared" si="15"/>
        <v>0.34294871794871795</v>
      </c>
      <c r="O14" s="282">
        <f t="shared" si="15"/>
        <v>0.28067484662576692</v>
      </c>
      <c r="P14" s="282">
        <f t="shared" si="15"/>
        <v>0.2812960235640648</v>
      </c>
      <c r="Q14" s="282">
        <f t="shared" si="15"/>
        <v>0.26774193548387099</v>
      </c>
      <c r="R14" s="282">
        <f t="shared" si="15"/>
        <v>0.29503546099290784</v>
      </c>
      <c r="S14" s="282">
        <f t="shared" si="15"/>
        <v>0.27333333333333332</v>
      </c>
      <c r="T14" s="282">
        <f t="shared" si="15"/>
        <v>0.25382653061224486</v>
      </c>
      <c r="U14" s="282">
        <f t="shared" si="15"/>
        <v>0.23169107856191745</v>
      </c>
      <c r="V14" s="282">
        <f t="shared" si="15"/>
        <v>0.25204200700116686</v>
      </c>
      <c r="W14" s="282">
        <f t="shared" si="15"/>
        <v>0.22513661202185795</v>
      </c>
      <c r="X14" s="282">
        <f t="shared" si="15"/>
        <v>0.22317596566523606</v>
      </c>
      <c r="Y14" s="282">
        <f t="shared" si="15"/>
        <v>0.21506442021803768</v>
      </c>
      <c r="Z14" s="282">
        <f t="shared" si="15"/>
        <v>0.21843317972350229</v>
      </c>
      <c r="AA14" s="282">
        <f t="shared" si="15"/>
        <v>0.22841225626740944</v>
      </c>
      <c r="AB14" s="282">
        <f t="shared" si="15"/>
        <v>0.2363013698630137</v>
      </c>
      <c r="AC14" s="282">
        <f t="shared" si="15"/>
        <v>0.2235558889722431</v>
      </c>
      <c r="AD14" s="282">
        <f t="shared" si="15"/>
        <v>0.19830628087508825</v>
      </c>
      <c r="AE14" s="282">
        <f t="shared" si="15"/>
        <v>0.20400728597449908</v>
      </c>
      <c r="AF14" s="282">
        <f t="shared" si="15"/>
        <v>0.17780172413793102</v>
      </c>
      <c r="AG14" s="282">
        <f t="shared" si="15"/>
        <v>0.15105908584169456</v>
      </c>
      <c r="AH14" s="282">
        <f t="shared" si="15"/>
        <v>0.16279069767441862</v>
      </c>
      <c r="AI14" s="282">
        <f t="shared" si="15"/>
        <v>0.15710253998118531</v>
      </c>
      <c r="AJ14" s="282">
        <f t="shared" si="15"/>
        <v>0.16054477919933965</v>
      </c>
      <c r="AK14" s="282">
        <f t="shared" si="15"/>
        <v>0.14682981090100111</v>
      </c>
      <c r="AL14" s="282">
        <f t="shared" si="15"/>
        <v>0.14227188081936687</v>
      </c>
      <c r="AM14" s="282">
        <f t="shared" si="15"/>
        <v>0.15669240669240672</v>
      </c>
      <c r="AN14" s="282">
        <f t="shared" si="15"/>
        <v>0.15859908883826881</v>
      </c>
      <c r="AO14" s="282">
        <f t="shared" si="15"/>
        <v>0.15830875122910523</v>
      </c>
      <c r="AP14" s="282">
        <f t="shared" si="15"/>
        <v>0.14012053379250969</v>
      </c>
      <c r="AQ14" s="282">
        <f t="shared" si="15"/>
        <v>0.11592482690405539</v>
      </c>
      <c r="AR14" s="282">
        <f t="shared" si="15"/>
        <v>8.8436537803626411E-2</v>
      </c>
      <c r="AS14" s="282">
        <f t="shared" si="15"/>
        <v>5.8751955501477493E-2</v>
      </c>
      <c r="AT14" s="282">
        <f t="shared" si="15"/>
        <v>7.848691884685885E-2</v>
      </c>
      <c r="AU14" s="282">
        <f t="shared" si="15"/>
        <v>8.9534180278281916E-2</v>
      </c>
      <c r="AV14" s="282">
        <f t="shared" si="15"/>
        <v>8.1521739130434784E-2</v>
      </c>
      <c r="AW14" s="282">
        <f t="shared" si="15"/>
        <v>8.7094220110847179E-2</v>
      </c>
      <c r="AX14" s="282">
        <f t="shared" si="15"/>
        <v>0.10164246607950489</v>
      </c>
      <c r="AY14" s="282">
        <f t="shared" si="15"/>
        <v>0.10416435313714603</v>
      </c>
      <c r="AZ14" s="282">
        <f t="shared" si="15"/>
        <v>9.8081460962347364E-2</v>
      </c>
      <c r="BA14" s="282">
        <f t="shared" si="15"/>
        <v>9.2865566037735853E-2</v>
      </c>
      <c r="BB14" s="282">
        <f t="shared" si="15"/>
        <v>8.6333720480061937E-2</v>
      </c>
      <c r="BC14" s="282">
        <f t="shared" si="15"/>
        <v>9.4043887147335428E-2</v>
      </c>
      <c r="BD14" s="282">
        <f t="shared" si="15"/>
        <v>0.10561255280627639</v>
      </c>
      <c r="BE14" s="282">
        <f t="shared" si="15"/>
        <v>0.10868351806076072</v>
      </c>
      <c r="BF14" s="282">
        <f t="shared" si="15"/>
        <v>0.1162565249813572</v>
      </c>
      <c r="BG14" s="282">
        <f t="shared" si="15"/>
        <v>0.11723047304730472</v>
      </c>
      <c r="BH14" s="282">
        <f t="shared" si="15"/>
        <v>0.11492151547626556</v>
      </c>
      <c r="BI14" s="282">
        <f t="shared" si="15"/>
        <v>0.1042901578731146</v>
      </c>
      <c r="BJ14" s="282">
        <f t="shared" si="15"/>
        <v>0.10308258695532721</v>
      </c>
      <c r="BK14" s="282">
        <f t="shared" si="15"/>
        <v>9.8228744939271265E-2</v>
      </c>
      <c r="BL14" s="282">
        <f t="shared" si="15"/>
        <v>7.0986380520016504E-2</v>
      </c>
      <c r="BM14" s="282">
        <f t="shared" si="15"/>
        <v>7.0754716981132074E-2</v>
      </c>
      <c r="BN14" s="282">
        <f t="shared" si="15"/>
        <v>9.7450110864745018E-2</v>
      </c>
      <c r="BO14" s="282">
        <f t="shared" si="15"/>
        <v>0.11999379877008941</v>
      </c>
      <c r="BP14" s="282">
        <f t="shared" si="13"/>
        <v>0.14491110304789548</v>
      </c>
      <c r="BQ14" s="282">
        <f t="shared" si="13"/>
        <v>0.1511085421741464</v>
      </c>
      <c r="BR14" s="282">
        <f t="shared" si="13"/>
        <v>0.12940109608484801</v>
      </c>
      <c r="BS14" s="282">
        <f t="shared" si="13"/>
        <v>8.2708921917864303E-2</v>
      </c>
      <c r="BT14" s="282">
        <f t="shared" si="13"/>
        <v>7.4391014732338195E-2</v>
      </c>
      <c r="BU14" s="282">
        <f t="shared" si="13"/>
        <v>9.8571300206667253E-2</v>
      </c>
      <c r="BV14" s="282">
        <f t="shared" si="13"/>
        <v>9.4826856320379321E-2</v>
      </c>
      <c r="BW14" s="282">
        <f t="shared" si="13"/>
        <v>0.11033901028277637</v>
      </c>
      <c r="BX14" s="282">
        <f t="shared" si="13"/>
        <v>0.10606383734982582</v>
      </c>
      <c r="BY14" s="282">
        <f t="shared" si="13"/>
        <v>0.11265923566878981</v>
      </c>
      <c r="BZ14" s="282">
        <f t="shared" si="13"/>
        <v>0.10324705882352941</v>
      </c>
      <c r="CA14" s="282">
        <f t="shared" si="13"/>
        <v>9.7001928220439126E-2</v>
      </c>
      <c r="CB14" s="282">
        <f t="shared" si="13"/>
        <v>7.5061939864802862E-2</v>
      </c>
      <c r="CC14" s="282">
        <f t="shared" si="13"/>
        <v>6.3235647369685316E-2</v>
      </c>
      <c r="CD14" s="282">
        <f t="shared" si="13"/>
        <v>6.2066207763274407E-2</v>
      </c>
    </row>
    <row r="15" spans="1:82" s="673" customFormat="1">
      <c r="B15" s="673" t="s">
        <v>1015</v>
      </c>
      <c r="C15" s="282">
        <f>C9/C$5</f>
        <v>0.32098765432098769</v>
      </c>
      <c r="D15" s="282">
        <f t="shared" si="15"/>
        <v>0.23809523809523811</v>
      </c>
      <c r="E15" s="282">
        <f t="shared" si="15"/>
        <v>0.1801801801801802</v>
      </c>
      <c r="F15" s="282">
        <f t="shared" si="15"/>
        <v>0.12565445026178013</v>
      </c>
      <c r="G15" s="282">
        <f t="shared" si="15"/>
        <v>0.15113350125944583</v>
      </c>
      <c r="H15" s="282">
        <f t="shared" si="15"/>
        <v>0.16829268292682928</v>
      </c>
      <c r="I15" s="282">
        <f t="shared" si="15"/>
        <v>0.19642857142857142</v>
      </c>
      <c r="J15" s="282">
        <f t="shared" si="15"/>
        <v>0.18117647058823527</v>
      </c>
      <c r="K15" s="282">
        <f t="shared" si="15"/>
        <v>0.18615751789976134</v>
      </c>
      <c r="L15" s="282">
        <f t="shared" si="15"/>
        <v>0.21122994652406418</v>
      </c>
      <c r="M15" s="282">
        <f t="shared" si="15"/>
        <v>0.17975206611570244</v>
      </c>
      <c r="N15" s="282">
        <f t="shared" si="15"/>
        <v>0.14743589743589744</v>
      </c>
      <c r="O15" s="282">
        <f t="shared" si="15"/>
        <v>0.15490797546012272</v>
      </c>
      <c r="P15" s="282">
        <f t="shared" si="15"/>
        <v>0.1575846833578792</v>
      </c>
      <c r="Q15" s="282">
        <f t="shared" si="15"/>
        <v>0.15322580645161291</v>
      </c>
      <c r="R15" s="282">
        <f t="shared" si="15"/>
        <v>0.14751773049645392</v>
      </c>
      <c r="S15" s="282">
        <f t="shared" si="15"/>
        <v>0.14666666666666667</v>
      </c>
      <c r="T15" s="282">
        <f t="shared" si="15"/>
        <v>0.14668367346938774</v>
      </c>
      <c r="U15" s="282">
        <f t="shared" si="15"/>
        <v>0.14913448735019974</v>
      </c>
      <c r="V15" s="282">
        <f t="shared" si="15"/>
        <v>0.14235705950991831</v>
      </c>
      <c r="W15" s="282">
        <f t="shared" si="15"/>
        <v>0.14316939890710381</v>
      </c>
      <c r="X15" s="282">
        <f t="shared" si="15"/>
        <v>0.14163090128755362</v>
      </c>
      <c r="Y15" s="282">
        <f t="shared" si="15"/>
        <v>0.13974231912784937</v>
      </c>
      <c r="Z15" s="282">
        <f t="shared" si="15"/>
        <v>0.13548387096774192</v>
      </c>
      <c r="AA15" s="282">
        <f t="shared" si="15"/>
        <v>0.14298978644382543</v>
      </c>
      <c r="AB15" s="282">
        <f t="shared" si="15"/>
        <v>0.13184931506849315</v>
      </c>
      <c r="AC15" s="282">
        <f t="shared" si="15"/>
        <v>0.10802700675168794</v>
      </c>
      <c r="AD15" s="282">
        <f t="shared" si="15"/>
        <v>0.10726887791107975</v>
      </c>
      <c r="AE15" s="282">
        <f t="shared" si="15"/>
        <v>0.1026108075288403</v>
      </c>
      <c r="AF15" s="282">
        <f t="shared" si="15"/>
        <v>9.5905172413793094E-2</v>
      </c>
      <c r="AG15" s="282">
        <f t="shared" si="15"/>
        <v>0.100891861761427</v>
      </c>
      <c r="AH15" s="282">
        <f t="shared" si="15"/>
        <v>0.10275824770146025</v>
      </c>
      <c r="AI15" s="282">
        <f t="shared" si="15"/>
        <v>8.7017873941674512E-2</v>
      </c>
      <c r="AJ15" s="282">
        <f t="shared" si="15"/>
        <v>8.1716879900949238E-2</v>
      </c>
      <c r="AK15" s="282">
        <f t="shared" si="15"/>
        <v>7.4527252502780875E-2</v>
      </c>
      <c r="AL15" s="282">
        <f t="shared" si="15"/>
        <v>8.2309124767225336E-2</v>
      </c>
      <c r="AM15" s="282">
        <f t="shared" si="15"/>
        <v>6.8854568854568865E-2</v>
      </c>
      <c r="AN15" s="282">
        <f t="shared" si="15"/>
        <v>6.4635535307517089E-2</v>
      </c>
      <c r="AO15" s="282">
        <f t="shared" si="15"/>
        <v>6.2192723697148476E-2</v>
      </c>
      <c r="AP15" s="282">
        <f t="shared" si="15"/>
        <v>5.5316401205337928E-2</v>
      </c>
      <c r="AQ15" s="282">
        <f t="shared" si="15"/>
        <v>6.6666666666666666E-2</v>
      </c>
      <c r="AR15" s="282">
        <f t="shared" si="15"/>
        <v>8.535750940814231E-2</v>
      </c>
      <c r="AS15" s="282">
        <f t="shared" si="15"/>
        <v>7.1267164957413531E-2</v>
      </c>
      <c r="AT15" s="282">
        <f t="shared" si="15"/>
        <v>7.3987668721879687E-2</v>
      </c>
      <c r="AU15" s="282">
        <f t="shared" si="15"/>
        <v>7.1536600120992125E-2</v>
      </c>
      <c r="AV15" s="282">
        <f t="shared" si="15"/>
        <v>6.4241917502787071E-2</v>
      </c>
      <c r="AW15" s="282">
        <f t="shared" si="15"/>
        <v>5.7666930588545787E-2</v>
      </c>
      <c r="AX15" s="282">
        <f t="shared" si="15"/>
        <v>5.4629850035705786E-2</v>
      </c>
      <c r="AY15" s="282">
        <f t="shared" si="15"/>
        <v>5.5302609661299275E-2</v>
      </c>
      <c r="AZ15" s="282">
        <f t="shared" si="15"/>
        <v>5.0990048219965112E-2</v>
      </c>
      <c r="BA15" s="282">
        <f t="shared" si="15"/>
        <v>5.0019654088050314E-2</v>
      </c>
      <c r="BB15" s="282">
        <f t="shared" si="15"/>
        <v>5.9814169570267126E-2</v>
      </c>
      <c r="BC15" s="282">
        <f t="shared" si="15"/>
        <v>5.8362529964964042E-2</v>
      </c>
      <c r="BD15" s="282">
        <f t="shared" si="15"/>
        <v>5.7246314337442886E-2</v>
      </c>
      <c r="BE15" s="282">
        <f t="shared" si="15"/>
        <v>6.2993381707997773E-2</v>
      </c>
      <c r="BF15" s="282">
        <f t="shared" si="15"/>
        <v>5.6375838926174496E-2</v>
      </c>
      <c r="BG15" s="282">
        <f t="shared" si="15"/>
        <v>5.0123762376237627E-2</v>
      </c>
      <c r="BH15" s="282">
        <f t="shared" si="15"/>
        <v>4.9044947361785295E-2</v>
      </c>
      <c r="BI15" s="282">
        <f t="shared" si="15"/>
        <v>4.7361934385820766E-2</v>
      </c>
      <c r="BJ15" s="282">
        <f t="shared" si="15"/>
        <v>4.5826693774383212E-2</v>
      </c>
      <c r="BK15" s="282">
        <f t="shared" si="15"/>
        <v>4.4180161943319841E-2</v>
      </c>
      <c r="BL15" s="282">
        <f t="shared" si="15"/>
        <v>4.4005365249690467E-2</v>
      </c>
      <c r="BM15" s="282">
        <f t="shared" si="15"/>
        <v>4.8742138364779877E-2</v>
      </c>
      <c r="BN15" s="282">
        <f t="shared" si="15"/>
        <v>0.05</v>
      </c>
      <c r="BO15" s="282">
        <f t="shared" si="15"/>
        <v>4.9248100873339883E-2</v>
      </c>
      <c r="BP15" s="282">
        <f t="shared" si="13"/>
        <v>4.5083454281567487E-2</v>
      </c>
      <c r="BQ15" s="282">
        <f t="shared" si="13"/>
        <v>4.0956195037364272E-2</v>
      </c>
      <c r="BR15" s="282">
        <f t="shared" si="13"/>
        <v>3.7298426842250522E-2</v>
      </c>
      <c r="BS15" s="282">
        <f t="shared" si="13"/>
        <v>3.8488310199402201E-2</v>
      </c>
      <c r="BT15" s="282">
        <f t="shared" si="13"/>
        <v>4.4440122526377204E-2</v>
      </c>
      <c r="BU15" s="282">
        <f t="shared" si="13"/>
        <v>4.3489981130380086E-2</v>
      </c>
      <c r="BV15" s="282">
        <f t="shared" si="13"/>
        <v>4.5974091948183894E-2</v>
      </c>
      <c r="BW15" s="282">
        <f t="shared" si="13"/>
        <v>4.6272493573264795E-2</v>
      </c>
      <c r="BX15" s="282">
        <f t="shared" si="13"/>
        <v>4.4607947678964949E-2</v>
      </c>
      <c r="BY15" s="282">
        <f t="shared" si="13"/>
        <v>4.5216295116772824E-2</v>
      </c>
      <c r="BZ15" s="282">
        <f t="shared" si="13"/>
        <v>4.4015686274509809E-2</v>
      </c>
      <c r="CA15" s="282">
        <f t="shared" si="13"/>
        <v>4.2420849661006406E-2</v>
      </c>
      <c r="CB15" s="282">
        <f t="shared" si="13"/>
        <v>4.0039152112072922E-2</v>
      </c>
      <c r="CC15" s="282">
        <f t="shared" si="13"/>
        <v>4.8883017055008408E-2</v>
      </c>
      <c r="CD15" s="282">
        <f t="shared" si="13"/>
        <v>4.961297877809831E-2</v>
      </c>
    </row>
    <row r="16" spans="1:82" s="673" customFormat="1"/>
    <row r="17" spans="1:82" s="673" customFormat="1">
      <c r="A17" s="9" t="s">
        <v>1019</v>
      </c>
    </row>
    <row r="18" spans="1:82" s="673" customFormat="1">
      <c r="B18" s="673" t="s">
        <v>1013</v>
      </c>
      <c r="C18" s="282">
        <f>C6/C$26</f>
        <v>9.7181729834791061E-3</v>
      </c>
      <c r="D18" s="282">
        <f t="shared" ref="D18:BO19" si="16">D6/D$26</f>
        <v>1.2374323279195668E-2</v>
      </c>
      <c r="E18" s="282">
        <f t="shared" si="16"/>
        <v>2.5301204819277109E-2</v>
      </c>
      <c r="F18" s="282">
        <f t="shared" si="16"/>
        <v>7.8778926637124574E-2</v>
      </c>
      <c r="G18" s="282">
        <f t="shared" si="16"/>
        <v>7.5311942959001774E-2</v>
      </c>
      <c r="H18" s="687">
        <f t="shared" si="16"/>
        <v>8.1578947368421056E-2</v>
      </c>
      <c r="I18" s="282">
        <f t="shared" si="16"/>
        <v>7.2087912087912084E-2</v>
      </c>
      <c r="J18" s="282">
        <f t="shared" si="16"/>
        <v>7.532051282051283E-2</v>
      </c>
      <c r="K18" s="282">
        <f t="shared" si="16"/>
        <v>6.5938069216757753E-2</v>
      </c>
      <c r="L18" s="282">
        <f t="shared" si="16"/>
        <v>5.651376146788991E-2</v>
      </c>
      <c r="M18" s="282">
        <f t="shared" si="16"/>
        <v>5.8038692461641089E-2</v>
      </c>
      <c r="N18" s="282">
        <f t="shared" si="16"/>
        <v>7.3219948111847802E-2</v>
      </c>
      <c r="O18" s="282">
        <f t="shared" si="16"/>
        <v>8.2221617206643061E-2</v>
      </c>
      <c r="P18" s="282">
        <f t="shared" si="16"/>
        <v>8.0421377183967122E-2</v>
      </c>
      <c r="Q18" s="282">
        <f t="shared" si="16"/>
        <v>7.1959026888604352E-2</v>
      </c>
      <c r="R18" s="282">
        <f t="shared" si="16"/>
        <v>7.1680376028202111E-2</v>
      </c>
      <c r="S18" s="282">
        <f t="shared" si="16"/>
        <v>7.5433911882510016E-2</v>
      </c>
      <c r="T18" s="717">
        <f t="shared" si="16"/>
        <v>7.5949367088607597E-2</v>
      </c>
      <c r="U18" s="717">
        <f t="shared" si="16"/>
        <v>7.3773898586866171E-2</v>
      </c>
      <c r="V18" s="717">
        <f t="shared" si="16"/>
        <v>7.3797201456775915E-2</v>
      </c>
      <c r="W18" s="717">
        <f t="shared" si="16"/>
        <v>7.7064896755162246E-2</v>
      </c>
      <c r="X18" s="282">
        <f t="shared" si="16"/>
        <v>7.5951618641053001E-2</v>
      </c>
      <c r="Y18" s="282">
        <f t="shared" si="16"/>
        <v>7.6999503229011432E-2</v>
      </c>
      <c r="Z18" s="282">
        <f t="shared" si="16"/>
        <v>7.7019607843137258E-2</v>
      </c>
      <c r="AA18" s="282">
        <f t="shared" si="16"/>
        <v>6.7202337472607745E-2</v>
      </c>
      <c r="AB18" s="687">
        <f t="shared" si="16"/>
        <v>6.884009160716692E-2</v>
      </c>
      <c r="AC18" s="687">
        <f t="shared" si="16"/>
        <v>7.2043275141381855E-2</v>
      </c>
      <c r="AD18" s="717">
        <f t="shared" si="16"/>
        <v>7.4883720930232558E-2</v>
      </c>
      <c r="AE18" s="282">
        <f t="shared" si="16"/>
        <v>8.1216115658552149E-2</v>
      </c>
      <c r="AF18" s="282">
        <f t="shared" si="16"/>
        <v>9.0113993710691828E-2</v>
      </c>
      <c r="AG18" s="282">
        <f t="shared" si="16"/>
        <v>8.2828659275132777E-2</v>
      </c>
      <c r="AH18" s="282">
        <f t="shared" si="16"/>
        <v>7.3654390934844188E-2</v>
      </c>
      <c r="AI18" s="282">
        <f t="shared" si="16"/>
        <v>8.0369009459776403E-2</v>
      </c>
      <c r="AJ18" s="282">
        <f t="shared" si="16"/>
        <v>7.6890697348112796E-2</v>
      </c>
      <c r="AK18" s="282">
        <f t="shared" si="16"/>
        <v>8.1866425058244888E-2</v>
      </c>
      <c r="AL18" s="282">
        <f t="shared" si="16"/>
        <v>7.163629889014185E-2</v>
      </c>
      <c r="AM18" s="282">
        <f t="shared" si="16"/>
        <v>7.558449877228568E-2</v>
      </c>
      <c r="AN18" s="282">
        <f t="shared" si="16"/>
        <v>7.8057450283408589E-2</v>
      </c>
      <c r="AO18" s="282">
        <f t="shared" si="16"/>
        <v>8.0455859840108862E-2</v>
      </c>
      <c r="AP18" s="687">
        <f t="shared" si="16"/>
        <v>8.5601187530925285E-2</v>
      </c>
      <c r="AQ18" s="687">
        <f t="shared" si="16"/>
        <v>8.7705176215308156E-2</v>
      </c>
      <c r="AR18" s="282">
        <f t="shared" si="16"/>
        <v>9.0801371998752725E-2</v>
      </c>
      <c r="AS18" s="282">
        <f t="shared" si="16"/>
        <v>8.8402416412464865E-2</v>
      </c>
      <c r="AT18" s="282">
        <f t="shared" si="16"/>
        <v>7.8921298844248769E-2</v>
      </c>
      <c r="AU18" s="282">
        <f t="shared" si="16"/>
        <v>7.4772141866455311E-2</v>
      </c>
      <c r="AV18" s="282">
        <f t="shared" si="16"/>
        <v>7.7552431435814709E-2</v>
      </c>
      <c r="AW18" s="282">
        <f t="shared" si="16"/>
        <v>7.6556904533146994E-2</v>
      </c>
      <c r="AX18" s="282">
        <f t="shared" si="16"/>
        <v>8.0944142362827487E-2</v>
      </c>
      <c r="AY18" s="282">
        <f t="shared" si="16"/>
        <v>7.711404781911238E-2</v>
      </c>
      <c r="AZ18" s="282">
        <f t="shared" si="16"/>
        <v>8.0314095292115709E-2</v>
      </c>
      <c r="BA18" s="282">
        <f t="shared" si="16"/>
        <v>7.9170230249366938E-2</v>
      </c>
      <c r="BB18" s="282">
        <f t="shared" si="16"/>
        <v>7.5282960653448305E-2</v>
      </c>
      <c r="BC18" s="282">
        <f t="shared" si="16"/>
        <v>7.3232826710427426E-2</v>
      </c>
      <c r="BD18" s="282">
        <f t="shared" si="16"/>
        <v>7.4023853264514619E-2</v>
      </c>
      <c r="BE18" s="282">
        <f t="shared" si="16"/>
        <v>7.4802393237457465E-2</v>
      </c>
      <c r="BF18" s="282">
        <f t="shared" si="16"/>
        <v>7.726743196722384E-2</v>
      </c>
      <c r="BG18" s="282">
        <f t="shared" si="16"/>
        <v>8.2793474625608501E-2</v>
      </c>
      <c r="BH18" s="282">
        <f t="shared" si="16"/>
        <v>8.7413728781943659E-2</v>
      </c>
      <c r="BI18" s="282">
        <f t="shared" si="16"/>
        <v>9.1715584587544696E-2</v>
      </c>
      <c r="BJ18" s="282">
        <f t="shared" si="16"/>
        <v>9.3181181014879488E-2</v>
      </c>
      <c r="BK18" s="282">
        <f t="shared" si="16"/>
        <v>9.7500073154316608E-2</v>
      </c>
      <c r="BL18" s="282">
        <f t="shared" si="16"/>
        <v>9.4123873065073999E-2</v>
      </c>
      <c r="BM18" s="282">
        <f t="shared" si="16"/>
        <v>7.6103653853187514E-2</v>
      </c>
      <c r="BN18" s="282">
        <f t="shared" si="16"/>
        <v>6.7951336161002601E-2</v>
      </c>
      <c r="BO18" s="282">
        <f t="shared" si="16"/>
        <v>6.5745842783104219E-2</v>
      </c>
      <c r="BP18" s="282">
        <f t="shared" ref="BP18:CD21" si="17">BP6/BP$26</f>
        <v>7.1889909945844779E-2</v>
      </c>
      <c r="BQ18" s="282">
        <f t="shared" si="17"/>
        <v>7.6426389472007875E-2</v>
      </c>
      <c r="BR18" s="282">
        <f t="shared" si="17"/>
        <v>8.1020488655470915E-2</v>
      </c>
      <c r="BS18" s="282">
        <f t="shared" si="17"/>
        <v>7.9971181556195967E-2</v>
      </c>
      <c r="BT18" s="282">
        <f t="shared" si="17"/>
        <v>5.9976884053457358E-2</v>
      </c>
      <c r="BU18" s="282">
        <f t="shared" si="17"/>
        <v>6.293981496921712E-2</v>
      </c>
      <c r="BV18" s="282">
        <f t="shared" si="17"/>
        <v>7.2754880135884603E-2</v>
      </c>
      <c r="BW18" s="282">
        <f t="shared" si="17"/>
        <v>7.2013335802926473E-2</v>
      </c>
      <c r="BX18" s="282">
        <f t="shared" si="17"/>
        <v>7.7623340025856566E-2</v>
      </c>
      <c r="BY18" s="282">
        <f t="shared" si="17"/>
        <v>8.008649364134808E-2</v>
      </c>
      <c r="BZ18" s="282">
        <f t="shared" si="17"/>
        <v>8.4031954732623107E-2</v>
      </c>
      <c r="CA18" s="282">
        <f t="shared" si="17"/>
        <v>8.2581581319918274E-2</v>
      </c>
      <c r="CB18" s="282">
        <f t="shared" si="17"/>
        <v>8.2617817121219864E-2</v>
      </c>
      <c r="CC18" s="282">
        <f t="shared" si="17"/>
        <v>7.8474085358457971E-2</v>
      </c>
      <c r="CD18" s="282">
        <f t="shared" si="17"/>
        <v>7.9922736688875201E-2</v>
      </c>
    </row>
    <row r="19" spans="1:82" s="673" customFormat="1">
      <c r="B19" s="673" t="s">
        <v>231</v>
      </c>
      <c r="C19" s="282">
        <f>C7/C$26</f>
        <v>1.84645286686103E-2</v>
      </c>
      <c r="D19" s="282">
        <f t="shared" ref="D19:R19" si="18">D7/D$26</f>
        <v>1.7788089713843772E-2</v>
      </c>
      <c r="E19" s="282">
        <f t="shared" si="18"/>
        <v>1.7469879518072287E-2</v>
      </c>
      <c r="F19" s="282">
        <f t="shared" si="18"/>
        <v>1.8709995076317085E-2</v>
      </c>
      <c r="G19" s="282">
        <f t="shared" si="18"/>
        <v>1.9162210338680926E-2</v>
      </c>
      <c r="H19" s="687">
        <f t="shared" si="18"/>
        <v>2.3245614035087719E-2</v>
      </c>
      <c r="I19" s="282">
        <f t="shared" si="18"/>
        <v>2.8571428571428571E-2</v>
      </c>
      <c r="J19" s="282">
        <f t="shared" si="18"/>
        <v>2.1634615384615388E-2</v>
      </c>
      <c r="K19" s="282">
        <f t="shared" si="18"/>
        <v>1.6029143897996357E-2</v>
      </c>
      <c r="L19" s="282">
        <f t="shared" si="18"/>
        <v>1.7247706422018349E-2</v>
      </c>
      <c r="M19" s="282">
        <f t="shared" si="18"/>
        <v>1.7678452301534354E-2</v>
      </c>
      <c r="N19" s="282">
        <f t="shared" si="18"/>
        <v>1.8449120784087635E-2</v>
      </c>
      <c r="O19" s="282">
        <f t="shared" si="18"/>
        <v>1.7968962700789542E-2</v>
      </c>
      <c r="P19" s="282">
        <f t="shared" si="18"/>
        <v>1.7471736896197326E-2</v>
      </c>
      <c r="Q19" s="282">
        <f t="shared" si="18"/>
        <v>1.997439180537772E-2</v>
      </c>
      <c r="R19" s="282">
        <f t="shared" si="18"/>
        <v>2.0681551116333727E-2</v>
      </c>
      <c r="S19" s="282">
        <f t="shared" si="16"/>
        <v>2.1361815754339118E-2</v>
      </c>
      <c r="T19" s="717">
        <f t="shared" si="16"/>
        <v>2.3206751054852322E-2</v>
      </c>
      <c r="U19" s="717">
        <f t="shared" si="16"/>
        <v>2.2859517871986701E-2</v>
      </c>
      <c r="V19" s="717">
        <f t="shared" si="16"/>
        <v>2.5685259727812916E-2</v>
      </c>
      <c r="W19" s="717">
        <f t="shared" si="16"/>
        <v>2.9498525073746312E-2</v>
      </c>
      <c r="X19" s="282">
        <f t="shared" si="16"/>
        <v>2.934898612593383E-2</v>
      </c>
      <c r="Y19" s="282">
        <f t="shared" si="16"/>
        <v>3.0799801291604575E-2</v>
      </c>
      <c r="Z19" s="282">
        <f t="shared" si="16"/>
        <v>3.2941176470588238E-2</v>
      </c>
      <c r="AA19" s="282">
        <f t="shared" si="16"/>
        <v>3.1701972242512783E-2</v>
      </c>
      <c r="AB19" s="687">
        <f t="shared" si="16"/>
        <v>3.0580627778526204E-2</v>
      </c>
      <c r="AC19" s="687">
        <f t="shared" si="16"/>
        <v>3.7496926481435947E-2</v>
      </c>
      <c r="AD19" s="717">
        <f t="shared" si="16"/>
        <v>3.9534883720930232E-2</v>
      </c>
      <c r="AE19" s="282">
        <f t="shared" si="16"/>
        <v>4.0182842564048048E-2</v>
      </c>
      <c r="AF19" s="282">
        <f t="shared" si="16"/>
        <v>4.2354559748427674E-2</v>
      </c>
      <c r="AG19" s="282">
        <f t="shared" si="16"/>
        <v>4.2206279698127271E-2</v>
      </c>
      <c r="AH19" s="282">
        <f t="shared" si="16"/>
        <v>4.292213923941969E-2</v>
      </c>
      <c r="AI19" s="282">
        <f t="shared" si="16"/>
        <v>4.5266202798842942E-2</v>
      </c>
      <c r="AJ19" s="282">
        <f t="shared" si="16"/>
        <v>5.1915251859127258E-2</v>
      </c>
      <c r="AK19" s="282">
        <f t="shared" si="16"/>
        <v>5.4038312192596423E-2</v>
      </c>
      <c r="AL19" s="282">
        <f t="shared" si="16"/>
        <v>5.1931865392604901E-2</v>
      </c>
      <c r="AM19" s="282">
        <f t="shared" si="16"/>
        <v>5.2898473363937222E-2</v>
      </c>
      <c r="AN19" s="282">
        <f t="shared" si="16"/>
        <v>5.2982995484676713E-2</v>
      </c>
      <c r="AO19" s="282">
        <f t="shared" si="16"/>
        <v>5.4388501445824126E-2</v>
      </c>
      <c r="AP19" s="687">
        <f t="shared" si="16"/>
        <v>5.6674152171430743E-2</v>
      </c>
      <c r="AQ19" s="687">
        <f t="shared" si="16"/>
        <v>5.690687012214328E-2</v>
      </c>
      <c r="AR19" s="282">
        <f t="shared" si="16"/>
        <v>5.9806672903024639E-2</v>
      </c>
      <c r="AS19" s="282">
        <f t="shared" si="16"/>
        <v>6.1277588372510315E-2</v>
      </c>
      <c r="AT19" s="282">
        <f t="shared" si="16"/>
        <v>6.103467253714915E-2</v>
      </c>
      <c r="AU19" s="282">
        <f t="shared" si="16"/>
        <v>6.2611452347929461E-2</v>
      </c>
      <c r="AV19" s="282">
        <f t="shared" si="16"/>
        <v>6.3724360451716991E-2</v>
      </c>
      <c r="AW19" s="282">
        <f t="shared" si="16"/>
        <v>6.4962005415320115E-2</v>
      </c>
      <c r="AX19" s="282">
        <f t="shared" si="16"/>
        <v>6.5064260998517046E-2</v>
      </c>
      <c r="AY19" s="282">
        <f t="shared" si="16"/>
        <v>6.7431823390115359E-2</v>
      </c>
      <c r="AZ19" s="282">
        <f t="shared" si="16"/>
        <v>6.6700935904707881E-2</v>
      </c>
      <c r="BA19" s="282">
        <f t="shared" si="16"/>
        <v>6.7095973570793721E-2</v>
      </c>
      <c r="BB19" s="282">
        <f t="shared" si="16"/>
        <v>6.7975511927380203E-2</v>
      </c>
      <c r="BC19" s="282">
        <f t="shared" si="16"/>
        <v>6.7757618514485529E-2</v>
      </c>
      <c r="BD19" s="282">
        <f t="shared" si="16"/>
        <v>6.7550228909690022E-2</v>
      </c>
      <c r="BE19" s="282">
        <f t="shared" si="16"/>
        <v>6.7748929630036231E-2</v>
      </c>
      <c r="BF19" s="282">
        <f t="shared" si="16"/>
        <v>6.7960783800411012E-2</v>
      </c>
      <c r="BG19" s="282">
        <f t="shared" si="16"/>
        <v>6.7210860759807256E-2</v>
      </c>
      <c r="BH19" s="282">
        <f t="shared" si="16"/>
        <v>6.7198283902257031E-2</v>
      </c>
      <c r="BI19" s="282">
        <f t="shared" si="16"/>
        <v>6.7782583748951755E-2</v>
      </c>
      <c r="BJ19" s="282">
        <f t="shared" si="16"/>
        <v>6.7648249867610866E-2</v>
      </c>
      <c r="BK19" s="282">
        <f t="shared" si="16"/>
        <v>6.7789666708933605E-2</v>
      </c>
      <c r="BL19" s="282">
        <f t="shared" si="16"/>
        <v>6.7994103082651344E-2</v>
      </c>
      <c r="BM19" s="282">
        <f t="shared" si="16"/>
        <v>6.7270765516989142E-2</v>
      </c>
      <c r="BN19" s="282">
        <f t="shared" si="16"/>
        <v>6.6275680298825287E-2</v>
      </c>
      <c r="BO19" s="282">
        <f t="shared" si="16"/>
        <v>6.5876843217043152E-2</v>
      </c>
      <c r="BP19" s="282">
        <f t="shared" si="17"/>
        <v>6.5101330101406812E-2</v>
      </c>
      <c r="BQ19" s="282">
        <f t="shared" si="17"/>
        <v>6.5228092018589034E-2</v>
      </c>
      <c r="BR19" s="282">
        <f t="shared" si="17"/>
        <v>6.5223257841529492E-2</v>
      </c>
      <c r="BS19" s="282">
        <f t="shared" si="17"/>
        <v>6.5908596596161176E-2</v>
      </c>
      <c r="BT19" s="282">
        <f t="shared" si="17"/>
        <v>6.5451349237658232E-2</v>
      </c>
      <c r="BU19" s="282">
        <f t="shared" si="17"/>
        <v>6.4433935205875092E-2</v>
      </c>
      <c r="BV19" s="282">
        <f t="shared" si="17"/>
        <v>5.7828162598278277E-2</v>
      </c>
      <c r="BW19" s="282">
        <f t="shared" si="17"/>
        <v>5.762178181144656E-2</v>
      </c>
      <c r="BX19" s="282">
        <f t="shared" si="17"/>
        <v>6.4736757442701465E-2</v>
      </c>
      <c r="BY19" s="282">
        <f t="shared" si="17"/>
        <v>6.4744712534160989E-2</v>
      </c>
      <c r="BZ19" s="282">
        <f t="shared" si="17"/>
        <v>6.5000575711552072E-2</v>
      </c>
      <c r="CA19" s="282">
        <f t="shared" si="17"/>
        <v>6.5035662653173357E-2</v>
      </c>
      <c r="CB19" s="282">
        <f t="shared" si="17"/>
        <v>6.5414726500537285E-2</v>
      </c>
      <c r="CC19" s="282">
        <f t="shared" si="17"/>
        <v>6.4986730966092393E-2</v>
      </c>
      <c r="CD19" s="282">
        <f t="shared" si="17"/>
        <v>6.518392027322098E-2</v>
      </c>
    </row>
    <row r="20" spans="1:82" s="673" customFormat="1">
      <c r="B20" s="673" t="s">
        <v>1014</v>
      </c>
      <c r="C20" s="282">
        <f>C8/C$26</f>
        <v>2.5267249757045675E-2</v>
      </c>
      <c r="D20" s="282">
        <f t="shared" ref="D20:BO21" si="19">D8/D$26</f>
        <v>5.6457849961330235E-2</v>
      </c>
      <c r="E20" s="282">
        <f t="shared" si="19"/>
        <v>6.6867469879518068E-2</v>
      </c>
      <c r="F20" s="282">
        <f t="shared" si="19"/>
        <v>6.6962087641555881E-2</v>
      </c>
      <c r="G20" s="282">
        <f t="shared" si="19"/>
        <v>5.5704099821746879E-2</v>
      </c>
      <c r="H20" s="687">
        <f t="shared" si="19"/>
        <v>4.4736842105263158E-2</v>
      </c>
      <c r="I20" s="282">
        <f t="shared" si="19"/>
        <v>3.7802197802197804E-2</v>
      </c>
      <c r="J20" s="282">
        <f t="shared" si="19"/>
        <v>4.246794871794872E-2</v>
      </c>
      <c r="K20" s="282">
        <f t="shared" si="19"/>
        <v>4.2258652094717665E-2</v>
      </c>
      <c r="L20" s="282">
        <f t="shared" si="19"/>
        <v>3.4495412844036698E-2</v>
      </c>
      <c r="M20" s="282">
        <f t="shared" si="19"/>
        <v>5.6704469646430951E-2</v>
      </c>
      <c r="N20" s="282">
        <f t="shared" si="19"/>
        <v>6.1689247621793022E-2</v>
      </c>
      <c r="O20" s="282">
        <f t="shared" si="19"/>
        <v>4.9823032943098283E-2</v>
      </c>
      <c r="P20" s="282">
        <f t="shared" si="19"/>
        <v>4.9075025693730734E-2</v>
      </c>
      <c r="Q20" s="282">
        <f t="shared" si="19"/>
        <v>4.2509603072983355E-2</v>
      </c>
      <c r="R20" s="282">
        <f t="shared" si="19"/>
        <v>4.8883666274970622E-2</v>
      </c>
      <c r="S20" s="282">
        <f t="shared" si="19"/>
        <v>4.5616377392078328E-2</v>
      </c>
      <c r="T20" s="282">
        <f t="shared" si="19"/>
        <v>4.1983122362869198E-2</v>
      </c>
      <c r="U20" s="282">
        <f t="shared" si="19"/>
        <v>3.615960099750623E-2</v>
      </c>
      <c r="V20" s="282">
        <f t="shared" si="19"/>
        <v>4.1403105232892465E-2</v>
      </c>
      <c r="W20" s="282">
        <f t="shared" si="19"/>
        <v>3.7979351032448379E-2</v>
      </c>
      <c r="X20" s="282">
        <f t="shared" si="19"/>
        <v>3.6997509782995375E-2</v>
      </c>
      <c r="Y20" s="282">
        <f t="shared" si="19"/>
        <v>3.5933101506871998E-2</v>
      </c>
      <c r="Z20" s="282">
        <f t="shared" si="19"/>
        <v>3.717647058823529E-2</v>
      </c>
      <c r="AA20" s="282">
        <f t="shared" si="19"/>
        <v>3.593864134404675E-2</v>
      </c>
      <c r="AB20" s="687">
        <f t="shared" si="19"/>
        <v>3.7181732453186046E-2</v>
      </c>
      <c r="AC20" s="687">
        <f t="shared" si="19"/>
        <v>3.6636341283501357E-2</v>
      </c>
      <c r="AD20" s="282">
        <f t="shared" si="19"/>
        <v>3.2674418604651166E-2</v>
      </c>
      <c r="AE20" s="282">
        <f t="shared" si="19"/>
        <v>3.5718082279153823E-2</v>
      </c>
      <c r="AF20" s="282">
        <f t="shared" si="19"/>
        <v>3.2429245283018868E-2</v>
      </c>
      <c r="AG20" s="282">
        <f t="shared" si="19"/>
        <v>2.5249231342588281E-2</v>
      </c>
      <c r="AH20" s="282">
        <f t="shared" si="19"/>
        <v>2.5839127822130655E-2</v>
      </c>
      <c r="AI20" s="282">
        <f t="shared" si="19"/>
        <v>2.6112110077398172E-2</v>
      </c>
      <c r="AJ20" s="282">
        <f t="shared" si="19"/>
        <v>2.7290585098919597E-2</v>
      </c>
      <c r="AK20" s="282">
        <f t="shared" si="19"/>
        <v>2.5627750453015789E-2</v>
      </c>
      <c r="AL20" s="282">
        <f t="shared" si="19"/>
        <v>2.2671968662828654E-2</v>
      </c>
      <c r="AM20" s="282">
        <f t="shared" si="19"/>
        <v>2.5995516173801643E-2</v>
      </c>
      <c r="AN20" s="282">
        <f t="shared" si="19"/>
        <v>2.6755692189451435E-2</v>
      </c>
      <c r="AO20" s="282">
        <f t="shared" si="19"/>
        <v>2.7385609797584625E-2</v>
      </c>
      <c r="AP20" s="687">
        <f t="shared" si="19"/>
        <v>2.4778289498724924E-2</v>
      </c>
      <c r="AQ20" s="687">
        <f t="shared" si="19"/>
        <v>2.0508872012039336E-2</v>
      </c>
      <c r="AR20" s="282">
        <f t="shared" si="19"/>
        <v>1.6120985344558778E-2</v>
      </c>
      <c r="AS20" s="282">
        <f t="shared" si="19"/>
        <v>1.0108260063400919E-2</v>
      </c>
      <c r="AT20" s="282">
        <f t="shared" si="19"/>
        <v>1.2960924600990645E-2</v>
      </c>
      <c r="AU20" s="282">
        <f t="shared" si="19"/>
        <v>1.4662175549831584E-2</v>
      </c>
      <c r="AV20" s="282">
        <f t="shared" si="19"/>
        <v>1.3482369209495275E-2</v>
      </c>
      <c r="AW20" s="282">
        <f t="shared" si="19"/>
        <v>1.4411739016507991E-2</v>
      </c>
      <c r="AX20" s="282">
        <f t="shared" si="19"/>
        <v>1.7589388696655134E-2</v>
      </c>
      <c r="AY20" s="282">
        <f t="shared" si="19"/>
        <v>1.7913070048124667E-2</v>
      </c>
      <c r="AZ20" s="282">
        <f t="shared" si="19"/>
        <v>1.6945547362450367E-2</v>
      </c>
      <c r="BA20" s="282">
        <f t="shared" si="19"/>
        <v>1.5847461890627357E-2</v>
      </c>
      <c r="BB20" s="282">
        <f t="shared" si="19"/>
        <v>1.4484987252561666E-2</v>
      </c>
      <c r="BC20" s="282">
        <f t="shared" si="19"/>
        <v>1.564345198840544E-2</v>
      </c>
      <c r="BD20" s="282">
        <f t="shared" si="19"/>
        <v>1.7860787915901205E-2</v>
      </c>
      <c r="BE20" s="282">
        <f t="shared" si="19"/>
        <v>1.8704028982325174E-2</v>
      </c>
      <c r="BF20" s="282">
        <f t="shared" si="19"/>
        <v>2.0406560467034048E-2</v>
      </c>
      <c r="BG20" s="282">
        <f t="shared" si="19"/>
        <v>2.111952038250486E-2</v>
      </c>
      <c r="BH20" s="282">
        <f t="shared" si="19"/>
        <v>2.1253031150904683E-2</v>
      </c>
      <c r="BI20" s="282">
        <f t="shared" si="19"/>
        <v>1.9607626782009974E-2</v>
      </c>
      <c r="BJ20" s="282">
        <f t="shared" si="19"/>
        <v>1.947937325428058E-2</v>
      </c>
      <c r="BK20" s="282">
        <f t="shared" si="19"/>
        <v>1.8932337134106494E-2</v>
      </c>
      <c r="BL20" s="282">
        <f t="shared" si="19"/>
        <v>1.3003458768829501E-2</v>
      </c>
      <c r="BM20" s="282">
        <f t="shared" si="19"/>
        <v>1.1521158699389196E-2</v>
      </c>
      <c r="BN20" s="282">
        <f t="shared" si="19"/>
        <v>1.5342723988060952E-2</v>
      </c>
      <c r="BO20" s="282">
        <f t="shared" si="19"/>
        <v>1.901143797538829E-2</v>
      </c>
      <c r="BP20" s="282">
        <f t="shared" si="17"/>
        <v>2.4507923845174355E-2</v>
      </c>
      <c r="BQ20" s="282">
        <f t="shared" si="17"/>
        <v>2.6493709553660618E-2</v>
      </c>
      <c r="BR20" s="282">
        <f t="shared" si="17"/>
        <v>2.270981670230212E-2</v>
      </c>
      <c r="BS20" s="282">
        <f t="shared" si="17"/>
        <v>1.3729541623620251E-2</v>
      </c>
      <c r="BT20" s="282">
        <f t="shared" si="17"/>
        <v>1.0589041380312688E-2</v>
      </c>
      <c r="BU20" s="282">
        <f t="shared" si="17"/>
        <v>1.4634374103694612E-2</v>
      </c>
      <c r="BV20" s="282">
        <f t="shared" si="17"/>
        <v>1.4412003139757826E-2</v>
      </c>
      <c r="BW20" s="282">
        <f t="shared" si="17"/>
        <v>1.6959930851392233E-2</v>
      </c>
      <c r="BX20" s="282">
        <f t="shared" si="17"/>
        <v>1.7777883693081278E-2</v>
      </c>
      <c r="BY20" s="282">
        <f t="shared" si="17"/>
        <v>1.9375488523617444E-2</v>
      </c>
      <c r="BZ20" s="282">
        <f t="shared" si="17"/>
        <v>1.8044444931819306E-2</v>
      </c>
      <c r="CA20" s="282">
        <f t="shared" si="17"/>
        <v>1.6639014995918935E-2</v>
      </c>
      <c r="CB20" s="282">
        <f t="shared" si="17"/>
        <v>1.2556925753466714E-2</v>
      </c>
      <c r="CC20" s="282">
        <f t="shared" si="17"/>
        <v>1.0217398687166151E-2</v>
      </c>
      <c r="CD20" s="282">
        <f t="shared" si="17"/>
        <v>1.0138476755687438E-2</v>
      </c>
    </row>
    <row r="21" spans="1:82" s="673" customFormat="1">
      <c r="B21" s="673" t="s">
        <v>1015</v>
      </c>
      <c r="C21" s="282">
        <f>C9/C$26</f>
        <v>2.5267249757045675E-2</v>
      </c>
      <c r="D21" s="282">
        <f t="shared" si="19"/>
        <v>2.7068832173240524E-2</v>
      </c>
      <c r="E21" s="282">
        <f t="shared" si="19"/>
        <v>2.4096385542168676E-2</v>
      </c>
      <c r="F21" s="282">
        <f t="shared" si="19"/>
        <v>2.3633677991137369E-2</v>
      </c>
      <c r="G21" s="282">
        <f t="shared" si="19"/>
        <v>2.6737967914438502E-2</v>
      </c>
      <c r="H21" s="687">
        <f t="shared" si="19"/>
        <v>3.0263157894736843E-2</v>
      </c>
      <c r="I21" s="282">
        <f t="shared" si="19"/>
        <v>3.3846153846153845E-2</v>
      </c>
      <c r="J21" s="282">
        <f t="shared" si="19"/>
        <v>3.0849358974358976E-2</v>
      </c>
      <c r="K21" s="282">
        <f t="shared" si="19"/>
        <v>2.8415300546448086E-2</v>
      </c>
      <c r="L21" s="282">
        <f t="shared" si="19"/>
        <v>2.8990825688073395E-2</v>
      </c>
      <c r="M21" s="282">
        <f t="shared" si="19"/>
        <v>2.9019346230820545E-2</v>
      </c>
      <c r="N21" s="282">
        <f t="shared" si="19"/>
        <v>2.6520611127125972E-2</v>
      </c>
      <c r="O21" s="282">
        <f t="shared" si="19"/>
        <v>2.7497958072420364E-2</v>
      </c>
      <c r="P21" s="282">
        <f t="shared" si="19"/>
        <v>2.7492291880781089E-2</v>
      </c>
      <c r="Q21" s="282">
        <f t="shared" si="19"/>
        <v>2.4327784891165175E-2</v>
      </c>
      <c r="R21" s="282">
        <f t="shared" si="19"/>
        <v>2.4441833137485311E-2</v>
      </c>
      <c r="S21" s="282">
        <f t="shared" si="19"/>
        <v>2.4477080551846907E-2</v>
      </c>
      <c r="T21" s="282">
        <f t="shared" si="19"/>
        <v>2.4261603375527425E-2</v>
      </c>
      <c r="U21" s="282">
        <f t="shared" si="19"/>
        <v>2.3275145469659184E-2</v>
      </c>
      <c r="V21" s="282">
        <f t="shared" si="19"/>
        <v>2.3385087214874447E-2</v>
      </c>
      <c r="W21" s="282">
        <f t="shared" si="19"/>
        <v>2.4151917404129794E-2</v>
      </c>
      <c r="X21" s="282">
        <f t="shared" si="19"/>
        <v>2.3479188900747062E-2</v>
      </c>
      <c r="Y21" s="282">
        <f t="shared" si="19"/>
        <v>2.334823646299056E-2</v>
      </c>
      <c r="Z21" s="282">
        <f t="shared" si="19"/>
        <v>2.3058823529411764E-2</v>
      </c>
      <c r="AA21" s="282">
        <f t="shared" si="19"/>
        <v>2.24981738495252E-2</v>
      </c>
      <c r="AB21" s="687">
        <f t="shared" si="19"/>
        <v>2.0746328977502358E-2</v>
      </c>
      <c r="AC21" s="687">
        <f t="shared" si="19"/>
        <v>1.7703466928940252E-2</v>
      </c>
      <c r="AD21" s="282">
        <f t="shared" si="19"/>
        <v>1.7674418604651163E-2</v>
      </c>
      <c r="AE21" s="282">
        <f t="shared" si="19"/>
        <v>1.7965344955883915E-2</v>
      </c>
      <c r="AF21" s="282">
        <f t="shared" si="19"/>
        <v>1.7492138364779874E-2</v>
      </c>
      <c r="AG21" s="282">
        <f t="shared" si="19"/>
        <v>1.6863877760178888E-2</v>
      </c>
      <c r="AH21" s="282">
        <f t="shared" si="19"/>
        <v>1.6310412910979483E-2</v>
      </c>
      <c r="AI21" s="282">
        <f t="shared" si="19"/>
        <v>1.446329450394809E-2</v>
      </c>
      <c r="AJ21" s="282">
        <f t="shared" si="19"/>
        <v>1.389083765960432E-2</v>
      </c>
      <c r="AK21" s="282">
        <f t="shared" si="19"/>
        <v>1.3008024851151954E-2</v>
      </c>
      <c r="AL21" s="282">
        <f t="shared" si="19"/>
        <v>1.3116505430589353E-2</v>
      </c>
      <c r="AM21" s="282">
        <f t="shared" si="19"/>
        <v>1.1423081029144869E-2</v>
      </c>
      <c r="AN21" s="282">
        <f t="shared" si="19"/>
        <v>1.0904025362666922E-2</v>
      </c>
      <c r="AO21" s="282">
        <f t="shared" si="19"/>
        <v>1.0758632420479674E-2</v>
      </c>
      <c r="AP21" s="687">
        <f t="shared" si="19"/>
        <v>9.7819053781448631E-3</v>
      </c>
      <c r="AQ21" s="687">
        <f t="shared" si="19"/>
        <v>1.1794351310677914E-2</v>
      </c>
      <c r="AR21" s="282">
        <f t="shared" si="19"/>
        <v>1.555971312753352E-2</v>
      </c>
      <c r="AS21" s="282">
        <f t="shared" si="19"/>
        <v>1.226149889347449E-2</v>
      </c>
      <c r="AT21" s="282">
        <f t="shared" si="19"/>
        <v>1.2217941662080352E-2</v>
      </c>
      <c r="AU21" s="282">
        <f t="shared" si="19"/>
        <v>1.1714880126808004E-2</v>
      </c>
      <c r="AV21" s="282">
        <f t="shared" si="19"/>
        <v>1.0624567872781748E-2</v>
      </c>
      <c r="AW21" s="282">
        <f t="shared" si="19"/>
        <v>9.5423181063848377E-3</v>
      </c>
      <c r="AX21" s="282">
        <f t="shared" si="19"/>
        <v>9.4537815126050414E-3</v>
      </c>
      <c r="AY21" s="282">
        <f t="shared" si="19"/>
        <v>9.5103506225651217E-3</v>
      </c>
      <c r="AZ21" s="282">
        <f t="shared" si="19"/>
        <v>8.8095575723199093E-3</v>
      </c>
      <c r="BA21" s="282">
        <f t="shared" si="19"/>
        <v>8.5358286797135707E-3</v>
      </c>
      <c r="BB21" s="282">
        <f t="shared" si="19"/>
        <v>1.003556291713353E-2</v>
      </c>
      <c r="BC21" s="282">
        <f t="shared" si="19"/>
        <v>9.7081422633927879E-3</v>
      </c>
      <c r="BD21" s="282">
        <f t="shared" si="19"/>
        <v>9.6812760621701223E-3</v>
      </c>
      <c r="BE21" s="282">
        <f t="shared" si="19"/>
        <v>1.0840926556153256E-2</v>
      </c>
      <c r="BF21" s="282">
        <f t="shared" si="19"/>
        <v>9.895676531800986E-3</v>
      </c>
      <c r="BG21" s="282">
        <f t="shared" si="19"/>
        <v>9.0299884802616092E-3</v>
      </c>
      <c r="BH21" s="282">
        <f t="shared" si="19"/>
        <v>9.0701361686252556E-3</v>
      </c>
      <c r="BI21" s="282">
        <f t="shared" si="19"/>
        <v>8.9045328154654206E-3</v>
      </c>
      <c r="BJ21" s="282">
        <f t="shared" si="19"/>
        <v>8.6598066599520278E-3</v>
      </c>
      <c r="BK21" s="282">
        <f t="shared" si="19"/>
        <v>8.5151624513523805E-3</v>
      </c>
      <c r="BL21" s="282">
        <f t="shared" si="19"/>
        <v>8.0610104141072402E-3</v>
      </c>
      <c r="BM21" s="282">
        <f t="shared" si="19"/>
        <v>7.9367982151347799E-3</v>
      </c>
      <c r="BN21" s="282">
        <f t="shared" si="19"/>
        <v>7.8720916025204653E-3</v>
      </c>
      <c r="BO21" s="282">
        <f t="shared" si="19"/>
        <v>7.8027133464879592E-3</v>
      </c>
      <c r="BP21" s="282">
        <f t="shared" si="17"/>
        <v>7.6246874184986886E-3</v>
      </c>
      <c r="BQ21" s="282">
        <f t="shared" si="17"/>
        <v>7.1808087096260475E-3</v>
      </c>
      <c r="BR21" s="282">
        <f t="shared" si="17"/>
        <v>6.5458521024917135E-3</v>
      </c>
      <c r="BS21" s="282">
        <f t="shared" si="17"/>
        <v>6.3889946169321957E-3</v>
      </c>
      <c r="BT21" s="282">
        <f t="shared" si="17"/>
        <v>6.3257410598730702E-3</v>
      </c>
      <c r="BU21" s="282">
        <f t="shared" si="17"/>
        <v>6.456733879843384E-3</v>
      </c>
      <c r="BV21" s="282">
        <f t="shared" si="17"/>
        <v>6.9872479507933028E-3</v>
      </c>
      <c r="BW21" s="282">
        <f t="shared" si="17"/>
        <v>7.1124282274495276E-3</v>
      </c>
      <c r="BX21" s="282">
        <f t="shared" si="17"/>
        <v>7.476958456708112E-3</v>
      </c>
      <c r="BY21" s="282">
        <f t="shared" si="17"/>
        <v>7.7764401818876845E-3</v>
      </c>
      <c r="BZ21" s="282">
        <f t="shared" si="17"/>
        <v>7.692602929001059E-3</v>
      </c>
      <c r="CA21" s="282">
        <f t="shared" si="17"/>
        <v>7.2765682765095954E-3</v>
      </c>
      <c r="CB21" s="282">
        <f t="shared" si="17"/>
        <v>6.6980504528475673E-3</v>
      </c>
      <c r="CC21" s="282">
        <f t="shared" si="17"/>
        <v>7.8983499822917833E-3</v>
      </c>
      <c r="CD21" s="282">
        <f t="shared" si="17"/>
        <v>8.1042494821118635E-3</v>
      </c>
    </row>
    <row r="22" spans="1:82" s="673" customFormat="1">
      <c r="AY22" s="478"/>
    </row>
    <row r="23" spans="1:82" s="673" customFormat="1">
      <c r="A23" s="9" t="s">
        <v>1065</v>
      </c>
      <c r="I23" s="282"/>
      <c r="AC23" s="478"/>
      <c r="AY23" s="478"/>
    </row>
    <row r="24" spans="1:82" s="673" customFormat="1" ht="24.75" customHeight="1">
      <c r="A24" s="9" t="s">
        <v>1011</v>
      </c>
      <c r="AC24" s="478"/>
      <c r="AY24" s="478"/>
    </row>
    <row r="25" spans="1:82" s="673" customFormat="1">
      <c r="A25" s="681" t="s">
        <v>824</v>
      </c>
      <c r="B25" s="681" t="s">
        <v>825</v>
      </c>
      <c r="C25" s="681" t="s">
        <v>826</v>
      </c>
      <c r="D25" s="681" t="s">
        <v>827</v>
      </c>
      <c r="E25" s="681" t="s">
        <v>828</v>
      </c>
      <c r="F25" s="681" t="s">
        <v>829</v>
      </c>
      <c r="G25" s="681" t="s">
        <v>830</v>
      </c>
      <c r="H25" s="681" t="s">
        <v>831</v>
      </c>
      <c r="I25" s="681" t="s">
        <v>832</v>
      </c>
      <c r="J25" s="681" t="s">
        <v>833</v>
      </c>
      <c r="K25" s="681" t="s">
        <v>834</v>
      </c>
      <c r="L25" s="681" t="s">
        <v>835</v>
      </c>
      <c r="M25" s="681" t="s">
        <v>836</v>
      </c>
      <c r="N25" s="681" t="s">
        <v>837</v>
      </c>
      <c r="O25" s="681" t="s">
        <v>838</v>
      </c>
      <c r="P25" s="681" t="s">
        <v>839</v>
      </c>
      <c r="Q25" s="681" t="s">
        <v>840</v>
      </c>
      <c r="R25" s="681" t="s">
        <v>841</v>
      </c>
      <c r="S25" s="681" t="s">
        <v>842</v>
      </c>
      <c r="T25" s="681" t="s">
        <v>843</v>
      </c>
      <c r="U25" s="681" t="s">
        <v>844</v>
      </c>
      <c r="V25" s="681" t="s">
        <v>845</v>
      </c>
      <c r="W25" s="681" t="s">
        <v>846</v>
      </c>
      <c r="X25" s="681" t="s">
        <v>847</v>
      </c>
      <c r="Y25" s="681" t="s">
        <v>848</v>
      </c>
      <c r="Z25" s="681" t="s">
        <v>849</v>
      </c>
      <c r="AA25" s="681" t="s">
        <v>850</v>
      </c>
      <c r="AB25" s="681" t="s">
        <v>851</v>
      </c>
      <c r="AC25" s="681" t="s">
        <v>852</v>
      </c>
      <c r="AD25" s="681" t="s">
        <v>853</v>
      </c>
      <c r="AE25" s="681" t="s">
        <v>854</v>
      </c>
      <c r="AF25" s="681" t="s">
        <v>855</v>
      </c>
      <c r="AG25" s="681" t="s">
        <v>856</v>
      </c>
      <c r="AH25" s="681" t="s">
        <v>857</v>
      </c>
      <c r="AI25" s="681" t="s">
        <v>858</v>
      </c>
      <c r="AJ25" s="681" t="s">
        <v>859</v>
      </c>
      <c r="AK25" s="681" t="s">
        <v>860</v>
      </c>
      <c r="AL25" s="681" t="s">
        <v>861</v>
      </c>
      <c r="AM25" s="681" t="s">
        <v>862</v>
      </c>
      <c r="AN25" s="681" t="s">
        <v>863</v>
      </c>
      <c r="AO25" s="681" t="s">
        <v>864</v>
      </c>
      <c r="AP25" s="681" t="s">
        <v>865</v>
      </c>
      <c r="AQ25" s="681" t="s">
        <v>866</v>
      </c>
      <c r="AR25" s="681" t="s">
        <v>867</v>
      </c>
      <c r="AS25" s="681" t="s">
        <v>868</v>
      </c>
      <c r="AT25" s="681" t="s">
        <v>869</v>
      </c>
      <c r="AU25" s="681" t="s">
        <v>870</v>
      </c>
      <c r="AV25" s="681" t="s">
        <v>871</v>
      </c>
      <c r="AW25" s="681" t="s">
        <v>872</v>
      </c>
      <c r="AX25" s="681" t="s">
        <v>873</v>
      </c>
      <c r="AY25" s="681" t="s">
        <v>874</v>
      </c>
      <c r="AZ25" s="681" t="s">
        <v>875</v>
      </c>
      <c r="BA25" s="681" t="s">
        <v>876</v>
      </c>
      <c r="BB25" s="681" t="s">
        <v>877</v>
      </c>
      <c r="BC25" s="681" t="s">
        <v>878</v>
      </c>
      <c r="BD25" s="681" t="s">
        <v>879</v>
      </c>
      <c r="BE25" s="681" t="s">
        <v>880</v>
      </c>
      <c r="BF25" s="681" t="s">
        <v>881</v>
      </c>
      <c r="BG25" s="681" t="s">
        <v>882</v>
      </c>
      <c r="BH25" s="681" t="s">
        <v>883</v>
      </c>
      <c r="BI25" s="681" t="s">
        <v>884</v>
      </c>
      <c r="BJ25" s="681" t="s">
        <v>885</v>
      </c>
      <c r="BK25" s="681" t="s">
        <v>886</v>
      </c>
      <c r="BL25" s="681" t="s">
        <v>887</v>
      </c>
      <c r="BM25" s="681" t="s">
        <v>888</v>
      </c>
      <c r="BN25" s="681" t="s">
        <v>889</v>
      </c>
      <c r="BO25" s="681" t="s">
        <v>890</v>
      </c>
      <c r="BP25" s="681" t="s">
        <v>891</v>
      </c>
      <c r="BQ25" s="681" t="s">
        <v>892</v>
      </c>
      <c r="BR25" s="681" t="s">
        <v>893</v>
      </c>
      <c r="BS25" s="681" t="s">
        <v>894</v>
      </c>
      <c r="BT25" s="681" t="s">
        <v>895</v>
      </c>
      <c r="BU25" s="681" t="s">
        <v>896</v>
      </c>
      <c r="BV25" s="681" t="s">
        <v>897</v>
      </c>
      <c r="BW25" s="681" t="s">
        <v>898</v>
      </c>
      <c r="BX25" s="681" t="s">
        <v>899</v>
      </c>
      <c r="BY25" s="681" t="s">
        <v>900</v>
      </c>
      <c r="BZ25" s="681" t="s">
        <v>901</v>
      </c>
      <c r="CA25" s="681" t="s">
        <v>902</v>
      </c>
      <c r="CB25" s="681" t="s">
        <v>903</v>
      </c>
      <c r="CC25" s="681" t="s">
        <v>904</v>
      </c>
      <c r="CD25" s="681" t="s">
        <v>905</v>
      </c>
    </row>
    <row r="26" spans="1:82" s="683" customFormat="1">
      <c r="A26" s="682" t="s">
        <v>1010</v>
      </c>
      <c r="B26" s="682"/>
      <c r="C26" s="684">
        <v>102.9</v>
      </c>
      <c r="D26" s="684">
        <v>129.30000000000001</v>
      </c>
      <c r="E26" s="684">
        <v>166</v>
      </c>
      <c r="F26" s="684">
        <v>203.1</v>
      </c>
      <c r="G26" s="684">
        <v>224.4</v>
      </c>
      <c r="H26" s="684">
        <v>228</v>
      </c>
      <c r="I26" s="684">
        <v>227.5</v>
      </c>
      <c r="J26" s="684">
        <v>249.6</v>
      </c>
      <c r="K26" s="684">
        <v>274.5</v>
      </c>
      <c r="L26" s="684">
        <v>272.5</v>
      </c>
      <c r="M26" s="684">
        <v>299.8</v>
      </c>
      <c r="N26" s="684">
        <v>346.9</v>
      </c>
      <c r="O26" s="684">
        <v>367.3</v>
      </c>
      <c r="P26" s="684">
        <v>389.2</v>
      </c>
      <c r="Q26" s="684">
        <v>390.5</v>
      </c>
      <c r="R26" s="684">
        <v>425.5</v>
      </c>
      <c r="S26" s="684">
        <v>449.4</v>
      </c>
      <c r="T26" s="684">
        <v>474</v>
      </c>
      <c r="U26" s="684">
        <v>481.2</v>
      </c>
      <c r="V26" s="684">
        <v>521.70000000000005</v>
      </c>
      <c r="W26" s="684">
        <v>542.4</v>
      </c>
      <c r="X26" s="684">
        <v>562.20000000000005</v>
      </c>
      <c r="Y26" s="684">
        <v>603.9</v>
      </c>
      <c r="Z26" s="684">
        <v>637.5</v>
      </c>
      <c r="AA26" s="684">
        <v>684.5</v>
      </c>
      <c r="AB26" s="684">
        <v>742.3</v>
      </c>
      <c r="AC26" s="684">
        <v>813.4</v>
      </c>
      <c r="AD26" s="684">
        <v>860</v>
      </c>
      <c r="AE26" s="684">
        <v>940.7</v>
      </c>
      <c r="AF26" s="685">
        <v>1017.6</v>
      </c>
      <c r="AG26" s="685">
        <v>1073.3</v>
      </c>
      <c r="AH26" s="685">
        <v>1164.9000000000001</v>
      </c>
      <c r="AI26" s="685">
        <v>1279.0999999999999</v>
      </c>
      <c r="AJ26" s="685">
        <v>1425.4</v>
      </c>
      <c r="AK26" s="685">
        <v>1545.2</v>
      </c>
      <c r="AL26" s="685">
        <v>1684.9</v>
      </c>
      <c r="AM26" s="685">
        <v>1873.4</v>
      </c>
      <c r="AN26" s="685">
        <v>2081.8000000000002</v>
      </c>
      <c r="AO26" s="685">
        <v>2351.6</v>
      </c>
      <c r="AP26" s="685">
        <v>2627.3</v>
      </c>
      <c r="AQ26" s="685">
        <v>2857.3</v>
      </c>
      <c r="AR26" s="685">
        <v>3207</v>
      </c>
      <c r="AS26" s="685">
        <v>3343.8</v>
      </c>
      <c r="AT26" s="685">
        <v>3634</v>
      </c>
      <c r="AU26" s="685">
        <v>4037.6</v>
      </c>
      <c r="AV26" s="685">
        <v>4339</v>
      </c>
      <c r="AW26" s="685">
        <v>4579.6000000000004</v>
      </c>
      <c r="AX26" s="685">
        <v>4855.2</v>
      </c>
      <c r="AY26" s="685">
        <v>5236.3999999999996</v>
      </c>
      <c r="AZ26" s="685">
        <v>5641.6</v>
      </c>
      <c r="BA26" s="685">
        <v>5963.1</v>
      </c>
      <c r="BB26" s="685">
        <v>6158.1</v>
      </c>
      <c r="BC26" s="685">
        <v>6520.3</v>
      </c>
      <c r="BD26" s="685">
        <v>6858.6</v>
      </c>
      <c r="BE26" s="685">
        <v>7287.2</v>
      </c>
      <c r="BF26" s="685">
        <v>7639.7</v>
      </c>
      <c r="BG26" s="685">
        <v>8073.1</v>
      </c>
      <c r="BH26" s="685">
        <v>8577.6</v>
      </c>
      <c r="BI26" s="685">
        <v>9062.7999999999993</v>
      </c>
      <c r="BJ26" s="685">
        <v>9630.7000000000007</v>
      </c>
      <c r="BK26" s="685">
        <v>10252.299999999999</v>
      </c>
      <c r="BL26" s="685">
        <v>10581.8</v>
      </c>
      <c r="BM26" s="685">
        <v>10936.4</v>
      </c>
      <c r="BN26" s="685">
        <v>11458.2</v>
      </c>
      <c r="BO26" s="685">
        <v>12213.7</v>
      </c>
      <c r="BP26" s="685">
        <v>13036.6</v>
      </c>
      <c r="BQ26" s="685">
        <v>13814.6</v>
      </c>
      <c r="BR26" s="685">
        <v>14451.9</v>
      </c>
      <c r="BS26" s="685">
        <v>14712.8</v>
      </c>
      <c r="BT26" s="685">
        <v>14448.9</v>
      </c>
      <c r="BU26" s="685">
        <v>14992.1</v>
      </c>
      <c r="BV26" s="685">
        <v>15542.6</v>
      </c>
      <c r="BW26" s="685">
        <v>16197</v>
      </c>
      <c r="BX26" s="685">
        <v>16784.900000000001</v>
      </c>
      <c r="BY26" s="685">
        <v>17527.3</v>
      </c>
      <c r="BZ26" s="685">
        <v>18238.3</v>
      </c>
      <c r="CA26" s="685">
        <v>18745.099999999999</v>
      </c>
      <c r="CB26" s="685">
        <v>19543</v>
      </c>
      <c r="CC26" s="685">
        <v>20611.900000000001</v>
      </c>
      <c r="CD26" s="685">
        <v>21433.200000000001</v>
      </c>
    </row>
    <row r="27" spans="1:82" s="673" customFormat="1"/>
    <row r="28" spans="1:82">
      <c r="A28" s="825" t="s">
        <v>820</v>
      </c>
      <c r="B28" s="826"/>
      <c r="C28" s="826"/>
      <c r="D28" s="826"/>
      <c r="E28" s="826"/>
      <c r="F28" s="826"/>
      <c r="G28" s="826"/>
      <c r="H28" s="826"/>
      <c r="I28" s="826"/>
      <c r="J28" s="826"/>
      <c r="K28" s="826"/>
      <c r="L28" s="826"/>
      <c r="M28" s="826"/>
      <c r="N28" s="826"/>
      <c r="O28" s="826"/>
      <c r="P28" s="826"/>
      <c r="Q28" s="826"/>
      <c r="R28" s="826"/>
      <c r="S28" s="826"/>
      <c r="T28" s="826"/>
      <c r="U28" s="826"/>
      <c r="V28" s="826"/>
      <c r="W28" s="826"/>
      <c r="X28" s="826"/>
      <c r="Y28" s="826"/>
      <c r="Z28" s="826"/>
      <c r="AA28" s="826"/>
      <c r="AB28" s="826"/>
      <c r="AC28" s="826"/>
      <c r="AD28" s="826"/>
      <c r="AE28" s="826"/>
      <c r="AF28" s="826"/>
      <c r="AG28" s="826"/>
      <c r="AH28" s="826"/>
      <c r="AI28" s="826"/>
      <c r="AJ28" s="826"/>
      <c r="AK28" s="826"/>
      <c r="AL28" s="826"/>
      <c r="AM28" s="826"/>
      <c r="AN28" s="826"/>
      <c r="AO28" s="826"/>
      <c r="AP28" s="826"/>
      <c r="AQ28" s="826"/>
      <c r="AR28" s="826"/>
      <c r="AS28" s="826"/>
      <c r="AT28" s="826"/>
      <c r="AU28" s="826"/>
      <c r="AV28" s="826"/>
      <c r="AW28" s="826"/>
      <c r="AX28" s="826"/>
      <c r="AY28" s="826"/>
      <c r="AZ28" s="826"/>
      <c r="BA28" s="826"/>
      <c r="BB28" s="826"/>
      <c r="BC28" s="826"/>
      <c r="BD28" s="826"/>
      <c r="BE28" s="826"/>
      <c r="BF28" s="826"/>
      <c r="BG28" s="826"/>
      <c r="BH28" s="826"/>
      <c r="BI28" s="826"/>
      <c r="BJ28" s="826"/>
      <c r="BK28" s="826"/>
      <c r="BL28" s="826"/>
      <c r="BM28" s="826"/>
      <c r="BN28" s="826"/>
      <c r="BO28" s="826"/>
      <c r="BP28" s="826"/>
      <c r="BQ28" s="826"/>
      <c r="BR28" s="826"/>
      <c r="BS28" s="826"/>
      <c r="BT28" s="826"/>
      <c r="BU28" s="826"/>
      <c r="BV28" s="826"/>
      <c r="BW28" s="826"/>
      <c r="BX28" s="826"/>
      <c r="BY28" s="826"/>
      <c r="BZ28" s="826"/>
      <c r="CA28" s="826"/>
      <c r="CB28" s="826"/>
      <c r="CC28" s="826"/>
      <c r="CD28" s="826"/>
    </row>
    <row r="29" spans="1:82" ht="16.5">
      <c r="A29" s="827" t="s">
        <v>821</v>
      </c>
      <c r="B29" s="828"/>
      <c r="C29" s="828"/>
      <c r="D29" s="828"/>
      <c r="E29" s="828"/>
      <c r="F29" s="828"/>
      <c r="G29" s="828"/>
      <c r="H29" s="828"/>
      <c r="I29" s="828"/>
      <c r="J29" s="828"/>
      <c r="K29" s="828"/>
      <c r="L29" s="828"/>
      <c r="M29" s="828"/>
      <c r="N29" s="828"/>
      <c r="O29" s="828"/>
      <c r="P29" s="828"/>
      <c r="Q29" s="828"/>
      <c r="R29" s="828"/>
      <c r="S29" s="828"/>
      <c r="T29" s="828"/>
      <c r="U29" s="828"/>
      <c r="V29" s="828"/>
      <c r="W29" s="828"/>
      <c r="X29" s="828"/>
      <c r="Y29" s="828"/>
      <c r="Z29" s="828"/>
      <c r="AA29" s="828"/>
      <c r="AB29" s="828"/>
      <c r="AC29" s="828"/>
      <c r="AD29" s="828"/>
      <c r="AE29" s="828"/>
      <c r="AF29" s="828"/>
      <c r="AG29" s="828"/>
      <c r="AH29" s="828"/>
      <c r="AI29" s="828"/>
      <c r="AJ29" s="828"/>
      <c r="AK29" s="828"/>
      <c r="AL29" s="828"/>
      <c r="AM29" s="828"/>
      <c r="AN29" s="828"/>
      <c r="AO29" s="828"/>
      <c r="AP29" s="828"/>
      <c r="AQ29" s="828"/>
      <c r="AR29" s="828"/>
      <c r="AS29" s="828"/>
      <c r="AT29" s="828"/>
      <c r="AU29" s="828"/>
      <c r="AV29" s="828"/>
      <c r="AW29" s="828"/>
      <c r="AX29" s="828"/>
      <c r="AY29" s="828"/>
      <c r="AZ29" s="828"/>
      <c r="BA29" s="828"/>
      <c r="BB29" s="828"/>
      <c r="BC29" s="828"/>
      <c r="BD29" s="828"/>
      <c r="BE29" s="828"/>
      <c r="BF29" s="828"/>
      <c r="BG29" s="828"/>
      <c r="BH29" s="828"/>
      <c r="BI29" s="828"/>
      <c r="BJ29" s="828"/>
      <c r="BK29" s="828"/>
      <c r="BL29" s="828"/>
      <c r="BM29" s="828"/>
      <c r="BN29" s="828"/>
      <c r="BO29" s="828"/>
      <c r="BP29" s="828"/>
      <c r="BQ29" s="828"/>
      <c r="BR29" s="828"/>
      <c r="BS29" s="828"/>
      <c r="BT29" s="828"/>
      <c r="BU29" s="828"/>
      <c r="BV29" s="828"/>
      <c r="BW29" s="828"/>
      <c r="BX29" s="828"/>
      <c r="BY29" s="828"/>
      <c r="BZ29" s="828"/>
      <c r="CA29" s="828"/>
      <c r="CB29" s="828"/>
      <c r="CC29" s="828"/>
      <c r="CD29" s="828"/>
    </row>
    <row r="30" spans="1:82">
      <c r="A30" s="828" t="s">
        <v>822</v>
      </c>
      <c r="B30" s="828"/>
      <c r="C30" s="828"/>
      <c r="D30" s="828"/>
      <c r="E30" s="828"/>
      <c r="F30" s="828"/>
      <c r="G30" s="828"/>
      <c r="H30" s="828"/>
      <c r="I30" s="828"/>
      <c r="J30" s="828"/>
      <c r="K30" s="828"/>
      <c r="L30" s="828"/>
      <c r="M30" s="828"/>
      <c r="N30" s="828"/>
      <c r="O30" s="828"/>
      <c r="P30" s="828"/>
      <c r="Q30" s="828"/>
      <c r="R30" s="828"/>
      <c r="S30" s="828"/>
      <c r="T30" s="828"/>
      <c r="U30" s="828"/>
      <c r="V30" s="828"/>
      <c r="W30" s="828"/>
      <c r="X30" s="828"/>
      <c r="Y30" s="828"/>
      <c r="Z30" s="828"/>
      <c r="AA30" s="828"/>
      <c r="AB30" s="828"/>
      <c r="AC30" s="828"/>
      <c r="AD30" s="828"/>
      <c r="AE30" s="828"/>
      <c r="AF30" s="828"/>
      <c r="AG30" s="828"/>
      <c r="AH30" s="828"/>
      <c r="AI30" s="828"/>
      <c r="AJ30" s="828"/>
      <c r="AK30" s="828"/>
      <c r="AL30" s="828"/>
      <c r="AM30" s="828"/>
      <c r="AN30" s="828"/>
      <c r="AO30" s="828"/>
      <c r="AP30" s="828"/>
      <c r="AQ30" s="828"/>
      <c r="AR30" s="828"/>
      <c r="AS30" s="828"/>
      <c r="AT30" s="828"/>
      <c r="AU30" s="828"/>
      <c r="AV30" s="828"/>
      <c r="AW30" s="828"/>
      <c r="AX30" s="828"/>
      <c r="AY30" s="828"/>
      <c r="AZ30" s="828"/>
      <c r="BA30" s="828"/>
      <c r="BB30" s="828"/>
      <c r="BC30" s="828"/>
      <c r="BD30" s="828"/>
      <c r="BE30" s="828"/>
      <c r="BF30" s="828"/>
      <c r="BG30" s="828"/>
      <c r="BH30" s="828"/>
      <c r="BI30" s="828"/>
      <c r="BJ30" s="828"/>
      <c r="BK30" s="828"/>
      <c r="BL30" s="828"/>
      <c r="BM30" s="828"/>
      <c r="BN30" s="828"/>
      <c r="BO30" s="828"/>
      <c r="BP30" s="828"/>
      <c r="BQ30" s="828"/>
      <c r="BR30" s="828"/>
      <c r="BS30" s="828"/>
      <c r="BT30" s="828"/>
      <c r="BU30" s="828"/>
      <c r="BV30" s="828"/>
      <c r="BW30" s="828"/>
      <c r="BX30" s="828"/>
      <c r="BY30" s="828"/>
      <c r="BZ30" s="828"/>
      <c r="CA30" s="828"/>
      <c r="CB30" s="828"/>
      <c r="CC30" s="828"/>
      <c r="CD30" s="828"/>
    </row>
    <row r="31" spans="1:82">
      <c r="A31" s="828" t="s">
        <v>823</v>
      </c>
      <c r="B31" s="828"/>
      <c r="C31" s="828"/>
      <c r="D31" s="828"/>
      <c r="E31" s="828"/>
      <c r="F31" s="828"/>
      <c r="G31" s="828"/>
      <c r="H31" s="828"/>
      <c r="I31" s="828"/>
      <c r="J31" s="828"/>
      <c r="K31" s="828"/>
      <c r="L31" s="828"/>
      <c r="M31" s="828"/>
      <c r="N31" s="828"/>
      <c r="O31" s="828"/>
      <c r="P31" s="828"/>
      <c r="Q31" s="828"/>
      <c r="R31" s="828"/>
      <c r="S31" s="828"/>
      <c r="T31" s="828"/>
      <c r="U31" s="828"/>
      <c r="V31" s="828"/>
      <c r="W31" s="828"/>
      <c r="X31" s="828"/>
      <c r="Y31" s="828"/>
      <c r="Z31" s="828"/>
      <c r="AA31" s="828"/>
      <c r="AB31" s="828"/>
      <c r="AC31" s="828"/>
      <c r="AD31" s="828"/>
      <c r="AE31" s="828"/>
      <c r="AF31" s="828"/>
      <c r="AG31" s="828"/>
      <c r="AH31" s="828"/>
      <c r="AI31" s="828"/>
      <c r="AJ31" s="828"/>
      <c r="AK31" s="828"/>
      <c r="AL31" s="828"/>
      <c r="AM31" s="828"/>
      <c r="AN31" s="828"/>
      <c r="AO31" s="828"/>
      <c r="AP31" s="828"/>
      <c r="AQ31" s="828"/>
      <c r="AR31" s="828"/>
      <c r="AS31" s="828"/>
      <c r="AT31" s="828"/>
      <c r="AU31" s="828"/>
      <c r="AV31" s="828"/>
      <c r="AW31" s="828"/>
      <c r="AX31" s="828"/>
      <c r="AY31" s="828"/>
      <c r="AZ31" s="828"/>
      <c r="BA31" s="828"/>
      <c r="BB31" s="828"/>
      <c r="BC31" s="828"/>
      <c r="BD31" s="828"/>
      <c r="BE31" s="828"/>
      <c r="BF31" s="828"/>
      <c r="BG31" s="828"/>
      <c r="BH31" s="828"/>
      <c r="BI31" s="828"/>
      <c r="BJ31" s="828"/>
      <c r="BK31" s="828"/>
      <c r="BL31" s="828"/>
      <c r="BM31" s="828"/>
      <c r="BN31" s="828"/>
      <c r="BO31" s="828"/>
      <c r="BP31" s="828"/>
      <c r="BQ31" s="828"/>
      <c r="BR31" s="828"/>
      <c r="BS31" s="828"/>
      <c r="BT31" s="828"/>
      <c r="BU31" s="828"/>
      <c r="BV31" s="828"/>
      <c r="BW31" s="828"/>
      <c r="BX31" s="828"/>
      <c r="BY31" s="828"/>
      <c r="BZ31" s="828"/>
      <c r="CA31" s="828"/>
      <c r="CB31" s="828"/>
      <c r="CC31" s="828"/>
      <c r="CD31" s="828"/>
    </row>
    <row r="32" spans="1:82" ht="9.75" customHeight="1"/>
    <row r="33" spans="1:82">
      <c r="A33" s="829" t="s">
        <v>824</v>
      </c>
      <c r="B33" s="829" t="s">
        <v>825</v>
      </c>
      <c r="C33" s="829" t="s">
        <v>826</v>
      </c>
      <c r="D33" s="829" t="s">
        <v>827</v>
      </c>
      <c r="E33" s="829" t="s">
        <v>828</v>
      </c>
      <c r="F33" s="829" t="s">
        <v>829</v>
      </c>
      <c r="G33" s="829" t="s">
        <v>830</v>
      </c>
      <c r="H33" s="829" t="s">
        <v>831</v>
      </c>
      <c r="I33" s="829" t="s">
        <v>832</v>
      </c>
      <c r="J33" s="829" t="s">
        <v>833</v>
      </c>
      <c r="K33" s="829" t="s">
        <v>834</v>
      </c>
      <c r="L33" s="829" t="s">
        <v>835</v>
      </c>
      <c r="M33" s="829" t="s">
        <v>836</v>
      </c>
      <c r="N33" s="829" t="s">
        <v>837</v>
      </c>
      <c r="O33" s="829" t="s">
        <v>838</v>
      </c>
      <c r="P33" s="829" t="s">
        <v>839</v>
      </c>
      <c r="Q33" s="829" t="s">
        <v>840</v>
      </c>
      <c r="R33" s="829" t="s">
        <v>841</v>
      </c>
      <c r="S33" s="829" t="s">
        <v>842</v>
      </c>
      <c r="T33" s="829" t="s">
        <v>843</v>
      </c>
      <c r="U33" s="829" t="s">
        <v>844</v>
      </c>
      <c r="V33" s="829" t="s">
        <v>845</v>
      </c>
      <c r="W33" s="829" t="s">
        <v>846</v>
      </c>
      <c r="X33" s="829" t="s">
        <v>847</v>
      </c>
      <c r="Y33" s="829" t="s">
        <v>848</v>
      </c>
      <c r="Z33" s="829" t="s">
        <v>849</v>
      </c>
      <c r="AA33" s="829" t="s">
        <v>850</v>
      </c>
      <c r="AB33" s="829" t="s">
        <v>851</v>
      </c>
      <c r="AC33" s="829" t="s">
        <v>852</v>
      </c>
      <c r="AD33" s="829" t="s">
        <v>853</v>
      </c>
      <c r="AE33" s="829" t="s">
        <v>854</v>
      </c>
      <c r="AF33" s="829" t="s">
        <v>855</v>
      </c>
      <c r="AG33" s="829" t="s">
        <v>856</v>
      </c>
      <c r="AH33" s="829" t="s">
        <v>857</v>
      </c>
      <c r="AI33" s="829" t="s">
        <v>858</v>
      </c>
      <c r="AJ33" s="829" t="s">
        <v>859</v>
      </c>
      <c r="AK33" s="829" t="s">
        <v>860</v>
      </c>
      <c r="AL33" s="829" t="s">
        <v>861</v>
      </c>
      <c r="AM33" s="829" t="s">
        <v>862</v>
      </c>
      <c r="AN33" s="829" t="s">
        <v>863</v>
      </c>
      <c r="AO33" s="829" t="s">
        <v>864</v>
      </c>
      <c r="AP33" s="829" t="s">
        <v>865</v>
      </c>
      <c r="AQ33" s="829" t="s">
        <v>866</v>
      </c>
      <c r="AR33" s="829" t="s">
        <v>867</v>
      </c>
      <c r="AS33" s="829" t="s">
        <v>868</v>
      </c>
      <c r="AT33" s="829" t="s">
        <v>869</v>
      </c>
      <c r="AU33" s="829" t="s">
        <v>870</v>
      </c>
      <c r="AV33" s="829" t="s">
        <v>871</v>
      </c>
      <c r="AW33" s="829" t="s">
        <v>872</v>
      </c>
      <c r="AX33" s="829" t="s">
        <v>873</v>
      </c>
      <c r="AY33" s="829" t="s">
        <v>874</v>
      </c>
      <c r="AZ33" s="829" t="s">
        <v>875</v>
      </c>
      <c r="BA33" s="829" t="s">
        <v>876</v>
      </c>
      <c r="BB33" s="829" t="s">
        <v>877</v>
      </c>
      <c r="BC33" s="829" t="s">
        <v>878</v>
      </c>
      <c r="BD33" s="829" t="s">
        <v>879</v>
      </c>
      <c r="BE33" s="829" t="s">
        <v>880</v>
      </c>
      <c r="BF33" s="829" t="s">
        <v>881</v>
      </c>
      <c r="BG33" s="829" t="s">
        <v>882</v>
      </c>
      <c r="BH33" s="829" t="s">
        <v>883</v>
      </c>
      <c r="BI33" s="829" t="s">
        <v>884</v>
      </c>
      <c r="BJ33" s="829" t="s">
        <v>885</v>
      </c>
      <c r="BK33" s="829" t="s">
        <v>886</v>
      </c>
      <c r="BL33" s="829" t="s">
        <v>887</v>
      </c>
      <c r="BM33" s="829" t="s">
        <v>888</v>
      </c>
      <c r="BN33" s="829" t="s">
        <v>889</v>
      </c>
      <c r="BO33" s="829" t="s">
        <v>890</v>
      </c>
      <c r="BP33" s="829" t="s">
        <v>891</v>
      </c>
      <c r="BQ33" s="829" t="s">
        <v>892</v>
      </c>
      <c r="BR33" s="829" t="s">
        <v>893</v>
      </c>
      <c r="BS33" s="829" t="s">
        <v>894</v>
      </c>
      <c r="BT33" s="829" t="s">
        <v>895</v>
      </c>
      <c r="BU33" s="829" t="s">
        <v>896</v>
      </c>
      <c r="BV33" s="829" t="s">
        <v>897</v>
      </c>
      <c r="BW33" s="829" t="s">
        <v>898</v>
      </c>
      <c r="BX33" s="829" t="s">
        <v>899</v>
      </c>
      <c r="BY33" s="829" t="s">
        <v>900</v>
      </c>
      <c r="BZ33" s="829" t="s">
        <v>901</v>
      </c>
      <c r="CA33" s="829" t="s">
        <v>902</v>
      </c>
      <c r="CB33" s="829" t="s">
        <v>903</v>
      </c>
      <c r="CC33" s="829" t="s">
        <v>904</v>
      </c>
      <c r="CD33" s="829" t="s">
        <v>905</v>
      </c>
    </row>
    <row r="34" spans="1:82">
      <c r="A34" s="679" t="s">
        <v>824</v>
      </c>
      <c r="B34" s="679" t="s">
        <v>825</v>
      </c>
      <c r="C34" s="679" t="s">
        <v>825</v>
      </c>
      <c r="D34" s="679" t="s">
        <v>825</v>
      </c>
      <c r="E34" s="679" t="s">
        <v>825</v>
      </c>
      <c r="F34" s="679" t="s">
        <v>825</v>
      </c>
      <c r="G34" s="679" t="s">
        <v>825</v>
      </c>
      <c r="H34" s="679" t="s">
        <v>825</v>
      </c>
      <c r="I34" s="679" t="s">
        <v>825</v>
      </c>
      <c r="J34" s="679" t="s">
        <v>825</v>
      </c>
      <c r="K34" s="679" t="s">
        <v>825</v>
      </c>
      <c r="L34" s="679" t="s">
        <v>825</v>
      </c>
      <c r="M34" s="679" t="s">
        <v>825</v>
      </c>
      <c r="N34" s="679" t="s">
        <v>825</v>
      </c>
      <c r="O34" s="679" t="s">
        <v>825</v>
      </c>
      <c r="P34" s="679" t="s">
        <v>825</v>
      </c>
      <c r="Q34" s="679" t="s">
        <v>825</v>
      </c>
      <c r="R34" s="679" t="s">
        <v>825</v>
      </c>
      <c r="S34" s="679" t="s">
        <v>825</v>
      </c>
      <c r="T34" s="679" t="s">
        <v>825</v>
      </c>
      <c r="U34" s="679" t="s">
        <v>825</v>
      </c>
      <c r="V34" s="679" t="s">
        <v>825</v>
      </c>
      <c r="W34" s="679" t="s">
        <v>825</v>
      </c>
      <c r="X34" s="679" t="s">
        <v>825</v>
      </c>
      <c r="Y34" s="679" t="s">
        <v>825</v>
      </c>
      <c r="Z34" s="679" t="s">
        <v>825</v>
      </c>
      <c r="AA34" s="679" t="s">
        <v>825</v>
      </c>
      <c r="AB34" s="679" t="s">
        <v>825</v>
      </c>
      <c r="AC34" s="679" t="s">
        <v>825</v>
      </c>
      <c r="AD34" s="679" t="s">
        <v>825</v>
      </c>
      <c r="AE34" s="679" t="s">
        <v>825</v>
      </c>
      <c r="AF34" s="679" t="s">
        <v>825</v>
      </c>
      <c r="AG34" s="679" t="s">
        <v>825</v>
      </c>
      <c r="AH34" s="679" t="s">
        <v>825</v>
      </c>
      <c r="AI34" s="679" t="s">
        <v>825</v>
      </c>
      <c r="AJ34" s="679" t="s">
        <v>825</v>
      </c>
      <c r="AK34" s="679" t="s">
        <v>825</v>
      </c>
      <c r="AL34" s="679" t="s">
        <v>825</v>
      </c>
      <c r="AM34" s="679" t="s">
        <v>825</v>
      </c>
      <c r="AN34" s="679" t="s">
        <v>825</v>
      </c>
      <c r="AO34" s="679" t="s">
        <v>825</v>
      </c>
      <c r="AP34" s="679" t="s">
        <v>825</v>
      </c>
      <c r="AQ34" s="679" t="s">
        <v>825</v>
      </c>
      <c r="AR34" s="679" t="s">
        <v>825</v>
      </c>
      <c r="AS34" s="679" t="s">
        <v>825</v>
      </c>
      <c r="AT34" s="679" t="s">
        <v>825</v>
      </c>
      <c r="AU34" s="679" t="s">
        <v>825</v>
      </c>
      <c r="AV34" s="679" t="s">
        <v>825</v>
      </c>
      <c r="AW34" s="679" t="s">
        <v>825</v>
      </c>
      <c r="AX34" s="679" t="s">
        <v>825</v>
      </c>
      <c r="AY34" s="679" t="s">
        <v>825</v>
      </c>
      <c r="AZ34" s="679" t="s">
        <v>825</v>
      </c>
      <c r="BA34" s="679" t="s">
        <v>825</v>
      </c>
      <c r="BB34" s="679" t="s">
        <v>825</v>
      </c>
      <c r="BC34" s="679" t="s">
        <v>825</v>
      </c>
      <c r="BD34" s="679" t="s">
        <v>825</v>
      </c>
      <c r="BE34" s="679" t="s">
        <v>825</v>
      </c>
      <c r="BF34" s="679" t="s">
        <v>825</v>
      </c>
      <c r="BG34" s="679" t="s">
        <v>825</v>
      </c>
      <c r="BH34" s="679" t="s">
        <v>825</v>
      </c>
      <c r="BI34" s="679" t="s">
        <v>825</v>
      </c>
      <c r="BJ34" s="679" t="s">
        <v>825</v>
      </c>
      <c r="BK34" s="679" t="s">
        <v>825</v>
      </c>
      <c r="BL34" s="679" t="s">
        <v>825</v>
      </c>
      <c r="BM34" s="679" t="s">
        <v>825</v>
      </c>
      <c r="BN34" s="679" t="s">
        <v>825</v>
      </c>
      <c r="BO34" s="679" t="s">
        <v>825</v>
      </c>
      <c r="BP34" s="679" t="s">
        <v>825</v>
      </c>
      <c r="BQ34" s="679" t="s">
        <v>825</v>
      </c>
      <c r="BR34" s="679" t="s">
        <v>825</v>
      </c>
      <c r="BS34" s="679" t="s">
        <v>825</v>
      </c>
      <c r="BT34" s="679" t="s">
        <v>825</v>
      </c>
      <c r="BU34" s="679" t="s">
        <v>825</v>
      </c>
      <c r="BV34" s="679" t="s">
        <v>825</v>
      </c>
      <c r="BW34" s="679" t="s">
        <v>825</v>
      </c>
      <c r="BX34" s="679" t="s">
        <v>825</v>
      </c>
      <c r="BY34" s="679" t="s">
        <v>825</v>
      </c>
      <c r="BZ34" s="679" t="s">
        <v>825</v>
      </c>
      <c r="CA34" s="679" t="s">
        <v>825</v>
      </c>
      <c r="CB34" s="679" t="s">
        <v>825</v>
      </c>
      <c r="CC34" s="679" t="s">
        <v>825</v>
      </c>
      <c r="CD34" s="679" t="s">
        <v>825</v>
      </c>
    </row>
    <row r="35" spans="1:82">
      <c r="A35" s="679" t="s">
        <v>906</v>
      </c>
      <c r="B35" s="680" t="s">
        <v>907</v>
      </c>
      <c r="C35" s="679">
        <v>8.1999999999999993</v>
      </c>
      <c r="D35" s="679">
        <v>14.9</v>
      </c>
      <c r="E35" s="679">
        <v>22.3</v>
      </c>
      <c r="F35" s="679">
        <v>38.5</v>
      </c>
      <c r="G35" s="679">
        <v>40.1</v>
      </c>
      <c r="H35" s="679">
        <v>41.5</v>
      </c>
      <c r="I35" s="679">
        <v>39.5</v>
      </c>
      <c r="J35" s="679">
        <v>42.8</v>
      </c>
      <c r="K35" s="679">
        <v>42.4</v>
      </c>
      <c r="L35" s="679">
        <v>37.9</v>
      </c>
      <c r="M35" s="679">
        <v>48.8</v>
      </c>
      <c r="N35" s="679">
        <v>62.9</v>
      </c>
      <c r="O35" s="679">
        <v>65.8</v>
      </c>
      <c r="P35" s="679">
        <v>68.599999999999994</v>
      </c>
      <c r="Q35" s="679">
        <v>62.5</v>
      </c>
      <c r="R35" s="679">
        <v>71.099999999999994</v>
      </c>
      <c r="S35" s="679">
        <v>75.8</v>
      </c>
      <c r="T35" s="679">
        <v>79.3</v>
      </c>
      <c r="U35" s="679">
        <v>76.099999999999994</v>
      </c>
      <c r="V35" s="679">
        <v>86.6</v>
      </c>
      <c r="W35" s="679">
        <v>93.6</v>
      </c>
      <c r="X35" s="679">
        <v>95.1</v>
      </c>
      <c r="Y35" s="679">
        <v>103.2</v>
      </c>
      <c r="Z35" s="679">
        <v>111.3</v>
      </c>
      <c r="AA35" s="679">
        <v>111.3</v>
      </c>
      <c r="AB35" s="679">
        <v>120.4</v>
      </c>
      <c r="AC35" s="679">
        <v>137.4</v>
      </c>
      <c r="AD35" s="679">
        <v>146.30000000000001</v>
      </c>
      <c r="AE35" s="679">
        <v>170.6</v>
      </c>
      <c r="AF35" s="679">
        <v>191.8</v>
      </c>
      <c r="AG35" s="679">
        <v>185.1</v>
      </c>
      <c r="AH35" s="679">
        <v>190.7</v>
      </c>
      <c r="AI35" s="679">
        <v>219</v>
      </c>
      <c r="AJ35" s="679">
        <v>249.2</v>
      </c>
      <c r="AK35" s="679">
        <v>278.5</v>
      </c>
      <c r="AL35" s="679">
        <v>276.8</v>
      </c>
      <c r="AM35" s="679">
        <v>322.60000000000002</v>
      </c>
      <c r="AN35" s="679">
        <v>363.9</v>
      </c>
      <c r="AO35" s="679">
        <v>423.8</v>
      </c>
      <c r="AP35" s="679">
        <v>487</v>
      </c>
      <c r="AQ35" s="679">
        <v>533.70000000000005</v>
      </c>
      <c r="AR35" s="679">
        <v>621.1</v>
      </c>
      <c r="AS35" s="679">
        <v>618.70000000000005</v>
      </c>
      <c r="AT35" s="679">
        <v>644.79999999999995</v>
      </c>
      <c r="AU35" s="679">
        <v>711.2</v>
      </c>
      <c r="AV35" s="679">
        <v>775.7</v>
      </c>
      <c r="AW35" s="679">
        <v>817.9</v>
      </c>
      <c r="AX35" s="679">
        <v>899.5</v>
      </c>
      <c r="AY35" s="679">
        <v>962.4</v>
      </c>
      <c r="AZ35" s="679">
        <v>1042.5</v>
      </c>
      <c r="BA35" s="679">
        <v>1087.5999999999999</v>
      </c>
      <c r="BB35" s="679">
        <v>1107.8</v>
      </c>
      <c r="BC35" s="679">
        <v>1154.4000000000001</v>
      </c>
      <c r="BD35" s="679">
        <v>1231</v>
      </c>
      <c r="BE35" s="679">
        <v>1329.3</v>
      </c>
      <c r="BF35" s="679">
        <v>1417.4</v>
      </c>
      <c r="BG35" s="679">
        <v>1536.3</v>
      </c>
      <c r="BH35" s="679">
        <v>1667.4</v>
      </c>
      <c r="BI35" s="679">
        <v>1789.8</v>
      </c>
      <c r="BJ35" s="679">
        <v>1906.6</v>
      </c>
      <c r="BK35" s="679">
        <v>2068.4</v>
      </c>
      <c r="BL35" s="679">
        <v>2032.2</v>
      </c>
      <c r="BM35" s="679">
        <v>1870.8</v>
      </c>
      <c r="BN35" s="679">
        <v>1895.6</v>
      </c>
      <c r="BO35" s="679">
        <v>2027.7</v>
      </c>
      <c r="BP35" s="679">
        <v>2304.4</v>
      </c>
      <c r="BQ35" s="679">
        <v>2538.3000000000002</v>
      </c>
      <c r="BR35" s="679">
        <v>2667.8</v>
      </c>
      <c r="BS35" s="679">
        <v>2580.6999999999998</v>
      </c>
      <c r="BT35" s="679">
        <v>2239.5</v>
      </c>
      <c r="BU35" s="679">
        <v>2444</v>
      </c>
      <c r="BV35" s="679">
        <v>2572.8000000000002</v>
      </c>
      <c r="BW35" s="679">
        <v>2700.3</v>
      </c>
      <c r="BX35" s="679">
        <v>3139</v>
      </c>
      <c r="BY35" s="679">
        <v>3292</v>
      </c>
      <c r="BZ35" s="679">
        <v>3448</v>
      </c>
      <c r="CA35" s="679">
        <v>3463.3</v>
      </c>
      <c r="CB35" s="679">
        <v>3524.3</v>
      </c>
      <c r="CC35" s="679">
        <v>3567.6</v>
      </c>
      <c r="CD35" s="679">
        <v>3711.2</v>
      </c>
    </row>
    <row r="36" spans="1:82">
      <c r="A36" s="679" t="s">
        <v>908</v>
      </c>
      <c r="B36" s="679" t="s">
        <v>909</v>
      </c>
      <c r="C36" s="679">
        <v>6.2</v>
      </c>
      <c r="D36" s="679">
        <v>12.4</v>
      </c>
      <c r="E36" s="679">
        <v>19.2</v>
      </c>
      <c r="F36" s="679">
        <v>34.4</v>
      </c>
      <c r="G36" s="679">
        <v>35.299999999999997</v>
      </c>
      <c r="H36" s="679">
        <v>35.799999999999997</v>
      </c>
      <c r="I36" s="679">
        <v>32.700000000000003</v>
      </c>
      <c r="J36" s="679">
        <v>37</v>
      </c>
      <c r="K36" s="679">
        <v>37.5</v>
      </c>
      <c r="L36" s="679">
        <v>32.700000000000003</v>
      </c>
      <c r="M36" s="679">
        <v>43.1</v>
      </c>
      <c r="N36" s="679">
        <v>56</v>
      </c>
      <c r="O36" s="679">
        <v>58.6</v>
      </c>
      <c r="P36" s="679">
        <v>61.1</v>
      </c>
      <c r="Q36" s="679">
        <v>54.2</v>
      </c>
      <c r="R36" s="679">
        <v>61.7</v>
      </c>
      <c r="S36" s="679">
        <v>65.400000000000006</v>
      </c>
      <c r="T36" s="679">
        <v>67.400000000000006</v>
      </c>
      <c r="U36" s="679">
        <v>64.099999999999994</v>
      </c>
      <c r="V36" s="679">
        <v>72.3</v>
      </c>
      <c r="W36" s="679">
        <v>75.599999999999994</v>
      </c>
      <c r="X36" s="679">
        <v>76.8</v>
      </c>
      <c r="Y36" s="679">
        <v>82.5</v>
      </c>
      <c r="Z36" s="679">
        <v>87.7</v>
      </c>
      <c r="AA36" s="679">
        <v>86.2</v>
      </c>
      <c r="AB36" s="679">
        <v>94.3</v>
      </c>
      <c r="AC36" s="679">
        <v>103.1</v>
      </c>
      <c r="AD36" s="679">
        <v>107.9</v>
      </c>
      <c r="AE36" s="679">
        <v>127.2</v>
      </c>
      <c r="AF36" s="679">
        <v>143</v>
      </c>
      <c r="AG36" s="679">
        <v>134.4</v>
      </c>
      <c r="AH36" s="679">
        <v>135.30000000000001</v>
      </c>
      <c r="AI36" s="679">
        <v>155</v>
      </c>
      <c r="AJ36" s="679">
        <v>168.7</v>
      </c>
      <c r="AK36" s="679">
        <v>186.5</v>
      </c>
      <c r="AL36" s="679">
        <v>181.5</v>
      </c>
      <c r="AM36" s="679">
        <v>212.4</v>
      </c>
      <c r="AN36" s="679">
        <v>241.6</v>
      </c>
      <c r="AO36" s="679">
        <v>279.8</v>
      </c>
      <c r="AP36" s="679">
        <v>316.89999999999998</v>
      </c>
      <c r="AQ36" s="679">
        <v>344.5</v>
      </c>
      <c r="AR36" s="679">
        <v>394.3</v>
      </c>
      <c r="AS36" s="679">
        <v>371.8</v>
      </c>
      <c r="AT36" s="679">
        <v>379.5</v>
      </c>
      <c r="AU36" s="679">
        <v>409.7</v>
      </c>
      <c r="AV36" s="679">
        <v>442.9</v>
      </c>
      <c r="AW36" s="679">
        <v>462</v>
      </c>
      <c r="AX36" s="679">
        <v>526.4</v>
      </c>
      <c r="AY36" s="679">
        <v>549.79999999999995</v>
      </c>
      <c r="AZ36" s="679">
        <v>601.1</v>
      </c>
      <c r="BA36" s="679">
        <v>620.6</v>
      </c>
      <c r="BB36" s="679">
        <v>617.1</v>
      </c>
      <c r="BC36" s="679">
        <v>645.4</v>
      </c>
      <c r="BD36" s="679">
        <v>699.3</v>
      </c>
      <c r="BE36" s="679">
        <v>763.5</v>
      </c>
      <c r="BF36" s="679">
        <v>825.7</v>
      </c>
      <c r="BG36" s="679">
        <v>917</v>
      </c>
      <c r="BH36" s="679">
        <v>1015.1</v>
      </c>
      <c r="BI36" s="679">
        <v>1095.3</v>
      </c>
      <c r="BJ36" s="679">
        <v>1174.5</v>
      </c>
      <c r="BK36" s="679">
        <v>1288.5</v>
      </c>
      <c r="BL36" s="679">
        <v>1226.8</v>
      </c>
      <c r="BM36" s="679">
        <v>1053.2</v>
      </c>
      <c r="BN36" s="679">
        <v>1053.9000000000001</v>
      </c>
      <c r="BO36" s="679">
        <v>1140.5999999999999</v>
      </c>
      <c r="BP36" s="679">
        <v>1367.8</v>
      </c>
      <c r="BQ36" s="679">
        <v>1534.8</v>
      </c>
      <c r="BR36" s="679">
        <v>1607.7</v>
      </c>
      <c r="BS36" s="679">
        <v>1489.5</v>
      </c>
      <c r="BT36" s="679">
        <v>1123.7</v>
      </c>
      <c r="BU36" s="679">
        <v>1273.5999999999999</v>
      </c>
      <c r="BV36" s="679">
        <v>1478.4</v>
      </c>
      <c r="BW36" s="679">
        <v>1573</v>
      </c>
      <c r="BX36" s="679">
        <v>1744.9</v>
      </c>
      <c r="BY36" s="679">
        <v>1900.1</v>
      </c>
      <c r="BZ36" s="679">
        <v>2024.2</v>
      </c>
      <c r="CA36" s="679">
        <v>2020.3</v>
      </c>
      <c r="CB36" s="679">
        <v>2015.5</v>
      </c>
      <c r="CC36" s="679">
        <v>2017.1</v>
      </c>
      <c r="CD36" s="679">
        <v>2131.6999999999998</v>
      </c>
    </row>
    <row r="37" spans="1:82">
      <c r="A37" s="679" t="s">
        <v>910</v>
      </c>
      <c r="B37" s="679" t="s">
        <v>911</v>
      </c>
      <c r="C37" s="679">
        <v>1</v>
      </c>
      <c r="D37" s="679">
        <v>1.6</v>
      </c>
      <c r="E37" s="679">
        <v>4.2</v>
      </c>
      <c r="F37" s="679">
        <v>16</v>
      </c>
      <c r="G37" s="679">
        <v>16.899999999999999</v>
      </c>
      <c r="H37" s="679">
        <v>18.600000000000001</v>
      </c>
      <c r="I37" s="679">
        <v>16.399999999999999</v>
      </c>
      <c r="J37" s="679">
        <v>18.8</v>
      </c>
      <c r="K37" s="679">
        <v>18.100000000000001</v>
      </c>
      <c r="L37" s="679">
        <v>15.4</v>
      </c>
      <c r="M37" s="679">
        <v>17.399999999999999</v>
      </c>
      <c r="N37" s="679">
        <v>25.4</v>
      </c>
      <c r="O37" s="679">
        <v>30.2</v>
      </c>
      <c r="P37" s="679">
        <v>31.3</v>
      </c>
      <c r="Q37" s="679">
        <v>28.1</v>
      </c>
      <c r="R37" s="679">
        <v>30.5</v>
      </c>
      <c r="S37" s="679">
        <v>33.9</v>
      </c>
      <c r="T37" s="679">
        <v>36</v>
      </c>
      <c r="U37" s="679">
        <v>35.5</v>
      </c>
      <c r="V37" s="679">
        <v>38.5</v>
      </c>
      <c r="W37" s="679">
        <v>41.8</v>
      </c>
      <c r="X37" s="679">
        <v>42.7</v>
      </c>
      <c r="Y37" s="679">
        <v>46.5</v>
      </c>
      <c r="Z37" s="679">
        <v>49.1</v>
      </c>
      <c r="AA37" s="679">
        <v>46</v>
      </c>
      <c r="AB37" s="679">
        <v>51.1</v>
      </c>
      <c r="AC37" s="679">
        <v>58.6</v>
      </c>
      <c r="AD37" s="679">
        <v>64.400000000000006</v>
      </c>
      <c r="AE37" s="679">
        <v>76.400000000000006</v>
      </c>
      <c r="AF37" s="679">
        <v>91.7</v>
      </c>
      <c r="AG37" s="679">
        <v>88.9</v>
      </c>
      <c r="AH37" s="679">
        <v>85.8</v>
      </c>
      <c r="AI37" s="679">
        <v>102.8</v>
      </c>
      <c r="AJ37" s="679">
        <v>109.6</v>
      </c>
      <c r="AK37" s="679">
        <v>126.5</v>
      </c>
      <c r="AL37" s="679">
        <v>120.7</v>
      </c>
      <c r="AM37" s="679">
        <v>141.6</v>
      </c>
      <c r="AN37" s="679">
        <v>162.5</v>
      </c>
      <c r="AO37" s="679">
        <v>189.2</v>
      </c>
      <c r="AP37" s="679">
        <v>224.9</v>
      </c>
      <c r="AQ37" s="679">
        <v>250.6</v>
      </c>
      <c r="AR37" s="679">
        <v>291.2</v>
      </c>
      <c r="AS37" s="679">
        <v>295.60000000000002</v>
      </c>
      <c r="AT37" s="679">
        <v>286.8</v>
      </c>
      <c r="AU37" s="679">
        <v>301.89999999999998</v>
      </c>
      <c r="AV37" s="679">
        <v>336.5</v>
      </c>
      <c r="AW37" s="679">
        <v>350.6</v>
      </c>
      <c r="AX37" s="679">
        <v>393</v>
      </c>
      <c r="AY37" s="679">
        <v>403.8</v>
      </c>
      <c r="AZ37" s="679">
        <v>453.1</v>
      </c>
      <c r="BA37" s="679">
        <v>472.1</v>
      </c>
      <c r="BB37" s="679">
        <v>463.6</v>
      </c>
      <c r="BC37" s="679">
        <v>477.5</v>
      </c>
      <c r="BD37" s="679">
        <v>507.7</v>
      </c>
      <c r="BE37" s="679">
        <v>545.1</v>
      </c>
      <c r="BF37" s="679">
        <v>590.29999999999995</v>
      </c>
      <c r="BG37" s="679">
        <v>668.4</v>
      </c>
      <c r="BH37" s="679">
        <v>749.8</v>
      </c>
      <c r="BI37" s="679">
        <v>831.2</v>
      </c>
      <c r="BJ37" s="679">
        <v>897.4</v>
      </c>
      <c r="BK37" s="679">
        <v>999.6</v>
      </c>
      <c r="BL37" s="679">
        <v>996</v>
      </c>
      <c r="BM37" s="679">
        <v>832.3</v>
      </c>
      <c r="BN37" s="679">
        <v>778.6</v>
      </c>
      <c r="BO37" s="679">
        <v>803</v>
      </c>
      <c r="BP37" s="679">
        <v>937.2</v>
      </c>
      <c r="BQ37" s="679">
        <v>1055.8</v>
      </c>
      <c r="BR37" s="679">
        <v>1170.9000000000001</v>
      </c>
      <c r="BS37" s="679">
        <v>1176.5999999999999</v>
      </c>
      <c r="BT37" s="679">
        <v>866.6</v>
      </c>
      <c r="BU37" s="679">
        <v>943.6</v>
      </c>
      <c r="BV37" s="679">
        <v>1130.8</v>
      </c>
      <c r="BW37" s="679">
        <v>1166.4000000000001</v>
      </c>
      <c r="BX37" s="679">
        <v>1302.9000000000001</v>
      </c>
      <c r="BY37" s="679">
        <v>1403.7</v>
      </c>
      <c r="BZ37" s="679">
        <v>1532.6</v>
      </c>
      <c r="CA37" s="679">
        <v>1548</v>
      </c>
      <c r="CB37" s="679">
        <v>1614.6</v>
      </c>
      <c r="CC37" s="679">
        <v>1617.5</v>
      </c>
      <c r="CD37" s="679">
        <v>1713</v>
      </c>
    </row>
    <row r="38" spans="1:82">
      <c r="A38" s="679" t="s">
        <v>912</v>
      </c>
      <c r="B38" s="679" t="s">
        <v>913</v>
      </c>
      <c r="C38" s="679">
        <v>2.6</v>
      </c>
      <c r="D38" s="679">
        <v>3.5</v>
      </c>
      <c r="E38" s="679">
        <v>4</v>
      </c>
      <c r="F38" s="679">
        <v>4.8</v>
      </c>
      <c r="G38" s="679">
        <v>6</v>
      </c>
      <c r="H38" s="679">
        <v>6.9</v>
      </c>
      <c r="I38" s="679">
        <v>7.7</v>
      </c>
      <c r="J38" s="679">
        <v>7.7</v>
      </c>
      <c r="K38" s="679">
        <v>7.8</v>
      </c>
      <c r="L38" s="679">
        <v>7.9</v>
      </c>
      <c r="M38" s="679">
        <v>8.6999999999999993</v>
      </c>
      <c r="N38" s="679">
        <v>9.1999999999999993</v>
      </c>
      <c r="O38" s="679">
        <v>10.1</v>
      </c>
      <c r="P38" s="679">
        <v>10.7</v>
      </c>
      <c r="Q38" s="679">
        <v>9.5</v>
      </c>
      <c r="R38" s="679">
        <v>10.4</v>
      </c>
      <c r="S38" s="679">
        <v>11</v>
      </c>
      <c r="T38" s="679">
        <v>11.5</v>
      </c>
      <c r="U38" s="679">
        <v>11.2</v>
      </c>
      <c r="V38" s="679">
        <v>12.2</v>
      </c>
      <c r="W38" s="679">
        <v>13.1</v>
      </c>
      <c r="X38" s="679">
        <v>13.2</v>
      </c>
      <c r="Y38" s="679">
        <v>14.1</v>
      </c>
      <c r="Z38" s="679">
        <v>14.7</v>
      </c>
      <c r="AA38" s="679">
        <v>15.4</v>
      </c>
      <c r="AB38" s="679">
        <v>15.4</v>
      </c>
      <c r="AC38" s="679">
        <v>14.4</v>
      </c>
      <c r="AD38" s="679">
        <v>15.2</v>
      </c>
      <c r="AE38" s="679">
        <v>16.899999999999999</v>
      </c>
      <c r="AF38" s="679">
        <v>17.8</v>
      </c>
      <c r="AG38" s="679">
        <v>18.100000000000001</v>
      </c>
      <c r="AH38" s="679">
        <v>19</v>
      </c>
      <c r="AI38" s="679">
        <v>18.5</v>
      </c>
      <c r="AJ38" s="679">
        <v>19.8</v>
      </c>
      <c r="AK38" s="679">
        <v>20.100000000000001</v>
      </c>
      <c r="AL38" s="679">
        <v>22.1</v>
      </c>
      <c r="AM38" s="679">
        <v>21.4</v>
      </c>
      <c r="AN38" s="679">
        <v>22.7</v>
      </c>
      <c r="AO38" s="679">
        <v>25.3</v>
      </c>
      <c r="AP38" s="679">
        <v>25.7</v>
      </c>
      <c r="AQ38" s="679">
        <v>33.700000000000003</v>
      </c>
      <c r="AR38" s="679">
        <v>49.9</v>
      </c>
      <c r="AS38" s="679">
        <v>41</v>
      </c>
      <c r="AT38" s="679">
        <v>44.4</v>
      </c>
      <c r="AU38" s="679">
        <v>47.3</v>
      </c>
      <c r="AV38" s="679">
        <v>46.1</v>
      </c>
      <c r="AW38" s="679">
        <v>43.7</v>
      </c>
      <c r="AX38" s="679">
        <v>45.9</v>
      </c>
      <c r="AY38" s="679">
        <v>49.8</v>
      </c>
      <c r="AZ38" s="679">
        <v>49.7</v>
      </c>
      <c r="BA38" s="679">
        <v>50.9</v>
      </c>
      <c r="BB38" s="679">
        <v>61.8</v>
      </c>
      <c r="BC38" s="679">
        <v>63.3</v>
      </c>
      <c r="BD38" s="679">
        <v>66.400000000000006</v>
      </c>
      <c r="BE38" s="679">
        <v>79</v>
      </c>
      <c r="BF38" s="679">
        <v>75.599999999999994</v>
      </c>
      <c r="BG38" s="679">
        <v>72.900000000000006</v>
      </c>
      <c r="BH38" s="679">
        <v>77.8</v>
      </c>
      <c r="BI38" s="679">
        <v>80.7</v>
      </c>
      <c r="BJ38" s="679">
        <v>83.4</v>
      </c>
      <c r="BK38" s="679">
        <v>87.3</v>
      </c>
      <c r="BL38" s="679">
        <v>85.3</v>
      </c>
      <c r="BM38" s="679">
        <v>86.8</v>
      </c>
      <c r="BN38" s="679">
        <v>90.2</v>
      </c>
      <c r="BO38" s="679">
        <v>95.3</v>
      </c>
      <c r="BP38" s="679">
        <v>99.4</v>
      </c>
      <c r="BQ38" s="679">
        <v>99.2</v>
      </c>
      <c r="BR38" s="679">
        <v>94.6</v>
      </c>
      <c r="BS38" s="679">
        <v>94</v>
      </c>
      <c r="BT38" s="679">
        <v>91.4</v>
      </c>
      <c r="BU38" s="679">
        <v>96.8</v>
      </c>
      <c r="BV38" s="679">
        <v>108.6</v>
      </c>
      <c r="BW38" s="679">
        <v>115.2</v>
      </c>
      <c r="BX38" s="679">
        <v>125.5</v>
      </c>
      <c r="BY38" s="679">
        <v>136.30000000000001</v>
      </c>
      <c r="BZ38" s="679">
        <v>140.30000000000001</v>
      </c>
      <c r="CA38" s="679">
        <v>136.4</v>
      </c>
      <c r="CB38" s="679">
        <v>130.9</v>
      </c>
      <c r="CC38" s="679">
        <v>162.80000000000001</v>
      </c>
      <c r="CD38" s="679">
        <v>173.7</v>
      </c>
    </row>
    <row r="39" spans="1:82">
      <c r="A39" s="679" t="s">
        <v>914</v>
      </c>
      <c r="B39" s="679" t="s">
        <v>915</v>
      </c>
      <c r="C39" s="679">
        <v>2.1</v>
      </c>
      <c r="D39" s="679">
        <v>2.8</v>
      </c>
      <c r="E39" s="679">
        <v>3.4</v>
      </c>
      <c r="F39" s="679">
        <v>4.0999999999999996</v>
      </c>
      <c r="G39" s="679">
        <v>5.2</v>
      </c>
      <c r="H39" s="679">
        <v>6.2</v>
      </c>
      <c r="I39" s="679">
        <v>7.2</v>
      </c>
      <c r="J39" s="679">
        <v>7.2</v>
      </c>
      <c r="K39" s="679">
        <v>7.4</v>
      </c>
      <c r="L39" s="679">
        <v>7.5</v>
      </c>
      <c r="M39" s="679">
        <v>8.1999999999999993</v>
      </c>
      <c r="N39" s="679">
        <v>8.6</v>
      </c>
      <c r="O39" s="679">
        <v>9.6</v>
      </c>
      <c r="P39" s="679">
        <v>10.1</v>
      </c>
      <c r="Q39" s="679">
        <v>9</v>
      </c>
      <c r="R39" s="679">
        <v>9.8000000000000007</v>
      </c>
      <c r="S39" s="679">
        <v>10.199999999999999</v>
      </c>
      <c r="T39" s="679">
        <v>10.7</v>
      </c>
      <c r="U39" s="679">
        <v>10.4</v>
      </c>
      <c r="V39" s="679">
        <v>11.2</v>
      </c>
      <c r="W39" s="679">
        <v>12</v>
      </c>
      <c r="X39" s="679">
        <v>12.1</v>
      </c>
      <c r="Y39" s="679">
        <v>12.9</v>
      </c>
      <c r="Z39" s="679">
        <v>13.5</v>
      </c>
      <c r="AA39" s="679">
        <v>14.1</v>
      </c>
      <c r="AB39" s="679">
        <v>13.8</v>
      </c>
      <c r="AC39" s="679">
        <v>12.6</v>
      </c>
      <c r="AD39" s="679">
        <v>13.3</v>
      </c>
      <c r="AE39" s="679">
        <v>14.6</v>
      </c>
      <c r="AF39" s="679">
        <v>15.4</v>
      </c>
      <c r="AG39" s="679">
        <v>15.6</v>
      </c>
      <c r="AH39" s="679">
        <v>15.9</v>
      </c>
      <c r="AI39" s="679">
        <v>15.5</v>
      </c>
      <c r="AJ39" s="679">
        <v>16.5</v>
      </c>
      <c r="AK39" s="679">
        <v>16.399999999999999</v>
      </c>
      <c r="AL39" s="679">
        <v>16.2</v>
      </c>
      <c r="AM39" s="679">
        <v>16.8</v>
      </c>
      <c r="AN39" s="679">
        <v>17.3</v>
      </c>
      <c r="AO39" s="679">
        <v>18.2</v>
      </c>
      <c r="AP39" s="679">
        <v>18.2</v>
      </c>
      <c r="AQ39" s="679">
        <v>26.5</v>
      </c>
      <c r="AR39" s="679">
        <v>41.3</v>
      </c>
      <c r="AS39" s="679">
        <v>32.299999999999997</v>
      </c>
      <c r="AT39" s="679">
        <v>35.299999999999997</v>
      </c>
      <c r="AU39" s="679">
        <v>35.4</v>
      </c>
      <c r="AV39" s="679">
        <v>33.9</v>
      </c>
      <c r="AW39" s="679">
        <v>30</v>
      </c>
      <c r="AX39" s="679">
        <v>30.4</v>
      </c>
      <c r="AY39" s="679">
        <v>33.4</v>
      </c>
      <c r="AZ39" s="679">
        <v>32.299999999999997</v>
      </c>
      <c r="BA39" s="679">
        <v>33.4</v>
      </c>
      <c r="BB39" s="679">
        <v>44.9</v>
      </c>
      <c r="BC39" s="679">
        <v>45</v>
      </c>
      <c r="BD39" s="679">
        <v>46.5</v>
      </c>
      <c r="BE39" s="679">
        <v>57.5</v>
      </c>
      <c r="BF39" s="679">
        <v>55.7</v>
      </c>
      <c r="BG39" s="679">
        <v>53.6</v>
      </c>
      <c r="BH39" s="679">
        <v>58.2</v>
      </c>
      <c r="BI39" s="679">
        <v>60.2</v>
      </c>
      <c r="BJ39" s="679">
        <v>63.3</v>
      </c>
      <c r="BK39" s="679">
        <v>65.099999999999994</v>
      </c>
      <c r="BL39" s="679">
        <v>63.7</v>
      </c>
      <c r="BM39" s="679">
        <v>65.900000000000006</v>
      </c>
      <c r="BN39" s="679">
        <v>67.7</v>
      </c>
      <c r="BO39" s="679">
        <v>70.900000000000006</v>
      </c>
      <c r="BP39" s="679">
        <v>72.7</v>
      </c>
      <c r="BQ39" s="679">
        <v>71.5</v>
      </c>
      <c r="BR39" s="679">
        <v>64.8</v>
      </c>
      <c r="BS39" s="679">
        <v>63.7</v>
      </c>
      <c r="BT39" s="679">
        <v>67.3</v>
      </c>
      <c r="BU39" s="679">
        <v>67.2</v>
      </c>
      <c r="BV39" s="679">
        <v>75.7</v>
      </c>
      <c r="BW39" s="679">
        <v>80.599999999999994</v>
      </c>
      <c r="BX39" s="679">
        <v>89</v>
      </c>
      <c r="BY39" s="679">
        <v>97.8</v>
      </c>
      <c r="BZ39" s="679">
        <v>101</v>
      </c>
      <c r="CA39" s="679">
        <v>97.7</v>
      </c>
      <c r="CB39" s="679">
        <v>91.2</v>
      </c>
      <c r="CC39" s="679">
        <v>108.2</v>
      </c>
      <c r="CD39" s="679">
        <v>94.7</v>
      </c>
    </row>
    <row r="40" spans="1:82">
      <c r="A40" s="679" t="s">
        <v>916</v>
      </c>
      <c r="B40" s="679" t="s">
        <v>917</v>
      </c>
      <c r="C40" s="679">
        <v>0.3</v>
      </c>
      <c r="D40" s="679">
        <v>0.4</v>
      </c>
      <c r="E40" s="679">
        <v>0.3</v>
      </c>
      <c r="F40" s="679">
        <v>0.4</v>
      </c>
      <c r="G40" s="679">
        <v>0.4</v>
      </c>
      <c r="H40" s="679">
        <v>0.4</v>
      </c>
      <c r="I40" s="679">
        <v>0.5</v>
      </c>
      <c r="J40" s="679">
        <v>0.4</v>
      </c>
      <c r="K40" s="679">
        <v>0.4</v>
      </c>
      <c r="L40" s="679">
        <v>0.4</v>
      </c>
      <c r="M40" s="679">
        <v>0.5</v>
      </c>
      <c r="N40" s="679">
        <v>0.6</v>
      </c>
      <c r="O40" s="679">
        <v>0.6</v>
      </c>
      <c r="P40" s="679">
        <v>0.6</v>
      </c>
      <c r="Q40" s="679">
        <v>0.5</v>
      </c>
      <c r="R40" s="679">
        <v>0.7</v>
      </c>
      <c r="S40" s="679">
        <v>0.7</v>
      </c>
      <c r="T40" s="679">
        <v>0.8</v>
      </c>
      <c r="U40" s="679">
        <v>0.8</v>
      </c>
      <c r="V40" s="679">
        <v>1</v>
      </c>
      <c r="W40" s="679">
        <v>1.1000000000000001</v>
      </c>
      <c r="X40" s="679">
        <v>1</v>
      </c>
      <c r="Y40" s="679">
        <v>1.2</v>
      </c>
      <c r="Z40" s="679">
        <v>1.2</v>
      </c>
      <c r="AA40" s="679">
        <v>1.3</v>
      </c>
      <c r="AB40" s="679">
        <v>1.6</v>
      </c>
      <c r="AC40" s="679">
        <v>1.9</v>
      </c>
      <c r="AD40" s="679">
        <v>1.9</v>
      </c>
      <c r="AE40" s="679">
        <v>2.2999999999999998</v>
      </c>
      <c r="AF40" s="679">
        <v>2.4</v>
      </c>
      <c r="AG40" s="679">
        <v>2.5</v>
      </c>
      <c r="AH40" s="679">
        <v>3.1</v>
      </c>
      <c r="AI40" s="679">
        <v>3</v>
      </c>
      <c r="AJ40" s="679">
        <v>3.3</v>
      </c>
      <c r="AK40" s="679">
        <v>3.7</v>
      </c>
      <c r="AL40" s="679">
        <v>5.9</v>
      </c>
      <c r="AM40" s="679">
        <v>4.5999999999999996</v>
      </c>
      <c r="AN40" s="679">
        <v>5.4</v>
      </c>
      <c r="AO40" s="679">
        <v>7.1</v>
      </c>
      <c r="AP40" s="679">
        <v>7.5</v>
      </c>
      <c r="AQ40" s="679">
        <v>7.2</v>
      </c>
      <c r="AR40" s="679">
        <v>8.6</v>
      </c>
      <c r="AS40" s="679">
        <v>8.6</v>
      </c>
      <c r="AT40" s="679">
        <v>9.1</v>
      </c>
      <c r="AU40" s="679">
        <v>11.9</v>
      </c>
      <c r="AV40" s="679">
        <v>12.2</v>
      </c>
      <c r="AW40" s="679">
        <v>13.7</v>
      </c>
      <c r="AX40" s="679">
        <v>15.5</v>
      </c>
      <c r="AY40" s="679">
        <v>16.399999999999999</v>
      </c>
      <c r="AZ40" s="679">
        <v>17.5</v>
      </c>
      <c r="BA40" s="679">
        <v>17.5</v>
      </c>
      <c r="BB40" s="679">
        <v>16.8</v>
      </c>
      <c r="BC40" s="679">
        <v>18.3</v>
      </c>
      <c r="BD40" s="679">
        <v>19.8</v>
      </c>
      <c r="BE40" s="679">
        <v>21.4</v>
      </c>
      <c r="BF40" s="679">
        <v>19.8</v>
      </c>
      <c r="BG40" s="679">
        <v>19.2</v>
      </c>
      <c r="BH40" s="679">
        <v>19.600000000000001</v>
      </c>
      <c r="BI40" s="679">
        <v>19.600000000000001</v>
      </c>
      <c r="BJ40" s="679">
        <v>19.2</v>
      </c>
      <c r="BK40" s="679">
        <v>21.1</v>
      </c>
      <c r="BL40" s="679">
        <v>20.6</v>
      </c>
      <c r="BM40" s="679">
        <v>19.899999999999999</v>
      </c>
      <c r="BN40" s="679">
        <v>21.5</v>
      </c>
      <c r="BO40" s="679">
        <v>23.3</v>
      </c>
      <c r="BP40" s="679">
        <v>25.3</v>
      </c>
      <c r="BQ40" s="679">
        <v>26.7</v>
      </c>
      <c r="BR40" s="679">
        <v>28.8</v>
      </c>
      <c r="BS40" s="679">
        <v>29.2</v>
      </c>
      <c r="BT40" s="679">
        <v>23.1</v>
      </c>
      <c r="BU40" s="679">
        <v>28.6</v>
      </c>
      <c r="BV40" s="679">
        <v>31.9</v>
      </c>
      <c r="BW40" s="679">
        <v>33.5</v>
      </c>
      <c r="BX40" s="679">
        <v>35.5</v>
      </c>
      <c r="BY40" s="679">
        <v>37.4</v>
      </c>
      <c r="BZ40" s="679">
        <v>38.1</v>
      </c>
      <c r="CA40" s="679">
        <v>37.5</v>
      </c>
      <c r="CB40" s="679">
        <v>38.5</v>
      </c>
      <c r="CC40" s="679">
        <v>53.3</v>
      </c>
      <c r="CD40" s="679">
        <v>77.8</v>
      </c>
    </row>
    <row r="41" spans="1:82">
      <c r="A41" s="679" t="s">
        <v>918</v>
      </c>
      <c r="B41" s="679" t="s">
        <v>919</v>
      </c>
      <c r="C41" s="679" t="s">
        <v>277</v>
      </c>
      <c r="D41" s="679" t="s">
        <v>277</v>
      </c>
      <c r="E41" s="679" t="s">
        <v>277</v>
      </c>
      <c r="F41" s="679" t="s">
        <v>277</v>
      </c>
      <c r="G41" s="679" t="s">
        <v>277</v>
      </c>
      <c r="H41" s="679" t="s">
        <v>277</v>
      </c>
      <c r="I41" s="679" t="s">
        <v>277</v>
      </c>
      <c r="J41" s="679" t="s">
        <v>277</v>
      </c>
      <c r="K41" s="679" t="s">
        <v>277</v>
      </c>
      <c r="L41" s="679" t="s">
        <v>277</v>
      </c>
      <c r="M41" s="679" t="s">
        <v>277</v>
      </c>
      <c r="N41" s="679" t="s">
        <v>277</v>
      </c>
      <c r="O41" s="679" t="s">
        <v>277</v>
      </c>
      <c r="P41" s="679" t="s">
        <v>277</v>
      </c>
      <c r="Q41" s="679" t="s">
        <v>277</v>
      </c>
      <c r="R41" s="679" t="s">
        <v>277</v>
      </c>
      <c r="S41" s="679" t="s">
        <v>277</v>
      </c>
      <c r="T41" s="679" t="s">
        <v>277</v>
      </c>
      <c r="U41" s="679" t="s">
        <v>277</v>
      </c>
      <c r="V41" s="679" t="s">
        <v>277</v>
      </c>
      <c r="W41" s="679" t="s">
        <v>277</v>
      </c>
      <c r="X41" s="679" t="s">
        <v>277</v>
      </c>
      <c r="Y41" s="679" t="s">
        <v>277</v>
      </c>
      <c r="Z41" s="679" t="s">
        <v>277</v>
      </c>
      <c r="AA41" s="679" t="s">
        <v>277</v>
      </c>
      <c r="AB41" s="679" t="s">
        <v>277</v>
      </c>
      <c r="AC41" s="679" t="s">
        <v>277</v>
      </c>
      <c r="AD41" s="679" t="s">
        <v>277</v>
      </c>
      <c r="AE41" s="679" t="s">
        <v>277</v>
      </c>
      <c r="AF41" s="679" t="s">
        <v>277</v>
      </c>
      <c r="AG41" s="679" t="s">
        <v>277</v>
      </c>
      <c r="AH41" s="679" t="s">
        <v>277</v>
      </c>
      <c r="AI41" s="679" t="s">
        <v>277</v>
      </c>
      <c r="AJ41" s="679" t="s">
        <v>277</v>
      </c>
      <c r="AK41" s="679" t="s">
        <v>277</v>
      </c>
      <c r="AL41" s="679" t="s">
        <v>277</v>
      </c>
      <c r="AM41" s="679" t="s">
        <v>277</v>
      </c>
      <c r="AN41" s="679" t="s">
        <v>277</v>
      </c>
      <c r="AO41" s="679" t="s">
        <v>277</v>
      </c>
      <c r="AP41" s="679" t="s">
        <v>277</v>
      </c>
      <c r="AQ41" s="679" t="s">
        <v>277</v>
      </c>
      <c r="AR41" s="679" t="s">
        <v>277</v>
      </c>
      <c r="AS41" s="679" t="s">
        <v>277</v>
      </c>
      <c r="AT41" s="679" t="s">
        <v>277</v>
      </c>
      <c r="AU41" s="679" t="s">
        <v>277</v>
      </c>
      <c r="AV41" s="679" t="s">
        <v>277</v>
      </c>
      <c r="AW41" s="679" t="s">
        <v>277</v>
      </c>
      <c r="AX41" s="679" t="s">
        <v>277</v>
      </c>
      <c r="AY41" s="679" t="s">
        <v>277</v>
      </c>
      <c r="AZ41" s="679" t="s">
        <v>277</v>
      </c>
      <c r="BA41" s="679" t="s">
        <v>277</v>
      </c>
      <c r="BB41" s="679" t="s">
        <v>277</v>
      </c>
      <c r="BC41" s="679" t="s">
        <v>277</v>
      </c>
      <c r="BD41" s="679" t="s">
        <v>277</v>
      </c>
      <c r="BE41" s="679" t="s">
        <v>277</v>
      </c>
      <c r="BF41" s="679" t="s">
        <v>277</v>
      </c>
      <c r="BG41" s="679" t="s">
        <v>277</v>
      </c>
      <c r="BH41" s="679" t="s">
        <v>277</v>
      </c>
      <c r="BI41" s="679">
        <v>0.9</v>
      </c>
      <c r="BJ41" s="679">
        <v>1</v>
      </c>
      <c r="BK41" s="679">
        <v>1</v>
      </c>
      <c r="BL41" s="679">
        <v>1</v>
      </c>
      <c r="BM41" s="679">
        <v>1</v>
      </c>
      <c r="BN41" s="679">
        <v>1.1000000000000001</v>
      </c>
      <c r="BO41" s="679">
        <v>1</v>
      </c>
      <c r="BP41" s="679">
        <v>1.3</v>
      </c>
      <c r="BQ41" s="679">
        <v>1.1000000000000001</v>
      </c>
      <c r="BR41" s="679">
        <v>1.1000000000000001</v>
      </c>
      <c r="BS41" s="679">
        <v>1</v>
      </c>
      <c r="BT41" s="679">
        <v>1</v>
      </c>
      <c r="BU41" s="679">
        <v>1</v>
      </c>
      <c r="BV41" s="679">
        <v>1</v>
      </c>
      <c r="BW41" s="679">
        <v>1.1000000000000001</v>
      </c>
      <c r="BX41" s="679">
        <v>1</v>
      </c>
      <c r="BY41" s="679">
        <v>1.1000000000000001</v>
      </c>
      <c r="BZ41" s="679">
        <v>1.2</v>
      </c>
      <c r="CA41" s="679">
        <v>1.2</v>
      </c>
      <c r="CB41" s="679">
        <v>1.2</v>
      </c>
      <c r="CC41" s="679">
        <v>1.2</v>
      </c>
      <c r="CD41" s="679">
        <v>1.2</v>
      </c>
    </row>
    <row r="42" spans="1:82">
      <c r="A42" s="679" t="s">
        <v>920</v>
      </c>
      <c r="B42" s="679" t="s">
        <v>921</v>
      </c>
      <c r="C42" s="679">
        <v>2.6</v>
      </c>
      <c r="D42" s="679">
        <v>7.3</v>
      </c>
      <c r="E42" s="679">
        <v>11.1</v>
      </c>
      <c r="F42" s="679">
        <v>13.6</v>
      </c>
      <c r="G42" s="679">
        <v>12.5</v>
      </c>
      <c r="H42" s="679">
        <v>10.199999999999999</v>
      </c>
      <c r="I42" s="679">
        <v>8.6</v>
      </c>
      <c r="J42" s="679">
        <v>10.6</v>
      </c>
      <c r="K42" s="679">
        <v>11.6</v>
      </c>
      <c r="L42" s="679">
        <v>9.4</v>
      </c>
      <c r="M42" s="679">
        <v>17</v>
      </c>
      <c r="N42" s="679">
        <v>21.4</v>
      </c>
      <c r="O42" s="679">
        <v>18.3</v>
      </c>
      <c r="P42" s="679">
        <v>19.100000000000001</v>
      </c>
      <c r="Q42" s="679">
        <v>16.600000000000001</v>
      </c>
      <c r="R42" s="679">
        <v>20.8</v>
      </c>
      <c r="S42" s="679">
        <v>20.5</v>
      </c>
      <c r="T42" s="679">
        <v>19.899999999999999</v>
      </c>
      <c r="U42" s="679">
        <v>17.399999999999999</v>
      </c>
      <c r="V42" s="679">
        <v>21.6</v>
      </c>
      <c r="W42" s="679">
        <v>20.6</v>
      </c>
      <c r="X42" s="679">
        <v>20.8</v>
      </c>
      <c r="Y42" s="679">
        <v>21.7</v>
      </c>
      <c r="Z42" s="679">
        <v>23.7</v>
      </c>
      <c r="AA42" s="679">
        <v>24.6</v>
      </c>
      <c r="AB42" s="679">
        <v>27.6</v>
      </c>
      <c r="AC42" s="679">
        <v>29.8</v>
      </c>
      <c r="AD42" s="679">
        <v>28.1</v>
      </c>
      <c r="AE42" s="679">
        <v>33.6</v>
      </c>
      <c r="AF42" s="679">
        <v>33</v>
      </c>
      <c r="AG42" s="679">
        <v>27.1</v>
      </c>
      <c r="AH42" s="679">
        <v>30.1</v>
      </c>
      <c r="AI42" s="679">
        <v>33.4</v>
      </c>
      <c r="AJ42" s="679">
        <v>38.9</v>
      </c>
      <c r="AK42" s="679">
        <v>39.6</v>
      </c>
      <c r="AL42" s="679">
        <v>38.200000000000003</v>
      </c>
      <c r="AM42" s="679">
        <v>48.7</v>
      </c>
      <c r="AN42" s="679">
        <v>55.7</v>
      </c>
      <c r="AO42" s="679">
        <v>64.400000000000006</v>
      </c>
      <c r="AP42" s="679">
        <v>65.099999999999994</v>
      </c>
      <c r="AQ42" s="679">
        <v>58.6</v>
      </c>
      <c r="AR42" s="679">
        <v>51.7</v>
      </c>
      <c r="AS42" s="679">
        <v>33.799999999999997</v>
      </c>
      <c r="AT42" s="679">
        <v>47.1</v>
      </c>
      <c r="AU42" s="679">
        <v>59.2</v>
      </c>
      <c r="AV42" s="679">
        <v>58.5</v>
      </c>
      <c r="AW42" s="679">
        <v>66</v>
      </c>
      <c r="AX42" s="679">
        <v>85.4</v>
      </c>
      <c r="AY42" s="679">
        <v>93.8</v>
      </c>
      <c r="AZ42" s="679">
        <v>95.6</v>
      </c>
      <c r="BA42" s="679">
        <v>94.5</v>
      </c>
      <c r="BB42" s="679">
        <v>89.2</v>
      </c>
      <c r="BC42" s="679">
        <v>102</v>
      </c>
      <c r="BD42" s="679">
        <v>122.5</v>
      </c>
      <c r="BE42" s="679">
        <v>136.30000000000001</v>
      </c>
      <c r="BF42" s="679">
        <v>155.9</v>
      </c>
      <c r="BG42" s="679">
        <v>170.5</v>
      </c>
      <c r="BH42" s="679">
        <v>182.3</v>
      </c>
      <c r="BI42" s="679">
        <v>177.7</v>
      </c>
      <c r="BJ42" s="679">
        <v>187.6</v>
      </c>
      <c r="BK42" s="679">
        <v>194.1</v>
      </c>
      <c r="BL42" s="679">
        <v>137.6</v>
      </c>
      <c r="BM42" s="679">
        <v>126</v>
      </c>
      <c r="BN42" s="679">
        <v>175.8</v>
      </c>
      <c r="BO42" s="679">
        <v>232.2</v>
      </c>
      <c r="BP42" s="679">
        <v>319.5</v>
      </c>
      <c r="BQ42" s="679">
        <v>366</v>
      </c>
      <c r="BR42" s="679">
        <v>328.2</v>
      </c>
      <c r="BS42" s="679">
        <v>202</v>
      </c>
      <c r="BT42" s="679">
        <v>153</v>
      </c>
      <c r="BU42" s="679">
        <v>219.4</v>
      </c>
      <c r="BV42" s="679">
        <v>224</v>
      </c>
      <c r="BW42" s="679">
        <v>274.7</v>
      </c>
      <c r="BX42" s="679">
        <v>298.39999999999998</v>
      </c>
      <c r="BY42" s="679">
        <v>339.6</v>
      </c>
      <c r="BZ42" s="679">
        <v>329.1</v>
      </c>
      <c r="CA42" s="679">
        <v>311.89999999999998</v>
      </c>
      <c r="CB42" s="679">
        <v>245.4</v>
      </c>
      <c r="CC42" s="679">
        <v>210.6</v>
      </c>
      <c r="CD42" s="679">
        <v>217.3</v>
      </c>
    </row>
    <row r="43" spans="1:82">
      <c r="A43" s="679" t="s">
        <v>922</v>
      </c>
      <c r="B43" s="679" t="s">
        <v>923</v>
      </c>
      <c r="C43" s="679" t="s">
        <v>277</v>
      </c>
      <c r="D43" s="679" t="s">
        <v>277</v>
      </c>
      <c r="E43" s="679" t="s">
        <v>277</v>
      </c>
      <c r="F43" s="679" t="s">
        <v>277</v>
      </c>
      <c r="G43" s="679" t="s">
        <v>277</v>
      </c>
      <c r="H43" s="679" t="s">
        <v>277</v>
      </c>
      <c r="I43" s="679" t="s">
        <v>277</v>
      </c>
      <c r="J43" s="679" t="s">
        <v>277</v>
      </c>
      <c r="K43" s="679" t="s">
        <v>277</v>
      </c>
      <c r="L43" s="679" t="s">
        <v>277</v>
      </c>
      <c r="M43" s="679" t="s">
        <v>277</v>
      </c>
      <c r="N43" s="679" t="s">
        <v>277</v>
      </c>
      <c r="O43" s="679" t="s">
        <v>277</v>
      </c>
      <c r="P43" s="679" t="s">
        <v>277</v>
      </c>
      <c r="Q43" s="679" t="s">
        <v>277</v>
      </c>
      <c r="R43" s="679" t="s">
        <v>277</v>
      </c>
      <c r="S43" s="679" t="s">
        <v>277</v>
      </c>
      <c r="T43" s="679" t="s">
        <v>277</v>
      </c>
      <c r="U43" s="679" t="s">
        <v>277</v>
      </c>
      <c r="V43" s="679">
        <v>0.1</v>
      </c>
      <c r="W43" s="679">
        <v>0.1</v>
      </c>
      <c r="X43" s="679">
        <v>0.1</v>
      </c>
      <c r="Y43" s="679">
        <v>0.1</v>
      </c>
      <c r="Z43" s="679">
        <v>0.2</v>
      </c>
      <c r="AA43" s="679">
        <v>0.2</v>
      </c>
      <c r="AB43" s="679">
        <v>0.2</v>
      </c>
      <c r="AC43" s="679">
        <v>0.2</v>
      </c>
      <c r="AD43" s="679">
        <v>0.2</v>
      </c>
      <c r="AE43" s="679">
        <v>0.3</v>
      </c>
      <c r="AF43" s="679">
        <v>0.4</v>
      </c>
      <c r="AG43" s="679">
        <v>0.4</v>
      </c>
      <c r="AH43" s="679">
        <v>0.4</v>
      </c>
      <c r="AI43" s="679">
        <v>0.4</v>
      </c>
      <c r="AJ43" s="679">
        <v>0.4</v>
      </c>
      <c r="AK43" s="679">
        <v>0.4</v>
      </c>
      <c r="AL43" s="679">
        <v>0.5</v>
      </c>
      <c r="AM43" s="679">
        <v>0.7</v>
      </c>
      <c r="AN43" s="679">
        <v>0.7</v>
      </c>
      <c r="AO43" s="679">
        <v>1</v>
      </c>
      <c r="AP43" s="679">
        <v>1.1000000000000001</v>
      </c>
      <c r="AQ43" s="679">
        <v>1.6</v>
      </c>
      <c r="AR43" s="679">
        <v>1.5</v>
      </c>
      <c r="AS43" s="679">
        <v>1.4</v>
      </c>
      <c r="AT43" s="679">
        <v>1.2</v>
      </c>
      <c r="AU43" s="679">
        <v>1.3</v>
      </c>
      <c r="AV43" s="679">
        <v>1.9</v>
      </c>
      <c r="AW43" s="679">
        <v>1.7</v>
      </c>
      <c r="AX43" s="679">
        <v>2</v>
      </c>
      <c r="AY43" s="679">
        <v>2.4</v>
      </c>
      <c r="AZ43" s="679">
        <v>2.7</v>
      </c>
      <c r="BA43" s="679">
        <v>3</v>
      </c>
      <c r="BB43" s="679">
        <v>2.6</v>
      </c>
      <c r="BC43" s="679">
        <v>2.6</v>
      </c>
      <c r="BD43" s="679">
        <v>2.7</v>
      </c>
      <c r="BE43" s="679">
        <v>3.1</v>
      </c>
      <c r="BF43" s="679">
        <v>3.9</v>
      </c>
      <c r="BG43" s="679">
        <v>5.2</v>
      </c>
      <c r="BH43" s="679">
        <v>5.0999999999999996</v>
      </c>
      <c r="BI43" s="679">
        <v>5.7</v>
      </c>
      <c r="BJ43" s="679">
        <v>6.1</v>
      </c>
      <c r="BK43" s="679">
        <v>7.6</v>
      </c>
      <c r="BL43" s="679">
        <v>7.9</v>
      </c>
      <c r="BM43" s="679">
        <v>8.1</v>
      </c>
      <c r="BN43" s="679">
        <v>9.1999999999999993</v>
      </c>
      <c r="BO43" s="679">
        <v>10.1</v>
      </c>
      <c r="BP43" s="679">
        <v>11.7</v>
      </c>
      <c r="BQ43" s="679">
        <v>13.7</v>
      </c>
      <c r="BR43" s="679">
        <v>13.9</v>
      </c>
      <c r="BS43" s="679">
        <v>16.899999999999999</v>
      </c>
      <c r="BT43" s="679">
        <v>12.8</v>
      </c>
      <c r="BU43" s="679">
        <v>13.9</v>
      </c>
      <c r="BV43" s="679">
        <v>15.1</v>
      </c>
      <c r="BW43" s="679">
        <v>16.7</v>
      </c>
      <c r="BX43" s="679">
        <v>18.100000000000001</v>
      </c>
      <c r="BY43" s="679">
        <v>20.399999999999999</v>
      </c>
      <c r="BZ43" s="679">
        <v>22.2</v>
      </c>
      <c r="CA43" s="679">
        <v>24.1</v>
      </c>
      <c r="CB43" s="679">
        <v>24.5</v>
      </c>
      <c r="CC43" s="679">
        <v>26.3</v>
      </c>
      <c r="CD43" s="679">
        <v>27.7</v>
      </c>
    </row>
    <row r="44" spans="1:82">
      <c r="A44" s="679" t="s">
        <v>924</v>
      </c>
      <c r="B44" s="679" t="s">
        <v>925</v>
      </c>
      <c r="C44" s="679">
        <v>1.9</v>
      </c>
      <c r="D44" s="679">
        <v>2.2999999999999998</v>
      </c>
      <c r="E44" s="679">
        <v>2.9</v>
      </c>
      <c r="F44" s="679">
        <v>3.8</v>
      </c>
      <c r="G44" s="679">
        <v>4.3</v>
      </c>
      <c r="H44" s="679">
        <v>5.3</v>
      </c>
      <c r="I44" s="679">
        <v>6.5</v>
      </c>
      <c r="J44" s="679">
        <v>5.4</v>
      </c>
      <c r="K44" s="679">
        <v>4.4000000000000004</v>
      </c>
      <c r="L44" s="679">
        <v>4.7</v>
      </c>
      <c r="M44" s="679">
        <v>5.3</v>
      </c>
      <c r="N44" s="679">
        <v>6.4</v>
      </c>
      <c r="O44" s="679">
        <v>6.7</v>
      </c>
      <c r="P44" s="679">
        <v>6.8</v>
      </c>
      <c r="Q44" s="679">
        <v>7.8</v>
      </c>
      <c r="R44" s="679">
        <v>8.8000000000000007</v>
      </c>
      <c r="S44" s="679">
        <v>9.6</v>
      </c>
      <c r="T44" s="679">
        <v>11</v>
      </c>
      <c r="U44" s="679">
        <v>11</v>
      </c>
      <c r="V44" s="679">
        <v>13.5</v>
      </c>
      <c r="W44" s="679">
        <v>16</v>
      </c>
      <c r="X44" s="679">
        <v>16.600000000000001</v>
      </c>
      <c r="Y44" s="679">
        <v>18.600000000000001</v>
      </c>
      <c r="Z44" s="679">
        <v>21.1</v>
      </c>
      <c r="AA44" s="679">
        <v>21.8</v>
      </c>
      <c r="AB44" s="679">
        <v>22.7</v>
      </c>
      <c r="AC44" s="679">
        <v>30.6</v>
      </c>
      <c r="AD44" s="679">
        <v>34.1</v>
      </c>
      <c r="AE44" s="679">
        <v>37.9</v>
      </c>
      <c r="AF44" s="679">
        <v>43.3</v>
      </c>
      <c r="AG44" s="679">
        <v>45.5</v>
      </c>
      <c r="AH44" s="679">
        <v>50.3</v>
      </c>
      <c r="AI44" s="679">
        <v>58.3</v>
      </c>
      <c r="AJ44" s="679">
        <v>74.5</v>
      </c>
      <c r="AK44" s="679">
        <v>84.1</v>
      </c>
      <c r="AL44" s="679">
        <v>88.1</v>
      </c>
      <c r="AM44" s="679">
        <v>99.8</v>
      </c>
      <c r="AN44" s="679">
        <v>111.1</v>
      </c>
      <c r="AO44" s="679">
        <v>128.69999999999999</v>
      </c>
      <c r="AP44" s="679">
        <v>149.80000000000001</v>
      </c>
      <c r="AQ44" s="679">
        <v>163.6</v>
      </c>
      <c r="AR44" s="679">
        <v>193</v>
      </c>
      <c r="AS44" s="679">
        <v>206</v>
      </c>
      <c r="AT44" s="679">
        <v>223.1</v>
      </c>
      <c r="AU44" s="679">
        <v>254.1</v>
      </c>
      <c r="AV44" s="679">
        <v>277.89999999999998</v>
      </c>
      <c r="AW44" s="679">
        <v>298.89999999999998</v>
      </c>
      <c r="AX44" s="679">
        <v>317.39999999999998</v>
      </c>
      <c r="AY44" s="679">
        <v>354.8</v>
      </c>
      <c r="AZ44" s="679">
        <v>378</v>
      </c>
      <c r="BA44" s="679">
        <v>402</v>
      </c>
      <c r="BB44" s="679">
        <v>420.6</v>
      </c>
      <c r="BC44" s="679">
        <v>444</v>
      </c>
      <c r="BD44" s="679">
        <v>465.5</v>
      </c>
      <c r="BE44" s="679">
        <v>496.2</v>
      </c>
      <c r="BF44" s="679">
        <v>521.9</v>
      </c>
      <c r="BG44" s="679">
        <v>545.4</v>
      </c>
      <c r="BH44" s="679">
        <v>579.4</v>
      </c>
      <c r="BI44" s="679">
        <v>617.4</v>
      </c>
      <c r="BJ44" s="679">
        <v>654.79999999999995</v>
      </c>
      <c r="BK44" s="679">
        <v>698.6</v>
      </c>
      <c r="BL44" s="679">
        <v>723.3</v>
      </c>
      <c r="BM44" s="679">
        <v>739.4</v>
      </c>
      <c r="BN44" s="679">
        <v>763.3</v>
      </c>
      <c r="BO44" s="679">
        <v>809</v>
      </c>
      <c r="BP44" s="679">
        <v>853.4</v>
      </c>
      <c r="BQ44" s="679">
        <v>905.7</v>
      </c>
      <c r="BR44" s="679">
        <v>947.3</v>
      </c>
      <c r="BS44" s="679">
        <v>974.5</v>
      </c>
      <c r="BT44" s="679">
        <v>950.7</v>
      </c>
      <c r="BU44" s="679">
        <v>970.9</v>
      </c>
      <c r="BV44" s="679">
        <v>903.2</v>
      </c>
      <c r="BW44" s="679">
        <v>938</v>
      </c>
      <c r="BX44" s="679">
        <v>1091.8</v>
      </c>
      <c r="BY44" s="679">
        <v>1140.0999999999999</v>
      </c>
      <c r="BZ44" s="679">
        <v>1190.8</v>
      </c>
      <c r="CA44" s="679">
        <v>1224.5999999999999</v>
      </c>
      <c r="CB44" s="679">
        <v>1283.7</v>
      </c>
      <c r="CC44" s="679">
        <v>1344.6</v>
      </c>
      <c r="CD44" s="679">
        <v>1402.2</v>
      </c>
    </row>
    <row r="45" spans="1:82">
      <c r="A45" s="679" t="s">
        <v>926</v>
      </c>
      <c r="B45" s="679" t="s">
        <v>927</v>
      </c>
      <c r="C45" s="679">
        <v>1.9</v>
      </c>
      <c r="D45" s="679">
        <v>2.2999999999999998</v>
      </c>
      <c r="E45" s="679">
        <v>2.9</v>
      </c>
      <c r="F45" s="679">
        <v>3.8</v>
      </c>
      <c r="G45" s="679">
        <v>4.3</v>
      </c>
      <c r="H45" s="679">
        <v>5.3</v>
      </c>
      <c r="I45" s="679">
        <v>6.5</v>
      </c>
      <c r="J45" s="679">
        <v>5.4</v>
      </c>
      <c r="K45" s="679">
        <v>4.4000000000000004</v>
      </c>
      <c r="L45" s="679">
        <v>4.7</v>
      </c>
      <c r="M45" s="679">
        <v>5.3</v>
      </c>
      <c r="N45" s="679">
        <v>6.4</v>
      </c>
      <c r="O45" s="679">
        <v>6.6</v>
      </c>
      <c r="P45" s="679">
        <v>6.8</v>
      </c>
      <c r="Q45" s="679">
        <v>7.8</v>
      </c>
      <c r="R45" s="679">
        <v>8.8000000000000007</v>
      </c>
      <c r="S45" s="679">
        <v>9.6</v>
      </c>
      <c r="T45" s="679">
        <v>11</v>
      </c>
      <c r="U45" s="679">
        <v>11</v>
      </c>
      <c r="V45" s="679">
        <v>13.4</v>
      </c>
      <c r="W45" s="679">
        <v>16</v>
      </c>
      <c r="X45" s="679">
        <v>16.5</v>
      </c>
      <c r="Y45" s="679">
        <v>18.600000000000001</v>
      </c>
      <c r="Z45" s="679">
        <v>21</v>
      </c>
      <c r="AA45" s="679">
        <v>21.7</v>
      </c>
      <c r="AB45" s="679">
        <v>22.7</v>
      </c>
      <c r="AC45" s="679">
        <v>30.5</v>
      </c>
      <c r="AD45" s="679">
        <v>34</v>
      </c>
      <c r="AE45" s="679">
        <v>37.799999999999997</v>
      </c>
      <c r="AF45" s="679">
        <v>43.1</v>
      </c>
      <c r="AG45" s="679">
        <v>45.3</v>
      </c>
      <c r="AH45" s="679">
        <v>50</v>
      </c>
      <c r="AI45" s="679">
        <v>57.9</v>
      </c>
      <c r="AJ45" s="679">
        <v>74</v>
      </c>
      <c r="AK45" s="679">
        <v>83.5</v>
      </c>
      <c r="AL45" s="679">
        <v>87.5</v>
      </c>
      <c r="AM45" s="679">
        <v>99.1</v>
      </c>
      <c r="AN45" s="679">
        <v>110.3</v>
      </c>
      <c r="AO45" s="679">
        <v>127.9</v>
      </c>
      <c r="AP45" s="679">
        <v>148.9</v>
      </c>
      <c r="AQ45" s="679">
        <v>162.6</v>
      </c>
      <c r="AR45" s="679">
        <v>191.8</v>
      </c>
      <c r="AS45" s="679">
        <v>204.9</v>
      </c>
      <c r="AT45" s="679">
        <v>221.8</v>
      </c>
      <c r="AU45" s="679">
        <v>252.8</v>
      </c>
      <c r="AV45" s="679">
        <v>276.5</v>
      </c>
      <c r="AW45" s="679">
        <v>297.5</v>
      </c>
      <c r="AX45" s="679">
        <v>315.89999999999998</v>
      </c>
      <c r="AY45" s="679">
        <v>353.1</v>
      </c>
      <c r="AZ45" s="679">
        <v>376.3</v>
      </c>
      <c r="BA45" s="679">
        <v>400.1</v>
      </c>
      <c r="BB45" s="679">
        <v>418.6</v>
      </c>
      <c r="BC45" s="679">
        <v>441.8</v>
      </c>
      <c r="BD45" s="679">
        <v>463.3</v>
      </c>
      <c r="BE45" s="679">
        <v>493.7</v>
      </c>
      <c r="BF45" s="679">
        <v>519.20000000000005</v>
      </c>
      <c r="BG45" s="679">
        <v>542.6</v>
      </c>
      <c r="BH45" s="679">
        <v>576.4</v>
      </c>
      <c r="BI45" s="679">
        <v>614.29999999999995</v>
      </c>
      <c r="BJ45" s="679">
        <v>651.5</v>
      </c>
      <c r="BK45" s="679">
        <v>695</v>
      </c>
      <c r="BL45" s="679">
        <v>719.5</v>
      </c>
      <c r="BM45" s="679">
        <v>735.7</v>
      </c>
      <c r="BN45" s="679">
        <v>759.4</v>
      </c>
      <c r="BO45" s="679">
        <v>804.6</v>
      </c>
      <c r="BP45" s="679">
        <v>848.7</v>
      </c>
      <c r="BQ45" s="679">
        <v>901.1</v>
      </c>
      <c r="BR45" s="679">
        <v>942.6</v>
      </c>
      <c r="BS45" s="679">
        <v>969.7</v>
      </c>
      <c r="BT45" s="679">
        <v>945.7</v>
      </c>
      <c r="BU45" s="679">
        <v>966</v>
      </c>
      <c r="BV45" s="679">
        <v>898.8</v>
      </c>
      <c r="BW45" s="679">
        <v>933.3</v>
      </c>
      <c r="BX45" s="679">
        <v>1086.5999999999999</v>
      </c>
      <c r="BY45" s="679">
        <v>1134.8</v>
      </c>
      <c r="BZ45" s="679">
        <v>1185.5</v>
      </c>
      <c r="CA45" s="679">
        <v>1219.0999999999999</v>
      </c>
      <c r="CB45" s="679">
        <v>1278.4000000000001</v>
      </c>
      <c r="CC45" s="679">
        <v>1339.5</v>
      </c>
      <c r="CD45" s="679">
        <v>1397.1</v>
      </c>
    </row>
    <row r="46" spans="1:82">
      <c r="A46" s="679" t="s">
        <v>928</v>
      </c>
      <c r="B46" s="679" t="s">
        <v>929</v>
      </c>
      <c r="C46" s="679" t="s">
        <v>277</v>
      </c>
      <c r="D46" s="679" t="s">
        <v>277</v>
      </c>
      <c r="E46" s="679" t="s">
        <v>277</v>
      </c>
      <c r="F46" s="679" t="s">
        <v>277</v>
      </c>
      <c r="G46" s="679" t="s">
        <v>277</v>
      </c>
      <c r="H46" s="679" t="s">
        <v>277</v>
      </c>
      <c r="I46" s="679" t="s">
        <v>277</v>
      </c>
      <c r="J46" s="679" t="s">
        <v>277</v>
      </c>
      <c r="K46" s="679" t="s">
        <v>277</v>
      </c>
      <c r="L46" s="679" t="s">
        <v>277</v>
      </c>
      <c r="M46" s="679" t="s">
        <v>277</v>
      </c>
      <c r="N46" s="679">
        <v>0</v>
      </c>
      <c r="O46" s="679">
        <v>0</v>
      </c>
      <c r="P46" s="679">
        <v>0</v>
      </c>
      <c r="Q46" s="679">
        <v>0</v>
      </c>
      <c r="R46" s="679">
        <v>0</v>
      </c>
      <c r="S46" s="679">
        <v>0</v>
      </c>
      <c r="T46" s="679">
        <v>0</v>
      </c>
      <c r="U46" s="679">
        <v>0</v>
      </c>
      <c r="V46" s="679">
        <v>0</v>
      </c>
      <c r="W46" s="679">
        <v>0</v>
      </c>
      <c r="X46" s="679">
        <v>0.1</v>
      </c>
      <c r="Y46" s="679">
        <v>0.1</v>
      </c>
      <c r="Z46" s="679">
        <v>0.1</v>
      </c>
      <c r="AA46" s="679">
        <v>0.1</v>
      </c>
      <c r="AB46" s="679">
        <v>0.1</v>
      </c>
      <c r="AC46" s="679">
        <v>0.1</v>
      </c>
      <c r="AD46" s="679">
        <v>0.1</v>
      </c>
      <c r="AE46" s="679">
        <v>0.1</v>
      </c>
      <c r="AF46" s="679">
        <v>0.2</v>
      </c>
      <c r="AG46" s="679">
        <v>0.2</v>
      </c>
      <c r="AH46" s="679">
        <v>0.3</v>
      </c>
      <c r="AI46" s="679">
        <v>0.4</v>
      </c>
      <c r="AJ46" s="679">
        <v>0.5</v>
      </c>
      <c r="AK46" s="679">
        <v>0.6</v>
      </c>
      <c r="AL46" s="679">
        <v>0.6</v>
      </c>
      <c r="AM46" s="679">
        <v>0.6</v>
      </c>
      <c r="AN46" s="679">
        <v>0.8</v>
      </c>
      <c r="AO46" s="679">
        <v>0.9</v>
      </c>
      <c r="AP46" s="679">
        <v>0.9</v>
      </c>
      <c r="AQ46" s="679">
        <v>1</v>
      </c>
      <c r="AR46" s="679">
        <v>1.2</v>
      </c>
      <c r="AS46" s="679">
        <v>1.2</v>
      </c>
      <c r="AT46" s="679">
        <v>1.3</v>
      </c>
      <c r="AU46" s="679">
        <v>1.3</v>
      </c>
      <c r="AV46" s="679">
        <v>1.4</v>
      </c>
      <c r="AW46" s="679">
        <v>1.5</v>
      </c>
      <c r="AX46" s="679">
        <v>1.5</v>
      </c>
      <c r="AY46" s="679">
        <v>1.7</v>
      </c>
      <c r="AZ46" s="679">
        <v>1.7</v>
      </c>
      <c r="BA46" s="679">
        <v>2</v>
      </c>
      <c r="BB46" s="679">
        <v>2.1</v>
      </c>
      <c r="BC46" s="679">
        <v>2.1</v>
      </c>
      <c r="BD46" s="679">
        <v>2.2000000000000002</v>
      </c>
      <c r="BE46" s="679">
        <v>2.5</v>
      </c>
      <c r="BF46" s="679">
        <v>2.7</v>
      </c>
      <c r="BG46" s="679">
        <v>2.8</v>
      </c>
      <c r="BH46" s="679">
        <v>3</v>
      </c>
      <c r="BI46" s="679">
        <v>3.1</v>
      </c>
      <c r="BJ46" s="679">
        <v>3.3</v>
      </c>
      <c r="BK46" s="679">
        <v>3.6</v>
      </c>
      <c r="BL46" s="679">
        <v>3.8</v>
      </c>
      <c r="BM46" s="679">
        <v>3.8</v>
      </c>
      <c r="BN46" s="679">
        <v>3.9</v>
      </c>
      <c r="BO46" s="679">
        <v>4.4000000000000004</v>
      </c>
      <c r="BP46" s="679">
        <v>4.7</v>
      </c>
      <c r="BQ46" s="679">
        <v>4.5999999999999996</v>
      </c>
      <c r="BR46" s="679">
        <v>4.7</v>
      </c>
      <c r="BS46" s="679">
        <v>4.8</v>
      </c>
      <c r="BT46" s="679">
        <v>5</v>
      </c>
      <c r="BU46" s="679">
        <v>4.9000000000000004</v>
      </c>
      <c r="BV46" s="679">
        <v>4.4000000000000004</v>
      </c>
      <c r="BW46" s="679">
        <v>4.5999999999999996</v>
      </c>
      <c r="BX46" s="679">
        <v>5.2</v>
      </c>
      <c r="BY46" s="679">
        <v>5.2</v>
      </c>
      <c r="BZ46" s="679">
        <v>5.3</v>
      </c>
      <c r="CA46" s="679">
        <v>5.5</v>
      </c>
      <c r="CB46" s="679">
        <v>5.2</v>
      </c>
      <c r="CC46" s="679">
        <v>5.2</v>
      </c>
      <c r="CD46" s="679">
        <v>5.2</v>
      </c>
    </row>
    <row r="47" spans="1:82">
      <c r="A47" s="679" t="s">
        <v>930</v>
      </c>
      <c r="B47" s="679" t="s">
        <v>931</v>
      </c>
      <c r="C47" s="679">
        <v>0</v>
      </c>
      <c r="D47" s="679">
        <v>0</v>
      </c>
      <c r="E47" s="679">
        <v>0</v>
      </c>
      <c r="F47" s="679">
        <v>0</v>
      </c>
      <c r="G47" s="679">
        <v>0</v>
      </c>
      <c r="H47" s="679">
        <v>0</v>
      </c>
      <c r="I47" s="679">
        <v>0</v>
      </c>
      <c r="J47" s="679">
        <v>0.1</v>
      </c>
      <c r="K47" s="679">
        <v>0.2</v>
      </c>
      <c r="L47" s="679">
        <v>0.2</v>
      </c>
      <c r="M47" s="679">
        <v>0.2</v>
      </c>
      <c r="N47" s="679">
        <v>0.3</v>
      </c>
      <c r="O47" s="679">
        <v>0.3</v>
      </c>
      <c r="P47" s="679">
        <v>0.4</v>
      </c>
      <c r="Q47" s="679">
        <v>0.3</v>
      </c>
      <c r="R47" s="679">
        <v>0.3</v>
      </c>
      <c r="S47" s="679">
        <v>0.5</v>
      </c>
      <c r="T47" s="679">
        <v>0.6</v>
      </c>
      <c r="U47" s="679">
        <v>0.6</v>
      </c>
      <c r="V47" s="679">
        <v>1</v>
      </c>
      <c r="W47" s="679">
        <v>2.4</v>
      </c>
      <c r="X47" s="679">
        <v>2.2999999999999998</v>
      </c>
      <c r="Y47" s="679">
        <v>2.6</v>
      </c>
      <c r="Z47" s="679">
        <v>2.8</v>
      </c>
      <c r="AA47" s="679">
        <v>3.5</v>
      </c>
      <c r="AB47" s="679">
        <v>3.3</v>
      </c>
      <c r="AC47" s="679">
        <v>3.9</v>
      </c>
      <c r="AD47" s="679">
        <v>4.5</v>
      </c>
      <c r="AE47" s="679">
        <v>5.5</v>
      </c>
      <c r="AF47" s="679">
        <v>5.8</v>
      </c>
      <c r="AG47" s="679">
        <v>6.7</v>
      </c>
      <c r="AH47" s="679">
        <v>7</v>
      </c>
      <c r="AI47" s="679">
        <v>7</v>
      </c>
      <c r="AJ47" s="679">
        <v>8.4</v>
      </c>
      <c r="AK47" s="679">
        <v>10.1</v>
      </c>
      <c r="AL47" s="679">
        <v>10.6</v>
      </c>
      <c r="AM47" s="679">
        <v>12.1</v>
      </c>
      <c r="AN47" s="679">
        <v>13</v>
      </c>
      <c r="AO47" s="679">
        <v>16</v>
      </c>
      <c r="AP47" s="679">
        <v>20.5</v>
      </c>
      <c r="AQ47" s="679">
        <v>26.1</v>
      </c>
      <c r="AR47" s="679">
        <v>33.299999999999997</v>
      </c>
      <c r="AS47" s="679">
        <v>38.6</v>
      </c>
      <c r="AT47" s="679">
        <v>38.9</v>
      </c>
      <c r="AU47" s="679">
        <v>43.8</v>
      </c>
      <c r="AV47" s="679">
        <v>47.9</v>
      </c>
      <c r="AW47" s="679">
        <v>49.9</v>
      </c>
      <c r="AX47" s="679">
        <v>45.9</v>
      </c>
      <c r="AY47" s="679">
        <v>47.6</v>
      </c>
      <c r="AZ47" s="679">
        <v>50.5</v>
      </c>
      <c r="BA47" s="679">
        <v>54</v>
      </c>
      <c r="BB47" s="679">
        <v>50.8</v>
      </c>
      <c r="BC47" s="679">
        <v>42.4</v>
      </c>
      <c r="BD47" s="679">
        <v>42.6</v>
      </c>
      <c r="BE47" s="679">
        <v>44.1</v>
      </c>
      <c r="BF47" s="679">
        <v>47.2</v>
      </c>
      <c r="BG47" s="679">
        <v>46.8</v>
      </c>
      <c r="BH47" s="679">
        <v>46.2</v>
      </c>
      <c r="BI47" s="679">
        <v>48.2</v>
      </c>
      <c r="BJ47" s="679">
        <v>46.6</v>
      </c>
      <c r="BK47" s="679">
        <v>51.1</v>
      </c>
      <c r="BL47" s="679">
        <v>53.6</v>
      </c>
      <c r="BM47" s="679">
        <v>46.4</v>
      </c>
      <c r="BN47" s="679">
        <v>45.6</v>
      </c>
      <c r="BO47" s="679">
        <v>43.4</v>
      </c>
      <c r="BP47" s="679">
        <v>48.5</v>
      </c>
      <c r="BQ47" s="679">
        <v>57.8</v>
      </c>
      <c r="BR47" s="679">
        <v>68.099999999999994</v>
      </c>
      <c r="BS47" s="679">
        <v>65.900000000000006</v>
      </c>
      <c r="BT47" s="679">
        <v>97</v>
      </c>
      <c r="BU47" s="679">
        <v>133.80000000000001</v>
      </c>
      <c r="BV47" s="679">
        <v>130.4</v>
      </c>
      <c r="BW47" s="679">
        <v>141.1</v>
      </c>
      <c r="BX47" s="679">
        <v>243.1</v>
      </c>
      <c r="BY47" s="679">
        <v>171.7</v>
      </c>
      <c r="BZ47" s="679">
        <v>160.19999999999999</v>
      </c>
      <c r="CA47" s="679">
        <v>140.19999999999999</v>
      </c>
      <c r="CB47" s="679">
        <v>139.1</v>
      </c>
      <c r="CC47" s="679">
        <v>122.7</v>
      </c>
      <c r="CD47" s="679">
        <v>111.3</v>
      </c>
    </row>
    <row r="48" spans="1:82">
      <c r="A48" s="679" t="s">
        <v>932</v>
      </c>
      <c r="B48" s="679" t="s">
        <v>933</v>
      </c>
      <c r="C48" s="679" t="s">
        <v>277</v>
      </c>
      <c r="D48" s="679" t="s">
        <v>277</v>
      </c>
      <c r="E48" s="679" t="s">
        <v>277</v>
      </c>
      <c r="F48" s="679" t="s">
        <v>277</v>
      </c>
      <c r="G48" s="679" t="s">
        <v>277</v>
      </c>
      <c r="H48" s="679" t="s">
        <v>277</v>
      </c>
      <c r="I48" s="679" t="s">
        <v>277</v>
      </c>
      <c r="J48" s="679" t="s">
        <v>277</v>
      </c>
      <c r="K48" s="679" t="s">
        <v>277</v>
      </c>
      <c r="L48" s="679" t="s">
        <v>277</v>
      </c>
      <c r="M48" s="679" t="s">
        <v>277</v>
      </c>
      <c r="N48" s="679" t="s">
        <v>277</v>
      </c>
      <c r="O48" s="679" t="s">
        <v>277</v>
      </c>
      <c r="P48" s="679" t="s">
        <v>277</v>
      </c>
      <c r="Q48" s="679" t="s">
        <v>277</v>
      </c>
      <c r="R48" s="679" t="s">
        <v>277</v>
      </c>
      <c r="S48" s="679" t="s">
        <v>277</v>
      </c>
      <c r="T48" s="679" t="s">
        <v>277</v>
      </c>
      <c r="U48" s="679" t="s">
        <v>277</v>
      </c>
      <c r="V48" s="679" t="s">
        <v>277</v>
      </c>
      <c r="W48" s="679">
        <v>1.3</v>
      </c>
      <c r="X48" s="679">
        <v>1.4</v>
      </c>
      <c r="Y48" s="679">
        <v>1.6</v>
      </c>
      <c r="Z48" s="679">
        <v>1.7</v>
      </c>
      <c r="AA48" s="679">
        <v>1.7</v>
      </c>
      <c r="AB48" s="679">
        <v>1.8</v>
      </c>
      <c r="AC48" s="679">
        <v>2</v>
      </c>
      <c r="AD48" s="679">
        <v>2.2999999999999998</v>
      </c>
      <c r="AE48" s="679">
        <v>2.7</v>
      </c>
      <c r="AF48" s="679">
        <v>2.5</v>
      </c>
      <c r="AG48" s="679">
        <v>2.8</v>
      </c>
      <c r="AH48" s="679">
        <v>3.1</v>
      </c>
      <c r="AI48" s="679">
        <v>3.3</v>
      </c>
      <c r="AJ48" s="679">
        <v>3.4</v>
      </c>
      <c r="AK48" s="679">
        <v>3.6</v>
      </c>
      <c r="AL48" s="679">
        <v>4.3</v>
      </c>
      <c r="AM48" s="679">
        <v>5.2</v>
      </c>
      <c r="AN48" s="679">
        <v>5.8</v>
      </c>
      <c r="AO48" s="679">
        <v>7.4</v>
      </c>
      <c r="AP48" s="679">
        <v>9.1999999999999993</v>
      </c>
      <c r="AQ48" s="679">
        <v>11.3</v>
      </c>
      <c r="AR48" s="679">
        <v>14.8</v>
      </c>
      <c r="AS48" s="679">
        <v>18.3</v>
      </c>
      <c r="AT48" s="679">
        <v>20.399999999999999</v>
      </c>
      <c r="AU48" s="679">
        <v>22.8</v>
      </c>
      <c r="AV48" s="679">
        <v>25.6</v>
      </c>
      <c r="AW48" s="679">
        <v>28.8</v>
      </c>
      <c r="AX48" s="679">
        <v>25.1</v>
      </c>
      <c r="AY48" s="679">
        <v>27.4</v>
      </c>
      <c r="AZ48" s="679">
        <v>25.9</v>
      </c>
      <c r="BA48" s="679">
        <v>26.9</v>
      </c>
      <c r="BB48" s="679">
        <v>26.2</v>
      </c>
      <c r="BC48" s="679">
        <v>22.2</v>
      </c>
      <c r="BD48" s="679">
        <v>22.9</v>
      </c>
      <c r="BE48" s="679">
        <v>20.100000000000001</v>
      </c>
      <c r="BF48" s="679">
        <v>20.9</v>
      </c>
      <c r="BG48" s="679">
        <v>22.6</v>
      </c>
      <c r="BH48" s="679">
        <v>21</v>
      </c>
      <c r="BI48" s="679">
        <v>17.399999999999999</v>
      </c>
      <c r="BJ48" s="679">
        <v>17.2</v>
      </c>
      <c r="BK48" s="679">
        <v>19.399999999999999</v>
      </c>
      <c r="BL48" s="679">
        <v>18.100000000000001</v>
      </c>
      <c r="BM48" s="679">
        <v>15.4</v>
      </c>
      <c r="BN48" s="679">
        <v>16.600000000000001</v>
      </c>
      <c r="BO48" s="679">
        <v>16.600000000000001</v>
      </c>
      <c r="BP48" s="679">
        <v>17.100000000000001</v>
      </c>
      <c r="BQ48" s="679">
        <v>18.600000000000001</v>
      </c>
      <c r="BR48" s="679">
        <v>22.1</v>
      </c>
      <c r="BS48" s="679">
        <v>19.8</v>
      </c>
      <c r="BT48" s="679">
        <v>23.8</v>
      </c>
      <c r="BU48" s="679">
        <v>29.5</v>
      </c>
      <c r="BV48" s="679">
        <v>26.3</v>
      </c>
      <c r="BW48" s="679">
        <v>21.4</v>
      </c>
      <c r="BX48" s="679">
        <v>22.9</v>
      </c>
      <c r="BY48" s="679">
        <v>23.8</v>
      </c>
      <c r="BZ48" s="679">
        <v>27.1</v>
      </c>
      <c r="CA48" s="679">
        <v>29.1</v>
      </c>
      <c r="CB48" s="679">
        <v>29.3</v>
      </c>
      <c r="CC48" s="679">
        <v>35.799999999999997</v>
      </c>
      <c r="CD48" s="679">
        <v>39</v>
      </c>
    </row>
    <row r="49" spans="1:82">
      <c r="A49" s="679" t="s">
        <v>934</v>
      </c>
      <c r="B49" s="679" t="s">
        <v>935</v>
      </c>
      <c r="C49" s="679">
        <v>0</v>
      </c>
      <c r="D49" s="679">
        <v>0</v>
      </c>
      <c r="E49" s="679">
        <v>0</v>
      </c>
      <c r="F49" s="679">
        <v>0</v>
      </c>
      <c r="G49" s="679">
        <v>0</v>
      </c>
      <c r="H49" s="679">
        <v>0</v>
      </c>
      <c r="I49" s="679">
        <v>0</v>
      </c>
      <c r="J49" s="679">
        <v>0.1</v>
      </c>
      <c r="K49" s="679">
        <v>0.2</v>
      </c>
      <c r="L49" s="679">
        <v>0.2</v>
      </c>
      <c r="M49" s="679">
        <v>0.2</v>
      </c>
      <c r="N49" s="679">
        <v>0.3</v>
      </c>
      <c r="O49" s="679">
        <v>0.3</v>
      </c>
      <c r="P49" s="679">
        <v>0.3</v>
      </c>
      <c r="Q49" s="679">
        <v>0.3</v>
      </c>
      <c r="R49" s="679">
        <v>0.3</v>
      </c>
      <c r="S49" s="679">
        <v>0.4</v>
      </c>
      <c r="T49" s="679">
        <v>0.5</v>
      </c>
      <c r="U49" s="679">
        <v>0.5</v>
      </c>
      <c r="V49" s="679">
        <v>0.9</v>
      </c>
      <c r="W49" s="679">
        <v>0.9</v>
      </c>
      <c r="X49" s="679">
        <v>0.7</v>
      </c>
      <c r="Y49" s="679">
        <v>0.8</v>
      </c>
      <c r="Z49" s="679">
        <v>0.9</v>
      </c>
      <c r="AA49" s="679">
        <v>1.6</v>
      </c>
      <c r="AB49" s="679">
        <v>1.3</v>
      </c>
      <c r="AC49" s="679">
        <v>1.6</v>
      </c>
      <c r="AD49" s="679">
        <v>1.9</v>
      </c>
      <c r="AE49" s="679">
        <v>2.5</v>
      </c>
      <c r="AF49" s="679">
        <v>3</v>
      </c>
      <c r="AG49" s="679">
        <v>3.5</v>
      </c>
      <c r="AH49" s="679">
        <v>3.4</v>
      </c>
      <c r="AI49" s="679">
        <v>3.2</v>
      </c>
      <c r="AJ49" s="679">
        <v>4.3</v>
      </c>
      <c r="AK49" s="679">
        <v>5.6</v>
      </c>
      <c r="AL49" s="679">
        <v>5.4</v>
      </c>
      <c r="AM49" s="679">
        <v>5.9</v>
      </c>
      <c r="AN49" s="679">
        <v>5.9</v>
      </c>
      <c r="AO49" s="679">
        <v>7</v>
      </c>
      <c r="AP49" s="679">
        <v>9.3000000000000007</v>
      </c>
      <c r="AQ49" s="679">
        <v>11.7</v>
      </c>
      <c r="AR49" s="679">
        <v>14</v>
      </c>
      <c r="AS49" s="679">
        <v>15.2</v>
      </c>
      <c r="AT49" s="679">
        <v>14.2</v>
      </c>
      <c r="AU49" s="679">
        <v>16.100000000000001</v>
      </c>
      <c r="AV49" s="679">
        <v>17.8</v>
      </c>
      <c r="AW49" s="679">
        <v>17.8</v>
      </c>
      <c r="AX49" s="679">
        <v>17.7</v>
      </c>
      <c r="AY49" s="679">
        <v>17.399999999999999</v>
      </c>
      <c r="AZ49" s="679">
        <v>21.6</v>
      </c>
      <c r="BA49" s="679">
        <v>23.6</v>
      </c>
      <c r="BB49" s="679">
        <v>20.8</v>
      </c>
      <c r="BC49" s="679">
        <v>16.8</v>
      </c>
      <c r="BD49" s="679">
        <v>16</v>
      </c>
      <c r="BE49" s="679">
        <v>20.5</v>
      </c>
      <c r="BF49" s="679">
        <v>23.4</v>
      </c>
      <c r="BG49" s="679">
        <v>20.100000000000001</v>
      </c>
      <c r="BH49" s="679">
        <v>20.7</v>
      </c>
      <c r="BI49" s="679">
        <v>26.6</v>
      </c>
      <c r="BJ49" s="679">
        <v>25.4</v>
      </c>
      <c r="BK49" s="679">
        <v>25.3</v>
      </c>
      <c r="BL49" s="679">
        <v>27.1</v>
      </c>
      <c r="BM49" s="679">
        <v>24.5</v>
      </c>
      <c r="BN49" s="679">
        <v>22</v>
      </c>
      <c r="BO49" s="679">
        <v>18.100000000000001</v>
      </c>
      <c r="BP49" s="679">
        <v>21.7</v>
      </c>
      <c r="BQ49" s="679">
        <v>29.3</v>
      </c>
      <c r="BR49" s="679">
        <v>34.799999999999997</v>
      </c>
      <c r="BS49" s="679">
        <v>32.299999999999997</v>
      </c>
      <c r="BT49" s="679">
        <v>66.2</v>
      </c>
      <c r="BU49" s="679">
        <v>96.3</v>
      </c>
      <c r="BV49" s="679">
        <v>94.2</v>
      </c>
      <c r="BW49" s="679">
        <v>109.5</v>
      </c>
      <c r="BX49" s="679">
        <v>210.9</v>
      </c>
      <c r="BY49" s="679">
        <v>137.6</v>
      </c>
      <c r="BZ49" s="679">
        <v>126.4</v>
      </c>
      <c r="CA49" s="679">
        <v>106.3</v>
      </c>
      <c r="CB49" s="679">
        <v>103.7</v>
      </c>
      <c r="CC49" s="679">
        <v>79</v>
      </c>
      <c r="CD49" s="679">
        <v>63.8</v>
      </c>
    </row>
    <row r="50" spans="1:82">
      <c r="A50" s="679" t="s">
        <v>936</v>
      </c>
      <c r="B50" s="679" t="s">
        <v>937</v>
      </c>
      <c r="C50" s="679">
        <v>0</v>
      </c>
      <c r="D50" s="679">
        <v>0</v>
      </c>
      <c r="E50" s="679">
        <v>0</v>
      </c>
      <c r="F50" s="679">
        <v>0</v>
      </c>
      <c r="G50" s="679">
        <v>0</v>
      </c>
      <c r="H50" s="679">
        <v>0</v>
      </c>
      <c r="I50" s="679">
        <v>0</v>
      </c>
      <c r="J50" s="679">
        <v>0.1</v>
      </c>
      <c r="K50" s="679">
        <v>0.2</v>
      </c>
      <c r="L50" s="679">
        <v>0.2</v>
      </c>
      <c r="M50" s="679">
        <v>0.2</v>
      </c>
      <c r="N50" s="679">
        <v>0.3</v>
      </c>
      <c r="O50" s="679">
        <v>0.3</v>
      </c>
      <c r="P50" s="679">
        <v>0.3</v>
      </c>
      <c r="Q50" s="679">
        <v>0.3</v>
      </c>
      <c r="R50" s="679">
        <v>0.3</v>
      </c>
      <c r="S50" s="679">
        <v>0.4</v>
      </c>
      <c r="T50" s="679">
        <v>0.5</v>
      </c>
      <c r="U50" s="679">
        <v>0.5</v>
      </c>
      <c r="V50" s="679">
        <v>0.9</v>
      </c>
      <c r="W50" s="679">
        <v>0.9</v>
      </c>
      <c r="X50" s="679">
        <v>0.7</v>
      </c>
      <c r="Y50" s="679">
        <v>0.8</v>
      </c>
      <c r="Z50" s="679">
        <v>0.9</v>
      </c>
      <c r="AA50" s="679">
        <v>1.6</v>
      </c>
      <c r="AB50" s="679">
        <v>1.3</v>
      </c>
      <c r="AC50" s="679">
        <v>1.6</v>
      </c>
      <c r="AD50" s="679">
        <v>1.9</v>
      </c>
      <c r="AE50" s="679">
        <v>2.5</v>
      </c>
      <c r="AF50" s="679">
        <v>3</v>
      </c>
      <c r="AG50" s="679">
        <v>3.5</v>
      </c>
      <c r="AH50" s="679">
        <v>3.4</v>
      </c>
      <c r="AI50" s="679">
        <v>3.2</v>
      </c>
      <c r="AJ50" s="679">
        <v>4.3</v>
      </c>
      <c r="AK50" s="679">
        <v>5.6</v>
      </c>
      <c r="AL50" s="679">
        <v>5.4</v>
      </c>
      <c r="AM50" s="679">
        <v>5.9</v>
      </c>
      <c r="AN50" s="679">
        <v>5.9</v>
      </c>
      <c r="AO50" s="679">
        <v>7</v>
      </c>
      <c r="AP50" s="679">
        <v>9.3000000000000007</v>
      </c>
      <c r="AQ50" s="679">
        <v>11.7</v>
      </c>
      <c r="AR50" s="679">
        <v>14</v>
      </c>
      <c r="AS50" s="679">
        <v>15.2</v>
      </c>
      <c r="AT50" s="679">
        <v>14.2</v>
      </c>
      <c r="AU50" s="679">
        <v>16.100000000000001</v>
      </c>
      <c r="AV50" s="679">
        <v>17.8</v>
      </c>
      <c r="AW50" s="679">
        <v>17.8</v>
      </c>
      <c r="AX50" s="679">
        <v>17.7</v>
      </c>
      <c r="AY50" s="679">
        <v>17.399999999999999</v>
      </c>
      <c r="AZ50" s="679">
        <v>21.6</v>
      </c>
      <c r="BA50" s="679">
        <v>23.6</v>
      </c>
      <c r="BB50" s="679">
        <v>20.8</v>
      </c>
      <c r="BC50" s="679">
        <v>16.8</v>
      </c>
      <c r="BD50" s="679">
        <v>16</v>
      </c>
      <c r="BE50" s="679">
        <v>20.5</v>
      </c>
      <c r="BF50" s="679">
        <v>23.4</v>
      </c>
      <c r="BG50" s="679">
        <v>20.100000000000001</v>
      </c>
      <c r="BH50" s="679">
        <v>20.7</v>
      </c>
      <c r="BI50" s="679">
        <v>26.6</v>
      </c>
      <c r="BJ50" s="679">
        <v>25.4</v>
      </c>
      <c r="BK50" s="679">
        <v>25.3</v>
      </c>
      <c r="BL50" s="679">
        <v>27.1</v>
      </c>
      <c r="BM50" s="679">
        <v>24.5</v>
      </c>
      <c r="BN50" s="679">
        <v>22</v>
      </c>
      <c r="BO50" s="679">
        <v>18.100000000000001</v>
      </c>
      <c r="BP50" s="679">
        <v>21.5</v>
      </c>
      <c r="BQ50" s="679">
        <v>29.1</v>
      </c>
      <c r="BR50" s="679">
        <v>34.6</v>
      </c>
      <c r="BS50" s="679">
        <v>31.7</v>
      </c>
      <c r="BT50" s="679">
        <v>47.4</v>
      </c>
      <c r="BU50" s="679">
        <v>79.3</v>
      </c>
      <c r="BV50" s="679">
        <v>75.400000000000006</v>
      </c>
      <c r="BW50" s="679">
        <v>88.4</v>
      </c>
      <c r="BX50" s="679">
        <v>79.599999999999994</v>
      </c>
      <c r="BY50" s="679">
        <v>96.9</v>
      </c>
      <c r="BZ50" s="679">
        <v>110.4</v>
      </c>
      <c r="CA50" s="679">
        <v>91.5</v>
      </c>
      <c r="CB50" s="679">
        <v>80.599999999999994</v>
      </c>
      <c r="CC50" s="679">
        <v>65.3</v>
      </c>
      <c r="CD50" s="679">
        <v>54.9</v>
      </c>
    </row>
    <row r="51" spans="1:82">
      <c r="A51" s="679" t="s">
        <v>938</v>
      </c>
      <c r="B51" s="679" t="s">
        <v>919</v>
      </c>
      <c r="C51" s="679" t="s">
        <v>277</v>
      </c>
      <c r="D51" s="679" t="s">
        <v>277</v>
      </c>
      <c r="E51" s="679" t="s">
        <v>277</v>
      </c>
      <c r="F51" s="679" t="s">
        <v>277</v>
      </c>
      <c r="G51" s="679" t="s">
        <v>277</v>
      </c>
      <c r="H51" s="679" t="s">
        <v>277</v>
      </c>
      <c r="I51" s="679" t="s">
        <v>277</v>
      </c>
      <c r="J51" s="679" t="s">
        <v>277</v>
      </c>
      <c r="K51" s="679" t="s">
        <v>277</v>
      </c>
      <c r="L51" s="679" t="s">
        <v>277</v>
      </c>
      <c r="M51" s="679" t="s">
        <v>277</v>
      </c>
      <c r="N51" s="679" t="s">
        <v>277</v>
      </c>
      <c r="O51" s="679" t="s">
        <v>277</v>
      </c>
      <c r="P51" s="679" t="s">
        <v>277</v>
      </c>
      <c r="Q51" s="679" t="s">
        <v>277</v>
      </c>
      <c r="R51" s="679" t="s">
        <v>277</v>
      </c>
      <c r="S51" s="679" t="s">
        <v>277</v>
      </c>
      <c r="T51" s="679" t="s">
        <v>277</v>
      </c>
      <c r="U51" s="679" t="s">
        <v>277</v>
      </c>
      <c r="V51" s="679" t="s">
        <v>277</v>
      </c>
      <c r="W51" s="679" t="s">
        <v>277</v>
      </c>
      <c r="X51" s="679" t="s">
        <v>277</v>
      </c>
      <c r="Y51" s="679" t="s">
        <v>277</v>
      </c>
      <c r="Z51" s="679" t="s">
        <v>277</v>
      </c>
      <c r="AA51" s="679" t="s">
        <v>277</v>
      </c>
      <c r="AB51" s="679" t="s">
        <v>277</v>
      </c>
      <c r="AC51" s="679" t="s">
        <v>277</v>
      </c>
      <c r="AD51" s="679" t="s">
        <v>277</v>
      </c>
      <c r="AE51" s="679" t="s">
        <v>277</v>
      </c>
      <c r="AF51" s="679" t="s">
        <v>277</v>
      </c>
      <c r="AG51" s="679" t="s">
        <v>277</v>
      </c>
      <c r="AH51" s="679" t="s">
        <v>277</v>
      </c>
      <c r="AI51" s="679" t="s">
        <v>277</v>
      </c>
      <c r="AJ51" s="679" t="s">
        <v>277</v>
      </c>
      <c r="AK51" s="679" t="s">
        <v>277</v>
      </c>
      <c r="AL51" s="679" t="s">
        <v>277</v>
      </c>
      <c r="AM51" s="679" t="s">
        <v>277</v>
      </c>
      <c r="AN51" s="679" t="s">
        <v>277</v>
      </c>
      <c r="AO51" s="679" t="s">
        <v>277</v>
      </c>
      <c r="AP51" s="679" t="s">
        <v>277</v>
      </c>
      <c r="AQ51" s="679" t="s">
        <v>277</v>
      </c>
      <c r="AR51" s="679" t="s">
        <v>277</v>
      </c>
      <c r="AS51" s="679" t="s">
        <v>277</v>
      </c>
      <c r="AT51" s="679" t="s">
        <v>277</v>
      </c>
      <c r="AU51" s="679" t="s">
        <v>277</v>
      </c>
      <c r="AV51" s="679" t="s">
        <v>277</v>
      </c>
      <c r="AW51" s="679" t="s">
        <v>277</v>
      </c>
      <c r="AX51" s="679" t="s">
        <v>277</v>
      </c>
      <c r="AY51" s="679" t="s">
        <v>277</v>
      </c>
      <c r="AZ51" s="679" t="s">
        <v>277</v>
      </c>
      <c r="BA51" s="679" t="s">
        <v>277</v>
      </c>
      <c r="BB51" s="679" t="s">
        <v>277</v>
      </c>
      <c r="BC51" s="679" t="s">
        <v>277</v>
      </c>
      <c r="BD51" s="679" t="s">
        <v>277</v>
      </c>
      <c r="BE51" s="679" t="s">
        <v>277</v>
      </c>
      <c r="BF51" s="679" t="s">
        <v>277</v>
      </c>
      <c r="BG51" s="679" t="s">
        <v>277</v>
      </c>
      <c r="BH51" s="679" t="s">
        <v>277</v>
      </c>
      <c r="BI51" s="679" t="s">
        <v>277</v>
      </c>
      <c r="BJ51" s="679" t="s">
        <v>277</v>
      </c>
      <c r="BK51" s="679" t="s">
        <v>277</v>
      </c>
      <c r="BL51" s="679" t="s">
        <v>277</v>
      </c>
      <c r="BM51" s="679" t="s">
        <v>277</v>
      </c>
      <c r="BN51" s="679" t="s">
        <v>277</v>
      </c>
      <c r="BO51" s="679">
        <v>0.1</v>
      </c>
      <c r="BP51" s="679">
        <v>0.2</v>
      </c>
      <c r="BQ51" s="679">
        <v>0.3</v>
      </c>
      <c r="BR51" s="679">
        <v>0.2</v>
      </c>
      <c r="BS51" s="679">
        <v>0.6</v>
      </c>
      <c r="BT51" s="679">
        <v>18.7</v>
      </c>
      <c r="BU51" s="679">
        <v>17</v>
      </c>
      <c r="BV51" s="679">
        <v>18.8</v>
      </c>
      <c r="BW51" s="679">
        <v>21.1</v>
      </c>
      <c r="BX51" s="679">
        <v>131.30000000000001</v>
      </c>
      <c r="BY51" s="679">
        <v>40.700000000000003</v>
      </c>
      <c r="BZ51" s="679">
        <v>16</v>
      </c>
      <c r="CA51" s="679">
        <v>14.8</v>
      </c>
      <c r="CB51" s="679">
        <v>23.2</v>
      </c>
      <c r="CC51" s="679">
        <v>13.7</v>
      </c>
      <c r="CD51" s="679">
        <v>8.9</v>
      </c>
    </row>
    <row r="52" spans="1:82">
      <c r="A52" s="679" t="s">
        <v>939</v>
      </c>
      <c r="B52" s="679" t="s">
        <v>940</v>
      </c>
      <c r="C52" s="679" t="s">
        <v>277</v>
      </c>
      <c r="D52" s="679" t="s">
        <v>277</v>
      </c>
      <c r="E52" s="679" t="s">
        <v>277</v>
      </c>
      <c r="F52" s="679" t="s">
        <v>277</v>
      </c>
      <c r="G52" s="679" t="s">
        <v>277</v>
      </c>
      <c r="H52" s="679" t="s">
        <v>277</v>
      </c>
      <c r="I52" s="679" t="s">
        <v>277</v>
      </c>
      <c r="J52" s="679">
        <v>0</v>
      </c>
      <c r="K52" s="679">
        <v>0</v>
      </c>
      <c r="L52" s="679">
        <v>0</v>
      </c>
      <c r="M52" s="679">
        <v>0</v>
      </c>
      <c r="N52" s="679">
        <v>0.1</v>
      </c>
      <c r="O52" s="679">
        <v>0.1</v>
      </c>
      <c r="P52" s="679">
        <v>0.1</v>
      </c>
      <c r="Q52" s="679">
        <v>0.1</v>
      </c>
      <c r="R52" s="679">
        <v>0.1</v>
      </c>
      <c r="S52" s="679">
        <v>0.1</v>
      </c>
      <c r="T52" s="679">
        <v>0.1</v>
      </c>
      <c r="U52" s="679">
        <v>0.1</v>
      </c>
      <c r="V52" s="679">
        <v>0.1</v>
      </c>
      <c r="W52" s="679">
        <v>0.2</v>
      </c>
      <c r="X52" s="679">
        <v>0.2</v>
      </c>
      <c r="Y52" s="679">
        <v>0.2</v>
      </c>
      <c r="Z52" s="679">
        <v>0.2</v>
      </c>
      <c r="AA52" s="679">
        <v>0.2</v>
      </c>
      <c r="AB52" s="679">
        <v>0.2</v>
      </c>
      <c r="AC52" s="679">
        <v>0.2</v>
      </c>
      <c r="AD52" s="679">
        <v>0.3</v>
      </c>
      <c r="AE52" s="679">
        <v>0.3</v>
      </c>
      <c r="AF52" s="679">
        <v>0.3</v>
      </c>
      <c r="AG52" s="679">
        <v>0.4</v>
      </c>
      <c r="AH52" s="679">
        <v>0.5</v>
      </c>
      <c r="AI52" s="679">
        <v>0.5</v>
      </c>
      <c r="AJ52" s="679">
        <v>0.7</v>
      </c>
      <c r="AK52" s="679">
        <v>0.9</v>
      </c>
      <c r="AL52" s="679">
        <v>1</v>
      </c>
      <c r="AM52" s="679">
        <v>1.1000000000000001</v>
      </c>
      <c r="AN52" s="679">
        <v>1.3</v>
      </c>
      <c r="AO52" s="679">
        <v>1.5</v>
      </c>
      <c r="AP52" s="679">
        <v>2.1</v>
      </c>
      <c r="AQ52" s="679">
        <v>3</v>
      </c>
      <c r="AR52" s="679">
        <v>4.4000000000000004</v>
      </c>
      <c r="AS52" s="679">
        <v>5.0999999999999996</v>
      </c>
      <c r="AT52" s="679">
        <v>4.3</v>
      </c>
      <c r="AU52" s="679">
        <v>4.9000000000000004</v>
      </c>
      <c r="AV52" s="679">
        <v>4.5999999999999996</v>
      </c>
      <c r="AW52" s="679">
        <v>3.3</v>
      </c>
      <c r="AX52" s="679">
        <v>3.1</v>
      </c>
      <c r="AY52" s="679">
        <v>2.8</v>
      </c>
      <c r="AZ52" s="679">
        <v>3</v>
      </c>
      <c r="BA52" s="679">
        <v>3.5</v>
      </c>
      <c r="BB52" s="679">
        <v>3.8</v>
      </c>
      <c r="BC52" s="679">
        <v>3.5</v>
      </c>
      <c r="BD52" s="679">
        <v>3.8</v>
      </c>
      <c r="BE52" s="679">
        <v>3.6</v>
      </c>
      <c r="BF52" s="679">
        <v>3</v>
      </c>
      <c r="BG52" s="679">
        <v>4.0999999999999996</v>
      </c>
      <c r="BH52" s="679">
        <v>4.5</v>
      </c>
      <c r="BI52" s="679">
        <v>4.2</v>
      </c>
      <c r="BJ52" s="679">
        <v>4</v>
      </c>
      <c r="BK52" s="679">
        <v>6.3</v>
      </c>
      <c r="BL52" s="679">
        <v>8.4</v>
      </c>
      <c r="BM52" s="679">
        <v>6.5</v>
      </c>
      <c r="BN52" s="679">
        <v>7</v>
      </c>
      <c r="BO52" s="679">
        <v>8.6999999999999993</v>
      </c>
      <c r="BP52" s="679">
        <v>9.6999999999999993</v>
      </c>
      <c r="BQ52" s="679">
        <v>9.9</v>
      </c>
      <c r="BR52" s="679">
        <v>11.1</v>
      </c>
      <c r="BS52" s="679">
        <v>13.8</v>
      </c>
      <c r="BT52" s="679">
        <v>7</v>
      </c>
      <c r="BU52" s="679">
        <v>8</v>
      </c>
      <c r="BV52" s="679">
        <v>9.9</v>
      </c>
      <c r="BW52" s="679">
        <v>10.199999999999999</v>
      </c>
      <c r="BX52" s="679">
        <v>9.3000000000000007</v>
      </c>
      <c r="BY52" s="679">
        <v>10.3</v>
      </c>
      <c r="BZ52" s="679">
        <v>6.7</v>
      </c>
      <c r="CA52" s="679">
        <v>4.8</v>
      </c>
      <c r="CB52" s="679">
        <v>6.1</v>
      </c>
      <c r="CC52" s="679">
        <v>7.8</v>
      </c>
      <c r="CD52" s="679">
        <v>8.5</v>
      </c>
    </row>
    <row r="53" spans="1:82">
      <c r="A53" s="679" t="s">
        <v>941</v>
      </c>
      <c r="B53" s="679" t="s">
        <v>942</v>
      </c>
      <c r="C53" s="679">
        <v>0.1</v>
      </c>
      <c r="D53" s="679">
        <v>0.1</v>
      </c>
      <c r="E53" s="679">
        <v>0.2</v>
      </c>
      <c r="F53" s="679">
        <v>0.3</v>
      </c>
      <c r="G53" s="679">
        <v>0.4</v>
      </c>
      <c r="H53" s="679">
        <v>0.4</v>
      </c>
      <c r="I53" s="679">
        <v>0.3</v>
      </c>
      <c r="J53" s="679">
        <v>0.3</v>
      </c>
      <c r="K53" s="679">
        <v>0.3</v>
      </c>
      <c r="L53" s="679">
        <v>0.3</v>
      </c>
      <c r="M53" s="679">
        <v>0.2</v>
      </c>
      <c r="N53" s="679">
        <v>0.2</v>
      </c>
      <c r="O53" s="679">
        <v>0.2</v>
      </c>
      <c r="P53" s="679">
        <v>0.2</v>
      </c>
      <c r="Q53" s="679">
        <v>0.2</v>
      </c>
      <c r="R53" s="679">
        <v>0.2</v>
      </c>
      <c r="S53" s="679">
        <v>0.3</v>
      </c>
      <c r="T53" s="679">
        <v>0.3</v>
      </c>
      <c r="U53" s="679">
        <v>0.3</v>
      </c>
      <c r="V53" s="679">
        <v>0.3</v>
      </c>
      <c r="W53" s="679">
        <v>0.3</v>
      </c>
      <c r="X53" s="679">
        <v>0.4</v>
      </c>
      <c r="Y53" s="679">
        <v>0.4</v>
      </c>
      <c r="Z53" s="679">
        <v>0.5</v>
      </c>
      <c r="AA53" s="679">
        <v>0.6</v>
      </c>
      <c r="AB53" s="679">
        <v>0.9</v>
      </c>
      <c r="AC53" s="679">
        <v>1</v>
      </c>
      <c r="AD53" s="679">
        <v>1</v>
      </c>
      <c r="AE53" s="679">
        <v>1</v>
      </c>
      <c r="AF53" s="679">
        <v>1</v>
      </c>
      <c r="AG53" s="679">
        <v>1</v>
      </c>
      <c r="AH53" s="679">
        <v>0.9</v>
      </c>
      <c r="AI53" s="679">
        <v>1.1000000000000001</v>
      </c>
      <c r="AJ53" s="679">
        <v>1</v>
      </c>
      <c r="AK53" s="679">
        <v>1.1000000000000001</v>
      </c>
      <c r="AL53" s="679">
        <v>1.1000000000000001</v>
      </c>
      <c r="AM53" s="679">
        <v>1.2</v>
      </c>
      <c r="AN53" s="679">
        <v>1.6</v>
      </c>
      <c r="AO53" s="679">
        <v>2.2000000000000002</v>
      </c>
      <c r="AP53" s="679">
        <v>2.5</v>
      </c>
      <c r="AQ53" s="679">
        <v>3.1</v>
      </c>
      <c r="AR53" s="679">
        <v>3.1</v>
      </c>
      <c r="AS53" s="679">
        <v>4.4000000000000004</v>
      </c>
      <c r="AT53" s="679">
        <v>5.2</v>
      </c>
      <c r="AU53" s="679">
        <v>6.3</v>
      </c>
      <c r="AV53" s="679">
        <v>8.6</v>
      </c>
      <c r="AW53" s="679">
        <v>7.6</v>
      </c>
      <c r="AX53" s="679">
        <v>10.199999999999999</v>
      </c>
      <c r="AY53" s="679">
        <v>9.6</v>
      </c>
      <c r="AZ53" s="679">
        <v>11.8</v>
      </c>
      <c r="BA53" s="679">
        <v>13.3</v>
      </c>
      <c r="BB53" s="679">
        <v>17.2</v>
      </c>
      <c r="BC53" s="679">
        <v>18.399999999999999</v>
      </c>
      <c r="BD53" s="679">
        <v>20.2</v>
      </c>
      <c r="BE53" s="679">
        <v>21.6</v>
      </c>
      <c r="BF53" s="679">
        <v>17.5</v>
      </c>
      <c r="BG53" s="679">
        <v>22.7</v>
      </c>
      <c r="BH53" s="679">
        <v>20.100000000000001</v>
      </c>
      <c r="BI53" s="679">
        <v>21.5</v>
      </c>
      <c r="BJ53" s="679">
        <v>23.4</v>
      </c>
      <c r="BK53" s="679">
        <v>24.9</v>
      </c>
      <c r="BL53" s="679">
        <v>25.7</v>
      </c>
      <c r="BM53" s="679">
        <v>25</v>
      </c>
      <c r="BN53" s="679">
        <v>26.2</v>
      </c>
      <c r="BO53" s="679">
        <v>29.8</v>
      </c>
      <c r="BP53" s="679">
        <v>33.700000000000003</v>
      </c>
      <c r="BQ53" s="679">
        <v>38.1</v>
      </c>
      <c r="BR53" s="679">
        <v>42.7</v>
      </c>
      <c r="BS53" s="679">
        <v>49.7</v>
      </c>
      <c r="BT53" s="679">
        <v>67.2</v>
      </c>
      <c r="BU53" s="679">
        <v>68.099999999999994</v>
      </c>
      <c r="BV53" s="679">
        <v>67.099999999999994</v>
      </c>
      <c r="BW53" s="679">
        <v>56.1</v>
      </c>
      <c r="BX53" s="679">
        <v>69.3</v>
      </c>
      <c r="BY53" s="679">
        <v>87.3</v>
      </c>
      <c r="BZ53" s="679">
        <v>76.2</v>
      </c>
      <c r="CA53" s="679">
        <v>79.7</v>
      </c>
      <c r="CB53" s="679">
        <v>85.2</v>
      </c>
      <c r="CC53" s="679">
        <v>83.9</v>
      </c>
      <c r="CD53" s="679">
        <v>67.8</v>
      </c>
    </row>
    <row r="54" spans="1:82">
      <c r="A54" s="679" t="s">
        <v>943</v>
      </c>
      <c r="B54" s="679" t="s">
        <v>944</v>
      </c>
      <c r="C54" s="679">
        <v>0.1</v>
      </c>
      <c r="D54" s="679">
        <v>0.1</v>
      </c>
      <c r="E54" s="679">
        <v>0.1</v>
      </c>
      <c r="F54" s="679">
        <v>0.2</v>
      </c>
      <c r="G54" s="679">
        <v>0.3</v>
      </c>
      <c r="H54" s="679">
        <v>0.3</v>
      </c>
      <c r="I54" s="679">
        <v>0.2</v>
      </c>
      <c r="J54" s="679">
        <v>0.3</v>
      </c>
      <c r="K54" s="679">
        <v>0.3</v>
      </c>
      <c r="L54" s="679">
        <v>0.2</v>
      </c>
      <c r="M54" s="679">
        <v>0.2</v>
      </c>
      <c r="N54" s="679">
        <v>0.2</v>
      </c>
      <c r="O54" s="679">
        <v>0.2</v>
      </c>
      <c r="P54" s="679">
        <v>0.2</v>
      </c>
      <c r="Q54" s="679">
        <v>0.2</v>
      </c>
      <c r="R54" s="679">
        <v>0.2</v>
      </c>
      <c r="S54" s="679">
        <v>0.2</v>
      </c>
      <c r="T54" s="679">
        <v>0.2</v>
      </c>
      <c r="U54" s="679">
        <v>0.2</v>
      </c>
      <c r="V54" s="679">
        <v>0.2</v>
      </c>
      <c r="W54" s="679">
        <v>0.3</v>
      </c>
      <c r="X54" s="679">
        <v>0.3</v>
      </c>
      <c r="Y54" s="679">
        <v>0.3</v>
      </c>
      <c r="Z54" s="679">
        <v>0.4</v>
      </c>
      <c r="AA54" s="679">
        <v>0.6</v>
      </c>
      <c r="AB54" s="679">
        <v>0.9</v>
      </c>
      <c r="AC54" s="679">
        <v>1</v>
      </c>
      <c r="AD54" s="679">
        <v>0.9</v>
      </c>
      <c r="AE54" s="679">
        <v>0.9</v>
      </c>
      <c r="AF54" s="679">
        <v>0.9</v>
      </c>
      <c r="AG54" s="679">
        <v>0.9</v>
      </c>
      <c r="AH54" s="679">
        <v>0.9</v>
      </c>
      <c r="AI54" s="679">
        <v>1</v>
      </c>
      <c r="AJ54" s="679">
        <v>0.9</v>
      </c>
      <c r="AK54" s="679">
        <v>1</v>
      </c>
      <c r="AL54" s="679">
        <v>1</v>
      </c>
      <c r="AM54" s="679">
        <v>1.1000000000000001</v>
      </c>
      <c r="AN54" s="679">
        <v>1.4</v>
      </c>
      <c r="AO54" s="679">
        <v>2</v>
      </c>
      <c r="AP54" s="679">
        <v>2.4</v>
      </c>
      <c r="AQ54" s="679">
        <v>2.9</v>
      </c>
      <c r="AR54" s="679">
        <v>2.9</v>
      </c>
      <c r="AS54" s="679">
        <v>3.7</v>
      </c>
      <c r="AT54" s="679">
        <v>4.2</v>
      </c>
      <c r="AU54" s="679">
        <v>5.2</v>
      </c>
      <c r="AV54" s="679">
        <v>7.4</v>
      </c>
      <c r="AW54" s="679">
        <v>6.3</v>
      </c>
      <c r="AX54" s="679">
        <v>8.1999999999999993</v>
      </c>
      <c r="AY54" s="679">
        <v>6.8</v>
      </c>
      <c r="AZ54" s="679">
        <v>8.6999999999999993</v>
      </c>
      <c r="BA54" s="679">
        <v>9.9</v>
      </c>
      <c r="BB54" s="679">
        <v>13.3</v>
      </c>
      <c r="BC54" s="679">
        <v>14.3</v>
      </c>
      <c r="BD54" s="679">
        <v>15.1</v>
      </c>
      <c r="BE54" s="679">
        <v>15.9</v>
      </c>
      <c r="BF54" s="679">
        <v>11.4</v>
      </c>
      <c r="BG54" s="679">
        <v>15.6</v>
      </c>
      <c r="BH54" s="679">
        <v>12.1</v>
      </c>
      <c r="BI54" s="679">
        <v>12.7</v>
      </c>
      <c r="BJ54" s="679">
        <v>12.4</v>
      </c>
      <c r="BK54" s="679">
        <v>13.4</v>
      </c>
      <c r="BL54" s="679">
        <v>14</v>
      </c>
      <c r="BM54" s="679">
        <v>13.7</v>
      </c>
      <c r="BN54" s="679">
        <v>14.5</v>
      </c>
      <c r="BO54" s="679">
        <v>15.9</v>
      </c>
      <c r="BP54" s="679">
        <v>16.899999999999999</v>
      </c>
      <c r="BQ54" s="679">
        <v>19.5</v>
      </c>
      <c r="BR54" s="679">
        <v>21.5</v>
      </c>
      <c r="BS54" s="679">
        <v>27</v>
      </c>
      <c r="BT54" s="679">
        <v>44.4</v>
      </c>
      <c r="BU54" s="679">
        <v>43.8</v>
      </c>
      <c r="BV54" s="679">
        <v>45</v>
      </c>
      <c r="BW54" s="679">
        <v>28.6</v>
      </c>
      <c r="BX54" s="679">
        <v>39.799999999999997</v>
      </c>
      <c r="BY54" s="679">
        <v>52</v>
      </c>
      <c r="BZ54" s="679">
        <v>44.6</v>
      </c>
      <c r="CA54" s="679">
        <v>49.3</v>
      </c>
      <c r="CB54" s="679">
        <v>48.4</v>
      </c>
      <c r="CC54" s="679">
        <v>46.7</v>
      </c>
      <c r="CD54" s="679">
        <v>33.299999999999997</v>
      </c>
    </row>
    <row r="55" spans="1:82">
      <c r="A55" s="679" t="s">
        <v>945</v>
      </c>
      <c r="B55" s="679" t="s">
        <v>927</v>
      </c>
      <c r="C55" s="679">
        <v>0</v>
      </c>
      <c r="D55" s="679">
        <v>0</v>
      </c>
      <c r="E55" s="679">
        <v>0</v>
      </c>
      <c r="F55" s="679">
        <v>0.1</v>
      </c>
      <c r="G55" s="679">
        <v>0.1</v>
      </c>
      <c r="H55" s="679">
        <v>0.1</v>
      </c>
      <c r="I55" s="679">
        <v>0.1</v>
      </c>
      <c r="J55" s="679">
        <v>0</v>
      </c>
      <c r="K55" s="679">
        <v>0</v>
      </c>
      <c r="L55" s="679">
        <v>0</v>
      </c>
      <c r="M55" s="679">
        <v>0</v>
      </c>
      <c r="N55" s="679">
        <v>0</v>
      </c>
      <c r="O55" s="679">
        <v>0.1</v>
      </c>
      <c r="P55" s="679">
        <v>0.1</v>
      </c>
      <c r="Q55" s="679">
        <v>0.1</v>
      </c>
      <c r="R55" s="679">
        <v>0.1</v>
      </c>
      <c r="S55" s="679">
        <v>0.1</v>
      </c>
      <c r="T55" s="679">
        <v>0</v>
      </c>
      <c r="U55" s="679">
        <v>0</v>
      </c>
      <c r="V55" s="679">
        <v>0</v>
      </c>
      <c r="W55" s="679">
        <v>0</v>
      </c>
      <c r="X55" s="679">
        <v>0</v>
      </c>
      <c r="Y55" s="679">
        <v>0.1</v>
      </c>
      <c r="Z55" s="679">
        <v>0.1</v>
      </c>
      <c r="AA55" s="679">
        <v>0.1</v>
      </c>
      <c r="AB55" s="679">
        <v>0.1</v>
      </c>
      <c r="AC55" s="679">
        <v>0</v>
      </c>
      <c r="AD55" s="679">
        <v>0.1</v>
      </c>
      <c r="AE55" s="679">
        <v>0</v>
      </c>
      <c r="AF55" s="679">
        <v>0.1</v>
      </c>
      <c r="AG55" s="679">
        <v>0.1</v>
      </c>
      <c r="AH55" s="679">
        <v>0.1</v>
      </c>
      <c r="AI55" s="679">
        <v>0.1</v>
      </c>
      <c r="AJ55" s="679">
        <v>0.1</v>
      </c>
      <c r="AK55" s="679">
        <v>0.1</v>
      </c>
      <c r="AL55" s="679">
        <v>0.1</v>
      </c>
      <c r="AM55" s="679">
        <v>0.1</v>
      </c>
      <c r="AN55" s="679">
        <v>0.2</v>
      </c>
      <c r="AO55" s="679">
        <v>0.2</v>
      </c>
      <c r="AP55" s="679">
        <v>0.2</v>
      </c>
      <c r="AQ55" s="679">
        <v>0.2</v>
      </c>
      <c r="AR55" s="679">
        <v>0.3</v>
      </c>
      <c r="AS55" s="679">
        <v>0.7</v>
      </c>
      <c r="AT55" s="679">
        <v>1</v>
      </c>
      <c r="AU55" s="679">
        <v>1</v>
      </c>
      <c r="AV55" s="679">
        <v>1.2</v>
      </c>
      <c r="AW55" s="679">
        <v>1.3</v>
      </c>
      <c r="AX55" s="679">
        <v>2</v>
      </c>
      <c r="AY55" s="679">
        <v>2.8</v>
      </c>
      <c r="AZ55" s="679">
        <v>3.1</v>
      </c>
      <c r="BA55" s="679">
        <v>3.4</v>
      </c>
      <c r="BB55" s="679">
        <v>3.9</v>
      </c>
      <c r="BC55" s="679">
        <v>4.0999999999999996</v>
      </c>
      <c r="BD55" s="679">
        <v>5</v>
      </c>
      <c r="BE55" s="679">
        <v>5.6</v>
      </c>
      <c r="BF55" s="679">
        <v>6.2</v>
      </c>
      <c r="BG55" s="679">
        <v>7.2</v>
      </c>
      <c r="BH55" s="679">
        <v>7.9</v>
      </c>
      <c r="BI55" s="679">
        <v>8.8000000000000007</v>
      </c>
      <c r="BJ55" s="679">
        <v>9.8000000000000007</v>
      </c>
      <c r="BK55" s="679">
        <v>10.7</v>
      </c>
      <c r="BL55" s="679">
        <v>10.9</v>
      </c>
      <c r="BM55" s="679">
        <v>10.8</v>
      </c>
      <c r="BN55" s="679">
        <v>11</v>
      </c>
      <c r="BO55" s="679">
        <v>13.2</v>
      </c>
      <c r="BP55" s="679">
        <v>15.1</v>
      </c>
      <c r="BQ55" s="679">
        <v>17.399999999999999</v>
      </c>
      <c r="BR55" s="679">
        <v>19.5</v>
      </c>
      <c r="BS55" s="679">
        <v>19.5</v>
      </c>
      <c r="BT55" s="679">
        <v>19.5</v>
      </c>
      <c r="BU55" s="679">
        <v>20.6</v>
      </c>
      <c r="BV55" s="679">
        <v>20</v>
      </c>
      <c r="BW55" s="679">
        <v>21</v>
      </c>
      <c r="BX55" s="679">
        <v>21.7</v>
      </c>
      <c r="BY55" s="679">
        <v>23.3</v>
      </c>
      <c r="BZ55" s="679">
        <v>25</v>
      </c>
      <c r="CA55" s="679">
        <v>26</v>
      </c>
      <c r="CB55" s="679">
        <v>27</v>
      </c>
      <c r="CC55" s="679">
        <v>27.2</v>
      </c>
      <c r="CD55" s="679">
        <v>27.4</v>
      </c>
    </row>
    <row r="56" spans="1:82">
      <c r="A56" s="679" t="s">
        <v>946</v>
      </c>
      <c r="B56" s="679" t="s">
        <v>947</v>
      </c>
      <c r="C56" s="679" t="s">
        <v>277</v>
      </c>
      <c r="D56" s="679" t="s">
        <v>277</v>
      </c>
      <c r="E56" s="679" t="s">
        <v>277</v>
      </c>
      <c r="F56" s="679" t="s">
        <v>277</v>
      </c>
      <c r="G56" s="679" t="s">
        <v>277</v>
      </c>
      <c r="H56" s="679" t="s">
        <v>277</v>
      </c>
      <c r="I56" s="679" t="s">
        <v>277</v>
      </c>
      <c r="J56" s="679" t="s">
        <v>277</v>
      </c>
      <c r="K56" s="679" t="s">
        <v>277</v>
      </c>
      <c r="L56" s="679" t="s">
        <v>277</v>
      </c>
      <c r="M56" s="679" t="s">
        <v>277</v>
      </c>
      <c r="N56" s="679" t="s">
        <v>277</v>
      </c>
      <c r="O56" s="679" t="s">
        <v>277</v>
      </c>
      <c r="P56" s="679" t="s">
        <v>277</v>
      </c>
      <c r="Q56" s="679" t="s">
        <v>277</v>
      </c>
      <c r="R56" s="679" t="s">
        <v>277</v>
      </c>
      <c r="S56" s="679" t="s">
        <v>277</v>
      </c>
      <c r="T56" s="679" t="s">
        <v>277</v>
      </c>
      <c r="U56" s="679" t="s">
        <v>277</v>
      </c>
      <c r="V56" s="679" t="s">
        <v>277</v>
      </c>
      <c r="W56" s="679" t="s">
        <v>277</v>
      </c>
      <c r="X56" s="679" t="s">
        <v>277</v>
      </c>
      <c r="Y56" s="679" t="s">
        <v>277</v>
      </c>
      <c r="Z56" s="679" t="s">
        <v>277</v>
      </c>
      <c r="AA56" s="679" t="s">
        <v>277</v>
      </c>
      <c r="AB56" s="679" t="s">
        <v>277</v>
      </c>
      <c r="AC56" s="679" t="s">
        <v>277</v>
      </c>
      <c r="AD56" s="679" t="s">
        <v>277</v>
      </c>
      <c r="AE56" s="679" t="s">
        <v>277</v>
      </c>
      <c r="AF56" s="679" t="s">
        <v>277</v>
      </c>
      <c r="AG56" s="679" t="s">
        <v>277</v>
      </c>
      <c r="AH56" s="679" t="s">
        <v>277</v>
      </c>
      <c r="AI56" s="679" t="s">
        <v>277</v>
      </c>
      <c r="AJ56" s="679" t="s">
        <v>277</v>
      </c>
      <c r="AK56" s="679" t="s">
        <v>277</v>
      </c>
      <c r="AL56" s="679" t="s">
        <v>277</v>
      </c>
      <c r="AM56" s="679" t="s">
        <v>277</v>
      </c>
      <c r="AN56" s="679" t="s">
        <v>277</v>
      </c>
      <c r="AO56" s="679" t="s">
        <v>277</v>
      </c>
      <c r="AP56" s="679" t="s">
        <v>277</v>
      </c>
      <c r="AQ56" s="679" t="s">
        <v>277</v>
      </c>
      <c r="AR56" s="679" t="s">
        <v>277</v>
      </c>
      <c r="AS56" s="679" t="s">
        <v>277</v>
      </c>
      <c r="AT56" s="679" t="s">
        <v>277</v>
      </c>
      <c r="AU56" s="679" t="s">
        <v>277</v>
      </c>
      <c r="AV56" s="679" t="s">
        <v>277</v>
      </c>
      <c r="AW56" s="679" t="s">
        <v>277</v>
      </c>
      <c r="AX56" s="679" t="s">
        <v>277</v>
      </c>
      <c r="AY56" s="679" t="s">
        <v>277</v>
      </c>
      <c r="AZ56" s="679" t="s">
        <v>277</v>
      </c>
      <c r="BA56" s="679" t="s">
        <v>277</v>
      </c>
      <c r="BB56" s="679" t="s">
        <v>277</v>
      </c>
      <c r="BC56" s="679" t="s">
        <v>277</v>
      </c>
      <c r="BD56" s="679" t="s">
        <v>277</v>
      </c>
      <c r="BE56" s="679" t="s">
        <v>277</v>
      </c>
      <c r="BF56" s="679" t="s">
        <v>277</v>
      </c>
      <c r="BG56" s="679" t="s">
        <v>277</v>
      </c>
      <c r="BH56" s="679" t="s">
        <v>277</v>
      </c>
      <c r="BI56" s="679" t="s">
        <v>277</v>
      </c>
      <c r="BJ56" s="679">
        <v>1.2</v>
      </c>
      <c r="BK56" s="679">
        <v>0.9</v>
      </c>
      <c r="BL56" s="679">
        <v>0.8</v>
      </c>
      <c r="BM56" s="679">
        <v>0.5</v>
      </c>
      <c r="BN56" s="679">
        <v>0.7</v>
      </c>
      <c r="BO56" s="679">
        <v>0.8</v>
      </c>
      <c r="BP56" s="679">
        <v>1.7</v>
      </c>
      <c r="BQ56" s="679">
        <v>1.3</v>
      </c>
      <c r="BR56" s="679">
        <v>1.7</v>
      </c>
      <c r="BS56" s="679">
        <v>3.2</v>
      </c>
      <c r="BT56" s="679">
        <v>3.2</v>
      </c>
      <c r="BU56" s="679">
        <v>3.8</v>
      </c>
      <c r="BV56" s="679">
        <v>2</v>
      </c>
      <c r="BW56" s="679">
        <v>6.5</v>
      </c>
      <c r="BX56" s="679">
        <v>7.8</v>
      </c>
      <c r="BY56" s="679">
        <v>12</v>
      </c>
      <c r="BZ56" s="679">
        <v>6.6</v>
      </c>
      <c r="CA56" s="679">
        <v>4.4000000000000004</v>
      </c>
      <c r="CB56" s="679">
        <v>9.6999999999999993</v>
      </c>
      <c r="CC56" s="679">
        <v>10</v>
      </c>
      <c r="CD56" s="679">
        <v>7.2</v>
      </c>
    </row>
    <row r="57" spans="1:82">
      <c r="A57" s="679" t="s">
        <v>948</v>
      </c>
      <c r="B57" s="679" t="s">
        <v>949</v>
      </c>
      <c r="C57" s="679" t="s">
        <v>277</v>
      </c>
      <c r="D57" s="679" t="s">
        <v>277</v>
      </c>
      <c r="E57" s="679" t="s">
        <v>277</v>
      </c>
      <c r="F57" s="679" t="s">
        <v>277</v>
      </c>
      <c r="G57" s="679" t="s">
        <v>277</v>
      </c>
      <c r="H57" s="679" t="s">
        <v>277</v>
      </c>
      <c r="I57" s="679" t="s">
        <v>277</v>
      </c>
      <c r="J57" s="679" t="s">
        <v>277</v>
      </c>
      <c r="K57" s="679" t="s">
        <v>277</v>
      </c>
      <c r="L57" s="679" t="s">
        <v>277</v>
      </c>
      <c r="M57" s="679" t="s">
        <v>277</v>
      </c>
      <c r="N57" s="679" t="s">
        <v>277</v>
      </c>
      <c r="O57" s="679" t="s">
        <v>277</v>
      </c>
      <c r="P57" s="679" t="s">
        <v>277</v>
      </c>
      <c r="Q57" s="679" t="s">
        <v>277</v>
      </c>
      <c r="R57" s="679" t="s">
        <v>277</v>
      </c>
      <c r="S57" s="679" t="s">
        <v>277</v>
      </c>
      <c r="T57" s="679" t="s">
        <v>277</v>
      </c>
      <c r="U57" s="679" t="s">
        <v>277</v>
      </c>
      <c r="V57" s="679">
        <v>-0.5</v>
      </c>
      <c r="W57" s="679">
        <v>-0.7</v>
      </c>
      <c r="X57" s="679">
        <v>-0.9</v>
      </c>
      <c r="Y57" s="679">
        <v>-0.9</v>
      </c>
      <c r="Z57" s="679">
        <v>-0.7</v>
      </c>
      <c r="AA57" s="679">
        <v>-0.8</v>
      </c>
      <c r="AB57" s="679">
        <v>-0.9</v>
      </c>
      <c r="AC57" s="679">
        <v>-1.2</v>
      </c>
      <c r="AD57" s="679">
        <v>-1.3</v>
      </c>
      <c r="AE57" s="679">
        <v>-1</v>
      </c>
      <c r="AF57" s="679">
        <v>-1.3</v>
      </c>
      <c r="AG57" s="679">
        <v>-2.5</v>
      </c>
      <c r="AH57" s="679">
        <v>-2.8</v>
      </c>
      <c r="AI57" s="679">
        <v>-2.4</v>
      </c>
      <c r="AJ57" s="679">
        <v>-3.4</v>
      </c>
      <c r="AK57" s="679">
        <v>-3.2</v>
      </c>
      <c r="AL57" s="679">
        <v>-4.4000000000000004</v>
      </c>
      <c r="AM57" s="679">
        <v>-2.9</v>
      </c>
      <c r="AN57" s="679">
        <v>-3.4</v>
      </c>
      <c r="AO57" s="679">
        <v>-2.9</v>
      </c>
      <c r="AP57" s="679">
        <v>-2.7</v>
      </c>
      <c r="AQ57" s="679">
        <v>-3.6</v>
      </c>
      <c r="AR57" s="679">
        <v>-2.6</v>
      </c>
      <c r="AS57" s="679">
        <v>-2.1</v>
      </c>
      <c r="AT57" s="679">
        <v>-1.9</v>
      </c>
      <c r="AU57" s="679">
        <v>-2.7</v>
      </c>
      <c r="AV57" s="679">
        <v>-1.6</v>
      </c>
      <c r="AW57" s="679">
        <v>-0.6</v>
      </c>
      <c r="AX57" s="679">
        <v>-0.5</v>
      </c>
      <c r="AY57" s="679">
        <v>0.7</v>
      </c>
      <c r="AZ57" s="679">
        <v>1.1000000000000001</v>
      </c>
      <c r="BA57" s="679">
        <v>-2.2999999999999998</v>
      </c>
      <c r="BB57" s="679">
        <v>2.1</v>
      </c>
      <c r="BC57" s="679">
        <v>4.0999999999999996</v>
      </c>
      <c r="BD57" s="679">
        <v>3.5</v>
      </c>
      <c r="BE57" s="679">
        <v>4</v>
      </c>
      <c r="BF57" s="679">
        <v>5</v>
      </c>
      <c r="BG57" s="679">
        <v>4.5</v>
      </c>
      <c r="BH57" s="679">
        <v>6.6</v>
      </c>
      <c r="BI57" s="679">
        <v>7.6</v>
      </c>
      <c r="BJ57" s="679">
        <v>7.2</v>
      </c>
      <c r="BK57" s="679">
        <v>5.3</v>
      </c>
      <c r="BL57" s="679">
        <v>2.8</v>
      </c>
      <c r="BM57" s="679">
        <v>6.8</v>
      </c>
      <c r="BN57" s="679">
        <v>6.6</v>
      </c>
      <c r="BO57" s="679">
        <v>4.8</v>
      </c>
      <c r="BP57" s="679">
        <v>0.9</v>
      </c>
      <c r="BQ57" s="679">
        <v>1.9</v>
      </c>
      <c r="BR57" s="679">
        <v>2.1</v>
      </c>
      <c r="BS57" s="679">
        <v>1.1000000000000001</v>
      </c>
      <c r="BT57" s="679">
        <v>0.9</v>
      </c>
      <c r="BU57" s="679">
        <v>-2.4</v>
      </c>
      <c r="BV57" s="679">
        <v>-6.3</v>
      </c>
      <c r="BW57" s="679">
        <v>-7.8</v>
      </c>
      <c r="BX57" s="679">
        <v>-10.1</v>
      </c>
      <c r="BY57" s="679">
        <v>-7.1</v>
      </c>
      <c r="BZ57" s="679">
        <v>-3.2</v>
      </c>
      <c r="CA57" s="679">
        <v>-1.4</v>
      </c>
      <c r="CB57" s="679">
        <v>0.9</v>
      </c>
      <c r="CC57" s="679">
        <v>-0.6</v>
      </c>
      <c r="CD57" s="679">
        <v>-1.9</v>
      </c>
    </row>
    <row r="58" spans="1:82">
      <c r="A58" s="679" t="s">
        <v>950</v>
      </c>
      <c r="B58" s="680" t="s">
        <v>951</v>
      </c>
      <c r="C58" s="679">
        <v>9.1999999999999993</v>
      </c>
      <c r="D58" s="679">
        <v>14.3</v>
      </c>
      <c r="E58" s="679">
        <v>33.700000000000003</v>
      </c>
      <c r="F58" s="679">
        <v>55.6</v>
      </c>
      <c r="G58" s="679">
        <v>69.5</v>
      </c>
      <c r="H58" s="679">
        <v>73.5</v>
      </c>
      <c r="I58" s="679">
        <v>47.5</v>
      </c>
      <c r="J58" s="679">
        <v>40.4</v>
      </c>
      <c r="K58" s="679">
        <v>41.4</v>
      </c>
      <c r="L58" s="679">
        <v>46.3</v>
      </c>
      <c r="M58" s="679">
        <v>46.9</v>
      </c>
      <c r="N58" s="679">
        <v>58.4</v>
      </c>
      <c r="O58" s="679">
        <v>67.900000000000006</v>
      </c>
      <c r="P58" s="679">
        <v>72.8</v>
      </c>
      <c r="Q58" s="679">
        <v>70.5</v>
      </c>
      <c r="R58" s="679">
        <v>71.599999999999994</v>
      </c>
      <c r="S58" s="679">
        <v>74.400000000000006</v>
      </c>
      <c r="T58" s="679">
        <v>81.900000000000006</v>
      </c>
      <c r="U58" s="679">
        <v>88.1</v>
      </c>
      <c r="V58" s="679">
        <v>90.5</v>
      </c>
      <c r="W58" s="679">
        <v>93.4</v>
      </c>
      <c r="X58" s="679">
        <v>99.8</v>
      </c>
      <c r="Y58" s="679">
        <v>108.6</v>
      </c>
      <c r="Z58" s="679">
        <v>113.5</v>
      </c>
      <c r="AA58" s="679">
        <v>118.2</v>
      </c>
      <c r="AB58" s="679">
        <v>125.9</v>
      </c>
      <c r="AC58" s="679">
        <v>144.4</v>
      </c>
      <c r="AD58" s="679">
        <v>165.8</v>
      </c>
      <c r="AE58" s="679">
        <v>184.3</v>
      </c>
      <c r="AF58" s="679">
        <v>197</v>
      </c>
      <c r="AG58" s="679">
        <v>219.9</v>
      </c>
      <c r="AH58" s="679">
        <v>241.6</v>
      </c>
      <c r="AI58" s="679">
        <v>268</v>
      </c>
      <c r="AJ58" s="679">
        <v>287.60000000000002</v>
      </c>
      <c r="AK58" s="679">
        <v>319.8</v>
      </c>
      <c r="AL58" s="679">
        <v>374.8</v>
      </c>
      <c r="AM58" s="679">
        <v>403.5</v>
      </c>
      <c r="AN58" s="679">
        <v>437.3</v>
      </c>
      <c r="AO58" s="679">
        <v>485.9</v>
      </c>
      <c r="AP58" s="679">
        <v>534.4</v>
      </c>
      <c r="AQ58" s="679">
        <v>622.5</v>
      </c>
      <c r="AR58" s="679">
        <v>709.1</v>
      </c>
      <c r="AS58" s="679">
        <v>786</v>
      </c>
      <c r="AT58" s="679">
        <v>851.9</v>
      </c>
      <c r="AU58" s="679">
        <v>907.7</v>
      </c>
      <c r="AV58" s="679">
        <v>975</v>
      </c>
      <c r="AW58" s="679">
        <v>1033.8</v>
      </c>
      <c r="AX58" s="679">
        <v>1065.2</v>
      </c>
      <c r="AY58" s="679">
        <v>1122.4000000000001</v>
      </c>
      <c r="AZ58" s="679">
        <v>1201.8</v>
      </c>
      <c r="BA58" s="679">
        <v>1290.9000000000001</v>
      </c>
      <c r="BB58" s="679">
        <v>1356.2</v>
      </c>
      <c r="BC58" s="679">
        <v>1488.9</v>
      </c>
      <c r="BD58" s="679">
        <v>1544.6</v>
      </c>
      <c r="BE58" s="679">
        <v>1585</v>
      </c>
      <c r="BF58" s="679">
        <v>1659.5</v>
      </c>
      <c r="BG58" s="679">
        <v>1715.7</v>
      </c>
      <c r="BH58" s="679">
        <v>1759.4</v>
      </c>
      <c r="BI58" s="679">
        <v>1788.4</v>
      </c>
      <c r="BJ58" s="679">
        <v>1837.5</v>
      </c>
      <c r="BK58" s="679">
        <v>1908.7</v>
      </c>
      <c r="BL58" s="679">
        <v>2017.2</v>
      </c>
      <c r="BM58" s="679">
        <v>2138.6</v>
      </c>
      <c r="BN58" s="679">
        <v>2293</v>
      </c>
      <c r="BO58" s="679">
        <v>2421.1999999999998</v>
      </c>
      <c r="BP58" s="679">
        <v>2598.1</v>
      </c>
      <c r="BQ58" s="679">
        <v>2760.2</v>
      </c>
      <c r="BR58" s="679">
        <v>2927.5</v>
      </c>
      <c r="BS58" s="679">
        <v>3205.6</v>
      </c>
      <c r="BT58" s="679">
        <v>3482.6</v>
      </c>
      <c r="BU58" s="679">
        <v>3762.4</v>
      </c>
      <c r="BV58" s="679">
        <v>3806.9</v>
      </c>
      <c r="BW58" s="679">
        <v>3773</v>
      </c>
      <c r="BX58" s="679">
        <v>3770.8</v>
      </c>
      <c r="BY58" s="679">
        <v>3889.4</v>
      </c>
      <c r="BZ58" s="679">
        <v>4008.3</v>
      </c>
      <c r="CA58" s="679">
        <v>4132.5</v>
      </c>
      <c r="CB58" s="679">
        <v>4246.8</v>
      </c>
      <c r="CC58" s="679">
        <v>4499.3</v>
      </c>
      <c r="CD58" s="679">
        <v>4758.1000000000004</v>
      </c>
    </row>
    <row r="59" spans="1:82">
      <c r="A59" s="679" t="s">
        <v>952</v>
      </c>
      <c r="B59" s="679" t="s">
        <v>953</v>
      </c>
      <c r="C59" s="679">
        <v>5.2</v>
      </c>
      <c r="D59" s="679">
        <v>10.6</v>
      </c>
      <c r="E59" s="679">
        <v>29.3</v>
      </c>
      <c r="F59" s="679">
        <v>50.5</v>
      </c>
      <c r="G59" s="679">
        <v>62.7</v>
      </c>
      <c r="H59" s="679">
        <v>62.8</v>
      </c>
      <c r="I59" s="679">
        <v>28.9</v>
      </c>
      <c r="J59" s="679">
        <v>22.9</v>
      </c>
      <c r="K59" s="679">
        <v>22.6</v>
      </c>
      <c r="L59" s="679">
        <v>24.5</v>
      </c>
      <c r="M59" s="679">
        <v>23.9</v>
      </c>
      <c r="N59" s="679">
        <v>37.4</v>
      </c>
      <c r="O59" s="679">
        <v>47.6</v>
      </c>
      <c r="P59" s="679">
        <v>51.6</v>
      </c>
      <c r="Q59" s="679">
        <v>47.2</v>
      </c>
      <c r="R59" s="679">
        <v>46.8</v>
      </c>
      <c r="S59" s="679">
        <v>47.4</v>
      </c>
      <c r="T59" s="679">
        <v>50.9</v>
      </c>
      <c r="U59" s="679">
        <v>52.6</v>
      </c>
      <c r="V59" s="679">
        <v>51.8</v>
      </c>
      <c r="W59" s="679">
        <v>51</v>
      </c>
      <c r="X59" s="679">
        <v>52.7</v>
      </c>
      <c r="Y59" s="679">
        <v>59</v>
      </c>
      <c r="Z59" s="679">
        <v>61.2</v>
      </c>
      <c r="AA59" s="679">
        <v>63.1</v>
      </c>
      <c r="AB59" s="679">
        <v>66.5</v>
      </c>
      <c r="AC59" s="679">
        <v>76.5</v>
      </c>
      <c r="AD59" s="679">
        <v>88.1</v>
      </c>
      <c r="AE59" s="679">
        <v>96.8</v>
      </c>
      <c r="AF59" s="679">
        <v>100.5</v>
      </c>
      <c r="AG59" s="679">
        <v>102.3</v>
      </c>
      <c r="AH59" s="679">
        <v>106.7</v>
      </c>
      <c r="AI59" s="679">
        <v>112.3</v>
      </c>
      <c r="AJ59" s="679">
        <v>114.5</v>
      </c>
      <c r="AK59" s="679">
        <v>123.2</v>
      </c>
      <c r="AL59" s="679">
        <v>133.9</v>
      </c>
      <c r="AM59" s="679">
        <v>140</v>
      </c>
      <c r="AN59" s="679">
        <v>151.1</v>
      </c>
      <c r="AO59" s="679">
        <v>164.2</v>
      </c>
      <c r="AP59" s="679">
        <v>178.8</v>
      </c>
      <c r="AQ59" s="679">
        <v>204.6</v>
      </c>
      <c r="AR59" s="679">
        <v>233.6</v>
      </c>
      <c r="AS59" s="679">
        <v>258.39999999999998</v>
      </c>
      <c r="AT59" s="679">
        <v>280</v>
      </c>
      <c r="AU59" s="679">
        <v>296.2</v>
      </c>
      <c r="AV59" s="679">
        <v>320.39999999999998</v>
      </c>
      <c r="AW59" s="679">
        <v>339.8</v>
      </c>
      <c r="AX59" s="679">
        <v>350.3</v>
      </c>
      <c r="AY59" s="679">
        <v>363.5</v>
      </c>
      <c r="AZ59" s="679">
        <v>382.9</v>
      </c>
      <c r="BA59" s="679">
        <v>404.2</v>
      </c>
      <c r="BB59" s="679">
        <v>426.1</v>
      </c>
      <c r="BC59" s="679">
        <v>432.1</v>
      </c>
      <c r="BD59" s="679">
        <v>429.5</v>
      </c>
      <c r="BE59" s="679">
        <v>429.3</v>
      </c>
      <c r="BF59" s="679">
        <v>429</v>
      </c>
      <c r="BG59" s="679">
        <v>429.4</v>
      </c>
      <c r="BH59" s="679">
        <v>439.6</v>
      </c>
      <c r="BI59" s="679">
        <v>437.8</v>
      </c>
      <c r="BJ59" s="679">
        <v>456.5</v>
      </c>
      <c r="BK59" s="679">
        <v>476.3</v>
      </c>
      <c r="BL59" s="679">
        <v>506.2</v>
      </c>
      <c r="BM59" s="679">
        <v>560.79999999999995</v>
      </c>
      <c r="BN59" s="679">
        <v>631.1</v>
      </c>
      <c r="BO59" s="679">
        <v>683.3</v>
      </c>
      <c r="BP59" s="679">
        <v>725.4</v>
      </c>
      <c r="BQ59" s="679">
        <v>765.1</v>
      </c>
      <c r="BR59" s="679">
        <v>800.5</v>
      </c>
      <c r="BS59" s="679">
        <v>878.9</v>
      </c>
      <c r="BT59" s="679">
        <v>935.6</v>
      </c>
      <c r="BU59" s="679">
        <v>1000.7</v>
      </c>
      <c r="BV59" s="679">
        <v>1003.3</v>
      </c>
      <c r="BW59" s="679">
        <v>999.3</v>
      </c>
      <c r="BX59" s="679">
        <v>956.9</v>
      </c>
      <c r="BY59" s="679">
        <v>951.2</v>
      </c>
      <c r="BZ59" s="679">
        <v>954.2</v>
      </c>
      <c r="CA59" s="679">
        <v>966.6</v>
      </c>
      <c r="CB59" s="679">
        <v>985.1</v>
      </c>
      <c r="CC59" s="679">
        <v>1043.5</v>
      </c>
      <c r="CD59" s="679">
        <v>1097.3</v>
      </c>
    </row>
    <row r="60" spans="1:82">
      <c r="A60" s="679" t="s">
        <v>954</v>
      </c>
      <c r="B60" s="679" t="s">
        <v>955</v>
      </c>
      <c r="C60" s="679">
        <v>2</v>
      </c>
      <c r="D60" s="679">
        <v>1.9</v>
      </c>
      <c r="E60" s="679">
        <v>2.1</v>
      </c>
      <c r="F60" s="679">
        <v>1.9</v>
      </c>
      <c r="G60" s="679">
        <v>2.4</v>
      </c>
      <c r="H60" s="679">
        <v>5.2</v>
      </c>
      <c r="I60" s="679">
        <v>11.8</v>
      </c>
      <c r="J60" s="679">
        <v>11.3</v>
      </c>
      <c r="K60" s="679">
        <v>12.4</v>
      </c>
      <c r="L60" s="679">
        <v>15.1</v>
      </c>
      <c r="M60" s="679">
        <v>15.6</v>
      </c>
      <c r="N60" s="679">
        <v>13</v>
      </c>
      <c r="O60" s="679">
        <v>12.3</v>
      </c>
      <c r="P60" s="679">
        <v>13</v>
      </c>
      <c r="Q60" s="679">
        <v>14.8</v>
      </c>
      <c r="R60" s="679">
        <v>16</v>
      </c>
      <c r="S60" s="679">
        <v>16.7</v>
      </c>
      <c r="T60" s="679">
        <v>19.3</v>
      </c>
      <c r="U60" s="679">
        <v>23.4</v>
      </c>
      <c r="V60" s="679">
        <v>26.2</v>
      </c>
      <c r="W60" s="679">
        <v>27.4</v>
      </c>
      <c r="X60" s="679">
        <v>31.2</v>
      </c>
      <c r="Y60" s="679">
        <v>32.200000000000003</v>
      </c>
      <c r="Z60" s="679">
        <v>33.799999999999997</v>
      </c>
      <c r="AA60" s="679">
        <v>34.9</v>
      </c>
      <c r="AB60" s="679">
        <v>37.9</v>
      </c>
      <c r="AC60" s="679">
        <v>43.7</v>
      </c>
      <c r="AD60" s="679">
        <v>52</v>
      </c>
      <c r="AE60" s="679">
        <v>58.8</v>
      </c>
      <c r="AF60" s="679">
        <v>64.5</v>
      </c>
      <c r="AG60" s="679">
        <v>79.5</v>
      </c>
      <c r="AH60" s="679">
        <v>95</v>
      </c>
      <c r="AI60" s="679">
        <v>111.5</v>
      </c>
      <c r="AJ60" s="679">
        <v>124.6</v>
      </c>
      <c r="AK60" s="679">
        <v>145.5</v>
      </c>
      <c r="AL60" s="679">
        <v>184.1</v>
      </c>
      <c r="AM60" s="679">
        <v>199.6</v>
      </c>
      <c r="AN60" s="679">
        <v>214</v>
      </c>
      <c r="AO60" s="679">
        <v>233.9</v>
      </c>
      <c r="AP60" s="679">
        <v>255.9</v>
      </c>
      <c r="AQ60" s="679">
        <v>300.89999999999998</v>
      </c>
      <c r="AR60" s="679">
        <v>331.1</v>
      </c>
      <c r="AS60" s="679">
        <v>360.4</v>
      </c>
      <c r="AT60" s="679">
        <v>384.1</v>
      </c>
      <c r="AU60" s="679">
        <v>397</v>
      </c>
      <c r="AV60" s="679">
        <v>419.8</v>
      </c>
      <c r="AW60" s="679">
        <v>445.3</v>
      </c>
      <c r="AX60" s="679">
        <v>452.6</v>
      </c>
      <c r="AY60" s="679">
        <v>481.9</v>
      </c>
      <c r="AZ60" s="679">
        <v>522.20000000000005</v>
      </c>
      <c r="BA60" s="679">
        <v>571.1</v>
      </c>
      <c r="BB60" s="679">
        <v>598.70000000000005</v>
      </c>
      <c r="BC60" s="679">
        <v>720.2</v>
      </c>
      <c r="BD60" s="679">
        <v>767.3</v>
      </c>
      <c r="BE60" s="679">
        <v>802.6</v>
      </c>
      <c r="BF60" s="679">
        <v>843.7</v>
      </c>
      <c r="BG60" s="679">
        <v>891.5</v>
      </c>
      <c r="BH60" s="679">
        <v>920.8</v>
      </c>
      <c r="BI60" s="679">
        <v>949.1</v>
      </c>
      <c r="BJ60" s="679">
        <v>984</v>
      </c>
      <c r="BK60" s="679">
        <v>1033.4000000000001</v>
      </c>
      <c r="BL60" s="679">
        <v>1128.7</v>
      </c>
      <c r="BM60" s="679">
        <v>1236</v>
      </c>
      <c r="BN60" s="679">
        <v>1321.2</v>
      </c>
      <c r="BO60" s="679">
        <v>1385.8</v>
      </c>
      <c r="BP60" s="679">
        <v>1467.8</v>
      </c>
      <c r="BQ60" s="679">
        <v>1571.9</v>
      </c>
      <c r="BR60" s="679">
        <v>1671.6</v>
      </c>
      <c r="BS60" s="679">
        <v>1888.7</v>
      </c>
      <c r="BT60" s="679">
        <v>2135.6</v>
      </c>
      <c r="BU60" s="679">
        <v>2326</v>
      </c>
      <c r="BV60" s="679">
        <v>2318.6999999999998</v>
      </c>
      <c r="BW60" s="679">
        <v>2293.6</v>
      </c>
      <c r="BX60" s="679">
        <v>2338.3000000000002</v>
      </c>
      <c r="BY60" s="679">
        <v>2441.5</v>
      </c>
      <c r="BZ60" s="679">
        <v>2568.1</v>
      </c>
      <c r="CA60" s="679">
        <v>2650.5</v>
      </c>
      <c r="CB60" s="679">
        <v>2726.4</v>
      </c>
      <c r="CC60" s="679">
        <v>2852.5</v>
      </c>
      <c r="CD60" s="679">
        <v>3006</v>
      </c>
    </row>
    <row r="61" spans="1:82">
      <c r="A61" s="679" t="s">
        <v>956</v>
      </c>
      <c r="B61" s="679" t="s">
        <v>957</v>
      </c>
      <c r="C61" s="679">
        <v>1.3</v>
      </c>
      <c r="D61" s="679">
        <v>1.2</v>
      </c>
      <c r="E61" s="679">
        <v>1.3</v>
      </c>
      <c r="F61" s="679">
        <v>1.1000000000000001</v>
      </c>
      <c r="G61" s="679">
        <v>1.7</v>
      </c>
      <c r="H61" s="679">
        <v>4.0999999999999996</v>
      </c>
      <c r="I61" s="679">
        <v>8.6999999999999993</v>
      </c>
      <c r="J61" s="679">
        <v>8.4</v>
      </c>
      <c r="K61" s="679">
        <v>7.2</v>
      </c>
      <c r="L61" s="679">
        <v>8.1999999999999993</v>
      </c>
      <c r="M61" s="679">
        <v>10.199999999999999</v>
      </c>
      <c r="N61" s="679">
        <v>7.9</v>
      </c>
      <c r="O61" s="679">
        <v>8.1</v>
      </c>
      <c r="P61" s="679">
        <v>8.6999999999999993</v>
      </c>
      <c r="Q61" s="679">
        <v>10.7</v>
      </c>
      <c r="R61" s="679">
        <v>11.5</v>
      </c>
      <c r="S61" s="679">
        <v>12.3</v>
      </c>
      <c r="T61" s="679">
        <v>14.5</v>
      </c>
      <c r="U61" s="679">
        <v>18.2</v>
      </c>
      <c r="V61" s="679">
        <v>18.600000000000001</v>
      </c>
      <c r="W61" s="679">
        <v>20.100000000000001</v>
      </c>
      <c r="X61" s="679">
        <v>23.4</v>
      </c>
      <c r="Y61" s="679">
        <v>23.8</v>
      </c>
      <c r="Z61" s="679">
        <v>25</v>
      </c>
      <c r="AA61" s="679">
        <v>25.5</v>
      </c>
      <c r="AB61" s="679">
        <v>27.7</v>
      </c>
      <c r="AC61" s="679">
        <v>30.3</v>
      </c>
      <c r="AD61" s="679">
        <v>37.1</v>
      </c>
      <c r="AE61" s="679">
        <v>42.4</v>
      </c>
      <c r="AF61" s="679">
        <v>46.3</v>
      </c>
      <c r="AG61" s="679">
        <v>56.4</v>
      </c>
      <c r="AH61" s="679">
        <v>66.900000000000006</v>
      </c>
      <c r="AI61" s="679">
        <v>73.8</v>
      </c>
      <c r="AJ61" s="679">
        <v>85.7</v>
      </c>
      <c r="AK61" s="679">
        <v>104.6</v>
      </c>
      <c r="AL61" s="679">
        <v>134.30000000000001</v>
      </c>
      <c r="AM61" s="679">
        <v>146</v>
      </c>
      <c r="AN61" s="679">
        <v>155</v>
      </c>
      <c r="AO61" s="679">
        <v>165.4</v>
      </c>
      <c r="AP61" s="679">
        <v>186.1</v>
      </c>
      <c r="AQ61" s="679">
        <v>223.8</v>
      </c>
      <c r="AR61" s="679">
        <v>255</v>
      </c>
      <c r="AS61" s="679">
        <v>286</v>
      </c>
      <c r="AT61" s="679">
        <v>307.2</v>
      </c>
      <c r="AU61" s="679">
        <v>313.39999999999998</v>
      </c>
      <c r="AV61" s="679">
        <v>329.9</v>
      </c>
      <c r="AW61" s="679">
        <v>348.7</v>
      </c>
      <c r="AX61" s="679">
        <v>361.5</v>
      </c>
      <c r="AY61" s="679">
        <v>382.9</v>
      </c>
      <c r="AZ61" s="679">
        <v>416.9</v>
      </c>
      <c r="BA61" s="679">
        <v>453.2</v>
      </c>
      <c r="BB61" s="679">
        <v>500.3</v>
      </c>
      <c r="BC61" s="679">
        <v>558</v>
      </c>
      <c r="BD61" s="679">
        <v>589.9</v>
      </c>
      <c r="BE61" s="679">
        <v>615.79999999999995</v>
      </c>
      <c r="BF61" s="679">
        <v>653.9</v>
      </c>
      <c r="BG61" s="679">
        <v>689.6</v>
      </c>
      <c r="BH61" s="679">
        <v>715.7</v>
      </c>
      <c r="BI61" s="679">
        <v>730.3</v>
      </c>
      <c r="BJ61" s="679">
        <v>748.6</v>
      </c>
      <c r="BK61" s="679">
        <v>782.3</v>
      </c>
      <c r="BL61" s="679">
        <v>850.6</v>
      </c>
      <c r="BM61" s="679">
        <v>927.9</v>
      </c>
      <c r="BN61" s="679">
        <v>977.8</v>
      </c>
      <c r="BO61" s="679">
        <v>1030.5</v>
      </c>
      <c r="BP61" s="679">
        <v>1096</v>
      </c>
      <c r="BQ61" s="679">
        <v>1201.5</v>
      </c>
      <c r="BR61" s="679">
        <v>1276.5999999999999</v>
      </c>
      <c r="BS61" s="679">
        <v>1478.7</v>
      </c>
      <c r="BT61" s="679">
        <v>1630.5</v>
      </c>
      <c r="BU61" s="679">
        <v>1774</v>
      </c>
      <c r="BV61" s="679">
        <v>1796.5</v>
      </c>
      <c r="BW61" s="679">
        <v>1799.8</v>
      </c>
      <c r="BX61" s="679">
        <v>1840.4</v>
      </c>
      <c r="BY61" s="679">
        <v>1900.6</v>
      </c>
      <c r="BZ61" s="679">
        <v>1990.3</v>
      </c>
      <c r="CA61" s="679">
        <v>2045.5</v>
      </c>
      <c r="CB61" s="679">
        <v>2120.6</v>
      </c>
      <c r="CC61" s="679">
        <v>2218.5</v>
      </c>
      <c r="CD61" s="679">
        <v>2347.5</v>
      </c>
    </row>
    <row r="62" spans="1:82">
      <c r="A62" s="679" t="s">
        <v>958</v>
      </c>
      <c r="B62" s="679" t="s">
        <v>959</v>
      </c>
      <c r="C62" s="679">
        <v>1.3</v>
      </c>
      <c r="D62" s="679">
        <v>1.2</v>
      </c>
      <c r="E62" s="679">
        <v>1.3</v>
      </c>
      <c r="F62" s="679">
        <v>1.1000000000000001</v>
      </c>
      <c r="G62" s="679">
        <v>1.7</v>
      </c>
      <c r="H62" s="679">
        <v>4.0999999999999996</v>
      </c>
      <c r="I62" s="679">
        <v>8.6999999999999993</v>
      </c>
      <c r="J62" s="679">
        <v>8.4</v>
      </c>
      <c r="K62" s="679">
        <v>7.2</v>
      </c>
      <c r="L62" s="679">
        <v>8.1999999999999993</v>
      </c>
      <c r="M62" s="679">
        <v>10.199999999999999</v>
      </c>
      <c r="N62" s="679">
        <v>7.9</v>
      </c>
      <c r="O62" s="679">
        <v>8.1</v>
      </c>
      <c r="P62" s="679">
        <v>8.6999999999999993</v>
      </c>
      <c r="Q62" s="679">
        <v>10.7</v>
      </c>
      <c r="R62" s="679">
        <v>11.5</v>
      </c>
      <c r="S62" s="679">
        <v>12.3</v>
      </c>
      <c r="T62" s="679">
        <v>14.5</v>
      </c>
      <c r="U62" s="679">
        <v>18.2</v>
      </c>
      <c r="V62" s="679">
        <v>18.600000000000001</v>
      </c>
      <c r="W62" s="679">
        <v>19.899999999999999</v>
      </c>
      <c r="X62" s="679">
        <v>23.1</v>
      </c>
      <c r="Y62" s="679">
        <v>23.5</v>
      </c>
      <c r="Z62" s="679">
        <v>24.6</v>
      </c>
      <c r="AA62" s="679">
        <v>25.2</v>
      </c>
      <c r="AB62" s="679">
        <v>27.3</v>
      </c>
      <c r="AC62" s="679">
        <v>29.9</v>
      </c>
      <c r="AD62" s="679">
        <v>36.5</v>
      </c>
      <c r="AE62" s="679">
        <v>41.9</v>
      </c>
      <c r="AF62" s="679">
        <v>45.8</v>
      </c>
      <c r="AG62" s="679">
        <v>55.6</v>
      </c>
      <c r="AH62" s="679">
        <v>66.099999999999994</v>
      </c>
      <c r="AI62" s="679">
        <v>72.900000000000006</v>
      </c>
      <c r="AJ62" s="679">
        <v>84.5</v>
      </c>
      <c r="AK62" s="679">
        <v>103.3</v>
      </c>
      <c r="AL62" s="679">
        <v>132.30000000000001</v>
      </c>
      <c r="AM62" s="679">
        <v>143.5</v>
      </c>
      <c r="AN62" s="679">
        <v>152.4</v>
      </c>
      <c r="AO62" s="679">
        <v>162.69999999999999</v>
      </c>
      <c r="AP62" s="679">
        <v>183</v>
      </c>
      <c r="AQ62" s="679">
        <v>220.3</v>
      </c>
      <c r="AR62" s="679">
        <v>250.7</v>
      </c>
      <c r="AS62" s="679">
        <v>281.89999999999998</v>
      </c>
      <c r="AT62" s="679">
        <v>303.60000000000002</v>
      </c>
      <c r="AU62" s="679">
        <v>309.7</v>
      </c>
      <c r="AV62" s="679">
        <v>325.89999999999998</v>
      </c>
      <c r="AW62" s="679">
        <v>344.3</v>
      </c>
      <c r="AX62" s="679">
        <v>357.2</v>
      </c>
      <c r="AY62" s="679">
        <v>378.4</v>
      </c>
      <c r="AZ62" s="679">
        <v>411.7</v>
      </c>
      <c r="BA62" s="679">
        <v>447</v>
      </c>
      <c r="BB62" s="679">
        <v>494</v>
      </c>
      <c r="BC62" s="679">
        <v>551.79999999999995</v>
      </c>
      <c r="BD62" s="679">
        <v>583.70000000000005</v>
      </c>
      <c r="BE62" s="679">
        <v>609</v>
      </c>
      <c r="BF62" s="679">
        <v>647.1</v>
      </c>
      <c r="BG62" s="679">
        <v>682.1</v>
      </c>
      <c r="BH62" s="679">
        <v>707.9</v>
      </c>
      <c r="BI62" s="679">
        <v>722.1</v>
      </c>
      <c r="BJ62" s="679">
        <v>739.9</v>
      </c>
      <c r="BK62" s="679">
        <v>773.4</v>
      </c>
      <c r="BL62" s="679">
        <v>840.8</v>
      </c>
      <c r="BM62" s="679">
        <v>918</v>
      </c>
      <c r="BN62" s="679">
        <v>967.5</v>
      </c>
      <c r="BO62" s="679">
        <v>1019.5</v>
      </c>
      <c r="BP62" s="679">
        <v>1084.4000000000001</v>
      </c>
      <c r="BQ62" s="679">
        <v>1189.0999999999999</v>
      </c>
      <c r="BR62" s="679">
        <v>1263.3</v>
      </c>
      <c r="BS62" s="679">
        <v>1463.2</v>
      </c>
      <c r="BT62" s="679">
        <v>1614.5</v>
      </c>
      <c r="BU62" s="679">
        <v>1757.5</v>
      </c>
      <c r="BV62" s="679">
        <v>1779.5</v>
      </c>
      <c r="BW62" s="679">
        <v>1781.8</v>
      </c>
      <c r="BX62" s="679">
        <v>1821.5</v>
      </c>
      <c r="BY62" s="679">
        <v>1881.1</v>
      </c>
      <c r="BZ62" s="679">
        <v>1969.9</v>
      </c>
      <c r="CA62" s="679">
        <v>2024.5</v>
      </c>
      <c r="CB62" s="679">
        <v>2098.8000000000002</v>
      </c>
      <c r="CC62" s="679">
        <v>2195.6999999999998</v>
      </c>
      <c r="CD62" s="679">
        <v>2323.5</v>
      </c>
    </row>
    <row r="63" spans="1:82">
      <c r="A63" s="679" t="s">
        <v>960</v>
      </c>
      <c r="B63" s="679" t="s">
        <v>961</v>
      </c>
      <c r="C63" s="679" t="s">
        <v>277</v>
      </c>
      <c r="D63" s="679" t="s">
        <v>277</v>
      </c>
      <c r="E63" s="679" t="s">
        <v>277</v>
      </c>
      <c r="F63" s="679" t="s">
        <v>277</v>
      </c>
      <c r="G63" s="679" t="s">
        <v>277</v>
      </c>
      <c r="H63" s="679" t="s">
        <v>277</v>
      </c>
      <c r="I63" s="679" t="s">
        <v>277</v>
      </c>
      <c r="J63" s="679" t="s">
        <v>277</v>
      </c>
      <c r="K63" s="679" t="s">
        <v>277</v>
      </c>
      <c r="L63" s="679" t="s">
        <v>277</v>
      </c>
      <c r="M63" s="679" t="s">
        <v>277</v>
      </c>
      <c r="N63" s="679" t="s">
        <v>277</v>
      </c>
      <c r="O63" s="679" t="s">
        <v>277</v>
      </c>
      <c r="P63" s="679" t="s">
        <v>277</v>
      </c>
      <c r="Q63" s="679" t="s">
        <v>277</v>
      </c>
      <c r="R63" s="679" t="s">
        <v>277</v>
      </c>
      <c r="S63" s="679" t="s">
        <v>277</v>
      </c>
      <c r="T63" s="679" t="s">
        <v>277</v>
      </c>
      <c r="U63" s="679" t="s">
        <v>277</v>
      </c>
      <c r="V63" s="679" t="s">
        <v>277</v>
      </c>
      <c r="W63" s="679">
        <v>0.2</v>
      </c>
      <c r="X63" s="679">
        <v>0.3</v>
      </c>
      <c r="Y63" s="679">
        <v>0.3</v>
      </c>
      <c r="Z63" s="679">
        <v>0.3</v>
      </c>
      <c r="AA63" s="679">
        <v>0.3</v>
      </c>
      <c r="AB63" s="679">
        <v>0.5</v>
      </c>
      <c r="AC63" s="679">
        <v>0.5</v>
      </c>
      <c r="AD63" s="679">
        <v>0.6</v>
      </c>
      <c r="AE63" s="679">
        <v>0.6</v>
      </c>
      <c r="AF63" s="679">
        <v>0.6</v>
      </c>
      <c r="AG63" s="679">
        <v>0.7</v>
      </c>
      <c r="AH63" s="679">
        <v>0.8</v>
      </c>
      <c r="AI63" s="679">
        <v>1</v>
      </c>
      <c r="AJ63" s="679">
        <v>1.2</v>
      </c>
      <c r="AK63" s="679">
        <v>1.3</v>
      </c>
      <c r="AL63" s="679">
        <v>2</v>
      </c>
      <c r="AM63" s="679">
        <v>2.5</v>
      </c>
      <c r="AN63" s="679">
        <v>2.6</v>
      </c>
      <c r="AO63" s="679">
        <v>2.7</v>
      </c>
      <c r="AP63" s="679">
        <v>3</v>
      </c>
      <c r="AQ63" s="679">
        <v>3.5</v>
      </c>
      <c r="AR63" s="679">
        <v>4.3</v>
      </c>
      <c r="AS63" s="679">
        <v>4.0999999999999996</v>
      </c>
      <c r="AT63" s="679">
        <v>3.6</v>
      </c>
      <c r="AU63" s="679">
        <v>3.7</v>
      </c>
      <c r="AV63" s="679">
        <v>4</v>
      </c>
      <c r="AW63" s="679">
        <v>4.4000000000000004</v>
      </c>
      <c r="AX63" s="679">
        <v>4.3</v>
      </c>
      <c r="AY63" s="679">
        <v>4.5999999999999996</v>
      </c>
      <c r="AZ63" s="679">
        <v>5.0999999999999996</v>
      </c>
      <c r="BA63" s="679">
        <v>6.2</v>
      </c>
      <c r="BB63" s="679">
        <v>6.3</v>
      </c>
      <c r="BC63" s="679">
        <v>6.2</v>
      </c>
      <c r="BD63" s="679">
        <v>6.2</v>
      </c>
      <c r="BE63" s="679">
        <v>6.8</v>
      </c>
      <c r="BF63" s="679">
        <v>6.8</v>
      </c>
      <c r="BG63" s="679">
        <v>7.6</v>
      </c>
      <c r="BH63" s="679">
        <v>7.9</v>
      </c>
      <c r="BI63" s="679">
        <v>8.1999999999999993</v>
      </c>
      <c r="BJ63" s="679">
        <v>8.6999999999999993</v>
      </c>
      <c r="BK63" s="679">
        <v>8.9</v>
      </c>
      <c r="BL63" s="679">
        <v>9.8000000000000007</v>
      </c>
      <c r="BM63" s="679">
        <v>9.9</v>
      </c>
      <c r="BN63" s="679">
        <v>10.4</v>
      </c>
      <c r="BO63" s="679">
        <v>11</v>
      </c>
      <c r="BP63" s="679">
        <v>11.6</v>
      </c>
      <c r="BQ63" s="679">
        <v>12.4</v>
      </c>
      <c r="BR63" s="679">
        <v>13.3</v>
      </c>
      <c r="BS63" s="679">
        <v>15.4</v>
      </c>
      <c r="BT63" s="679">
        <v>16</v>
      </c>
      <c r="BU63" s="679">
        <v>16.5</v>
      </c>
      <c r="BV63" s="679">
        <v>17</v>
      </c>
      <c r="BW63" s="679">
        <v>18</v>
      </c>
      <c r="BX63" s="679">
        <v>18.899999999999999</v>
      </c>
      <c r="BY63" s="679">
        <v>19.5</v>
      </c>
      <c r="BZ63" s="679">
        <v>20.399999999999999</v>
      </c>
      <c r="CA63" s="679">
        <v>20.9</v>
      </c>
      <c r="CB63" s="679">
        <v>21.8</v>
      </c>
      <c r="CC63" s="679">
        <v>22.8</v>
      </c>
      <c r="CD63" s="679">
        <v>24</v>
      </c>
    </row>
    <row r="64" spans="1:82">
      <c r="A64" s="679" t="s">
        <v>962</v>
      </c>
      <c r="B64" s="679" t="s">
        <v>963</v>
      </c>
      <c r="C64" s="679">
        <v>0.7</v>
      </c>
      <c r="D64" s="679">
        <v>0.6</v>
      </c>
      <c r="E64" s="679">
        <v>0.8</v>
      </c>
      <c r="F64" s="679">
        <v>0.8</v>
      </c>
      <c r="G64" s="679">
        <v>0.8</v>
      </c>
      <c r="H64" s="679">
        <v>1.1000000000000001</v>
      </c>
      <c r="I64" s="679">
        <v>3.1</v>
      </c>
      <c r="J64" s="679">
        <v>2.9</v>
      </c>
      <c r="K64" s="679">
        <v>5.2</v>
      </c>
      <c r="L64" s="679">
        <v>6.9</v>
      </c>
      <c r="M64" s="679">
        <v>5.4</v>
      </c>
      <c r="N64" s="679">
        <v>5.0999999999999996</v>
      </c>
      <c r="O64" s="679">
        <v>4.3</v>
      </c>
      <c r="P64" s="679">
        <v>4.3</v>
      </c>
      <c r="Q64" s="679">
        <v>4.0999999999999996</v>
      </c>
      <c r="R64" s="679">
        <v>4.5</v>
      </c>
      <c r="S64" s="679">
        <v>4.4000000000000004</v>
      </c>
      <c r="T64" s="679">
        <v>4.7</v>
      </c>
      <c r="U64" s="679">
        <v>5.2</v>
      </c>
      <c r="V64" s="679">
        <v>7.6</v>
      </c>
      <c r="W64" s="679">
        <v>7.3</v>
      </c>
      <c r="X64" s="679">
        <v>7.8</v>
      </c>
      <c r="Y64" s="679">
        <v>8.4</v>
      </c>
      <c r="Z64" s="679">
        <v>8.8000000000000007</v>
      </c>
      <c r="AA64" s="679">
        <v>9.4</v>
      </c>
      <c r="AB64" s="679">
        <v>10.1</v>
      </c>
      <c r="AC64" s="679">
        <v>13.4</v>
      </c>
      <c r="AD64" s="679">
        <v>14.9</v>
      </c>
      <c r="AE64" s="679">
        <v>16.399999999999999</v>
      </c>
      <c r="AF64" s="679">
        <v>18.2</v>
      </c>
      <c r="AG64" s="679">
        <v>23.2</v>
      </c>
      <c r="AH64" s="679">
        <v>28.2</v>
      </c>
      <c r="AI64" s="679">
        <v>37.700000000000003</v>
      </c>
      <c r="AJ64" s="679">
        <v>38.9</v>
      </c>
      <c r="AK64" s="679">
        <v>40.9</v>
      </c>
      <c r="AL64" s="679">
        <v>49.8</v>
      </c>
      <c r="AM64" s="679">
        <v>53.6</v>
      </c>
      <c r="AN64" s="679">
        <v>59</v>
      </c>
      <c r="AO64" s="679">
        <v>68.5</v>
      </c>
      <c r="AP64" s="679">
        <v>69.8</v>
      </c>
      <c r="AQ64" s="679">
        <v>77</v>
      </c>
      <c r="AR64" s="679">
        <v>76.099999999999994</v>
      </c>
      <c r="AS64" s="679">
        <v>74.400000000000006</v>
      </c>
      <c r="AT64" s="679">
        <v>76.900000000000006</v>
      </c>
      <c r="AU64" s="679">
        <v>83.6</v>
      </c>
      <c r="AV64" s="679">
        <v>89.9</v>
      </c>
      <c r="AW64" s="679">
        <v>96.6</v>
      </c>
      <c r="AX64" s="679">
        <v>91.1</v>
      </c>
      <c r="AY64" s="679">
        <v>98.9</v>
      </c>
      <c r="AZ64" s="679">
        <v>105.4</v>
      </c>
      <c r="BA64" s="679">
        <v>117.9</v>
      </c>
      <c r="BB64" s="679">
        <v>98.4</v>
      </c>
      <c r="BC64" s="679">
        <v>162.19999999999999</v>
      </c>
      <c r="BD64" s="679">
        <v>177.4</v>
      </c>
      <c r="BE64" s="679">
        <v>186.8</v>
      </c>
      <c r="BF64" s="679">
        <v>189.9</v>
      </c>
      <c r="BG64" s="679">
        <v>201.8</v>
      </c>
      <c r="BH64" s="679">
        <v>205.1</v>
      </c>
      <c r="BI64" s="679">
        <v>218.8</v>
      </c>
      <c r="BJ64" s="679">
        <v>235.4</v>
      </c>
      <c r="BK64" s="679">
        <v>251</v>
      </c>
      <c r="BL64" s="679">
        <v>278.10000000000002</v>
      </c>
      <c r="BM64" s="679">
        <v>308.10000000000002</v>
      </c>
      <c r="BN64" s="679">
        <v>343.4</v>
      </c>
      <c r="BO64" s="679">
        <v>355.3</v>
      </c>
      <c r="BP64" s="679">
        <v>371.8</v>
      </c>
      <c r="BQ64" s="679">
        <v>370.4</v>
      </c>
      <c r="BR64" s="679">
        <v>395</v>
      </c>
      <c r="BS64" s="679">
        <v>410</v>
      </c>
      <c r="BT64" s="679">
        <v>505.1</v>
      </c>
      <c r="BU64" s="679">
        <v>552</v>
      </c>
      <c r="BV64" s="679">
        <v>522.20000000000005</v>
      </c>
      <c r="BW64" s="679">
        <v>493.8</v>
      </c>
      <c r="BX64" s="679">
        <v>497.9</v>
      </c>
      <c r="BY64" s="679">
        <v>540.9</v>
      </c>
      <c r="BZ64" s="679">
        <v>577.9</v>
      </c>
      <c r="CA64" s="679">
        <v>605</v>
      </c>
      <c r="CB64" s="679">
        <v>605.79999999999995</v>
      </c>
      <c r="CC64" s="679">
        <v>634</v>
      </c>
      <c r="CD64" s="679">
        <v>658.5</v>
      </c>
    </row>
    <row r="65" spans="1:82">
      <c r="A65" s="679" t="s">
        <v>964</v>
      </c>
      <c r="B65" s="679" t="s">
        <v>965</v>
      </c>
      <c r="C65" s="679">
        <v>0.7</v>
      </c>
      <c r="D65" s="679">
        <v>0.6</v>
      </c>
      <c r="E65" s="679">
        <v>0.7</v>
      </c>
      <c r="F65" s="679">
        <v>0.8</v>
      </c>
      <c r="G65" s="679">
        <v>0.8</v>
      </c>
      <c r="H65" s="679">
        <v>0.8</v>
      </c>
      <c r="I65" s="679">
        <v>0.9</v>
      </c>
      <c r="J65" s="679">
        <v>1</v>
      </c>
      <c r="K65" s="679">
        <v>1.4</v>
      </c>
      <c r="L65" s="679">
        <v>1.8</v>
      </c>
      <c r="M65" s="679">
        <v>1.8</v>
      </c>
      <c r="N65" s="679">
        <v>2</v>
      </c>
      <c r="O65" s="679">
        <v>2.1</v>
      </c>
      <c r="P65" s="679">
        <v>2.2000000000000002</v>
      </c>
      <c r="Q65" s="679">
        <v>2.2000000000000002</v>
      </c>
      <c r="R65" s="679">
        <v>2.2999999999999998</v>
      </c>
      <c r="S65" s="679">
        <v>2.4</v>
      </c>
      <c r="T65" s="679">
        <v>2.8</v>
      </c>
      <c r="U65" s="679">
        <v>3.2</v>
      </c>
      <c r="V65" s="679">
        <v>3.6</v>
      </c>
      <c r="W65" s="679">
        <v>3.8</v>
      </c>
      <c r="X65" s="679">
        <v>4.3</v>
      </c>
      <c r="Y65" s="679">
        <v>4.7</v>
      </c>
      <c r="Z65" s="679">
        <v>5.2</v>
      </c>
      <c r="AA65" s="679">
        <v>6</v>
      </c>
      <c r="AB65" s="679">
        <v>6.6</v>
      </c>
      <c r="AC65" s="679">
        <v>9.4</v>
      </c>
      <c r="AD65" s="679">
        <v>10.9</v>
      </c>
      <c r="AE65" s="679">
        <v>11.8</v>
      </c>
      <c r="AF65" s="679">
        <v>13.7</v>
      </c>
      <c r="AG65" s="679">
        <v>18.3</v>
      </c>
      <c r="AH65" s="679">
        <v>22.1</v>
      </c>
      <c r="AI65" s="679">
        <v>30.5</v>
      </c>
      <c r="AJ65" s="679">
        <v>33.5</v>
      </c>
      <c r="AK65" s="679">
        <v>34.9</v>
      </c>
      <c r="AL65" s="679">
        <v>43.6</v>
      </c>
      <c r="AM65" s="679">
        <v>49.1</v>
      </c>
      <c r="AN65" s="679">
        <v>54.8</v>
      </c>
      <c r="AO65" s="679">
        <v>63.5</v>
      </c>
      <c r="AP65" s="679">
        <v>64</v>
      </c>
      <c r="AQ65" s="679">
        <v>69.7</v>
      </c>
      <c r="AR65" s="679">
        <v>69.400000000000006</v>
      </c>
      <c r="AS65" s="679">
        <v>66.3</v>
      </c>
      <c r="AT65" s="679">
        <v>67.900000000000006</v>
      </c>
      <c r="AU65" s="679">
        <v>72.3</v>
      </c>
      <c r="AV65" s="679">
        <v>76.2</v>
      </c>
      <c r="AW65" s="679">
        <v>82.4</v>
      </c>
      <c r="AX65" s="679">
        <v>78.400000000000006</v>
      </c>
      <c r="AY65" s="679">
        <v>85.7</v>
      </c>
      <c r="AZ65" s="679">
        <v>91.8</v>
      </c>
      <c r="BA65" s="679">
        <v>104.4</v>
      </c>
      <c r="BB65" s="679">
        <v>124</v>
      </c>
      <c r="BC65" s="679">
        <v>141.69999999999999</v>
      </c>
      <c r="BD65" s="679">
        <v>155.69999999999999</v>
      </c>
      <c r="BE65" s="679">
        <v>166.8</v>
      </c>
      <c r="BF65" s="679">
        <v>174.5</v>
      </c>
      <c r="BG65" s="679">
        <v>181.5</v>
      </c>
      <c r="BH65" s="679">
        <v>188.1</v>
      </c>
      <c r="BI65" s="679">
        <v>200.8</v>
      </c>
      <c r="BJ65" s="679">
        <v>219.2</v>
      </c>
      <c r="BK65" s="679">
        <v>233.1</v>
      </c>
      <c r="BL65" s="679">
        <v>261.3</v>
      </c>
      <c r="BM65" s="679">
        <v>288.7</v>
      </c>
      <c r="BN65" s="679">
        <v>321.7</v>
      </c>
      <c r="BO65" s="679">
        <v>332.3</v>
      </c>
      <c r="BP65" s="679">
        <v>343.5</v>
      </c>
      <c r="BQ65" s="679">
        <v>341</v>
      </c>
      <c r="BR65" s="679">
        <v>359.1</v>
      </c>
      <c r="BS65" s="679">
        <v>371.2</v>
      </c>
      <c r="BT65" s="679">
        <v>458.1</v>
      </c>
      <c r="BU65" s="679">
        <v>505.2</v>
      </c>
      <c r="BV65" s="679">
        <v>472.5</v>
      </c>
      <c r="BW65" s="679">
        <v>444.4</v>
      </c>
      <c r="BX65" s="679">
        <v>450.1</v>
      </c>
      <c r="BY65" s="679">
        <v>495</v>
      </c>
      <c r="BZ65" s="679">
        <v>533.1</v>
      </c>
      <c r="CA65" s="679">
        <v>556.79999999999995</v>
      </c>
      <c r="CB65" s="679">
        <v>559.79999999999995</v>
      </c>
      <c r="CC65" s="679">
        <v>582.6</v>
      </c>
      <c r="CD65" s="679">
        <v>608.1</v>
      </c>
    </row>
    <row r="66" spans="1:82">
      <c r="A66" s="679" t="s">
        <v>966</v>
      </c>
      <c r="B66" s="679" t="s">
        <v>967</v>
      </c>
      <c r="C66" s="679">
        <v>0</v>
      </c>
      <c r="D66" s="679">
        <v>0</v>
      </c>
      <c r="E66" s="679">
        <v>0.1</v>
      </c>
      <c r="F66" s="679">
        <v>-0.1</v>
      </c>
      <c r="G66" s="679">
        <v>-0.1</v>
      </c>
      <c r="H66" s="679">
        <v>0.3</v>
      </c>
      <c r="I66" s="679">
        <v>2.2999999999999998</v>
      </c>
      <c r="J66" s="679">
        <v>2</v>
      </c>
      <c r="K66" s="679">
        <v>3.8</v>
      </c>
      <c r="L66" s="679">
        <v>5.0999999999999996</v>
      </c>
      <c r="M66" s="679">
        <v>3.6</v>
      </c>
      <c r="N66" s="679">
        <v>3.2</v>
      </c>
      <c r="O66" s="679">
        <v>2.2000000000000002</v>
      </c>
      <c r="P66" s="679">
        <v>2.1</v>
      </c>
      <c r="Q66" s="679">
        <v>1.9</v>
      </c>
      <c r="R66" s="679">
        <v>2.2000000000000002</v>
      </c>
      <c r="S66" s="679">
        <v>2</v>
      </c>
      <c r="T66" s="679">
        <v>1.9</v>
      </c>
      <c r="U66" s="679">
        <v>2</v>
      </c>
      <c r="V66" s="679">
        <v>4</v>
      </c>
      <c r="W66" s="679">
        <v>3.5</v>
      </c>
      <c r="X66" s="679">
        <v>3.5</v>
      </c>
      <c r="Y66" s="679">
        <v>3.6</v>
      </c>
      <c r="Z66" s="679">
        <v>3.6</v>
      </c>
      <c r="AA66" s="679">
        <v>3.4</v>
      </c>
      <c r="AB66" s="679">
        <v>3.6</v>
      </c>
      <c r="AC66" s="679">
        <v>4</v>
      </c>
      <c r="AD66" s="679">
        <v>4</v>
      </c>
      <c r="AE66" s="679">
        <v>4.5</v>
      </c>
      <c r="AF66" s="679">
        <v>4.5</v>
      </c>
      <c r="AG66" s="679">
        <v>4.8</v>
      </c>
      <c r="AH66" s="679">
        <v>6</v>
      </c>
      <c r="AI66" s="679">
        <v>7.2</v>
      </c>
      <c r="AJ66" s="679">
        <v>5.4</v>
      </c>
      <c r="AK66" s="679">
        <v>6</v>
      </c>
      <c r="AL66" s="679">
        <v>6.1</v>
      </c>
      <c r="AM66" s="679">
        <v>4.5</v>
      </c>
      <c r="AN66" s="679">
        <v>4.2</v>
      </c>
      <c r="AO66" s="679">
        <v>5</v>
      </c>
      <c r="AP66" s="679">
        <v>5.8</v>
      </c>
      <c r="AQ66" s="679">
        <v>7.3</v>
      </c>
      <c r="AR66" s="679">
        <v>6.7</v>
      </c>
      <c r="AS66" s="679">
        <v>8.1</v>
      </c>
      <c r="AT66" s="679">
        <v>8.9</v>
      </c>
      <c r="AU66" s="679">
        <v>11.2</v>
      </c>
      <c r="AV66" s="679">
        <v>13.8</v>
      </c>
      <c r="AW66" s="679">
        <v>14.2</v>
      </c>
      <c r="AX66" s="679">
        <v>12.7</v>
      </c>
      <c r="AY66" s="679">
        <v>13.2</v>
      </c>
      <c r="AZ66" s="679">
        <v>13.5</v>
      </c>
      <c r="BA66" s="679">
        <v>13.5</v>
      </c>
      <c r="BB66" s="679">
        <v>-25.6</v>
      </c>
      <c r="BC66" s="679">
        <v>20.6</v>
      </c>
      <c r="BD66" s="679">
        <v>21.7</v>
      </c>
      <c r="BE66" s="679">
        <v>19.899999999999999</v>
      </c>
      <c r="BF66" s="679">
        <v>15.4</v>
      </c>
      <c r="BG66" s="679">
        <v>20.399999999999999</v>
      </c>
      <c r="BH66" s="679">
        <v>17</v>
      </c>
      <c r="BI66" s="679">
        <v>18</v>
      </c>
      <c r="BJ66" s="679">
        <v>16.3</v>
      </c>
      <c r="BK66" s="679">
        <v>17.899999999999999</v>
      </c>
      <c r="BL66" s="679">
        <v>16.899999999999999</v>
      </c>
      <c r="BM66" s="679">
        <v>19.399999999999999</v>
      </c>
      <c r="BN66" s="679">
        <v>21.7</v>
      </c>
      <c r="BO66" s="679">
        <v>23</v>
      </c>
      <c r="BP66" s="679">
        <v>28.3</v>
      </c>
      <c r="BQ66" s="679">
        <v>29.3</v>
      </c>
      <c r="BR66" s="679">
        <v>35.9</v>
      </c>
      <c r="BS66" s="679">
        <v>38.9</v>
      </c>
      <c r="BT66" s="679">
        <v>46.9</v>
      </c>
      <c r="BU66" s="679">
        <v>46.8</v>
      </c>
      <c r="BV66" s="679">
        <v>49.8</v>
      </c>
      <c r="BW66" s="679">
        <v>49.3</v>
      </c>
      <c r="BX66" s="679">
        <v>47.7</v>
      </c>
      <c r="BY66" s="679">
        <v>45.8</v>
      </c>
      <c r="BZ66" s="679">
        <v>44.8</v>
      </c>
      <c r="CA66" s="679">
        <v>48.2</v>
      </c>
      <c r="CB66" s="679">
        <v>46</v>
      </c>
      <c r="CC66" s="679">
        <v>51.5</v>
      </c>
      <c r="CD66" s="679">
        <v>50.4</v>
      </c>
    </row>
    <row r="67" spans="1:82">
      <c r="A67" s="679" t="s">
        <v>968</v>
      </c>
      <c r="B67" s="679" t="s">
        <v>969</v>
      </c>
      <c r="C67" s="679">
        <v>1</v>
      </c>
      <c r="D67" s="679">
        <v>1.1000000000000001</v>
      </c>
      <c r="E67" s="679">
        <v>1.4</v>
      </c>
      <c r="F67" s="679">
        <v>2.2000000000000002</v>
      </c>
      <c r="G67" s="679">
        <v>3</v>
      </c>
      <c r="H67" s="679">
        <v>4</v>
      </c>
      <c r="I67" s="679">
        <v>5.0999999999999996</v>
      </c>
      <c r="J67" s="679">
        <v>5.4</v>
      </c>
      <c r="K67" s="679">
        <v>5.6</v>
      </c>
      <c r="L67" s="679">
        <v>5.9</v>
      </c>
      <c r="M67" s="679">
        <v>6.2</v>
      </c>
      <c r="N67" s="679">
        <v>6.5</v>
      </c>
      <c r="O67" s="679">
        <v>6.8</v>
      </c>
      <c r="P67" s="679">
        <v>7.2</v>
      </c>
      <c r="Q67" s="679">
        <v>7.6</v>
      </c>
      <c r="R67" s="679">
        <v>7.9</v>
      </c>
      <c r="S67" s="679">
        <v>8.8000000000000007</v>
      </c>
      <c r="T67" s="679">
        <v>9.9</v>
      </c>
      <c r="U67" s="679">
        <v>10</v>
      </c>
      <c r="V67" s="679">
        <v>11.4</v>
      </c>
      <c r="W67" s="679">
        <v>13.9</v>
      </c>
      <c r="X67" s="679">
        <v>13.9</v>
      </c>
      <c r="Y67" s="679">
        <v>15.1</v>
      </c>
      <c r="Z67" s="679">
        <v>16.3</v>
      </c>
      <c r="AA67" s="679">
        <v>17.5</v>
      </c>
      <c r="AB67" s="679">
        <v>18.600000000000001</v>
      </c>
      <c r="AC67" s="679">
        <v>20.3</v>
      </c>
      <c r="AD67" s="679">
        <v>21.9</v>
      </c>
      <c r="AE67" s="679">
        <v>24.6</v>
      </c>
      <c r="AF67" s="679">
        <v>27.5</v>
      </c>
      <c r="AG67" s="679">
        <v>33.299999999999997</v>
      </c>
      <c r="AH67" s="679">
        <v>35.200000000000003</v>
      </c>
      <c r="AI67" s="679">
        <v>37.6</v>
      </c>
      <c r="AJ67" s="679">
        <v>43.3</v>
      </c>
      <c r="AK67" s="679">
        <v>48</v>
      </c>
      <c r="AL67" s="679">
        <v>52.5</v>
      </c>
      <c r="AM67" s="679">
        <v>58.9</v>
      </c>
      <c r="AN67" s="679">
        <v>65.3</v>
      </c>
      <c r="AO67" s="679">
        <v>79.099999999999994</v>
      </c>
      <c r="AP67" s="679">
        <v>91.5</v>
      </c>
      <c r="AQ67" s="679">
        <v>107.5</v>
      </c>
      <c r="AR67" s="679">
        <v>133.4</v>
      </c>
      <c r="AS67" s="679">
        <v>152.69999999999999</v>
      </c>
      <c r="AT67" s="679">
        <v>167</v>
      </c>
      <c r="AU67" s="679">
        <v>193.8</v>
      </c>
      <c r="AV67" s="679">
        <v>213.7</v>
      </c>
      <c r="AW67" s="679">
        <v>224.2</v>
      </c>
      <c r="AX67" s="679">
        <v>232.3</v>
      </c>
      <c r="AY67" s="679">
        <v>247.9</v>
      </c>
      <c r="AZ67" s="679">
        <v>269.7</v>
      </c>
      <c r="BA67" s="679">
        <v>289</v>
      </c>
      <c r="BB67" s="679">
        <v>304.39999999999998</v>
      </c>
      <c r="BC67" s="679">
        <v>306.89999999999998</v>
      </c>
      <c r="BD67" s="679">
        <v>311.39999999999998</v>
      </c>
      <c r="BE67" s="679">
        <v>320.8</v>
      </c>
      <c r="BF67" s="679">
        <v>352.3</v>
      </c>
      <c r="BG67" s="679">
        <v>360</v>
      </c>
      <c r="BH67" s="679">
        <v>365.6</v>
      </c>
      <c r="BI67" s="679">
        <v>365.6</v>
      </c>
      <c r="BJ67" s="679">
        <v>352.2</v>
      </c>
      <c r="BK67" s="679">
        <v>353.7</v>
      </c>
      <c r="BL67" s="679">
        <v>331.2</v>
      </c>
      <c r="BM67" s="679">
        <v>301.3</v>
      </c>
      <c r="BN67" s="679">
        <v>291.7</v>
      </c>
      <c r="BO67" s="679">
        <v>306</v>
      </c>
      <c r="BP67" s="679">
        <v>344.4</v>
      </c>
      <c r="BQ67" s="679">
        <v>372.2</v>
      </c>
      <c r="BR67" s="679">
        <v>408</v>
      </c>
      <c r="BS67" s="679">
        <v>388.4</v>
      </c>
      <c r="BT67" s="679">
        <v>354.5</v>
      </c>
      <c r="BU67" s="679">
        <v>381.5</v>
      </c>
      <c r="BV67" s="679">
        <v>425.4</v>
      </c>
      <c r="BW67" s="679">
        <v>422.6</v>
      </c>
      <c r="BX67" s="679">
        <v>416.3</v>
      </c>
      <c r="BY67" s="679">
        <v>439.1</v>
      </c>
      <c r="BZ67" s="679">
        <v>429.3</v>
      </c>
      <c r="CA67" s="679">
        <v>454.1</v>
      </c>
      <c r="CB67" s="679">
        <v>475.9</v>
      </c>
      <c r="CC67" s="679">
        <v>540.5</v>
      </c>
      <c r="CD67" s="679">
        <v>581.6</v>
      </c>
    </row>
    <row r="68" spans="1:82">
      <c r="A68" s="679" t="s">
        <v>970</v>
      </c>
      <c r="B68" s="679" t="s">
        <v>971</v>
      </c>
      <c r="C68" s="679" t="s">
        <v>277</v>
      </c>
      <c r="D68" s="679" t="s">
        <v>277</v>
      </c>
      <c r="E68" s="679" t="s">
        <v>277</v>
      </c>
      <c r="F68" s="679" t="s">
        <v>277</v>
      </c>
      <c r="G68" s="679" t="s">
        <v>277</v>
      </c>
      <c r="H68" s="679" t="s">
        <v>277</v>
      </c>
      <c r="I68" s="679" t="s">
        <v>277</v>
      </c>
      <c r="J68" s="679" t="s">
        <v>277</v>
      </c>
      <c r="K68" s="679" t="s">
        <v>277</v>
      </c>
      <c r="L68" s="679" t="s">
        <v>277</v>
      </c>
      <c r="M68" s="679" t="s">
        <v>277</v>
      </c>
      <c r="N68" s="679" t="s">
        <v>277</v>
      </c>
      <c r="O68" s="679" t="s">
        <v>277</v>
      </c>
      <c r="P68" s="679" t="s">
        <v>277</v>
      </c>
      <c r="Q68" s="679" t="s">
        <v>277</v>
      </c>
      <c r="R68" s="679" t="s">
        <v>277</v>
      </c>
      <c r="S68" s="679" t="s">
        <v>277</v>
      </c>
      <c r="T68" s="679" t="s">
        <v>277</v>
      </c>
      <c r="U68" s="679" t="s">
        <v>277</v>
      </c>
      <c r="V68" s="679" t="s">
        <v>277</v>
      </c>
      <c r="W68" s="679">
        <v>13.5</v>
      </c>
      <c r="X68" s="679">
        <v>13.6</v>
      </c>
      <c r="Y68" s="679">
        <v>14.8</v>
      </c>
      <c r="Z68" s="679">
        <v>15.9</v>
      </c>
      <c r="AA68" s="679">
        <v>17</v>
      </c>
      <c r="AB68" s="679">
        <v>18.100000000000001</v>
      </c>
      <c r="AC68" s="679">
        <v>19.7</v>
      </c>
      <c r="AD68" s="679">
        <v>21.3</v>
      </c>
      <c r="AE68" s="679">
        <v>23.9</v>
      </c>
      <c r="AF68" s="679">
        <v>26.7</v>
      </c>
      <c r="AG68" s="679">
        <v>32.4</v>
      </c>
      <c r="AH68" s="679">
        <v>33.5</v>
      </c>
      <c r="AI68" s="679">
        <v>35.1</v>
      </c>
      <c r="AJ68" s="679">
        <v>39.6</v>
      </c>
      <c r="AK68" s="679">
        <v>43.9</v>
      </c>
      <c r="AL68" s="679">
        <v>48.1</v>
      </c>
      <c r="AM68" s="679">
        <v>54.6</v>
      </c>
      <c r="AN68" s="679">
        <v>60</v>
      </c>
      <c r="AO68" s="679">
        <v>70.900000000000006</v>
      </c>
      <c r="AP68" s="679">
        <v>80.900000000000006</v>
      </c>
      <c r="AQ68" s="679">
        <v>95.7</v>
      </c>
      <c r="AR68" s="679">
        <v>117.2</v>
      </c>
      <c r="AS68" s="679">
        <v>134.69999999999999</v>
      </c>
      <c r="AT68" s="679">
        <v>148.9</v>
      </c>
      <c r="AU68" s="679">
        <v>173.7</v>
      </c>
      <c r="AV68" s="679">
        <v>191.6</v>
      </c>
      <c r="AW68" s="679">
        <v>200.9</v>
      </c>
      <c r="AX68" s="679">
        <v>208.2</v>
      </c>
      <c r="AY68" s="679">
        <v>219.2</v>
      </c>
      <c r="AZ68" s="679">
        <v>235.1</v>
      </c>
      <c r="BA68" s="679">
        <v>253</v>
      </c>
      <c r="BB68" s="679">
        <v>268.3</v>
      </c>
      <c r="BC68" s="679">
        <v>272.60000000000002</v>
      </c>
      <c r="BD68" s="679">
        <v>277.3</v>
      </c>
      <c r="BE68" s="679">
        <v>284.5</v>
      </c>
      <c r="BF68" s="679">
        <v>305.2</v>
      </c>
      <c r="BG68" s="679">
        <v>303.2</v>
      </c>
      <c r="BH68" s="679">
        <v>295.89999999999998</v>
      </c>
      <c r="BI68" s="679">
        <v>293.5</v>
      </c>
      <c r="BJ68" s="679">
        <v>285.39999999999998</v>
      </c>
      <c r="BK68" s="679">
        <v>289.3</v>
      </c>
      <c r="BL68" s="679">
        <v>274.10000000000002</v>
      </c>
      <c r="BM68" s="679">
        <v>252</v>
      </c>
      <c r="BN68" s="679">
        <v>244.3</v>
      </c>
      <c r="BO68" s="679">
        <v>251.2</v>
      </c>
      <c r="BP68" s="679">
        <v>276.39999999999998</v>
      </c>
      <c r="BQ68" s="679">
        <v>286.3</v>
      </c>
      <c r="BR68" s="679">
        <v>308.89999999999998</v>
      </c>
      <c r="BS68" s="679">
        <v>291.3</v>
      </c>
      <c r="BT68" s="679">
        <v>265.7</v>
      </c>
      <c r="BU68" s="679">
        <v>288.89999999999998</v>
      </c>
      <c r="BV68" s="679">
        <v>328</v>
      </c>
      <c r="BW68" s="679">
        <v>326.7</v>
      </c>
      <c r="BX68" s="679">
        <v>319.8</v>
      </c>
      <c r="BY68" s="679">
        <v>345.5</v>
      </c>
      <c r="BZ68" s="679">
        <v>334.3</v>
      </c>
      <c r="CA68" s="679">
        <v>348.6</v>
      </c>
      <c r="CB68" s="679">
        <v>359.4</v>
      </c>
      <c r="CC68" s="679">
        <v>403.1</v>
      </c>
      <c r="CD68" s="679">
        <v>434.6</v>
      </c>
    </row>
    <row r="69" spans="1:82">
      <c r="A69" s="679" t="s">
        <v>972</v>
      </c>
      <c r="B69" s="679" t="s">
        <v>973</v>
      </c>
      <c r="C69" s="679">
        <v>0</v>
      </c>
      <c r="D69" s="679">
        <v>0</v>
      </c>
      <c r="E69" s="679">
        <v>0</v>
      </c>
      <c r="F69" s="679">
        <v>0</v>
      </c>
      <c r="G69" s="679">
        <v>0</v>
      </c>
      <c r="H69" s="679">
        <v>0</v>
      </c>
      <c r="I69" s="679">
        <v>0</v>
      </c>
      <c r="J69" s="679">
        <v>0</v>
      </c>
      <c r="K69" s="679">
        <v>0</v>
      </c>
      <c r="L69" s="679">
        <v>0</v>
      </c>
      <c r="M69" s="679">
        <v>0</v>
      </c>
      <c r="N69" s="679">
        <v>0</v>
      </c>
      <c r="O69" s="679">
        <v>0.1</v>
      </c>
      <c r="P69" s="679">
        <v>0.1</v>
      </c>
      <c r="Q69" s="679">
        <v>0.1</v>
      </c>
      <c r="R69" s="679">
        <v>0.1</v>
      </c>
      <c r="S69" s="679">
        <v>0.2</v>
      </c>
      <c r="T69" s="679">
        <v>0.2</v>
      </c>
      <c r="U69" s="679">
        <v>0.1</v>
      </c>
      <c r="V69" s="679">
        <v>0.3</v>
      </c>
      <c r="W69" s="679">
        <v>0.3</v>
      </c>
      <c r="X69" s="679">
        <v>0.3</v>
      </c>
      <c r="Y69" s="679">
        <v>0.3</v>
      </c>
      <c r="Z69" s="679">
        <v>0.4</v>
      </c>
      <c r="AA69" s="679">
        <v>0.5</v>
      </c>
      <c r="AB69" s="679">
        <v>0.5</v>
      </c>
      <c r="AC69" s="679">
        <v>0.5</v>
      </c>
      <c r="AD69" s="679">
        <v>0.6</v>
      </c>
      <c r="AE69" s="679">
        <v>0.7</v>
      </c>
      <c r="AF69" s="679">
        <v>0.8</v>
      </c>
      <c r="AG69" s="679">
        <v>0.9</v>
      </c>
      <c r="AH69" s="679">
        <v>1.8</v>
      </c>
      <c r="AI69" s="679">
        <v>2.6</v>
      </c>
      <c r="AJ69" s="679">
        <v>3.7</v>
      </c>
      <c r="AK69" s="679">
        <v>4</v>
      </c>
      <c r="AL69" s="679">
        <v>4.3</v>
      </c>
      <c r="AM69" s="679">
        <v>4.3</v>
      </c>
      <c r="AN69" s="679">
        <v>5.2</v>
      </c>
      <c r="AO69" s="679">
        <v>8.1999999999999993</v>
      </c>
      <c r="AP69" s="679">
        <v>10.6</v>
      </c>
      <c r="AQ69" s="679">
        <v>11.9</v>
      </c>
      <c r="AR69" s="679">
        <v>16.3</v>
      </c>
      <c r="AS69" s="679">
        <v>18</v>
      </c>
      <c r="AT69" s="679">
        <v>18.100000000000001</v>
      </c>
      <c r="AU69" s="679">
        <v>20.2</v>
      </c>
      <c r="AV69" s="679">
        <v>22.2</v>
      </c>
      <c r="AW69" s="679">
        <v>23.3</v>
      </c>
      <c r="AX69" s="679">
        <v>24.1</v>
      </c>
      <c r="AY69" s="679">
        <v>28.8</v>
      </c>
      <c r="AZ69" s="679">
        <v>34.5</v>
      </c>
      <c r="BA69" s="679">
        <v>36.1</v>
      </c>
      <c r="BB69" s="679">
        <v>36.1</v>
      </c>
      <c r="BC69" s="679">
        <v>34.299999999999997</v>
      </c>
      <c r="BD69" s="679">
        <v>34.200000000000003</v>
      </c>
      <c r="BE69" s="679">
        <v>36.4</v>
      </c>
      <c r="BF69" s="679">
        <v>47.1</v>
      </c>
      <c r="BG69" s="679">
        <v>56.8</v>
      </c>
      <c r="BH69" s="679">
        <v>69.7</v>
      </c>
      <c r="BI69" s="679">
        <v>72.099999999999994</v>
      </c>
      <c r="BJ69" s="679">
        <v>66.7</v>
      </c>
      <c r="BK69" s="679">
        <v>64.400000000000006</v>
      </c>
      <c r="BL69" s="679">
        <v>57.1</v>
      </c>
      <c r="BM69" s="679">
        <v>49.3</v>
      </c>
      <c r="BN69" s="679">
        <v>47.4</v>
      </c>
      <c r="BO69" s="679">
        <v>54.8</v>
      </c>
      <c r="BP69" s="679">
        <v>68</v>
      </c>
      <c r="BQ69" s="679">
        <v>85.9</v>
      </c>
      <c r="BR69" s="679">
        <v>99</v>
      </c>
      <c r="BS69" s="679">
        <v>97</v>
      </c>
      <c r="BT69" s="679">
        <v>88.8</v>
      </c>
      <c r="BU69" s="679">
        <v>92.6</v>
      </c>
      <c r="BV69" s="679">
        <v>97.5</v>
      </c>
      <c r="BW69" s="679">
        <v>95.9</v>
      </c>
      <c r="BX69" s="679">
        <v>96.5</v>
      </c>
      <c r="BY69" s="679">
        <v>93.6</v>
      </c>
      <c r="BZ69" s="679">
        <v>95</v>
      </c>
      <c r="CA69" s="679">
        <v>105.5</v>
      </c>
      <c r="CB69" s="679">
        <v>116.6</v>
      </c>
      <c r="CC69" s="679">
        <v>137.4</v>
      </c>
      <c r="CD69" s="679">
        <v>147</v>
      </c>
    </row>
    <row r="70" spans="1:82">
      <c r="A70" s="679" t="s">
        <v>974</v>
      </c>
      <c r="B70" s="679" t="s">
        <v>975</v>
      </c>
      <c r="C70" s="679">
        <v>1</v>
      </c>
      <c r="D70" s="679">
        <v>0.7</v>
      </c>
      <c r="E70" s="679">
        <v>0.8</v>
      </c>
      <c r="F70" s="679">
        <v>1</v>
      </c>
      <c r="G70" s="679">
        <v>1.4</v>
      </c>
      <c r="H70" s="679">
        <v>1.6</v>
      </c>
      <c r="I70" s="679">
        <v>1.7</v>
      </c>
      <c r="J70" s="679">
        <v>0.7</v>
      </c>
      <c r="K70" s="679">
        <v>0.8</v>
      </c>
      <c r="L70" s="679">
        <v>0.8</v>
      </c>
      <c r="M70" s="679">
        <v>1.2</v>
      </c>
      <c r="N70" s="679">
        <v>1.4</v>
      </c>
      <c r="O70" s="679">
        <v>1.2</v>
      </c>
      <c r="P70" s="679">
        <v>1</v>
      </c>
      <c r="Q70" s="679">
        <v>0.9</v>
      </c>
      <c r="R70" s="679">
        <v>0.9</v>
      </c>
      <c r="S70" s="679">
        <v>1.5</v>
      </c>
      <c r="T70" s="679">
        <v>1.9</v>
      </c>
      <c r="U70" s="679">
        <v>2.1</v>
      </c>
      <c r="V70" s="679">
        <v>1.1000000000000001</v>
      </c>
      <c r="W70" s="679">
        <v>1.1000000000000001</v>
      </c>
      <c r="X70" s="679">
        <v>2</v>
      </c>
      <c r="Y70" s="679">
        <v>2.2999999999999998</v>
      </c>
      <c r="Z70" s="679">
        <v>2.2000000000000002</v>
      </c>
      <c r="AA70" s="679">
        <v>2.7</v>
      </c>
      <c r="AB70" s="679">
        <v>3</v>
      </c>
      <c r="AC70" s="679">
        <v>3.9</v>
      </c>
      <c r="AD70" s="679">
        <v>3.8</v>
      </c>
      <c r="AE70" s="679">
        <v>4.0999999999999996</v>
      </c>
      <c r="AF70" s="679">
        <v>4.5</v>
      </c>
      <c r="AG70" s="679">
        <v>4.8</v>
      </c>
      <c r="AH70" s="679">
        <v>4.5999999999999996</v>
      </c>
      <c r="AI70" s="679">
        <v>6.6</v>
      </c>
      <c r="AJ70" s="679">
        <v>5.0999999999999996</v>
      </c>
      <c r="AK70" s="679">
        <v>3.2</v>
      </c>
      <c r="AL70" s="679">
        <v>4.3</v>
      </c>
      <c r="AM70" s="679">
        <v>4.9000000000000004</v>
      </c>
      <c r="AN70" s="679">
        <v>6.9</v>
      </c>
      <c r="AO70" s="679">
        <v>8.6999999999999993</v>
      </c>
      <c r="AP70" s="679">
        <v>8.1999999999999993</v>
      </c>
      <c r="AQ70" s="679">
        <v>9.4</v>
      </c>
      <c r="AR70" s="679">
        <v>11.1</v>
      </c>
      <c r="AS70" s="679">
        <v>14.6</v>
      </c>
      <c r="AT70" s="679">
        <v>20.9</v>
      </c>
      <c r="AU70" s="679">
        <v>20.7</v>
      </c>
      <c r="AV70" s="679">
        <v>21</v>
      </c>
      <c r="AW70" s="679">
        <v>24.6</v>
      </c>
      <c r="AX70" s="679">
        <v>30</v>
      </c>
      <c r="AY70" s="679">
        <v>29.2</v>
      </c>
      <c r="AZ70" s="679">
        <v>27.1</v>
      </c>
      <c r="BA70" s="679">
        <v>26.6</v>
      </c>
      <c r="BB70" s="679">
        <v>27.1</v>
      </c>
      <c r="BC70" s="679">
        <v>29.7</v>
      </c>
      <c r="BD70" s="679">
        <v>36.299999999999997</v>
      </c>
      <c r="BE70" s="679">
        <v>32.200000000000003</v>
      </c>
      <c r="BF70" s="679">
        <v>34.5</v>
      </c>
      <c r="BG70" s="679">
        <v>34.9</v>
      </c>
      <c r="BH70" s="679">
        <v>33.4</v>
      </c>
      <c r="BI70" s="679">
        <v>35.9</v>
      </c>
      <c r="BJ70" s="679">
        <v>44.8</v>
      </c>
      <c r="BK70" s="679">
        <v>45.3</v>
      </c>
      <c r="BL70" s="679">
        <v>51.1</v>
      </c>
      <c r="BM70" s="679">
        <v>40.5</v>
      </c>
      <c r="BN70" s="679">
        <v>49</v>
      </c>
      <c r="BO70" s="679">
        <v>46</v>
      </c>
      <c r="BP70" s="679">
        <v>60.5</v>
      </c>
      <c r="BQ70" s="679">
        <v>51.1</v>
      </c>
      <c r="BR70" s="679">
        <v>47.5</v>
      </c>
      <c r="BS70" s="679">
        <v>49.6</v>
      </c>
      <c r="BT70" s="679">
        <v>56.9</v>
      </c>
      <c r="BU70" s="679">
        <v>54.2</v>
      </c>
      <c r="BV70" s="679">
        <v>59.5</v>
      </c>
      <c r="BW70" s="679">
        <v>57.6</v>
      </c>
      <c r="BX70" s="679">
        <v>59.2</v>
      </c>
      <c r="BY70" s="679">
        <v>57.6</v>
      </c>
      <c r="BZ70" s="679">
        <v>56.7</v>
      </c>
      <c r="CA70" s="679">
        <v>61.2</v>
      </c>
      <c r="CB70" s="679">
        <v>59.3</v>
      </c>
      <c r="CC70" s="679">
        <v>62.7</v>
      </c>
      <c r="CD70" s="679">
        <v>73.3</v>
      </c>
    </row>
    <row r="71" spans="1:82">
      <c r="A71" s="679" t="s">
        <v>976</v>
      </c>
      <c r="B71" s="680" t="s">
        <v>977</v>
      </c>
      <c r="C71" s="679">
        <v>-1</v>
      </c>
      <c r="D71" s="679">
        <v>0.6</v>
      </c>
      <c r="E71" s="679">
        <v>-11.4</v>
      </c>
      <c r="F71" s="679">
        <v>-17.100000000000001</v>
      </c>
      <c r="G71" s="679">
        <v>-29.4</v>
      </c>
      <c r="H71" s="679">
        <v>-32</v>
      </c>
      <c r="I71" s="679">
        <v>-8.1</v>
      </c>
      <c r="J71" s="679">
        <v>2.5</v>
      </c>
      <c r="K71" s="679">
        <v>1</v>
      </c>
      <c r="L71" s="679">
        <v>-8.5</v>
      </c>
      <c r="M71" s="679">
        <v>1.9</v>
      </c>
      <c r="N71" s="679">
        <v>4.5</v>
      </c>
      <c r="O71" s="679">
        <v>-2.1</v>
      </c>
      <c r="P71" s="679">
        <v>-4.2</v>
      </c>
      <c r="Q71" s="679">
        <v>-8</v>
      </c>
      <c r="R71" s="679">
        <v>-0.6</v>
      </c>
      <c r="S71" s="679">
        <v>1.4</v>
      </c>
      <c r="T71" s="679">
        <v>-2.6</v>
      </c>
      <c r="U71" s="679">
        <v>-12.1</v>
      </c>
      <c r="V71" s="679">
        <v>-3.9</v>
      </c>
      <c r="W71" s="679">
        <v>0.2</v>
      </c>
      <c r="X71" s="679">
        <v>-4.7</v>
      </c>
      <c r="Y71" s="679">
        <v>-5.4</v>
      </c>
      <c r="Z71" s="679">
        <v>-2.2000000000000002</v>
      </c>
      <c r="AA71" s="679">
        <v>-6.9</v>
      </c>
      <c r="AB71" s="679">
        <v>-5.5</v>
      </c>
      <c r="AC71" s="679">
        <v>-7</v>
      </c>
      <c r="AD71" s="679">
        <v>-19.5</v>
      </c>
      <c r="AE71" s="679">
        <v>-13.8</v>
      </c>
      <c r="AF71" s="679">
        <v>-5.0999999999999996</v>
      </c>
      <c r="AG71" s="679">
        <v>-34.799999999999997</v>
      </c>
      <c r="AH71" s="679">
        <v>-50.9</v>
      </c>
      <c r="AI71" s="679">
        <v>-49</v>
      </c>
      <c r="AJ71" s="679">
        <v>-38.299999999999997</v>
      </c>
      <c r="AK71" s="679">
        <v>-41.3</v>
      </c>
      <c r="AL71" s="679">
        <v>-97.9</v>
      </c>
      <c r="AM71" s="679">
        <v>-80.900000000000006</v>
      </c>
      <c r="AN71" s="679">
        <v>-73.400000000000006</v>
      </c>
      <c r="AO71" s="679">
        <v>-62</v>
      </c>
      <c r="AP71" s="679">
        <v>-47.4</v>
      </c>
      <c r="AQ71" s="679">
        <v>-88.8</v>
      </c>
      <c r="AR71" s="679">
        <v>-88.1</v>
      </c>
      <c r="AS71" s="679">
        <v>-167.4</v>
      </c>
      <c r="AT71" s="679">
        <v>-207.2</v>
      </c>
      <c r="AU71" s="679">
        <v>-196.5</v>
      </c>
      <c r="AV71" s="679">
        <v>-199.2</v>
      </c>
      <c r="AW71" s="679">
        <v>-215.9</v>
      </c>
      <c r="AX71" s="679">
        <v>-165.7</v>
      </c>
      <c r="AY71" s="679">
        <v>-160</v>
      </c>
      <c r="AZ71" s="679">
        <v>-159.4</v>
      </c>
      <c r="BA71" s="679">
        <v>-203.3</v>
      </c>
      <c r="BB71" s="679">
        <v>-248.4</v>
      </c>
      <c r="BC71" s="679">
        <v>-334.5</v>
      </c>
      <c r="BD71" s="679">
        <v>-313.5</v>
      </c>
      <c r="BE71" s="679">
        <v>-255.6</v>
      </c>
      <c r="BF71" s="679">
        <v>-242.1</v>
      </c>
      <c r="BG71" s="679">
        <v>-179.4</v>
      </c>
      <c r="BH71" s="679">
        <v>-92</v>
      </c>
      <c r="BI71" s="679">
        <v>1.4</v>
      </c>
      <c r="BJ71" s="679">
        <v>69.099999999999994</v>
      </c>
      <c r="BK71" s="679">
        <v>159.69999999999999</v>
      </c>
      <c r="BL71" s="679">
        <v>15</v>
      </c>
      <c r="BM71" s="679">
        <v>-267.8</v>
      </c>
      <c r="BN71" s="679">
        <v>-397.4</v>
      </c>
      <c r="BO71" s="679">
        <v>-393.5</v>
      </c>
      <c r="BP71" s="679">
        <v>-293.8</v>
      </c>
      <c r="BQ71" s="679">
        <v>-221.9</v>
      </c>
      <c r="BR71" s="679">
        <v>-259.7</v>
      </c>
      <c r="BS71" s="679">
        <v>-624.9</v>
      </c>
      <c r="BT71" s="679">
        <v>-1243.2</v>
      </c>
      <c r="BU71" s="679">
        <v>-1318.4</v>
      </c>
      <c r="BV71" s="679">
        <v>-1234.0999999999999</v>
      </c>
      <c r="BW71" s="679">
        <v>-1072.7</v>
      </c>
      <c r="BX71" s="679">
        <v>-631.79999999999995</v>
      </c>
      <c r="BY71" s="679">
        <v>-597.4</v>
      </c>
      <c r="BZ71" s="679">
        <v>-560.20000000000005</v>
      </c>
      <c r="CA71" s="679">
        <v>-669.1</v>
      </c>
      <c r="CB71" s="679">
        <v>-722.4</v>
      </c>
      <c r="CC71" s="679">
        <v>-931.7</v>
      </c>
      <c r="CD71" s="679">
        <v>-1047</v>
      </c>
    </row>
    <row r="72" spans="1:82">
      <c r="A72" s="679" t="s">
        <v>978</v>
      </c>
      <c r="B72" s="679" t="s">
        <v>979</v>
      </c>
      <c r="C72" s="679">
        <v>1</v>
      </c>
      <c r="D72" s="679">
        <v>1.6</v>
      </c>
      <c r="E72" s="679">
        <v>2.2000000000000002</v>
      </c>
      <c r="F72" s="679">
        <v>3.3</v>
      </c>
      <c r="G72" s="679">
        <v>3.9</v>
      </c>
      <c r="H72" s="679">
        <v>4.3</v>
      </c>
      <c r="I72" s="679">
        <v>3.2</v>
      </c>
      <c r="J72" s="679">
        <v>3.2</v>
      </c>
      <c r="K72" s="679">
        <v>2.4</v>
      </c>
      <c r="L72" s="679">
        <v>1.5</v>
      </c>
      <c r="M72" s="679">
        <v>-0.2</v>
      </c>
      <c r="N72" s="679">
        <v>2.6</v>
      </c>
      <c r="O72" s="679">
        <v>2.7</v>
      </c>
      <c r="P72" s="679">
        <v>2.1</v>
      </c>
      <c r="Q72" s="679">
        <v>1.2</v>
      </c>
      <c r="R72" s="679">
        <v>1.6</v>
      </c>
      <c r="S72" s="679">
        <v>1.7</v>
      </c>
      <c r="T72" s="679">
        <v>1.1000000000000001</v>
      </c>
      <c r="U72" s="679">
        <v>-2.7</v>
      </c>
      <c r="V72" s="679">
        <v>-0.7</v>
      </c>
      <c r="W72" s="679">
        <v>0.4</v>
      </c>
      <c r="X72" s="679">
        <v>-2.2999999999999998</v>
      </c>
      <c r="Y72" s="679">
        <v>-0.6</v>
      </c>
      <c r="Z72" s="679">
        <v>0.8</v>
      </c>
      <c r="AA72" s="679">
        <v>1.2</v>
      </c>
      <c r="AB72" s="679">
        <v>0.4</v>
      </c>
      <c r="AC72" s="679">
        <v>6</v>
      </c>
      <c r="AD72" s="679">
        <v>4.0999999999999996</v>
      </c>
      <c r="AE72" s="679">
        <v>3.2</v>
      </c>
      <c r="AF72" s="679">
        <v>5.7</v>
      </c>
      <c r="AG72" s="679">
        <v>1</v>
      </c>
      <c r="AH72" s="679">
        <v>-3</v>
      </c>
      <c r="AI72" s="679">
        <v>-0.6</v>
      </c>
      <c r="AJ72" s="679">
        <v>5.9</v>
      </c>
      <c r="AK72" s="679">
        <v>3.2</v>
      </c>
      <c r="AL72" s="679">
        <v>-16.3</v>
      </c>
      <c r="AM72" s="679">
        <v>-16</v>
      </c>
      <c r="AN72" s="679">
        <v>-14.1</v>
      </c>
      <c r="AO72" s="679">
        <v>-4.7</v>
      </c>
      <c r="AP72" s="679">
        <v>-0.1</v>
      </c>
      <c r="AQ72" s="679">
        <v>-15.8</v>
      </c>
      <c r="AR72" s="679">
        <v>-14.3</v>
      </c>
      <c r="AS72" s="679">
        <v>-34.4</v>
      </c>
      <c r="AT72" s="679">
        <v>-37.9</v>
      </c>
      <c r="AU72" s="679">
        <v>-9.4</v>
      </c>
      <c r="AV72" s="679">
        <v>0.8</v>
      </c>
      <c r="AW72" s="679">
        <v>5.6</v>
      </c>
      <c r="AX72" s="679">
        <v>14.4</v>
      </c>
      <c r="AY72" s="679">
        <v>39</v>
      </c>
      <c r="AZ72" s="679">
        <v>42.6</v>
      </c>
      <c r="BA72" s="679">
        <v>42.3</v>
      </c>
      <c r="BB72" s="679">
        <v>24.6</v>
      </c>
      <c r="BC72" s="679">
        <v>5.3</v>
      </c>
      <c r="BD72" s="679">
        <v>2.8</v>
      </c>
      <c r="BE72" s="679">
        <v>15.3</v>
      </c>
      <c r="BF72" s="679">
        <v>15.5</v>
      </c>
      <c r="BG72" s="679">
        <v>12.8</v>
      </c>
      <c r="BH72" s="679">
        <v>28.8</v>
      </c>
      <c r="BI72" s="679">
        <v>58.2</v>
      </c>
      <c r="BJ72" s="679">
        <v>92.2</v>
      </c>
      <c r="BK72" s="679">
        <v>114</v>
      </c>
      <c r="BL72" s="679">
        <v>87.7</v>
      </c>
      <c r="BM72" s="679">
        <v>48.8</v>
      </c>
      <c r="BN72" s="679">
        <v>37.5</v>
      </c>
      <c r="BO72" s="679">
        <v>50.8</v>
      </c>
      <c r="BP72" s="679">
        <v>48</v>
      </c>
      <c r="BQ72" s="679">
        <v>11.8</v>
      </c>
      <c r="BR72" s="679">
        <v>-3.2</v>
      </c>
      <c r="BS72" s="679">
        <v>-53.6</v>
      </c>
      <c r="BT72" s="679">
        <v>-251.7</v>
      </c>
      <c r="BU72" s="679">
        <v>-290.60000000000002</v>
      </c>
      <c r="BV72" s="679">
        <v>-271.5</v>
      </c>
      <c r="BW72" s="679">
        <v>-287.7</v>
      </c>
      <c r="BX72" s="679">
        <v>-288.60000000000002</v>
      </c>
      <c r="BY72" s="679">
        <v>-287.2</v>
      </c>
      <c r="BZ72" s="679">
        <v>-310.89999999999998</v>
      </c>
      <c r="CA72" s="679">
        <v>-330.4</v>
      </c>
      <c r="CB72" s="679">
        <v>-330.6</v>
      </c>
      <c r="CC72" s="679">
        <v>-358.2</v>
      </c>
      <c r="CD72" s="679">
        <v>-411.8</v>
      </c>
    </row>
    <row r="73" spans="1:82">
      <c r="A73" s="679" t="s">
        <v>980</v>
      </c>
      <c r="B73" s="679" t="s">
        <v>981</v>
      </c>
      <c r="C73" s="679">
        <v>-2.1</v>
      </c>
      <c r="D73" s="679">
        <v>-1</v>
      </c>
      <c r="E73" s="679">
        <v>-13.6</v>
      </c>
      <c r="F73" s="679">
        <v>-20.399999999999999</v>
      </c>
      <c r="G73" s="679">
        <v>-33.299999999999997</v>
      </c>
      <c r="H73" s="679">
        <v>-36.200000000000003</v>
      </c>
      <c r="I73" s="679">
        <v>-11.3</v>
      </c>
      <c r="J73" s="679">
        <v>-0.7</v>
      </c>
      <c r="K73" s="679">
        <v>-1.4</v>
      </c>
      <c r="L73" s="679">
        <v>-10</v>
      </c>
      <c r="M73" s="679">
        <v>2.1</v>
      </c>
      <c r="N73" s="679">
        <v>1.9</v>
      </c>
      <c r="O73" s="679">
        <v>-4.8</v>
      </c>
      <c r="P73" s="679">
        <v>-6.2</v>
      </c>
      <c r="Q73" s="679">
        <v>-9.1999999999999993</v>
      </c>
      <c r="R73" s="679">
        <v>-2.1</v>
      </c>
      <c r="S73" s="679">
        <v>-0.3</v>
      </c>
      <c r="T73" s="679">
        <v>-3.7</v>
      </c>
      <c r="U73" s="679">
        <v>-9.4</v>
      </c>
      <c r="V73" s="679">
        <v>-3.2</v>
      </c>
      <c r="W73" s="679">
        <v>-0.2</v>
      </c>
      <c r="X73" s="679">
        <v>-2.4</v>
      </c>
      <c r="Y73" s="679">
        <v>-4.8</v>
      </c>
      <c r="Z73" s="679">
        <v>-3</v>
      </c>
      <c r="AA73" s="679">
        <v>-8.1</v>
      </c>
      <c r="AB73" s="679">
        <v>-5.9</v>
      </c>
      <c r="AC73" s="679">
        <v>-13</v>
      </c>
      <c r="AD73" s="679">
        <v>-23.6</v>
      </c>
      <c r="AE73" s="679">
        <v>-16.899999999999999</v>
      </c>
      <c r="AF73" s="679">
        <v>-10.8</v>
      </c>
      <c r="AG73" s="679">
        <v>-35.799999999999997</v>
      </c>
      <c r="AH73" s="679">
        <v>-47.9</v>
      </c>
      <c r="AI73" s="679">
        <v>-48.4</v>
      </c>
      <c r="AJ73" s="679">
        <v>-44.2</v>
      </c>
      <c r="AK73" s="679">
        <v>-44.5</v>
      </c>
      <c r="AL73" s="679">
        <v>-81.599999999999994</v>
      </c>
      <c r="AM73" s="679">
        <v>-64.900000000000006</v>
      </c>
      <c r="AN73" s="679">
        <v>-59.4</v>
      </c>
      <c r="AO73" s="679">
        <v>-57.3</v>
      </c>
      <c r="AP73" s="679">
        <v>-47.3</v>
      </c>
      <c r="AQ73" s="679">
        <v>-73</v>
      </c>
      <c r="AR73" s="679">
        <v>-73.8</v>
      </c>
      <c r="AS73" s="679">
        <v>-132.9</v>
      </c>
      <c r="AT73" s="679">
        <v>-169.3</v>
      </c>
      <c r="AU73" s="679">
        <v>-187.1</v>
      </c>
      <c r="AV73" s="679">
        <v>-200.1</v>
      </c>
      <c r="AW73" s="679">
        <v>-221.5</v>
      </c>
      <c r="AX73" s="679">
        <v>-180.2</v>
      </c>
      <c r="AY73" s="679">
        <v>-198.9</v>
      </c>
      <c r="AZ73" s="679">
        <v>-201.9</v>
      </c>
      <c r="BA73" s="679">
        <v>-245.6</v>
      </c>
      <c r="BB73" s="679">
        <v>-273</v>
      </c>
      <c r="BC73" s="679">
        <v>-339.8</v>
      </c>
      <c r="BD73" s="679">
        <v>-316.3</v>
      </c>
      <c r="BE73" s="679">
        <v>-270.89999999999998</v>
      </c>
      <c r="BF73" s="679">
        <v>-257.60000000000002</v>
      </c>
      <c r="BG73" s="679">
        <v>-192.2</v>
      </c>
      <c r="BH73" s="679">
        <v>-120.8</v>
      </c>
      <c r="BI73" s="679">
        <v>-56.8</v>
      </c>
      <c r="BJ73" s="679">
        <v>-23.1</v>
      </c>
      <c r="BK73" s="679">
        <v>45.7</v>
      </c>
      <c r="BL73" s="679">
        <v>-72.599999999999994</v>
      </c>
      <c r="BM73" s="679">
        <v>-316.60000000000002</v>
      </c>
      <c r="BN73" s="679">
        <v>-434.9</v>
      </c>
      <c r="BO73" s="679">
        <v>-444.3</v>
      </c>
      <c r="BP73" s="679">
        <v>-341.7</v>
      </c>
      <c r="BQ73" s="679">
        <v>-233.7</v>
      </c>
      <c r="BR73" s="679">
        <v>-256.5</v>
      </c>
      <c r="BS73" s="679">
        <v>-571.29999999999995</v>
      </c>
      <c r="BT73" s="679">
        <v>-991.5</v>
      </c>
      <c r="BU73" s="679">
        <v>-1027.8</v>
      </c>
      <c r="BV73" s="679">
        <v>-962.7</v>
      </c>
      <c r="BW73" s="679">
        <v>-785</v>
      </c>
      <c r="BX73" s="679">
        <v>-343.1</v>
      </c>
      <c r="BY73" s="679">
        <v>-310.10000000000002</v>
      </c>
      <c r="BZ73" s="679">
        <v>-249.4</v>
      </c>
      <c r="CA73" s="679">
        <v>-338.7</v>
      </c>
      <c r="CB73" s="679">
        <v>-391.8</v>
      </c>
      <c r="CC73" s="679">
        <v>-573.5</v>
      </c>
      <c r="CD73" s="679">
        <v>-635.20000000000005</v>
      </c>
    </row>
    <row r="74" spans="1:82">
      <c r="A74" s="679" t="s">
        <v>825</v>
      </c>
      <c r="B74" s="680" t="s">
        <v>982</v>
      </c>
      <c r="C74" s="679" t="s">
        <v>825</v>
      </c>
      <c r="D74" s="679" t="s">
        <v>825</v>
      </c>
      <c r="E74" s="679" t="s">
        <v>825</v>
      </c>
      <c r="F74" s="679" t="s">
        <v>825</v>
      </c>
      <c r="G74" s="679" t="s">
        <v>825</v>
      </c>
      <c r="H74" s="679" t="s">
        <v>825</v>
      </c>
      <c r="I74" s="679" t="s">
        <v>825</v>
      </c>
      <c r="J74" s="679" t="s">
        <v>825</v>
      </c>
      <c r="K74" s="679" t="s">
        <v>825</v>
      </c>
      <c r="L74" s="679" t="s">
        <v>825</v>
      </c>
      <c r="M74" s="679" t="s">
        <v>825</v>
      </c>
      <c r="N74" s="679" t="s">
        <v>825</v>
      </c>
      <c r="O74" s="679" t="s">
        <v>825</v>
      </c>
      <c r="P74" s="679" t="s">
        <v>825</v>
      </c>
      <c r="Q74" s="679" t="s">
        <v>825</v>
      </c>
      <c r="R74" s="679" t="s">
        <v>825</v>
      </c>
      <c r="S74" s="679" t="s">
        <v>825</v>
      </c>
      <c r="T74" s="679" t="s">
        <v>825</v>
      </c>
      <c r="U74" s="679" t="s">
        <v>825</v>
      </c>
      <c r="V74" s="679" t="s">
        <v>825</v>
      </c>
      <c r="W74" s="679" t="s">
        <v>825</v>
      </c>
      <c r="X74" s="679" t="s">
        <v>825</v>
      </c>
      <c r="Y74" s="679" t="s">
        <v>825</v>
      </c>
      <c r="Z74" s="679" t="s">
        <v>825</v>
      </c>
      <c r="AA74" s="679" t="s">
        <v>825</v>
      </c>
      <c r="AB74" s="679" t="s">
        <v>825</v>
      </c>
      <c r="AC74" s="679" t="s">
        <v>825</v>
      </c>
      <c r="AD74" s="679" t="s">
        <v>825</v>
      </c>
      <c r="AE74" s="679" t="s">
        <v>825</v>
      </c>
      <c r="AF74" s="679" t="s">
        <v>825</v>
      </c>
      <c r="AG74" s="679" t="s">
        <v>825</v>
      </c>
      <c r="AH74" s="679" t="s">
        <v>825</v>
      </c>
      <c r="AI74" s="679" t="s">
        <v>825</v>
      </c>
      <c r="AJ74" s="679" t="s">
        <v>825</v>
      </c>
      <c r="AK74" s="679" t="s">
        <v>825</v>
      </c>
      <c r="AL74" s="679" t="s">
        <v>825</v>
      </c>
      <c r="AM74" s="679" t="s">
        <v>825</v>
      </c>
      <c r="AN74" s="679" t="s">
        <v>825</v>
      </c>
      <c r="AO74" s="679" t="s">
        <v>825</v>
      </c>
      <c r="AP74" s="679" t="s">
        <v>825</v>
      </c>
      <c r="AQ74" s="679" t="s">
        <v>825</v>
      </c>
      <c r="AR74" s="679" t="s">
        <v>825</v>
      </c>
      <c r="AS74" s="679" t="s">
        <v>825</v>
      </c>
      <c r="AT74" s="679" t="s">
        <v>825</v>
      </c>
      <c r="AU74" s="679" t="s">
        <v>825</v>
      </c>
      <c r="AV74" s="679" t="s">
        <v>825</v>
      </c>
      <c r="AW74" s="679" t="s">
        <v>825</v>
      </c>
      <c r="AX74" s="679" t="s">
        <v>825</v>
      </c>
      <c r="AY74" s="679" t="s">
        <v>825</v>
      </c>
      <c r="AZ74" s="679" t="s">
        <v>825</v>
      </c>
      <c r="BA74" s="679" t="s">
        <v>825</v>
      </c>
      <c r="BB74" s="679" t="s">
        <v>825</v>
      </c>
      <c r="BC74" s="679" t="s">
        <v>825</v>
      </c>
      <c r="BD74" s="679" t="s">
        <v>825</v>
      </c>
      <c r="BE74" s="679" t="s">
        <v>825</v>
      </c>
      <c r="BF74" s="679" t="s">
        <v>825</v>
      </c>
      <c r="BG74" s="679" t="s">
        <v>825</v>
      </c>
      <c r="BH74" s="679" t="s">
        <v>825</v>
      </c>
      <c r="BI74" s="679" t="s">
        <v>825</v>
      </c>
      <c r="BJ74" s="679" t="s">
        <v>825</v>
      </c>
      <c r="BK74" s="679" t="s">
        <v>825</v>
      </c>
      <c r="BL74" s="679" t="s">
        <v>825</v>
      </c>
      <c r="BM74" s="679" t="s">
        <v>825</v>
      </c>
      <c r="BN74" s="679" t="s">
        <v>825</v>
      </c>
      <c r="BO74" s="679" t="s">
        <v>825</v>
      </c>
      <c r="BP74" s="679" t="s">
        <v>825</v>
      </c>
      <c r="BQ74" s="679" t="s">
        <v>825</v>
      </c>
      <c r="BR74" s="679" t="s">
        <v>825</v>
      </c>
      <c r="BS74" s="679" t="s">
        <v>825</v>
      </c>
      <c r="BT74" s="679" t="s">
        <v>825</v>
      </c>
      <c r="BU74" s="679" t="s">
        <v>825</v>
      </c>
      <c r="BV74" s="679" t="s">
        <v>825</v>
      </c>
      <c r="BW74" s="679" t="s">
        <v>825</v>
      </c>
      <c r="BX74" s="679" t="s">
        <v>825</v>
      </c>
      <c r="BY74" s="679" t="s">
        <v>825</v>
      </c>
      <c r="BZ74" s="679" t="s">
        <v>825</v>
      </c>
      <c r="CA74" s="679" t="s">
        <v>825</v>
      </c>
      <c r="CB74" s="679" t="s">
        <v>825</v>
      </c>
      <c r="CC74" s="679" t="s">
        <v>825</v>
      </c>
      <c r="CD74" s="679" t="s">
        <v>825</v>
      </c>
    </row>
    <row r="75" spans="1:82">
      <c r="A75" s="679" t="s">
        <v>983</v>
      </c>
      <c r="B75" s="680" t="s">
        <v>984</v>
      </c>
      <c r="C75" s="679">
        <v>8.5</v>
      </c>
      <c r="D75" s="679">
        <v>15.3</v>
      </c>
      <c r="E75" s="679">
        <v>22.7</v>
      </c>
      <c r="F75" s="679">
        <v>38.9</v>
      </c>
      <c r="G75" s="679">
        <v>40.6</v>
      </c>
      <c r="H75" s="679">
        <v>42.2</v>
      </c>
      <c r="I75" s="679">
        <v>40.200000000000003</v>
      </c>
      <c r="J75" s="679">
        <v>43.6</v>
      </c>
      <c r="K75" s="679">
        <v>43.3</v>
      </c>
      <c r="L75" s="679">
        <v>38.6</v>
      </c>
      <c r="M75" s="679">
        <v>49.4</v>
      </c>
      <c r="N75" s="679">
        <v>63.6</v>
      </c>
      <c r="O75" s="679">
        <v>66.599999999999994</v>
      </c>
      <c r="P75" s="679">
        <v>69.5</v>
      </c>
      <c r="Q75" s="679">
        <v>63.4</v>
      </c>
      <c r="R75" s="679">
        <v>72</v>
      </c>
      <c r="S75" s="679">
        <v>77.099999999999994</v>
      </c>
      <c r="T75" s="679">
        <v>80.7</v>
      </c>
      <c r="U75" s="679">
        <v>77.400000000000006</v>
      </c>
      <c r="V75" s="679">
        <v>88</v>
      </c>
      <c r="W75" s="679">
        <v>95.3</v>
      </c>
      <c r="X75" s="679">
        <v>97</v>
      </c>
      <c r="Y75" s="679">
        <v>105.2</v>
      </c>
      <c r="Z75" s="679">
        <v>113.6</v>
      </c>
      <c r="AA75" s="679">
        <v>113.9</v>
      </c>
      <c r="AB75" s="679">
        <v>123.2</v>
      </c>
      <c r="AC75" s="679">
        <v>140.4</v>
      </c>
      <c r="AD75" s="679">
        <v>149.30000000000001</v>
      </c>
      <c r="AE75" s="679">
        <v>173.7</v>
      </c>
      <c r="AF75" s="679">
        <v>195.4</v>
      </c>
      <c r="AG75" s="679">
        <v>188.8</v>
      </c>
      <c r="AH75" s="679">
        <v>195.3</v>
      </c>
      <c r="AI75" s="679">
        <v>224.4</v>
      </c>
      <c r="AJ75" s="679">
        <v>254.3</v>
      </c>
      <c r="AK75" s="679">
        <v>283.3</v>
      </c>
      <c r="AL75" s="679">
        <v>281.7</v>
      </c>
      <c r="AM75" s="679">
        <v>328.2</v>
      </c>
      <c r="AN75" s="679">
        <v>371</v>
      </c>
      <c r="AO75" s="679">
        <v>429</v>
      </c>
      <c r="AP75" s="679">
        <v>492.5</v>
      </c>
      <c r="AQ75" s="679">
        <v>540.20000000000005</v>
      </c>
      <c r="AR75" s="679">
        <v>628</v>
      </c>
      <c r="AS75" s="679">
        <v>626.20000000000005</v>
      </c>
      <c r="AT75" s="679">
        <v>650.5</v>
      </c>
      <c r="AU75" s="679">
        <v>717.1</v>
      </c>
      <c r="AV75" s="679">
        <v>782.1</v>
      </c>
      <c r="AW75" s="679">
        <v>824.9</v>
      </c>
      <c r="AX75" s="679">
        <v>906.7</v>
      </c>
      <c r="AY75" s="679">
        <v>970.1</v>
      </c>
      <c r="AZ75" s="679">
        <v>1051.4000000000001</v>
      </c>
      <c r="BA75" s="679">
        <v>1099.2</v>
      </c>
      <c r="BB75" s="679">
        <v>1118.8</v>
      </c>
      <c r="BC75" s="679">
        <v>1165.5999999999999</v>
      </c>
      <c r="BD75" s="679">
        <v>1243.9000000000001</v>
      </c>
      <c r="BE75" s="679">
        <v>1344.5</v>
      </c>
      <c r="BF75" s="679">
        <v>1432.4</v>
      </c>
      <c r="BG75" s="679">
        <v>1553.8</v>
      </c>
      <c r="BH75" s="679">
        <v>1688</v>
      </c>
      <c r="BI75" s="679">
        <v>1815</v>
      </c>
      <c r="BJ75" s="679">
        <v>1935.3</v>
      </c>
      <c r="BK75" s="679">
        <v>2096.5</v>
      </c>
      <c r="BL75" s="679">
        <v>2060.1999999999998</v>
      </c>
      <c r="BM75" s="679">
        <v>1896.1</v>
      </c>
      <c r="BN75" s="679">
        <v>1917.6</v>
      </c>
      <c r="BO75" s="679">
        <v>2052.3000000000002</v>
      </c>
      <c r="BP75" s="679">
        <v>2329.4</v>
      </c>
      <c r="BQ75" s="679">
        <v>2566.1</v>
      </c>
      <c r="BR75" s="679">
        <v>2694.3</v>
      </c>
      <c r="BS75" s="679">
        <v>2608.9</v>
      </c>
      <c r="BT75" s="679">
        <v>2260.1</v>
      </c>
      <c r="BU75" s="679">
        <v>2459.1</v>
      </c>
      <c r="BV75" s="679">
        <v>2582.4</v>
      </c>
      <c r="BW75" s="679">
        <v>2714.4</v>
      </c>
      <c r="BX75" s="679">
        <v>3159.9</v>
      </c>
      <c r="BY75" s="679">
        <v>3310.8</v>
      </c>
      <c r="BZ75" s="679">
        <v>3468.2</v>
      </c>
      <c r="CA75" s="679">
        <v>3483.4</v>
      </c>
      <c r="CB75" s="679">
        <v>3797.5</v>
      </c>
      <c r="CC75" s="679">
        <v>3590.3</v>
      </c>
      <c r="CD75" s="679">
        <v>3727.3</v>
      </c>
    </row>
    <row r="76" spans="1:82">
      <c r="A76" s="679" t="s">
        <v>985</v>
      </c>
      <c r="B76" s="679" t="s">
        <v>907</v>
      </c>
      <c r="C76" s="679">
        <v>8.1999999999999993</v>
      </c>
      <c r="D76" s="679">
        <v>14.9</v>
      </c>
      <c r="E76" s="679">
        <v>22.3</v>
      </c>
      <c r="F76" s="679">
        <v>38.5</v>
      </c>
      <c r="G76" s="679">
        <v>40.1</v>
      </c>
      <c r="H76" s="679">
        <v>41.5</v>
      </c>
      <c r="I76" s="679">
        <v>39.5</v>
      </c>
      <c r="J76" s="679">
        <v>42.8</v>
      </c>
      <c r="K76" s="679">
        <v>42.4</v>
      </c>
      <c r="L76" s="679">
        <v>37.9</v>
      </c>
      <c r="M76" s="679">
        <v>48.8</v>
      </c>
      <c r="N76" s="679">
        <v>62.9</v>
      </c>
      <c r="O76" s="679">
        <v>65.8</v>
      </c>
      <c r="P76" s="679">
        <v>68.599999999999994</v>
      </c>
      <c r="Q76" s="679">
        <v>62.5</v>
      </c>
      <c r="R76" s="679">
        <v>71.099999999999994</v>
      </c>
      <c r="S76" s="679">
        <v>75.8</v>
      </c>
      <c r="T76" s="679">
        <v>79.3</v>
      </c>
      <c r="U76" s="679">
        <v>76.099999999999994</v>
      </c>
      <c r="V76" s="679">
        <v>86.6</v>
      </c>
      <c r="W76" s="679">
        <v>93.6</v>
      </c>
      <c r="X76" s="679">
        <v>95.1</v>
      </c>
      <c r="Y76" s="679">
        <v>103.2</v>
      </c>
      <c r="Z76" s="679">
        <v>111.3</v>
      </c>
      <c r="AA76" s="679">
        <v>111.3</v>
      </c>
      <c r="AB76" s="679">
        <v>120.4</v>
      </c>
      <c r="AC76" s="679">
        <v>137.4</v>
      </c>
      <c r="AD76" s="679">
        <v>146.30000000000001</v>
      </c>
      <c r="AE76" s="679">
        <v>170.6</v>
      </c>
      <c r="AF76" s="679">
        <v>191.8</v>
      </c>
      <c r="AG76" s="679">
        <v>185.1</v>
      </c>
      <c r="AH76" s="679">
        <v>190.7</v>
      </c>
      <c r="AI76" s="679">
        <v>219</v>
      </c>
      <c r="AJ76" s="679">
        <v>249.2</v>
      </c>
      <c r="AK76" s="679">
        <v>278.5</v>
      </c>
      <c r="AL76" s="679">
        <v>276.8</v>
      </c>
      <c r="AM76" s="679">
        <v>322.60000000000002</v>
      </c>
      <c r="AN76" s="679">
        <v>363.9</v>
      </c>
      <c r="AO76" s="679">
        <v>423.8</v>
      </c>
      <c r="AP76" s="679">
        <v>487</v>
      </c>
      <c r="AQ76" s="679">
        <v>533.70000000000005</v>
      </c>
      <c r="AR76" s="679">
        <v>621.1</v>
      </c>
      <c r="AS76" s="679">
        <v>618.70000000000005</v>
      </c>
      <c r="AT76" s="679">
        <v>644.79999999999995</v>
      </c>
      <c r="AU76" s="679">
        <v>711.2</v>
      </c>
      <c r="AV76" s="679">
        <v>775.7</v>
      </c>
      <c r="AW76" s="679">
        <v>817.9</v>
      </c>
      <c r="AX76" s="679">
        <v>899.5</v>
      </c>
      <c r="AY76" s="679">
        <v>962.4</v>
      </c>
      <c r="AZ76" s="679">
        <v>1042.5</v>
      </c>
      <c r="BA76" s="679">
        <v>1087.5999999999999</v>
      </c>
      <c r="BB76" s="679">
        <v>1107.8</v>
      </c>
      <c r="BC76" s="679">
        <v>1154.4000000000001</v>
      </c>
      <c r="BD76" s="679">
        <v>1231</v>
      </c>
      <c r="BE76" s="679">
        <v>1329.3</v>
      </c>
      <c r="BF76" s="679">
        <v>1417.4</v>
      </c>
      <c r="BG76" s="679">
        <v>1536.3</v>
      </c>
      <c r="BH76" s="679">
        <v>1667.4</v>
      </c>
      <c r="BI76" s="679">
        <v>1789.8</v>
      </c>
      <c r="BJ76" s="679">
        <v>1906.6</v>
      </c>
      <c r="BK76" s="679">
        <v>2068.4</v>
      </c>
      <c r="BL76" s="679">
        <v>2032.2</v>
      </c>
      <c r="BM76" s="679">
        <v>1870.8</v>
      </c>
      <c r="BN76" s="679">
        <v>1895.6</v>
      </c>
      <c r="BO76" s="679">
        <v>2027.7</v>
      </c>
      <c r="BP76" s="679">
        <v>2304.4</v>
      </c>
      <c r="BQ76" s="679">
        <v>2538.3000000000002</v>
      </c>
      <c r="BR76" s="679">
        <v>2667.8</v>
      </c>
      <c r="BS76" s="679">
        <v>2580.6999999999998</v>
      </c>
      <c r="BT76" s="679">
        <v>2239.5</v>
      </c>
      <c r="BU76" s="679">
        <v>2444</v>
      </c>
      <c r="BV76" s="679">
        <v>2572.8000000000002</v>
      </c>
      <c r="BW76" s="679">
        <v>2700.3</v>
      </c>
      <c r="BX76" s="679">
        <v>3139</v>
      </c>
      <c r="BY76" s="679">
        <v>3292</v>
      </c>
      <c r="BZ76" s="679">
        <v>3448</v>
      </c>
      <c r="CA76" s="679">
        <v>3463.3</v>
      </c>
      <c r="CB76" s="679">
        <v>3524.3</v>
      </c>
      <c r="CC76" s="679">
        <v>3567.6</v>
      </c>
      <c r="CD76" s="679">
        <v>3711.2</v>
      </c>
    </row>
    <row r="77" spans="1:82">
      <c r="A77" s="679" t="s">
        <v>986</v>
      </c>
      <c r="B77" s="679" t="s">
        <v>987</v>
      </c>
      <c r="C77" s="679">
        <v>0.3</v>
      </c>
      <c r="D77" s="679">
        <v>0.4</v>
      </c>
      <c r="E77" s="679">
        <v>0.5</v>
      </c>
      <c r="F77" s="679">
        <v>0.5</v>
      </c>
      <c r="G77" s="679">
        <v>0.6</v>
      </c>
      <c r="H77" s="679">
        <v>0.7</v>
      </c>
      <c r="I77" s="679">
        <v>0.7</v>
      </c>
      <c r="J77" s="679">
        <v>0.8</v>
      </c>
      <c r="K77" s="679">
        <v>0.9</v>
      </c>
      <c r="L77" s="679">
        <v>0.7</v>
      </c>
      <c r="M77" s="679">
        <v>0.6</v>
      </c>
      <c r="N77" s="679">
        <v>0.7</v>
      </c>
      <c r="O77" s="679">
        <v>0.8</v>
      </c>
      <c r="P77" s="679">
        <v>0.9</v>
      </c>
      <c r="Q77" s="679">
        <v>0.9</v>
      </c>
      <c r="R77" s="679">
        <v>1</v>
      </c>
      <c r="S77" s="679">
        <v>1.3</v>
      </c>
      <c r="T77" s="679">
        <v>1.4</v>
      </c>
      <c r="U77" s="679">
        <v>1.3</v>
      </c>
      <c r="V77" s="679">
        <v>1.4</v>
      </c>
      <c r="W77" s="679">
        <v>1.8</v>
      </c>
      <c r="X77" s="679">
        <v>2</v>
      </c>
      <c r="Y77" s="679">
        <v>2.1</v>
      </c>
      <c r="Z77" s="679">
        <v>2.2000000000000002</v>
      </c>
      <c r="AA77" s="679">
        <v>2.6</v>
      </c>
      <c r="AB77" s="679">
        <v>2.8</v>
      </c>
      <c r="AC77" s="679">
        <v>3</v>
      </c>
      <c r="AD77" s="679">
        <v>3.1</v>
      </c>
      <c r="AE77" s="679">
        <v>3.1</v>
      </c>
      <c r="AF77" s="679">
        <v>3.6</v>
      </c>
      <c r="AG77" s="679">
        <v>3.7</v>
      </c>
      <c r="AH77" s="679">
        <v>4.5999999999999996</v>
      </c>
      <c r="AI77" s="679">
        <v>5.4</v>
      </c>
      <c r="AJ77" s="679">
        <v>5.0999999999999996</v>
      </c>
      <c r="AK77" s="679">
        <v>4.8</v>
      </c>
      <c r="AL77" s="679">
        <v>4.9000000000000004</v>
      </c>
      <c r="AM77" s="679">
        <v>5.6</v>
      </c>
      <c r="AN77" s="679">
        <v>7.2</v>
      </c>
      <c r="AO77" s="679">
        <v>5.2</v>
      </c>
      <c r="AP77" s="679">
        <v>5.5</v>
      </c>
      <c r="AQ77" s="679">
        <v>6.5</v>
      </c>
      <c r="AR77" s="679">
        <v>6.9</v>
      </c>
      <c r="AS77" s="679">
        <v>7.5</v>
      </c>
      <c r="AT77" s="679">
        <v>5.8</v>
      </c>
      <c r="AU77" s="679">
        <v>6</v>
      </c>
      <c r="AV77" s="679">
        <v>6.4</v>
      </c>
      <c r="AW77" s="679">
        <v>7</v>
      </c>
      <c r="AX77" s="679">
        <v>7.2</v>
      </c>
      <c r="AY77" s="679">
        <v>7.6</v>
      </c>
      <c r="AZ77" s="679">
        <v>8.9</v>
      </c>
      <c r="BA77" s="679">
        <v>11.6</v>
      </c>
      <c r="BB77" s="679">
        <v>11</v>
      </c>
      <c r="BC77" s="679">
        <v>11.3</v>
      </c>
      <c r="BD77" s="679">
        <v>12.9</v>
      </c>
      <c r="BE77" s="679">
        <v>15.1</v>
      </c>
      <c r="BF77" s="679">
        <v>14.9</v>
      </c>
      <c r="BG77" s="679">
        <v>17.5</v>
      </c>
      <c r="BH77" s="679">
        <v>20.6</v>
      </c>
      <c r="BI77" s="679">
        <v>25.2</v>
      </c>
      <c r="BJ77" s="679">
        <v>28.8</v>
      </c>
      <c r="BK77" s="679">
        <v>28.1</v>
      </c>
      <c r="BL77" s="679">
        <v>28</v>
      </c>
      <c r="BM77" s="679">
        <v>25.3</v>
      </c>
      <c r="BN77" s="679">
        <v>22</v>
      </c>
      <c r="BO77" s="679">
        <v>24.6</v>
      </c>
      <c r="BP77" s="679">
        <v>25</v>
      </c>
      <c r="BQ77" s="679">
        <v>27.8</v>
      </c>
      <c r="BR77" s="679">
        <v>26.5</v>
      </c>
      <c r="BS77" s="679">
        <v>28.3</v>
      </c>
      <c r="BT77" s="679">
        <v>20.6</v>
      </c>
      <c r="BU77" s="679">
        <v>15.1</v>
      </c>
      <c r="BV77" s="679">
        <v>9.6</v>
      </c>
      <c r="BW77" s="679">
        <v>14.1</v>
      </c>
      <c r="BX77" s="679">
        <v>20.9</v>
      </c>
      <c r="BY77" s="679">
        <v>18.8</v>
      </c>
      <c r="BZ77" s="679">
        <v>20.2</v>
      </c>
      <c r="CA77" s="679">
        <v>20.100000000000001</v>
      </c>
      <c r="CB77" s="679">
        <v>273.2</v>
      </c>
      <c r="CC77" s="679">
        <v>22.7</v>
      </c>
      <c r="CD77" s="679">
        <v>16.2</v>
      </c>
    </row>
    <row r="78" spans="1:82">
      <c r="A78" s="679" t="s">
        <v>988</v>
      </c>
      <c r="B78" s="680" t="s">
        <v>989</v>
      </c>
      <c r="C78" s="679" t="s">
        <v>277</v>
      </c>
      <c r="D78" s="679" t="s">
        <v>277</v>
      </c>
      <c r="E78" s="679" t="s">
        <v>277</v>
      </c>
      <c r="F78" s="679" t="s">
        <v>277</v>
      </c>
      <c r="G78" s="679" t="s">
        <v>277</v>
      </c>
      <c r="H78" s="679" t="s">
        <v>277</v>
      </c>
      <c r="I78" s="679" t="s">
        <v>277</v>
      </c>
      <c r="J78" s="679" t="s">
        <v>277</v>
      </c>
      <c r="K78" s="679" t="s">
        <v>277</v>
      </c>
      <c r="L78" s="679" t="s">
        <v>277</v>
      </c>
      <c r="M78" s="679" t="s">
        <v>277</v>
      </c>
      <c r="N78" s="679" t="s">
        <v>277</v>
      </c>
      <c r="O78" s="679" t="s">
        <v>277</v>
      </c>
      <c r="P78" s="679" t="s">
        <v>277</v>
      </c>
      <c r="Q78" s="679" t="s">
        <v>277</v>
      </c>
      <c r="R78" s="679" t="s">
        <v>277</v>
      </c>
      <c r="S78" s="679" t="s">
        <v>277</v>
      </c>
      <c r="T78" s="679" t="s">
        <v>277</v>
      </c>
      <c r="U78" s="679" t="s">
        <v>277</v>
      </c>
      <c r="V78" s="679" t="s">
        <v>277</v>
      </c>
      <c r="W78" s="679">
        <v>103.2</v>
      </c>
      <c r="X78" s="679">
        <v>111.8</v>
      </c>
      <c r="Y78" s="679">
        <v>121.5</v>
      </c>
      <c r="Z78" s="679">
        <v>125.9</v>
      </c>
      <c r="AA78" s="679">
        <v>130.80000000000001</v>
      </c>
      <c r="AB78" s="679">
        <v>137.1</v>
      </c>
      <c r="AC78" s="679">
        <v>158.4</v>
      </c>
      <c r="AD78" s="679">
        <v>179.3</v>
      </c>
      <c r="AE78" s="679">
        <v>196.4</v>
      </c>
      <c r="AF78" s="679">
        <v>207.9</v>
      </c>
      <c r="AG78" s="679">
        <v>227.8</v>
      </c>
      <c r="AH78" s="679">
        <v>245.8</v>
      </c>
      <c r="AI78" s="679">
        <v>272.5</v>
      </c>
      <c r="AJ78" s="679">
        <v>289.60000000000002</v>
      </c>
      <c r="AK78" s="679">
        <v>322.39999999999998</v>
      </c>
      <c r="AL78" s="679">
        <v>385.1</v>
      </c>
      <c r="AM78" s="679">
        <v>414.8</v>
      </c>
      <c r="AN78" s="679">
        <v>451</v>
      </c>
      <c r="AO78" s="679">
        <v>502.3</v>
      </c>
      <c r="AP78" s="679">
        <v>553.20000000000005</v>
      </c>
      <c r="AQ78" s="679">
        <v>645</v>
      </c>
      <c r="AR78" s="679">
        <v>732.2</v>
      </c>
      <c r="AS78" s="679">
        <v>811.6</v>
      </c>
      <c r="AT78" s="679">
        <v>883.8</v>
      </c>
      <c r="AU78" s="679">
        <v>946.5</v>
      </c>
      <c r="AV78" s="679">
        <v>1028.9000000000001</v>
      </c>
      <c r="AW78" s="679">
        <v>1089.2</v>
      </c>
      <c r="AX78" s="679">
        <v>1126.2</v>
      </c>
      <c r="AY78" s="679">
        <v>1171.0999999999999</v>
      </c>
      <c r="AZ78" s="679">
        <v>1245.7</v>
      </c>
      <c r="BA78" s="679">
        <v>1343</v>
      </c>
      <c r="BB78" s="679">
        <v>1399.6</v>
      </c>
      <c r="BC78" s="679">
        <v>1524.8</v>
      </c>
      <c r="BD78" s="679">
        <v>1572.7</v>
      </c>
      <c r="BE78" s="679">
        <v>1606.1</v>
      </c>
      <c r="BF78" s="679">
        <v>1673.7</v>
      </c>
      <c r="BG78" s="679">
        <v>1735.5</v>
      </c>
      <c r="BH78" s="679">
        <v>1769.2</v>
      </c>
      <c r="BI78" s="679">
        <v>1803.6</v>
      </c>
      <c r="BJ78" s="679">
        <v>1871.8</v>
      </c>
      <c r="BK78" s="679">
        <v>1943.6</v>
      </c>
      <c r="BL78" s="679">
        <v>2058.6999999999998</v>
      </c>
      <c r="BM78" s="679">
        <v>2207</v>
      </c>
      <c r="BN78" s="679">
        <v>2384.8000000000002</v>
      </c>
      <c r="BO78" s="679">
        <v>2519.9</v>
      </c>
      <c r="BP78" s="679">
        <v>2725.3</v>
      </c>
      <c r="BQ78" s="679">
        <v>2857</v>
      </c>
      <c r="BR78" s="679">
        <v>3047.3</v>
      </c>
      <c r="BS78" s="679">
        <v>3383.1</v>
      </c>
      <c r="BT78" s="679">
        <v>3735.4</v>
      </c>
      <c r="BU78" s="679">
        <v>3963.1</v>
      </c>
      <c r="BV78" s="679">
        <v>3978</v>
      </c>
      <c r="BW78" s="679">
        <v>3901.7</v>
      </c>
      <c r="BX78" s="679">
        <v>3857.2</v>
      </c>
      <c r="BY78" s="679">
        <v>3964</v>
      </c>
      <c r="BZ78" s="679">
        <v>4052.6</v>
      </c>
      <c r="CA78" s="679">
        <v>4200.3999999999996</v>
      </c>
      <c r="CB78" s="679">
        <v>4337.3999999999996</v>
      </c>
      <c r="CC78" s="679">
        <v>4590.8999999999996</v>
      </c>
      <c r="CD78" s="679">
        <v>4864.7</v>
      </c>
    </row>
    <row r="79" spans="1:82">
      <c r="A79" s="679" t="s">
        <v>990</v>
      </c>
      <c r="B79" s="679" t="s">
        <v>951</v>
      </c>
      <c r="C79" s="679">
        <v>9.1999999999999993</v>
      </c>
      <c r="D79" s="679">
        <v>14.3</v>
      </c>
      <c r="E79" s="679">
        <v>33.700000000000003</v>
      </c>
      <c r="F79" s="679">
        <v>55.6</v>
      </c>
      <c r="G79" s="679">
        <v>69.5</v>
      </c>
      <c r="H79" s="679">
        <v>73.5</v>
      </c>
      <c r="I79" s="679">
        <v>47.5</v>
      </c>
      <c r="J79" s="679">
        <v>40.4</v>
      </c>
      <c r="K79" s="679">
        <v>41.4</v>
      </c>
      <c r="L79" s="679">
        <v>46.3</v>
      </c>
      <c r="M79" s="679">
        <v>46.9</v>
      </c>
      <c r="N79" s="679">
        <v>58.4</v>
      </c>
      <c r="O79" s="679">
        <v>67.900000000000006</v>
      </c>
      <c r="P79" s="679">
        <v>72.8</v>
      </c>
      <c r="Q79" s="679">
        <v>70.5</v>
      </c>
      <c r="R79" s="679">
        <v>71.599999999999994</v>
      </c>
      <c r="S79" s="679">
        <v>74.400000000000006</v>
      </c>
      <c r="T79" s="679">
        <v>81.900000000000006</v>
      </c>
      <c r="U79" s="679">
        <v>88.1</v>
      </c>
      <c r="V79" s="679">
        <v>90.5</v>
      </c>
      <c r="W79" s="679">
        <v>93.4</v>
      </c>
      <c r="X79" s="679">
        <v>99.8</v>
      </c>
      <c r="Y79" s="679">
        <v>108.6</v>
      </c>
      <c r="Z79" s="679">
        <v>113.5</v>
      </c>
      <c r="AA79" s="679">
        <v>118.2</v>
      </c>
      <c r="AB79" s="679">
        <v>125.9</v>
      </c>
      <c r="AC79" s="679">
        <v>144.4</v>
      </c>
      <c r="AD79" s="679">
        <v>165.8</v>
      </c>
      <c r="AE79" s="679">
        <v>184.3</v>
      </c>
      <c r="AF79" s="679">
        <v>197</v>
      </c>
      <c r="AG79" s="679">
        <v>219.9</v>
      </c>
      <c r="AH79" s="679">
        <v>241.6</v>
      </c>
      <c r="AI79" s="679">
        <v>268</v>
      </c>
      <c r="AJ79" s="679">
        <v>287.60000000000002</v>
      </c>
      <c r="AK79" s="679">
        <v>319.8</v>
      </c>
      <c r="AL79" s="679">
        <v>374.8</v>
      </c>
      <c r="AM79" s="679">
        <v>403.5</v>
      </c>
      <c r="AN79" s="679">
        <v>437.3</v>
      </c>
      <c r="AO79" s="679">
        <v>485.9</v>
      </c>
      <c r="AP79" s="679">
        <v>534.4</v>
      </c>
      <c r="AQ79" s="679">
        <v>622.5</v>
      </c>
      <c r="AR79" s="679">
        <v>709.1</v>
      </c>
      <c r="AS79" s="679">
        <v>786</v>
      </c>
      <c r="AT79" s="679">
        <v>851.9</v>
      </c>
      <c r="AU79" s="679">
        <v>907.7</v>
      </c>
      <c r="AV79" s="679">
        <v>975</v>
      </c>
      <c r="AW79" s="679">
        <v>1033.8</v>
      </c>
      <c r="AX79" s="679">
        <v>1065.2</v>
      </c>
      <c r="AY79" s="679">
        <v>1122.4000000000001</v>
      </c>
      <c r="AZ79" s="679">
        <v>1201.8</v>
      </c>
      <c r="BA79" s="679">
        <v>1290.9000000000001</v>
      </c>
      <c r="BB79" s="679">
        <v>1356.2</v>
      </c>
      <c r="BC79" s="679">
        <v>1488.9</v>
      </c>
      <c r="BD79" s="679">
        <v>1544.6</v>
      </c>
      <c r="BE79" s="679">
        <v>1585</v>
      </c>
      <c r="BF79" s="679">
        <v>1659.5</v>
      </c>
      <c r="BG79" s="679">
        <v>1715.7</v>
      </c>
      <c r="BH79" s="679">
        <v>1759.4</v>
      </c>
      <c r="BI79" s="679">
        <v>1788.4</v>
      </c>
      <c r="BJ79" s="679">
        <v>1837.5</v>
      </c>
      <c r="BK79" s="679">
        <v>1908.7</v>
      </c>
      <c r="BL79" s="679">
        <v>2017.2</v>
      </c>
      <c r="BM79" s="679">
        <v>2138.6</v>
      </c>
      <c r="BN79" s="679">
        <v>2293</v>
      </c>
      <c r="BO79" s="679">
        <v>2421.1999999999998</v>
      </c>
      <c r="BP79" s="679">
        <v>2598.1</v>
      </c>
      <c r="BQ79" s="679">
        <v>2760.2</v>
      </c>
      <c r="BR79" s="679">
        <v>2927.5</v>
      </c>
      <c r="BS79" s="679">
        <v>3205.6</v>
      </c>
      <c r="BT79" s="679">
        <v>3482.6</v>
      </c>
      <c r="BU79" s="679">
        <v>3762.4</v>
      </c>
      <c r="BV79" s="679">
        <v>3806.9</v>
      </c>
      <c r="BW79" s="679">
        <v>3773</v>
      </c>
      <c r="BX79" s="679">
        <v>3770.8</v>
      </c>
      <c r="BY79" s="679">
        <v>3889.4</v>
      </c>
      <c r="BZ79" s="679">
        <v>4008.3</v>
      </c>
      <c r="CA79" s="679">
        <v>4132.5</v>
      </c>
      <c r="CB79" s="679">
        <v>4246.8</v>
      </c>
      <c r="CC79" s="679">
        <v>4499.3</v>
      </c>
      <c r="CD79" s="679">
        <v>4758.1000000000004</v>
      </c>
    </row>
    <row r="80" spans="1:82">
      <c r="A80" s="679" t="s">
        <v>991</v>
      </c>
      <c r="B80" s="679" t="s">
        <v>992</v>
      </c>
      <c r="C80" s="679">
        <v>1.6</v>
      </c>
      <c r="D80" s="679">
        <v>8.5</v>
      </c>
      <c r="E80" s="679">
        <v>27.4</v>
      </c>
      <c r="F80" s="679">
        <v>39</v>
      </c>
      <c r="G80" s="679">
        <v>37.4</v>
      </c>
      <c r="H80" s="679">
        <v>24.5</v>
      </c>
      <c r="I80" s="679">
        <v>3.1</v>
      </c>
      <c r="J80" s="679">
        <v>2.8</v>
      </c>
      <c r="K80" s="679">
        <v>4.4000000000000004</v>
      </c>
      <c r="L80" s="679">
        <v>5.9</v>
      </c>
      <c r="M80" s="679">
        <v>5.5</v>
      </c>
      <c r="N80" s="679">
        <v>12.5</v>
      </c>
      <c r="O80" s="679">
        <v>17.2</v>
      </c>
      <c r="P80" s="679">
        <v>18.7</v>
      </c>
      <c r="Q80" s="679">
        <v>16.100000000000001</v>
      </c>
      <c r="R80" s="679">
        <v>14.2</v>
      </c>
      <c r="S80" s="679">
        <v>15.8</v>
      </c>
      <c r="T80" s="679">
        <v>17.600000000000001</v>
      </c>
      <c r="U80" s="679">
        <v>18.899999999999999</v>
      </c>
      <c r="V80" s="679">
        <v>21.8</v>
      </c>
      <c r="W80" s="679">
        <v>21.9</v>
      </c>
      <c r="X80" s="679">
        <v>24.6</v>
      </c>
      <c r="Y80" s="679">
        <v>26.5</v>
      </c>
      <c r="Z80" s="679">
        <v>26.7</v>
      </c>
      <c r="AA80" s="679">
        <v>27.1</v>
      </c>
      <c r="AB80" s="679">
        <v>26.7</v>
      </c>
      <c r="AC80" s="679">
        <v>30.1</v>
      </c>
      <c r="AD80" s="679">
        <v>31.9</v>
      </c>
      <c r="AE80" s="679">
        <v>31.1</v>
      </c>
      <c r="AF80" s="679">
        <v>30.7</v>
      </c>
      <c r="AG80" s="679">
        <v>30.5</v>
      </c>
      <c r="AH80" s="679">
        <v>27.8</v>
      </c>
      <c r="AI80" s="679">
        <v>29.3</v>
      </c>
      <c r="AJ80" s="679">
        <v>31.7</v>
      </c>
      <c r="AK80" s="679">
        <v>35.700000000000003</v>
      </c>
      <c r="AL80" s="679">
        <v>39.9</v>
      </c>
      <c r="AM80" s="679">
        <v>44.8</v>
      </c>
      <c r="AN80" s="679">
        <v>49.2</v>
      </c>
      <c r="AO80" s="679">
        <v>54.7</v>
      </c>
      <c r="AP80" s="679">
        <v>61.7</v>
      </c>
      <c r="AQ80" s="679">
        <v>70.2</v>
      </c>
      <c r="AR80" s="679">
        <v>80.400000000000006</v>
      </c>
      <c r="AS80" s="679">
        <v>90</v>
      </c>
      <c r="AT80" s="679">
        <v>102.3</v>
      </c>
      <c r="AU80" s="679">
        <v>115.6</v>
      </c>
      <c r="AV80" s="679">
        <v>132.5</v>
      </c>
      <c r="AW80" s="679">
        <v>141.9</v>
      </c>
      <c r="AX80" s="679">
        <v>152.4</v>
      </c>
      <c r="AY80" s="679">
        <v>148</v>
      </c>
      <c r="AZ80" s="679">
        <v>151.19999999999999</v>
      </c>
      <c r="BA80" s="679">
        <v>158.19999999999999</v>
      </c>
      <c r="BB80" s="679">
        <v>156.80000000000001</v>
      </c>
      <c r="BC80" s="679">
        <v>156.4</v>
      </c>
      <c r="BD80" s="679">
        <v>150.69999999999999</v>
      </c>
      <c r="BE80" s="679">
        <v>145.4</v>
      </c>
      <c r="BF80" s="679">
        <v>147.69999999999999</v>
      </c>
      <c r="BG80" s="679">
        <v>149.80000000000001</v>
      </c>
      <c r="BH80" s="679">
        <v>143.69999999999999</v>
      </c>
      <c r="BI80" s="679">
        <v>147.69999999999999</v>
      </c>
      <c r="BJ80" s="679">
        <v>154.9</v>
      </c>
      <c r="BK80" s="679">
        <v>157.4</v>
      </c>
      <c r="BL80" s="679">
        <v>163.80000000000001</v>
      </c>
      <c r="BM80" s="679">
        <v>182.2</v>
      </c>
      <c r="BN80" s="679">
        <v>195.2</v>
      </c>
      <c r="BO80" s="679">
        <v>208.4</v>
      </c>
      <c r="BP80" s="679">
        <v>222</v>
      </c>
      <c r="BQ80" s="679">
        <v>235.6</v>
      </c>
      <c r="BR80" s="679">
        <v>250</v>
      </c>
      <c r="BS80" s="679">
        <v>271.7</v>
      </c>
      <c r="BT80" s="679">
        <v>282.60000000000002</v>
      </c>
      <c r="BU80" s="679">
        <v>297.2</v>
      </c>
      <c r="BV80" s="679">
        <v>295.7</v>
      </c>
      <c r="BW80" s="679">
        <v>287.3</v>
      </c>
      <c r="BX80" s="679">
        <v>269.60000000000002</v>
      </c>
      <c r="BY80" s="679">
        <v>263.8</v>
      </c>
      <c r="BZ80" s="679">
        <v>266.60000000000002</v>
      </c>
      <c r="CA80" s="679">
        <v>268.10000000000002</v>
      </c>
      <c r="CB80" s="679">
        <v>278.7</v>
      </c>
      <c r="CC80" s="679">
        <v>295.89999999999998</v>
      </c>
      <c r="CD80" s="679">
        <v>321.89999999999998</v>
      </c>
    </row>
    <row r="81" spans="1:82">
      <c r="A81" s="679" t="s">
        <v>993</v>
      </c>
      <c r="B81" s="679" t="s">
        <v>994</v>
      </c>
      <c r="C81" s="679">
        <v>0.1</v>
      </c>
      <c r="D81" s="679">
        <v>0.2</v>
      </c>
      <c r="E81" s="679">
        <v>0.1</v>
      </c>
      <c r="F81" s="679">
        <v>0.1</v>
      </c>
      <c r="G81" s="679">
        <v>0.1</v>
      </c>
      <c r="H81" s="679">
        <v>0.1</v>
      </c>
      <c r="I81" s="679">
        <v>0.1</v>
      </c>
      <c r="J81" s="679">
        <v>0.1</v>
      </c>
      <c r="K81" s="679">
        <v>0.3</v>
      </c>
      <c r="L81" s="679">
        <v>0.4</v>
      </c>
      <c r="M81" s="679">
        <v>0.4</v>
      </c>
      <c r="N81" s="679">
        <v>0.4</v>
      </c>
      <c r="O81" s="679">
        <v>0.5</v>
      </c>
      <c r="P81" s="679">
        <v>0.6</v>
      </c>
      <c r="Q81" s="679">
        <v>0.6</v>
      </c>
      <c r="R81" s="679">
        <v>0.7</v>
      </c>
      <c r="S81" s="679">
        <v>0.8</v>
      </c>
      <c r="T81" s="679">
        <v>1.3</v>
      </c>
      <c r="U81" s="679">
        <v>2.2999999999999998</v>
      </c>
      <c r="V81" s="679">
        <v>3.1</v>
      </c>
      <c r="W81" s="679">
        <v>2.6</v>
      </c>
      <c r="X81" s="679">
        <v>2.9</v>
      </c>
      <c r="Y81" s="679">
        <v>3.1</v>
      </c>
      <c r="Z81" s="679">
        <v>3.6</v>
      </c>
      <c r="AA81" s="679">
        <v>4.0999999999999996</v>
      </c>
      <c r="AB81" s="679">
        <v>4</v>
      </c>
      <c r="AC81" s="679">
        <v>4.4000000000000004</v>
      </c>
      <c r="AD81" s="679">
        <v>4.3</v>
      </c>
      <c r="AE81" s="679">
        <v>6</v>
      </c>
      <c r="AF81" s="679">
        <v>5.9</v>
      </c>
      <c r="AG81" s="679">
        <v>5.3</v>
      </c>
      <c r="AH81" s="679">
        <v>5.9</v>
      </c>
      <c r="AI81" s="679">
        <v>6.1</v>
      </c>
      <c r="AJ81" s="679">
        <v>6</v>
      </c>
      <c r="AK81" s="679">
        <v>7.9</v>
      </c>
      <c r="AL81" s="679">
        <v>9.6999999999999993</v>
      </c>
      <c r="AM81" s="679">
        <v>10.6</v>
      </c>
      <c r="AN81" s="679">
        <v>11.2</v>
      </c>
      <c r="AO81" s="679">
        <v>12</v>
      </c>
      <c r="AP81" s="679">
        <v>14.5</v>
      </c>
      <c r="AQ81" s="679">
        <v>16.7</v>
      </c>
      <c r="AR81" s="679">
        <v>15.7</v>
      </c>
      <c r="AS81" s="679">
        <v>14.7</v>
      </c>
      <c r="AT81" s="679">
        <v>15.6</v>
      </c>
      <c r="AU81" s="679">
        <v>17.8</v>
      </c>
      <c r="AV81" s="679">
        <v>19.600000000000001</v>
      </c>
      <c r="AW81" s="679">
        <v>20.100000000000001</v>
      </c>
      <c r="AX81" s="679">
        <v>19.100000000000001</v>
      </c>
      <c r="AY81" s="679">
        <v>19.8</v>
      </c>
      <c r="AZ81" s="679">
        <v>20.2</v>
      </c>
      <c r="BA81" s="679">
        <v>28.2</v>
      </c>
      <c r="BB81" s="679">
        <v>26.5</v>
      </c>
      <c r="BC81" s="679">
        <v>22.6</v>
      </c>
      <c r="BD81" s="679">
        <v>24.3</v>
      </c>
      <c r="BE81" s="679">
        <v>26</v>
      </c>
      <c r="BF81" s="679">
        <v>27.9</v>
      </c>
      <c r="BG81" s="679">
        <v>28.4</v>
      </c>
      <c r="BH81" s="679">
        <v>29.2</v>
      </c>
      <c r="BI81" s="679">
        <v>28.9</v>
      </c>
      <c r="BJ81" s="679">
        <v>38.799999999999997</v>
      </c>
      <c r="BK81" s="679">
        <v>41.2</v>
      </c>
      <c r="BL81" s="679">
        <v>43.6</v>
      </c>
      <c r="BM81" s="679">
        <v>53.4</v>
      </c>
      <c r="BN81" s="679">
        <v>69.8</v>
      </c>
      <c r="BO81" s="679">
        <v>71.400000000000006</v>
      </c>
      <c r="BP81" s="679">
        <v>97.5</v>
      </c>
      <c r="BQ81" s="679">
        <v>76.7</v>
      </c>
      <c r="BR81" s="679">
        <v>85.9</v>
      </c>
      <c r="BS81" s="679">
        <v>152.1</v>
      </c>
      <c r="BT81" s="679">
        <v>212.6</v>
      </c>
      <c r="BU81" s="679">
        <v>148.1</v>
      </c>
      <c r="BV81" s="679">
        <v>131.19999999999999</v>
      </c>
      <c r="BW81" s="679">
        <v>105</v>
      </c>
      <c r="BX81" s="679">
        <v>85.1</v>
      </c>
      <c r="BY81" s="679">
        <v>83.7</v>
      </c>
      <c r="BZ81" s="679">
        <v>80.099999999999994</v>
      </c>
      <c r="CA81" s="679">
        <v>80.599999999999994</v>
      </c>
      <c r="CB81" s="679">
        <v>91.2</v>
      </c>
      <c r="CC81" s="679">
        <v>82.2</v>
      </c>
      <c r="CD81" s="679">
        <v>82.3</v>
      </c>
    </row>
    <row r="82" spans="1:82">
      <c r="A82" s="679" t="s">
        <v>995</v>
      </c>
      <c r="B82" s="679" t="s">
        <v>996</v>
      </c>
      <c r="C82" s="679" t="s">
        <v>277</v>
      </c>
      <c r="D82" s="679" t="s">
        <v>277</v>
      </c>
      <c r="E82" s="679" t="s">
        <v>277</v>
      </c>
      <c r="F82" s="679" t="s">
        <v>277</v>
      </c>
      <c r="G82" s="679" t="s">
        <v>277</v>
      </c>
      <c r="H82" s="679" t="s">
        <v>277</v>
      </c>
      <c r="I82" s="679" t="s">
        <v>277</v>
      </c>
      <c r="J82" s="679" t="s">
        <v>277</v>
      </c>
      <c r="K82" s="679" t="s">
        <v>277</v>
      </c>
      <c r="L82" s="679" t="s">
        <v>277</v>
      </c>
      <c r="M82" s="679" t="s">
        <v>277</v>
      </c>
      <c r="N82" s="679" t="s">
        <v>277</v>
      </c>
      <c r="O82" s="679" t="s">
        <v>277</v>
      </c>
      <c r="P82" s="679" t="s">
        <v>277</v>
      </c>
      <c r="Q82" s="679" t="s">
        <v>277</v>
      </c>
      <c r="R82" s="679" t="s">
        <v>277</v>
      </c>
      <c r="S82" s="679" t="s">
        <v>277</v>
      </c>
      <c r="T82" s="679" t="s">
        <v>277</v>
      </c>
      <c r="U82" s="679" t="s">
        <v>277</v>
      </c>
      <c r="V82" s="679" t="s">
        <v>277</v>
      </c>
      <c r="W82" s="679">
        <v>0.5</v>
      </c>
      <c r="X82" s="679">
        <v>0.5</v>
      </c>
      <c r="Y82" s="679">
        <v>0.6</v>
      </c>
      <c r="Z82" s="679">
        <v>0.5</v>
      </c>
      <c r="AA82" s="679">
        <v>0.6</v>
      </c>
      <c r="AB82" s="679">
        <v>0.5</v>
      </c>
      <c r="AC82" s="679">
        <v>0.6</v>
      </c>
      <c r="AD82" s="679">
        <v>-0.2</v>
      </c>
      <c r="AE82" s="679">
        <v>-0.9</v>
      </c>
      <c r="AF82" s="679">
        <v>0.1</v>
      </c>
      <c r="AG82" s="679">
        <v>-0.3</v>
      </c>
      <c r="AH82" s="679">
        <v>-0.4</v>
      </c>
      <c r="AI82" s="679">
        <v>-0.7</v>
      </c>
      <c r="AJ82" s="679">
        <v>-3.2</v>
      </c>
      <c r="AK82" s="679">
        <v>-5.7</v>
      </c>
      <c r="AL82" s="679">
        <v>-0.4</v>
      </c>
      <c r="AM82" s="679">
        <v>-2.4</v>
      </c>
      <c r="AN82" s="679">
        <v>-1.4</v>
      </c>
      <c r="AO82" s="679">
        <v>-0.6</v>
      </c>
      <c r="AP82" s="679">
        <v>-2.8</v>
      </c>
      <c r="AQ82" s="679">
        <v>-4.0999999999999996</v>
      </c>
      <c r="AR82" s="679">
        <v>-5.5</v>
      </c>
      <c r="AS82" s="679">
        <v>-3.7</v>
      </c>
      <c r="AT82" s="679">
        <v>-4.9000000000000004</v>
      </c>
      <c r="AU82" s="679">
        <v>-4</v>
      </c>
      <c r="AV82" s="679">
        <v>-1.2</v>
      </c>
      <c r="AW82" s="679">
        <v>-3</v>
      </c>
      <c r="AX82" s="679">
        <v>-0.4</v>
      </c>
      <c r="AY82" s="679">
        <v>-0.2</v>
      </c>
      <c r="AZ82" s="679">
        <v>-0.7</v>
      </c>
      <c r="BA82" s="679">
        <v>-0.8</v>
      </c>
      <c r="BB82" s="679">
        <v>0.1</v>
      </c>
      <c r="BC82" s="679">
        <v>0.2</v>
      </c>
      <c r="BD82" s="679">
        <v>0.2</v>
      </c>
      <c r="BE82" s="679">
        <v>0.1</v>
      </c>
      <c r="BF82" s="679">
        <v>-7.9</v>
      </c>
      <c r="BG82" s="679">
        <v>-4.8</v>
      </c>
      <c r="BH82" s="679">
        <v>-8.8000000000000007</v>
      </c>
      <c r="BI82" s="679">
        <v>-6</v>
      </c>
      <c r="BJ82" s="679">
        <v>-1.2</v>
      </c>
      <c r="BK82" s="679">
        <v>-0.6</v>
      </c>
      <c r="BL82" s="679">
        <v>-1.5</v>
      </c>
      <c r="BM82" s="679">
        <v>-0.3</v>
      </c>
      <c r="BN82" s="679">
        <v>-0.8</v>
      </c>
      <c r="BO82" s="679">
        <v>-0.6</v>
      </c>
      <c r="BP82" s="679">
        <v>-1.8</v>
      </c>
      <c r="BQ82" s="679">
        <v>-14.2</v>
      </c>
      <c r="BR82" s="679">
        <v>-3.3</v>
      </c>
      <c r="BS82" s="679">
        <v>-20.399999999999999</v>
      </c>
      <c r="BT82" s="679">
        <v>-8.9</v>
      </c>
      <c r="BU82" s="679">
        <v>-1</v>
      </c>
      <c r="BV82" s="679">
        <v>-0.9</v>
      </c>
      <c r="BW82" s="679">
        <v>-2</v>
      </c>
      <c r="BX82" s="679">
        <v>-2.5</v>
      </c>
      <c r="BY82" s="679">
        <v>-2.6</v>
      </c>
      <c r="BZ82" s="679">
        <v>-30.9</v>
      </c>
      <c r="CA82" s="679">
        <v>-8.9</v>
      </c>
      <c r="CB82" s="679">
        <v>-2.2000000000000002</v>
      </c>
      <c r="CC82" s="679">
        <v>-0.8</v>
      </c>
      <c r="CD82" s="679">
        <v>-2.7</v>
      </c>
    </row>
    <row r="83" spans="1:82">
      <c r="A83" s="679" t="s">
        <v>997</v>
      </c>
      <c r="B83" s="679" t="s">
        <v>998</v>
      </c>
      <c r="C83" s="679">
        <v>0.5</v>
      </c>
      <c r="D83" s="679">
        <v>0.9</v>
      </c>
      <c r="E83" s="679">
        <v>2.2000000000000002</v>
      </c>
      <c r="F83" s="679">
        <v>5</v>
      </c>
      <c r="G83" s="679">
        <v>7.8</v>
      </c>
      <c r="H83" s="679">
        <v>9.1999999999999993</v>
      </c>
      <c r="I83" s="679">
        <v>9.9</v>
      </c>
      <c r="J83" s="679">
        <v>9.5</v>
      </c>
      <c r="K83" s="679">
        <v>8.4</v>
      </c>
      <c r="L83" s="679">
        <v>7.5</v>
      </c>
      <c r="M83" s="679">
        <v>6.9</v>
      </c>
      <c r="N83" s="679">
        <v>7.4</v>
      </c>
      <c r="O83" s="679">
        <v>8.3000000000000007</v>
      </c>
      <c r="P83" s="679">
        <v>9.3000000000000007</v>
      </c>
      <c r="Q83" s="679">
        <v>10.1</v>
      </c>
      <c r="R83" s="679">
        <v>10.7</v>
      </c>
      <c r="S83" s="679">
        <v>11.7</v>
      </c>
      <c r="T83" s="679">
        <v>12.7</v>
      </c>
      <c r="U83" s="679">
        <v>13.4</v>
      </c>
      <c r="V83" s="679">
        <v>14.3</v>
      </c>
      <c r="W83" s="679">
        <v>15.2</v>
      </c>
      <c r="X83" s="679">
        <v>16</v>
      </c>
      <c r="Y83" s="679">
        <v>17.2</v>
      </c>
      <c r="Z83" s="679">
        <v>18.399999999999999</v>
      </c>
      <c r="AA83" s="679">
        <v>19.2</v>
      </c>
      <c r="AB83" s="679">
        <v>20</v>
      </c>
      <c r="AC83" s="679">
        <v>21</v>
      </c>
      <c r="AD83" s="679">
        <v>22.5</v>
      </c>
      <c r="AE83" s="679">
        <v>24.2</v>
      </c>
      <c r="AF83" s="679">
        <v>25.8</v>
      </c>
      <c r="AG83" s="679">
        <v>27.6</v>
      </c>
      <c r="AH83" s="679">
        <v>29.1</v>
      </c>
      <c r="AI83" s="679">
        <v>30.2</v>
      </c>
      <c r="AJ83" s="679">
        <v>32.4</v>
      </c>
      <c r="AK83" s="679">
        <v>35.4</v>
      </c>
      <c r="AL83" s="679">
        <v>38.700000000000003</v>
      </c>
      <c r="AM83" s="679">
        <v>41.7</v>
      </c>
      <c r="AN83" s="679">
        <v>45.3</v>
      </c>
      <c r="AO83" s="679">
        <v>49.7</v>
      </c>
      <c r="AP83" s="679">
        <v>54.6</v>
      </c>
      <c r="AQ83" s="679">
        <v>60.4</v>
      </c>
      <c r="AR83" s="679">
        <v>67.5</v>
      </c>
      <c r="AS83" s="679">
        <v>75.400000000000006</v>
      </c>
      <c r="AT83" s="679">
        <v>81.099999999999994</v>
      </c>
      <c r="AU83" s="679">
        <v>90.6</v>
      </c>
      <c r="AV83" s="679">
        <v>97</v>
      </c>
      <c r="AW83" s="679">
        <v>103.6</v>
      </c>
      <c r="AX83" s="679">
        <v>110.1</v>
      </c>
      <c r="AY83" s="679">
        <v>118.9</v>
      </c>
      <c r="AZ83" s="679">
        <v>126.9</v>
      </c>
      <c r="BA83" s="679">
        <v>133.5</v>
      </c>
      <c r="BB83" s="679">
        <v>140.1</v>
      </c>
      <c r="BC83" s="679">
        <v>143.30000000000001</v>
      </c>
      <c r="BD83" s="679">
        <v>147</v>
      </c>
      <c r="BE83" s="679">
        <v>150.30000000000001</v>
      </c>
      <c r="BF83" s="679">
        <v>153.5</v>
      </c>
      <c r="BG83" s="679">
        <v>153.69999999999999</v>
      </c>
      <c r="BH83" s="679">
        <v>154.30000000000001</v>
      </c>
      <c r="BI83" s="679">
        <v>155.4</v>
      </c>
      <c r="BJ83" s="679">
        <v>158.19999999999999</v>
      </c>
      <c r="BK83" s="679">
        <v>163.1</v>
      </c>
      <c r="BL83" s="679">
        <v>164.4</v>
      </c>
      <c r="BM83" s="679">
        <v>166.8</v>
      </c>
      <c r="BN83" s="679">
        <v>172.2</v>
      </c>
      <c r="BO83" s="679">
        <v>180.5</v>
      </c>
      <c r="BP83" s="679">
        <v>190.5</v>
      </c>
      <c r="BQ83" s="679">
        <v>201.3</v>
      </c>
      <c r="BR83" s="679">
        <v>212.8</v>
      </c>
      <c r="BS83" s="679">
        <v>225.9</v>
      </c>
      <c r="BT83" s="679">
        <v>233.6</v>
      </c>
      <c r="BU83" s="679">
        <v>243.7</v>
      </c>
      <c r="BV83" s="679">
        <v>254.9</v>
      </c>
      <c r="BW83" s="679">
        <v>261.60000000000002</v>
      </c>
      <c r="BX83" s="679">
        <v>265.89999999999998</v>
      </c>
      <c r="BY83" s="679">
        <v>270.2</v>
      </c>
      <c r="BZ83" s="679">
        <v>271.5</v>
      </c>
      <c r="CA83" s="679">
        <v>271.8</v>
      </c>
      <c r="CB83" s="679">
        <v>277</v>
      </c>
      <c r="CC83" s="679">
        <v>285.8</v>
      </c>
      <c r="CD83" s="679">
        <v>294.8</v>
      </c>
    </row>
    <row r="84" spans="1:82">
      <c r="A84" s="679" t="s">
        <v>999</v>
      </c>
      <c r="B84" s="680" t="s">
        <v>1000</v>
      </c>
      <c r="C84" s="679" t="s">
        <v>277</v>
      </c>
      <c r="D84" s="679" t="s">
        <v>277</v>
      </c>
      <c r="E84" s="679" t="s">
        <v>277</v>
      </c>
      <c r="F84" s="679" t="s">
        <v>277</v>
      </c>
      <c r="G84" s="679" t="s">
        <v>277</v>
      </c>
      <c r="H84" s="679" t="s">
        <v>277</v>
      </c>
      <c r="I84" s="679" t="s">
        <v>277</v>
      </c>
      <c r="J84" s="679" t="s">
        <v>277</v>
      </c>
      <c r="K84" s="679" t="s">
        <v>277</v>
      </c>
      <c r="L84" s="679" t="s">
        <v>277</v>
      </c>
      <c r="M84" s="679" t="s">
        <v>277</v>
      </c>
      <c r="N84" s="679" t="s">
        <v>277</v>
      </c>
      <c r="O84" s="679" t="s">
        <v>277</v>
      </c>
      <c r="P84" s="679" t="s">
        <v>277</v>
      </c>
      <c r="Q84" s="679" t="s">
        <v>277</v>
      </c>
      <c r="R84" s="679" t="s">
        <v>277</v>
      </c>
      <c r="S84" s="679" t="s">
        <v>277</v>
      </c>
      <c r="T84" s="679" t="s">
        <v>277</v>
      </c>
      <c r="U84" s="679" t="s">
        <v>277</v>
      </c>
      <c r="V84" s="679" t="s">
        <v>277</v>
      </c>
      <c r="W84" s="679">
        <v>-7.9</v>
      </c>
      <c r="X84" s="679">
        <v>-14.7</v>
      </c>
      <c r="Y84" s="679">
        <v>-16.3</v>
      </c>
      <c r="Z84" s="679">
        <v>-12.3</v>
      </c>
      <c r="AA84" s="679">
        <v>-16.899999999999999</v>
      </c>
      <c r="AB84" s="679">
        <v>-13.9</v>
      </c>
      <c r="AC84" s="679">
        <v>-18</v>
      </c>
      <c r="AD84" s="679">
        <v>-30</v>
      </c>
      <c r="AE84" s="679">
        <v>-22.7</v>
      </c>
      <c r="AF84" s="679">
        <v>-12.5</v>
      </c>
      <c r="AG84" s="679">
        <v>-39</v>
      </c>
      <c r="AH84" s="679">
        <v>-50.6</v>
      </c>
      <c r="AI84" s="679">
        <v>-48.1</v>
      </c>
      <c r="AJ84" s="679">
        <v>-35.299999999999997</v>
      </c>
      <c r="AK84" s="679">
        <v>-39.1</v>
      </c>
      <c r="AL84" s="679">
        <v>-103.4</v>
      </c>
      <c r="AM84" s="679">
        <v>-86.6</v>
      </c>
      <c r="AN84" s="679">
        <v>-80</v>
      </c>
      <c r="AO84" s="679">
        <v>-73.2</v>
      </c>
      <c r="AP84" s="679">
        <v>-60.7</v>
      </c>
      <c r="AQ84" s="679">
        <v>-104.8</v>
      </c>
      <c r="AR84" s="679">
        <v>-104.3</v>
      </c>
      <c r="AS84" s="679">
        <v>-185.4</v>
      </c>
      <c r="AT84" s="679">
        <v>-233.3</v>
      </c>
      <c r="AU84" s="679">
        <v>-229.4</v>
      </c>
      <c r="AV84" s="679">
        <v>-246.8</v>
      </c>
      <c r="AW84" s="679">
        <v>-264.3</v>
      </c>
      <c r="AX84" s="679">
        <v>-219.5</v>
      </c>
      <c r="AY84" s="679">
        <v>-201</v>
      </c>
      <c r="AZ84" s="679">
        <v>-194.3</v>
      </c>
      <c r="BA84" s="679">
        <v>-243.8</v>
      </c>
      <c r="BB84" s="679">
        <v>-280.8</v>
      </c>
      <c r="BC84" s="679">
        <v>-359.2</v>
      </c>
      <c r="BD84" s="679">
        <v>-328.7</v>
      </c>
      <c r="BE84" s="679">
        <v>-261.7</v>
      </c>
      <c r="BF84" s="679">
        <v>-241.3</v>
      </c>
      <c r="BG84" s="679">
        <v>-181.7</v>
      </c>
      <c r="BH84" s="679">
        <v>-81.2</v>
      </c>
      <c r="BI84" s="679">
        <v>11.4</v>
      </c>
      <c r="BJ84" s="679">
        <v>63.6</v>
      </c>
      <c r="BK84" s="679">
        <v>152.9</v>
      </c>
      <c r="BL84" s="679">
        <v>1.5</v>
      </c>
      <c r="BM84" s="679">
        <v>-310.89999999999998</v>
      </c>
      <c r="BN84" s="679">
        <v>-467.2</v>
      </c>
      <c r="BO84" s="679">
        <v>-467.5</v>
      </c>
      <c r="BP84" s="679">
        <v>-396</v>
      </c>
      <c r="BQ84" s="679">
        <v>-290.89999999999998</v>
      </c>
      <c r="BR84" s="679">
        <v>-353</v>
      </c>
      <c r="BS84" s="679">
        <v>-774.2</v>
      </c>
      <c r="BT84" s="679">
        <v>-1475.3</v>
      </c>
      <c r="BU84" s="679">
        <v>-1504</v>
      </c>
      <c r="BV84" s="679">
        <v>-1395.6</v>
      </c>
      <c r="BW84" s="679">
        <v>-1187.3</v>
      </c>
      <c r="BX84" s="679">
        <v>-697.3</v>
      </c>
      <c r="BY84" s="679">
        <v>-653.20000000000005</v>
      </c>
      <c r="BZ84" s="679">
        <v>-584.4</v>
      </c>
      <c r="CA84" s="679">
        <v>-717</v>
      </c>
      <c r="CB84" s="679">
        <v>-540</v>
      </c>
      <c r="CC84" s="679">
        <v>-1000.6</v>
      </c>
      <c r="CD84" s="679">
        <v>-1137.4000000000001</v>
      </c>
    </row>
    <row r="85" spans="1:82" ht="15.75">
      <c r="A85" s="831" t="s">
        <v>1001</v>
      </c>
      <c r="B85" s="828"/>
      <c r="C85" s="828"/>
      <c r="D85" s="828"/>
      <c r="E85" s="828"/>
      <c r="F85" s="828"/>
      <c r="G85" s="828"/>
      <c r="H85" s="828"/>
      <c r="I85" s="828"/>
      <c r="J85" s="828"/>
      <c r="K85" s="828"/>
      <c r="L85" s="828"/>
      <c r="M85" s="828"/>
      <c r="N85" s="828"/>
      <c r="O85" s="828"/>
      <c r="P85" s="828"/>
      <c r="Q85" s="828"/>
      <c r="R85" s="828"/>
      <c r="S85" s="828"/>
      <c r="T85" s="828"/>
      <c r="U85" s="828"/>
      <c r="V85" s="828"/>
      <c r="W85" s="828"/>
      <c r="X85" s="828"/>
      <c r="Y85" s="828"/>
      <c r="Z85" s="828"/>
      <c r="AA85" s="828"/>
      <c r="AB85" s="828"/>
      <c r="AC85" s="828"/>
      <c r="AD85" s="828"/>
      <c r="AE85" s="828"/>
      <c r="AF85" s="828"/>
      <c r="AG85" s="828"/>
      <c r="AH85" s="828"/>
      <c r="AI85" s="828"/>
      <c r="AJ85" s="828"/>
      <c r="AK85" s="828"/>
      <c r="AL85" s="828"/>
      <c r="AM85" s="828"/>
      <c r="AN85" s="828"/>
      <c r="AO85" s="828"/>
      <c r="AP85" s="828"/>
      <c r="AQ85" s="828"/>
      <c r="AR85" s="828"/>
      <c r="AS85" s="828"/>
      <c r="AT85" s="828"/>
      <c r="AU85" s="828"/>
      <c r="AV85" s="828"/>
      <c r="AW85" s="828"/>
      <c r="AX85" s="828"/>
      <c r="AY85" s="828"/>
      <c r="AZ85" s="828"/>
      <c r="BA85" s="828"/>
      <c r="BB85" s="828"/>
      <c r="BC85" s="828"/>
      <c r="BD85" s="828"/>
      <c r="BE85" s="828"/>
      <c r="BF85" s="828"/>
      <c r="BG85" s="828"/>
      <c r="BH85" s="828"/>
      <c r="BI85" s="828"/>
      <c r="BJ85" s="828"/>
      <c r="BK85" s="828"/>
      <c r="BL85" s="828"/>
      <c r="BM85" s="828"/>
      <c r="BN85" s="828"/>
      <c r="BO85" s="828"/>
      <c r="BP85" s="828"/>
      <c r="BQ85" s="828"/>
      <c r="BR85" s="828"/>
      <c r="BS85" s="828"/>
      <c r="BT85" s="828"/>
      <c r="BU85" s="828"/>
      <c r="BV85" s="828"/>
      <c r="BW85" s="828"/>
      <c r="BX85" s="828"/>
      <c r="BY85" s="828"/>
      <c r="BZ85" s="828"/>
      <c r="CA85" s="828"/>
      <c r="CB85" s="828"/>
      <c r="CC85" s="828"/>
      <c r="CD85" s="828"/>
    </row>
    <row r="86" spans="1:82">
      <c r="A86" s="830" t="s">
        <v>1002</v>
      </c>
      <c r="B86" s="828"/>
      <c r="C86" s="828"/>
      <c r="D86" s="828"/>
      <c r="E86" s="828"/>
      <c r="F86" s="828"/>
      <c r="G86" s="828"/>
      <c r="H86" s="828"/>
      <c r="I86" s="828"/>
      <c r="J86" s="828"/>
      <c r="K86" s="828"/>
      <c r="L86" s="828"/>
      <c r="M86" s="828"/>
      <c r="N86" s="828"/>
      <c r="O86" s="828"/>
      <c r="P86" s="828"/>
      <c r="Q86" s="828"/>
      <c r="R86" s="828"/>
      <c r="S86" s="828"/>
      <c r="T86" s="828"/>
      <c r="U86" s="828"/>
      <c r="V86" s="828"/>
      <c r="W86" s="828"/>
      <c r="X86" s="828"/>
      <c r="Y86" s="828"/>
      <c r="Z86" s="828"/>
      <c r="AA86" s="828"/>
      <c r="AB86" s="828"/>
      <c r="AC86" s="828"/>
      <c r="AD86" s="828"/>
      <c r="AE86" s="828"/>
      <c r="AF86" s="828"/>
      <c r="AG86" s="828"/>
      <c r="AH86" s="828"/>
      <c r="AI86" s="828"/>
      <c r="AJ86" s="828"/>
      <c r="AK86" s="828"/>
      <c r="AL86" s="828"/>
      <c r="AM86" s="828"/>
      <c r="AN86" s="828"/>
      <c r="AO86" s="828"/>
      <c r="AP86" s="828"/>
      <c r="AQ86" s="828"/>
      <c r="AR86" s="828"/>
      <c r="AS86" s="828"/>
      <c r="AT86" s="828"/>
      <c r="AU86" s="828"/>
      <c r="AV86" s="828"/>
      <c r="AW86" s="828"/>
      <c r="AX86" s="828"/>
      <c r="AY86" s="828"/>
      <c r="AZ86" s="828"/>
      <c r="BA86" s="828"/>
      <c r="BB86" s="828"/>
      <c r="BC86" s="828"/>
      <c r="BD86" s="828"/>
      <c r="BE86" s="828"/>
      <c r="BF86" s="828"/>
      <c r="BG86" s="828"/>
      <c r="BH86" s="828"/>
      <c r="BI86" s="828"/>
      <c r="BJ86" s="828"/>
      <c r="BK86" s="828"/>
      <c r="BL86" s="828"/>
      <c r="BM86" s="828"/>
      <c r="BN86" s="828"/>
      <c r="BO86" s="828"/>
      <c r="BP86" s="828"/>
      <c r="BQ86" s="828"/>
      <c r="BR86" s="828"/>
      <c r="BS86" s="828"/>
      <c r="BT86" s="828"/>
      <c r="BU86" s="828"/>
      <c r="BV86" s="828"/>
      <c r="BW86" s="828"/>
      <c r="BX86" s="828"/>
      <c r="BY86" s="828"/>
      <c r="BZ86" s="828"/>
      <c r="CA86" s="828"/>
      <c r="CB86" s="828"/>
      <c r="CC86" s="828"/>
      <c r="CD86" s="828"/>
    </row>
    <row r="87" spans="1:82">
      <c r="A87" s="830" t="s">
        <v>1003</v>
      </c>
      <c r="B87" s="828"/>
      <c r="C87" s="828"/>
      <c r="D87" s="828"/>
      <c r="E87" s="828"/>
      <c r="F87" s="828"/>
      <c r="G87" s="828"/>
      <c r="H87" s="828"/>
      <c r="I87" s="828"/>
      <c r="J87" s="828"/>
      <c r="K87" s="828"/>
      <c r="L87" s="828"/>
      <c r="M87" s="828"/>
      <c r="N87" s="828"/>
      <c r="O87" s="828"/>
      <c r="P87" s="828"/>
      <c r="Q87" s="828"/>
      <c r="R87" s="828"/>
      <c r="S87" s="828"/>
      <c r="T87" s="828"/>
      <c r="U87" s="828"/>
      <c r="V87" s="828"/>
      <c r="W87" s="828"/>
      <c r="X87" s="828"/>
      <c r="Y87" s="828"/>
      <c r="Z87" s="828"/>
      <c r="AA87" s="828"/>
      <c r="AB87" s="828"/>
      <c r="AC87" s="828"/>
      <c r="AD87" s="828"/>
      <c r="AE87" s="828"/>
      <c r="AF87" s="828"/>
      <c r="AG87" s="828"/>
      <c r="AH87" s="828"/>
      <c r="AI87" s="828"/>
      <c r="AJ87" s="828"/>
      <c r="AK87" s="828"/>
      <c r="AL87" s="828"/>
      <c r="AM87" s="828"/>
      <c r="AN87" s="828"/>
      <c r="AO87" s="828"/>
      <c r="AP87" s="828"/>
      <c r="AQ87" s="828"/>
      <c r="AR87" s="828"/>
      <c r="AS87" s="828"/>
      <c r="AT87" s="828"/>
      <c r="AU87" s="828"/>
      <c r="AV87" s="828"/>
      <c r="AW87" s="828"/>
      <c r="AX87" s="828"/>
      <c r="AY87" s="828"/>
      <c r="AZ87" s="828"/>
      <c r="BA87" s="828"/>
      <c r="BB87" s="828"/>
      <c r="BC87" s="828"/>
      <c r="BD87" s="828"/>
      <c r="BE87" s="828"/>
      <c r="BF87" s="828"/>
      <c r="BG87" s="828"/>
      <c r="BH87" s="828"/>
      <c r="BI87" s="828"/>
      <c r="BJ87" s="828"/>
      <c r="BK87" s="828"/>
      <c r="BL87" s="828"/>
      <c r="BM87" s="828"/>
      <c r="BN87" s="828"/>
      <c r="BO87" s="828"/>
      <c r="BP87" s="828"/>
      <c r="BQ87" s="828"/>
      <c r="BR87" s="828"/>
      <c r="BS87" s="828"/>
      <c r="BT87" s="828"/>
      <c r="BU87" s="828"/>
      <c r="BV87" s="828"/>
      <c r="BW87" s="828"/>
      <c r="BX87" s="828"/>
      <c r="BY87" s="828"/>
      <c r="BZ87" s="828"/>
      <c r="CA87" s="828"/>
      <c r="CB87" s="828"/>
      <c r="CC87" s="828"/>
      <c r="CD87" s="828"/>
    </row>
    <row r="88" spans="1:82">
      <c r="A88" s="830" t="s">
        <v>1004</v>
      </c>
      <c r="B88" s="828"/>
      <c r="C88" s="828"/>
      <c r="D88" s="828"/>
      <c r="E88" s="828"/>
      <c r="F88" s="828"/>
      <c r="G88" s="828"/>
      <c r="H88" s="828"/>
      <c r="I88" s="828"/>
      <c r="J88" s="828"/>
      <c r="K88" s="828"/>
      <c r="L88" s="828"/>
      <c r="M88" s="828"/>
      <c r="N88" s="828"/>
      <c r="O88" s="828"/>
      <c r="P88" s="828"/>
      <c r="Q88" s="828"/>
      <c r="R88" s="828"/>
      <c r="S88" s="828"/>
      <c r="T88" s="828"/>
      <c r="U88" s="828"/>
      <c r="V88" s="828"/>
      <c r="W88" s="828"/>
      <c r="X88" s="828"/>
      <c r="Y88" s="828"/>
      <c r="Z88" s="828"/>
      <c r="AA88" s="828"/>
      <c r="AB88" s="828"/>
      <c r="AC88" s="828"/>
      <c r="AD88" s="828"/>
      <c r="AE88" s="828"/>
      <c r="AF88" s="828"/>
      <c r="AG88" s="828"/>
      <c r="AH88" s="828"/>
      <c r="AI88" s="828"/>
      <c r="AJ88" s="828"/>
      <c r="AK88" s="828"/>
      <c r="AL88" s="828"/>
      <c r="AM88" s="828"/>
      <c r="AN88" s="828"/>
      <c r="AO88" s="828"/>
      <c r="AP88" s="828"/>
      <c r="AQ88" s="828"/>
      <c r="AR88" s="828"/>
      <c r="AS88" s="828"/>
      <c r="AT88" s="828"/>
      <c r="AU88" s="828"/>
      <c r="AV88" s="828"/>
      <c r="AW88" s="828"/>
      <c r="AX88" s="828"/>
      <c r="AY88" s="828"/>
      <c r="AZ88" s="828"/>
      <c r="BA88" s="828"/>
      <c r="BB88" s="828"/>
      <c r="BC88" s="828"/>
      <c r="BD88" s="828"/>
      <c r="BE88" s="828"/>
      <c r="BF88" s="828"/>
      <c r="BG88" s="828"/>
      <c r="BH88" s="828"/>
      <c r="BI88" s="828"/>
      <c r="BJ88" s="828"/>
      <c r="BK88" s="828"/>
      <c r="BL88" s="828"/>
      <c r="BM88" s="828"/>
      <c r="BN88" s="828"/>
      <c r="BO88" s="828"/>
      <c r="BP88" s="828"/>
      <c r="BQ88" s="828"/>
      <c r="BR88" s="828"/>
      <c r="BS88" s="828"/>
      <c r="BT88" s="828"/>
      <c r="BU88" s="828"/>
      <c r="BV88" s="828"/>
      <c r="BW88" s="828"/>
      <c r="BX88" s="828"/>
      <c r="BY88" s="828"/>
      <c r="BZ88" s="828"/>
      <c r="CA88" s="828"/>
      <c r="CB88" s="828"/>
      <c r="CC88" s="828"/>
      <c r="CD88" s="828"/>
    </row>
    <row r="89" spans="1:82">
      <c r="A89" s="830" t="s">
        <v>1005</v>
      </c>
      <c r="B89" s="828"/>
      <c r="C89" s="828"/>
      <c r="D89" s="828"/>
      <c r="E89" s="828"/>
      <c r="F89" s="828"/>
      <c r="G89" s="828"/>
      <c r="H89" s="828"/>
      <c r="I89" s="828"/>
      <c r="J89" s="828"/>
      <c r="K89" s="828"/>
      <c r="L89" s="828"/>
      <c r="M89" s="828"/>
      <c r="N89" s="828"/>
      <c r="O89" s="828"/>
      <c r="P89" s="828"/>
      <c r="Q89" s="828"/>
      <c r="R89" s="828"/>
      <c r="S89" s="828"/>
      <c r="T89" s="828"/>
      <c r="U89" s="828"/>
      <c r="V89" s="828"/>
      <c r="W89" s="828"/>
      <c r="X89" s="828"/>
      <c r="Y89" s="828"/>
      <c r="Z89" s="828"/>
      <c r="AA89" s="828"/>
      <c r="AB89" s="828"/>
      <c r="AC89" s="828"/>
      <c r="AD89" s="828"/>
      <c r="AE89" s="828"/>
      <c r="AF89" s="828"/>
      <c r="AG89" s="828"/>
      <c r="AH89" s="828"/>
      <c r="AI89" s="828"/>
      <c r="AJ89" s="828"/>
      <c r="AK89" s="828"/>
      <c r="AL89" s="828"/>
      <c r="AM89" s="828"/>
      <c r="AN89" s="828"/>
      <c r="AO89" s="828"/>
      <c r="AP89" s="828"/>
      <c r="AQ89" s="828"/>
      <c r="AR89" s="828"/>
      <c r="AS89" s="828"/>
      <c r="AT89" s="828"/>
      <c r="AU89" s="828"/>
      <c r="AV89" s="828"/>
      <c r="AW89" s="828"/>
      <c r="AX89" s="828"/>
      <c r="AY89" s="828"/>
      <c r="AZ89" s="828"/>
      <c r="BA89" s="828"/>
      <c r="BB89" s="828"/>
      <c r="BC89" s="828"/>
      <c r="BD89" s="828"/>
      <c r="BE89" s="828"/>
      <c r="BF89" s="828"/>
      <c r="BG89" s="828"/>
      <c r="BH89" s="828"/>
      <c r="BI89" s="828"/>
      <c r="BJ89" s="828"/>
      <c r="BK89" s="828"/>
      <c r="BL89" s="828"/>
      <c r="BM89" s="828"/>
      <c r="BN89" s="828"/>
      <c r="BO89" s="828"/>
      <c r="BP89" s="828"/>
      <c r="BQ89" s="828"/>
      <c r="BR89" s="828"/>
      <c r="BS89" s="828"/>
      <c r="BT89" s="828"/>
      <c r="BU89" s="828"/>
      <c r="BV89" s="828"/>
      <c r="BW89" s="828"/>
      <c r="BX89" s="828"/>
      <c r="BY89" s="828"/>
      <c r="BZ89" s="828"/>
      <c r="CA89" s="828"/>
      <c r="CB89" s="828"/>
      <c r="CC89" s="828"/>
      <c r="CD89" s="828"/>
    </row>
    <row r="90" spans="1:82">
      <c r="A90" s="830" t="s">
        <v>1006</v>
      </c>
      <c r="B90" s="828"/>
      <c r="C90" s="828"/>
      <c r="D90" s="828"/>
      <c r="E90" s="828"/>
      <c r="F90" s="828"/>
      <c r="G90" s="828"/>
      <c r="H90" s="828"/>
      <c r="I90" s="828"/>
      <c r="J90" s="828"/>
      <c r="K90" s="828"/>
      <c r="L90" s="828"/>
      <c r="M90" s="828"/>
      <c r="N90" s="828"/>
      <c r="O90" s="828"/>
      <c r="P90" s="828"/>
      <c r="Q90" s="828"/>
      <c r="R90" s="828"/>
      <c r="S90" s="828"/>
      <c r="T90" s="828"/>
      <c r="U90" s="828"/>
      <c r="V90" s="828"/>
      <c r="W90" s="828"/>
      <c r="X90" s="828"/>
      <c r="Y90" s="828"/>
      <c r="Z90" s="828"/>
      <c r="AA90" s="828"/>
      <c r="AB90" s="828"/>
      <c r="AC90" s="828"/>
      <c r="AD90" s="828"/>
      <c r="AE90" s="828"/>
      <c r="AF90" s="828"/>
      <c r="AG90" s="828"/>
      <c r="AH90" s="828"/>
      <c r="AI90" s="828"/>
      <c r="AJ90" s="828"/>
      <c r="AK90" s="828"/>
      <c r="AL90" s="828"/>
      <c r="AM90" s="828"/>
      <c r="AN90" s="828"/>
      <c r="AO90" s="828"/>
      <c r="AP90" s="828"/>
      <c r="AQ90" s="828"/>
      <c r="AR90" s="828"/>
      <c r="AS90" s="828"/>
      <c r="AT90" s="828"/>
      <c r="AU90" s="828"/>
      <c r="AV90" s="828"/>
      <c r="AW90" s="828"/>
      <c r="AX90" s="828"/>
      <c r="AY90" s="828"/>
      <c r="AZ90" s="828"/>
      <c r="BA90" s="828"/>
      <c r="BB90" s="828"/>
      <c r="BC90" s="828"/>
      <c r="BD90" s="828"/>
      <c r="BE90" s="828"/>
      <c r="BF90" s="828"/>
      <c r="BG90" s="828"/>
      <c r="BH90" s="828"/>
      <c r="BI90" s="828"/>
      <c r="BJ90" s="828"/>
      <c r="BK90" s="828"/>
      <c r="BL90" s="828"/>
      <c r="BM90" s="828"/>
      <c r="BN90" s="828"/>
      <c r="BO90" s="828"/>
      <c r="BP90" s="828"/>
      <c r="BQ90" s="828"/>
      <c r="BR90" s="828"/>
      <c r="BS90" s="828"/>
      <c r="BT90" s="828"/>
      <c r="BU90" s="828"/>
      <c r="BV90" s="828"/>
      <c r="BW90" s="828"/>
      <c r="BX90" s="828"/>
      <c r="BY90" s="828"/>
      <c r="BZ90" s="828"/>
      <c r="CA90" s="828"/>
      <c r="CB90" s="828"/>
      <c r="CC90" s="828"/>
      <c r="CD90" s="828"/>
    </row>
    <row r="91" spans="1:82">
      <c r="A91" s="830" t="s">
        <v>1007</v>
      </c>
      <c r="B91" s="828"/>
      <c r="C91" s="828"/>
      <c r="D91" s="828"/>
      <c r="E91" s="828"/>
      <c r="F91" s="828"/>
      <c r="G91" s="828"/>
      <c r="H91" s="828"/>
      <c r="I91" s="828"/>
      <c r="J91" s="828"/>
      <c r="K91" s="828"/>
      <c r="L91" s="828"/>
      <c r="M91" s="828"/>
      <c r="N91" s="828"/>
      <c r="O91" s="828"/>
      <c r="P91" s="828"/>
      <c r="Q91" s="828"/>
      <c r="R91" s="828"/>
      <c r="S91" s="828"/>
      <c r="T91" s="828"/>
      <c r="U91" s="828"/>
      <c r="V91" s="828"/>
      <c r="W91" s="828"/>
      <c r="X91" s="828"/>
      <c r="Y91" s="828"/>
      <c r="Z91" s="828"/>
      <c r="AA91" s="828"/>
      <c r="AB91" s="828"/>
      <c r="AC91" s="828"/>
      <c r="AD91" s="828"/>
      <c r="AE91" s="828"/>
      <c r="AF91" s="828"/>
      <c r="AG91" s="828"/>
      <c r="AH91" s="828"/>
      <c r="AI91" s="828"/>
      <c r="AJ91" s="828"/>
      <c r="AK91" s="828"/>
      <c r="AL91" s="828"/>
      <c r="AM91" s="828"/>
      <c r="AN91" s="828"/>
      <c r="AO91" s="828"/>
      <c r="AP91" s="828"/>
      <c r="AQ91" s="828"/>
      <c r="AR91" s="828"/>
      <c r="AS91" s="828"/>
      <c r="AT91" s="828"/>
      <c r="AU91" s="828"/>
      <c r="AV91" s="828"/>
      <c r="AW91" s="828"/>
      <c r="AX91" s="828"/>
      <c r="AY91" s="828"/>
      <c r="AZ91" s="828"/>
      <c r="BA91" s="828"/>
      <c r="BB91" s="828"/>
      <c r="BC91" s="828"/>
      <c r="BD91" s="828"/>
      <c r="BE91" s="828"/>
      <c r="BF91" s="828"/>
      <c r="BG91" s="828"/>
      <c r="BH91" s="828"/>
      <c r="BI91" s="828"/>
      <c r="BJ91" s="828"/>
      <c r="BK91" s="828"/>
      <c r="BL91" s="828"/>
      <c r="BM91" s="828"/>
      <c r="BN91" s="828"/>
      <c r="BO91" s="828"/>
      <c r="BP91" s="828"/>
      <c r="BQ91" s="828"/>
      <c r="BR91" s="828"/>
      <c r="BS91" s="828"/>
      <c r="BT91" s="828"/>
      <c r="BU91" s="828"/>
      <c r="BV91" s="828"/>
      <c r="BW91" s="828"/>
      <c r="BX91" s="828"/>
      <c r="BY91" s="828"/>
      <c r="BZ91" s="828"/>
      <c r="CA91" s="828"/>
      <c r="CB91" s="828"/>
      <c r="CC91" s="828"/>
      <c r="CD91" s="828"/>
    </row>
    <row r="92" spans="1:82">
      <c r="A92" s="830" t="s">
        <v>1008</v>
      </c>
      <c r="B92" s="828"/>
      <c r="C92" s="828"/>
      <c r="D92" s="828"/>
      <c r="E92" s="828"/>
      <c r="F92" s="828"/>
      <c r="G92" s="828"/>
      <c r="H92" s="828"/>
      <c r="I92" s="828"/>
      <c r="J92" s="828"/>
      <c r="K92" s="828"/>
      <c r="L92" s="828"/>
      <c r="M92" s="828"/>
      <c r="N92" s="828"/>
      <c r="O92" s="828"/>
      <c r="P92" s="828"/>
      <c r="Q92" s="828"/>
      <c r="R92" s="828"/>
      <c r="S92" s="828"/>
      <c r="T92" s="828"/>
      <c r="U92" s="828"/>
      <c r="V92" s="828"/>
      <c r="W92" s="828"/>
      <c r="X92" s="828"/>
      <c r="Y92" s="828"/>
      <c r="Z92" s="828"/>
      <c r="AA92" s="828"/>
      <c r="AB92" s="828"/>
      <c r="AC92" s="828"/>
      <c r="AD92" s="828"/>
      <c r="AE92" s="828"/>
      <c r="AF92" s="828"/>
      <c r="AG92" s="828"/>
      <c r="AH92" s="828"/>
      <c r="AI92" s="828"/>
      <c r="AJ92" s="828"/>
      <c r="AK92" s="828"/>
      <c r="AL92" s="828"/>
      <c r="AM92" s="828"/>
      <c r="AN92" s="828"/>
      <c r="AO92" s="828"/>
      <c r="AP92" s="828"/>
      <c r="AQ92" s="828"/>
      <c r="AR92" s="828"/>
      <c r="AS92" s="828"/>
      <c r="AT92" s="828"/>
      <c r="AU92" s="828"/>
      <c r="AV92" s="828"/>
      <c r="AW92" s="828"/>
      <c r="AX92" s="828"/>
      <c r="AY92" s="828"/>
      <c r="AZ92" s="828"/>
      <c r="BA92" s="828"/>
      <c r="BB92" s="828"/>
      <c r="BC92" s="828"/>
      <c r="BD92" s="828"/>
      <c r="BE92" s="828"/>
      <c r="BF92" s="828"/>
      <c r="BG92" s="828"/>
      <c r="BH92" s="828"/>
      <c r="BI92" s="828"/>
      <c r="BJ92" s="828"/>
      <c r="BK92" s="828"/>
      <c r="BL92" s="828"/>
      <c r="BM92" s="828"/>
      <c r="BN92" s="828"/>
      <c r="BO92" s="828"/>
      <c r="BP92" s="828"/>
      <c r="BQ92" s="828"/>
      <c r="BR92" s="828"/>
      <c r="BS92" s="828"/>
      <c r="BT92" s="828"/>
      <c r="BU92" s="828"/>
      <c r="BV92" s="828"/>
      <c r="BW92" s="828"/>
      <c r="BX92" s="828"/>
      <c r="BY92" s="828"/>
      <c r="BZ92" s="828"/>
      <c r="CA92" s="828"/>
      <c r="CB92" s="828"/>
      <c r="CC92" s="828"/>
      <c r="CD92" s="828"/>
    </row>
    <row r="93" spans="1:82">
      <c r="A93" s="830" t="s">
        <v>1009</v>
      </c>
      <c r="B93" s="828"/>
      <c r="C93" s="828"/>
      <c r="D93" s="828"/>
      <c r="E93" s="828"/>
      <c r="F93" s="828"/>
      <c r="G93" s="828"/>
      <c r="H93" s="828"/>
      <c r="I93" s="828"/>
      <c r="J93" s="828"/>
      <c r="K93" s="828"/>
      <c r="L93" s="828"/>
      <c r="M93" s="828"/>
      <c r="N93" s="828"/>
      <c r="O93" s="828"/>
      <c r="P93" s="828"/>
      <c r="Q93" s="828"/>
      <c r="R93" s="828"/>
      <c r="S93" s="828"/>
      <c r="T93" s="828"/>
      <c r="U93" s="828"/>
      <c r="V93" s="828"/>
      <c r="W93" s="828"/>
      <c r="X93" s="828"/>
      <c r="Y93" s="828"/>
      <c r="Z93" s="828"/>
      <c r="AA93" s="828"/>
      <c r="AB93" s="828"/>
      <c r="AC93" s="828"/>
      <c r="AD93" s="828"/>
      <c r="AE93" s="828"/>
      <c r="AF93" s="828"/>
      <c r="AG93" s="828"/>
      <c r="AH93" s="828"/>
      <c r="AI93" s="828"/>
      <c r="AJ93" s="828"/>
      <c r="AK93" s="828"/>
      <c r="AL93" s="828"/>
      <c r="AM93" s="828"/>
      <c r="AN93" s="828"/>
      <c r="AO93" s="828"/>
      <c r="AP93" s="828"/>
      <c r="AQ93" s="828"/>
      <c r="AR93" s="828"/>
      <c r="AS93" s="828"/>
      <c r="AT93" s="828"/>
      <c r="AU93" s="828"/>
      <c r="AV93" s="828"/>
      <c r="AW93" s="828"/>
      <c r="AX93" s="828"/>
      <c r="AY93" s="828"/>
      <c r="AZ93" s="828"/>
      <c r="BA93" s="828"/>
      <c r="BB93" s="828"/>
      <c r="BC93" s="828"/>
      <c r="BD93" s="828"/>
      <c r="BE93" s="828"/>
      <c r="BF93" s="828"/>
      <c r="BG93" s="828"/>
      <c r="BH93" s="828"/>
      <c r="BI93" s="828"/>
      <c r="BJ93" s="828"/>
      <c r="BK93" s="828"/>
      <c r="BL93" s="828"/>
      <c r="BM93" s="828"/>
      <c r="BN93" s="828"/>
      <c r="BO93" s="828"/>
      <c r="BP93" s="828"/>
      <c r="BQ93" s="828"/>
      <c r="BR93" s="828"/>
      <c r="BS93" s="828"/>
      <c r="BT93" s="828"/>
      <c r="BU93" s="828"/>
      <c r="BV93" s="828"/>
      <c r="BW93" s="828"/>
      <c r="BX93" s="828"/>
      <c r="BY93" s="828"/>
      <c r="BZ93" s="828"/>
      <c r="CA93" s="828"/>
      <c r="CB93" s="828"/>
      <c r="CC93" s="828"/>
      <c r="CD93" s="828"/>
    </row>
  </sheetData>
  <mergeCells count="95">
    <mergeCell ref="A93:CD93"/>
    <mergeCell ref="A87:CD87"/>
    <mergeCell ref="A88:CD88"/>
    <mergeCell ref="A89:CD89"/>
    <mergeCell ref="A90:CD90"/>
    <mergeCell ref="A91:CD91"/>
    <mergeCell ref="A92:CD92"/>
    <mergeCell ref="CA33"/>
    <mergeCell ref="CB33"/>
    <mergeCell ref="CC33"/>
    <mergeCell ref="CD33"/>
    <mergeCell ref="A85:CD85"/>
    <mergeCell ref="BL33"/>
    <mergeCell ref="BM33"/>
    <mergeCell ref="BN33"/>
    <mergeCell ref="BC33"/>
    <mergeCell ref="BD33"/>
    <mergeCell ref="BE33"/>
    <mergeCell ref="BF33"/>
    <mergeCell ref="BG33"/>
    <mergeCell ref="BH33"/>
    <mergeCell ref="AW33"/>
    <mergeCell ref="AX33"/>
    <mergeCell ref="A86:CD86"/>
    <mergeCell ref="BU33"/>
    <mergeCell ref="BV33"/>
    <mergeCell ref="BW33"/>
    <mergeCell ref="BX33"/>
    <mergeCell ref="BY33"/>
    <mergeCell ref="BZ33"/>
    <mergeCell ref="BO33"/>
    <mergeCell ref="BP33"/>
    <mergeCell ref="BQ33"/>
    <mergeCell ref="BR33"/>
    <mergeCell ref="BS33"/>
    <mergeCell ref="BT33"/>
    <mergeCell ref="BI33"/>
    <mergeCell ref="BJ33"/>
    <mergeCell ref="BK33"/>
    <mergeCell ref="AY33"/>
    <mergeCell ref="AZ33"/>
    <mergeCell ref="BA33"/>
    <mergeCell ref="BB33"/>
    <mergeCell ref="AQ33"/>
    <mergeCell ref="AR33"/>
    <mergeCell ref="AS33"/>
    <mergeCell ref="AT33"/>
    <mergeCell ref="AU33"/>
    <mergeCell ref="AV33"/>
    <mergeCell ref="AP33"/>
    <mergeCell ref="AE33"/>
    <mergeCell ref="AF33"/>
    <mergeCell ref="AG33"/>
    <mergeCell ref="AH33"/>
    <mergeCell ref="AI33"/>
    <mergeCell ref="AJ33"/>
    <mergeCell ref="AK33"/>
    <mergeCell ref="AL33"/>
    <mergeCell ref="AM33"/>
    <mergeCell ref="AN33"/>
    <mergeCell ref="AO33"/>
    <mergeCell ref="Q33"/>
    <mergeCell ref="AD33"/>
    <mergeCell ref="S33"/>
    <mergeCell ref="T33"/>
    <mergeCell ref="U33"/>
    <mergeCell ref="V33"/>
    <mergeCell ref="W33"/>
    <mergeCell ref="X33"/>
    <mergeCell ref="Y33"/>
    <mergeCell ref="Z33"/>
    <mergeCell ref="AA33"/>
    <mergeCell ref="AB33"/>
    <mergeCell ref="AC33"/>
    <mergeCell ref="L33"/>
    <mergeCell ref="M33"/>
    <mergeCell ref="N33"/>
    <mergeCell ref="O33"/>
    <mergeCell ref="P33"/>
    <mergeCell ref="A28:CD28"/>
    <mergeCell ref="A29:CD29"/>
    <mergeCell ref="A30:CD30"/>
    <mergeCell ref="A31:CD31"/>
    <mergeCell ref="A33"/>
    <mergeCell ref="B33"/>
    <mergeCell ref="C33"/>
    <mergeCell ref="D33"/>
    <mergeCell ref="E33"/>
    <mergeCell ref="F33"/>
    <mergeCell ref="R33"/>
    <mergeCell ref="G33"/>
    <mergeCell ref="H33"/>
    <mergeCell ref="I33"/>
    <mergeCell ref="J33"/>
    <mergeCell ref="K33"/>
  </mergeCells>
  <hyperlinks>
    <hyperlink ref="G1" location="Index!A1" display="index" xr:uid="{5E99F7B7-881D-42F3-B6E5-1D53E4729CA4}"/>
  </hyperlinks>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3ADAA-8BCD-4351-9057-1DCBE50D1136}">
  <sheetPr codeName="Sheet21"/>
  <dimension ref="A1:AB98"/>
  <sheetViews>
    <sheetView zoomScale="85" zoomScaleNormal="85" workbookViewId="0"/>
  </sheetViews>
  <sheetFormatPr defaultRowHeight="15"/>
  <cols>
    <col min="2" max="2" width="16.140625" customWidth="1"/>
    <col min="3" max="3" width="1.28515625" customWidth="1"/>
    <col min="4" max="4" width="13.5703125" style="131" customWidth="1"/>
    <col min="5" max="5" width="10.85546875" style="131" customWidth="1"/>
    <col min="6" max="6" width="2.28515625" style="131" customWidth="1"/>
    <col min="7" max="7" width="10.28515625" bestFit="1" customWidth="1"/>
    <col min="8" max="8" width="13.28515625" customWidth="1"/>
    <col min="9" max="9" width="14.42578125" customWidth="1"/>
    <col min="10" max="10" width="10.7109375" customWidth="1"/>
    <col min="11" max="11" width="9.5703125" customWidth="1"/>
    <col min="12" max="12" width="5" style="140" customWidth="1"/>
    <col min="13" max="13" width="17.140625" customWidth="1"/>
    <col min="14" max="14" width="20.5703125" customWidth="1"/>
    <col min="15" max="15" width="18.5703125" customWidth="1"/>
    <col min="16" max="16" width="2.85546875" customWidth="1"/>
    <col min="18" max="18" width="11" customWidth="1"/>
    <col min="19" max="19" width="2.85546875" customWidth="1"/>
    <col min="20" max="20" width="22.42578125" customWidth="1"/>
    <col min="21" max="21" width="3.140625" customWidth="1"/>
    <col min="22" max="22" width="17.28515625" customWidth="1"/>
    <col min="23" max="23" width="21.7109375" style="140" customWidth="1"/>
    <col min="24" max="24" width="20.85546875" customWidth="1"/>
    <col min="25" max="25" width="23.28515625" customWidth="1"/>
  </cols>
  <sheetData>
    <row r="1" spans="1:23" ht="15.75">
      <c r="A1" s="190" t="s">
        <v>665</v>
      </c>
      <c r="I1" s="641" t="s">
        <v>762</v>
      </c>
    </row>
    <row r="2" spans="1:23" s="131" customFormat="1">
      <c r="L2" s="140"/>
      <c r="W2" s="140"/>
    </row>
    <row r="3" spans="1:23" s="131" customFormat="1">
      <c r="L3" s="140"/>
      <c r="W3" s="140"/>
    </row>
    <row r="4" spans="1:23" s="131" customFormat="1">
      <c r="L4" s="140"/>
      <c r="W4" s="140"/>
    </row>
    <row r="5" spans="1:23" s="131" customFormat="1">
      <c r="L5" s="140"/>
      <c r="W5" s="140"/>
    </row>
    <row r="6" spans="1:23" s="131" customFormat="1">
      <c r="L6" s="140"/>
      <c r="W6" s="140"/>
    </row>
    <row r="7" spans="1:23" s="131" customFormat="1">
      <c r="L7" s="140"/>
      <c r="W7" s="140"/>
    </row>
    <row r="8" spans="1:23" s="131" customFormat="1">
      <c r="L8" s="140"/>
      <c r="W8" s="140"/>
    </row>
    <row r="9" spans="1:23" s="131" customFormat="1">
      <c r="L9" s="140"/>
      <c r="W9" s="140"/>
    </row>
    <row r="10" spans="1:23" s="131" customFormat="1">
      <c r="L10" s="140"/>
      <c r="W10" s="140"/>
    </row>
    <row r="11" spans="1:23" s="131" customFormat="1">
      <c r="L11" s="140"/>
      <c r="W11" s="140"/>
    </row>
    <row r="12" spans="1:23" s="131" customFormat="1">
      <c r="L12" s="140"/>
      <c r="W12" s="140"/>
    </row>
    <row r="13" spans="1:23" s="131" customFormat="1">
      <c r="L13" s="140"/>
      <c r="W13" s="140"/>
    </row>
    <row r="14" spans="1:23" s="131" customFormat="1">
      <c r="L14" s="140"/>
      <c r="W14" s="140"/>
    </row>
    <row r="15" spans="1:23" s="131" customFormat="1">
      <c r="L15" s="140"/>
      <c r="W15" s="140"/>
    </row>
    <row r="16" spans="1:23" s="131" customFormat="1">
      <c r="L16" s="140"/>
      <c r="W16" s="140"/>
    </row>
    <row r="17" spans="1:25" s="131" customFormat="1">
      <c r="L17" s="140"/>
      <c r="W17" s="140"/>
    </row>
    <row r="18" spans="1:25" s="131" customFormat="1">
      <c r="L18" s="140"/>
      <c r="W18" s="140"/>
    </row>
    <row r="19" spans="1:25" s="131" customFormat="1">
      <c r="L19" s="140"/>
      <c r="W19" s="140"/>
    </row>
    <row r="20" spans="1:25" s="131" customFormat="1">
      <c r="L20" s="140"/>
      <c r="W20" s="140"/>
    </row>
    <row r="21" spans="1:25" s="131" customFormat="1">
      <c r="L21" s="140"/>
      <c r="W21" s="140"/>
    </row>
    <row r="22" spans="1:25" s="131" customFormat="1">
      <c r="L22" s="140"/>
      <c r="W22" s="140"/>
    </row>
    <row r="23" spans="1:25" s="131" customFormat="1">
      <c r="L23" s="140"/>
      <c r="W23" s="140"/>
    </row>
    <row r="24" spans="1:25" s="131" customFormat="1">
      <c r="L24" s="140"/>
      <c r="W24" s="140"/>
    </row>
    <row r="25" spans="1:25" s="131" customFormat="1">
      <c r="L25" s="140"/>
      <c r="W25" s="140"/>
    </row>
    <row r="26" spans="1:25" s="131" customFormat="1">
      <c r="L26" s="140"/>
      <c r="W26" s="140"/>
    </row>
    <row r="27" spans="1:25" s="131" customFormat="1">
      <c r="L27" s="140"/>
      <c r="W27" s="140"/>
    </row>
    <row r="29" spans="1:25">
      <c r="A29" s="603" t="s">
        <v>506</v>
      </c>
    </row>
    <row r="30" spans="1:25">
      <c r="A30" s="603" t="s">
        <v>507</v>
      </c>
    </row>
    <row r="32" spans="1:25">
      <c r="A32" s="191"/>
      <c r="B32" s="191"/>
      <c r="C32" s="191"/>
      <c r="D32" s="191"/>
      <c r="E32" s="191"/>
      <c r="F32" s="191"/>
      <c r="G32" s="191"/>
      <c r="H32" s="191"/>
      <c r="I32" s="191"/>
      <c r="J32" s="191"/>
      <c r="L32" s="191"/>
      <c r="M32" s="191"/>
      <c r="N32" s="191"/>
      <c r="O32" s="191"/>
      <c r="P32" s="191"/>
      <c r="Q32" s="191"/>
      <c r="R32" s="191"/>
      <c r="S32" s="191"/>
      <c r="T32" s="191"/>
      <c r="V32" s="191"/>
      <c r="W32" s="191"/>
      <c r="X32" s="191"/>
      <c r="Y32" s="191"/>
    </row>
    <row r="33" spans="1:28" ht="30.75" customHeight="1">
      <c r="G33" s="721" t="s">
        <v>213</v>
      </c>
      <c r="H33" s="721"/>
      <c r="I33" s="721"/>
      <c r="J33" s="721"/>
      <c r="K33" s="721"/>
      <c r="L33" s="134"/>
      <c r="M33" s="740" t="s">
        <v>818</v>
      </c>
      <c r="N33" s="740"/>
      <c r="O33" s="740"/>
      <c r="P33" s="134"/>
      <c r="Q33" s="739" t="s">
        <v>585</v>
      </c>
      <c r="R33" s="739"/>
      <c r="S33" s="305"/>
      <c r="T33" s="308" t="s">
        <v>586</v>
      </c>
      <c r="U33" s="134"/>
      <c r="V33" s="737" t="s">
        <v>346</v>
      </c>
      <c r="W33" s="737"/>
      <c r="X33" s="737"/>
      <c r="Y33" s="737"/>
    </row>
    <row r="34" spans="1:28" ht="38.25" customHeight="1">
      <c r="A34" s="191"/>
      <c r="B34" s="273" t="s">
        <v>212</v>
      </c>
      <c r="C34" s="191"/>
      <c r="D34" s="273" t="s">
        <v>219</v>
      </c>
      <c r="E34" s="273" t="s">
        <v>220</v>
      </c>
      <c r="F34" s="191"/>
      <c r="G34" s="273" t="s">
        <v>214</v>
      </c>
      <c r="H34" s="273" t="s">
        <v>218</v>
      </c>
      <c r="I34" s="273" t="s">
        <v>215</v>
      </c>
      <c r="J34" s="273" t="s">
        <v>216</v>
      </c>
      <c r="K34" s="273" t="s">
        <v>75</v>
      </c>
      <c r="L34" s="191"/>
      <c r="M34" s="306" t="s">
        <v>819</v>
      </c>
      <c r="N34" s="306" t="s">
        <v>225</v>
      </c>
      <c r="O34" s="306" t="s">
        <v>226</v>
      </c>
      <c r="P34" s="191"/>
      <c r="Q34" s="307" t="s">
        <v>15</v>
      </c>
      <c r="R34" s="307" t="s">
        <v>232</v>
      </c>
      <c r="S34" s="305"/>
      <c r="T34" s="307" t="s">
        <v>232</v>
      </c>
      <c r="U34" s="191"/>
      <c r="V34" s="310" t="s">
        <v>342</v>
      </c>
      <c r="W34" s="310" t="s">
        <v>343</v>
      </c>
      <c r="X34" s="273" t="s">
        <v>344</v>
      </c>
      <c r="Y34" s="273" t="s">
        <v>345</v>
      </c>
    </row>
    <row r="35" spans="1:28" ht="12" customHeight="1">
      <c r="A35" s="167">
        <v>1960</v>
      </c>
      <c r="B35" s="185">
        <v>0.91</v>
      </c>
      <c r="C35" s="4"/>
      <c r="D35" s="188">
        <v>68681</v>
      </c>
      <c r="E35" s="175">
        <v>478.9</v>
      </c>
      <c r="F35" s="4"/>
      <c r="G35" s="176"/>
      <c r="H35" s="187"/>
      <c r="I35" s="187"/>
      <c r="J35" s="187"/>
      <c r="K35" t="s">
        <v>222</v>
      </c>
      <c r="M35" s="189"/>
      <c r="Q35" s="46"/>
      <c r="R35" s="46"/>
      <c r="S35" s="46"/>
      <c r="T35" s="141">
        <v>0.16225464954458724</v>
      </c>
      <c r="U35" s="46"/>
      <c r="V35" s="309">
        <v>18532</v>
      </c>
      <c r="W35" s="311">
        <v>0.90361467238478155</v>
      </c>
      <c r="X35" s="282">
        <f>V35*W35/$E35/1000</f>
        <v>3.4967189619199777E-2</v>
      </c>
      <c r="AB35" s="479"/>
    </row>
    <row r="36" spans="1:28" ht="12" customHeight="1">
      <c r="A36" s="167">
        <v>1961</v>
      </c>
      <c r="B36" s="185">
        <v>0.91</v>
      </c>
      <c r="C36" s="4"/>
      <c r="D36" s="188">
        <v>69997.277539357485</v>
      </c>
      <c r="E36" s="175">
        <v>496</v>
      </c>
      <c r="F36" s="4"/>
      <c r="G36" s="176">
        <v>446</v>
      </c>
      <c r="H36" s="187">
        <v>0.28689999999999999</v>
      </c>
      <c r="I36" s="187">
        <v>6.6595000000000001E-2</v>
      </c>
      <c r="J36" s="187">
        <v>6.0601000000000002E-2</v>
      </c>
      <c r="K36" s="131" t="s">
        <v>221</v>
      </c>
      <c r="M36" s="189">
        <f t="shared" ref="M36:M91" si="0">G36/D36/1000</f>
        <v>6.3716763805453264E-6</v>
      </c>
      <c r="N36" s="189">
        <f>H36/$E36</f>
        <v>5.7842741935483868E-4</v>
      </c>
      <c r="O36" s="189">
        <f>I36/$E36</f>
        <v>1.3426411290322582E-4</v>
      </c>
      <c r="Q36" s="46"/>
      <c r="R36" s="46"/>
      <c r="S36" s="46"/>
      <c r="T36" s="141"/>
      <c r="V36" s="309">
        <v>19154</v>
      </c>
      <c r="W36" s="311">
        <v>0.89786711405620101</v>
      </c>
      <c r="X36" s="282">
        <f t="shared" ref="X36:X90" si="1">V36*W36/$E36/1000</f>
        <v>3.4672876416597734E-2</v>
      </c>
      <c r="AB36" s="479"/>
    </row>
    <row r="37" spans="1:28" ht="12" customHeight="1">
      <c r="A37" s="167">
        <v>1962</v>
      </c>
      <c r="B37" s="185">
        <v>0.91</v>
      </c>
      <c r="C37" s="4"/>
      <c r="D37" s="188">
        <v>71254.48789333165</v>
      </c>
      <c r="E37" s="175">
        <v>533.9</v>
      </c>
      <c r="F37" s="4"/>
      <c r="G37" s="176">
        <v>447</v>
      </c>
      <c r="H37" s="187">
        <v>0.29237600000000002</v>
      </c>
      <c r="I37" s="187">
        <v>6.4447000000000004E-2</v>
      </c>
      <c r="J37" s="187">
        <v>5.8646999999999998E-2</v>
      </c>
      <c r="K37" t="s">
        <v>221</v>
      </c>
      <c r="M37" s="189">
        <f t="shared" si="0"/>
        <v>6.2732890687413456E-6</v>
      </c>
      <c r="N37" s="189">
        <f t="shared" ref="N37:N91" si="2">H37/$E37</f>
        <v>5.4762315040269725E-4</v>
      </c>
      <c r="O37" s="189">
        <f t="shared" ref="O37:O92" si="3">I37/$E37</f>
        <v>1.2070987076231505E-4</v>
      </c>
      <c r="Q37" s="46"/>
      <c r="R37" s="46"/>
      <c r="S37" s="46"/>
      <c r="T37" s="141">
        <v>0.15754037767074094</v>
      </c>
      <c r="V37" s="309">
        <v>24921</v>
      </c>
      <c r="W37" s="311">
        <v>0.89781109608863974</v>
      </c>
      <c r="X37" s="282">
        <f t="shared" si="1"/>
        <v>4.1907380269011037E-2</v>
      </c>
      <c r="Y37" s="7">
        <f>AVERAGE(X35:X39)</f>
        <v>4.0256473323485253E-2</v>
      </c>
      <c r="AB37" s="479"/>
    </row>
    <row r="38" spans="1:28" ht="12" customHeight="1">
      <c r="A38" s="167">
        <v>1963</v>
      </c>
      <c r="B38" s="185">
        <v>0.91</v>
      </c>
      <c r="C38" s="4"/>
      <c r="D38" s="188">
        <v>72464.471041222045</v>
      </c>
      <c r="E38" s="175">
        <v>565.4</v>
      </c>
      <c r="F38" s="4"/>
      <c r="G38" s="176"/>
      <c r="H38" s="187"/>
      <c r="I38" s="187"/>
      <c r="J38" s="187"/>
      <c r="K38" t="s">
        <v>222</v>
      </c>
      <c r="M38" s="189"/>
      <c r="N38" s="189"/>
      <c r="O38" s="189"/>
      <c r="Q38" s="46"/>
      <c r="R38" s="46"/>
      <c r="S38" s="46"/>
      <c r="T38" s="141"/>
      <c r="V38" s="309">
        <v>27901</v>
      </c>
      <c r="W38" s="311">
        <v>0.88996038783056852</v>
      </c>
      <c r="X38" s="282">
        <f t="shared" si="1"/>
        <v>4.3917199824656333E-2</v>
      </c>
      <c r="Y38" s="7">
        <f t="shared" ref="Y38:Y90" si="4">AVERAGE(X36:X40)</f>
        <v>4.3455639092903245E-2</v>
      </c>
      <c r="AB38" s="478"/>
    </row>
    <row r="39" spans="1:28" ht="12" customHeight="1">
      <c r="A39" s="167">
        <v>1964</v>
      </c>
      <c r="B39" s="185">
        <v>0.77</v>
      </c>
      <c r="C39" s="4"/>
      <c r="D39" s="188">
        <v>73659.622212014569</v>
      </c>
      <c r="E39" s="175">
        <v>607</v>
      </c>
      <c r="F39" s="4"/>
      <c r="G39" s="176">
        <v>659</v>
      </c>
      <c r="H39" s="187">
        <v>0.62666599999999995</v>
      </c>
      <c r="I39" s="187">
        <v>7.5919999999999998E-3</v>
      </c>
      <c r="J39" s="187">
        <v>5.8459999999999996E-3</v>
      </c>
      <c r="K39" t="s">
        <v>223</v>
      </c>
      <c r="M39" s="189">
        <f t="shared" si="0"/>
        <v>8.9465568816413359E-6</v>
      </c>
      <c r="N39" s="189">
        <f t="shared" si="2"/>
        <v>1.0323986820428336E-3</v>
      </c>
      <c r="O39" s="189">
        <f t="shared" si="3"/>
        <v>1.2507413509060956E-5</v>
      </c>
      <c r="Q39" s="46"/>
      <c r="R39" s="46"/>
      <c r="S39" s="46"/>
      <c r="T39" s="141">
        <v>0.14626151036320612</v>
      </c>
      <c r="V39" s="309">
        <v>31359</v>
      </c>
      <c r="W39" s="311">
        <v>0.88687000019747353</v>
      </c>
      <c r="X39" s="282">
        <f t="shared" si="1"/>
        <v>4.5817720487961407E-2</v>
      </c>
      <c r="Y39" s="7">
        <f t="shared" si="4"/>
        <v>4.6672181813153461E-2</v>
      </c>
    </row>
    <row r="40" spans="1:28" ht="12" customHeight="1">
      <c r="A40" s="167">
        <v>1965</v>
      </c>
      <c r="B40" s="185">
        <v>0.7</v>
      </c>
      <c r="C40" s="4"/>
      <c r="D40" s="188">
        <v>74772.263448492304</v>
      </c>
      <c r="E40" s="175">
        <v>658.8</v>
      </c>
      <c r="F40" s="4"/>
      <c r="G40" s="176">
        <v>3626</v>
      </c>
      <c r="H40" s="187">
        <v>1.847</v>
      </c>
      <c r="I40" s="187">
        <v>0.54</v>
      </c>
      <c r="J40" s="187">
        <v>0.378</v>
      </c>
      <c r="K40" t="s">
        <v>224</v>
      </c>
      <c r="M40" s="189">
        <f t="shared" si="0"/>
        <v>4.8493917834890879E-5</v>
      </c>
      <c r="N40" s="189">
        <f t="shared" si="2"/>
        <v>2.8035822707953859E-3</v>
      </c>
      <c r="O40" s="189">
        <f t="shared" si="3"/>
        <v>8.1967213114754109E-4</v>
      </c>
      <c r="Q40" s="46"/>
      <c r="R40" s="46"/>
      <c r="S40" s="46"/>
      <c r="T40" s="141"/>
      <c r="V40" s="309">
        <v>38019</v>
      </c>
      <c r="W40" s="311">
        <v>0.88309625622956034</v>
      </c>
      <c r="X40" s="282">
        <f t="shared" si="1"/>
        <v>5.0963018466289707E-2</v>
      </c>
      <c r="Y40" s="7">
        <f t="shared" si="4"/>
        <v>4.7380160466214551E-2</v>
      </c>
    </row>
    <row r="41" spans="1:28" ht="12" customHeight="1">
      <c r="A41" s="167">
        <v>1966</v>
      </c>
      <c r="B41" s="185">
        <v>0.7</v>
      </c>
      <c r="C41" s="4"/>
      <c r="D41" s="188">
        <v>75831.168722140283</v>
      </c>
      <c r="E41" s="175">
        <v>718.1</v>
      </c>
      <c r="F41" s="4"/>
      <c r="G41" s="176">
        <v>4681</v>
      </c>
      <c r="H41" s="187">
        <v>2.0979999999999999</v>
      </c>
      <c r="I41" s="187">
        <v>0.68</v>
      </c>
      <c r="J41" s="187">
        <v>0.47599999999999998</v>
      </c>
      <c r="M41" s="189">
        <f t="shared" si="0"/>
        <v>6.1729234546708191E-5</v>
      </c>
      <c r="N41" s="189">
        <f t="shared" si="2"/>
        <v>2.9215986631388382E-3</v>
      </c>
      <c r="O41" s="189">
        <f t="shared" si="3"/>
        <v>9.4694332265701157E-4</v>
      </c>
      <c r="Q41" s="46"/>
      <c r="R41" s="46"/>
      <c r="S41" s="46"/>
      <c r="T41" s="141">
        <v>0.15190501162204501</v>
      </c>
      <c r="V41" s="309">
        <v>41571</v>
      </c>
      <c r="W41" s="311">
        <v>0.87675517047502505</v>
      </c>
      <c r="X41" s="282">
        <f t="shared" si="1"/>
        <v>5.0755590017848851E-2</v>
      </c>
      <c r="Y41" s="7">
        <f t="shared" si="4"/>
        <v>4.670463003480884E-2</v>
      </c>
    </row>
    <row r="42" spans="1:28" ht="12" customHeight="1">
      <c r="A42" s="167">
        <v>1967</v>
      </c>
      <c r="B42" s="185">
        <v>0.7</v>
      </c>
      <c r="C42" s="4"/>
      <c r="D42" s="188">
        <v>76855.772597697025</v>
      </c>
      <c r="E42" s="175">
        <v>758.4</v>
      </c>
      <c r="F42" s="4"/>
      <c r="G42" s="176">
        <v>2364</v>
      </c>
      <c r="H42" s="187">
        <v>0.77100000000000002</v>
      </c>
      <c r="I42" s="187">
        <v>0.29599999999999999</v>
      </c>
      <c r="J42" s="187">
        <v>0.20699999999999999</v>
      </c>
      <c r="M42" s="189">
        <f t="shared" si="0"/>
        <v>3.0758912702295014E-5</v>
      </c>
      <c r="N42" s="189">
        <f t="shared" si="2"/>
        <v>1.0166139240506329E-3</v>
      </c>
      <c r="O42" s="189">
        <f t="shared" si="3"/>
        <v>3.9029535864978904E-4</v>
      </c>
      <c r="Q42" s="46"/>
      <c r="R42" s="46"/>
      <c r="S42" s="46"/>
      <c r="T42" s="141">
        <v>0.16573598901727693</v>
      </c>
      <c r="V42" s="309">
        <v>39457</v>
      </c>
      <c r="W42" s="311">
        <v>0.87353859260525657</v>
      </c>
      <c r="X42" s="282">
        <f t="shared" si="1"/>
        <v>4.5447273534316476E-2</v>
      </c>
      <c r="Y42" s="7">
        <f t="shared" si="4"/>
        <v>4.4056123403137158E-2</v>
      </c>
    </row>
    <row r="43" spans="1:28" ht="12" customHeight="1">
      <c r="A43" s="167">
        <v>1968</v>
      </c>
      <c r="B43" s="185">
        <v>0.75249999999999995</v>
      </c>
      <c r="C43" s="4"/>
      <c r="D43" s="188">
        <v>77825.685517022051</v>
      </c>
      <c r="E43" s="175">
        <v>830.2</v>
      </c>
      <c r="F43" s="4"/>
      <c r="G43" s="176">
        <v>6700</v>
      </c>
      <c r="H43" s="187">
        <v>2.9180000000000001</v>
      </c>
      <c r="I43" s="187">
        <v>0.874</v>
      </c>
      <c r="J43" s="187">
        <v>0.61099999999999999</v>
      </c>
      <c r="M43" s="189">
        <f t="shared" si="0"/>
        <v>8.6089829540076125E-5</v>
      </c>
      <c r="N43" s="189">
        <f t="shared" si="2"/>
        <v>3.5148157070585399E-3</v>
      </c>
      <c r="O43" s="189">
        <f t="shared" si="3"/>
        <v>1.0527583714767526E-3</v>
      </c>
      <c r="Q43" s="46"/>
      <c r="R43" s="46"/>
      <c r="S43" s="46"/>
      <c r="T43" s="141">
        <v>0.17901577657705203</v>
      </c>
      <c r="V43" s="309">
        <v>38584</v>
      </c>
      <c r="W43" s="311">
        <v>0.8722769146191317</v>
      </c>
      <c r="X43" s="282">
        <f t="shared" si="1"/>
        <v>4.0539547667627775E-2</v>
      </c>
      <c r="Y43" s="7">
        <f t="shared" si="4"/>
        <v>3.8741459902011478E-2</v>
      </c>
    </row>
    <row r="44" spans="1:28" ht="12" customHeight="1">
      <c r="A44" s="167">
        <v>1969</v>
      </c>
      <c r="B44" s="185">
        <v>0.77</v>
      </c>
      <c r="C44" s="4"/>
      <c r="D44" s="188">
        <v>78792.880570712965</v>
      </c>
      <c r="E44" s="175">
        <v>897.2</v>
      </c>
      <c r="F44" s="4"/>
      <c r="G44" s="176">
        <v>3802</v>
      </c>
      <c r="H44" s="187">
        <v>1.9750000000000001</v>
      </c>
      <c r="I44" s="187">
        <v>0.53900000000000003</v>
      </c>
      <c r="J44" s="187">
        <v>0.377</v>
      </c>
      <c r="M44" s="189">
        <f t="shared" si="0"/>
        <v>4.8253090538908287E-5</v>
      </c>
      <c r="N44" s="189">
        <f t="shared" si="2"/>
        <v>2.2012929112795363E-3</v>
      </c>
      <c r="O44" s="189">
        <f t="shared" si="3"/>
        <v>6.0075791350869376E-4</v>
      </c>
      <c r="Q44" s="46"/>
      <c r="R44" s="46"/>
      <c r="S44" s="46"/>
      <c r="T44" s="141">
        <v>0.19756614083601159</v>
      </c>
      <c r="V44" s="309">
        <v>34200</v>
      </c>
      <c r="W44" s="311">
        <v>0.85457479743040332</v>
      </c>
      <c r="X44" s="282">
        <f t="shared" si="1"/>
        <v>3.2575187329602975E-2</v>
      </c>
      <c r="Y44" s="7">
        <f t="shared" si="4"/>
        <v>3.4687707165811113E-2</v>
      </c>
    </row>
    <row r="45" spans="1:28" ht="12" customHeight="1">
      <c r="A45" s="167">
        <v>1970</v>
      </c>
      <c r="B45" s="185">
        <v>0.71750000000000003</v>
      </c>
      <c r="C45" s="4"/>
      <c r="D45" s="188">
        <v>79924</v>
      </c>
      <c r="E45" s="175">
        <v>937.5</v>
      </c>
      <c r="F45" s="4"/>
      <c r="G45" s="176">
        <v>8070</v>
      </c>
      <c r="H45" s="187">
        <v>3.3340000000000001</v>
      </c>
      <c r="I45" s="187">
        <v>1.056</v>
      </c>
      <c r="J45" s="187">
        <v>0.73899999999999999</v>
      </c>
      <c r="K45" t="s">
        <v>227</v>
      </c>
      <c r="M45" s="189">
        <f t="shared" si="0"/>
        <v>1.0097092237625745E-4</v>
      </c>
      <c r="N45" s="189">
        <f t="shared" si="2"/>
        <v>3.556266666666667E-3</v>
      </c>
      <c r="O45" s="189">
        <f t="shared" si="3"/>
        <v>1.1264000000000001E-3</v>
      </c>
      <c r="Q45" s="46"/>
      <c r="R45" s="46"/>
      <c r="S45" s="46"/>
      <c r="T45" s="141">
        <v>0.18011655120863548</v>
      </c>
      <c r="V45" s="309">
        <v>27180</v>
      </c>
      <c r="W45" s="311">
        <v>0.84125624174466351</v>
      </c>
      <c r="X45" s="282">
        <f t="shared" si="1"/>
        <v>2.4389700960661283E-2</v>
      </c>
      <c r="Y45" s="7">
        <f t="shared" si="4"/>
        <v>3.2669245501936547E-2</v>
      </c>
    </row>
    <row r="46" spans="1:28" ht="12" customHeight="1">
      <c r="A46" s="167">
        <v>1971</v>
      </c>
      <c r="B46" s="185">
        <v>0.7</v>
      </c>
      <c r="C46" s="4"/>
      <c r="D46" s="188">
        <v>81849.283100873465</v>
      </c>
      <c r="E46" s="175">
        <v>1014</v>
      </c>
      <c r="F46" s="4"/>
      <c r="G46" s="176">
        <v>10231</v>
      </c>
      <c r="H46" s="187">
        <v>4.4290000000000003</v>
      </c>
      <c r="I46" s="187">
        <v>1.3939999999999999</v>
      </c>
      <c r="J46" s="187">
        <v>0.97599999999999998</v>
      </c>
      <c r="M46" s="189">
        <f t="shared" si="0"/>
        <v>1.249980404518756E-4</v>
      </c>
      <c r="N46" s="189">
        <f t="shared" si="2"/>
        <v>4.3678500986193292E-3</v>
      </c>
      <c r="O46" s="189">
        <f t="shared" si="3"/>
        <v>1.3747534516765285E-3</v>
      </c>
      <c r="Q46" s="46"/>
      <c r="R46" s="46"/>
      <c r="S46" s="46"/>
      <c r="T46" s="141">
        <v>0.16198344272613241</v>
      </c>
      <c r="V46" s="309">
        <v>37455</v>
      </c>
      <c r="W46" s="311">
        <v>0.82535420919938307</v>
      </c>
      <c r="X46" s="282">
        <f t="shared" si="1"/>
        <v>3.0486826336847034E-2</v>
      </c>
      <c r="Y46" s="7">
        <f t="shared" si="4"/>
        <v>3.1429642356815821E-2</v>
      </c>
    </row>
    <row r="47" spans="1:28" ht="12" customHeight="1">
      <c r="A47" s="167">
        <v>1972</v>
      </c>
      <c r="B47" s="185">
        <v>0.7</v>
      </c>
      <c r="C47" s="4"/>
      <c r="D47" s="188">
        <v>83669.52931419824</v>
      </c>
      <c r="E47" s="175">
        <v>1119.5</v>
      </c>
      <c r="F47" s="4"/>
      <c r="G47" s="176">
        <v>16019</v>
      </c>
      <c r="H47" s="187">
        <v>7.3449999999999998</v>
      </c>
      <c r="I47" s="187">
        <v>2.4729999999999999</v>
      </c>
      <c r="J47" s="187">
        <v>1.7310000000000001</v>
      </c>
      <c r="M47" s="189">
        <f t="shared" si="0"/>
        <v>1.9145560075813247E-4</v>
      </c>
      <c r="N47" s="189">
        <f t="shared" si="2"/>
        <v>6.5609647163912457E-3</v>
      </c>
      <c r="O47" s="189">
        <f t="shared" si="3"/>
        <v>2.2090218847699867E-3</v>
      </c>
      <c r="Q47" s="46"/>
      <c r="R47" s="46"/>
      <c r="S47" s="46"/>
      <c r="T47" s="141">
        <v>0.17283660672052448</v>
      </c>
      <c r="V47" s="309">
        <v>48035</v>
      </c>
      <c r="W47" s="311">
        <v>0.82398008864639127</v>
      </c>
      <c r="X47" s="282">
        <f t="shared" si="1"/>
        <v>3.5354965214943641E-2</v>
      </c>
      <c r="Y47" s="7">
        <f t="shared" si="4"/>
        <v>2.9453993845513539E-2</v>
      </c>
    </row>
    <row r="48" spans="1:28" ht="12" customHeight="1">
      <c r="A48" s="167">
        <v>1973</v>
      </c>
      <c r="B48" s="185">
        <v>0.7</v>
      </c>
      <c r="C48" s="4"/>
      <c r="D48" s="188">
        <v>85441.835116484566</v>
      </c>
      <c r="E48" s="175">
        <v>1253.2</v>
      </c>
      <c r="F48" s="4"/>
      <c r="G48" s="176">
        <v>17491</v>
      </c>
      <c r="H48" s="187">
        <v>7.2480000000000002</v>
      </c>
      <c r="I48" s="187">
        <v>2.472</v>
      </c>
      <c r="J48" s="187">
        <v>1.7310000000000001</v>
      </c>
      <c r="M48" s="189">
        <f t="shared" si="0"/>
        <v>2.0471236340083486E-4</v>
      </c>
      <c r="N48" s="189">
        <f t="shared" si="2"/>
        <v>5.7835939993616343E-3</v>
      </c>
      <c r="O48" s="189">
        <f t="shared" si="3"/>
        <v>1.9725502713054581E-3</v>
      </c>
      <c r="Q48" s="46"/>
      <c r="R48" s="46"/>
      <c r="S48" s="46"/>
      <c r="T48" s="141">
        <v>0.15470084649185409</v>
      </c>
      <c r="V48" s="309">
        <v>53510</v>
      </c>
      <c r="W48" s="311">
        <v>0.8042759826153002</v>
      </c>
      <c r="X48" s="282">
        <f t="shared" si="1"/>
        <v>3.4341531942024189E-2</v>
      </c>
      <c r="Y48" s="7">
        <f t="shared" si="4"/>
        <v>3.0252583469717521E-2</v>
      </c>
    </row>
    <row r="49" spans="1:25" ht="12" customHeight="1">
      <c r="A49" s="168">
        <v>1974</v>
      </c>
      <c r="B49" s="185">
        <v>0.7</v>
      </c>
      <c r="C49" s="4"/>
      <c r="D49" s="188">
        <v>87227.731585466507</v>
      </c>
      <c r="E49" s="175">
        <v>1346.4</v>
      </c>
      <c r="F49" s="4"/>
      <c r="G49" s="176">
        <v>22662</v>
      </c>
      <c r="H49" s="187">
        <v>9.0399999999999991</v>
      </c>
      <c r="I49" s="187">
        <v>2.778</v>
      </c>
      <c r="J49" s="187">
        <v>1.9450000000000001</v>
      </c>
      <c r="M49" s="189">
        <f t="shared" si="0"/>
        <v>2.5980269792749992E-4</v>
      </c>
      <c r="N49" s="189">
        <f t="shared" si="2"/>
        <v>6.7142008318478892E-3</v>
      </c>
      <c r="O49" s="189">
        <f t="shared" si="3"/>
        <v>2.0632798573975045E-3</v>
      </c>
      <c r="Q49" s="46"/>
      <c r="R49" s="46"/>
      <c r="S49" s="46"/>
      <c r="T49" s="141">
        <v>0.17461403624635174</v>
      </c>
      <c r="V49" s="309">
        <v>39701</v>
      </c>
      <c r="W49" s="311">
        <v>0.76973291459888815</v>
      </c>
      <c r="X49" s="282">
        <f t="shared" si="1"/>
        <v>2.2696944773091546E-2</v>
      </c>
      <c r="Y49" s="7">
        <f t="shared" si="4"/>
        <v>3.0816619671916699E-2</v>
      </c>
    </row>
    <row r="50" spans="1:25" ht="12" customHeight="1">
      <c r="A50" s="168">
        <v>1975</v>
      </c>
      <c r="B50" s="185">
        <v>0.7</v>
      </c>
      <c r="C50" s="4"/>
      <c r="D50" s="188">
        <v>89127.466196003021</v>
      </c>
      <c r="E50" s="175">
        <v>1446</v>
      </c>
      <c r="F50" s="4"/>
      <c r="G50" s="176">
        <v>23888</v>
      </c>
      <c r="H50" s="187">
        <v>9.5719999999999992</v>
      </c>
      <c r="I50" s="187">
        <v>2.835</v>
      </c>
      <c r="J50" s="187">
        <v>1.984</v>
      </c>
      <c r="M50" s="189">
        <f t="shared" si="0"/>
        <v>2.680206340374038E-4</v>
      </c>
      <c r="N50" s="189">
        <f t="shared" si="2"/>
        <v>6.6196403872752418E-3</v>
      </c>
      <c r="O50" s="189">
        <f t="shared" si="3"/>
        <v>1.9605809128630707E-3</v>
      </c>
      <c r="Q50" s="46"/>
      <c r="R50" s="46"/>
      <c r="S50" s="46"/>
      <c r="T50" s="141">
        <v>0.15717772456012485</v>
      </c>
      <c r="V50" s="309">
        <v>54253</v>
      </c>
      <c r="W50" s="311">
        <v>0.75648002086725175</v>
      </c>
      <c r="X50" s="282">
        <f t="shared" si="1"/>
        <v>2.8382649081681196E-2</v>
      </c>
      <c r="Y50" s="7">
        <f t="shared" si="4"/>
        <v>3.0903658460726801E-2</v>
      </c>
    </row>
    <row r="51" spans="1:25" ht="12" customHeight="1">
      <c r="A51" s="168">
        <v>1976</v>
      </c>
      <c r="B51" s="185">
        <v>0.7</v>
      </c>
      <c r="C51" s="4"/>
      <c r="D51" s="188">
        <v>91048.45550544768</v>
      </c>
      <c r="E51" s="175">
        <v>1609.4</v>
      </c>
      <c r="F51" s="4"/>
      <c r="G51" s="176"/>
      <c r="H51" s="187"/>
      <c r="I51" s="187"/>
      <c r="J51" s="187"/>
      <c r="K51" t="s">
        <v>222</v>
      </c>
      <c r="M51" s="189"/>
      <c r="N51" s="189"/>
      <c r="O51" s="189"/>
      <c r="Q51" s="46"/>
      <c r="R51" s="46"/>
      <c r="S51" s="46"/>
      <c r="T51" s="141">
        <v>0.16725837179228681</v>
      </c>
      <c r="V51" s="309">
        <v>70036</v>
      </c>
      <c r="W51" s="311">
        <v>0.76538205530896131</v>
      </c>
      <c r="X51" s="282">
        <f t="shared" si="1"/>
        <v>3.3307007347842928E-2</v>
      </c>
      <c r="Y51" s="7">
        <f t="shared" si="4"/>
        <v>3.1290566806295869E-2</v>
      </c>
    </row>
    <row r="52" spans="1:25" ht="12" customHeight="1">
      <c r="A52" s="167">
        <v>1977</v>
      </c>
      <c r="B52" s="185">
        <v>0.7</v>
      </c>
      <c r="C52" s="4"/>
      <c r="D52" s="188">
        <v>93075.821147921553</v>
      </c>
      <c r="E52" s="175">
        <v>1792.8</v>
      </c>
      <c r="F52" s="4"/>
      <c r="G52" s="176"/>
      <c r="H52" s="187"/>
      <c r="I52" s="187"/>
      <c r="J52" s="187"/>
      <c r="K52" t="s">
        <v>222</v>
      </c>
      <c r="M52" s="189"/>
      <c r="N52" s="189"/>
      <c r="O52" s="189"/>
      <c r="Q52" s="46"/>
      <c r="R52" s="46"/>
      <c r="S52" s="46"/>
      <c r="T52" s="141">
        <v>0.16922551037021624</v>
      </c>
      <c r="V52" s="309">
        <v>86573</v>
      </c>
      <c r="W52" s="311">
        <v>0.74116176337015771</v>
      </c>
      <c r="X52" s="282">
        <f t="shared" si="1"/>
        <v>3.5790159158994125E-2</v>
      </c>
      <c r="Y52" s="7">
        <f t="shared" si="4"/>
        <v>3.3207116285810655E-2</v>
      </c>
    </row>
    <row r="53" spans="1:25" ht="12" customHeight="1">
      <c r="A53" s="167">
        <v>1978</v>
      </c>
      <c r="B53" s="185">
        <v>0.7</v>
      </c>
      <c r="C53" s="4"/>
      <c r="D53" s="188">
        <v>95212.836116289182</v>
      </c>
      <c r="E53" s="175">
        <v>2022.7</v>
      </c>
      <c r="F53" s="4"/>
      <c r="G53" s="176"/>
      <c r="H53" s="187"/>
      <c r="I53" s="187"/>
      <c r="J53" s="187"/>
      <c r="K53" t="s">
        <v>222</v>
      </c>
      <c r="M53" s="189"/>
      <c r="N53" s="189"/>
      <c r="O53" s="189"/>
      <c r="Q53" s="46"/>
      <c r="R53" s="46"/>
      <c r="S53" s="46"/>
      <c r="T53" s="141">
        <v>0.17092870011683292</v>
      </c>
      <c r="V53" s="309">
        <v>102918</v>
      </c>
      <c r="W53" s="311">
        <v>0.71295219701165113</v>
      </c>
      <c r="X53" s="282">
        <f t="shared" si="1"/>
        <v>3.6276073669869534E-2</v>
      </c>
      <c r="Y53" s="7">
        <f t="shared" si="4"/>
        <v>3.1847864984641545E-2</v>
      </c>
    </row>
    <row r="54" spans="1:25" ht="12" customHeight="1">
      <c r="A54" s="167">
        <v>1979</v>
      </c>
      <c r="B54" s="185">
        <v>0.7</v>
      </c>
      <c r="C54" s="4"/>
      <c r="D54" s="188">
        <v>97457.045574318821</v>
      </c>
      <c r="E54" s="175">
        <v>2240.3000000000002</v>
      </c>
      <c r="F54" s="4"/>
      <c r="G54" s="176">
        <v>63112</v>
      </c>
      <c r="H54" s="187">
        <v>28.7</v>
      </c>
      <c r="I54" s="187">
        <v>7.7</v>
      </c>
      <c r="J54" s="187">
        <v>5.4</v>
      </c>
      <c r="M54" s="189">
        <f t="shared" si="0"/>
        <v>6.4758786425422714E-4</v>
      </c>
      <c r="N54" s="189">
        <f t="shared" si="2"/>
        <v>1.2810784269963843E-2</v>
      </c>
      <c r="O54" s="189">
        <f t="shared" si="3"/>
        <v>3.4370396821854212E-3</v>
      </c>
      <c r="Q54" s="46">
        <f>TxRt!B376/100</f>
        <v>0.35100000000000003</v>
      </c>
      <c r="R54" s="46">
        <f>TxRt!C376/100</f>
        <v>0.22600000000000001</v>
      </c>
      <c r="S54" s="46"/>
      <c r="T54" s="141">
        <v>0.1935110292703518</v>
      </c>
      <c r="V54" s="309">
        <v>101444</v>
      </c>
      <c r="W54" s="311">
        <v>0.71286812793208032</v>
      </c>
      <c r="X54" s="282">
        <f t="shared" si="1"/>
        <v>3.2279692170665515E-2</v>
      </c>
      <c r="Y54" s="7">
        <f t="shared" si="4"/>
        <v>2.9674250060005243E-2</v>
      </c>
    </row>
    <row r="55" spans="1:25" ht="12" customHeight="1">
      <c r="A55" s="168">
        <v>1980</v>
      </c>
      <c r="B55" s="186">
        <v>0.7</v>
      </c>
      <c r="C55" s="4"/>
      <c r="D55" s="188">
        <v>99625</v>
      </c>
      <c r="E55" s="175">
        <v>2418.6</v>
      </c>
      <c r="F55" s="4"/>
      <c r="G55" s="176"/>
      <c r="H55" s="187"/>
      <c r="I55" s="187"/>
      <c r="J55" s="187"/>
      <c r="K55" t="s">
        <v>222</v>
      </c>
      <c r="M55" s="189"/>
      <c r="N55" s="189"/>
      <c r="O55" s="189"/>
      <c r="Q55" s="46">
        <f>TxRt!B377/100</f>
        <v>0.33100000000000002</v>
      </c>
      <c r="R55" s="46">
        <f>TxRt!C377/100</f>
        <v>0.22899999999999998</v>
      </c>
      <c r="S55" s="46"/>
      <c r="T55" s="141">
        <v>0.19999652680173041</v>
      </c>
      <c r="V55" s="309">
        <v>72300</v>
      </c>
      <c r="W55" s="311">
        <v>0.72211409521322234</v>
      </c>
      <c r="X55" s="282">
        <f t="shared" si="1"/>
        <v>2.1586392575835601E-2</v>
      </c>
      <c r="Y55" s="7">
        <f t="shared" si="4"/>
        <v>2.6335673991159936E-2</v>
      </c>
    </row>
    <row r="56" spans="1:25" ht="12" customHeight="1">
      <c r="A56" s="167">
        <v>1981</v>
      </c>
      <c r="B56" s="185">
        <v>0.69125000000000003</v>
      </c>
      <c r="C56" s="4"/>
      <c r="D56" s="188">
        <v>101432.20736241926</v>
      </c>
      <c r="E56" s="175">
        <v>2714.7</v>
      </c>
      <c r="F56" s="4"/>
      <c r="G56" s="176"/>
      <c r="H56" s="187"/>
      <c r="I56" s="187"/>
      <c r="J56" s="187"/>
      <c r="K56" t="s">
        <v>222</v>
      </c>
      <c r="M56" s="189"/>
      <c r="N56" s="189"/>
      <c r="O56" s="189"/>
      <c r="Q56" s="46">
        <f>TxRt!B378/100</f>
        <v>0.30499999999999999</v>
      </c>
      <c r="R56" s="46">
        <f>TxRt!C378/100</f>
        <v>0.21899999999999997</v>
      </c>
      <c r="S56" s="46"/>
      <c r="T56" s="141">
        <v>0.198648451666328</v>
      </c>
      <c r="V56" s="309">
        <v>89399</v>
      </c>
      <c r="W56" s="311">
        <v>0.68138313255895921</v>
      </c>
      <c r="X56" s="282">
        <f t="shared" si="1"/>
        <v>2.2438932724661433E-2</v>
      </c>
      <c r="Y56" s="7">
        <f t="shared" si="4"/>
        <v>2.3592245193800453E-2</v>
      </c>
    </row>
    <row r="57" spans="1:25" ht="12" customHeight="1">
      <c r="A57" s="167">
        <v>1982</v>
      </c>
      <c r="B57" s="185">
        <v>0.5</v>
      </c>
      <c r="C57" s="4"/>
      <c r="D57" s="188">
        <v>103250.43781266264</v>
      </c>
      <c r="E57" s="175">
        <v>2834.5</v>
      </c>
      <c r="F57" s="4"/>
      <c r="G57" s="176"/>
      <c r="H57" s="187"/>
      <c r="I57" s="187"/>
      <c r="J57" s="187"/>
      <c r="K57" t="s">
        <v>222</v>
      </c>
      <c r="M57" s="189"/>
      <c r="N57" s="189"/>
      <c r="O57" s="189"/>
      <c r="Q57" s="46">
        <f>TxRt!B379/100</f>
        <v>0.26800000000000002</v>
      </c>
      <c r="R57" s="46">
        <f>TxRt!C379/100</f>
        <v>0.20600000000000002</v>
      </c>
      <c r="S57" s="46"/>
      <c r="T57" s="141">
        <v>0.20807875183709096</v>
      </c>
      <c r="V57" s="309">
        <v>85642</v>
      </c>
      <c r="W57" s="311">
        <v>0.63206413676068673</v>
      </c>
      <c r="X57" s="282">
        <f t="shared" si="1"/>
        <v>1.9097278814767592E-2</v>
      </c>
      <c r="Y57" s="7">
        <f t="shared" si="4"/>
        <v>2.1839334227471828E-2</v>
      </c>
    </row>
    <row r="58" spans="1:25" ht="12" customHeight="1">
      <c r="A58" s="170">
        <v>1983</v>
      </c>
      <c r="B58" s="185">
        <v>0.5</v>
      </c>
      <c r="C58" s="4"/>
      <c r="D58" s="188">
        <v>105066.9706211951</v>
      </c>
      <c r="E58" s="175">
        <v>3051.5</v>
      </c>
      <c r="F58" s="4"/>
      <c r="G58" s="176">
        <v>557809</v>
      </c>
      <c r="H58" s="176">
        <v>132.46600000000001</v>
      </c>
      <c r="I58" s="176">
        <v>57.953000000000003</v>
      </c>
      <c r="J58" s="176">
        <v>28.975999999999999</v>
      </c>
      <c r="M58" s="189">
        <f t="shared" si="0"/>
        <v>5.3090804531816735E-3</v>
      </c>
      <c r="N58" s="189">
        <f t="shared" si="2"/>
        <v>4.3410126167458631E-2</v>
      </c>
      <c r="O58" s="189">
        <f t="shared" si="3"/>
        <v>1.8991643454039E-2</v>
      </c>
      <c r="Q58" s="46">
        <f>TxRt!B380/100</f>
        <v>0.26800000000000002</v>
      </c>
      <c r="R58" s="46">
        <f>TxRt!C380/100</f>
        <v>0.19699999999999998</v>
      </c>
      <c r="S58" s="46"/>
      <c r="T58" s="141">
        <v>0.19889624371494782</v>
      </c>
      <c r="V58" s="309">
        <v>115655</v>
      </c>
      <c r="W58" s="311">
        <v>0.59520620749552122</v>
      </c>
      <c r="X58" s="282">
        <f t="shared" si="1"/>
        <v>2.2558929683072101E-2</v>
      </c>
      <c r="Y58" s="7">
        <f t="shared" si="4"/>
        <v>2.1868225335870496E-2</v>
      </c>
    </row>
    <row r="59" spans="1:25" ht="12" customHeight="1">
      <c r="A59" s="170">
        <v>1984</v>
      </c>
      <c r="B59" s="185">
        <v>0.5</v>
      </c>
      <c r="D59" s="188">
        <v>106871.14951319493</v>
      </c>
      <c r="E59" s="3">
        <v>3433.9</v>
      </c>
      <c r="G59" s="176">
        <v>303414</v>
      </c>
      <c r="H59" s="176">
        <v>116.069</v>
      </c>
      <c r="I59" s="176">
        <v>54.055999999999997</v>
      </c>
      <c r="J59" s="176">
        <v>27.027999999999999</v>
      </c>
      <c r="M59" s="189">
        <f t="shared" si="0"/>
        <v>2.8390636891440823E-3</v>
      </c>
      <c r="N59" s="189">
        <f t="shared" si="2"/>
        <v>3.3800926060747256E-2</v>
      </c>
      <c r="O59" s="189">
        <f t="shared" si="3"/>
        <v>1.5741867847054367E-2</v>
      </c>
      <c r="Q59" s="46">
        <f>TxRt!B381/100</f>
        <v>0.27</v>
      </c>
      <c r="R59" s="46">
        <f>TxRt!C381/100</f>
        <v>0.19500000000000001</v>
      </c>
      <c r="S59" s="46"/>
      <c r="T59" s="141">
        <v>0.18960621479659348</v>
      </c>
      <c r="V59" s="309">
        <v>149543</v>
      </c>
      <c r="W59" s="311">
        <v>0.53996930721243419</v>
      </c>
      <c r="X59" s="282">
        <f t="shared" si="1"/>
        <v>2.3515137339022409E-2</v>
      </c>
      <c r="Y59" s="7">
        <f t="shared" si="4"/>
        <v>2.0368576842443621E-2</v>
      </c>
    </row>
    <row r="60" spans="1:25" ht="12" customHeight="1">
      <c r="A60" s="170">
        <v>1985</v>
      </c>
      <c r="B60" s="185">
        <v>0.5</v>
      </c>
      <c r="D60" s="188">
        <v>108736.06385144978</v>
      </c>
      <c r="E60" s="3">
        <v>3669.9</v>
      </c>
      <c r="G60" s="176">
        <v>341059</v>
      </c>
      <c r="H60" s="176">
        <v>137.77600000000001</v>
      </c>
      <c r="I60" s="176">
        <v>62.863</v>
      </c>
      <c r="J60" s="176">
        <v>31.431000000000001</v>
      </c>
      <c r="M60" s="189">
        <f t="shared" si="0"/>
        <v>3.1365766602140313E-3</v>
      </c>
      <c r="N60" s="189">
        <f t="shared" si="2"/>
        <v>3.7542167361508491E-2</v>
      </c>
      <c r="O60" s="189">
        <f t="shared" si="3"/>
        <v>1.7129349573557863E-2</v>
      </c>
      <c r="Q60" s="46">
        <f>TxRt!B382/100</f>
        <v>0.26100000000000001</v>
      </c>
      <c r="R60" s="46">
        <f>TxRt!C382/100</f>
        <v>0.191</v>
      </c>
      <c r="S60" s="46"/>
      <c r="T60" s="141">
        <v>0.20506562307040013</v>
      </c>
      <c r="V60" s="309">
        <v>157536</v>
      </c>
      <c r="W60" s="311">
        <v>0.50623374662058462</v>
      </c>
      <c r="X60" s="282">
        <f t="shared" si="1"/>
        <v>2.1730848117828938E-2</v>
      </c>
      <c r="Y60" s="7">
        <f t="shared" si="4"/>
        <v>1.9331069229237087E-2</v>
      </c>
    </row>
    <row r="61" spans="1:25" ht="12" customHeight="1">
      <c r="A61" s="170">
        <v>1986</v>
      </c>
      <c r="B61" s="185">
        <v>0.5</v>
      </c>
      <c r="D61" s="188">
        <v>110683.65034819435</v>
      </c>
      <c r="E61" s="3">
        <v>3831.2</v>
      </c>
      <c r="G61" s="176">
        <v>403638</v>
      </c>
      <c r="H61" s="176">
        <v>185.6</v>
      </c>
      <c r="I61" s="176">
        <v>91.8</v>
      </c>
      <c r="J61" s="176">
        <v>45.9</v>
      </c>
      <c r="M61" s="189">
        <f t="shared" si="0"/>
        <v>3.6467716661875058E-3</v>
      </c>
      <c r="N61" s="189">
        <f t="shared" si="2"/>
        <v>4.8444351639173107E-2</v>
      </c>
      <c r="O61" s="189">
        <f t="shared" si="3"/>
        <v>2.3961160993944457E-2</v>
      </c>
      <c r="Q61" s="46">
        <f>TxRt!B383/100</f>
        <v>0.247</v>
      </c>
      <c r="R61" s="46">
        <f>TxRt!C383/100</f>
        <v>0.18600000000000003</v>
      </c>
      <c r="S61" s="46"/>
      <c r="T61" s="141">
        <v>0.23487075840260713</v>
      </c>
      <c r="V61" s="309">
        <v>108519</v>
      </c>
      <c r="W61" s="311">
        <v>0.52747235520634805</v>
      </c>
      <c r="X61" s="282">
        <f t="shared" si="1"/>
        <v>1.4940690257527063E-2</v>
      </c>
      <c r="Y61" s="7">
        <f t="shared" si="4"/>
        <v>1.7917956090315969E-2</v>
      </c>
    </row>
    <row r="62" spans="1:25" ht="12" customHeight="1">
      <c r="A62" s="171">
        <v>1987</v>
      </c>
      <c r="B62" s="185">
        <v>0.38500000000000001</v>
      </c>
      <c r="D62" s="188">
        <v>112640.14745716355</v>
      </c>
      <c r="E62" s="3">
        <v>4098.5</v>
      </c>
      <c r="G62" s="176">
        <f>1448591</f>
        <v>1448591</v>
      </c>
      <c r="H62" s="176">
        <v>346</v>
      </c>
      <c r="I62" s="176">
        <v>139</v>
      </c>
      <c r="J62" s="176">
        <v>53.5</v>
      </c>
      <c r="M62" s="189">
        <f t="shared" si="0"/>
        <v>1.2860343604849164E-2</v>
      </c>
      <c r="N62" s="189">
        <f t="shared" si="2"/>
        <v>8.4421129681590823E-2</v>
      </c>
      <c r="O62" s="189">
        <f t="shared" si="3"/>
        <v>3.3914846895205561E-2</v>
      </c>
      <c r="Q62" s="46">
        <f>TxRt!B384/100</f>
        <v>0.30099999999999999</v>
      </c>
      <c r="R62" s="46">
        <f>TxRt!C384/100</f>
        <v>0.218</v>
      </c>
      <c r="S62" s="46"/>
      <c r="T62" s="141">
        <v>0.22703236548111458</v>
      </c>
      <c r="V62" s="309">
        <v>123230</v>
      </c>
      <c r="W62" s="311">
        <v>0.46262332596518724</v>
      </c>
      <c r="X62" s="282">
        <f t="shared" si="1"/>
        <v>1.3909740748734909E-2</v>
      </c>
      <c r="Y62" s="7">
        <f t="shared" si="4"/>
        <v>1.545982306308169E-2</v>
      </c>
    </row>
    <row r="63" spans="1:25" ht="12" customHeight="1">
      <c r="A63" s="171">
        <v>1988</v>
      </c>
      <c r="B63" s="185">
        <v>0.28000000000000003</v>
      </c>
      <c r="D63" s="188">
        <v>114656.00857399579</v>
      </c>
      <c r="E63" s="3">
        <v>4471.6000000000004</v>
      </c>
      <c r="G63" s="176">
        <f>22226008+2925698+748828</f>
        <v>25900534</v>
      </c>
      <c r="H63" s="176">
        <f>1095.6+321.7+404</f>
        <v>1821.3</v>
      </c>
      <c r="I63" s="176">
        <f>248.6+74.9+359.1</f>
        <v>682.6</v>
      </c>
      <c r="J63" s="176">
        <f>69.6+24.7+100.5</f>
        <v>194.8</v>
      </c>
      <c r="M63" s="189">
        <f t="shared" si="0"/>
        <v>0.22589774685279157</v>
      </c>
      <c r="N63" s="189">
        <f t="shared" si="2"/>
        <v>0.40730387333392964</v>
      </c>
      <c r="O63" s="189">
        <f t="shared" si="3"/>
        <v>0.15265229448072279</v>
      </c>
      <c r="Q63" s="46">
        <f>TxRt!B385/100</f>
        <v>0.28600000000000003</v>
      </c>
      <c r="R63" s="46">
        <f>TxRt!C385/100</f>
        <v>0.21100000000000002</v>
      </c>
      <c r="S63" s="46"/>
      <c r="T63" s="141">
        <v>0.20135952415482972</v>
      </c>
      <c r="V63" s="309">
        <v>143330</v>
      </c>
      <c r="W63" s="311">
        <v>0.4833609600978645</v>
      </c>
      <c r="X63" s="282">
        <f t="shared" si="1"/>
        <v>1.5493363988466527E-2</v>
      </c>
      <c r="Y63" s="7">
        <f t="shared" si="4"/>
        <v>1.2831674929851803E-2</v>
      </c>
    </row>
    <row r="64" spans="1:25" ht="12" customHeight="1">
      <c r="A64" s="171">
        <v>1989</v>
      </c>
      <c r="B64" s="185">
        <v>0.28000000000000003</v>
      </c>
      <c r="D64" s="188">
        <v>116759.35846722893</v>
      </c>
      <c r="E64" s="3">
        <v>4760.1000000000004</v>
      </c>
      <c r="G64" s="176">
        <f>23111722+3188030+729455</f>
        <v>27029207</v>
      </c>
      <c r="H64" s="176">
        <f>1181.3+366.9+386.8</f>
        <v>1934.9999999999998</v>
      </c>
      <c r="I64" s="176">
        <f>268.6+84.9+336.8</f>
        <v>690.3</v>
      </c>
      <c r="J64" s="176">
        <f>75.2+28+94.3</f>
        <v>197.5</v>
      </c>
      <c r="M64" s="189">
        <f t="shared" si="0"/>
        <v>0.23149499410435984</v>
      </c>
      <c r="N64" s="189">
        <f t="shared" si="2"/>
        <v>0.40650406504065034</v>
      </c>
      <c r="O64" s="189">
        <f t="shared" si="3"/>
        <v>0.14501796180752502</v>
      </c>
      <c r="Q64" s="46">
        <f>TxRt!B386/100</f>
        <v>0.27899999999999997</v>
      </c>
      <c r="R64" s="46">
        <f>TxRt!C386/100</f>
        <v>0.20399999999999999</v>
      </c>
      <c r="S64" s="46"/>
      <c r="T64" s="141">
        <v>0.20423433158029813</v>
      </c>
      <c r="V64" s="309">
        <v>110199</v>
      </c>
      <c r="W64" s="311">
        <v>0.48484659690914739</v>
      </c>
      <c r="X64" s="282">
        <f t="shared" si="1"/>
        <v>1.1224472202851016E-2</v>
      </c>
      <c r="Y64" s="7">
        <f t="shared" si="4"/>
        <v>1.2319552856020582E-2</v>
      </c>
    </row>
    <row r="65" spans="1:25" ht="12" customHeight="1">
      <c r="A65" s="171">
        <v>1990</v>
      </c>
      <c r="B65" s="185">
        <v>0.28000000000000003</v>
      </c>
      <c r="D65" s="188">
        <v>119055</v>
      </c>
      <c r="E65" s="3">
        <v>5013.8</v>
      </c>
      <c r="G65" s="176">
        <f>23161454+3050061+716242</f>
        <v>26927757</v>
      </c>
      <c r="H65" s="176">
        <f>1240.2+366+393.9</f>
        <v>2000.1</v>
      </c>
      <c r="I65" s="176">
        <f>279.8+82.2+337.4</f>
        <v>699.4</v>
      </c>
      <c r="J65" s="176">
        <f>78.3+27.1+94.5</f>
        <v>199.9</v>
      </c>
      <c r="M65" s="189">
        <f t="shared" si="0"/>
        <v>0.226179135693587</v>
      </c>
      <c r="N65" s="189">
        <f t="shared" si="2"/>
        <v>0.39891898360524947</v>
      </c>
      <c r="O65" s="189">
        <f t="shared" si="3"/>
        <v>0.1394949938170649</v>
      </c>
      <c r="Q65" s="46">
        <f>TxRt!B387/100</f>
        <v>0.27699999999999997</v>
      </c>
      <c r="R65" s="46">
        <f>TxRt!C387/100</f>
        <v>0.20300000000000001</v>
      </c>
      <c r="S65" s="46"/>
      <c r="T65" s="141">
        <v>0.19956064874174756</v>
      </c>
      <c r="V65" s="309">
        <v>102666</v>
      </c>
      <c r="W65" s="311">
        <v>0.41950675726365738</v>
      </c>
      <c r="X65" s="282">
        <f t="shared" si="1"/>
        <v>8.5901074516794938E-3</v>
      </c>
      <c r="Y65" s="7">
        <f t="shared" si="4"/>
        <v>1.1983866076999933E-2</v>
      </c>
    </row>
    <row r="66" spans="1:25" ht="12" customHeight="1">
      <c r="A66" s="171">
        <v>1991</v>
      </c>
      <c r="B66" s="185">
        <v>0.31</v>
      </c>
      <c r="D66" s="188">
        <v>120453.26162647238</v>
      </c>
      <c r="E66" s="3">
        <v>5164.3999999999996</v>
      </c>
      <c r="G66" s="176">
        <v>3372671</v>
      </c>
      <c r="H66" s="176">
        <v>685.8</v>
      </c>
      <c r="I66" s="176">
        <v>300.8</v>
      </c>
      <c r="J66" s="176">
        <v>93.2</v>
      </c>
      <c r="M66" s="189">
        <f t="shared" si="0"/>
        <v>2.7999831257859258E-2</v>
      </c>
      <c r="N66" s="189">
        <f t="shared" si="2"/>
        <v>0.13279374177058323</v>
      </c>
      <c r="O66" s="189">
        <f t="shared" si="3"/>
        <v>5.8244907443265437E-2</v>
      </c>
      <c r="Q66" s="46">
        <f>TxRt!B388/100</f>
        <v>0.28899999999999998</v>
      </c>
      <c r="R66" s="46">
        <f>TxRt!C388/100</f>
        <v>0.21</v>
      </c>
      <c r="S66" s="46"/>
      <c r="T66" s="141">
        <v>0.19458636454181039</v>
      </c>
      <c r="V66" s="309">
        <v>132225</v>
      </c>
      <c r="W66" s="311">
        <v>0.48353703592741948</v>
      </c>
      <c r="X66" s="282">
        <f t="shared" si="1"/>
        <v>1.2380079888370969E-2</v>
      </c>
      <c r="Y66" s="7">
        <f t="shared" si="4"/>
        <v>1.1371025157335107E-2</v>
      </c>
    </row>
    <row r="67" spans="1:25" ht="12" customHeight="1">
      <c r="A67" s="171">
        <v>1992</v>
      </c>
      <c r="B67" s="185">
        <v>0.31</v>
      </c>
      <c r="D67" s="188">
        <v>121944.05147316495</v>
      </c>
      <c r="E67" s="3">
        <v>5475.2</v>
      </c>
      <c r="G67" s="176">
        <v>3388224</v>
      </c>
      <c r="H67" s="176">
        <v>766.1</v>
      </c>
      <c r="I67" s="176">
        <v>357.5</v>
      </c>
      <c r="J67" s="176">
        <v>110.8</v>
      </c>
      <c r="M67" s="189">
        <f t="shared" si="0"/>
        <v>2.7785069948619952E-2</v>
      </c>
      <c r="N67" s="189">
        <f t="shared" si="2"/>
        <v>0.13992182933956751</v>
      </c>
      <c r="O67" s="189">
        <f t="shared" si="3"/>
        <v>6.5294418468731741E-2</v>
      </c>
      <c r="Q67" s="46">
        <f>TxRt!B389/100</f>
        <v>0.29600000000000004</v>
      </c>
      <c r="R67" s="46">
        <f>TxRt!C389/100</f>
        <v>0.21600000000000003</v>
      </c>
      <c r="S67" s="46"/>
      <c r="T67" s="141">
        <v>0.19961834893882474</v>
      </c>
      <c r="V67" s="309">
        <v>137067</v>
      </c>
      <c r="W67" s="311">
        <v>0.48858478908128194</v>
      </c>
      <c r="X67" s="282">
        <f t="shared" si="1"/>
        <v>1.2231306853631661E-2</v>
      </c>
      <c r="Y67" s="7">
        <f t="shared" si="4"/>
        <v>1.1951364921703008E-2</v>
      </c>
    </row>
    <row r="68" spans="1:25" ht="12" customHeight="1">
      <c r="A68" s="171">
        <v>1993</v>
      </c>
      <c r="B68" s="185">
        <v>0.39600000000000002</v>
      </c>
      <c r="D68" s="188">
        <v>123378.49496791861</v>
      </c>
      <c r="E68" s="3">
        <v>5730.3</v>
      </c>
      <c r="G68" s="177">
        <v>453111</v>
      </c>
      <c r="H68" s="177">
        <v>334.2</v>
      </c>
      <c r="I68" s="177">
        <v>154.80000000000001</v>
      </c>
      <c r="J68" s="176">
        <v>61.3</v>
      </c>
      <c r="M68" s="189">
        <f t="shared" si="0"/>
        <v>3.6725281834392599E-3</v>
      </c>
      <c r="N68" s="189">
        <f t="shared" si="2"/>
        <v>5.8321553845348408E-2</v>
      </c>
      <c r="O68" s="189">
        <f t="shared" si="3"/>
        <v>2.7014292445421705E-2</v>
      </c>
      <c r="Q68" s="46">
        <f>TxRt!B390/100</f>
        <v>0.33200000000000002</v>
      </c>
      <c r="R68" s="46">
        <f>TxRt!C390/100</f>
        <v>0.23699999999999999</v>
      </c>
      <c r="S68" s="46"/>
      <c r="T68" s="141">
        <v>0.22341165185697881</v>
      </c>
      <c r="V68" s="309">
        <v>145644</v>
      </c>
      <c r="W68" s="311">
        <v>0.48901988446714556</v>
      </c>
      <c r="X68" s="282">
        <f t="shared" si="1"/>
        <v>1.2429159390142391E-2</v>
      </c>
      <c r="Y68" s="7">
        <f t="shared" si="4"/>
        <v>1.3559199892043452E-2</v>
      </c>
    </row>
    <row r="69" spans="1:25" ht="12" customHeight="1">
      <c r="A69" s="170">
        <v>1994</v>
      </c>
      <c r="B69" s="185">
        <v>0.39600000000000002</v>
      </c>
      <c r="D69" s="188">
        <v>124715.80547807975</v>
      </c>
      <c r="E69" s="3">
        <v>6114.6</v>
      </c>
      <c r="G69" s="177">
        <v>500734</v>
      </c>
      <c r="H69" s="177">
        <v>358.5</v>
      </c>
      <c r="I69" s="177">
        <v>165</v>
      </c>
      <c r="J69" s="176">
        <v>65.3</v>
      </c>
      <c r="M69" s="189">
        <f t="shared" si="0"/>
        <v>4.0150003287916045E-3</v>
      </c>
      <c r="N69" s="189">
        <f t="shared" si="2"/>
        <v>5.8630163870081443E-2</v>
      </c>
      <c r="O69" s="189">
        <f t="shared" si="3"/>
        <v>2.6984594249828277E-2</v>
      </c>
      <c r="Q69" s="46">
        <f>TxRt!B391/100</f>
        <v>0.34399999999999997</v>
      </c>
      <c r="R69" s="46">
        <f>TxRt!C391/100</f>
        <v>0.23699999999999999</v>
      </c>
      <c r="S69" s="46"/>
      <c r="T69" s="141">
        <v>0.22315008287772337</v>
      </c>
      <c r="V69" s="309">
        <v>192800</v>
      </c>
      <c r="W69" s="311">
        <v>0.44800770408492074</v>
      </c>
      <c r="X69" s="282">
        <f t="shared" si="1"/>
        <v>1.4126171024690531E-2</v>
      </c>
      <c r="Y69" s="7">
        <f t="shared" si="4"/>
        <v>1.4342600012674553E-2</v>
      </c>
    </row>
    <row r="70" spans="1:25" ht="12" customHeight="1">
      <c r="A70" s="170">
        <v>1995</v>
      </c>
      <c r="B70" s="185">
        <v>0.39600000000000002</v>
      </c>
      <c r="D70" s="188">
        <v>126023</v>
      </c>
      <c r="E70" s="3">
        <v>6452.3</v>
      </c>
      <c r="G70" s="182">
        <v>565437</v>
      </c>
      <c r="H70" s="183">
        <v>431.3</v>
      </c>
      <c r="I70" s="183">
        <v>202.1</v>
      </c>
      <c r="J70" s="184">
        <v>80</v>
      </c>
      <c r="M70" s="189">
        <f t="shared" si="0"/>
        <v>4.486776223387794E-3</v>
      </c>
      <c r="N70" s="189">
        <f t="shared" si="2"/>
        <v>6.6844381073415685E-2</v>
      </c>
      <c r="O70" s="189">
        <f t="shared" si="3"/>
        <v>3.1322164189513814E-2</v>
      </c>
      <c r="Q70" s="46">
        <f>TxRt!B392/100</f>
        <v>0.34899999999999998</v>
      </c>
      <c r="R70" s="46">
        <f>TxRt!C392/100</f>
        <v>0.24399999999999999</v>
      </c>
      <c r="S70" s="46"/>
      <c r="T70" s="141">
        <v>0.22789969402708907</v>
      </c>
      <c r="V70" s="309">
        <v>226228</v>
      </c>
      <c r="W70" s="311">
        <v>0.47428752500181132</v>
      </c>
      <c r="X70" s="282">
        <f t="shared" si="1"/>
        <v>1.6629282303381704E-2</v>
      </c>
      <c r="Y70" s="7">
        <f t="shared" si="4"/>
        <v>1.5491112088049805E-2</v>
      </c>
    </row>
    <row r="71" spans="1:25" ht="12" customHeight="1">
      <c r="A71" s="170">
        <v>1996</v>
      </c>
      <c r="B71" s="185">
        <v>0.39600000000000002</v>
      </c>
      <c r="D71" s="188">
        <v>127625.25324638988</v>
      </c>
      <c r="E71" s="3">
        <v>6870.6</v>
      </c>
      <c r="G71" s="178">
        <v>624600</v>
      </c>
      <c r="H71" s="177">
        <v>525.5</v>
      </c>
      <c r="I71" s="177">
        <v>239.6</v>
      </c>
      <c r="J71" s="176">
        <v>94.9</v>
      </c>
      <c r="M71" s="189">
        <f t="shared" si="0"/>
        <v>4.8940157540307795E-3</v>
      </c>
      <c r="N71" s="189">
        <f t="shared" si="2"/>
        <v>7.6485314237475621E-2</v>
      </c>
      <c r="O71" s="189">
        <f t="shared" si="3"/>
        <v>3.4873227956801443E-2</v>
      </c>
      <c r="Q71" s="46">
        <f>TxRt!B393/100</f>
        <v>0.34799999999999998</v>
      </c>
      <c r="R71" s="46">
        <f>TxRt!C393/100</f>
        <v>0.248</v>
      </c>
      <c r="S71" s="46"/>
      <c r="T71" s="141">
        <v>0.24702011836930793</v>
      </c>
      <c r="V71" s="309">
        <v>251056</v>
      </c>
      <c r="W71" s="311">
        <v>0.44599898518689779</v>
      </c>
      <c r="X71" s="282">
        <f t="shared" si="1"/>
        <v>1.6297080491526474E-2</v>
      </c>
      <c r="Y71" s="7">
        <f t="shared" si="4"/>
        <v>1.5427244090192615E-2</v>
      </c>
    </row>
    <row r="72" spans="1:25" ht="12" customHeight="1">
      <c r="A72" s="170">
        <v>1997</v>
      </c>
      <c r="B72" s="185">
        <v>0.39600000000000002</v>
      </c>
      <c r="D72" s="188">
        <v>129301.25716290172</v>
      </c>
      <c r="E72" s="3">
        <v>7349.9</v>
      </c>
      <c r="G72" s="178">
        <v>691359</v>
      </c>
      <c r="H72" s="178">
        <v>641.81073500000002</v>
      </c>
      <c r="I72" s="177">
        <v>290.7</v>
      </c>
      <c r="J72" s="176">
        <v>115.1</v>
      </c>
      <c r="M72" s="189">
        <f t="shared" si="0"/>
        <v>5.3468853680902978E-3</v>
      </c>
      <c r="N72" s="189">
        <f t="shared" si="2"/>
        <v>8.7322376494918308E-2</v>
      </c>
      <c r="O72" s="189">
        <f t="shared" si="3"/>
        <v>3.9551558524605776E-2</v>
      </c>
      <c r="Q72" s="46">
        <f>TxRt!B394/100</f>
        <v>0.33799999999999997</v>
      </c>
      <c r="R72" s="46">
        <f>TxRt!C394/100</f>
        <v>0.24399999999999999</v>
      </c>
      <c r="S72" s="46"/>
      <c r="T72" s="141">
        <v>0.25626001626348094</v>
      </c>
      <c r="V72" s="309">
        <v>280896</v>
      </c>
      <c r="W72" s="311">
        <v>0.47030262715563831</v>
      </c>
      <c r="X72" s="282">
        <f t="shared" si="1"/>
        <v>1.7973867230507923E-2</v>
      </c>
      <c r="Y72" s="7">
        <f t="shared" si="4"/>
        <v>1.5292035522772215E-2</v>
      </c>
    </row>
    <row r="73" spans="1:25" ht="12" customHeight="1">
      <c r="A73" s="170">
        <v>1998</v>
      </c>
      <c r="B73" s="185">
        <v>0.39600000000000002</v>
      </c>
      <c r="D73" s="188">
        <v>130945</v>
      </c>
      <c r="E73" s="3">
        <v>7825.7</v>
      </c>
      <c r="G73" s="178">
        <v>753425</v>
      </c>
      <c r="H73" s="178">
        <v>743.34998900000005</v>
      </c>
      <c r="I73" s="177">
        <v>335.3</v>
      </c>
      <c r="J73" s="176">
        <v>132.80000000000001</v>
      </c>
      <c r="M73" s="189">
        <f t="shared" si="0"/>
        <v>5.7537515750887775E-3</v>
      </c>
      <c r="N73" s="189">
        <f t="shared" si="2"/>
        <v>9.4988306349591739E-2</v>
      </c>
      <c r="O73" s="189">
        <f t="shared" si="3"/>
        <v>4.2846007385920752E-2</v>
      </c>
      <c r="Q73" s="46">
        <f>TxRt!B395/100</f>
        <v>0.32400000000000001</v>
      </c>
      <c r="R73" s="46">
        <f>TxRt!C395/100</f>
        <v>0.23899999999999999</v>
      </c>
      <c r="S73" s="46"/>
      <c r="T73" s="141">
        <v>0.27353308312481345</v>
      </c>
      <c r="V73" s="309">
        <v>198672</v>
      </c>
      <c r="W73" s="311">
        <v>0.47700639086173396</v>
      </c>
      <c r="X73" s="282">
        <f t="shared" si="1"/>
        <v>1.210981940085646E-2</v>
      </c>
      <c r="Y73" s="7">
        <f t="shared" si="4"/>
        <v>1.3287060614982771E-2</v>
      </c>
    </row>
    <row r="74" spans="1:25" ht="12" customHeight="1">
      <c r="A74" s="170">
        <v>1999</v>
      </c>
      <c r="B74" s="185">
        <v>0.39600000000000002</v>
      </c>
      <c r="D74" s="188">
        <v>132267</v>
      </c>
      <c r="E74" s="3">
        <v>8290.4</v>
      </c>
      <c r="G74" s="178">
        <v>864129</v>
      </c>
      <c r="H74" s="178">
        <v>894.58933400000001</v>
      </c>
      <c r="I74" s="177">
        <v>414.5</v>
      </c>
      <c r="J74" s="176">
        <v>164.1</v>
      </c>
      <c r="M74" s="189">
        <f t="shared" si="0"/>
        <v>6.5332169021751459E-3</v>
      </c>
      <c r="N74" s="189">
        <f t="shared" si="2"/>
        <v>0.10790665516742257</v>
      </c>
      <c r="O74" s="189">
        <f t="shared" si="3"/>
        <v>4.9997587571166652E-2</v>
      </c>
      <c r="Q74" s="46">
        <f>TxRt!B396/100</f>
        <v>0.32600000000000001</v>
      </c>
      <c r="R74" s="46">
        <f>TxRt!C396/100</f>
        <v>0.245</v>
      </c>
      <c r="S74" s="46"/>
      <c r="T74" s="141">
        <v>0.27621794690704349</v>
      </c>
      <c r="V74" s="309">
        <v>223549</v>
      </c>
      <c r="W74" s="311">
        <v>0.49880313813250737</v>
      </c>
      <c r="X74" s="282">
        <f t="shared" si="1"/>
        <v>1.3450128187588523E-2</v>
      </c>
      <c r="Y74" s="7">
        <f t="shared" si="4"/>
        <v>1.1662046743386372E-2</v>
      </c>
    </row>
    <row r="75" spans="1:25" ht="12" customHeight="1">
      <c r="A75" s="170">
        <v>2000</v>
      </c>
      <c r="B75" s="185">
        <v>0.39600000000000002</v>
      </c>
      <c r="D75" s="188">
        <v>134473</v>
      </c>
      <c r="E75" s="3">
        <v>8872.6</v>
      </c>
      <c r="G75" s="177">
        <v>921356</v>
      </c>
      <c r="H75" s="177">
        <v>1047.0999999999999</v>
      </c>
      <c r="I75" s="177">
        <v>489.4</v>
      </c>
      <c r="J75" s="176">
        <v>193.8</v>
      </c>
      <c r="M75" s="189">
        <f t="shared" si="0"/>
        <v>6.8516058985818714E-3</v>
      </c>
      <c r="N75" s="189">
        <f t="shared" si="2"/>
        <v>0.11801501251042534</v>
      </c>
      <c r="O75" s="189">
        <f t="shared" si="3"/>
        <v>5.5158578094357903E-2</v>
      </c>
      <c r="Q75" s="46">
        <f>TxRt!B397/100</f>
        <v>0.32299999999999995</v>
      </c>
      <c r="R75" s="46">
        <f>TxRt!C397/100</f>
        <v>0.247</v>
      </c>
      <c r="S75" s="46"/>
      <c r="T75" s="141">
        <v>0.28742855939745882</v>
      </c>
      <c r="V75" s="309">
        <v>131426</v>
      </c>
      <c r="W75" s="311">
        <v>0.44586511292074033</v>
      </c>
      <c r="X75" s="282">
        <f t="shared" si="1"/>
        <v>6.6044077644344633E-3</v>
      </c>
      <c r="Y75" s="7">
        <f t="shared" si="4"/>
        <v>1.0534320643172864E-2</v>
      </c>
    </row>
    <row r="76" spans="1:25" ht="12" customHeight="1">
      <c r="A76" s="170">
        <v>2001</v>
      </c>
      <c r="B76" s="185">
        <v>0.39100000000000001</v>
      </c>
      <c r="D76" s="188">
        <v>137088</v>
      </c>
      <c r="E76" s="3">
        <v>9144.2000000000007</v>
      </c>
      <c r="G76" s="177">
        <v>846345</v>
      </c>
      <c r="H76" s="177">
        <v>848.7</v>
      </c>
      <c r="I76" s="177">
        <v>414.4</v>
      </c>
      <c r="J76" s="176">
        <v>162</v>
      </c>
      <c r="M76" s="189">
        <f t="shared" si="0"/>
        <v>6.1737351190476186E-3</v>
      </c>
      <c r="N76" s="189">
        <f t="shared" si="2"/>
        <v>9.2812930600818008E-2</v>
      </c>
      <c r="O76" s="189">
        <f t="shared" si="3"/>
        <v>4.5318343868244348E-2</v>
      </c>
      <c r="Q76" s="46">
        <f>TxRt!B398/100</f>
        <v>0.32</v>
      </c>
      <c r="R76" s="46">
        <f>TxRt!C398/100</f>
        <v>0.24600000000000002</v>
      </c>
      <c r="S76" s="46"/>
      <c r="T76" s="141">
        <v>0.26951771185277729</v>
      </c>
      <c r="V76" s="309">
        <v>180170</v>
      </c>
      <c r="W76" s="311">
        <v>0.41475553203839449</v>
      </c>
      <c r="X76" s="282">
        <f t="shared" si="1"/>
        <v>8.1720111335444913E-3</v>
      </c>
      <c r="Y76" s="7">
        <f t="shared" si="4"/>
        <v>1.1068441781582915E-2</v>
      </c>
    </row>
    <row r="77" spans="1:25" ht="12" customHeight="1">
      <c r="A77" s="170">
        <v>2002</v>
      </c>
      <c r="B77" s="185">
        <v>0.38600000000000001</v>
      </c>
      <c r="D77" s="188">
        <v>139703</v>
      </c>
      <c r="E77" s="3">
        <v>9396.4</v>
      </c>
      <c r="G77" s="177">
        <v>766125</v>
      </c>
      <c r="H77" s="177">
        <v>738.2</v>
      </c>
      <c r="I77" s="177">
        <v>365.4</v>
      </c>
      <c r="J77" s="176">
        <v>141.1</v>
      </c>
      <c r="M77" s="189">
        <f t="shared" si="0"/>
        <v>5.4839552479187988E-3</v>
      </c>
      <c r="N77" s="189">
        <f t="shared" si="2"/>
        <v>7.8562002469030695E-2</v>
      </c>
      <c r="O77" s="189">
        <f t="shared" si="3"/>
        <v>3.8887233408539439E-2</v>
      </c>
      <c r="Q77" s="46">
        <f>TxRt!B399/100</f>
        <v>0.31900000000000001</v>
      </c>
      <c r="R77" s="46">
        <f>TxRt!C399/100</f>
        <v>0.24199999999999999</v>
      </c>
      <c r="S77" s="46"/>
      <c r="T77" s="141">
        <v>0.22969141555302069</v>
      </c>
      <c r="V77" s="309">
        <v>314653</v>
      </c>
      <c r="W77" s="311">
        <v>0.36836393870235951</v>
      </c>
      <c r="X77" s="282">
        <f t="shared" si="1"/>
        <v>1.2335236729440376E-2</v>
      </c>
      <c r="Y77" s="7">
        <f t="shared" si="4"/>
        <v>1.1387682467852642E-2</v>
      </c>
    </row>
    <row r="78" spans="1:25" ht="12" customHeight="1">
      <c r="A78" s="170">
        <v>2003</v>
      </c>
      <c r="B78" s="185">
        <v>0.35</v>
      </c>
      <c r="D78" s="188">
        <v>141843</v>
      </c>
      <c r="E78" s="3">
        <v>9811.2000000000007</v>
      </c>
      <c r="G78" s="177">
        <v>752028</v>
      </c>
      <c r="H78" s="177">
        <v>762.5</v>
      </c>
      <c r="I78" s="177">
        <v>367.9</v>
      </c>
      <c r="J78" s="176">
        <v>128.80000000000001</v>
      </c>
      <c r="M78" s="189">
        <f t="shared" si="0"/>
        <v>5.3018337175609652E-3</v>
      </c>
      <c r="N78" s="189">
        <f t="shared" si="2"/>
        <v>7.7717302674494448E-2</v>
      </c>
      <c r="O78" s="189">
        <f t="shared" si="3"/>
        <v>3.7497961513372466E-2</v>
      </c>
      <c r="Q78" s="46">
        <f>TxRt!B400/100</f>
        <v>0.30299999999999999</v>
      </c>
      <c r="R78" s="46">
        <f>TxRt!C400/100</f>
        <v>0.21</v>
      </c>
      <c r="S78" s="46"/>
      <c r="T78" s="141">
        <v>0.20503902984042655</v>
      </c>
      <c r="V78" s="309">
        <v>378625</v>
      </c>
      <c r="W78" s="311">
        <v>0.38300087598950511</v>
      </c>
      <c r="X78" s="282">
        <f t="shared" si="1"/>
        <v>1.4780425092906715E-2</v>
      </c>
      <c r="Y78" s="7">
        <f t="shared" si="4"/>
        <v>1.3427074225711266E-2</v>
      </c>
    </row>
    <row r="79" spans="1:25" ht="12" customHeight="1">
      <c r="A79" s="170">
        <v>2004</v>
      </c>
      <c r="B79" s="185">
        <v>0.35</v>
      </c>
      <c r="D79" s="188">
        <v>143982</v>
      </c>
      <c r="E79" s="3">
        <v>10492.2</v>
      </c>
      <c r="G79" s="177">
        <v>842741</v>
      </c>
      <c r="H79" s="177">
        <v>955.7</v>
      </c>
      <c r="I79" s="177">
        <v>452.3</v>
      </c>
      <c r="J79" s="176">
        <v>158.30000000000001</v>
      </c>
      <c r="M79" s="189">
        <f t="shared" si="0"/>
        <v>5.8530996930171823E-3</v>
      </c>
      <c r="N79" s="189">
        <f t="shared" si="2"/>
        <v>9.1086712033701223E-2</v>
      </c>
      <c r="O79" s="189">
        <f t="shared" si="3"/>
        <v>4.3108213720668684E-2</v>
      </c>
      <c r="Q79" s="46">
        <f>TxRt!B401/100</f>
        <v>0.3</v>
      </c>
      <c r="R79" s="46">
        <f>TxRt!C401/100</f>
        <v>0.20199999999999999</v>
      </c>
      <c r="S79" s="46"/>
      <c r="T79" s="141">
        <v>0.19906462907226533</v>
      </c>
      <c r="V79" s="309">
        <v>413162</v>
      </c>
      <c r="W79" s="311">
        <v>0.38209980736905264</v>
      </c>
      <c r="X79" s="282">
        <f t="shared" si="1"/>
        <v>1.5046331618937163E-2</v>
      </c>
      <c r="Y79" s="7">
        <f t="shared" si="4"/>
        <v>1.4942869151354347E-2</v>
      </c>
    </row>
    <row r="80" spans="1:25" ht="12" customHeight="1">
      <c r="A80" s="171">
        <v>2005</v>
      </c>
      <c r="B80" s="186">
        <v>0.35</v>
      </c>
      <c r="D80" s="188">
        <v>145881</v>
      </c>
      <c r="E80" s="3">
        <v>11198.7</v>
      </c>
      <c r="G80" s="177">
        <v>953005</v>
      </c>
      <c r="H80" s="177">
        <v>1207.9000000000001</v>
      </c>
      <c r="I80" s="177">
        <v>565.4</v>
      </c>
      <c r="J80" s="176">
        <v>197.9</v>
      </c>
      <c r="M80" s="189">
        <f t="shared" si="0"/>
        <v>6.5327561505610738E-3</v>
      </c>
      <c r="N80" s="189">
        <f t="shared" si="2"/>
        <v>0.1078607338351773</v>
      </c>
      <c r="O80" s="189">
        <f t="shared" si="3"/>
        <v>5.0488003071785109E-2</v>
      </c>
      <c r="Q80" s="46">
        <f>TxRt!B402/100</f>
        <v>0.30199999999999999</v>
      </c>
      <c r="R80" s="46">
        <f>TxRt!C402/100</f>
        <v>0.19800000000000001</v>
      </c>
      <c r="S80" s="46"/>
      <c r="T80" s="141">
        <v>0.21729079655519457</v>
      </c>
      <c r="V80" s="309">
        <v>484817</v>
      </c>
      <c r="W80" s="311">
        <v>0.38809172043313073</v>
      </c>
      <c r="X80" s="282">
        <f t="shared" si="1"/>
        <v>1.6801366553727586E-2</v>
      </c>
      <c r="Y80" s="7">
        <f t="shared" si="4"/>
        <v>1.4085502714680485E-2</v>
      </c>
    </row>
    <row r="81" spans="1:25" ht="12" customHeight="1">
      <c r="A81" s="171">
        <v>2006</v>
      </c>
      <c r="B81" s="186">
        <v>0.35</v>
      </c>
      <c r="D81" s="188">
        <v>148361</v>
      </c>
      <c r="E81" s="3">
        <v>11948.8</v>
      </c>
      <c r="G81" s="177">
        <v>1002051</v>
      </c>
      <c r="H81" s="177">
        <v>1364.6</v>
      </c>
      <c r="I81" s="177">
        <v>622.70000000000005</v>
      </c>
      <c r="J81" s="176">
        <v>218</v>
      </c>
      <c r="M81" s="189">
        <f t="shared" si="0"/>
        <v>6.7541402390116001E-3</v>
      </c>
      <c r="N81" s="189">
        <f t="shared" si="2"/>
        <v>0.11420393679700054</v>
      </c>
      <c r="O81" s="189">
        <f t="shared" si="3"/>
        <v>5.211401981788967E-2</v>
      </c>
      <c r="Q81" s="46">
        <f>TxRt!B403/100</f>
        <v>0.29799999999999999</v>
      </c>
      <c r="R81" s="46">
        <f>TxRt!C403/100</f>
        <v>0.19500000000000001</v>
      </c>
      <c r="S81" s="46"/>
      <c r="T81" s="141">
        <v>0.22551062843771402</v>
      </c>
      <c r="V81" s="309">
        <v>447140</v>
      </c>
      <c r="W81" s="311">
        <v>0.42090928718100928</v>
      </c>
      <c r="X81" s="282">
        <f t="shared" si="1"/>
        <v>1.5750985761759883E-2</v>
      </c>
      <c r="Y81" s="7">
        <f t="shared" si="4"/>
        <v>1.2061389720351354E-2</v>
      </c>
    </row>
    <row r="82" spans="1:25" ht="12" customHeight="1">
      <c r="A82" s="171">
        <v>2007</v>
      </c>
      <c r="B82" s="186">
        <v>0.35</v>
      </c>
      <c r="D82" s="188">
        <v>149875</v>
      </c>
      <c r="E82" s="3">
        <v>12290.4</v>
      </c>
      <c r="G82" s="177">
        <v>1060714</v>
      </c>
      <c r="H82" s="177">
        <v>1541.5</v>
      </c>
      <c r="I82" s="177">
        <v>686.1</v>
      </c>
      <c r="J82" s="176">
        <v>240.1</v>
      </c>
      <c r="M82" s="189">
        <f t="shared" si="0"/>
        <v>7.0773244370308597E-3</v>
      </c>
      <c r="N82" s="189">
        <f t="shared" si="2"/>
        <v>0.12542309444769903</v>
      </c>
      <c r="O82" s="189">
        <f t="shared" si="3"/>
        <v>5.5824057801210705E-2</v>
      </c>
      <c r="Q82" s="46">
        <f>TxRt!B404/100</f>
        <v>0.28199999999999997</v>
      </c>
      <c r="R82" s="46">
        <f>TxRt!C404/100</f>
        <v>0.19500000000000001</v>
      </c>
      <c r="S82" s="46"/>
      <c r="T82" s="141">
        <v>0.2474632324322901</v>
      </c>
      <c r="V82" s="309">
        <v>264552</v>
      </c>
      <c r="W82" s="311">
        <v>0.37390800762433085</v>
      </c>
      <c r="X82" s="282">
        <f t="shared" si="1"/>
        <v>8.0484045460710776E-3</v>
      </c>
      <c r="Y82" s="7">
        <f t="shared" si="4"/>
        <v>1.2414871713781596E-2</v>
      </c>
    </row>
    <row r="83" spans="1:25" ht="12" customHeight="1">
      <c r="A83" s="171">
        <v>2008</v>
      </c>
      <c r="B83" s="186">
        <v>0.35</v>
      </c>
      <c r="D83" s="188">
        <v>152462</v>
      </c>
      <c r="E83" s="3">
        <v>12325.8</v>
      </c>
      <c r="G83" s="177">
        <v>971510</v>
      </c>
      <c r="H83" s="177">
        <v>1293.7</v>
      </c>
      <c r="I83" s="177">
        <v>622.79999999999995</v>
      </c>
      <c r="J83" s="176">
        <v>218</v>
      </c>
      <c r="M83" s="189">
        <f t="shared" si="0"/>
        <v>6.372145190276921E-3</v>
      </c>
      <c r="N83" s="189">
        <f t="shared" si="2"/>
        <v>0.10495870450599556</v>
      </c>
      <c r="O83" s="189">
        <f t="shared" si="3"/>
        <v>5.052816044394684E-2</v>
      </c>
      <c r="Q83" s="46">
        <f>TxRt!B405/100</f>
        <v>0.28100000000000003</v>
      </c>
      <c r="R83" s="46">
        <f>TxRt!C405/100</f>
        <v>0.20499999999999999</v>
      </c>
      <c r="S83" s="46"/>
      <c r="T83" s="141">
        <v>0.23728518510614355</v>
      </c>
      <c r="V83" s="309">
        <v>167349</v>
      </c>
      <c r="W83" s="311">
        <v>0.34321390556644782</v>
      </c>
      <c r="X83" s="282">
        <f t="shared" si="1"/>
        <v>4.6598601212610516E-3</v>
      </c>
      <c r="Y83" s="7">
        <f t="shared" si="4"/>
        <v>1.3946235028960984E-2</v>
      </c>
    </row>
    <row r="84" spans="1:25" ht="12" customHeight="1">
      <c r="A84" s="171">
        <v>2009</v>
      </c>
      <c r="B84" s="186">
        <v>0.35</v>
      </c>
      <c r="D84" s="188">
        <v>153543</v>
      </c>
      <c r="E84" s="3">
        <v>12027.2</v>
      </c>
      <c r="G84" s="177">
        <v>790063</v>
      </c>
      <c r="H84" s="177">
        <v>985.6</v>
      </c>
      <c r="I84" s="177">
        <v>480</v>
      </c>
      <c r="J84" s="176">
        <v>169.8</v>
      </c>
      <c r="M84" s="189">
        <f t="shared" si="0"/>
        <v>5.1455488039181202E-3</v>
      </c>
      <c r="N84" s="189">
        <f t="shared" si="2"/>
        <v>8.1947585472928033E-2</v>
      </c>
      <c r="O84" s="189">
        <f t="shared" si="3"/>
        <v>3.9909538379672739E-2</v>
      </c>
      <c r="Q84" s="46">
        <f>TxRt!B406/100</f>
        <v>0.28699999999999998</v>
      </c>
      <c r="R84" s="46">
        <f>TxRt!C406/100</f>
        <v>0.21100000000000002</v>
      </c>
      <c r="S84" s="46"/>
      <c r="T84" s="141">
        <v>0.17834359556902643</v>
      </c>
      <c r="V84" s="309">
        <v>552898</v>
      </c>
      <c r="W84" s="311">
        <v>0.36574961892465191</v>
      </c>
      <c r="X84" s="282">
        <f t="shared" si="1"/>
        <v>1.6813741586088379E-2</v>
      </c>
      <c r="Y84" s="7">
        <f t="shared" si="4"/>
        <v>1.4877633968918308E-2</v>
      </c>
    </row>
    <row r="85" spans="1:25" ht="12" customHeight="1">
      <c r="A85" s="171">
        <v>2010</v>
      </c>
      <c r="B85" s="186">
        <v>0.35</v>
      </c>
      <c r="D85" s="188">
        <v>156167</v>
      </c>
      <c r="E85" s="3">
        <v>12735.8</v>
      </c>
      <c r="G85" s="179">
        <v>854212</v>
      </c>
      <c r="H85" s="179">
        <v>1151.3189159999999</v>
      </c>
      <c r="I85" s="177">
        <v>539.29999999999995</v>
      </c>
      <c r="J85" s="176">
        <v>188.8</v>
      </c>
      <c r="M85" s="189">
        <f t="shared" si="0"/>
        <v>5.4698623909020467E-3</v>
      </c>
      <c r="N85" s="189">
        <f t="shared" si="2"/>
        <v>9.0400203834859222E-2</v>
      </c>
      <c r="O85" s="189">
        <f t="shared" si="3"/>
        <v>4.2345200144474626E-2</v>
      </c>
      <c r="Q85" s="46">
        <f>TxRt!B407/100</f>
        <v>0.29299999999999998</v>
      </c>
      <c r="R85" s="46">
        <f>TxRt!C407/100</f>
        <v>0.20199999999999999</v>
      </c>
      <c r="S85" s="46"/>
      <c r="T85" s="141">
        <v>0.17580129690239985</v>
      </c>
      <c r="V85" s="309">
        <v>811899</v>
      </c>
      <c r="W85" s="311">
        <v>0.38366167306804427</v>
      </c>
      <c r="X85" s="282">
        <f t="shared" si="1"/>
        <v>2.4458183129624535E-2</v>
      </c>
      <c r="Y85" s="7">
        <f t="shared" si="4"/>
        <v>1.7106093653304393E-2</v>
      </c>
    </row>
    <row r="86" spans="1:25" ht="12" customHeight="1">
      <c r="A86" s="170">
        <v>2011</v>
      </c>
      <c r="B86" s="185">
        <v>0.35</v>
      </c>
      <c r="D86" s="188">
        <v>158367</v>
      </c>
      <c r="E86" s="3">
        <v>13357.7</v>
      </c>
      <c r="G86" s="180">
        <v>922346</v>
      </c>
      <c r="H86" s="180">
        <v>1195.1044240000001</v>
      </c>
      <c r="I86" s="177">
        <v>554.4</v>
      </c>
      <c r="J86" s="176">
        <v>194</v>
      </c>
      <c r="M86" s="189">
        <f t="shared" si="0"/>
        <v>5.8241047693016858E-3</v>
      </c>
      <c r="N86" s="189">
        <f t="shared" si="2"/>
        <v>8.9469326605628216E-2</v>
      </c>
      <c r="O86" s="189">
        <f t="shared" si="3"/>
        <v>4.1504151163748247E-2</v>
      </c>
      <c r="Q86" s="46">
        <f>TxRt!B408/100</f>
        <v>0.28999999999999998</v>
      </c>
      <c r="R86" s="46">
        <f>TxRt!C408/100</f>
        <v>0.20300000000000001</v>
      </c>
      <c r="S86" s="46"/>
      <c r="T86" s="141">
        <v>0.20199179717002252</v>
      </c>
      <c r="V86" s="309">
        <v>733860</v>
      </c>
      <c r="W86" s="311">
        <v>0.37146551196576943</v>
      </c>
      <c r="X86" s="282">
        <f t="shared" si="1"/>
        <v>2.0407980461546491E-2</v>
      </c>
      <c r="Y86" s="7">
        <f t="shared" si="4"/>
        <v>1.9804145477277459E-2</v>
      </c>
    </row>
    <row r="87" spans="1:25" ht="12" customHeight="1">
      <c r="A87" s="170">
        <v>2012</v>
      </c>
      <c r="B87" s="185">
        <v>0.35</v>
      </c>
      <c r="D87" s="188">
        <v>160681</v>
      </c>
      <c r="E87" s="3">
        <v>14094.7</v>
      </c>
      <c r="G87" s="177">
        <v>1034695</v>
      </c>
      <c r="H87" s="177">
        <v>1531.9</v>
      </c>
      <c r="I87" s="177">
        <v>694.9</v>
      </c>
      <c r="J87" s="176">
        <v>243.2</v>
      </c>
      <c r="M87" s="189">
        <f t="shared" si="0"/>
        <v>6.4394359009465963E-3</v>
      </c>
      <c r="N87" s="189">
        <f t="shared" si="2"/>
        <v>0.10868624376538699</v>
      </c>
      <c r="O87" s="189">
        <f t="shared" si="3"/>
        <v>4.930221998339801E-2</v>
      </c>
      <c r="Q87" s="46">
        <f>TxRt!B409/100</f>
        <v>0.28600000000000003</v>
      </c>
      <c r="R87" s="46">
        <f>TxRt!C409/100</f>
        <v>0.19899999999999998</v>
      </c>
      <c r="S87" s="46"/>
      <c r="T87" s="141">
        <v>0.1987892753517384</v>
      </c>
      <c r="V87" s="309">
        <v>691162</v>
      </c>
      <c r="W87" s="311">
        <v>0.39135137800268377</v>
      </c>
      <c r="X87" s="282">
        <f t="shared" si="1"/>
        <v>1.9190702968001513E-2</v>
      </c>
      <c r="Y87" s="7">
        <f t="shared" si="4"/>
        <v>2.0064327901505648E-2</v>
      </c>
    </row>
    <row r="88" spans="1:25" ht="12" customHeight="1">
      <c r="A88" s="170">
        <v>2013</v>
      </c>
      <c r="B88" s="185">
        <v>0.39600000000000002</v>
      </c>
      <c r="D88" s="188">
        <v>162998</v>
      </c>
      <c r="E88" s="3">
        <v>14494.7</v>
      </c>
      <c r="G88" s="177">
        <v>892420</v>
      </c>
      <c r="H88" s="177">
        <v>1296.0999999999999</v>
      </c>
      <c r="I88" s="177">
        <v>612.9</v>
      </c>
      <c r="J88" s="176">
        <v>242.7</v>
      </c>
      <c r="M88" s="189">
        <f t="shared" si="0"/>
        <v>5.4750365035153804E-3</v>
      </c>
      <c r="N88" s="189">
        <f t="shared" si="2"/>
        <v>8.9418891042932921E-2</v>
      </c>
      <c r="O88" s="189">
        <f t="shared" si="3"/>
        <v>4.2284421202232539E-2</v>
      </c>
      <c r="Q88" s="46">
        <f>TxRt!B410/100</f>
        <v>0.33600000000000002</v>
      </c>
      <c r="R88" s="46">
        <f>TxRt!C410/100</f>
        <v>0.23699999999999999</v>
      </c>
      <c r="S88" s="46"/>
      <c r="T88" s="141">
        <v>0.23629619505734908</v>
      </c>
      <c r="V88" s="309">
        <v>635808</v>
      </c>
      <c r="W88" s="311">
        <v>0.41377355013518935</v>
      </c>
      <c r="X88" s="282">
        <f t="shared" si="1"/>
        <v>1.8150119241126372E-2</v>
      </c>
      <c r="Y88" s="7">
        <f t="shared" si="4"/>
        <v>1.825892132683456E-2</v>
      </c>
    </row>
    <row r="89" spans="1:25" ht="12" customHeight="1">
      <c r="A89" s="171">
        <v>2014</v>
      </c>
      <c r="B89" s="186">
        <v>0.39600000000000002</v>
      </c>
      <c r="D89" s="188">
        <v>165033</v>
      </c>
      <c r="E89" s="3">
        <v>15242.5</v>
      </c>
      <c r="G89" s="177">
        <v>978900</v>
      </c>
      <c r="H89" s="177">
        <v>1524.4</v>
      </c>
      <c r="I89" s="177">
        <v>703.7</v>
      </c>
      <c r="J89" s="176">
        <v>278.7</v>
      </c>
      <c r="M89" s="189">
        <f t="shared" si="0"/>
        <v>5.9315409645343663E-3</v>
      </c>
      <c r="N89" s="189">
        <f t="shared" si="2"/>
        <v>0.1000098409053633</v>
      </c>
      <c r="O89" s="189">
        <f t="shared" si="3"/>
        <v>4.6166967360997214E-2</v>
      </c>
      <c r="Q89" s="46">
        <f>TxRt!B411/100</f>
        <v>0.33600000000000002</v>
      </c>
      <c r="R89" s="46">
        <f>TxRt!C411/100</f>
        <v>0.24</v>
      </c>
      <c r="S89" s="46"/>
      <c r="T89" s="141">
        <v>0.24505667675764325</v>
      </c>
      <c r="V89" s="309">
        <v>648893</v>
      </c>
      <c r="W89" s="311">
        <v>0.42551331133552511</v>
      </c>
      <c r="X89" s="282">
        <f t="shared" si="1"/>
        <v>1.8114653707229318E-2</v>
      </c>
      <c r="Y89" s="7">
        <f t="shared" si="4"/>
        <v>1.7721656543156574E-2</v>
      </c>
    </row>
    <row r="90" spans="1:25" ht="12" customHeight="1">
      <c r="A90" s="171">
        <v>2015</v>
      </c>
      <c r="B90" s="186">
        <v>0.39600000000000002</v>
      </c>
      <c r="D90" s="188">
        <v>167314</v>
      </c>
      <c r="E90" s="3">
        <v>15787.9</v>
      </c>
      <c r="G90" s="177">
        <v>1026445</v>
      </c>
      <c r="H90" s="177">
        <v>1597.9</v>
      </c>
      <c r="I90" s="177">
        <v>748.1</v>
      </c>
      <c r="J90" s="176">
        <v>296.2</v>
      </c>
      <c r="M90" s="189">
        <f t="shared" si="0"/>
        <v>6.1348422726131705E-3</v>
      </c>
      <c r="N90" s="189">
        <f t="shared" si="2"/>
        <v>0.10121042063859031</v>
      </c>
      <c r="O90" s="189">
        <f t="shared" si="3"/>
        <v>4.7384389310801314E-2</v>
      </c>
      <c r="Q90" s="46">
        <f>TxRt!B412/100</f>
        <v>0.33299999999999996</v>
      </c>
      <c r="R90" s="46">
        <f>TxRt!C412/100</f>
        <v>0.24</v>
      </c>
      <c r="S90" s="46"/>
      <c r="T90" s="141">
        <v>0.2540702729627185</v>
      </c>
      <c r="V90" s="309">
        <v>570109</v>
      </c>
      <c r="W90" s="311">
        <v>0.42733136493363683</v>
      </c>
      <c r="X90" s="282">
        <f t="shared" si="1"/>
        <v>1.543115025626909E-2</v>
      </c>
      <c r="Y90" s="7">
        <f t="shared" si="4"/>
        <v>1.7231974401541592E-2</v>
      </c>
    </row>
    <row r="91" spans="1:25" ht="12" customHeight="1">
      <c r="A91" s="170">
        <v>2016</v>
      </c>
      <c r="B91" s="186">
        <v>0.39600000000000002</v>
      </c>
      <c r="D91" s="188">
        <v>169645</v>
      </c>
      <c r="E91" s="3">
        <v>16053.6</v>
      </c>
      <c r="G91" s="177">
        <v>1017009</v>
      </c>
      <c r="H91" s="177">
        <v>1520.8</v>
      </c>
      <c r="I91" s="177">
        <v>701.2</v>
      </c>
      <c r="J91" s="176">
        <v>277.7</v>
      </c>
      <c r="M91" s="189">
        <f t="shared" si="0"/>
        <v>5.9949246956880545E-3</v>
      </c>
      <c r="N91" s="189">
        <f t="shared" si="2"/>
        <v>9.4732645637115656E-2</v>
      </c>
      <c r="O91" s="189">
        <f t="shared" si="3"/>
        <v>4.3678676433946281E-2</v>
      </c>
      <c r="Q91" s="46">
        <f>TxRt!B413/100</f>
        <v>0.33299999999999996</v>
      </c>
      <c r="R91" s="46">
        <f>TxRt!C413/100</f>
        <v>0.23699999999999999</v>
      </c>
      <c r="S91" s="46"/>
      <c r="T91" s="46"/>
    </row>
    <row r="92" spans="1:25" ht="12" customHeight="1">
      <c r="A92" s="170">
        <v>2017</v>
      </c>
      <c r="B92" s="186">
        <v>0.39600000000000002</v>
      </c>
      <c r="D92" s="188">
        <v>170531</v>
      </c>
      <c r="E92" s="3">
        <v>16708.8</v>
      </c>
      <c r="G92" s="181">
        <v>1109602</v>
      </c>
      <c r="H92" s="181"/>
      <c r="I92" s="177">
        <v>814.9</v>
      </c>
      <c r="J92" s="176">
        <v>322.7</v>
      </c>
      <c r="M92" s="189"/>
      <c r="N92" s="189"/>
      <c r="O92" s="189">
        <f t="shared" si="3"/>
        <v>4.8770707651058127E-2</v>
      </c>
      <c r="Q92" s="46"/>
      <c r="R92" s="46"/>
      <c r="S92" s="46"/>
      <c r="T92" s="46"/>
    </row>
    <row r="93" spans="1:25" ht="12" customHeight="1">
      <c r="A93" s="172">
        <v>2018</v>
      </c>
      <c r="B93" s="185">
        <v>0.37</v>
      </c>
      <c r="D93" s="188">
        <v>172907</v>
      </c>
      <c r="E93" s="3">
        <v>17545.900000000001</v>
      </c>
      <c r="G93" s="177"/>
      <c r="H93" s="177"/>
      <c r="I93" s="177"/>
      <c r="J93" s="176"/>
      <c r="Q93" s="46"/>
      <c r="R93" s="46"/>
      <c r="S93" s="46"/>
      <c r="T93" s="46"/>
    </row>
    <row r="94" spans="1:25" ht="12" customHeight="1">
      <c r="A94" s="172">
        <v>2019</v>
      </c>
      <c r="B94" s="185">
        <v>0.37</v>
      </c>
      <c r="E94" s="3">
        <v>18155.2</v>
      </c>
      <c r="G94" s="176"/>
      <c r="H94" s="176"/>
      <c r="I94" s="176"/>
      <c r="J94" s="176"/>
    </row>
    <row r="95" spans="1:25" ht="12" customHeight="1">
      <c r="A95" s="302">
        <v>2020</v>
      </c>
      <c r="B95" s="303">
        <v>0.37</v>
      </c>
      <c r="C95" s="191"/>
      <c r="D95" s="191"/>
      <c r="E95" s="191"/>
      <c r="F95" s="191"/>
      <c r="G95" s="304"/>
      <c r="H95" s="304"/>
      <c r="I95" s="304"/>
      <c r="J95" s="304"/>
    </row>
    <row r="96" spans="1:25">
      <c r="G96" s="131" t="s">
        <v>217</v>
      </c>
    </row>
    <row r="97" spans="1:12" ht="39.75" customHeight="1">
      <c r="A97" s="738" t="s">
        <v>210</v>
      </c>
      <c r="B97" s="738"/>
      <c r="C97" s="738"/>
      <c r="D97" s="738"/>
      <c r="E97" s="738"/>
      <c r="F97" s="738"/>
      <c r="G97" s="738"/>
      <c r="H97" s="738"/>
      <c r="I97" s="738"/>
      <c r="J97" s="738"/>
      <c r="K97" s="738"/>
      <c r="L97" s="169"/>
    </row>
    <row r="98" spans="1:12" ht="15" customHeight="1">
      <c r="A98" s="738" t="s">
        <v>211</v>
      </c>
      <c r="B98" s="738"/>
      <c r="C98" s="738"/>
      <c r="D98" s="738"/>
      <c r="E98" s="738"/>
      <c r="F98" s="738"/>
      <c r="G98" s="738"/>
      <c r="H98" s="738"/>
      <c r="I98" s="738"/>
      <c r="J98" s="738"/>
      <c r="K98" s="738"/>
      <c r="L98" s="169"/>
    </row>
  </sheetData>
  <mergeCells count="6">
    <mergeCell ref="V33:Y33"/>
    <mergeCell ref="A97:K97"/>
    <mergeCell ref="A98:K98"/>
    <mergeCell ref="G33:K33"/>
    <mergeCell ref="Q33:R33"/>
    <mergeCell ref="M33:O33"/>
  </mergeCells>
  <hyperlinks>
    <hyperlink ref="I1" location="Index!A1" display="index" xr:uid="{D4D06919-85A5-4287-AC79-5ACDC2CC5FC2}"/>
  </hyperlinks>
  <pageMargins left="0.7" right="0.7" top="0.75" bottom="0.75" header="0.3" footer="0.3"/>
  <pageSetup orientation="portrait" horizontalDpi="1200" verticalDpi="1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37C06-A7DB-4906-9596-AF1F66E371FA}">
  <dimension ref="A1:BB39"/>
  <sheetViews>
    <sheetView zoomScale="85" zoomScaleNormal="85" workbookViewId="0"/>
  </sheetViews>
  <sheetFormatPr defaultRowHeight="15"/>
  <cols>
    <col min="1" max="1" width="25.28515625" style="140" customWidth="1"/>
    <col min="2" max="5" width="7" style="140" customWidth="1"/>
    <col min="6" max="10" width="7.28515625" style="140" customWidth="1"/>
    <col min="11" max="12" width="7.140625" style="140" customWidth="1"/>
    <col min="13" max="16" width="7.7109375" style="140" customWidth="1"/>
    <col min="17" max="17" width="8" style="46" customWidth="1"/>
    <col min="18" max="18" width="9.28515625" style="140" customWidth="1"/>
    <col min="19" max="19" width="2.42578125" style="140" customWidth="1"/>
    <col min="20" max="20" width="6" style="140" customWidth="1"/>
    <col min="21" max="26" width="6.85546875" style="140" customWidth="1"/>
    <col min="27" max="27" width="7.85546875" style="140" customWidth="1"/>
    <col min="28" max="28" width="1.28515625" style="140" customWidth="1"/>
    <col min="29" max="29" width="7.28515625" style="140" customWidth="1"/>
    <col min="30" max="36" width="6.140625" style="140" customWidth="1"/>
    <col min="37" max="37" width="1.140625" style="140" customWidth="1"/>
    <col min="38" max="45" width="6.42578125" style="140" customWidth="1"/>
    <col min="46" max="46" width="2.7109375" style="140" customWidth="1"/>
    <col min="47" max="16384" width="9.140625" style="140"/>
  </cols>
  <sheetData>
    <row r="1" spans="1:11">
      <c r="A1" s="9" t="s">
        <v>808</v>
      </c>
      <c r="K1" s="641" t="s">
        <v>762</v>
      </c>
    </row>
    <row r="2" spans="1:11">
      <c r="A2" s="9"/>
    </row>
    <row r="3" spans="1:11">
      <c r="A3" s="9"/>
    </row>
    <row r="4" spans="1:11">
      <c r="A4" s="9"/>
    </row>
    <row r="5" spans="1:11">
      <c r="A5" s="9"/>
    </row>
    <row r="6" spans="1:11">
      <c r="A6" s="9"/>
    </row>
    <row r="7" spans="1:11">
      <c r="A7" s="9"/>
    </row>
    <row r="8" spans="1:11">
      <c r="A8" s="9"/>
    </row>
    <row r="9" spans="1:11">
      <c r="A9" s="9"/>
    </row>
    <row r="10" spans="1:11">
      <c r="A10" s="9"/>
    </row>
    <row r="11" spans="1:11">
      <c r="A11" s="9"/>
    </row>
    <row r="12" spans="1:11">
      <c r="A12" s="9"/>
    </row>
    <row r="13" spans="1:11">
      <c r="A13" s="9"/>
    </row>
    <row r="14" spans="1:11">
      <c r="A14" s="9"/>
    </row>
    <row r="15" spans="1:11">
      <c r="A15" s="9"/>
    </row>
    <row r="16" spans="1:11">
      <c r="A16" s="9"/>
    </row>
    <row r="17" spans="1:54">
      <c r="A17" s="9"/>
    </row>
    <row r="18" spans="1:54">
      <c r="A18" s="9"/>
    </row>
    <row r="19" spans="1:54">
      <c r="A19" s="9"/>
    </row>
    <row r="20" spans="1:54">
      <c r="A20" s="9"/>
    </row>
    <row r="21" spans="1:54">
      <c r="A21" s="9"/>
    </row>
    <row r="22" spans="1:54">
      <c r="A22" s="9"/>
    </row>
    <row r="23" spans="1:54">
      <c r="A23" s="9"/>
    </row>
    <row r="24" spans="1:54">
      <c r="A24" s="9"/>
    </row>
    <row r="25" spans="1:54">
      <c r="A25" s="9"/>
    </row>
    <row r="26" spans="1:54">
      <c r="A26" s="9"/>
    </row>
    <row r="27" spans="1:54" ht="15" customHeight="1">
      <c r="A27" s="112" t="s">
        <v>304</v>
      </c>
      <c r="B27" s="223"/>
      <c r="C27" s="223"/>
      <c r="D27" s="223"/>
      <c r="E27" s="223"/>
      <c r="F27" s="223"/>
      <c r="G27" s="223"/>
      <c r="H27" s="223"/>
      <c r="I27" s="223"/>
      <c r="J27" s="223"/>
      <c r="K27" s="223"/>
      <c r="L27" s="223"/>
      <c r="M27" s="223"/>
    </row>
    <row r="28" spans="1:54">
      <c r="A28" s="112" t="s">
        <v>669</v>
      </c>
    </row>
    <row r="29" spans="1:54">
      <c r="A29" s="9"/>
    </row>
    <row r="30" spans="1:54">
      <c r="A30" s="192" t="s">
        <v>482</v>
      </c>
      <c r="B30" s="191"/>
      <c r="C30" s="191"/>
      <c r="D30" s="191"/>
      <c r="E30" s="191"/>
      <c r="F30" s="191"/>
      <c r="G30" s="191"/>
      <c r="H30" s="191"/>
      <c r="I30" s="191"/>
      <c r="J30" s="4"/>
      <c r="K30" s="299" t="s">
        <v>481</v>
      </c>
      <c r="L30" s="4"/>
      <c r="M30" s="4"/>
      <c r="N30" s="4"/>
      <c r="O30" s="4"/>
      <c r="P30" s="50"/>
      <c r="Q30" s="205"/>
      <c r="R30" s="204"/>
      <c r="T30" s="741" t="s">
        <v>338</v>
      </c>
      <c r="U30" s="741"/>
      <c r="V30" s="741"/>
      <c r="W30" s="741"/>
      <c r="X30" s="741"/>
      <c r="Y30" s="741"/>
      <c r="Z30" s="741"/>
      <c r="AA30" s="741"/>
      <c r="AC30" s="741" t="s">
        <v>339</v>
      </c>
      <c r="AD30" s="741"/>
      <c r="AE30" s="741"/>
      <c r="AF30" s="741"/>
      <c r="AG30" s="741"/>
      <c r="AH30" s="741"/>
      <c r="AI30" s="741"/>
      <c r="AJ30" s="741"/>
      <c r="AL30" s="741" t="s">
        <v>340</v>
      </c>
      <c r="AM30" s="741"/>
      <c r="AN30" s="741"/>
      <c r="AO30" s="741"/>
      <c r="AP30" s="741"/>
      <c r="AQ30" s="741"/>
      <c r="AR30" s="741"/>
      <c r="AS30" s="741"/>
      <c r="AU30" s="741" t="s">
        <v>1020</v>
      </c>
      <c r="AV30" s="741"/>
      <c r="AW30" s="741"/>
      <c r="AX30" s="741"/>
      <c r="AY30" s="741"/>
      <c r="AZ30" s="741"/>
      <c r="BA30" s="741"/>
      <c r="BB30" s="741"/>
    </row>
    <row r="31" spans="1:54">
      <c r="A31" s="192" t="s">
        <v>305</v>
      </c>
      <c r="B31" s="236" t="s">
        <v>158</v>
      </c>
      <c r="C31" s="236" t="s">
        <v>159</v>
      </c>
      <c r="D31" s="236" t="s">
        <v>160</v>
      </c>
      <c r="E31" s="236" t="s">
        <v>161</v>
      </c>
      <c r="F31" s="195" t="s">
        <v>33</v>
      </c>
      <c r="G31" s="195" t="s">
        <v>51</v>
      </c>
      <c r="H31" s="195" t="s">
        <v>52</v>
      </c>
      <c r="I31" s="195" t="s">
        <v>28</v>
      </c>
      <c r="J31" s="121"/>
      <c r="K31" s="236" t="s">
        <v>158</v>
      </c>
      <c r="L31" s="236" t="s">
        <v>159</v>
      </c>
      <c r="M31" s="236" t="s">
        <v>160</v>
      </c>
      <c r="N31" s="236" t="s">
        <v>161</v>
      </c>
      <c r="O31" s="194" t="s">
        <v>33</v>
      </c>
      <c r="P31" s="194" t="s">
        <v>51</v>
      </c>
      <c r="Q31" s="194" t="s">
        <v>52</v>
      </c>
      <c r="R31" s="194" t="s">
        <v>28</v>
      </c>
      <c r="T31" s="236" t="s">
        <v>158</v>
      </c>
      <c r="U31" s="236" t="s">
        <v>159</v>
      </c>
      <c r="V31" s="236" t="s">
        <v>160</v>
      </c>
      <c r="W31" s="236" t="s">
        <v>161</v>
      </c>
      <c r="X31" s="194" t="s">
        <v>33</v>
      </c>
      <c r="Y31" s="194" t="s">
        <v>51</v>
      </c>
      <c r="Z31" s="194" t="s">
        <v>52</v>
      </c>
      <c r="AA31" s="194" t="s">
        <v>28</v>
      </c>
      <c r="AC31" s="236" t="s">
        <v>158</v>
      </c>
      <c r="AD31" s="236" t="s">
        <v>159</v>
      </c>
      <c r="AE31" s="236" t="s">
        <v>160</v>
      </c>
      <c r="AF31" s="236" t="s">
        <v>161</v>
      </c>
      <c r="AG31" s="194" t="s">
        <v>33</v>
      </c>
      <c r="AH31" s="194" t="s">
        <v>51</v>
      </c>
      <c r="AI31" s="194" t="s">
        <v>52</v>
      </c>
      <c r="AJ31" s="194" t="s">
        <v>28</v>
      </c>
      <c r="AL31" s="236" t="s">
        <v>158</v>
      </c>
      <c r="AM31" s="236" t="s">
        <v>159</v>
      </c>
      <c r="AN31" s="236" t="s">
        <v>160</v>
      </c>
      <c r="AO31" s="236" t="s">
        <v>161</v>
      </c>
      <c r="AP31" s="194" t="s">
        <v>33</v>
      </c>
      <c r="AQ31" s="194" t="s">
        <v>51</v>
      </c>
      <c r="AR31" s="194" t="s">
        <v>52</v>
      </c>
      <c r="AS31" s="194" t="s">
        <v>28</v>
      </c>
      <c r="AU31" s="672" t="s">
        <v>158</v>
      </c>
      <c r="AV31" s="672" t="s">
        <v>159</v>
      </c>
      <c r="AW31" s="672" t="s">
        <v>160</v>
      </c>
      <c r="AX31" s="672" t="s">
        <v>161</v>
      </c>
      <c r="AY31" s="194" t="s">
        <v>33</v>
      </c>
      <c r="AZ31" s="194" t="s">
        <v>51</v>
      </c>
      <c r="BA31" s="194" t="s">
        <v>52</v>
      </c>
      <c r="BB31" s="194" t="s">
        <v>28</v>
      </c>
    </row>
    <row r="32" spans="1:54">
      <c r="A32" s="140" t="s">
        <v>15</v>
      </c>
      <c r="B32" s="102">
        <f>(T$32)/K$32*100</f>
        <v>1.1235955056179776</v>
      </c>
      <c r="C32" s="102">
        <f t="shared" ref="C32:I32" si="0">(U$32)/L$32*100</f>
        <v>10.10928961748634</v>
      </c>
      <c r="D32" s="102">
        <f t="shared" si="0"/>
        <v>16.770186335403729</v>
      </c>
      <c r="E32" s="102">
        <f t="shared" si="0"/>
        <v>20.386473429951689</v>
      </c>
      <c r="F32" s="102">
        <f t="shared" si="0"/>
        <v>23.05699481865285</v>
      </c>
      <c r="G32" s="102">
        <f t="shared" si="0"/>
        <v>24.894712213383247</v>
      </c>
      <c r="H32" s="102">
        <f t="shared" si="0"/>
        <v>27.64341957255343</v>
      </c>
      <c r="I32" s="102">
        <f t="shared" si="0"/>
        <v>33.497096918267083</v>
      </c>
      <c r="K32" s="235">
        <f>'B2-RdTr'!AL68</f>
        <v>8900</v>
      </c>
      <c r="L32" s="235">
        <f>'B2-RdTr'!AM68</f>
        <v>36600</v>
      </c>
      <c r="M32" s="235">
        <f>'B2-RdTr'!AN68</f>
        <v>64400</v>
      </c>
      <c r="N32" s="235">
        <f>'B2-RdTr'!AO68</f>
        <v>103500</v>
      </c>
      <c r="O32" s="235">
        <f>'B2-RdTr'!AP68</f>
        <v>154400</v>
      </c>
      <c r="P32" s="235">
        <f>'B2-RdTr'!AQ68</f>
        <v>213700</v>
      </c>
      <c r="Q32" s="235">
        <f>'B2-RdTr'!AR68</f>
        <v>355600</v>
      </c>
      <c r="R32" s="235">
        <f>'B2-RdTr'!AS68</f>
        <v>1791200</v>
      </c>
      <c r="S32" s="9"/>
      <c r="T32" s="235">
        <f>'B2-RdTr'!K68</f>
        <v>100</v>
      </c>
      <c r="U32" s="235">
        <f>'B2-RdTr'!L68</f>
        <v>3700</v>
      </c>
      <c r="V32" s="235">
        <f>'B2-RdTr'!M68</f>
        <v>10800</v>
      </c>
      <c r="W32" s="235">
        <f>'B2-RdTr'!N68</f>
        <v>21100</v>
      </c>
      <c r="X32" s="235">
        <f>'B2-RdTr'!O68</f>
        <v>35600</v>
      </c>
      <c r="Y32" s="235">
        <f>'B2-RdTr'!P68</f>
        <v>53200</v>
      </c>
      <c r="Z32" s="235">
        <f>'B2-RdTr'!Q68</f>
        <v>98300</v>
      </c>
      <c r="AA32" s="235">
        <f>'B2-RdTr'!R68</f>
        <v>600000</v>
      </c>
      <c r="AB32" s="235"/>
      <c r="AC32" s="235">
        <f>'B2-RdTr'!T68</f>
        <v>12000</v>
      </c>
      <c r="AD32" s="235">
        <f>'B2-RdTr'!U68</f>
        <v>7700</v>
      </c>
      <c r="AE32" s="235">
        <f>'B2-RdTr'!V68</f>
        <v>3700</v>
      </c>
      <c r="AF32" s="235">
        <f>'B2-RdTr'!W68</f>
        <v>1800</v>
      </c>
      <c r="AG32" s="235">
        <f>'B2-RdTr'!X68</f>
        <v>1100</v>
      </c>
      <c r="AH32" s="235">
        <f>'B2-RdTr'!Y68</f>
        <v>900</v>
      </c>
      <c r="AI32" s="235">
        <f>'B2-RdTr'!Z68</f>
        <v>800</v>
      </c>
      <c r="AJ32" s="235">
        <f>'B2-RdTr'!AA68</f>
        <v>1100</v>
      </c>
      <c r="AL32" s="235">
        <f>'B2-RdTr'!AC68</f>
        <v>18100</v>
      </c>
      <c r="AM32" s="235">
        <f>'B2-RdTr'!AD68</f>
        <v>11900</v>
      </c>
      <c r="AN32" s="235">
        <f>'B2-RdTr'!AE68</f>
        <v>9000</v>
      </c>
      <c r="AO32" s="235">
        <f>'B2-RdTr'!AF68</f>
        <v>6900</v>
      </c>
      <c r="AP32" s="235">
        <f>'B2-RdTr'!AG68</f>
        <v>5900</v>
      </c>
      <c r="AQ32" s="235">
        <f>'B2-RdTr'!AH68</f>
        <v>6000</v>
      </c>
      <c r="AR32" s="235">
        <f>'B2-RdTr'!AI68</f>
        <v>7000</v>
      </c>
      <c r="AS32" s="235">
        <f>'B2-RdTr'!AJ68</f>
        <v>8700</v>
      </c>
      <c r="AU32" s="235">
        <f>K32-T32+AC32+AL32</f>
        <v>38900</v>
      </c>
      <c r="AV32" s="235">
        <f t="shared" ref="AV32:BB32" si="1">L32-U32+AD32+AM32</f>
        <v>52500</v>
      </c>
      <c r="AW32" s="235">
        <f t="shared" si="1"/>
        <v>66300</v>
      </c>
      <c r="AX32" s="235">
        <f t="shared" si="1"/>
        <v>91100</v>
      </c>
      <c r="AY32" s="235">
        <f t="shared" si="1"/>
        <v>125800</v>
      </c>
      <c r="AZ32" s="235">
        <f t="shared" si="1"/>
        <v>167400</v>
      </c>
      <c r="BA32" s="235">
        <f t="shared" si="1"/>
        <v>265100</v>
      </c>
      <c r="BB32" s="235">
        <f t="shared" si="1"/>
        <v>1201000</v>
      </c>
    </row>
    <row r="33" spans="1:18" ht="26.25" customHeight="1">
      <c r="A33" s="298" t="s">
        <v>354</v>
      </c>
      <c r="B33" s="102">
        <f>(T$32-AC$32)/K$32*100</f>
        <v>-133.70786516853931</v>
      </c>
      <c r="C33" s="102">
        <f t="shared" ref="C33:I33" si="2">(U$32-AD$32)/L$32*100</f>
        <v>-10.928961748633879</v>
      </c>
      <c r="D33" s="102">
        <f t="shared" si="2"/>
        <v>11.024844720496894</v>
      </c>
      <c r="E33" s="102">
        <f t="shared" si="2"/>
        <v>18.647342995169083</v>
      </c>
      <c r="F33" s="102">
        <f t="shared" si="2"/>
        <v>22.344559585492227</v>
      </c>
      <c r="G33" s="102">
        <f t="shared" si="2"/>
        <v>24.47356106691624</v>
      </c>
      <c r="H33" s="102">
        <f t="shared" si="2"/>
        <v>27.418447694038246</v>
      </c>
      <c r="I33" s="102">
        <f t="shared" si="2"/>
        <v>33.435685573916928</v>
      </c>
      <c r="N33" s="43"/>
      <c r="O33" s="43"/>
      <c r="P33" s="43"/>
      <c r="Q33" s="55"/>
      <c r="R33" s="44"/>
    </row>
    <row r="34" spans="1:18" ht="40.5" customHeight="1">
      <c r="A34" s="300" t="s">
        <v>337</v>
      </c>
      <c r="B34" s="301">
        <f>(T$32-AC$32-AL32)/K$32*100</f>
        <v>-337.07865168539325</v>
      </c>
      <c r="C34" s="301">
        <f t="shared" ref="C34:I34" si="3">(U$32-AD$32-AM32)/L$32*100</f>
        <v>-43.442622950819668</v>
      </c>
      <c r="D34" s="301">
        <f t="shared" si="3"/>
        <v>-2.9503105590062111</v>
      </c>
      <c r="E34" s="301">
        <f t="shared" si="3"/>
        <v>11.980676328502415</v>
      </c>
      <c r="F34" s="301">
        <f t="shared" si="3"/>
        <v>18.523316062176164</v>
      </c>
      <c r="G34" s="301">
        <f t="shared" si="3"/>
        <v>21.665886757136171</v>
      </c>
      <c r="H34" s="301">
        <f t="shared" si="3"/>
        <v>25.449943757030368</v>
      </c>
      <c r="I34" s="301">
        <f t="shared" si="3"/>
        <v>32.949977668602052</v>
      </c>
      <c r="K34" s="452"/>
      <c r="N34" s="688"/>
      <c r="O34" s="277"/>
      <c r="P34" s="277"/>
      <c r="Q34" s="55"/>
      <c r="R34" s="44"/>
    </row>
    <row r="35" spans="1:18">
      <c r="N35" s="57"/>
      <c r="O35" s="58"/>
      <c r="P35" s="56"/>
      <c r="Q35" s="37"/>
    </row>
    <row r="36" spans="1:18">
      <c r="A36" s="62"/>
      <c r="B36" s="62"/>
      <c r="C36" s="62"/>
      <c r="D36" s="62"/>
      <c r="E36" s="62"/>
      <c r="N36" s="279"/>
      <c r="O36" s="279"/>
      <c r="P36" s="279"/>
      <c r="Q36" s="37"/>
    </row>
    <row r="37" spans="1:18">
      <c r="B37" s="9" t="s">
        <v>81</v>
      </c>
      <c r="C37" s="39"/>
      <c r="D37" s="39"/>
      <c r="E37" s="39"/>
      <c r="F37" s="39"/>
      <c r="G37" s="39"/>
      <c r="H37" s="39"/>
      <c r="I37" s="55"/>
      <c r="M37" s="12"/>
      <c r="N37" s="12"/>
      <c r="O37" s="12"/>
      <c r="P37" s="12"/>
      <c r="Q37" s="37"/>
    </row>
    <row r="38" spans="1:18">
      <c r="B38" s="236" t="s">
        <v>158</v>
      </c>
      <c r="C38" s="236" t="s">
        <v>159</v>
      </c>
      <c r="D38" s="236" t="s">
        <v>160</v>
      </c>
      <c r="E38" s="236" t="s">
        <v>161</v>
      </c>
      <c r="F38" s="195" t="s">
        <v>33</v>
      </c>
      <c r="G38" s="195" t="s">
        <v>51</v>
      </c>
      <c r="H38" s="195" t="s">
        <v>52</v>
      </c>
      <c r="I38" s="195" t="s">
        <v>28</v>
      </c>
    </row>
    <row r="39" spans="1:18">
      <c r="B39" s="122">
        <v>10</v>
      </c>
      <c r="C39" s="122">
        <v>30</v>
      </c>
      <c r="D39" s="122">
        <v>50</v>
      </c>
      <c r="E39" s="122">
        <v>70</v>
      </c>
      <c r="F39" s="122">
        <v>85</v>
      </c>
      <c r="G39" s="122">
        <v>92.5</v>
      </c>
      <c r="H39" s="123">
        <v>97</v>
      </c>
      <c r="I39" s="278">
        <v>99.5</v>
      </c>
    </row>
  </sheetData>
  <mergeCells count="4">
    <mergeCell ref="T30:AA30"/>
    <mergeCell ref="AC30:AJ30"/>
    <mergeCell ref="AL30:AS30"/>
    <mergeCell ref="AU30:BB30"/>
  </mergeCells>
  <hyperlinks>
    <hyperlink ref="K1" location="Index!A1" display="index" xr:uid="{D7FD90EC-6A82-438E-8422-8339A2F6AF87}"/>
  </hyperlinks>
  <pageMargins left="0.7" right="0.7" top="0.75" bottom="0.75" header="0.3" footer="0.3"/>
  <pageSetup orientation="portrait" horizontalDpi="1200" verticalDpi="12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1BE8FC-EBE9-439B-9257-F57E4283F040}">
  <dimension ref="A1:BG48"/>
  <sheetViews>
    <sheetView zoomScale="70" zoomScaleNormal="70" workbookViewId="0"/>
  </sheetViews>
  <sheetFormatPr defaultRowHeight="15"/>
  <cols>
    <col min="1" max="1" width="8.28515625" style="46" customWidth="1"/>
    <col min="2" max="2" width="12.5703125" style="460" customWidth="1"/>
    <col min="3" max="3" width="1.85546875" style="460" customWidth="1"/>
    <col min="4" max="4" width="18.85546875" style="460" customWidth="1"/>
    <col min="5" max="5" width="17.42578125" style="460" customWidth="1"/>
    <col min="6" max="10" width="5.5703125" style="460" customWidth="1"/>
    <col min="11" max="14" width="7" style="460" customWidth="1"/>
    <col min="15" max="15" width="1.85546875" style="460" customWidth="1"/>
    <col min="16" max="16" width="5.85546875" style="460" customWidth="1"/>
    <col min="17" max="18" width="5.5703125" style="460" customWidth="1"/>
    <col min="19" max="19" width="6" style="460" customWidth="1"/>
    <col min="20" max="23" width="6.5703125" style="460" customWidth="1"/>
    <col min="24" max="24" width="3.42578125" style="460" customWidth="1"/>
    <col min="25" max="28" width="5" style="460" customWidth="1"/>
    <col min="29" max="32" width="5.7109375" style="460" customWidth="1"/>
    <col min="33" max="33" width="2.140625" style="460" customWidth="1"/>
    <col min="34" max="37" width="5.5703125" style="460" customWidth="1"/>
    <col min="38" max="39" width="6.7109375" style="460" customWidth="1"/>
    <col min="40" max="40" width="7.140625" style="460" customWidth="1"/>
    <col min="41" max="41" width="7.28515625" style="460" customWidth="1"/>
    <col min="42" max="42" width="2.28515625" style="460" customWidth="1"/>
    <col min="43" max="43" width="6.5703125" style="460" customWidth="1"/>
    <col min="44" max="50" width="6.140625" style="460" customWidth="1"/>
    <col min="51" max="51" width="2.42578125" style="460" customWidth="1"/>
    <col min="52" max="59" width="6.140625" style="460" customWidth="1"/>
    <col min="60" max="16384" width="9.140625" style="460"/>
  </cols>
  <sheetData>
    <row r="1" spans="1:59">
      <c r="A1" s="147" t="s">
        <v>809</v>
      </c>
      <c r="H1" s="641" t="s">
        <v>762</v>
      </c>
      <c r="AI1" s="127"/>
    </row>
    <row r="2" spans="1:59">
      <c r="A2" s="103"/>
    </row>
    <row r="3" spans="1:59">
      <c r="A3" s="103"/>
      <c r="M3" s="149" t="s">
        <v>200</v>
      </c>
      <c r="P3" s="45">
        <v>0.2</v>
      </c>
      <c r="Q3" s="45">
        <v>0.2</v>
      </c>
      <c r="R3" s="45">
        <v>0.2</v>
      </c>
      <c r="S3" s="45">
        <v>0.2</v>
      </c>
      <c r="T3" s="45">
        <v>0.1</v>
      </c>
      <c r="U3" s="45">
        <v>0.05</v>
      </c>
      <c r="V3" s="45">
        <v>0.04</v>
      </c>
      <c r="W3" s="45">
        <v>0.01</v>
      </c>
      <c r="X3" s="45"/>
      <c r="Y3" s="45"/>
      <c r="Z3" s="45"/>
      <c r="AA3" s="45"/>
      <c r="AB3" s="45"/>
      <c r="AC3" s="45"/>
      <c r="AD3" s="45"/>
      <c r="AE3" s="45"/>
      <c r="AF3" s="45"/>
    </row>
    <row r="4" spans="1:59">
      <c r="A4" s="103"/>
      <c r="F4" s="148"/>
      <c r="G4" s="148"/>
      <c r="H4" s="148"/>
      <c r="I4" s="148"/>
      <c r="J4" s="148"/>
      <c r="K4" s="148"/>
      <c r="L4" s="148"/>
      <c r="M4" s="149" t="s">
        <v>203</v>
      </c>
      <c r="N4" s="148"/>
      <c r="O4" s="460">
        <v>0</v>
      </c>
      <c r="P4" s="45">
        <v>0.2</v>
      </c>
      <c r="Q4" s="45">
        <f>P4+Q3</f>
        <v>0.4</v>
      </c>
      <c r="R4" s="45">
        <f t="shared" ref="R4:W4" si="0">Q4+R3</f>
        <v>0.60000000000000009</v>
      </c>
      <c r="S4" s="45">
        <f t="shared" si="0"/>
        <v>0.8</v>
      </c>
      <c r="T4" s="45">
        <f t="shared" si="0"/>
        <v>0.9</v>
      </c>
      <c r="U4" s="45">
        <f t="shared" si="0"/>
        <v>0.95000000000000007</v>
      </c>
      <c r="V4" s="45">
        <f t="shared" si="0"/>
        <v>0.9900000000000001</v>
      </c>
      <c r="W4" s="45">
        <f t="shared" si="0"/>
        <v>1</v>
      </c>
      <c r="X4" s="45"/>
      <c r="Y4" s="45"/>
      <c r="Z4" s="45"/>
      <c r="AA4" s="45"/>
      <c r="AB4" s="45"/>
      <c r="AC4" s="45"/>
      <c r="AD4" s="45"/>
      <c r="AE4" s="45"/>
      <c r="AF4" s="45"/>
      <c r="AG4" s="45"/>
    </row>
    <row r="5" spans="1:59">
      <c r="AH5" s="127"/>
      <c r="AQ5" s="127"/>
    </row>
    <row r="6" spans="1:59" ht="15" customHeight="1">
      <c r="A6" s="144"/>
      <c r="B6" s="729" t="s">
        <v>281</v>
      </c>
      <c r="C6" s="409"/>
      <c r="D6" s="733" t="s">
        <v>502</v>
      </c>
      <c r="E6" s="733" t="s">
        <v>341</v>
      </c>
      <c r="F6" s="410"/>
      <c r="G6" s="731" t="s">
        <v>301</v>
      </c>
      <c r="H6" s="731"/>
      <c r="I6" s="731"/>
      <c r="J6" s="731"/>
      <c r="K6" s="731"/>
      <c r="L6" s="731"/>
      <c r="M6" s="731"/>
      <c r="N6" s="731"/>
      <c r="O6" s="409"/>
      <c r="P6" s="731" t="s">
        <v>300</v>
      </c>
      <c r="Q6" s="731"/>
      <c r="R6" s="731"/>
      <c r="S6" s="731"/>
      <c r="T6" s="731"/>
      <c r="U6" s="731"/>
      <c r="V6" s="731"/>
      <c r="W6" s="731"/>
      <c r="X6" s="408"/>
      <c r="Y6" s="731" t="s">
        <v>348</v>
      </c>
      <c r="Z6" s="731"/>
      <c r="AA6" s="731"/>
      <c r="AB6" s="731"/>
      <c r="AC6" s="731"/>
      <c r="AD6" s="731"/>
      <c r="AE6" s="731"/>
      <c r="AF6" s="731"/>
      <c r="AG6" s="134"/>
      <c r="AH6" s="731" t="s">
        <v>347</v>
      </c>
      <c r="AI6" s="731"/>
      <c r="AJ6" s="731"/>
      <c r="AK6" s="731"/>
      <c r="AL6" s="731"/>
      <c r="AM6" s="731"/>
      <c r="AN6" s="731"/>
      <c r="AO6" s="731"/>
      <c r="AP6" s="408"/>
      <c r="AQ6" s="731" t="s">
        <v>637</v>
      </c>
      <c r="AR6" s="731"/>
      <c r="AS6" s="731"/>
      <c r="AT6" s="731"/>
      <c r="AU6" s="731"/>
      <c r="AV6" s="731"/>
      <c r="AW6" s="731"/>
      <c r="AX6" s="731"/>
      <c r="AY6" s="134"/>
      <c r="AZ6" s="731" t="s">
        <v>349</v>
      </c>
      <c r="BA6" s="731"/>
      <c r="BB6" s="731"/>
      <c r="BC6" s="731"/>
      <c r="BD6" s="731"/>
      <c r="BE6" s="731"/>
      <c r="BF6" s="731"/>
      <c r="BG6" s="731"/>
    </row>
    <row r="7" spans="1:59" ht="24.75" customHeight="1">
      <c r="A7" s="53"/>
      <c r="B7" s="730"/>
      <c r="C7" s="6"/>
      <c r="D7" s="734"/>
      <c r="E7" s="734"/>
      <c r="F7" s="411"/>
      <c r="G7" s="6" t="s">
        <v>158</v>
      </c>
      <c r="H7" s="6" t="s">
        <v>159</v>
      </c>
      <c r="I7" s="6" t="s">
        <v>160</v>
      </c>
      <c r="J7" s="6" t="s">
        <v>161</v>
      </c>
      <c r="K7" s="51" t="s">
        <v>33</v>
      </c>
      <c r="L7" s="51" t="s">
        <v>51</v>
      </c>
      <c r="M7" s="51" t="s">
        <v>52</v>
      </c>
      <c r="N7" s="51" t="s">
        <v>28</v>
      </c>
      <c r="O7" s="6"/>
      <c r="P7" s="6" t="s">
        <v>158</v>
      </c>
      <c r="Q7" s="6" t="s">
        <v>159</v>
      </c>
      <c r="R7" s="6" t="s">
        <v>160</v>
      </c>
      <c r="S7" s="6" t="s">
        <v>161</v>
      </c>
      <c r="T7" s="51" t="s">
        <v>33</v>
      </c>
      <c r="U7" s="51" t="s">
        <v>51</v>
      </c>
      <c r="V7" s="51" t="s">
        <v>52</v>
      </c>
      <c r="W7" s="51" t="s">
        <v>28</v>
      </c>
      <c r="X7" s="51"/>
      <c r="Y7" s="6" t="s">
        <v>158</v>
      </c>
      <c r="Z7" s="6" t="s">
        <v>159</v>
      </c>
      <c r="AA7" s="6" t="s">
        <v>160</v>
      </c>
      <c r="AB7" s="6" t="s">
        <v>161</v>
      </c>
      <c r="AC7" s="51" t="s">
        <v>33</v>
      </c>
      <c r="AD7" s="51" t="s">
        <v>51</v>
      </c>
      <c r="AE7" s="51" t="s">
        <v>52</v>
      </c>
      <c r="AF7" s="51" t="s">
        <v>28</v>
      </c>
      <c r="AG7" s="5"/>
      <c r="AH7" s="6" t="s">
        <v>158</v>
      </c>
      <c r="AI7" s="6" t="s">
        <v>159</v>
      </c>
      <c r="AJ7" s="6" t="s">
        <v>160</v>
      </c>
      <c r="AK7" s="6" t="s">
        <v>161</v>
      </c>
      <c r="AL7" s="51" t="s">
        <v>33</v>
      </c>
      <c r="AM7" s="51" t="s">
        <v>51</v>
      </c>
      <c r="AN7" s="51" t="s">
        <v>52</v>
      </c>
      <c r="AO7" s="51" t="s">
        <v>28</v>
      </c>
      <c r="AP7" s="51"/>
      <c r="AQ7" s="6" t="s">
        <v>158</v>
      </c>
      <c r="AR7" s="6" t="s">
        <v>159</v>
      </c>
      <c r="AS7" s="6" t="s">
        <v>160</v>
      </c>
      <c r="AT7" s="6" t="s">
        <v>161</v>
      </c>
      <c r="AU7" s="51" t="s">
        <v>33</v>
      </c>
      <c r="AV7" s="51" t="s">
        <v>51</v>
      </c>
      <c r="AW7" s="51" t="s">
        <v>52</v>
      </c>
      <c r="AX7" s="51" t="s">
        <v>28</v>
      </c>
      <c r="AY7" s="5"/>
      <c r="AZ7" s="6" t="s">
        <v>158</v>
      </c>
      <c r="BA7" s="6" t="s">
        <v>159</v>
      </c>
      <c r="BB7" s="6" t="s">
        <v>160</v>
      </c>
      <c r="BC7" s="6" t="s">
        <v>161</v>
      </c>
      <c r="BD7" s="51" t="s">
        <v>33</v>
      </c>
      <c r="BE7" s="51" t="s">
        <v>51</v>
      </c>
      <c r="BF7" s="51" t="s">
        <v>52</v>
      </c>
      <c r="BG7" s="51" t="s">
        <v>28</v>
      </c>
    </row>
    <row r="8" spans="1:59">
      <c r="A8" s="46">
        <v>1979</v>
      </c>
      <c r="B8" s="141">
        <f>E8-D8</f>
        <v>0.13194416749750737</v>
      </c>
      <c r="C8" s="46"/>
      <c r="D8" s="141">
        <f>SUM(G8:N8)*2</f>
        <v>0.34442931206380878</v>
      </c>
      <c r="E8" s="141">
        <f>SUM(Y8:AF8)*2</f>
        <v>0.47637347956131615</v>
      </c>
      <c r="F8" s="46"/>
      <c r="G8" s="157">
        <f>(P$4-P8)*P$3</f>
        <v>2.145563310069791E-2</v>
      </c>
      <c r="H8" s="157">
        <f t="shared" ref="H8:N23" si="1">(Q$4-Q8)*Q$3</f>
        <v>3.7328015952143578E-2</v>
      </c>
      <c r="I8" s="157">
        <f t="shared" si="1"/>
        <v>4.5423728813559355E-2</v>
      </c>
      <c r="J8" s="157">
        <f t="shared" si="1"/>
        <v>4.2352941176470621E-2</v>
      </c>
      <c r="K8" s="157">
        <f t="shared" si="1"/>
        <v>1.6819541375872393E-2</v>
      </c>
      <c r="L8" s="157">
        <f t="shared" si="1"/>
        <v>6.3235294117647113E-3</v>
      </c>
      <c r="M8" s="157">
        <f t="shared" si="1"/>
        <v>2.5112662013958209E-3</v>
      </c>
      <c r="N8" s="157">
        <f t="shared" si="1"/>
        <v>0</v>
      </c>
      <c r="O8" s="46"/>
      <c r="P8" s="154">
        <f>AQ8/SUM($AQ8:$AX8)</f>
        <v>9.2721834496510461E-2</v>
      </c>
      <c r="Q8" s="154">
        <f t="shared" ref="Q8:V8" si="2">P8+AR8/SUM($AQ8:$AX8)</f>
        <v>0.21335992023928213</v>
      </c>
      <c r="R8" s="154">
        <f t="shared" si="2"/>
        <v>0.37288135593220334</v>
      </c>
      <c r="S8" s="154">
        <f t="shared" si="2"/>
        <v>0.58823529411764697</v>
      </c>
      <c r="T8" s="154">
        <f t="shared" si="2"/>
        <v>0.73180458624127609</v>
      </c>
      <c r="U8" s="154">
        <f t="shared" si="2"/>
        <v>0.82352941176470584</v>
      </c>
      <c r="V8" s="154">
        <f t="shared" si="2"/>
        <v>0.92721834496510458</v>
      </c>
      <c r="W8" s="162">
        <v>1</v>
      </c>
      <c r="X8" s="154"/>
      <c r="Y8" s="142">
        <f>(P$4-AH8)*P$3</f>
        <v>3.4217347956131607E-2</v>
      </c>
      <c r="Z8" s="142">
        <f t="shared" ref="Z8:AF23" si="3">(Q$4-AI8)*Q$3</f>
        <v>5.3479561316051853E-2</v>
      </c>
      <c r="AA8" s="142">
        <f t="shared" si="3"/>
        <v>6.1375872382851471E-2</v>
      </c>
      <c r="AB8" s="142">
        <f t="shared" si="3"/>
        <v>5.5513459621136609E-2</v>
      </c>
      <c r="AC8" s="142">
        <f t="shared" si="3"/>
        <v>2.1904287138584257E-2</v>
      </c>
      <c r="AD8" s="142">
        <f t="shared" si="3"/>
        <v>8.2676969092721885E-3</v>
      </c>
      <c r="AE8" s="142">
        <f t="shared" si="3"/>
        <v>3.4285144566301141E-3</v>
      </c>
      <c r="AF8" s="142">
        <f>(W$4-AO8)*W$3</f>
        <v>0</v>
      </c>
      <c r="AH8" s="158">
        <f>AZ8/SUM($AZ8:$BG8)</f>
        <v>2.8913260219341971E-2</v>
      </c>
      <c r="AI8" s="158">
        <f t="shared" ref="AI8:AN8" si="4">AH8+BA8/SUM($AZ8:$BG8)</f>
        <v>0.13260219341974078</v>
      </c>
      <c r="AJ8" s="158">
        <f t="shared" si="4"/>
        <v>0.29312063808574274</v>
      </c>
      <c r="AK8" s="158">
        <f t="shared" si="4"/>
        <v>0.52243270189431701</v>
      </c>
      <c r="AL8" s="158">
        <f t="shared" si="4"/>
        <v>0.68095712861415747</v>
      </c>
      <c r="AM8" s="158">
        <f t="shared" si="4"/>
        <v>0.78464606181455632</v>
      </c>
      <c r="AN8" s="158">
        <f t="shared" si="4"/>
        <v>0.90428713858424725</v>
      </c>
      <c r="AO8" s="158">
        <v>1</v>
      </c>
      <c r="AP8" s="143"/>
      <c r="AQ8" s="152">
        <f>'B2-RdTr'!$O117</f>
        <v>9.3000000000000007</v>
      </c>
      <c r="AR8" s="152">
        <f>'B2-RdTr'!$O155</f>
        <v>12.1</v>
      </c>
      <c r="AS8" s="152">
        <f>'B2-RdTr'!$O193</f>
        <v>16</v>
      </c>
      <c r="AT8" s="152">
        <f>'B2-RdTr'!$O231</f>
        <v>21.6</v>
      </c>
      <c r="AU8" s="152">
        <f>'B2-RdTr'!$O307</f>
        <v>14.4</v>
      </c>
      <c r="AV8" s="152">
        <f>'B2-RdTr'!$O345</f>
        <v>9.1999999999999993</v>
      </c>
      <c r="AW8" s="152">
        <f>'B2-RdTr'!$O383</f>
        <v>10.4</v>
      </c>
      <c r="AX8" s="152">
        <f>'B2-RdTr'!$O421</f>
        <v>7.3</v>
      </c>
      <c r="AZ8" s="152">
        <f>'B2-RdTr'!$N117</f>
        <v>2.9</v>
      </c>
      <c r="BA8" s="152">
        <f>'B2-RdTr'!$N155</f>
        <v>10.4</v>
      </c>
      <c r="BB8" s="152">
        <f>'B2-RdTr'!$N193</f>
        <v>16.100000000000001</v>
      </c>
      <c r="BC8" s="152">
        <f>'B2-RdTr'!$N231</f>
        <v>23</v>
      </c>
      <c r="BD8" s="152">
        <f>'B2-RdTr'!$N307</f>
        <v>15.9</v>
      </c>
      <c r="BE8" s="152">
        <f>'B2-RdTr'!$N345</f>
        <v>10.4</v>
      </c>
      <c r="BF8" s="152">
        <f>'B2-RdTr'!$N383</f>
        <v>12</v>
      </c>
      <c r="BG8" s="152">
        <f>'B2-RdTr'!$N421</f>
        <v>9.6</v>
      </c>
    </row>
    <row r="9" spans="1:59">
      <c r="A9" s="46">
        <f>A8+1</f>
        <v>1980</v>
      </c>
      <c r="B9" s="141">
        <f t="shared" ref="B9:B45" si="5">E9-D9</f>
        <v>0.13902390438246992</v>
      </c>
      <c r="D9" s="141">
        <f t="shared" ref="D9:D45" si="6">SUM(G9:N9)*2</f>
        <v>0.34591314741035878</v>
      </c>
      <c r="E9" s="141">
        <f t="shared" ref="E9:E45" si="7">SUM(Y9:AF9)*2</f>
        <v>0.4849370517928287</v>
      </c>
      <c r="F9" s="46"/>
      <c r="G9" s="157">
        <f t="shared" ref="G9:N45" si="8">(P$4-P9)*P$3</f>
        <v>2.1274900398406377E-2</v>
      </c>
      <c r="H9" s="157">
        <f t="shared" si="1"/>
        <v>3.7171314741035869E-2</v>
      </c>
      <c r="I9" s="157">
        <f t="shared" si="1"/>
        <v>4.5498007968127509E-2</v>
      </c>
      <c r="J9" s="157">
        <f t="shared" si="1"/>
        <v>4.2868525896414371E-2</v>
      </c>
      <c r="K9" s="157">
        <f t="shared" si="1"/>
        <v>1.7091633466135469E-2</v>
      </c>
      <c r="L9" s="157">
        <f t="shared" si="1"/>
        <v>6.4641434262948279E-3</v>
      </c>
      <c r="M9" s="157">
        <f t="shared" si="1"/>
        <v>2.5880478087649461E-3</v>
      </c>
      <c r="N9" s="157">
        <f t="shared" si="1"/>
        <v>0</v>
      </c>
      <c r="O9" s="46"/>
      <c r="P9" s="154">
        <f t="shared" ref="P9:P45" si="9">AQ9/SUM($AQ9:$AX9)</f>
        <v>9.3625498007968128E-2</v>
      </c>
      <c r="Q9" s="154">
        <f t="shared" ref="Q9:Q45" si="10">P9+AR9/SUM($AQ9:$AX9)</f>
        <v>0.21414342629482069</v>
      </c>
      <c r="R9" s="154">
        <f t="shared" ref="R9:R45" si="11">Q9+AS9/SUM($AQ9:$AX9)</f>
        <v>0.37250996015936255</v>
      </c>
      <c r="S9" s="154">
        <f t="shared" ref="S9:S45" si="12">R9+AT9/SUM($AQ9:$AX9)</f>
        <v>0.58565737051792821</v>
      </c>
      <c r="T9" s="154">
        <f t="shared" ref="T9:T45" si="13">S9+AU9/SUM($AQ9:$AX9)</f>
        <v>0.72908366533864533</v>
      </c>
      <c r="U9" s="154">
        <f t="shared" ref="U9:U45" si="14">T9+AV9/SUM($AQ9:$AX9)</f>
        <v>0.82071713147410352</v>
      </c>
      <c r="V9" s="154">
        <f t="shared" ref="V9:V45" si="15">U9+AW9/SUM($AQ9:$AX9)</f>
        <v>0.92529880478087645</v>
      </c>
      <c r="W9" s="162">
        <v>1</v>
      </c>
      <c r="X9" s="154"/>
      <c r="Y9" s="142">
        <f>(P$4-AH9)*P$3</f>
        <v>3.4621513944223109E-2</v>
      </c>
      <c r="Z9" s="142">
        <f t="shared" si="3"/>
        <v>5.4501992031872518E-2</v>
      </c>
      <c r="AA9" s="142">
        <f t="shared" si="3"/>
        <v>6.2629482071713163E-2</v>
      </c>
      <c r="AB9" s="142">
        <f t="shared" si="3"/>
        <v>5.6613545816733057E-2</v>
      </c>
      <c r="AC9" s="142">
        <f t="shared" si="3"/>
        <v>2.2270916334661352E-2</v>
      </c>
      <c r="AD9" s="142">
        <f t="shared" si="3"/>
        <v>8.4063745019920307E-3</v>
      </c>
      <c r="AE9" s="142">
        <f t="shared" si="3"/>
        <v>3.4247011952191243E-3</v>
      </c>
      <c r="AF9" s="142">
        <f>(W$4-AO9)*W$3</f>
        <v>0</v>
      </c>
      <c r="AH9" s="158">
        <f t="shared" ref="AH9:AH45" si="16">AZ9/SUM($AZ9:$BG9)</f>
        <v>2.6892430278884466E-2</v>
      </c>
      <c r="AI9" s="158">
        <f t="shared" ref="AI9:AI45" si="17">AH9+BA9/SUM($AZ9:$BG9)</f>
        <v>0.12749003984063745</v>
      </c>
      <c r="AJ9" s="158">
        <f t="shared" ref="AJ9:AJ45" si="18">AI9+BB9/SUM($AZ9:$BG9)</f>
        <v>0.28685258964143429</v>
      </c>
      <c r="AK9" s="158">
        <f t="shared" ref="AK9:AK45" si="19">AJ9+BC9/SUM($AZ9:$BG9)</f>
        <v>0.51693227091633476</v>
      </c>
      <c r="AL9" s="158">
        <f t="shared" ref="AL9:AL45" si="20">AK9+BD9/SUM($AZ9:$BG9)</f>
        <v>0.67729083665338652</v>
      </c>
      <c r="AM9" s="158">
        <f t="shared" ref="AM9:AM45" si="21">AL9+BE9/SUM($AZ9:$BG9)</f>
        <v>0.78187250996015945</v>
      </c>
      <c r="AN9" s="158">
        <f t="shared" ref="AN9:AN45" si="22">AM9+BF9/SUM($AZ9:$BG9)</f>
        <v>0.904382470119522</v>
      </c>
      <c r="AO9" s="158">
        <v>1</v>
      </c>
      <c r="AP9" s="143"/>
      <c r="AQ9" s="152">
        <f>'B2-RdTr'!$O118</f>
        <v>9.4</v>
      </c>
      <c r="AR9" s="152">
        <f>'B2-RdTr'!$O156</f>
        <v>12.1</v>
      </c>
      <c r="AS9" s="152">
        <f>'B2-RdTr'!$O194</f>
        <v>15.9</v>
      </c>
      <c r="AT9" s="152">
        <f>'B2-RdTr'!$O232</f>
        <v>21.4</v>
      </c>
      <c r="AU9" s="152">
        <f>'B2-RdTr'!$O308</f>
        <v>14.4</v>
      </c>
      <c r="AV9" s="152">
        <f>'B2-RdTr'!$O346</f>
        <v>9.1999999999999993</v>
      </c>
      <c r="AW9" s="152">
        <f>'B2-RdTr'!$O384</f>
        <v>10.5</v>
      </c>
      <c r="AX9" s="152">
        <f>'B2-RdTr'!$O422</f>
        <v>7.5</v>
      </c>
      <c r="AY9" s="462"/>
      <c r="AZ9" s="152">
        <f>'B2-RdTr'!$N118</f>
        <v>2.7</v>
      </c>
      <c r="BA9" s="152">
        <f>'B2-RdTr'!$N156</f>
        <v>10.1</v>
      </c>
      <c r="BB9" s="152">
        <f>'B2-RdTr'!$N194</f>
        <v>16</v>
      </c>
      <c r="BC9" s="152">
        <f>'B2-RdTr'!$N232</f>
        <v>23.1</v>
      </c>
      <c r="BD9" s="152">
        <f>'B2-RdTr'!$N308</f>
        <v>16.100000000000001</v>
      </c>
      <c r="BE9" s="152">
        <f>'B2-RdTr'!$N346</f>
        <v>10.5</v>
      </c>
      <c r="BF9" s="152">
        <f>'B2-RdTr'!$N384</f>
        <v>12.3</v>
      </c>
      <c r="BG9" s="152">
        <f>'B2-RdTr'!$N422</f>
        <v>9.6</v>
      </c>
    </row>
    <row r="10" spans="1:59">
      <c r="A10" s="46">
        <f t="shared" ref="A10:A45" si="23">A9+1</f>
        <v>1981</v>
      </c>
      <c r="B10" s="141">
        <f t="shared" si="5"/>
        <v>0.13904477611940286</v>
      </c>
      <c r="D10" s="141">
        <f t="shared" si="6"/>
        <v>0.34946368159203994</v>
      </c>
      <c r="E10" s="141">
        <f t="shared" si="7"/>
        <v>0.4885084577114428</v>
      </c>
      <c r="F10" s="46"/>
      <c r="G10" s="157">
        <f t="shared" si="8"/>
        <v>2.1492537313432838E-2</v>
      </c>
      <c r="H10" s="157">
        <f t="shared" si="1"/>
        <v>3.7412935323383092E-2</v>
      </c>
      <c r="I10" s="157">
        <f t="shared" si="1"/>
        <v>4.5771144278606984E-2</v>
      </c>
      <c r="J10" s="157">
        <f t="shared" si="1"/>
        <v>4.3383084577114442E-2</v>
      </c>
      <c r="K10" s="157">
        <f t="shared" si="1"/>
        <v>1.7363184079601992E-2</v>
      </c>
      <c r="L10" s="157">
        <f t="shared" si="1"/>
        <v>6.6044776119403015E-3</v>
      </c>
      <c r="M10" s="157">
        <f t="shared" si="1"/>
        <v>2.7044776119403038E-3</v>
      </c>
      <c r="N10" s="157">
        <f t="shared" si="1"/>
        <v>0</v>
      </c>
      <c r="O10" s="46"/>
      <c r="P10" s="154">
        <f t="shared" si="9"/>
        <v>9.2537313432835833E-2</v>
      </c>
      <c r="Q10" s="154">
        <f t="shared" si="10"/>
        <v>0.21293532338308457</v>
      </c>
      <c r="R10" s="154">
        <f t="shared" si="11"/>
        <v>0.37114427860696519</v>
      </c>
      <c r="S10" s="154">
        <f t="shared" si="12"/>
        <v>0.58308457711442785</v>
      </c>
      <c r="T10" s="154">
        <f t="shared" si="13"/>
        <v>0.72636815920398012</v>
      </c>
      <c r="U10" s="154">
        <f t="shared" si="14"/>
        <v>0.81791044776119404</v>
      </c>
      <c r="V10" s="154">
        <f t="shared" si="15"/>
        <v>0.92238805970149251</v>
      </c>
      <c r="W10" s="162">
        <v>1</v>
      </c>
      <c r="X10" s="154"/>
      <c r="Y10" s="142">
        <f t="shared" ref="Y10:AF45" si="24">(P$4-AH10)*P$3</f>
        <v>3.482587064676617E-2</v>
      </c>
      <c r="Z10" s="142">
        <f t="shared" si="3"/>
        <v>5.492537313432836E-2</v>
      </c>
      <c r="AA10" s="142">
        <f t="shared" si="3"/>
        <v>6.3084577114427873E-2</v>
      </c>
      <c r="AB10" s="142">
        <f t="shared" si="3"/>
        <v>5.7114427860696516E-2</v>
      </c>
      <c r="AC10" s="142">
        <f t="shared" si="3"/>
        <v>2.2437810945273629E-2</v>
      </c>
      <c r="AD10" s="142">
        <f t="shared" si="3"/>
        <v>8.4452736318407946E-3</v>
      </c>
      <c r="AE10" s="142">
        <f t="shared" si="3"/>
        <v>3.4208955223880588E-3</v>
      </c>
      <c r="AF10" s="142">
        <f t="shared" si="3"/>
        <v>0</v>
      </c>
      <c r="AH10" s="158">
        <f t="shared" si="16"/>
        <v>2.5870646766169157E-2</v>
      </c>
      <c r="AI10" s="158">
        <f t="shared" si="17"/>
        <v>0.12537313432835823</v>
      </c>
      <c r="AJ10" s="158">
        <f t="shared" si="18"/>
        <v>0.28457711442786071</v>
      </c>
      <c r="AK10" s="158">
        <f t="shared" si="19"/>
        <v>0.51442786069651747</v>
      </c>
      <c r="AL10" s="158">
        <f t="shared" si="20"/>
        <v>0.67562189054726374</v>
      </c>
      <c r="AM10" s="158">
        <f t="shared" si="21"/>
        <v>0.78109452736318419</v>
      </c>
      <c r="AN10" s="158">
        <f t="shared" si="22"/>
        <v>0.90447761194029863</v>
      </c>
      <c r="AO10" s="158">
        <v>1</v>
      </c>
      <c r="AP10" s="143"/>
      <c r="AQ10" s="152">
        <f>'B2-RdTr'!$O119</f>
        <v>9.3000000000000007</v>
      </c>
      <c r="AR10" s="152">
        <f>'B2-RdTr'!$O157</f>
        <v>12.1</v>
      </c>
      <c r="AS10" s="152">
        <f>'B2-RdTr'!$O195</f>
        <v>15.9</v>
      </c>
      <c r="AT10" s="152">
        <f>'B2-RdTr'!$O233</f>
        <v>21.3</v>
      </c>
      <c r="AU10" s="152">
        <f>'B2-RdTr'!$O309</f>
        <v>14.4</v>
      </c>
      <c r="AV10" s="152">
        <f>'B2-RdTr'!$O347</f>
        <v>9.1999999999999993</v>
      </c>
      <c r="AW10" s="152">
        <f>'B2-RdTr'!$O385</f>
        <v>10.5</v>
      </c>
      <c r="AX10" s="152">
        <f>'B2-RdTr'!$O423</f>
        <v>7.8</v>
      </c>
      <c r="AY10" s="462"/>
      <c r="AZ10" s="152">
        <f>'B2-RdTr'!$N119</f>
        <v>2.6</v>
      </c>
      <c r="BA10" s="152">
        <f>'B2-RdTr'!$N157</f>
        <v>10</v>
      </c>
      <c r="BB10" s="152">
        <f>'B2-RdTr'!$N195</f>
        <v>16</v>
      </c>
      <c r="BC10" s="152">
        <f>'B2-RdTr'!$N233</f>
        <v>23.1</v>
      </c>
      <c r="BD10" s="152">
        <f>'B2-RdTr'!$N309</f>
        <v>16.2</v>
      </c>
      <c r="BE10" s="152">
        <f>'B2-RdTr'!$N347</f>
        <v>10.6</v>
      </c>
      <c r="BF10" s="152">
        <f>'B2-RdTr'!$N385</f>
        <v>12.4</v>
      </c>
      <c r="BG10" s="152">
        <f>'B2-RdTr'!$N423</f>
        <v>9.6</v>
      </c>
    </row>
    <row r="11" spans="1:59">
      <c r="A11" s="46">
        <f t="shared" si="23"/>
        <v>1982</v>
      </c>
      <c r="B11" s="141">
        <f t="shared" si="5"/>
        <v>0.13808424527314778</v>
      </c>
      <c r="D11" s="141">
        <f t="shared" si="6"/>
        <v>0.36336500994035792</v>
      </c>
      <c r="E11" s="141">
        <f t="shared" si="7"/>
        <v>0.5014492552135057</v>
      </c>
      <c r="F11" s="46"/>
      <c r="G11" s="157">
        <f t="shared" si="8"/>
        <v>2.2107355864811135E-2</v>
      </c>
      <c r="H11" s="157">
        <f t="shared" si="1"/>
        <v>3.8648111332007955E-2</v>
      </c>
      <c r="I11" s="157">
        <f t="shared" si="1"/>
        <v>4.7435387673956275E-2</v>
      </c>
      <c r="J11" s="157">
        <f t="shared" si="1"/>
        <v>4.52882703777336E-2</v>
      </c>
      <c r="K11" s="157">
        <f t="shared" si="1"/>
        <v>1.8230616302186874E-2</v>
      </c>
      <c r="L11" s="157">
        <f t="shared" si="1"/>
        <v>6.9930417495029824E-3</v>
      </c>
      <c r="M11" s="157">
        <f t="shared" si="1"/>
        <v>2.9797216699801198E-3</v>
      </c>
      <c r="N11" s="157">
        <f t="shared" si="1"/>
        <v>0</v>
      </c>
      <c r="O11" s="46"/>
      <c r="P11" s="154">
        <f t="shared" si="9"/>
        <v>8.9463220675944338E-2</v>
      </c>
      <c r="Q11" s="154">
        <f t="shared" si="10"/>
        <v>0.20675944333996027</v>
      </c>
      <c r="R11" s="154">
        <f t="shared" si="11"/>
        <v>0.36282306163021871</v>
      </c>
      <c r="S11" s="154">
        <f t="shared" si="12"/>
        <v>0.57355864811133206</v>
      </c>
      <c r="T11" s="154">
        <f t="shared" si="13"/>
        <v>0.71769383697813127</v>
      </c>
      <c r="U11" s="154">
        <f t="shared" si="14"/>
        <v>0.81013916500994043</v>
      </c>
      <c r="V11" s="154">
        <f t="shared" si="15"/>
        <v>0.9155069582504971</v>
      </c>
      <c r="W11" s="162">
        <v>1</v>
      </c>
      <c r="X11" s="154"/>
      <c r="Y11" s="142">
        <f t="shared" si="24"/>
        <v>3.5233366434955317E-2</v>
      </c>
      <c r="Z11" s="142">
        <f t="shared" si="3"/>
        <v>5.6166832174776575E-2</v>
      </c>
      <c r="AA11" s="142">
        <f t="shared" si="3"/>
        <v>6.4786494538232403E-2</v>
      </c>
      <c r="AB11" s="142">
        <f t="shared" si="3"/>
        <v>5.8907646474677278E-2</v>
      </c>
      <c r="AC11" s="142">
        <f t="shared" si="3"/>
        <v>2.3167825223435957E-2</v>
      </c>
      <c r="AD11" s="142">
        <f t="shared" si="3"/>
        <v>8.7711022840119227E-3</v>
      </c>
      <c r="AE11" s="142">
        <f t="shared" si="3"/>
        <v>3.6913604766633636E-3</v>
      </c>
      <c r="AF11" s="142">
        <f t="shared" si="3"/>
        <v>0</v>
      </c>
      <c r="AH11" s="158">
        <f t="shared" si="16"/>
        <v>2.383316782522343E-2</v>
      </c>
      <c r="AI11" s="158">
        <f t="shared" si="17"/>
        <v>0.11916583912611715</v>
      </c>
      <c r="AJ11" s="158">
        <f t="shared" si="18"/>
        <v>0.2760675273088381</v>
      </c>
      <c r="AK11" s="158">
        <f t="shared" si="19"/>
        <v>0.50546176762661366</v>
      </c>
      <c r="AL11" s="158">
        <f t="shared" si="20"/>
        <v>0.66832174776564046</v>
      </c>
      <c r="AM11" s="158">
        <f t="shared" si="21"/>
        <v>0.77457795431976162</v>
      </c>
      <c r="AN11" s="158">
        <f t="shared" si="22"/>
        <v>0.89771598808341602</v>
      </c>
      <c r="AO11" s="158">
        <v>1</v>
      </c>
      <c r="AP11" s="143"/>
      <c r="AQ11" s="152">
        <f>'B2-RdTr'!$O120</f>
        <v>9</v>
      </c>
      <c r="AR11" s="152">
        <f>'B2-RdTr'!$O158</f>
        <v>11.8</v>
      </c>
      <c r="AS11" s="152">
        <f>'B2-RdTr'!$O196</f>
        <v>15.7</v>
      </c>
      <c r="AT11" s="152">
        <f>'B2-RdTr'!$O234</f>
        <v>21.2</v>
      </c>
      <c r="AU11" s="152">
        <f>'B2-RdTr'!$O310</f>
        <v>14.5</v>
      </c>
      <c r="AV11" s="152">
        <f>'B2-RdTr'!$O348</f>
        <v>9.3000000000000007</v>
      </c>
      <c r="AW11" s="152">
        <f>'B2-RdTr'!$O386</f>
        <v>10.6</v>
      </c>
      <c r="AX11" s="152">
        <f>'B2-RdTr'!$O424</f>
        <v>8.5</v>
      </c>
      <c r="AY11" s="462"/>
      <c r="AZ11" s="152">
        <f>'B2-RdTr'!$N120</f>
        <v>2.4</v>
      </c>
      <c r="BA11" s="152">
        <f>'B2-RdTr'!$N158</f>
        <v>9.6</v>
      </c>
      <c r="BB11" s="152">
        <f>'B2-RdTr'!$N196</f>
        <v>15.8</v>
      </c>
      <c r="BC11" s="152">
        <f>'B2-RdTr'!$N234</f>
        <v>23.1</v>
      </c>
      <c r="BD11" s="152">
        <f>'B2-RdTr'!$N310</f>
        <v>16.399999999999999</v>
      </c>
      <c r="BE11" s="152">
        <f>'B2-RdTr'!$N348</f>
        <v>10.7</v>
      </c>
      <c r="BF11" s="152">
        <f>'B2-RdTr'!$N386</f>
        <v>12.4</v>
      </c>
      <c r="BG11" s="152">
        <f>'B2-RdTr'!$N424</f>
        <v>10.3</v>
      </c>
    </row>
    <row r="12" spans="1:59">
      <c r="A12" s="46">
        <f t="shared" si="23"/>
        <v>1983</v>
      </c>
      <c r="B12" s="141">
        <f t="shared" si="5"/>
        <v>0.13799240633029097</v>
      </c>
      <c r="D12" s="141">
        <f t="shared" si="6"/>
        <v>0.37785441906653439</v>
      </c>
      <c r="E12" s="141">
        <f t="shared" si="7"/>
        <v>0.51584682539682536</v>
      </c>
      <c r="F12" s="46"/>
      <c r="G12" s="157">
        <f t="shared" si="8"/>
        <v>2.2720953326713016E-2</v>
      </c>
      <c r="H12" s="157">
        <f t="shared" si="1"/>
        <v>3.9880834160873894E-2</v>
      </c>
      <c r="I12" s="157">
        <f t="shared" si="1"/>
        <v>4.9294935451837163E-2</v>
      </c>
      <c r="J12" s="157">
        <f t="shared" si="1"/>
        <v>4.7189672293942421E-2</v>
      </c>
      <c r="K12" s="157">
        <f t="shared" si="1"/>
        <v>1.9195630585898717E-2</v>
      </c>
      <c r="L12" s="157">
        <f t="shared" si="1"/>
        <v>7.4304865938431058E-3</v>
      </c>
      <c r="M12" s="157">
        <f t="shared" si="1"/>
        <v>3.2146971201588936E-3</v>
      </c>
      <c r="N12" s="157">
        <f t="shared" si="1"/>
        <v>0</v>
      </c>
      <c r="O12" s="46"/>
      <c r="P12" s="154">
        <f t="shared" si="9"/>
        <v>8.639523336643494E-2</v>
      </c>
      <c r="Q12" s="154">
        <f t="shared" si="10"/>
        <v>0.20059582919563057</v>
      </c>
      <c r="R12" s="154">
        <f t="shared" si="11"/>
        <v>0.35352532274081427</v>
      </c>
      <c r="S12" s="154">
        <f t="shared" si="12"/>
        <v>0.56405163853028795</v>
      </c>
      <c r="T12" s="154">
        <f t="shared" si="13"/>
        <v>0.70804369414101287</v>
      </c>
      <c r="U12" s="154">
        <f t="shared" si="14"/>
        <v>0.80139026812313796</v>
      </c>
      <c r="V12" s="154">
        <f t="shared" si="15"/>
        <v>0.90963257199602776</v>
      </c>
      <c r="W12" s="162">
        <v>1</v>
      </c>
      <c r="X12" s="154"/>
      <c r="Y12" s="142">
        <f t="shared" si="24"/>
        <v>3.5634920634920637E-2</v>
      </c>
      <c r="Z12" s="142">
        <f t="shared" si="3"/>
        <v>5.7182539682539682E-2</v>
      </c>
      <c r="AA12" s="142">
        <f t="shared" si="3"/>
        <v>6.6626984126984132E-2</v>
      </c>
      <c r="AB12" s="142">
        <f t="shared" si="3"/>
        <v>6.0992063492063479E-2</v>
      </c>
      <c r="AC12" s="142">
        <f t="shared" si="3"/>
        <v>2.4226190476190471E-2</v>
      </c>
      <c r="AD12" s="142">
        <f t="shared" si="3"/>
        <v>9.2559523809523769E-3</v>
      </c>
      <c r="AE12" s="142">
        <f t="shared" si="3"/>
        <v>4.0047619047619025E-3</v>
      </c>
      <c r="AF12" s="142">
        <f t="shared" si="3"/>
        <v>0</v>
      </c>
      <c r="AH12" s="158">
        <f t="shared" si="16"/>
        <v>2.1825396825396831E-2</v>
      </c>
      <c r="AI12" s="158">
        <f t="shared" si="17"/>
        <v>0.11408730158730161</v>
      </c>
      <c r="AJ12" s="158">
        <f t="shared" si="18"/>
        <v>0.26686507936507942</v>
      </c>
      <c r="AK12" s="158">
        <f t="shared" si="19"/>
        <v>0.49503968253968267</v>
      </c>
      <c r="AL12" s="158">
        <f t="shared" si="20"/>
        <v>0.65773809523809534</v>
      </c>
      <c r="AM12" s="158">
        <f t="shared" si="21"/>
        <v>0.76488095238095255</v>
      </c>
      <c r="AN12" s="158">
        <f t="shared" si="22"/>
        <v>0.88988095238095255</v>
      </c>
      <c r="AO12" s="158">
        <v>1</v>
      </c>
      <c r="AP12" s="143"/>
      <c r="AQ12" s="152">
        <f>'B2-RdTr'!$O121</f>
        <v>8.6999999999999993</v>
      </c>
      <c r="AR12" s="152">
        <f>'B2-RdTr'!$O159</f>
        <v>11.5</v>
      </c>
      <c r="AS12" s="152">
        <f>'B2-RdTr'!$O197</f>
        <v>15.4</v>
      </c>
      <c r="AT12" s="152">
        <f>'B2-RdTr'!$O235</f>
        <v>21.2</v>
      </c>
      <c r="AU12" s="152">
        <f>'B2-RdTr'!$O311</f>
        <v>14.5</v>
      </c>
      <c r="AV12" s="152">
        <f>'B2-RdTr'!$O349</f>
        <v>9.4</v>
      </c>
      <c r="AW12" s="152">
        <f>'B2-RdTr'!$O387</f>
        <v>10.9</v>
      </c>
      <c r="AX12" s="152">
        <f>'B2-RdTr'!$O425</f>
        <v>9.1</v>
      </c>
      <c r="AY12" s="462"/>
      <c r="AZ12" s="152">
        <f>'B2-RdTr'!$N121</f>
        <v>2.2000000000000002</v>
      </c>
      <c r="BA12" s="152">
        <f>'B2-RdTr'!$N159</f>
        <v>9.3000000000000007</v>
      </c>
      <c r="BB12" s="152">
        <f>'B2-RdTr'!$N197</f>
        <v>15.4</v>
      </c>
      <c r="BC12" s="152">
        <f>'B2-RdTr'!$N235</f>
        <v>23</v>
      </c>
      <c r="BD12" s="152">
        <f>'B2-RdTr'!$N311</f>
        <v>16.399999999999999</v>
      </c>
      <c r="BE12" s="152">
        <f>'B2-RdTr'!$N349</f>
        <v>10.8</v>
      </c>
      <c r="BF12" s="152">
        <f>'B2-RdTr'!$N387</f>
        <v>12.6</v>
      </c>
      <c r="BG12" s="152">
        <f>'B2-RdTr'!$N425</f>
        <v>11.1</v>
      </c>
    </row>
    <row r="13" spans="1:59">
      <c r="A13" s="46">
        <f t="shared" si="23"/>
        <v>1984</v>
      </c>
      <c r="B13" s="141">
        <f t="shared" si="5"/>
        <v>0.12431554515218862</v>
      </c>
      <c r="D13" s="141">
        <f t="shared" si="6"/>
        <v>0.38413048659384336</v>
      </c>
      <c r="E13" s="141">
        <f t="shared" si="7"/>
        <v>0.50844603174603198</v>
      </c>
      <c r="F13" s="46"/>
      <c r="G13" s="157">
        <f t="shared" si="8"/>
        <v>2.311817279046674E-2</v>
      </c>
      <c r="H13" s="157">
        <f t="shared" si="1"/>
        <v>4.0476663356504482E-2</v>
      </c>
      <c r="I13" s="157">
        <f t="shared" si="1"/>
        <v>4.9890764647467757E-2</v>
      </c>
      <c r="J13" s="157">
        <f t="shared" si="1"/>
        <v>4.7984111221449882E-2</v>
      </c>
      <c r="K13" s="157">
        <f t="shared" si="1"/>
        <v>1.9592850049652444E-2</v>
      </c>
      <c r="L13" s="157">
        <f t="shared" si="1"/>
        <v>7.6290963257199702E-3</v>
      </c>
      <c r="M13" s="157">
        <f t="shared" si="1"/>
        <v>3.373584905660385E-3</v>
      </c>
      <c r="N13" s="157">
        <f t="shared" si="1"/>
        <v>0</v>
      </c>
      <c r="O13" s="46"/>
      <c r="P13" s="154">
        <f t="shared" si="9"/>
        <v>8.4409136047666325E-2</v>
      </c>
      <c r="Q13" s="154">
        <f t="shared" si="10"/>
        <v>0.19761668321747763</v>
      </c>
      <c r="R13" s="154">
        <f t="shared" si="11"/>
        <v>0.35054617676266131</v>
      </c>
      <c r="S13" s="154">
        <f t="shared" si="12"/>
        <v>0.56007944389275066</v>
      </c>
      <c r="T13" s="154">
        <f t="shared" si="13"/>
        <v>0.70407149950347558</v>
      </c>
      <c r="U13" s="154">
        <f t="shared" si="14"/>
        <v>0.79741807348560068</v>
      </c>
      <c r="V13" s="154">
        <f t="shared" si="15"/>
        <v>0.90566037735849048</v>
      </c>
      <c r="W13" s="162">
        <v>1</v>
      </c>
      <c r="X13" s="154"/>
      <c r="Y13" s="142">
        <f t="shared" si="24"/>
        <v>3.4841269841269847E-2</v>
      </c>
      <c r="Z13" s="142">
        <f t="shared" si="3"/>
        <v>5.5992063492063496E-2</v>
      </c>
      <c r="AA13" s="142">
        <f t="shared" si="3"/>
        <v>6.5436507936507959E-2</v>
      </c>
      <c r="AB13" s="142">
        <f t="shared" si="3"/>
        <v>6.0396825396825421E-2</v>
      </c>
      <c r="AC13" s="142">
        <f t="shared" si="3"/>
        <v>2.4126984126984143E-2</v>
      </c>
      <c r="AD13" s="142">
        <f t="shared" si="3"/>
        <v>9.3055555555555669E-3</v>
      </c>
      <c r="AE13" s="142">
        <f t="shared" si="3"/>
        <v>4.1238095238095339E-3</v>
      </c>
      <c r="AF13" s="142">
        <f t="shared" si="3"/>
        <v>0</v>
      </c>
      <c r="AH13" s="158">
        <f t="shared" si="16"/>
        <v>2.5793650793650792E-2</v>
      </c>
      <c r="AI13" s="158">
        <f t="shared" si="17"/>
        <v>0.12003968253968253</v>
      </c>
      <c r="AJ13" s="158">
        <f t="shared" si="18"/>
        <v>0.27281746031746029</v>
      </c>
      <c r="AK13" s="158">
        <f t="shared" si="19"/>
        <v>0.49801587301587297</v>
      </c>
      <c r="AL13" s="158">
        <f t="shared" si="20"/>
        <v>0.65873015873015861</v>
      </c>
      <c r="AM13" s="158">
        <f t="shared" si="21"/>
        <v>0.76388888888888873</v>
      </c>
      <c r="AN13" s="158">
        <f t="shared" si="22"/>
        <v>0.88690476190476175</v>
      </c>
      <c r="AO13" s="158">
        <v>1</v>
      </c>
      <c r="AP13" s="143"/>
      <c r="AQ13" s="152">
        <f>'B2-RdTr'!$O122</f>
        <v>8.5</v>
      </c>
      <c r="AR13" s="152">
        <f>'B2-RdTr'!$O160</f>
        <v>11.4</v>
      </c>
      <c r="AS13" s="152">
        <f>'B2-RdTr'!$O198</f>
        <v>15.4</v>
      </c>
      <c r="AT13" s="152">
        <f>'B2-RdTr'!$O236</f>
        <v>21.1</v>
      </c>
      <c r="AU13" s="152">
        <f>'B2-RdTr'!$O312</f>
        <v>14.5</v>
      </c>
      <c r="AV13" s="152">
        <f>'B2-RdTr'!$O350</f>
        <v>9.4</v>
      </c>
      <c r="AW13" s="152">
        <f>'B2-RdTr'!$O388</f>
        <v>10.9</v>
      </c>
      <c r="AX13" s="152">
        <f>'B2-RdTr'!$O426</f>
        <v>9.5</v>
      </c>
      <c r="AY13" s="462"/>
      <c r="AZ13" s="152">
        <f>'B2-RdTr'!$N122</f>
        <v>2.6</v>
      </c>
      <c r="BA13" s="152">
        <f>'B2-RdTr'!$N160</f>
        <v>9.5</v>
      </c>
      <c r="BB13" s="152">
        <f>'B2-RdTr'!$N198</f>
        <v>15.4</v>
      </c>
      <c r="BC13" s="152">
        <f>'B2-RdTr'!$N236</f>
        <v>22.7</v>
      </c>
      <c r="BD13" s="152">
        <f>'B2-RdTr'!$N312</f>
        <v>16.2</v>
      </c>
      <c r="BE13" s="152">
        <f>'B2-RdTr'!$N350</f>
        <v>10.6</v>
      </c>
      <c r="BF13" s="152">
        <f>'B2-RdTr'!$N388</f>
        <v>12.4</v>
      </c>
      <c r="BG13" s="152">
        <f>'B2-RdTr'!$N426</f>
        <v>11.4</v>
      </c>
    </row>
    <row r="14" spans="1:59">
      <c r="A14" s="46">
        <f t="shared" si="23"/>
        <v>1985</v>
      </c>
      <c r="B14" s="141">
        <f t="shared" si="5"/>
        <v>0.12784321259122655</v>
      </c>
      <c r="D14" s="141">
        <f t="shared" si="6"/>
        <v>0.39231507936507937</v>
      </c>
      <c r="E14" s="141">
        <f t="shared" si="7"/>
        <v>0.52015829195630592</v>
      </c>
      <c r="F14" s="46"/>
      <c r="G14" s="157">
        <f t="shared" si="8"/>
        <v>2.3134920634920637E-2</v>
      </c>
      <c r="H14" s="157">
        <f t="shared" si="1"/>
        <v>4.0912698412698421E-2</v>
      </c>
      <c r="I14" s="157">
        <f t="shared" si="1"/>
        <v>5.0753968253968273E-2</v>
      </c>
      <c r="J14" s="157">
        <f t="shared" si="1"/>
        <v>4.9285714285714294E-2</v>
      </c>
      <c r="K14" s="157">
        <f t="shared" si="1"/>
        <v>2.0357142857142851E-2</v>
      </c>
      <c r="L14" s="157">
        <f t="shared" si="1"/>
        <v>8.0654761904761906E-3</v>
      </c>
      <c r="M14" s="157">
        <f t="shared" si="1"/>
        <v>3.6476190476190462E-3</v>
      </c>
      <c r="N14" s="157">
        <f t="shared" si="1"/>
        <v>0</v>
      </c>
      <c r="O14" s="46"/>
      <c r="P14" s="154">
        <f t="shared" si="9"/>
        <v>8.4325396825396831E-2</v>
      </c>
      <c r="Q14" s="154">
        <f t="shared" si="10"/>
        <v>0.19543650793650794</v>
      </c>
      <c r="R14" s="154">
        <f t="shared" si="11"/>
        <v>0.34623015873015872</v>
      </c>
      <c r="S14" s="154">
        <f t="shared" si="12"/>
        <v>0.5535714285714286</v>
      </c>
      <c r="T14" s="154">
        <f t="shared" si="13"/>
        <v>0.69642857142857151</v>
      </c>
      <c r="U14" s="154">
        <f t="shared" si="14"/>
        <v>0.78869047619047628</v>
      </c>
      <c r="V14" s="154">
        <f t="shared" si="15"/>
        <v>0.89880952380952395</v>
      </c>
      <c r="W14" s="162">
        <v>1</v>
      </c>
      <c r="X14" s="154"/>
      <c r="Y14" s="142">
        <f t="shared" si="24"/>
        <v>3.5233366434955317E-2</v>
      </c>
      <c r="Z14" s="142">
        <f t="shared" si="3"/>
        <v>5.6762661370407155E-2</v>
      </c>
      <c r="AA14" s="142">
        <f t="shared" si="3"/>
        <v>6.6772591857001004E-2</v>
      </c>
      <c r="AB14" s="142">
        <f t="shared" si="3"/>
        <v>6.2085402184707053E-2</v>
      </c>
      <c r="AC14" s="142">
        <f t="shared" si="3"/>
        <v>2.5054617676266135E-2</v>
      </c>
      <c r="AD14" s="142">
        <f t="shared" si="3"/>
        <v>9.7641509433962284E-3</v>
      </c>
      <c r="AE14" s="142">
        <f t="shared" si="3"/>
        <v>4.4063555114200615E-3</v>
      </c>
      <c r="AF14" s="142">
        <f t="shared" si="3"/>
        <v>0</v>
      </c>
      <c r="AH14" s="158">
        <f t="shared" si="16"/>
        <v>2.3833167825223437E-2</v>
      </c>
      <c r="AI14" s="158">
        <f t="shared" si="17"/>
        <v>0.11618669314796426</v>
      </c>
      <c r="AJ14" s="158">
        <f t="shared" si="18"/>
        <v>0.26613704071499505</v>
      </c>
      <c r="AK14" s="158">
        <f t="shared" si="19"/>
        <v>0.48957298907646479</v>
      </c>
      <c r="AL14" s="158">
        <f t="shared" si="20"/>
        <v>0.64945382323733869</v>
      </c>
      <c r="AM14" s="158">
        <f t="shared" si="21"/>
        <v>0.75471698113207553</v>
      </c>
      <c r="AN14" s="158">
        <f t="shared" si="22"/>
        <v>0.87984111221449857</v>
      </c>
      <c r="AO14" s="158">
        <v>1</v>
      </c>
      <c r="AP14" s="143"/>
      <c r="AQ14" s="152">
        <f>'B2-RdTr'!$O123</f>
        <v>8.5</v>
      </c>
      <c r="AR14" s="152">
        <f>'B2-RdTr'!$O161</f>
        <v>11.2</v>
      </c>
      <c r="AS14" s="152">
        <f>'B2-RdTr'!$O199</f>
        <v>15.2</v>
      </c>
      <c r="AT14" s="152">
        <f>'B2-RdTr'!$O237</f>
        <v>20.9</v>
      </c>
      <c r="AU14" s="152">
        <f>'B2-RdTr'!$O313</f>
        <v>14.4</v>
      </c>
      <c r="AV14" s="152">
        <f>'B2-RdTr'!$O351</f>
        <v>9.3000000000000007</v>
      </c>
      <c r="AW14" s="152">
        <f>'B2-RdTr'!$O389</f>
        <v>11.1</v>
      </c>
      <c r="AX14" s="152">
        <f>'B2-RdTr'!$O427</f>
        <v>10.199999999999999</v>
      </c>
      <c r="AY14" s="462"/>
      <c r="AZ14" s="152">
        <f>'B2-RdTr'!$N123</f>
        <v>2.4</v>
      </c>
      <c r="BA14" s="152">
        <f>'B2-RdTr'!$N161</f>
        <v>9.3000000000000007</v>
      </c>
      <c r="BB14" s="152">
        <f>'B2-RdTr'!$N199</f>
        <v>15.1</v>
      </c>
      <c r="BC14" s="152">
        <f>'B2-RdTr'!$N237</f>
        <v>22.5</v>
      </c>
      <c r="BD14" s="152">
        <f>'B2-RdTr'!$N313</f>
        <v>16.100000000000001</v>
      </c>
      <c r="BE14" s="152">
        <f>'B2-RdTr'!$N351</f>
        <v>10.6</v>
      </c>
      <c r="BF14" s="152">
        <f>'B2-RdTr'!$N389</f>
        <v>12.6</v>
      </c>
      <c r="BG14" s="152">
        <f>'B2-RdTr'!$N427</f>
        <v>12.1</v>
      </c>
    </row>
    <row r="15" spans="1:59">
      <c r="A15" s="46">
        <f t="shared" si="23"/>
        <v>1986</v>
      </c>
      <c r="B15" s="141">
        <f t="shared" si="5"/>
        <v>0.12643988114941412</v>
      </c>
      <c r="D15" s="141">
        <f t="shared" si="6"/>
        <v>0.42279980139026835</v>
      </c>
      <c r="E15" s="141">
        <f t="shared" si="7"/>
        <v>0.54923968253968247</v>
      </c>
      <c r="F15" s="46"/>
      <c r="G15" s="157">
        <f t="shared" si="8"/>
        <v>2.4111221449851047E-2</v>
      </c>
      <c r="H15" s="157">
        <f t="shared" si="1"/>
        <v>4.2661370407149957E-2</v>
      </c>
      <c r="I15" s="157">
        <f t="shared" si="1"/>
        <v>5.3664349553128134E-2</v>
      </c>
      <c r="J15" s="157">
        <f t="shared" si="1"/>
        <v>5.3743793445878874E-2</v>
      </c>
      <c r="K15" s="157">
        <f t="shared" si="1"/>
        <v>2.3068520357497527E-2</v>
      </c>
      <c r="L15" s="157">
        <f t="shared" si="1"/>
        <v>9.4662363455809417E-3</v>
      </c>
      <c r="M15" s="157">
        <f t="shared" si="1"/>
        <v>4.6844091360476762E-3</v>
      </c>
      <c r="N15" s="157">
        <f t="shared" si="1"/>
        <v>0</v>
      </c>
      <c r="O15" s="46"/>
      <c r="P15" s="154">
        <f t="shared" si="9"/>
        <v>7.9443892750744788E-2</v>
      </c>
      <c r="Q15" s="154">
        <f t="shared" si="10"/>
        <v>0.18669314796425024</v>
      </c>
      <c r="R15" s="154">
        <f t="shared" si="11"/>
        <v>0.33167825223435943</v>
      </c>
      <c r="S15" s="154">
        <f t="shared" si="12"/>
        <v>0.53128103277060568</v>
      </c>
      <c r="T15" s="154">
        <f t="shared" si="13"/>
        <v>0.66931479642502478</v>
      </c>
      <c r="U15" s="154">
        <f t="shared" si="14"/>
        <v>0.76067527308838123</v>
      </c>
      <c r="V15" s="154">
        <f t="shared" si="15"/>
        <v>0.87288977159880821</v>
      </c>
      <c r="W15" s="162">
        <v>1</v>
      </c>
      <c r="X15" s="154"/>
      <c r="Y15" s="142">
        <f t="shared" si="24"/>
        <v>3.5634920634920637E-2</v>
      </c>
      <c r="Z15" s="142">
        <f t="shared" si="3"/>
        <v>5.8373015873015882E-2</v>
      </c>
      <c r="AA15" s="142">
        <f t="shared" si="3"/>
        <v>6.9603174603174611E-2</v>
      </c>
      <c r="AB15" s="142">
        <f t="shared" si="3"/>
        <v>6.6547619047619036E-2</v>
      </c>
      <c r="AC15" s="142">
        <f t="shared" si="3"/>
        <v>2.779761904761904E-2</v>
      </c>
      <c r="AD15" s="142">
        <f t="shared" si="3"/>
        <v>1.119047619047619E-2</v>
      </c>
      <c r="AE15" s="142">
        <f t="shared" si="3"/>
        <v>5.4730158730158743E-3</v>
      </c>
      <c r="AF15" s="142">
        <f t="shared" si="3"/>
        <v>0</v>
      </c>
      <c r="AH15" s="158">
        <f t="shared" si="16"/>
        <v>2.1825396825396831E-2</v>
      </c>
      <c r="AI15" s="158">
        <f t="shared" si="17"/>
        <v>0.10813492063492065</v>
      </c>
      <c r="AJ15" s="158">
        <f t="shared" si="18"/>
        <v>0.25198412698412703</v>
      </c>
      <c r="AK15" s="158">
        <f t="shared" si="19"/>
        <v>0.46726190476190488</v>
      </c>
      <c r="AL15" s="158">
        <f t="shared" si="20"/>
        <v>0.62202380952380965</v>
      </c>
      <c r="AM15" s="158">
        <f t="shared" si="21"/>
        <v>0.72619047619047628</v>
      </c>
      <c r="AN15" s="158">
        <f t="shared" si="22"/>
        <v>0.85317460317460325</v>
      </c>
      <c r="AO15" s="158">
        <v>1</v>
      </c>
      <c r="AP15" s="143"/>
      <c r="AQ15" s="152">
        <f>'B2-RdTr'!$O124</f>
        <v>8</v>
      </c>
      <c r="AR15" s="152">
        <f>'B2-RdTr'!$O162</f>
        <v>10.8</v>
      </c>
      <c r="AS15" s="152">
        <f>'B2-RdTr'!$O200</f>
        <v>14.6</v>
      </c>
      <c r="AT15" s="152">
        <f>'B2-RdTr'!$O238</f>
        <v>20.100000000000001</v>
      </c>
      <c r="AU15" s="152">
        <f>'B2-RdTr'!$O314</f>
        <v>13.9</v>
      </c>
      <c r="AV15" s="152">
        <f>'B2-RdTr'!$O352</f>
        <v>9.1999999999999993</v>
      </c>
      <c r="AW15" s="152">
        <f>'B2-RdTr'!$O390</f>
        <v>11.3</v>
      </c>
      <c r="AX15" s="152">
        <f>'B2-RdTr'!$O428</f>
        <v>12.8</v>
      </c>
      <c r="AY15" s="462"/>
      <c r="AZ15" s="152">
        <f>'B2-RdTr'!$N124</f>
        <v>2.2000000000000002</v>
      </c>
      <c r="BA15" s="152">
        <f>'B2-RdTr'!$N162</f>
        <v>8.6999999999999993</v>
      </c>
      <c r="BB15" s="152">
        <f>'B2-RdTr'!$N200</f>
        <v>14.5</v>
      </c>
      <c r="BC15" s="152">
        <f>'B2-RdTr'!$N238</f>
        <v>21.7</v>
      </c>
      <c r="BD15" s="152">
        <f>'B2-RdTr'!$N314</f>
        <v>15.6</v>
      </c>
      <c r="BE15" s="152">
        <f>'B2-RdTr'!$N352</f>
        <v>10.5</v>
      </c>
      <c r="BF15" s="152">
        <f>'B2-RdTr'!$N390</f>
        <v>12.8</v>
      </c>
      <c r="BG15" s="152">
        <f>'B2-RdTr'!$N428</f>
        <v>14.8</v>
      </c>
    </row>
    <row r="16" spans="1:59">
      <c r="A16" s="46">
        <f t="shared" si="23"/>
        <v>1987</v>
      </c>
      <c r="B16" s="141">
        <f t="shared" si="5"/>
        <v>0.13633219833380777</v>
      </c>
      <c r="D16" s="141">
        <f>SUM(G16:N16)*2</f>
        <v>0.39338811881188124</v>
      </c>
      <c r="E16" s="141">
        <f t="shared" si="7"/>
        <v>0.52972031714568901</v>
      </c>
      <c r="F16" s="46"/>
      <c r="G16" s="157">
        <f t="shared" si="8"/>
        <v>2.3960396039603964E-2</v>
      </c>
      <c r="H16" s="157">
        <f t="shared" si="1"/>
        <v>4.1782178217821792E-2</v>
      </c>
      <c r="I16" s="157">
        <f t="shared" si="1"/>
        <v>5.1287128712871305E-2</v>
      </c>
      <c r="J16" s="157">
        <f>(S$4-S16)*S$3</f>
        <v>4.8712871287128715E-2</v>
      </c>
      <c r="K16" s="157">
        <f t="shared" si="1"/>
        <v>1.9801980198019799E-2</v>
      </c>
      <c r="L16" s="157">
        <f t="shared" si="1"/>
        <v>7.7475247524752492E-3</v>
      </c>
      <c r="M16" s="157">
        <f t="shared" si="1"/>
        <v>3.4019801980198052E-3</v>
      </c>
      <c r="N16" s="157">
        <f t="shared" si="1"/>
        <v>0</v>
      </c>
      <c r="O16" s="46"/>
      <c r="P16" s="154">
        <f t="shared" si="9"/>
        <v>8.01980198019802E-2</v>
      </c>
      <c r="Q16" s="154">
        <f t="shared" si="10"/>
        <v>0.19108910891089109</v>
      </c>
      <c r="R16" s="154">
        <f t="shared" si="11"/>
        <v>0.34356435643564359</v>
      </c>
      <c r="S16" s="154">
        <f t="shared" si="12"/>
        <v>0.55643564356435649</v>
      </c>
      <c r="T16" s="154">
        <f t="shared" si="13"/>
        <v>0.70198019801980205</v>
      </c>
      <c r="U16" s="154">
        <f t="shared" si="14"/>
        <v>0.79504950495049509</v>
      </c>
      <c r="V16" s="154">
        <f t="shared" si="15"/>
        <v>0.90495049504950498</v>
      </c>
      <c r="W16" s="162">
        <v>1</v>
      </c>
      <c r="X16" s="154"/>
      <c r="Y16" s="142">
        <f t="shared" si="24"/>
        <v>3.603567888999009E-2</v>
      </c>
      <c r="Z16" s="142">
        <f t="shared" si="3"/>
        <v>5.8394449950445994E-2</v>
      </c>
      <c r="AA16" s="142">
        <f t="shared" si="3"/>
        <v>6.826560951437069E-2</v>
      </c>
      <c r="AB16" s="142">
        <f t="shared" si="3"/>
        <v>6.2874132804757218E-2</v>
      </c>
      <c r="AC16" s="142">
        <f t="shared" si="3"/>
        <v>2.518334985133798E-2</v>
      </c>
      <c r="AD16" s="142">
        <f t="shared" si="3"/>
        <v>9.7893954410307356E-3</v>
      </c>
      <c r="AE16" s="142">
        <f t="shared" si="3"/>
        <v>4.3175421209118037E-3</v>
      </c>
      <c r="AF16" s="142">
        <f t="shared" si="3"/>
        <v>0</v>
      </c>
      <c r="AH16" s="158">
        <f t="shared" si="16"/>
        <v>1.982160555004955E-2</v>
      </c>
      <c r="AI16" s="158">
        <f t="shared" si="17"/>
        <v>0.10802775024777006</v>
      </c>
      <c r="AJ16" s="158">
        <f t="shared" si="18"/>
        <v>0.25867195242814667</v>
      </c>
      <c r="AK16" s="158">
        <f t="shared" si="19"/>
        <v>0.48562933597621399</v>
      </c>
      <c r="AL16" s="158">
        <f t="shared" si="20"/>
        <v>0.64816650148662025</v>
      </c>
      <c r="AM16" s="158">
        <f t="shared" si="21"/>
        <v>0.75421209117938537</v>
      </c>
      <c r="AN16" s="158">
        <f t="shared" si="22"/>
        <v>0.88206144697720501</v>
      </c>
      <c r="AO16" s="158">
        <v>1</v>
      </c>
      <c r="AP16" s="143"/>
      <c r="AQ16" s="152">
        <f>'B2-RdTr'!$O125</f>
        <v>8.1</v>
      </c>
      <c r="AR16" s="152">
        <f>'B2-RdTr'!$O163</f>
        <v>11.2</v>
      </c>
      <c r="AS16" s="152">
        <f>'B2-RdTr'!$O201</f>
        <v>15.4</v>
      </c>
      <c r="AT16" s="152">
        <f>'B2-RdTr'!$O239</f>
        <v>21.5</v>
      </c>
      <c r="AU16" s="152">
        <f>'B2-RdTr'!$O315</f>
        <v>14.7</v>
      </c>
      <c r="AV16" s="152">
        <f>'B2-RdTr'!$O353</f>
        <v>9.4</v>
      </c>
      <c r="AW16" s="152">
        <f>'B2-RdTr'!$O391</f>
        <v>11.1</v>
      </c>
      <c r="AX16" s="152">
        <f>'B2-RdTr'!$O429</f>
        <v>9.6</v>
      </c>
      <c r="AY16" s="462"/>
      <c r="AZ16" s="152">
        <f>'B2-RdTr'!$N125</f>
        <v>2</v>
      </c>
      <c r="BA16" s="152">
        <f>'B2-RdTr'!$N163</f>
        <v>8.9</v>
      </c>
      <c r="BB16" s="152">
        <f>'B2-RdTr'!$N201</f>
        <v>15.2</v>
      </c>
      <c r="BC16" s="152">
        <f>'B2-RdTr'!$N239</f>
        <v>22.9</v>
      </c>
      <c r="BD16" s="152">
        <f>'B2-RdTr'!$N315</f>
        <v>16.399999999999999</v>
      </c>
      <c r="BE16" s="152">
        <f>'B2-RdTr'!$N353</f>
        <v>10.7</v>
      </c>
      <c r="BF16" s="152">
        <f>'B2-RdTr'!$N391</f>
        <v>12.9</v>
      </c>
      <c r="BG16" s="152">
        <f>'B2-RdTr'!$N429</f>
        <v>11.9</v>
      </c>
    </row>
    <row r="17" spans="1:59">
      <c r="A17" s="46">
        <f t="shared" si="23"/>
        <v>1988</v>
      </c>
      <c r="B17" s="141">
        <f t="shared" si="5"/>
        <v>0.13465346534653455</v>
      </c>
      <c r="D17" s="141">
        <f t="shared" si="6"/>
        <v>0.41277425742574281</v>
      </c>
      <c r="E17" s="141">
        <f t="shared" si="7"/>
        <v>0.54742772277227736</v>
      </c>
      <c r="F17" s="46"/>
      <c r="G17" s="157">
        <f t="shared" si="8"/>
        <v>2.4356435643564361E-2</v>
      </c>
      <c r="H17" s="157">
        <f t="shared" si="1"/>
        <v>4.2574257425742584E-2</v>
      </c>
      <c r="I17" s="157">
        <f t="shared" si="1"/>
        <v>5.3069306930693096E-2</v>
      </c>
      <c r="J17" s="157">
        <f t="shared" si="1"/>
        <v>5.1683168316831708E-2</v>
      </c>
      <c r="K17" s="157">
        <f t="shared" si="1"/>
        <v>2.1683168316831692E-2</v>
      </c>
      <c r="L17" s="157">
        <f t="shared" si="1"/>
        <v>8.7871287128712949E-3</v>
      </c>
      <c r="M17" s="157">
        <f t="shared" si="1"/>
        <v>4.2336633663366419E-3</v>
      </c>
      <c r="N17" s="157">
        <f t="shared" si="1"/>
        <v>0</v>
      </c>
      <c r="O17" s="46"/>
      <c r="P17" s="154">
        <f t="shared" si="9"/>
        <v>7.8217821782178218E-2</v>
      </c>
      <c r="Q17" s="154">
        <f t="shared" si="10"/>
        <v>0.18712871287128713</v>
      </c>
      <c r="R17" s="154">
        <f t="shared" si="11"/>
        <v>0.33465346534653462</v>
      </c>
      <c r="S17" s="154">
        <f t="shared" si="12"/>
        <v>0.54158415841584151</v>
      </c>
      <c r="T17" s="154">
        <f t="shared" si="13"/>
        <v>0.68316831683168311</v>
      </c>
      <c r="U17" s="154">
        <f t="shared" si="14"/>
        <v>0.77425742574257417</v>
      </c>
      <c r="V17" s="154">
        <f t="shared" si="15"/>
        <v>0.88415841584158406</v>
      </c>
      <c r="W17" s="162">
        <v>1</v>
      </c>
      <c r="X17" s="154"/>
      <c r="Y17" s="142">
        <f t="shared" si="24"/>
        <v>3.6039603960396044E-2</v>
      </c>
      <c r="Z17" s="142">
        <f t="shared" si="3"/>
        <v>5.8811881188118822E-2</v>
      </c>
      <c r="AA17" s="142">
        <f t="shared" si="3"/>
        <v>6.9900990099009921E-2</v>
      </c>
      <c r="AB17" s="142">
        <f t="shared" si="3"/>
        <v>6.5742574257425759E-2</v>
      </c>
      <c r="AC17" s="142">
        <f t="shared" si="3"/>
        <v>2.7128712871287132E-2</v>
      </c>
      <c r="AD17" s="142">
        <f t="shared" si="3"/>
        <v>1.0866336633663371E-2</v>
      </c>
      <c r="AE17" s="142">
        <f t="shared" si="3"/>
        <v>5.2237623762376286E-3</v>
      </c>
      <c r="AF17" s="142">
        <f t="shared" si="3"/>
        <v>0</v>
      </c>
      <c r="AH17" s="158">
        <f t="shared" si="16"/>
        <v>1.9801980198019802E-2</v>
      </c>
      <c r="AI17" s="158">
        <f t="shared" si="17"/>
        <v>0.10594059405940594</v>
      </c>
      <c r="AJ17" s="158">
        <f t="shared" si="18"/>
        <v>0.2504950495049505</v>
      </c>
      <c r="AK17" s="158">
        <f t="shared" si="19"/>
        <v>0.47128712871287126</v>
      </c>
      <c r="AL17" s="158">
        <f t="shared" si="20"/>
        <v>0.62871287128712872</v>
      </c>
      <c r="AM17" s="158">
        <f t="shared" si="21"/>
        <v>0.73267326732673266</v>
      </c>
      <c r="AN17" s="158">
        <f t="shared" si="22"/>
        <v>0.85940594059405939</v>
      </c>
      <c r="AO17" s="158">
        <v>1</v>
      </c>
      <c r="AP17" s="143"/>
      <c r="AQ17" s="152">
        <f>'B2-RdTr'!$O126</f>
        <v>7.9</v>
      </c>
      <c r="AR17" s="152">
        <f>'B2-RdTr'!$O164</f>
        <v>11</v>
      </c>
      <c r="AS17" s="152">
        <f>'B2-RdTr'!$O202</f>
        <v>14.9</v>
      </c>
      <c r="AT17" s="152">
        <f>'B2-RdTr'!$O240</f>
        <v>20.9</v>
      </c>
      <c r="AU17" s="152">
        <f>'B2-RdTr'!$O316</f>
        <v>14.3</v>
      </c>
      <c r="AV17" s="152">
        <f>'B2-RdTr'!$O354</f>
        <v>9.1999999999999993</v>
      </c>
      <c r="AW17" s="152">
        <f>'B2-RdTr'!$O392</f>
        <v>11.1</v>
      </c>
      <c r="AX17" s="152">
        <f>'B2-RdTr'!$O430</f>
        <v>11.7</v>
      </c>
      <c r="AY17" s="462"/>
      <c r="AZ17" s="152">
        <f>'B2-RdTr'!$N126</f>
        <v>2</v>
      </c>
      <c r="BA17" s="152">
        <f>'B2-RdTr'!$N164</f>
        <v>8.6999999999999993</v>
      </c>
      <c r="BB17" s="152">
        <f>'B2-RdTr'!$N202</f>
        <v>14.6</v>
      </c>
      <c r="BC17" s="152">
        <f>'B2-RdTr'!$N240</f>
        <v>22.3</v>
      </c>
      <c r="BD17" s="152">
        <f>'B2-RdTr'!$N316</f>
        <v>15.9</v>
      </c>
      <c r="BE17" s="152">
        <f>'B2-RdTr'!$N354</f>
        <v>10.5</v>
      </c>
      <c r="BF17" s="152">
        <f>'B2-RdTr'!$N392</f>
        <v>12.8</v>
      </c>
      <c r="BG17" s="152">
        <f>'B2-RdTr'!$N430</f>
        <v>14.2</v>
      </c>
    </row>
    <row r="18" spans="1:59">
      <c r="A18" s="46">
        <f t="shared" si="23"/>
        <v>1989</v>
      </c>
      <c r="B18" s="141">
        <f t="shared" si="5"/>
        <v>0.13313086979092931</v>
      </c>
      <c r="D18" s="141">
        <f t="shared" si="6"/>
        <v>0.40515238095238099</v>
      </c>
      <c r="E18" s="141">
        <f t="shared" si="7"/>
        <v>0.53828325074331029</v>
      </c>
      <c r="F18" s="46"/>
      <c r="G18" s="157">
        <f t="shared" si="8"/>
        <v>2.3928571428571434E-2</v>
      </c>
      <c r="H18" s="157">
        <f t="shared" si="1"/>
        <v>4.1904761904761917E-2</v>
      </c>
      <c r="I18" s="157">
        <f t="shared" si="1"/>
        <v>5.2142857142857157E-2</v>
      </c>
      <c r="J18" s="157">
        <f t="shared" si="1"/>
        <v>5.0873015873015875E-2</v>
      </c>
      <c r="K18" s="157">
        <f t="shared" si="1"/>
        <v>2.1249999999999991E-2</v>
      </c>
      <c r="L18" s="157">
        <f t="shared" si="1"/>
        <v>8.5119047619047605E-3</v>
      </c>
      <c r="M18" s="157">
        <f t="shared" si="1"/>
        <v>3.9650793650793624E-3</v>
      </c>
      <c r="N18" s="157">
        <f t="shared" si="1"/>
        <v>0</v>
      </c>
      <c r="O18" s="46"/>
      <c r="P18" s="154">
        <f t="shared" si="9"/>
        <v>8.0357142857142849E-2</v>
      </c>
      <c r="Q18" s="154">
        <f t="shared" si="10"/>
        <v>0.19047619047619047</v>
      </c>
      <c r="R18" s="154">
        <f t="shared" si="11"/>
        <v>0.3392857142857143</v>
      </c>
      <c r="S18" s="154">
        <f t="shared" si="12"/>
        <v>0.54563492063492069</v>
      </c>
      <c r="T18" s="154">
        <f t="shared" si="13"/>
        <v>0.68750000000000011</v>
      </c>
      <c r="U18" s="154">
        <f t="shared" si="14"/>
        <v>0.77976190476190488</v>
      </c>
      <c r="V18" s="154">
        <f t="shared" si="15"/>
        <v>0.89087301587301604</v>
      </c>
      <c r="W18" s="162">
        <v>1</v>
      </c>
      <c r="X18" s="154"/>
      <c r="Y18" s="142">
        <f t="shared" si="24"/>
        <v>3.5639246778989102E-2</v>
      </c>
      <c r="Z18" s="142">
        <f t="shared" si="3"/>
        <v>5.8196233894945493E-2</v>
      </c>
      <c r="AA18" s="142">
        <f t="shared" si="3"/>
        <v>6.8860257680872158E-2</v>
      </c>
      <c r="AB18" s="142">
        <f t="shared" si="3"/>
        <v>6.4658077304261638E-2</v>
      </c>
      <c r="AC18" s="142">
        <f t="shared" si="3"/>
        <v>2.6471754212091171E-2</v>
      </c>
      <c r="AD18" s="142">
        <f t="shared" si="3"/>
        <v>1.0483151635282456E-2</v>
      </c>
      <c r="AE18" s="142">
        <f t="shared" si="3"/>
        <v>4.8329038652130804E-3</v>
      </c>
      <c r="AF18" s="142">
        <f t="shared" si="3"/>
        <v>0</v>
      </c>
      <c r="AH18" s="158">
        <f t="shared" si="16"/>
        <v>2.1803766105054512E-2</v>
      </c>
      <c r="AI18" s="158">
        <f t="shared" si="17"/>
        <v>0.10901883052527256</v>
      </c>
      <c r="AJ18" s="158">
        <f t="shared" si="18"/>
        <v>0.25569871159563928</v>
      </c>
      <c r="AK18" s="158">
        <f t="shared" si="19"/>
        <v>0.47670961347869184</v>
      </c>
      <c r="AL18" s="158">
        <f t="shared" si="20"/>
        <v>0.63528245787908832</v>
      </c>
      <c r="AM18" s="158">
        <f t="shared" si="21"/>
        <v>0.74033696729435094</v>
      </c>
      <c r="AN18" s="158">
        <f t="shared" si="22"/>
        <v>0.86917740336967309</v>
      </c>
      <c r="AO18" s="158">
        <v>1</v>
      </c>
      <c r="AP18" s="143"/>
      <c r="AQ18" s="152">
        <f>'B2-RdTr'!$O127</f>
        <v>8.1</v>
      </c>
      <c r="AR18" s="152">
        <f>'B2-RdTr'!$O165</f>
        <v>11.1</v>
      </c>
      <c r="AS18" s="152">
        <f>'B2-RdTr'!$O203</f>
        <v>15</v>
      </c>
      <c r="AT18" s="152">
        <f>'B2-RdTr'!$O241</f>
        <v>20.8</v>
      </c>
      <c r="AU18" s="152">
        <f>'B2-RdTr'!$O317</f>
        <v>14.3</v>
      </c>
      <c r="AV18" s="152">
        <f>'B2-RdTr'!$O355</f>
        <v>9.3000000000000007</v>
      </c>
      <c r="AW18" s="152">
        <f>'B2-RdTr'!$O393</f>
        <v>11.2</v>
      </c>
      <c r="AX18" s="152">
        <f>'B2-RdTr'!$O431</f>
        <v>11</v>
      </c>
      <c r="AY18" s="462"/>
      <c r="AZ18" s="152">
        <f>'B2-RdTr'!$N127</f>
        <v>2.2000000000000002</v>
      </c>
      <c r="BA18" s="152">
        <f>'B2-RdTr'!$N165</f>
        <v>8.8000000000000007</v>
      </c>
      <c r="BB18" s="152">
        <f>'B2-RdTr'!$N203</f>
        <v>14.8</v>
      </c>
      <c r="BC18" s="152">
        <f>'B2-RdTr'!$N241</f>
        <v>22.3</v>
      </c>
      <c r="BD18" s="152">
        <f>'B2-RdTr'!$N317</f>
        <v>16</v>
      </c>
      <c r="BE18" s="152">
        <f>'B2-RdTr'!$N355</f>
        <v>10.6</v>
      </c>
      <c r="BF18" s="152">
        <f>'B2-RdTr'!$N393</f>
        <v>13</v>
      </c>
      <c r="BG18" s="152">
        <f>'B2-RdTr'!$N431</f>
        <v>13.2</v>
      </c>
    </row>
    <row r="19" spans="1:59">
      <c r="A19" s="46">
        <f t="shared" si="23"/>
        <v>1990</v>
      </c>
      <c r="B19" s="141">
        <f t="shared" si="5"/>
        <v>0.13795904123031194</v>
      </c>
      <c r="D19" s="141">
        <f t="shared" si="6"/>
        <v>0.39453630069238393</v>
      </c>
      <c r="E19" s="141">
        <f t="shared" si="7"/>
        <v>0.53249534192269588</v>
      </c>
      <c r="F19" s="46"/>
      <c r="G19" s="157">
        <f t="shared" si="8"/>
        <v>2.2987141444114741E-2</v>
      </c>
      <c r="H19" s="157">
        <f t="shared" si="1"/>
        <v>4.0633036597428292E-2</v>
      </c>
      <c r="I19" s="157">
        <f t="shared" si="1"/>
        <v>5.095944609297727E-2</v>
      </c>
      <c r="J19" s="157">
        <f t="shared" si="1"/>
        <v>4.9812067260138496E-2</v>
      </c>
      <c r="K19" s="157">
        <f t="shared" si="1"/>
        <v>2.0761622156280912E-2</v>
      </c>
      <c r="L19" s="157">
        <f t="shared" si="1"/>
        <v>8.2814045499505495E-3</v>
      </c>
      <c r="M19" s="157">
        <f t="shared" si="1"/>
        <v>3.8334322453016868E-3</v>
      </c>
      <c r="N19" s="157">
        <f t="shared" si="1"/>
        <v>0</v>
      </c>
      <c r="O19" s="46"/>
      <c r="P19" s="154">
        <f t="shared" si="9"/>
        <v>8.5064292779426315E-2</v>
      </c>
      <c r="Q19" s="154">
        <f t="shared" si="10"/>
        <v>0.19683481701285857</v>
      </c>
      <c r="R19" s="154">
        <f t="shared" si="11"/>
        <v>0.34520276953511375</v>
      </c>
      <c r="S19" s="154">
        <f t="shared" si="12"/>
        <v>0.55093966369930758</v>
      </c>
      <c r="T19" s="154">
        <f t="shared" si="13"/>
        <v>0.6923837784371909</v>
      </c>
      <c r="U19" s="154">
        <f t="shared" si="14"/>
        <v>0.78437190900098908</v>
      </c>
      <c r="V19" s="154">
        <f t="shared" si="15"/>
        <v>0.89416419386745793</v>
      </c>
      <c r="W19" s="162">
        <v>1</v>
      </c>
      <c r="X19" s="154"/>
      <c r="Y19" s="142">
        <f t="shared" si="24"/>
        <v>3.5441030723488608E-2</v>
      </c>
      <c r="Z19" s="142">
        <f t="shared" si="3"/>
        <v>5.760158572844401E-2</v>
      </c>
      <c r="AA19" s="142">
        <f t="shared" si="3"/>
        <v>6.826560951437069E-2</v>
      </c>
      <c r="AB19" s="142">
        <f t="shared" si="3"/>
        <v>6.3865213082259675E-2</v>
      </c>
      <c r="AC19" s="142">
        <f t="shared" si="3"/>
        <v>2.6075322101090193E-2</v>
      </c>
      <c r="AD19" s="142">
        <f t="shared" si="3"/>
        <v>1.0284935579781967E-2</v>
      </c>
      <c r="AE19" s="142">
        <f t="shared" si="3"/>
        <v>4.7139742319127894E-3</v>
      </c>
      <c r="AF19" s="142">
        <f t="shared" si="3"/>
        <v>0</v>
      </c>
      <c r="AH19" s="158">
        <f t="shared" si="16"/>
        <v>2.2794846382556983E-2</v>
      </c>
      <c r="AI19" s="158">
        <f t="shared" si="17"/>
        <v>0.11199207135777997</v>
      </c>
      <c r="AJ19" s="158">
        <f t="shared" si="18"/>
        <v>0.25867195242814667</v>
      </c>
      <c r="AK19" s="158">
        <f t="shared" si="19"/>
        <v>0.48067393458870167</v>
      </c>
      <c r="AL19" s="158">
        <f t="shared" si="20"/>
        <v>0.6392467789890981</v>
      </c>
      <c r="AM19" s="158">
        <f t="shared" si="21"/>
        <v>0.74430128840436072</v>
      </c>
      <c r="AN19" s="158">
        <f t="shared" si="22"/>
        <v>0.87215064420218036</v>
      </c>
      <c r="AO19" s="158">
        <v>1</v>
      </c>
      <c r="AP19" s="143"/>
      <c r="AQ19" s="152">
        <f>'B2-RdTr'!$O128</f>
        <v>8.6</v>
      </c>
      <c r="AR19" s="152">
        <f>'B2-RdTr'!$O166</f>
        <v>11.3</v>
      </c>
      <c r="AS19" s="152">
        <f>'B2-RdTr'!$O204</f>
        <v>15</v>
      </c>
      <c r="AT19" s="152">
        <f>'B2-RdTr'!$O242</f>
        <v>20.8</v>
      </c>
      <c r="AU19" s="152">
        <f>'B2-RdTr'!$O318</f>
        <v>14.3</v>
      </c>
      <c r="AV19" s="152">
        <f>'B2-RdTr'!$O356</f>
        <v>9.3000000000000007</v>
      </c>
      <c r="AW19" s="152">
        <f>'B2-RdTr'!$O394</f>
        <v>11.1</v>
      </c>
      <c r="AX19" s="152">
        <f>'B2-RdTr'!$O432</f>
        <v>10.7</v>
      </c>
      <c r="AY19" s="462"/>
      <c r="AZ19" s="152">
        <f>'B2-RdTr'!$N128</f>
        <v>2.2999999999999998</v>
      </c>
      <c r="BA19" s="152">
        <f>'B2-RdTr'!$N166</f>
        <v>9</v>
      </c>
      <c r="BB19" s="152">
        <f>'B2-RdTr'!$N204</f>
        <v>14.8</v>
      </c>
      <c r="BC19" s="152">
        <f>'B2-RdTr'!$N242</f>
        <v>22.4</v>
      </c>
      <c r="BD19" s="152">
        <f>'B2-RdTr'!$N318</f>
        <v>16</v>
      </c>
      <c r="BE19" s="152">
        <f>'B2-RdTr'!$N356</f>
        <v>10.6</v>
      </c>
      <c r="BF19" s="152">
        <f>'B2-RdTr'!$N394</f>
        <v>12.9</v>
      </c>
      <c r="BG19" s="152">
        <f>'B2-RdTr'!$N432</f>
        <v>12.9</v>
      </c>
    </row>
    <row r="20" spans="1:59">
      <c r="A20" s="46">
        <f t="shared" si="23"/>
        <v>1991</v>
      </c>
      <c r="B20" s="141">
        <f t="shared" si="5"/>
        <v>0.15126073664004258</v>
      </c>
      <c r="D20" s="141">
        <f t="shared" si="6"/>
        <v>0.37880474308300405</v>
      </c>
      <c r="E20" s="141">
        <f t="shared" si="7"/>
        <v>0.53006547972304663</v>
      </c>
      <c r="F20" s="46"/>
      <c r="G20" s="157">
        <f t="shared" si="8"/>
        <v>2.2015810276679846E-2</v>
      </c>
      <c r="H20" s="157">
        <f t="shared" si="1"/>
        <v>3.9288537549407122E-2</v>
      </c>
      <c r="I20" s="157">
        <f t="shared" si="1"/>
        <v>4.9051383399209503E-2</v>
      </c>
      <c r="J20" s="157">
        <f t="shared" si="1"/>
        <v>4.7944664031620565E-2</v>
      </c>
      <c r="K20" s="157">
        <f t="shared" si="1"/>
        <v>1.9841897233201591E-2</v>
      </c>
      <c r="L20" s="157">
        <f t="shared" si="1"/>
        <v>7.826086956521745E-3</v>
      </c>
      <c r="M20" s="157">
        <f t="shared" si="1"/>
        <v>3.4339920948616644E-3</v>
      </c>
      <c r="N20" s="157">
        <f t="shared" si="1"/>
        <v>0</v>
      </c>
      <c r="O20" s="46"/>
      <c r="P20" s="154">
        <f t="shared" si="9"/>
        <v>8.9920948616600785E-2</v>
      </c>
      <c r="Q20" s="154">
        <f t="shared" si="10"/>
        <v>0.20355731225296442</v>
      </c>
      <c r="R20" s="154">
        <f t="shared" si="11"/>
        <v>0.35474308300395258</v>
      </c>
      <c r="S20" s="154">
        <f t="shared" si="12"/>
        <v>0.56027667984189722</v>
      </c>
      <c r="T20" s="154">
        <f t="shared" si="13"/>
        <v>0.70158102766798414</v>
      </c>
      <c r="U20" s="154">
        <f t="shared" si="14"/>
        <v>0.79347826086956519</v>
      </c>
      <c r="V20" s="154">
        <f t="shared" si="15"/>
        <v>0.9041501976284585</v>
      </c>
      <c r="W20" s="162">
        <v>1</v>
      </c>
      <c r="X20" s="154"/>
      <c r="Y20" s="142">
        <f t="shared" si="24"/>
        <v>3.5450049455984178E-2</v>
      </c>
      <c r="Z20" s="142">
        <f t="shared" si="3"/>
        <v>5.7843719090009897E-2</v>
      </c>
      <c r="AA20" s="142">
        <f t="shared" si="3"/>
        <v>6.8170128585558862E-2</v>
      </c>
      <c r="AB20" s="142">
        <f t="shared" si="3"/>
        <v>6.3461918892185956E-2</v>
      </c>
      <c r="AC20" s="142">
        <f t="shared" si="3"/>
        <v>2.5707220573689418E-2</v>
      </c>
      <c r="AD20" s="142">
        <f t="shared" si="3"/>
        <v>1.0012363996043522E-2</v>
      </c>
      <c r="AE20" s="142">
        <f t="shared" si="3"/>
        <v>4.3873392680514331E-3</v>
      </c>
      <c r="AF20" s="142">
        <f t="shared" si="3"/>
        <v>0</v>
      </c>
      <c r="AH20" s="158">
        <f t="shared" si="16"/>
        <v>2.274975272007913E-2</v>
      </c>
      <c r="AI20" s="158">
        <f t="shared" si="17"/>
        <v>0.11078140454995056</v>
      </c>
      <c r="AJ20" s="158">
        <f t="shared" si="18"/>
        <v>0.25914935707220577</v>
      </c>
      <c r="AK20" s="158">
        <f t="shared" si="19"/>
        <v>0.48269040553907028</v>
      </c>
      <c r="AL20" s="158">
        <f t="shared" si="20"/>
        <v>0.64292779426310587</v>
      </c>
      <c r="AM20" s="158">
        <f t="shared" si="21"/>
        <v>0.74975272007912963</v>
      </c>
      <c r="AN20" s="158">
        <f t="shared" si="22"/>
        <v>0.88031651829871427</v>
      </c>
      <c r="AO20" s="158">
        <v>1</v>
      </c>
      <c r="AP20" s="143"/>
      <c r="AQ20" s="152">
        <f>'B2-RdTr'!$O129</f>
        <v>9.1</v>
      </c>
      <c r="AR20" s="152">
        <f>'B2-RdTr'!$O167</f>
        <v>11.5</v>
      </c>
      <c r="AS20" s="152">
        <f>'B2-RdTr'!$O205</f>
        <v>15.3</v>
      </c>
      <c r="AT20" s="152">
        <f>'B2-RdTr'!$O243</f>
        <v>20.8</v>
      </c>
      <c r="AU20" s="152">
        <f>'B2-RdTr'!$O319</f>
        <v>14.3</v>
      </c>
      <c r="AV20" s="152">
        <f>'B2-RdTr'!$O357</f>
        <v>9.3000000000000007</v>
      </c>
      <c r="AW20" s="152">
        <f>'B2-RdTr'!$O395</f>
        <v>11.2</v>
      </c>
      <c r="AX20" s="152">
        <f>'B2-RdTr'!$O433</f>
        <v>9.6999999999999993</v>
      </c>
      <c r="AY20" s="462"/>
      <c r="AZ20" s="152">
        <f>'B2-RdTr'!$N129</f>
        <v>2.2999999999999998</v>
      </c>
      <c r="BA20" s="152">
        <f>'B2-RdTr'!$N167</f>
        <v>8.9</v>
      </c>
      <c r="BB20" s="152">
        <f>'B2-RdTr'!$N205</f>
        <v>15</v>
      </c>
      <c r="BC20" s="152">
        <f>'B2-RdTr'!$N243</f>
        <v>22.6</v>
      </c>
      <c r="BD20" s="152">
        <f>'B2-RdTr'!$N319</f>
        <v>16.2</v>
      </c>
      <c r="BE20" s="152">
        <f>'B2-RdTr'!$N357</f>
        <v>10.8</v>
      </c>
      <c r="BF20" s="152">
        <f>'B2-RdTr'!$N395</f>
        <v>13.2</v>
      </c>
      <c r="BG20" s="152">
        <f>'B2-RdTr'!$N433</f>
        <v>12.1</v>
      </c>
    </row>
    <row r="21" spans="1:59">
      <c r="A21" s="46">
        <f t="shared" si="23"/>
        <v>1992</v>
      </c>
      <c r="B21" s="141">
        <f t="shared" si="5"/>
        <v>0.15630821361067876</v>
      </c>
      <c r="D21" s="141">
        <f t="shared" si="6"/>
        <v>0.38659603960396044</v>
      </c>
      <c r="E21" s="141">
        <f t="shared" si="7"/>
        <v>0.5429042532146392</v>
      </c>
      <c r="F21" s="46"/>
      <c r="G21" s="157">
        <f t="shared" si="8"/>
        <v>2.2178217821782184E-2</v>
      </c>
      <c r="H21" s="157">
        <f t="shared" si="1"/>
        <v>3.9603960396039611E-2</v>
      </c>
      <c r="I21" s="157">
        <f t="shared" si="1"/>
        <v>4.9900990099009924E-2</v>
      </c>
      <c r="J21" s="157">
        <f t="shared" si="1"/>
        <v>4.9108910891089111E-2</v>
      </c>
      <c r="K21" s="157">
        <f t="shared" si="1"/>
        <v>2.0594059405940592E-2</v>
      </c>
      <c r="L21" s="157">
        <f t="shared" si="1"/>
        <v>8.1930693069306951E-3</v>
      </c>
      <c r="M21" s="157">
        <f t="shared" si="1"/>
        <v>3.7188118811881223E-3</v>
      </c>
      <c r="N21" s="157">
        <f t="shared" si="1"/>
        <v>0</v>
      </c>
      <c r="O21" s="46"/>
      <c r="P21" s="154">
        <f t="shared" si="9"/>
        <v>8.9108910891089105E-2</v>
      </c>
      <c r="Q21" s="154">
        <f t="shared" si="10"/>
        <v>0.20198019801980199</v>
      </c>
      <c r="R21" s="154">
        <f t="shared" si="11"/>
        <v>0.35049504950495047</v>
      </c>
      <c r="S21" s="154">
        <f t="shared" si="12"/>
        <v>0.5544554455445545</v>
      </c>
      <c r="T21" s="154">
        <f t="shared" si="13"/>
        <v>0.69405940594059412</v>
      </c>
      <c r="U21" s="154">
        <f t="shared" si="14"/>
        <v>0.78613861386138617</v>
      </c>
      <c r="V21" s="154">
        <f t="shared" si="15"/>
        <v>0.89702970297029705</v>
      </c>
      <c r="W21" s="162">
        <v>1</v>
      </c>
      <c r="X21" s="154"/>
      <c r="Y21" s="142">
        <f t="shared" si="24"/>
        <v>3.5647873392680517E-2</v>
      </c>
      <c r="Z21" s="142">
        <f t="shared" si="3"/>
        <v>5.8635014836795257E-2</v>
      </c>
      <c r="AA21" s="142">
        <f t="shared" si="3"/>
        <v>6.9554896142433265E-2</v>
      </c>
      <c r="AB21" s="142">
        <f t="shared" si="3"/>
        <v>6.5440158259149381E-2</v>
      </c>
      <c r="AC21" s="142">
        <f t="shared" si="3"/>
        <v>2.6795252225519296E-2</v>
      </c>
      <c r="AD21" s="142">
        <f t="shared" si="3"/>
        <v>1.0556379821958463E-2</v>
      </c>
      <c r="AE21" s="142">
        <f t="shared" si="3"/>
        <v>4.82255192878339E-3</v>
      </c>
      <c r="AF21" s="142">
        <f t="shared" si="3"/>
        <v>0</v>
      </c>
      <c r="AH21" s="158">
        <f t="shared" si="16"/>
        <v>2.1760633036597428E-2</v>
      </c>
      <c r="AI21" s="158">
        <f t="shared" si="17"/>
        <v>0.10682492581602374</v>
      </c>
      <c r="AJ21" s="158">
        <f t="shared" si="18"/>
        <v>0.25222551928783377</v>
      </c>
      <c r="AK21" s="158">
        <f t="shared" si="19"/>
        <v>0.47279920870425318</v>
      </c>
      <c r="AL21" s="158">
        <f t="shared" si="20"/>
        <v>0.63204747774480707</v>
      </c>
      <c r="AM21" s="158">
        <f t="shared" si="21"/>
        <v>0.73887240356083084</v>
      </c>
      <c r="AN21" s="158">
        <f t="shared" si="22"/>
        <v>0.86943620178041536</v>
      </c>
      <c r="AO21" s="158">
        <v>1</v>
      </c>
      <c r="AP21" s="143"/>
      <c r="AQ21" s="152">
        <f>'B2-RdTr'!$O130</f>
        <v>9</v>
      </c>
      <c r="AR21" s="152">
        <f>'B2-RdTr'!$O168</f>
        <v>11.4</v>
      </c>
      <c r="AS21" s="152">
        <f>'B2-RdTr'!$O206</f>
        <v>15</v>
      </c>
      <c r="AT21" s="152">
        <f>'B2-RdTr'!$O244</f>
        <v>20.6</v>
      </c>
      <c r="AU21" s="152">
        <f>'B2-RdTr'!$O320</f>
        <v>14.1</v>
      </c>
      <c r="AV21" s="152">
        <f>'B2-RdTr'!$O358</f>
        <v>9.3000000000000007</v>
      </c>
      <c r="AW21" s="152">
        <f>'B2-RdTr'!$O396</f>
        <v>11.2</v>
      </c>
      <c r="AX21" s="152">
        <f>'B2-RdTr'!$O434</f>
        <v>10.4</v>
      </c>
      <c r="AY21" s="462"/>
      <c r="AZ21" s="152">
        <f>'B2-RdTr'!$N130</f>
        <v>2.2000000000000002</v>
      </c>
      <c r="BA21" s="152">
        <f>'B2-RdTr'!$N168</f>
        <v>8.6</v>
      </c>
      <c r="BB21" s="152">
        <f>'B2-RdTr'!$N206</f>
        <v>14.7</v>
      </c>
      <c r="BC21" s="152">
        <f>'B2-RdTr'!$N244</f>
        <v>22.3</v>
      </c>
      <c r="BD21" s="152">
        <f>'B2-RdTr'!$N320</f>
        <v>16.100000000000001</v>
      </c>
      <c r="BE21" s="152">
        <f>'B2-RdTr'!$N358</f>
        <v>10.8</v>
      </c>
      <c r="BF21" s="152">
        <f>'B2-RdTr'!$N396</f>
        <v>13.2</v>
      </c>
      <c r="BG21" s="152">
        <f>'B2-RdTr'!$N434</f>
        <v>13.2</v>
      </c>
    </row>
    <row r="22" spans="1:59">
      <c r="A22" s="46">
        <f t="shared" si="23"/>
        <v>1993</v>
      </c>
      <c r="B22" s="141">
        <f t="shared" si="5"/>
        <v>0.1674832056050008</v>
      </c>
      <c r="D22" s="141">
        <f t="shared" si="6"/>
        <v>0.37616233894945478</v>
      </c>
      <c r="E22" s="141">
        <f t="shared" si="7"/>
        <v>0.54364554455445557</v>
      </c>
      <c r="F22" s="46"/>
      <c r="G22" s="157">
        <f t="shared" si="8"/>
        <v>2.1565906838453913E-2</v>
      </c>
      <c r="H22" s="157">
        <f t="shared" si="1"/>
        <v>3.8771060455896927E-2</v>
      </c>
      <c r="I22" s="157">
        <f t="shared" si="1"/>
        <v>4.9038652130822591E-2</v>
      </c>
      <c r="J22" s="157">
        <f t="shared" si="1"/>
        <v>4.780971258671949E-2</v>
      </c>
      <c r="K22" s="157">
        <f t="shared" si="1"/>
        <v>1.9732408325074315E-2</v>
      </c>
      <c r="L22" s="157">
        <f t="shared" si="1"/>
        <v>7.7576808721506359E-3</v>
      </c>
      <c r="M22" s="157">
        <f t="shared" si="1"/>
        <v>3.4057482656095098E-3</v>
      </c>
      <c r="N22" s="157">
        <f t="shared" si="1"/>
        <v>0</v>
      </c>
      <c r="O22" s="46"/>
      <c r="P22" s="154">
        <f t="shared" si="9"/>
        <v>9.2170465807730459E-2</v>
      </c>
      <c r="Q22" s="154">
        <f t="shared" si="10"/>
        <v>0.20614469772051541</v>
      </c>
      <c r="R22" s="154">
        <f t="shared" si="11"/>
        <v>0.35480673934588713</v>
      </c>
      <c r="S22" s="154">
        <f t="shared" si="12"/>
        <v>0.5609514370664026</v>
      </c>
      <c r="T22" s="154">
        <f t="shared" si="13"/>
        <v>0.70267591674925689</v>
      </c>
      <c r="U22" s="154">
        <f t="shared" si="14"/>
        <v>0.79484638255698736</v>
      </c>
      <c r="V22" s="154">
        <f t="shared" si="15"/>
        <v>0.90485629335976236</v>
      </c>
      <c r="W22" s="162">
        <v>1</v>
      </c>
      <c r="X22" s="154"/>
      <c r="Y22" s="142">
        <f t="shared" si="24"/>
        <v>3.5841584158415846E-2</v>
      </c>
      <c r="Z22" s="142">
        <f t="shared" si="3"/>
        <v>5.9009900990099021E-2</v>
      </c>
      <c r="AA22" s="142">
        <f t="shared" si="3"/>
        <v>6.9900990099009921E-2</v>
      </c>
      <c r="AB22" s="142">
        <f t="shared" si="3"/>
        <v>6.5346534653465363E-2</v>
      </c>
      <c r="AC22" s="142">
        <f t="shared" si="3"/>
        <v>2.6633663366336637E-2</v>
      </c>
      <c r="AD22" s="142">
        <f t="shared" si="3"/>
        <v>1.0420792079207925E-2</v>
      </c>
      <c r="AE22" s="142">
        <f t="shared" si="3"/>
        <v>4.6693069306930736E-3</v>
      </c>
      <c r="AF22" s="142">
        <f t="shared" si="3"/>
        <v>0</v>
      </c>
      <c r="AH22" s="158">
        <f t="shared" si="16"/>
        <v>2.0792079207920793E-2</v>
      </c>
      <c r="AI22" s="158">
        <f t="shared" si="17"/>
        <v>0.10495049504950496</v>
      </c>
      <c r="AJ22" s="158">
        <f t="shared" si="18"/>
        <v>0.2504950495049505</v>
      </c>
      <c r="AK22" s="158">
        <f t="shared" si="19"/>
        <v>0.47326732673267324</v>
      </c>
      <c r="AL22" s="158">
        <f t="shared" si="20"/>
        <v>0.63366336633663367</v>
      </c>
      <c r="AM22" s="158">
        <f t="shared" si="21"/>
        <v>0.74158415841584158</v>
      </c>
      <c r="AN22" s="158">
        <f t="shared" si="22"/>
        <v>0.87326732673267327</v>
      </c>
      <c r="AO22" s="158">
        <v>1</v>
      </c>
      <c r="AP22" s="143"/>
      <c r="AQ22" s="152">
        <f>'B2-RdTr'!$O131</f>
        <v>9.3000000000000007</v>
      </c>
      <c r="AR22" s="152">
        <f>'B2-RdTr'!$O169</f>
        <v>11.5</v>
      </c>
      <c r="AS22" s="152">
        <f>'B2-RdTr'!$O207</f>
        <v>15</v>
      </c>
      <c r="AT22" s="152">
        <f>'B2-RdTr'!$O245</f>
        <v>20.8</v>
      </c>
      <c r="AU22" s="152">
        <f>'B2-RdTr'!$O321</f>
        <v>14.3</v>
      </c>
      <c r="AV22" s="152">
        <f>'B2-RdTr'!$O359</f>
        <v>9.3000000000000007</v>
      </c>
      <c r="AW22" s="152">
        <f>'B2-RdTr'!$O397</f>
        <v>11.1</v>
      </c>
      <c r="AX22" s="152">
        <f>'B2-RdTr'!$O435</f>
        <v>9.6</v>
      </c>
      <c r="AY22" s="462"/>
      <c r="AZ22" s="152">
        <f>'B2-RdTr'!$N131</f>
        <v>2.1</v>
      </c>
      <c r="BA22" s="152">
        <f>'B2-RdTr'!$N169</f>
        <v>8.5</v>
      </c>
      <c r="BB22" s="152">
        <f>'B2-RdTr'!$N207</f>
        <v>14.7</v>
      </c>
      <c r="BC22" s="152">
        <f>'B2-RdTr'!$N245</f>
        <v>22.5</v>
      </c>
      <c r="BD22" s="152">
        <f>'B2-RdTr'!$N321</f>
        <v>16.2</v>
      </c>
      <c r="BE22" s="152">
        <f>'B2-RdTr'!$N359</f>
        <v>10.9</v>
      </c>
      <c r="BF22" s="152">
        <f>'B2-RdTr'!$N397</f>
        <v>13.3</v>
      </c>
      <c r="BG22" s="152">
        <f>'B2-RdTr'!$N435</f>
        <v>12.8</v>
      </c>
    </row>
    <row r="23" spans="1:59">
      <c r="A23" s="46">
        <f t="shared" si="23"/>
        <v>1994</v>
      </c>
      <c r="B23" s="141">
        <f t="shared" si="5"/>
        <v>0.16827577400597221</v>
      </c>
      <c r="D23" s="141">
        <f t="shared" si="6"/>
        <v>0.37519009900990102</v>
      </c>
      <c r="E23" s="141">
        <f t="shared" si="7"/>
        <v>0.54346587301587324</v>
      </c>
      <c r="F23" s="46"/>
      <c r="G23" s="157">
        <f t="shared" si="8"/>
        <v>2.1584158415841586E-2</v>
      </c>
      <c r="H23" s="157">
        <f t="shared" si="1"/>
        <v>3.861386138613862E-2</v>
      </c>
      <c r="I23" s="157">
        <f t="shared" si="1"/>
        <v>4.8910891089108934E-2</v>
      </c>
      <c r="J23" s="157">
        <f t="shared" si="1"/>
        <v>4.7722772277227724E-2</v>
      </c>
      <c r="K23" s="157">
        <f t="shared" si="1"/>
        <v>1.97029702970297E-2</v>
      </c>
      <c r="L23" s="157">
        <f t="shared" si="1"/>
        <v>7.6980198019801997E-3</v>
      </c>
      <c r="M23" s="157">
        <f t="shared" si="1"/>
        <v>3.3623762376237655E-3</v>
      </c>
      <c r="N23" s="157">
        <f t="shared" si="1"/>
        <v>0</v>
      </c>
      <c r="O23" s="46"/>
      <c r="P23" s="154">
        <f t="shared" si="9"/>
        <v>9.2079207920792092E-2</v>
      </c>
      <c r="Q23" s="154">
        <f t="shared" si="10"/>
        <v>0.20693069306930695</v>
      </c>
      <c r="R23" s="154">
        <f t="shared" si="11"/>
        <v>0.35544554455445543</v>
      </c>
      <c r="S23" s="154">
        <f t="shared" si="12"/>
        <v>0.56138613861386144</v>
      </c>
      <c r="T23" s="154">
        <f t="shared" si="13"/>
        <v>0.70297029702970304</v>
      </c>
      <c r="U23" s="154">
        <f t="shared" si="14"/>
        <v>0.79603960396039608</v>
      </c>
      <c r="V23" s="154">
        <f t="shared" si="15"/>
        <v>0.90594059405940597</v>
      </c>
      <c r="W23" s="162">
        <v>1</v>
      </c>
      <c r="X23" s="154"/>
      <c r="Y23" s="142">
        <f t="shared" si="24"/>
        <v>3.603174603174604E-2</v>
      </c>
      <c r="Z23" s="142">
        <f t="shared" si="3"/>
        <v>5.8968253968253982E-2</v>
      </c>
      <c r="AA23" s="142">
        <f t="shared" si="3"/>
        <v>6.9801587301587323E-2</v>
      </c>
      <c r="AB23" s="142">
        <f t="shared" si="3"/>
        <v>6.515873015873018E-2</v>
      </c>
      <c r="AC23" s="142">
        <f t="shared" si="3"/>
        <v>2.6607142857142864E-2</v>
      </c>
      <c r="AD23" s="142">
        <f t="shared" si="3"/>
        <v>1.0446428571428579E-2</v>
      </c>
      <c r="AE23" s="142">
        <f t="shared" si="3"/>
        <v>4.719047619047627E-3</v>
      </c>
      <c r="AF23" s="142">
        <f t="shared" si="3"/>
        <v>0</v>
      </c>
      <c r="AH23" s="158">
        <f t="shared" si="16"/>
        <v>1.984126984126984E-2</v>
      </c>
      <c r="AI23" s="158">
        <f t="shared" si="17"/>
        <v>0.10515873015873015</v>
      </c>
      <c r="AJ23" s="158">
        <f t="shared" si="18"/>
        <v>0.25099206349206349</v>
      </c>
      <c r="AK23" s="158">
        <f t="shared" si="19"/>
        <v>0.47420634920634919</v>
      </c>
      <c r="AL23" s="158">
        <f t="shared" si="20"/>
        <v>0.6339285714285714</v>
      </c>
      <c r="AM23" s="158">
        <f t="shared" si="21"/>
        <v>0.74107142857142849</v>
      </c>
      <c r="AN23" s="158">
        <f t="shared" si="22"/>
        <v>0.87202380952380942</v>
      </c>
      <c r="AO23" s="158">
        <v>1</v>
      </c>
      <c r="AP23" s="143"/>
      <c r="AQ23" s="152">
        <f>'B2-RdTr'!$O132</f>
        <v>9.3000000000000007</v>
      </c>
      <c r="AR23" s="152">
        <f>'B2-RdTr'!$O170</f>
        <v>11.6</v>
      </c>
      <c r="AS23" s="152">
        <f>'B2-RdTr'!$O208</f>
        <v>15</v>
      </c>
      <c r="AT23" s="152">
        <f>'B2-RdTr'!$O246</f>
        <v>20.8</v>
      </c>
      <c r="AU23" s="152">
        <f>'B2-RdTr'!$O322</f>
        <v>14.3</v>
      </c>
      <c r="AV23" s="152">
        <f>'B2-RdTr'!$O360</f>
        <v>9.4</v>
      </c>
      <c r="AW23" s="152">
        <f>'B2-RdTr'!$O398</f>
        <v>11.1</v>
      </c>
      <c r="AX23" s="152">
        <f>'B2-RdTr'!$O436</f>
        <v>9.5</v>
      </c>
      <c r="AY23" s="462"/>
      <c r="AZ23" s="152">
        <f>'B2-RdTr'!$N132</f>
        <v>2</v>
      </c>
      <c r="BA23" s="152">
        <f>'B2-RdTr'!$N170</f>
        <v>8.6</v>
      </c>
      <c r="BB23" s="152">
        <f>'B2-RdTr'!$N208</f>
        <v>14.7</v>
      </c>
      <c r="BC23" s="152">
        <f>'B2-RdTr'!$N246</f>
        <v>22.5</v>
      </c>
      <c r="BD23" s="152">
        <f>'B2-RdTr'!$N322</f>
        <v>16.100000000000001</v>
      </c>
      <c r="BE23" s="152">
        <f>'B2-RdTr'!$N360</f>
        <v>10.8</v>
      </c>
      <c r="BF23" s="152">
        <f>'B2-RdTr'!$N398</f>
        <v>13.2</v>
      </c>
      <c r="BG23" s="152">
        <f>'B2-RdTr'!$N436</f>
        <v>12.9</v>
      </c>
    </row>
    <row r="24" spans="1:59">
      <c r="A24" s="46">
        <f t="shared" si="23"/>
        <v>1995</v>
      </c>
      <c r="B24" s="141">
        <f t="shared" si="5"/>
        <v>0.1703958237250881</v>
      </c>
      <c r="D24" s="141">
        <f t="shared" si="6"/>
        <v>0.37441803766105064</v>
      </c>
      <c r="E24" s="141">
        <f t="shared" si="7"/>
        <v>0.54481386138613874</v>
      </c>
      <c r="F24" s="46"/>
      <c r="G24" s="157">
        <f t="shared" si="8"/>
        <v>2.0773042616451937E-2</v>
      </c>
      <c r="H24" s="157">
        <f t="shared" si="8"/>
        <v>3.8176412289395445E-2</v>
      </c>
      <c r="I24" s="157">
        <f t="shared" si="8"/>
        <v>4.864222001982163E-2</v>
      </c>
      <c r="J24" s="157">
        <f t="shared" si="8"/>
        <v>4.8007928642220032E-2</v>
      </c>
      <c r="K24" s="157">
        <f t="shared" si="8"/>
        <v>2.0128840436075324E-2</v>
      </c>
      <c r="L24" s="157">
        <f t="shared" si="8"/>
        <v>7.9558969276511404E-3</v>
      </c>
      <c r="M24" s="157">
        <f t="shared" si="8"/>
        <v>3.5246778989098137E-3</v>
      </c>
      <c r="N24" s="157">
        <f t="shared" si="8"/>
        <v>0</v>
      </c>
      <c r="O24" s="46"/>
      <c r="P24" s="154">
        <f t="shared" si="9"/>
        <v>9.6134786917740328E-2</v>
      </c>
      <c r="Q24" s="154">
        <f t="shared" si="10"/>
        <v>0.2091179385530228</v>
      </c>
      <c r="R24" s="154">
        <f t="shared" si="11"/>
        <v>0.35678889990089196</v>
      </c>
      <c r="S24" s="154">
        <f t="shared" si="12"/>
        <v>0.55996035678889988</v>
      </c>
      <c r="T24" s="154">
        <f t="shared" si="13"/>
        <v>0.69871159563924679</v>
      </c>
      <c r="U24" s="154">
        <f t="shared" si="14"/>
        <v>0.79088206144697726</v>
      </c>
      <c r="V24" s="154">
        <f t="shared" si="15"/>
        <v>0.90188305252725476</v>
      </c>
      <c r="W24" s="162">
        <v>1</v>
      </c>
      <c r="X24" s="154"/>
      <c r="Y24" s="142">
        <f t="shared" si="24"/>
        <v>3.5445544554455449E-2</v>
      </c>
      <c r="Z24" s="142">
        <f t="shared" si="24"/>
        <v>5.8415841584158426E-2</v>
      </c>
      <c r="AA24" s="142">
        <f t="shared" si="24"/>
        <v>6.9702970297029737E-2</v>
      </c>
      <c r="AB24" s="142">
        <f t="shared" si="24"/>
        <v>6.5940594059405971E-2</v>
      </c>
      <c r="AC24" s="142">
        <f t="shared" si="24"/>
        <v>2.7227722772277241E-2</v>
      </c>
      <c r="AD24" s="142">
        <f t="shared" si="24"/>
        <v>1.0767326732673277E-2</v>
      </c>
      <c r="AE24" s="142">
        <f t="shared" si="24"/>
        <v>4.9069306930693158E-3</v>
      </c>
      <c r="AF24" s="142">
        <f t="shared" si="24"/>
        <v>0</v>
      </c>
      <c r="AH24" s="158">
        <f t="shared" si="16"/>
        <v>2.2772277227722768E-2</v>
      </c>
      <c r="AI24" s="158">
        <f t="shared" si="17"/>
        <v>0.10792079207920789</v>
      </c>
      <c r="AJ24" s="158">
        <f t="shared" si="18"/>
        <v>0.25148514851485143</v>
      </c>
      <c r="AK24" s="158">
        <f t="shared" si="19"/>
        <v>0.47029702970297022</v>
      </c>
      <c r="AL24" s="158">
        <f t="shared" si="20"/>
        <v>0.62772277227722761</v>
      </c>
      <c r="AM24" s="158">
        <f t="shared" si="21"/>
        <v>0.73465346534653453</v>
      </c>
      <c r="AN24" s="158">
        <f t="shared" si="22"/>
        <v>0.86732673267326721</v>
      </c>
      <c r="AO24" s="158">
        <v>1</v>
      </c>
      <c r="AP24" s="143"/>
      <c r="AQ24" s="152">
        <f>'B2-RdTr'!$O133</f>
        <v>9.6999999999999993</v>
      </c>
      <c r="AR24" s="152">
        <f>'B2-RdTr'!$O171</f>
        <v>11.4</v>
      </c>
      <c r="AS24" s="152">
        <f>'B2-RdTr'!$O209</f>
        <v>14.9</v>
      </c>
      <c r="AT24" s="152">
        <f>'B2-RdTr'!$O247</f>
        <v>20.5</v>
      </c>
      <c r="AU24" s="152">
        <f>'B2-RdTr'!$O323</f>
        <v>14</v>
      </c>
      <c r="AV24" s="152">
        <f>'B2-RdTr'!$O361</f>
        <v>9.3000000000000007</v>
      </c>
      <c r="AW24" s="152">
        <f>'B2-RdTr'!$O399</f>
        <v>11.2</v>
      </c>
      <c r="AX24" s="152">
        <f>'B2-RdTr'!$O437</f>
        <v>9.9</v>
      </c>
      <c r="AY24" s="462"/>
      <c r="AZ24" s="152">
        <f>'B2-RdTr'!$N133</f>
        <v>2.2999999999999998</v>
      </c>
      <c r="BA24" s="152">
        <f>'B2-RdTr'!$N171</f>
        <v>8.6</v>
      </c>
      <c r="BB24" s="152">
        <f>'B2-RdTr'!$N209</f>
        <v>14.5</v>
      </c>
      <c r="BC24" s="152">
        <f>'B2-RdTr'!$N247</f>
        <v>22.1</v>
      </c>
      <c r="BD24" s="152">
        <f>'B2-RdTr'!$N323</f>
        <v>15.9</v>
      </c>
      <c r="BE24" s="152">
        <f>'B2-RdTr'!$N361</f>
        <v>10.8</v>
      </c>
      <c r="BF24" s="152">
        <f>'B2-RdTr'!$N399</f>
        <v>13.4</v>
      </c>
      <c r="BG24" s="152">
        <f>'B2-RdTr'!$N437</f>
        <v>13.4</v>
      </c>
    </row>
    <row r="25" spans="1:59">
      <c r="A25" s="46">
        <f t="shared" si="23"/>
        <v>1996</v>
      </c>
      <c r="B25" s="141">
        <f t="shared" si="5"/>
        <v>0.16849206349206353</v>
      </c>
      <c r="D25" s="141">
        <f t="shared" si="6"/>
        <v>0.3913626984126985</v>
      </c>
      <c r="E25" s="141">
        <f t="shared" si="7"/>
        <v>0.55985476190476202</v>
      </c>
      <c r="F25" s="46"/>
      <c r="G25" s="157">
        <f t="shared" si="8"/>
        <v>2.1746031746031749E-2</v>
      </c>
      <c r="H25" s="157">
        <f t="shared" si="8"/>
        <v>3.952380952380953E-2</v>
      </c>
      <c r="I25" s="157">
        <f t="shared" si="8"/>
        <v>5.0357142857142878E-2</v>
      </c>
      <c r="J25" s="157">
        <f t="shared" si="8"/>
        <v>5.0277777777777782E-2</v>
      </c>
      <c r="K25" s="157">
        <f t="shared" si="8"/>
        <v>2.1250000000000005E-2</v>
      </c>
      <c r="L25" s="157">
        <f t="shared" si="8"/>
        <v>8.5615079365079401E-3</v>
      </c>
      <c r="M25" s="157">
        <f t="shared" si="8"/>
        <v>3.9650793650793667E-3</v>
      </c>
      <c r="N25" s="157">
        <f t="shared" si="8"/>
        <v>0</v>
      </c>
      <c r="O25" s="46"/>
      <c r="P25" s="154">
        <f t="shared" si="9"/>
        <v>9.1269841269841265E-2</v>
      </c>
      <c r="Q25" s="154">
        <f t="shared" si="10"/>
        <v>0.20238095238095238</v>
      </c>
      <c r="R25" s="154">
        <f t="shared" si="11"/>
        <v>0.3482142857142857</v>
      </c>
      <c r="S25" s="154">
        <f t="shared" si="12"/>
        <v>0.54861111111111116</v>
      </c>
      <c r="T25" s="154">
        <f t="shared" si="13"/>
        <v>0.6875</v>
      </c>
      <c r="U25" s="154">
        <f t="shared" si="14"/>
        <v>0.77876984126984128</v>
      </c>
      <c r="V25" s="154">
        <f t="shared" si="15"/>
        <v>0.89087301587301593</v>
      </c>
      <c r="W25" s="162">
        <v>1</v>
      </c>
      <c r="X25" s="154"/>
      <c r="Y25" s="142">
        <f t="shared" si="24"/>
        <v>3.5634920634920637E-2</v>
      </c>
      <c r="Z25" s="142">
        <f t="shared" si="24"/>
        <v>5.9166666666666673E-2</v>
      </c>
      <c r="AA25" s="142">
        <f t="shared" si="24"/>
        <v>7.1190476190476207E-2</v>
      </c>
      <c r="AB25" s="142">
        <f t="shared" si="24"/>
        <v>6.8333333333333343E-2</v>
      </c>
      <c r="AC25" s="142">
        <f t="shared" si="24"/>
        <v>2.8591269841269841E-2</v>
      </c>
      <c r="AD25" s="142">
        <f t="shared" si="24"/>
        <v>1.1537698412698416E-2</v>
      </c>
      <c r="AE25" s="142">
        <f t="shared" si="24"/>
        <v>5.4730158730158787E-3</v>
      </c>
      <c r="AF25" s="142">
        <f t="shared" si="24"/>
        <v>0</v>
      </c>
      <c r="AH25" s="158">
        <f t="shared" si="16"/>
        <v>2.1825396825396828E-2</v>
      </c>
      <c r="AI25" s="158">
        <f t="shared" si="17"/>
        <v>0.10416666666666669</v>
      </c>
      <c r="AJ25" s="158">
        <f t="shared" si="18"/>
        <v>0.24404761904761907</v>
      </c>
      <c r="AK25" s="158">
        <f t="shared" si="19"/>
        <v>0.45833333333333337</v>
      </c>
      <c r="AL25" s="158">
        <f t="shared" si="20"/>
        <v>0.61408730158730163</v>
      </c>
      <c r="AM25" s="158">
        <f t="shared" si="21"/>
        <v>0.71924603174603174</v>
      </c>
      <c r="AN25" s="158">
        <f t="shared" si="22"/>
        <v>0.85317460317460314</v>
      </c>
      <c r="AO25" s="158">
        <v>1</v>
      </c>
      <c r="AP25" s="143"/>
      <c r="AQ25" s="152">
        <f>'B2-RdTr'!$O134</f>
        <v>9.1999999999999993</v>
      </c>
      <c r="AR25" s="152">
        <f>'B2-RdTr'!$O172</f>
        <v>11.2</v>
      </c>
      <c r="AS25" s="152">
        <f>'B2-RdTr'!$O210</f>
        <v>14.7</v>
      </c>
      <c r="AT25" s="152">
        <f>'B2-RdTr'!$O248</f>
        <v>20.2</v>
      </c>
      <c r="AU25" s="152">
        <f>'B2-RdTr'!$O324</f>
        <v>14</v>
      </c>
      <c r="AV25" s="152">
        <f>'B2-RdTr'!$O362</f>
        <v>9.1999999999999993</v>
      </c>
      <c r="AW25" s="152">
        <f>'B2-RdTr'!$O400</f>
        <v>11.3</v>
      </c>
      <c r="AX25" s="152">
        <f>'B2-RdTr'!$O438</f>
        <v>11</v>
      </c>
      <c r="AY25" s="462"/>
      <c r="AZ25" s="152">
        <f>'B2-RdTr'!$N134</f>
        <v>2.2000000000000002</v>
      </c>
      <c r="BA25" s="152">
        <f>'B2-RdTr'!$N172</f>
        <v>8.3000000000000007</v>
      </c>
      <c r="BB25" s="152">
        <f>'B2-RdTr'!$N210</f>
        <v>14.1</v>
      </c>
      <c r="BC25" s="152">
        <f>'B2-RdTr'!$N248</f>
        <v>21.6</v>
      </c>
      <c r="BD25" s="152">
        <f>'B2-RdTr'!$N324</f>
        <v>15.7</v>
      </c>
      <c r="BE25" s="152">
        <f>'B2-RdTr'!$N362</f>
        <v>10.6</v>
      </c>
      <c r="BF25" s="152">
        <f>'B2-RdTr'!$N400</f>
        <v>13.5</v>
      </c>
      <c r="BG25" s="152">
        <f>'B2-RdTr'!$N438</f>
        <v>14.8</v>
      </c>
    </row>
    <row r="26" spans="1:59">
      <c r="A26" s="46">
        <f t="shared" si="23"/>
        <v>1997</v>
      </c>
      <c r="B26" s="141">
        <f t="shared" si="5"/>
        <v>0.16154202329723694</v>
      </c>
      <c r="D26" s="141">
        <f t="shared" si="6"/>
        <v>0.40701746031746028</v>
      </c>
      <c r="E26" s="141">
        <f t="shared" si="7"/>
        <v>0.56855948361469721</v>
      </c>
      <c r="F26" s="46"/>
      <c r="G26" s="157">
        <f t="shared" si="8"/>
        <v>2.2142857142857145E-2</v>
      </c>
      <c r="H26" s="157">
        <f t="shared" si="8"/>
        <v>4.0515873015873019E-2</v>
      </c>
      <c r="I26" s="157">
        <f t="shared" si="8"/>
        <v>5.194444444444446E-2</v>
      </c>
      <c r="J26" s="157">
        <f t="shared" si="8"/>
        <v>5.2658730158730155E-2</v>
      </c>
      <c r="K26" s="157">
        <f t="shared" si="8"/>
        <v>2.2638888888888875E-2</v>
      </c>
      <c r="L26" s="157">
        <f t="shared" si="8"/>
        <v>9.2063492063492024E-3</v>
      </c>
      <c r="M26" s="157">
        <f t="shared" si="8"/>
        <v>4.4015873015872979E-3</v>
      </c>
      <c r="N26" s="157">
        <f t="shared" si="8"/>
        <v>0</v>
      </c>
      <c r="O26" s="46"/>
      <c r="P26" s="154">
        <f t="shared" si="9"/>
        <v>8.9285714285714302E-2</v>
      </c>
      <c r="Q26" s="154">
        <f t="shared" si="10"/>
        <v>0.19742063492063494</v>
      </c>
      <c r="R26" s="154">
        <f t="shared" si="11"/>
        <v>0.34027777777777779</v>
      </c>
      <c r="S26" s="154">
        <f t="shared" si="12"/>
        <v>0.5367063492063493</v>
      </c>
      <c r="T26" s="154">
        <f t="shared" si="13"/>
        <v>0.67361111111111127</v>
      </c>
      <c r="U26" s="154">
        <f t="shared" si="14"/>
        <v>0.76587301587301604</v>
      </c>
      <c r="V26" s="154">
        <f t="shared" si="15"/>
        <v>0.87996031746031766</v>
      </c>
      <c r="W26" s="162">
        <v>1</v>
      </c>
      <c r="X26" s="154"/>
      <c r="Y26" s="142">
        <f t="shared" si="24"/>
        <v>3.5431976166832184E-2</v>
      </c>
      <c r="Z26" s="142">
        <f t="shared" si="24"/>
        <v>5.9145978152929504E-2</v>
      </c>
      <c r="AA26" s="142">
        <f t="shared" si="24"/>
        <v>7.1737835153922555E-2</v>
      </c>
      <c r="AB26" s="142">
        <f t="shared" si="24"/>
        <v>7.0228401191658407E-2</v>
      </c>
      <c r="AC26" s="142">
        <f t="shared" si="24"/>
        <v>2.9721946375372399E-2</v>
      </c>
      <c r="AD26" s="142">
        <f t="shared" si="24"/>
        <v>1.2097815292949361E-2</v>
      </c>
      <c r="AE26" s="142">
        <f t="shared" si="24"/>
        <v>5.9157894736842163E-3</v>
      </c>
      <c r="AF26" s="142">
        <f t="shared" si="24"/>
        <v>0</v>
      </c>
      <c r="AH26" s="158">
        <f t="shared" si="16"/>
        <v>2.2840119165839123E-2</v>
      </c>
      <c r="AI26" s="158">
        <f t="shared" si="17"/>
        <v>0.10427010923535253</v>
      </c>
      <c r="AJ26" s="158">
        <f t="shared" si="18"/>
        <v>0.2413108242303873</v>
      </c>
      <c r="AK26" s="158">
        <f t="shared" si="19"/>
        <v>0.44885799404170801</v>
      </c>
      <c r="AL26" s="158">
        <f t="shared" si="20"/>
        <v>0.60278053624627603</v>
      </c>
      <c r="AM26" s="158">
        <f t="shared" si="21"/>
        <v>0.70804369414101287</v>
      </c>
      <c r="AN26" s="158">
        <f t="shared" si="22"/>
        <v>0.84210526315789469</v>
      </c>
      <c r="AO26" s="158">
        <v>1</v>
      </c>
      <c r="AP26" s="143"/>
      <c r="AQ26" s="152">
        <f>'B2-RdTr'!$O135</f>
        <v>9</v>
      </c>
      <c r="AR26" s="152">
        <f>'B2-RdTr'!$O173</f>
        <v>10.9</v>
      </c>
      <c r="AS26" s="152">
        <f>'B2-RdTr'!$O211</f>
        <v>14.4</v>
      </c>
      <c r="AT26" s="152">
        <f>'B2-RdTr'!$O249</f>
        <v>19.8</v>
      </c>
      <c r="AU26" s="152">
        <f>'B2-RdTr'!$O325</f>
        <v>13.8</v>
      </c>
      <c r="AV26" s="152">
        <f>'B2-RdTr'!$O363</f>
        <v>9.3000000000000007</v>
      </c>
      <c r="AW26" s="152">
        <f>'B2-RdTr'!$O401</f>
        <v>11.5</v>
      </c>
      <c r="AX26" s="152">
        <f>'B2-RdTr'!$O439</f>
        <v>12.1</v>
      </c>
      <c r="AY26" s="462"/>
      <c r="AZ26" s="152">
        <f>'B2-RdTr'!$N135</f>
        <v>2.2999999999999998</v>
      </c>
      <c r="BA26" s="152">
        <f>'B2-RdTr'!$N173</f>
        <v>8.1999999999999993</v>
      </c>
      <c r="BB26" s="152">
        <f>'B2-RdTr'!$N211</f>
        <v>13.8</v>
      </c>
      <c r="BC26" s="152">
        <f>'B2-RdTr'!$N249</f>
        <v>20.9</v>
      </c>
      <c r="BD26" s="152">
        <f>'B2-RdTr'!$N325</f>
        <v>15.5</v>
      </c>
      <c r="BE26" s="152">
        <f>'B2-RdTr'!$N363</f>
        <v>10.6</v>
      </c>
      <c r="BF26" s="152">
        <f>'B2-RdTr'!$N401</f>
        <v>13.5</v>
      </c>
      <c r="BG26" s="152">
        <f>'B2-RdTr'!$N439</f>
        <v>15.9</v>
      </c>
    </row>
    <row r="27" spans="1:59">
      <c r="A27" s="46">
        <f t="shared" si="23"/>
        <v>1998</v>
      </c>
      <c r="B27" s="141">
        <f t="shared" si="5"/>
        <v>0.15527317758464088</v>
      </c>
      <c r="D27" s="141">
        <f t="shared" si="6"/>
        <v>0.41580555004955422</v>
      </c>
      <c r="E27" s="141">
        <f t="shared" si="7"/>
        <v>0.57107872763419509</v>
      </c>
      <c r="F27" s="46"/>
      <c r="G27" s="157">
        <f t="shared" si="8"/>
        <v>2.23587710604559E-2</v>
      </c>
      <c r="H27" s="157">
        <f t="shared" si="8"/>
        <v>4.0951437066402391E-2</v>
      </c>
      <c r="I27" s="157">
        <f t="shared" si="8"/>
        <v>5.2804757185332042E-2</v>
      </c>
      <c r="J27" s="157">
        <f t="shared" si="8"/>
        <v>5.3954410307234912E-2</v>
      </c>
      <c r="K27" s="157">
        <f t="shared" si="8"/>
        <v>2.3399405351833515E-2</v>
      </c>
      <c r="L27" s="157">
        <f t="shared" si="8"/>
        <v>9.6407333994053615E-3</v>
      </c>
      <c r="M27" s="157">
        <f t="shared" si="8"/>
        <v>4.79326065411299E-3</v>
      </c>
      <c r="N27" s="157">
        <f t="shared" si="8"/>
        <v>0</v>
      </c>
      <c r="O27" s="46"/>
      <c r="P27" s="154">
        <f t="shared" si="9"/>
        <v>8.820614469772052E-2</v>
      </c>
      <c r="Q27" s="154">
        <f t="shared" si="10"/>
        <v>0.1952428146679881</v>
      </c>
      <c r="R27" s="154">
        <f t="shared" si="11"/>
        <v>0.33597621407333988</v>
      </c>
      <c r="S27" s="154">
        <f t="shared" si="12"/>
        <v>0.53022794846382548</v>
      </c>
      <c r="T27" s="154">
        <f t="shared" si="13"/>
        <v>0.66600594648166489</v>
      </c>
      <c r="U27" s="154">
        <f t="shared" si="14"/>
        <v>0.75718533201189286</v>
      </c>
      <c r="V27" s="154">
        <f t="shared" si="15"/>
        <v>0.87016848364717536</v>
      </c>
      <c r="W27" s="162">
        <v>1</v>
      </c>
      <c r="X27" s="154"/>
      <c r="Y27" s="142">
        <f t="shared" si="24"/>
        <v>3.5029821073558655E-2</v>
      </c>
      <c r="Z27" s="142">
        <f t="shared" si="24"/>
        <v>5.8926441351888674E-2</v>
      </c>
      <c r="AA27" s="142">
        <f t="shared" si="24"/>
        <v>7.1888667992047739E-2</v>
      </c>
      <c r="AB27" s="142">
        <f t="shared" si="24"/>
        <v>7.0735586481113347E-2</v>
      </c>
      <c r="AC27" s="142">
        <f t="shared" si="24"/>
        <v>3.0258449304174963E-2</v>
      </c>
      <c r="AD27" s="142">
        <f t="shared" si="24"/>
        <v>1.2460238568588479E-2</v>
      </c>
      <c r="AE27" s="142">
        <f t="shared" si="24"/>
        <v>6.2401590457256571E-3</v>
      </c>
      <c r="AF27" s="142">
        <f t="shared" si="24"/>
        <v>0</v>
      </c>
      <c r="AH27" s="158">
        <f t="shared" si="16"/>
        <v>2.4850894632206758E-2</v>
      </c>
      <c r="AI27" s="158">
        <f t="shared" si="17"/>
        <v>0.10536779324055665</v>
      </c>
      <c r="AJ27" s="158">
        <f t="shared" si="18"/>
        <v>0.24055666003976139</v>
      </c>
      <c r="AK27" s="158">
        <f t="shared" si="19"/>
        <v>0.44632206759443332</v>
      </c>
      <c r="AL27" s="158">
        <f t="shared" si="20"/>
        <v>0.59741550695825041</v>
      </c>
      <c r="AM27" s="158">
        <f t="shared" si="21"/>
        <v>0.70079522862823052</v>
      </c>
      <c r="AN27" s="158">
        <f t="shared" si="22"/>
        <v>0.83399602385685867</v>
      </c>
      <c r="AO27" s="158">
        <v>1</v>
      </c>
      <c r="AP27" s="143"/>
      <c r="AQ27" s="152">
        <f>'B2-RdTr'!$O136</f>
        <v>8.9</v>
      </c>
      <c r="AR27" s="152">
        <f>'B2-RdTr'!$O174</f>
        <v>10.8</v>
      </c>
      <c r="AS27" s="152">
        <f>'B2-RdTr'!$O212</f>
        <v>14.2</v>
      </c>
      <c r="AT27" s="152">
        <f>'B2-RdTr'!$O250</f>
        <v>19.600000000000001</v>
      </c>
      <c r="AU27" s="152">
        <f>'B2-RdTr'!$O326</f>
        <v>13.7</v>
      </c>
      <c r="AV27" s="152">
        <f>'B2-RdTr'!$O364</f>
        <v>9.1999999999999993</v>
      </c>
      <c r="AW27" s="152">
        <f>'B2-RdTr'!$O402</f>
        <v>11.4</v>
      </c>
      <c r="AX27" s="152">
        <f>'B2-RdTr'!$O440</f>
        <v>13.1</v>
      </c>
      <c r="AY27" s="462"/>
      <c r="AZ27" s="152">
        <f>'B2-RdTr'!$N136</f>
        <v>2.5</v>
      </c>
      <c r="BA27" s="152">
        <f>'B2-RdTr'!$N174</f>
        <v>8.1</v>
      </c>
      <c r="BB27" s="152">
        <f>'B2-RdTr'!$N212</f>
        <v>13.6</v>
      </c>
      <c r="BC27" s="152">
        <f>'B2-RdTr'!$N250</f>
        <v>20.7</v>
      </c>
      <c r="BD27" s="152">
        <f>'B2-RdTr'!$N326</f>
        <v>15.2</v>
      </c>
      <c r="BE27" s="152">
        <f>'B2-RdTr'!$N364</f>
        <v>10.4</v>
      </c>
      <c r="BF27" s="152">
        <f>'B2-RdTr'!$N402</f>
        <v>13.4</v>
      </c>
      <c r="BG27" s="152">
        <f>'B2-RdTr'!$N440</f>
        <v>16.7</v>
      </c>
    </row>
    <row r="28" spans="1:59">
      <c r="A28" s="46">
        <f t="shared" si="23"/>
        <v>1999</v>
      </c>
      <c r="B28" s="141">
        <f t="shared" si="5"/>
        <v>0.15098311817279036</v>
      </c>
      <c r="D28" s="141">
        <f t="shared" si="6"/>
        <v>0.4296319761668323</v>
      </c>
      <c r="E28" s="141">
        <f t="shared" si="7"/>
        <v>0.58061509433962266</v>
      </c>
      <c r="F28" s="46"/>
      <c r="G28" s="157">
        <f t="shared" si="8"/>
        <v>2.3118172790466737E-2</v>
      </c>
      <c r="H28" s="157">
        <f t="shared" si="8"/>
        <v>4.2065541211519369E-2</v>
      </c>
      <c r="I28" s="157">
        <f t="shared" si="8"/>
        <v>5.4260178748758707E-2</v>
      </c>
      <c r="J28" s="157">
        <f t="shared" si="8"/>
        <v>5.5729890764647474E-2</v>
      </c>
      <c r="K28" s="157">
        <f t="shared" si="8"/>
        <v>2.4359483614697121E-2</v>
      </c>
      <c r="L28" s="157">
        <f t="shared" si="8"/>
        <v>1.016137040714995E-2</v>
      </c>
      <c r="M28" s="157">
        <f t="shared" si="8"/>
        <v>5.1213505461767637E-3</v>
      </c>
      <c r="N28" s="157">
        <f t="shared" si="8"/>
        <v>0</v>
      </c>
      <c r="O28" s="46"/>
      <c r="P28" s="154">
        <f t="shared" si="9"/>
        <v>8.4409136047666339E-2</v>
      </c>
      <c r="Q28" s="154">
        <f t="shared" si="10"/>
        <v>0.1896722939424032</v>
      </c>
      <c r="R28" s="154">
        <f t="shared" si="11"/>
        <v>0.32869910625620657</v>
      </c>
      <c r="S28" s="154">
        <f t="shared" si="12"/>
        <v>0.52135054617676269</v>
      </c>
      <c r="T28" s="154">
        <f t="shared" si="13"/>
        <v>0.65640516385302883</v>
      </c>
      <c r="U28" s="154">
        <f t="shared" si="14"/>
        <v>0.74677259185700107</v>
      </c>
      <c r="V28" s="154">
        <f t="shared" si="15"/>
        <v>0.86196623634558101</v>
      </c>
      <c r="W28" s="162">
        <v>1</v>
      </c>
      <c r="X28" s="154"/>
      <c r="Y28" s="142">
        <f t="shared" si="24"/>
        <v>3.503475670307845E-2</v>
      </c>
      <c r="Z28" s="142">
        <f t="shared" si="24"/>
        <v>5.9145978152929504E-2</v>
      </c>
      <c r="AA28" s="142">
        <f t="shared" si="24"/>
        <v>7.2730883813306876E-2</v>
      </c>
      <c r="AB28" s="142">
        <f t="shared" si="24"/>
        <v>7.2413108242303889E-2</v>
      </c>
      <c r="AC28" s="142">
        <f t="shared" si="24"/>
        <v>3.1310824230387294E-2</v>
      </c>
      <c r="AD28" s="142">
        <f t="shared" si="24"/>
        <v>1.3041211519364455E-2</v>
      </c>
      <c r="AE28" s="142">
        <f t="shared" si="24"/>
        <v>6.6307845084409194E-3</v>
      </c>
      <c r="AF28" s="142">
        <f t="shared" si="24"/>
        <v>0</v>
      </c>
      <c r="AH28" s="158">
        <f t="shared" si="16"/>
        <v>2.4826216484607744E-2</v>
      </c>
      <c r="AI28" s="158">
        <f t="shared" si="17"/>
        <v>0.10427010923535253</v>
      </c>
      <c r="AJ28" s="158">
        <f t="shared" si="18"/>
        <v>0.23634558093346575</v>
      </c>
      <c r="AK28" s="158">
        <f t="shared" si="19"/>
        <v>0.43793445878848064</v>
      </c>
      <c r="AL28" s="158">
        <f t="shared" si="20"/>
        <v>0.58689175769612711</v>
      </c>
      <c r="AM28" s="158">
        <f t="shared" si="21"/>
        <v>0.68917576961271099</v>
      </c>
      <c r="AN28" s="158">
        <f t="shared" si="22"/>
        <v>0.82423038728897713</v>
      </c>
      <c r="AO28" s="158">
        <v>1</v>
      </c>
      <c r="AP28" s="143"/>
      <c r="AQ28" s="152">
        <f>'B2-RdTr'!$O137</f>
        <v>8.5</v>
      </c>
      <c r="AR28" s="152">
        <f>'B2-RdTr'!$O175</f>
        <v>10.6</v>
      </c>
      <c r="AS28" s="152">
        <f>'B2-RdTr'!$O213</f>
        <v>14</v>
      </c>
      <c r="AT28" s="152">
        <f>'B2-RdTr'!$O251</f>
        <v>19.399999999999999</v>
      </c>
      <c r="AU28" s="152">
        <f>'B2-RdTr'!$O327</f>
        <v>13.6</v>
      </c>
      <c r="AV28" s="152">
        <f>'B2-RdTr'!$O365</f>
        <v>9.1</v>
      </c>
      <c r="AW28" s="152">
        <f>'B2-RdTr'!$O403</f>
        <v>11.6</v>
      </c>
      <c r="AX28" s="152">
        <f>'B2-RdTr'!$O441</f>
        <v>13.9</v>
      </c>
      <c r="AY28" s="462"/>
      <c r="AZ28" s="152">
        <f>'B2-RdTr'!$N137</f>
        <v>2.5</v>
      </c>
      <c r="BA28" s="152">
        <f>'B2-RdTr'!$N175</f>
        <v>8</v>
      </c>
      <c r="BB28" s="152">
        <f>'B2-RdTr'!$N213</f>
        <v>13.3</v>
      </c>
      <c r="BC28" s="152">
        <f>'B2-RdTr'!$N251</f>
        <v>20.3</v>
      </c>
      <c r="BD28" s="152">
        <f>'B2-RdTr'!$N327</f>
        <v>15</v>
      </c>
      <c r="BE28" s="152">
        <f>'B2-RdTr'!$N365</f>
        <v>10.3</v>
      </c>
      <c r="BF28" s="152">
        <f>'B2-RdTr'!$N403</f>
        <v>13.6</v>
      </c>
      <c r="BG28" s="152">
        <f>'B2-RdTr'!$N441</f>
        <v>17.7</v>
      </c>
    </row>
    <row r="29" spans="1:59">
      <c r="A29" s="46">
        <f t="shared" si="23"/>
        <v>2000</v>
      </c>
      <c r="B29" s="141">
        <f t="shared" si="5"/>
        <v>0.1511929725750592</v>
      </c>
      <c r="D29" s="141">
        <f t="shared" si="6"/>
        <v>0.43866871896722953</v>
      </c>
      <c r="E29" s="141">
        <f t="shared" si="7"/>
        <v>0.58986169154228874</v>
      </c>
      <c r="F29" s="46"/>
      <c r="G29" s="157">
        <f t="shared" si="8"/>
        <v>2.3316782522343597E-2</v>
      </c>
      <c r="H29" s="157">
        <f t="shared" si="8"/>
        <v>4.2462760675273097E-2</v>
      </c>
      <c r="I29" s="157">
        <f t="shared" si="8"/>
        <v>5.5054617676266161E-2</v>
      </c>
      <c r="J29" s="157">
        <f t="shared" si="8"/>
        <v>5.7120158887785523E-2</v>
      </c>
      <c r="K29" s="157">
        <f t="shared" si="8"/>
        <v>2.5253227408143009E-2</v>
      </c>
      <c r="L29" s="157">
        <f t="shared" si="8"/>
        <v>1.0608242303872901E-2</v>
      </c>
      <c r="M29" s="157">
        <f t="shared" si="8"/>
        <v>5.5185700099304969E-3</v>
      </c>
      <c r="N29" s="157">
        <f t="shared" si="8"/>
        <v>0</v>
      </c>
      <c r="O29" s="46"/>
      <c r="P29" s="154">
        <f t="shared" si="9"/>
        <v>8.3416087388282031E-2</v>
      </c>
      <c r="Q29" s="154">
        <f t="shared" si="10"/>
        <v>0.18768619662363456</v>
      </c>
      <c r="R29" s="154">
        <f t="shared" si="11"/>
        <v>0.32472691161866929</v>
      </c>
      <c r="S29" s="154">
        <f t="shared" si="12"/>
        <v>0.51439920556107244</v>
      </c>
      <c r="T29" s="154">
        <f t="shared" si="13"/>
        <v>0.64746772591856994</v>
      </c>
      <c r="U29" s="154">
        <f t="shared" si="14"/>
        <v>0.73783515392254206</v>
      </c>
      <c r="V29" s="154">
        <f t="shared" si="15"/>
        <v>0.85203574975173768</v>
      </c>
      <c r="W29" s="162">
        <v>1</v>
      </c>
      <c r="X29" s="154"/>
      <c r="Y29" s="142">
        <f t="shared" si="24"/>
        <v>3.502487562189055E-2</v>
      </c>
      <c r="Z29" s="142">
        <f t="shared" si="24"/>
        <v>5.9502487562189059E-2</v>
      </c>
      <c r="AA29" s="142">
        <f t="shared" si="24"/>
        <v>7.3631840796019921E-2</v>
      </c>
      <c r="AB29" s="142">
        <f t="shared" si="24"/>
        <v>7.3830845771144293E-2</v>
      </c>
      <c r="AC29" s="142">
        <f t="shared" si="24"/>
        <v>3.2288557213930362E-2</v>
      </c>
      <c r="AD29" s="142">
        <f t="shared" si="24"/>
        <v>1.3569651741293537E-2</v>
      </c>
      <c r="AE29" s="142">
        <f t="shared" si="24"/>
        <v>7.0825870646766247E-3</v>
      </c>
      <c r="AF29" s="142">
        <f t="shared" si="24"/>
        <v>0</v>
      </c>
      <c r="AH29" s="158">
        <f t="shared" si="16"/>
        <v>2.4875621890547265E-2</v>
      </c>
      <c r="AI29" s="158">
        <f t="shared" si="17"/>
        <v>0.10248756218905472</v>
      </c>
      <c r="AJ29" s="158">
        <f t="shared" si="18"/>
        <v>0.23184079601990049</v>
      </c>
      <c r="AK29" s="158">
        <f t="shared" si="19"/>
        <v>0.43084577114427858</v>
      </c>
      <c r="AL29" s="158">
        <f t="shared" si="20"/>
        <v>0.57711442786069644</v>
      </c>
      <c r="AM29" s="158">
        <f t="shared" si="21"/>
        <v>0.67860696517412933</v>
      </c>
      <c r="AN29" s="158">
        <f t="shared" si="22"/>
        <v>0.8129353233830845</v>
      </c>
      <c r="AO29" s="158">
        <v>1</v>
      </c>
      <c r="AP29" s="143"/>
      <c r="AQ29" s="152">
        <f>'B2-RdTr'!$O138</f>
        <v>8.4</v>
      </c>
      <c r="AR29" s="152">
        <f>'B2-RdTr'!$O176</f>
        <v>10.5</v>
      </c>
      <c r="AS29" s="152">
        <f>'B2-RdTr'!$O214</f>
        <v>13.8</v>
      </c>
      <c r="AT29" s="152">
        <f>'B2-RdTr'!$O252</f>
        <v>19.100000000000001</v>
      </c>
      <c r="AU29" s="152">
        <f>'B2-RdTr'!$O328</f>
        <v>13.4</v>
      </c>
      <c r="AV29" s="152">
        <f>'B2-RdTr'!$O366</f>
        <v>9.1</v>
      </c>
      <c r="AW29" s="152">
        <f>'B2-RdTr'!$O404</f>
        <v>11.5</v>
      </c>
      <c r="AX29" s="152">
        <f>'B2-RdTr'!$O442</f>
        <v>14.9</v>
      </c>
      <c r="AY29" s="462"/>
      <c r="AZ29" s="152">
        <f>'B2-RdTr'!$N138</f>
        <v>2.5</v>
      </c>
      <c r="BA29" s="152">
        <f>'B2-RdTr'!$N176</f>
        <v>7.8</v>
      </c>
      <c r="BB29" s="152">
        <f>'B2-RdTr'!$N214</f>
        <v>13</v>
      </c>
      <c r="BC29" s="152">
        <f>'B2-RdTr'!$N252</f>
        <v>20</v>
      </c>
      <c r="BD29" s="152">
        <f>'B2-RdTr'!$N328</f>
        <v>14.7</v>
      </c>
      <c r="BE29" s="152">
        <f>'B2-RdTr'!$N366</f>
        <v>10.199999999999999</v>
      </c>
      <c r="BF29" s="152">
        <f>'B2-RdTr'!$N404</f>
        <v>13.5</v>
      </c>
      <c r="BG29" s="152">
        <f>'B2-RdTr'!$N442</f>
        <v>18.8</v>
      </c>
    </row>
    <row r="30" spans="1:59">
      <c r="A30" s="46">
        <f t="shared" si="23"/>
        <v>2001</v>
      </c>
      <c r="B30" s="141">
        <f t="shared" si="5"/>
        <v>0.16009323623524213</v>
      </c>
      <c r="D30" s="141">
        <f t="shared" si="6"/>
        <v>0.40808888888888911</v>
      </c>
      <c r="E30" s="141">
        <f t="shared" si="7"/>
        <v>0.56818212512413124</v>
      </c>
      <c r="F30" s="46"/>
      <c r="G30" s="157">
        <f t="shared" si="8"/>
        <v>2.2539682539682544E-2</v>
      </c>
      <c r="H30" s="157">
        <f t="shared" si="8"/>
        <v>4.0714285714285731E-2</v>
      </c>
      <c r="I30" s="157">
        <f t="shared" si="8"/>
        <v>5.2142857142857171E-2</v>
      </c>
      <c r="J30" s="157">
        <f t="shared" si="8"/>
        <v>5.2460317460317478E-2</v>
      </c>
      <c r="K30" s="157">
        <f t="shared" si="8"/>
        <v>2.2539682539682551E-2</v>
      </c>
      <c r="L30" s="157">
        <f t="shared" si="8"/>
        <v>9.2063492063492128E-3</v>
      </c>
      <c r="M30" s="157">
        <f t="shared" si="8"/>
        <v>4.4412698412698457E-3</v>
      </c>
      <c r="N30" s="157">
        <f t="shared" si="8"/>
        <v>0</v>
      </c>
      <c r="O30" s="46"/>
      <c r="P30" s="154">
        <f t="shared" si="9"/>
        <v>8.7301587301587297E-2</v>
      </c>
      <c r="Q30" s="154">
        <f t="shared" si="10"/>
        <v>0.1964285714285714</v>
      </c>
      <c r="R30" s="154">
        <f t="shared" si="11"/>
        <v>0.33928571428571425</v>
      </c>
      <c r="S30" s="154">
        <f t="shared" si="12"/>
        <v>0.53769841269841268</v>
      </c>
      <c r="T30" s="154">
        <f t="shared" si="13"/>
        <v>0.67460317460317454</v>
      </c>
      <c r="U30" s="154">
        <f t="shared" si="14"/>
        <v>0.76587301587301582</v>
      </c>
      <c r="V30" s="154">
        <f t="shared" si="15"/>
        <v>0.87896825396825395</v>
      </c>
      <c r="W30" s="162">
        <v>1</v>
      </c>
      <c r="X30" s="154"/>
      <c r="Y30" s="142">
        <f t="shared" si="24"/>
        <v>3.5233366434955317E-2</v>
      </c>
      <c r="Z30" s="142">
        <f t="shared" si="24"/>
        <v>5.9145978152929504E-2</v>
      </c>
      <c r="AA30" s="142">
        <f t="shared" si="24"/>
        <v>7.2135054617676289E-2</v>
      </c>
      <c r="AB30" s="142">
        <f t="shared" si="24"/>
        <v>7.002979145978154E-2</v>
      </c>
      <c r="AC30" s="142">
        <f t="shared" si="24"/>
        <v>2.9622641509433969E-2</v>
      </c>
      <c r="AD30" s="142">
        <f t="shared" si="24"/>
        <v>1.2048162859980144E-2</v>
      </c>
      <c r="AE30" s="142">
        <f t="shared" si="24"/>
        <v>5.8760675273088437E-3</v>
      </c>
      <c r="AF30" s="142">
        <f t="shared" si="24"/>
        <v>0</v>
      </c>
      <c r="AH30" s="158">
        <f t="shared" si="16"/>
        <v>2.3833167825223437E-2</v>
      </c>
      <c r="AI30" s="158">
        <f t="shared" si="17"/>
        <v>0.10427010923535253</v>
      </c>
      <c r="AJ30" s="158">
        <f t="shared" si="18"/>
        <v>0.23932472691161866</v>
      </c>
      <c r="AK30" s="158">
        <f t="shared" si="19"/>
        <v>0.44985104270109233</v>
      </c>
      <c r="AL30" s="158">
        <f t="shared" si="20"/>
        <v>0.60377358490566035</v>
      </c>
      <c r="AM30" s="158">
        <f t="shared" si="21"/>
        <v>0.70903674280039719</v>
      </c>
      <c r="AN30" s="158">
        <f t="shared" si="22"/>
        <v>0.84309831181727901</v>
      </c>
      <c r="AO30" s="158">
        <v>1</v>
      </c>
      <c r="AP30" s="143"/>
      <c r="AQ30" s="152">
        <f>'B2-RdTr'!$O139</f>
        <v>8.8000000000000007</v>
      </c>
      <c r="AR30" s="152">
        <f>'B2-RdTr'!$O177</f>
        <v>11</v>
      </c>
      <c r="AS30" s="152">
        <f>'B2-RdTr'!$O215</f>
        <v>14.4</v>
      </c>
      <c r="AT30" s="152">
        <f>'B2-RdTr'!$O253</f>
        <v>20</v>
      </c>
      <c r="AU30" s="152">
        <f>'B2-RdTr'!$O329</f>
        <v>13.8</v>
      </c>
      <c r="AV30" s="152">
        <f>'B2-RdTr'!$O367</f>
        <v>9.1999999999999993</v>
      </c>
      <c r="AW30" s="152">
        <f>'B2-RdTr'!$O405</f>
        <v>11.4</v>
      </c>
      <c r="AX30" s="152">
        <f>'B2-RdTr'!$O443</f>
        <v>12.2</v>
      </c>
      <c r="AY30" s="462"/>
      <c r="AZ30" s="152">
        <f>'B2-RdTr'!$N139</f>
        <v>2.4</v>
      </c>
      <c r="BA30" s="152">
        <f>'B2-RdTr'!$N177</f>
        <v>8.1</v>
      </c>
      <c r="BB30" s="152">
        <f>'B2-RdTr'!$N215</f>
        <v>13.6</v>
      </c>
      <c r="BC30" s="152">
        <f>'B2-RdTr'!$N253</f>
        <v>21.2</v>
      </c>
      <c r="BD30" s="152">
        <f>'B2-RdTr'!$N329</f>
        <v>15.5</v>
      </c>
      <c r="BE30" s="152">
        <f>'B2-RdTr'!$N367</f>
        <v>10.6</v>
      </c>
      <c r="BF30" s="152">
        <f>'B2-RdTr'!$N405</f>
        <v>13.5</v>
      </c>
      <c r="BG30" s="152">
        <f>'B2-RdTr'!$N443</f>
        <v>15.8</v>
      </c>
    </row>
    <row r="31" spans="1:59">
      <c r="A31" s="46">
        <f t="shared" si="23"/>
        <v>2002</v>
      </c>
      <c r="B31" s="141">
        <f t="shared" si="5"/>
        <v>0.17252725470763125</v>
      </c>
      <c r="D31" s="141">
        <f t="shared" si="6"/>
        <v>0.38809494549058493</v>
      </c>
      <c r="E31" s="141">
        <f t="shared" si="7"/>
        <v>0.56062220019821618</v>
      </c>
      <c r="F31" s="46"/>
      <c r="G31" s="157">
        <f t="shared" si="8"/>
        <v>2.1367690782953426E-2</v>
      </c>
      <c r="H31" s="157">
        <f t="shared" si="8"/>
        <v>3.8969276511397435E-2</v>
      </c>
      <c r="I31" s="157">
        <f t="shared" si="8"/>
        <v>5.0029732408325117E-2</v>
      </c>
      <c r="J31" s="157">
        <f t="shared" si="8"/>
        <v>4.9990089197225009E-2</v>
      </c>
      <c r="K31" s="157">
        <f t="shared" si="8"/>
        <v>2.1219028741328062E-2</v>
      </c>
      <c r="L31" s="157">
        <f t="shared" si="8"/>
        <v>8.550545094152635E-3</v>
      </c>
      <c r="M31" s="157">
        <f t="shared" si="8"/>
        <v>3.9211100099108128E-3</v>
      </c>
      <c r="N31" s="157">
        <f t="shared" si="8"/>
        <v>0</v>
      </c>
      <c r="O31" s="46"/>
      <c r="P31" s="154">
        <f t="shared" si="9"/>
        <v>9.3161546085232888E-2</v>
      </c>
      <c r="Q31" s="154">
        <f t="shared" si="10"/>
        <v>0.20515361744301286</v>
      </c>
      <c r="R31" s="154">
        <f t="shared" si="11"/>
        <v>0.34985133795837453</v>
      </c>
      <c r="S31" s="154">
        <f t="shared" si="12"/>
        <v>0.55004955401387501</v>
      </c>
      <c r="T31" s="154">
        <f t="shared" si="13"/>
        <v>0.68780971258671941</v>
      </c>
      <c r="U31" s="154">
        <f t="shared" si="14"/>
        <v>0.77898909811694739</v>
      </c>
      <c r="V31" s="154">
        <f t="shared" si="15"/>
        <v>0.89197224975222977</v>
      </c>
      <c r="W31" s="162">
        <v>1</v>
      </c>
      <c r="X31" s="154"/>
      <c r="Y31" s="142">
        <f t="shared" si="24"/>
        <v>3.5242814667988114E-2</v>
      </c>
      <c r="Z31" s="142">
        <f t="shared" si="24"/>
        <v>5.8989098116947483E-2</v>
      </c>
      <c r="AA31" s="142">
        <f t="shared" si="24"/>
        <v>7.1635282457879104E-2</v>
      </c>
      <c r="AB31" s="142">
        <f t="shared" si="24"/>
        <v>6.8820614469772057E-2</v>
      </c>
      <c r="AC31" s="142">
        <f t="shared" si="24"/>
        <v>2.8751238850346885E-2</v>
      </c>
      <c r="AD31" s="142">
        <f t="shared" si="24"/>
        <v>1.1523785926660063E-2</v>
      </c>
      <c r="AE31" s="142">
        <f t="shared" si="24"/>
        <v>5.3482656095143752E-3</v>
      </c>
      <c r="AF31" s="142">
        <f t="shared" si="24"/>
        <v>0</v>
      </c>
      <c r="AH31" s="158">
        <f t="shared" si="16"/>
        <v>2.3785926660059464E-2</v>
      </c>
      <c r="AI31" s="158">
        <f t="shared" si="17"/>
        <v>0.10505450941526263</v>
      </c>
      <c r="AJ31" s="158">
        <f t="shared" si="18"/>
        <v>0.24182358771060458</v>
      </c>
      <c r="AK31" s="158">
        <f t="shared" si="19"/>
        <v>0.45589692765113976</v>
      </c>
      <c r="AL31" s="158">
        <f t="shared" si="20"/>
        <v>0.61248761149653119</v>
      </c>
      <c r="AM31" s="158">
        <f t="shared" si="21"/>
        <v>0.71952428146679881</v>
      </c>
      <c r="AN31" s="158">
        <f t="shared" si="22"/>
        <v>0.85629335976214072</v>
      </c>
      <c r="AO31" s="158">
        <v>1</v>
      </c>
      <c r="AP31" s="143"/>
      <c r="AQ31" s="152">
        <f>'B2-RdTr'!$O140</f>
        <v>9.4</v>
      </c>
      <c r="AR31" s="152">
        <f>'B2-RdTr'!$O178</f>
        <v>11.3</v>
      </c>
      <c r="AS31" s="152">
        <f>'B2-RdTr'!$O216</f>
        <v>14.6</v>
      </c>
      <c r="AT31" s="152">
        <f>'B2-RdTr'!$O254</f>
        <v>20.2</v>
      </c>
      <c r="AU31" s="152">
        <f>'B2-RdTr'!$O330</f>
        <v>13.9</v>
      </c>
      <c r="AV31" s="152">
        <f>'B2-RdTr'!$O368</f>
        <v>9.1999999999999993</v>
      </c>
      <c r="AW31" s="152">
        <f>'B2-RdTr'!$O406</f>
        <v>11.4</v>
      </c>
      <c r="AX31" s="152">
        <f>'B2-RdTr'!$O444</f>
        <v>10.9</v>
      </c>
      <c r="AY31" s="462"/>
      <c r="AZ31" s="152">
        <f>'B2-RdTr'!$N140</f>
        <v>2.4</v>
      </c>
      <c r="BA31" s="152">
        <f>'B2-RdTr'!$N178</f>
        <v>8.1999999999999993</v>
      </c>
      <c r="BB31" s="152">
        <f>'B2-RdTr'!$N216</f>
        <v>13.8</v>
      </c>
      <c r="BC31" s="152">
        <f>'B2-RdTr'!$N254</f>
        <v>21.6</v>
      </c>
      <c r="BD31" s="152">
        <f>'B2-RdTr'!$N330</f>
        <v>15.8</v>
      </c>
      <c r="BE31" s="152">
        <f>'B2-RdTr'!$N368</f>
        <v>10.8</v>
      </c>
      <c r="BF31" s="152">
        <f>'B2-RdTr'!$N406</f>
        <v>13.8</v>
      </c>
      <c r="BG31" s="152">
        <f>'B2-RdTr'!$N444</f>
        <v>14.5</v>
      </c>
    </row>
    <row r="32" spans="1:59">
      <c r="A32" s="46">
        <f t="shared" si="23"/>
        <v>2003</v>
      </c>
      <c r="B32" s="141">
        <f t="shared" si="5"/>
        <v>0.17111992071357784</v>
      </c>
      <c r="D32" s="141">
        <f t="shared" si="6"/>
        <v>0.40012666005946484</v>
      </c>
      <c r="E32" s="141">
        <f t="shared" si="7"/>
        <v>0.57124658077304269</v>
      </c>
      <c r="F32" s="46"/>
      <c r="G32" s="157">
        <f t="shared" si="8"/>
        <v>2.1764122893954414E-2</v>
      </c>
      <c r="H32" s="157">
        <f t="shared" si="8"/>
        <v>3.9960356788899906E-2</v>
      </c>
      <c r="I32" s="157">
        <f t="shared" si="8"/>
        <v>5.1417244796828555E-2</v>
      </c>
      <c r="J32" s="157">
        <f t="shared" si="8"/>
        <v>5.1774033696729442E-2</v>
      </c>
      <c r="K32" s="157">
        <f t="shared" si="8"/>
        <v>2.2011892963330029E-2</v>
      </c>
      <c r="L32" s="157">
        <f t="shared" si="8"/>
        <v>8.8974231912784928E-3</v>
      </c>
      <c r="M32" s="157">
        <f t="shared" si="8"/>
        <v>4.2382556987115953E-3</v>
      </c>
      <c r="N32" s="157">
        <f t="shared" si="8"/>
        <v>0</v>
      </c>
      <c r="O32" s="46"/>
      <c r="P32" s="154">
        <f t="shared" si="9"/>
        <v>9.1179385530227947E-2</v>
      </c>
      <c r="Q32" s="154">
        <f t="shared" si="10"/>
        <v>0.20019821605550051</v>
      </c>
      <c r="R32" s="154">
        <f t="shared" si="11"/>
        <v>0.34291377601585732</v>
      </c>
      <c r="S32" s="154">
        <f t="shared" si="12"/>
        <v>0.54112983151635285</v>
      </c>
      <c r="T32" s="154">
        <f t="shared" si="13"/>
        <v>0.67988107036669976</v>
      </c>
      <c r="U32" s="154">
        <f t="shared" si="14"/>
        <v>0.77205153617443023</v>
      </c>
      <c r="V32" s="154">
        <f t="shared" si="15"/>
        <v>0.88404360753221023</v>
      </c>
      <c r="W32" s="162">
        <v>1</v>
      </c>
      <c r="X32" s="154"/>
      <c r="Y32" s="142">
        <f t="shared" si="24"/>
        <v>3.5441030723488608E-2</v>
      </c>
      <c r="Z32" s="142">
        <f t="shared" si="24"/>
        <v>5.978196233894946E-2</v>
      </c>
      <c r="AA32" s="142">
        <f t="shared" si="24"/>
        <v>7.2824578790882083E-2</v>
      </c>
      <c r="AB32" s="142">
        <f t="shared" si="24"/>
        <v>7.0406342913776038E-2</v>
      </c>
      <c r="AC32" s="142">
        <f t="shared" si="24"/>
        <v>2.9544103072348862E-2</v>
      </c>
      <c r="AD32" s="142">
        <f t="shared" si="24"/>
        <v>1.1920218037661051E-2</v>
      </c>
      <c r="AE32" s="142">
        <f t="shared" si="24"/>
        <v>5.7050545094152662E-3</v>
      </c>
      <c r="AF32" s="142">
        <f t="shared" si="24"/>
        <v>0</v>
      </c>
      <c r="AH32" s="158">
        <f t="shared" si="16"/>
        <v>2.2794846382556983E-2</v>
      </c>
      <c r="AI32" s="158">
        <f t="shared" si="17"/>
        <v>0.10109018830525272</v>
      </c>
      <c r="AJ32" s="158">
        <f t="shared" si="18"/>
        <v>0.2358771060455897</v>
      </c>
      <c r="AK32" s="158">
        <f t="shared" si="19"/>
        <v>0.44796828543111988</v>
      </c>
      <c r="AL32" s="158">
        <f t="shared" si="20"/>
        <v>0.60455896927651143</v>
      </c>
      <c r="AM32" s="158">
        <f t="shared" si="21"/>
        <v>0.71159563924677904</v>
      </c>
      <c r="AN32" s="158">
        <f t="shared" si="22"/>
        <v>0.84737363726461845</v>
      </c>
      <c r="AO32" s="158">
        <v>1</v>
      </c>
      <c r="AP32" s="143"/>
      <c r="AQ32" s="152">
        <f>'B2-RdTr'!$O141</f>
        <v>9.1999999999999993</v>
      </c>
      <c r="AR32" s="152">
        <f>'B2-RdTr'!$O179</f>
        <v>11</v>
      </c>
      <c r="AS32" s="152">
        <f>'B2-RdTr'!$O217</f>
        <v>14.4</v>
      </c>
      <c r="AT32" s="152">
        <f>'B2-RdTr'!$O255</f>
        <v>20</v>
      </c>
      <c r="AU32" s="152">
        <f>'B2-RdTr'!$O331</f>
        <v>14</v>
      </c>
      <c r="AV32" s="152">
        <f>'B2-RdTr'!$O369</f>
        <v>9.3000000000000007</v>
      </c>
      <c r="AW32" s="152">
        <f>'B2-RdTr'!$O407</f>
        <v>11.3</v>
      </c>
      <c r="AX32" s="152">
        <f>'B2-RdTr'!$O445</f>
        <v>11.7</v>
      </c>
      <c r="AY32" s="462"/>
      <c r="AZ32" s="152">
        <f>'B2-RdTr'!$N141</f>
        <v>2.2999999999999998</v>
      </c>
      <c r="BA32" s="152">
        <f>'B2-RdTr'!$N179</f>
        <v>7.9</v>
      </c>
      <c r="BB32" s="152">
        <f>'B2-RdTr'!$N217</f>
        <v>13.6</v>
      </c>
      <c r="BC32" s="152">
        <f>'B2-RdTr'!$N255</f>
        <v>21.4</v>
      </c>
      <c r="BD32" s="152">
        <f>'B2-RdTr'!$N331</f>
        <v>15.8</v>
      </c>
      <c r="BE32" s="152">
        <f>'B2-RdTr'!$N369</f>
        <v>10.8</v>
      </c>
      <c r="BF32" s="152">
        <f>'B2-RdTr'!$N407</f>
        <v>13.7</v>
      </c>
      <c r="BG32" s="152">
        <f>'B2-RdTr'!$N445</f>
        <v>15.4</v>
      </c>
    </row>
    <row r="33" spans="1:59">
      <c r="A33" s="46">
        <f t="shared" si="23"/>
        <v>2004</v>
      </c>
      <c r="B33" s="141">
        <f t="shared" si="5"/>
        <v>0.17077563830289316</v>
      </c>
      <c r="D33" s="141">
        <f t="shared" si="6"/>
        <v>0.41604340931615463</v>
      </c>
      <c r="E33" s="141">
        <f t="shared" si="7"/>
        <v>0.5868190476190478</v>
      </c>
      <c r="F33" s="46"/>
      <c r="G33" s="157">
        <f t="shared" si="8"/>
        <v>2.2160555004955403E-2</v>
      </c>
      <c r="H33" s="157">
        <f t="shared" si="8"/>
        <v>4.075322101090189E-2</v>
      </c>
      <c r="I33" s="157">
        <f t="shared" si="8"/>
        <v>5.2804757185332021E-2</v>
      </c>
      <c r="J33" s="157">
        <f t="shared" si="8"/>
        <v>5.4152626362735393E-2</v>
      </c>
      <c r="K33" s="157">
        <f t="shared" si="8"/>
        <v>2.3498513379583742E-2</v>
      </c>
      <c r="L33" s="157">
        <f t="shared" si="8"/>
        <v>9.7398414271555999E-3</v>
      </c>
      <c r="M33" s="157">
        <f t="shared" si="8"/>
        <v>4.912190287413281E-3</v>
      </c>
      <c r="N33" s="157">
        <f t="shared" si="8"/>
        <v>0</v>
      </c>
      <c r="O33" s="46"/>
      <c r="P33" s="154">
        <f t="shared" si="9"/>
        <v>8.9197224975223005E-2</v>
      </c>
      <c r="Q33" s="154">
        <f t="shared" si="10"/>
        <v>0.19623389494549059</v>
      </c>
      <c r="R33" s="154">
        <f t="shared" si="11"/>
        <v>0.33597621407334</v>
      </c>
      <c r="S33" s="154">
        <f t="shared" si="12"/>
        <v>0.5292368681863231</v>
      </c>
      <c r="T33" s="154">
        <f t="shared" si="13"/>
        <v>0.66501486620416261</v>
      </c>
      <c r="U33" s="154">
        <f t="shared" si="14"/>
        <v>0.75520317145688809</v>
      </c>
      <c r="V33" s="154">
        <f t="shared" si="15"/>
        <v>0.86719524281466809</v>
      </c>
      <c r="W33" s="162">
        <v>1</v>
      </c>
      <c r="X33" s="154"/>
      <c r="Y33" s="142">
        <f t="shared" si="24"/>
        <v>3.5634920634920637E-2</v>
      </c>
      <c r="Z33" s="142">
        <f t="shared" si="24"/>
        <v>6.0357142857142866E-2</v>
      </c>
      <c r="AA33" s="142">
        <f t="shared" si="24"/>
        <v>7.3968253968254002E-2</v>
      </c>
      <c r="AB33" s="142">
        <f t="shared" si="24"/>
        <v>7.2896825396825418E-2</v>
      </c>
      <c r="AC33" s="142">
        <f t="shared" si="24"/>
        <v>3.1170634920634932E-2</v>
      </c>
      <c r="AD33" s="142">
        <f t="shared" si="24"/>
        <v>1.2876984126984138E-2</v>
      </c>
      <c r="AE33" s="142">
        <f t="shared" si="24"/>
        <v>6.504761904761916E-3</v>
      </c>
      <c r="AF33" s="142">
        <f t="shared" si="24"/>
        <v>0</v>
      </c>
      <c r="AH33" s="158">
        <f t="shared" si="16"/>
        <v>2.1825396825396824E-2</v>
      </c>
      <c r="AI33" s="158">
        <f t="shared" si="17"/>
        <v>9.8214285714285698E-2</v>
      </c>
      <c r="AJ33" s="158">
        <f t="shared" si="18"/>
        <v>0.23015873015873015</v>
      </c>
      <c r="AK33" s="158">
        <f t="shared" si="19"/>
        <v>0.43551587301587297</v>
      </c>
      <c r="AL33" s="158">
        <f t="shared" si="20"/>
        <v>0.5882936507936507</v>
      </c>
      <c r="AM33" s="158">
        <f t="shared" si="21"/>
        <v>0.69246031746031733</v>
      </c>
      <c r="AN33" s="158">
        <f t="shared" si="22"/>
        <v>0.82738095238095222</v>
      </c>
      <c r="AO33" s="158">
        <v>1</v>
      </c>
      <c r="AP33" s="143"/>
      <c r="AQ33" s="152">
        <f>'B2-RdTr'!$O142</f>
        <v>9</v>
      </c>
      <c r="AR33" s="152">
        <f>'B2-RdTr'!$O180</f>
        <v>10.8</v>
      </c>
      <c r="AS33" s="152">
        <f>'B2-RdTr'!$O218</f>
        <v>14.1</v>
      </c>
      <c r="AT33" s="152">
        <f>'B2-RdTr'!$O256</f>
        <v>19.5</v>
      </c>
      <c r="AU33" s="152">
        <f>'B2-RdTr'!$O332</f>
        <v>13.7</v>
      </c>
      <c r="AV33" s="152">
        <f>'B2-RdTr'!$O370</f>
        <v>9.1</v>
      </c>
      <c r="AW33" s="152">
        <f>'B2-RdTr'!$O408</f>
        <v>11.3</v>
      </c>
      <c r="AX33" s="152">
        <f>'B2-RdTr'!$O446</f>
        <v>13.4</v>
      </c>
      <c r="AY33" s="462"/>
      <c r="AZ33" s="152">
        <f>'B2-RdTr'!$N142</f>
        <v>2.2000000000000002</v>
      </c>
      <c r="BA33" s="152">
        <f>'B2-RdTr'!$N180</f>
        <v>7.7</v>
      </c>
      <c r="BB33" s="152">
        <f>'B2-RdTr'!$N218</f>
        <v>13.3</v>
      </c>
      <c r="BC33" s="152">
        <f>'B2-RdTr'!$N256</f>
        <v>20.7</v>
      </c>
      <c r="BD33" s="152">
        <f>'B2-RdTr'!$N332</f>
        <v>15.4</v>
      </c>
      <c r="BE33" s="152">
        <f>'B2-RdTr'!$N370</f>
        <v>10.5</v>
      </c>
      <c r="BF33" s="152">
        <f>'B2-RdTr'!$N408</f>
        <v>13.6</v>
      </c>
      <c r="BG33" s="152">
        <f>'B2-RdTr'!$N446</f>
        <v>17.399999999999999</v>
      </c>
    </row>
    <row r="34" spans="1:59">
      <c r="A34" s="46">
        <f t="shared" si="23"/>
        <v>2005</v>
      </c>
      <c r="B34" s="141">
        <f t="shared" si="5"/>
        <v>0.16728493164692382</v>
      </c>
      <c r="D34" s="141">
        <f t="shared" si="6"/>
        <v>0.437411100099108</v>
      </c>
      <c r="E34" s="141">
        <f t="shared" si="7"/>
        <v>0.60469603174603181</v>
      </c>
      <c r="F34" s="46"/>
      <c r="G34" s="157">
        <f t="shared" si="8"/>
        <v>2.2556987115956394E-2</v>
      </c>
      <c r="H34" s="157">
        <f t="shared" si="8"/>
        <v>4.2140733399405356E-2</v>
      </c>
      <c r="I34" s="157">
        <f t="shared" si="8"/>
        <v>5.4985133795837471E-2</v>
      </c>
      <c r="J34" s="157">
        <f t="shared" si="8"/>
        <v>5.7324083250743299E-2</v>
      </c>
      <c r="K34" s="157">
        <f t="shared" si="8"/>
        <v>2.5381565906838446E-2</v>
      </c>
      <c r="L34" s="157">
        <f t="shared" si="8"/>
        <v>1.0730921704658076E-2</v>
      </c>
      <c r="M34" s="157">
        <f t="shared" si="8"/>
        <v>5.5861248761149666E-3</v>
      </c>
      <c r="N34" s="157">
        <f t="shared" si="8"/>
        <v>0</v>
      </c>
      <c r="O34" s="46"/>
      <c r="P34" s="154">
        <f t="shared" si="9"/>
        <v>8.721506442021805E-2</v>
      </c>
      <c r="Q34" s="154">
        <f t="shared" si="10"/>
        <v>0.18929633300297327</v>
      </c>
      <c r="R34" s="154">
        <f t="shared" si="11"/>
        <v>0.32507433102081273</v>
      </c>
      <c r="S34" s="154">
        <f t="shared" si="12"/>
        <v>0.51337958374628356</v>
      </c>
      <c r="T34" s="154">
        <f t="shared" si="13"/>
        <v>0.64618434093161559</v>
      </c>
      <c r="U34" s="154">
        <f t="shared" si="14"/>
        <v>0.73538156590683856</v>
      </c>
      <c r="V34" s="154">
        <f t="shared" si="15"/>
        <v>0.85034687809712595</v>
      </c>
      <c r="W34" s="162">
        <v>1</v>
      </c>
      <c r="X34" s="154"/>
      <c r="Y34" s="142">
        <f t="shared" si="24"/>
        <v>3.5634920634920637E-2</v>
      </c>
      <c r="Z34" s="142">
        <f t="shared" si="24"/>
        <v>6.0952380952380959E-2</v>
      </c>
      <c r="AA34" s="142">
        <f t="shared" si="24"/>
        <v>7.555555555555557E-2</v>
      </c>
      <c r="AB34" s="142">
        <f t="shared" si="24"/>
        <v>7.587301587301587E-2</v>
      </c>
      <c r="AC34" s="142">
        <f t="shared" si="24"/>
        <v>3.3154761904761902E-2</v>
      </c>
      <c r="AD34" s="142">
        <f t="shared" si="24"/>
        <v>1.3918650793650796E-2</v>
      </c>
      <c r="AE34" s="142">
        <f t="shared" si="24"/>
        <v>7.2587301587301624E-3</v>
      </c>
      <c r="AF34" s="142">
        <f t="shared" si="24"/>
        <v>0</v>
      </c>
      <c r="AH34" s="158">
        <f t="shared" si="16"/>
        <v>2.1825396825396828E-2</v>
      </c>
      <c r="AI34" s="158">
        <f t="shared" si="17"/>
        <v>9.5238095238095247E-2</v>
      </c>
      <c r="AJ34" s="158">
        <f t="shared" si="18"/>
        <v>0.22222222222222227</v>
      </c>
      <c r="AK34" s="158">
        <f t="shared" si="19"/>
        <v>0.42063492063492069</v>
      </c>
      <c r="AL34" s="158">
        <f t="shared" si="20"/>
        <v>0.56845238095238104</v>
      </c>
      <c r="AM34" s="158">
        <f t="shared" si="21"/>
        <v>0.67162698412698418</v>
      </c>
      <c r="AN34" s="158">
        <f t="shared" si="22"/>
        <v>0.80853174603174605</v>
      </c>
      <c r="AO34" s="158">
        <v>1</v>
      </c>
      <c r="AP34" s="143"/>
      <c r="AQ34" s="152">
        <f>'B2-RdTr'!$O143</f>
        <v>8.8000000000000007</v>
      </c>
      <c r="AR34" s="152">
        <f>'B2-RdTr'!$O181</f>
        <v>10.3</v>
      </c>
      <c r="AS34" s="152">
        <f>'B2-RdTr'!$O219</f>
        <v>13.7</v>
      </c>
      <c r="AT34" s="152">
        <f>'B2-RdTr'!$O257</f>
        <v>19</v>
      </c>
      <c r="AU34" s="152">
        <f>'B2-RdTr'!$O333</f>
        <v>13.4</v>
      </c>
      <c r="AV34" s="152">
        <f>'B2-RdTr'!$O371</f>
        <v>9</v>
      </c>
      <c r="AW34" s="152">
        <f>'B2-RdTr'!$O409</f>
        <v>11.6</v>
      </c>
      <c r="AX34" s="152">
        <f>'B2-RdTr'!$O447</f>
        <v>15.1</v>
      </c>
      <c r="AY34" s="462"/>
      <c r="AZ34" s="152">
        <f>'B2-RdTr'!$N143</f>
        <v>2.2000000000000002</v>
      </c>
      <c r="BA34" s="152">
        <f>'B2-RdTr'!$N181</f>
        <v>7.4</v>
      </c>
      <c r="BB34" s="152">
        <f>'B2-RdTr'!$N219</f>
        <v>12.8</v>
      </c>
      <c r="BC34" s="152">
        <f>'B2-RdTr'!$N257</f>
        <v>20</v>
      </c>
      <c r="BD34" s="152">
        <f>'B2-RdTr'!$N333</f>
        <v>14.9</v>
      </c>
      <c r="BE34" s="152">
        <f>'B2-RdTr'!$N371</f>
        <v>10.4</v>
      </c>
      <c r="BF34" s="152">
        <f>'B2-RdTr'!$N409</f>
        <v>13.8</v>
      </c>
      <c r="BG34" s="152">
        <f>'B2-RdTr'!$N447</f>
        <v>19.3</v>
      </c>
    </row>
    <row r="35" spans="1:59">
      <c r="A35" s="46">
        <f t="shared" si="23"/>
        <v>2006</v>
      </c>
      <c r="B35" s="141">
        <f t="shared" si="5"/>
        <v>0.16477697308214201</v>
      </c>
      <c r="D35" s="141">
        <f t="shared" si="6"/>
        <v>0.44660556660039774</v>
      </c>
      <c r="E35" s="141">
        <f t="shared" si="7"/>
        <v>0.61138253968253975</v>
      </c>
      <c r="F35" s="46"/>
      <c r="G35" s="157">
        <f t="shared" si="8"/>
        <v>2.27037773359841E-2</v>
      </c>
      <c r="H35" s="157">
        <f t="shared" si="8"/>
        <v>4.2823061630218699E-2</v>
      </c>
      <c r="I35" s="157">
        <f t="shared" si="8"/>
        <v>5.5984095427435411E-2</v>
      </c>
      <c r="J35" s="157">
        <f t="shared" si="8"/>
        <v>5.8608349900596428E-2</v>
      </c>
      <c r="K35" s="157">
        <f t="shared" si="8"/>
        <v>2.6182902584493042E-2</v>
      </c>
      <c r="L35" s="157">
        <f t="shared" si="8"/>
        <v>1.1118290258449305E-2</v>
      </c>
      <c r="M35" s="157">
        <f t="shared" si="8"/>
        <v>5.8823061630218689E-3</v>
      </c>
      <c r="N35" s="157">
        <f t="shared" si="8"/>
        <v>0</v>
      </c>
      <c r="O35" s="46"/>
      <c r="P35" s="154">
        <f t="shared" si="9"/>
        <v>8.6481113320079517E-2</v>
      </c>
      <c r="Q35" s="154">
        <f t="shared" si="10"/>
        <v>0.18588469184890655</v>
      </c>
      <c r="R35" s="154">
        <f t="shared" si="11"/>
        <v>0.32007952286282304</v>
      </c>
      <c r="S35" s="154">
        <f t="shared" si="12"/>
        <v>0.50695825049701793</v>
      </c>
      <c r="T35" s="154">
        <f t="shared" si="13"/>
        <v>0.63817097415506963</v>
      </c>
      <c r="U35" s="154">
        <f t="shared" si="14"/>
        <v>0.72763419483101399</v>
      </c>
      <c r="V35" s="154">
        <f t="shared" si="15"/>
        <v>0.84294234592445338</v>
      </c>
      <c r="W35" s="162">
        <v>1</v>
      </c>
      <c r="X35" s="154"/>
      <c r="Y35" s="142">
        <f t="shared" si="24"/>
        <v>3.543650793650794E-2</v>
      </c>
      <c r="Z35" s="142">
        <f t="shared" si="24"/>
        <v>6.1150793650793657E-2</v>
      </c>
      <c r="AA35" s="142">
        <f t="shared" si="24"/>
        <v>7.6150793650793677E-2</v>
      </c>
      <c r="AB35" s="142">
        <f t="shared" si="24"/>
        <v>7.7063492063492084E-2</v>
      </c>
      <c r="AC35" s="142">
        <f t="shared" si="24"/>
        <v>3.39484126984127E-2</v>
      </c>
      <c r="AD35" s="142">
        <f t="shared" si="24"/>
        <v>1.4365079365079371E-2</v>
      </c>
      <c r="AE35" s="142">
        <f t="shared" si="24"/>
        <v>7.5761904761904829E-3</v>
      </c>
      <c r="AF35" s="142">
        <f t="shared" si="24"/>
        <v>0</v>
      </c>
      <c r="AH35" s="158">
        <f t="shared" si="16"/>
        <v>2.2817460317460313E-2</v>
      </c>
      <c r="AI35" s="158">
        <f t="shared" si="17"/>
        <v>9.4246031746031744E-2</v>
      </c>
      <c r="AJ35" s="158">
        <f t="shared" si="18"/>
        <v>0.21924603174603174</v>
      </c>
      <c r="AK35" s="158">
        <f t="shared" si="19"/>
        <v>0.41468253968253965</v>
      </c>
      <c r="AL35" s="158">
        <f t="shared" si="20"/>
        <v>0.56051587301587302</v>
      </c>
      <c r="AM35" s="158">
        <f t="shared" si="21"/>
        <v>0.66269841269841268</v>
      </c>
      <c r="AN35" s="158">
        <f t="shared" si="22"/>
        <v>0.80059523809523803</v>
      </c>
      <c r="AO35" s="158">
        <v>1</v>
      </c>
      <c r="AP35" s="143"/>
      <c r="AQ35" s="152">
        <f>'B2-RdTr'!$O144</f>
        <v>8.6999999999999993</v>
      </c>
      <c r="AR35" s="152">
        <f>'B2-RdTr'!$O182</f>
        <v>10</v>
      </c>
      <c r="AS35" s="152">
        <f>'B2-RdTr'!$O220</f>
        <v>13.5</v>
      </c>
      <c r="AT35" s="152">
        <f>'B2-RdTr'!$O258</f>
        <v>18.8</v>
      </c>
      <c r="AU35" s="152">
        <f>'B2-RdTr'!$O334</f>
        <v>13.2</v>
      </c>
      <c r="AV35" s="152">
        <f>'B2-RdTr'!$O372</f>
        <v>9</v>
      </c>
      <c r="AW35" s="152">
        <f>'B2-RdTr'!$O410</f>
        <v>11.6</v>
      </c>
      <c r="AX35" s="152">
        <f>'B2-RdTr'!$O448</f>
        <v>15.8</v>
      </c>
      <c r="AY35" s="462"/>
      <c r="AZ35" s="152">
        <f>'B2-RdTr'!$N144</f>
        <v>2.2999999999999998</v>
      </c>
      <c r="BA35" s="152">
        <f>'B2-RdTr'!$N182</f>
        <v>7.2</v>
      </c>
      <c r="BB35" s="152">
        <f>'B2-RdTr'!$N220</f>
        <v>12.6</v>
      </c>
      <c r="BC35" s="152">
        <f>'B2-RdTr'!$N258</f>
        <v>19.7</v>
      </c>
      <c r="BD35" s="152">
        <f>'B2-RdTr'!$N334</f>
        <v>14.7</v>
      </c>
      <c r="BE35" s="152">
        <f>'B2-RdTr'!$N372</f>
        <v>10.3</v>
      </c>
      <c r="BF35" s="152">
        <f>'B2-RdTr'!$N410</f>
        <v>13.9</v>
      </c>
      <c r="BG35" s="152">
        <f>'B2-RdTr'!$N448</f>
        <v>20.100000000000001</v>
      </c>
    </row>
    <row r="36" spans="1:59">
      <c r="A36" s="46">
        <f t="shared" si="23"/>
        <v>2007</v>
      </c>
      <c r="B36" s="141">
        <f t="shared" si="5"/>
        <v>0.15885034687809707</v>
      </c>
      <c r="D36" s="164">
        <f t="shared" si="6"/>
        <v>0.44920495540138772</v>
      </c>
      <c r="E36" s="164">
        <f t="shared" si="7"/>
        <v>0.60805530227948479</v>
      </c>
      <c r="F36" s="37"/>
      <c r="G36" s="165">
        <f t="shared" si="8"/>
        <v>2.2556987115956398E-2</v>
      </c>
      <c r="H36" s="165">
        <f t="shared" si="8"/>
        <v>4.2338949454905857E-2</v>
      </c>
      <c r="I36" s="165">
        <f t="shared" si="8"/>
        <v>5.5976214073339969E-2</v>
      </c>
      <c r="J36" s="165">
        <f t="shared" si="8"/>
        <v>5.9306243805748296E-2</v>
      </c>
      <c r="K36" s="165">
        <f t="shared" si="8"/>
        <v>2.6769078295341933E-2</v>
      </c>
      <c r="L36" s="165">
        <f t="shared" si="8"/>
        <v>1.1474231912784945E-2</v>
      </c>
      <c r="M36" s="165">
        <f t="shared" si="8"/>
        <v>6.1807730426164612E-3</v>
      </c>
      <c r="N36" s="165">
        <f t="shared" si="8"/>
        <v>0</v>
      </c>
      <c r="O36" s="37"/>
      <c r="P36" s="154">
        <f t="shared" si="9"/>
        <v>8.7215064420218036E-2</v>
      </c>
      <c r="Q36" s="154">
        <f t="shared" si="10"/>
        <v>0.18830525272547075</v>
      </c>
      <c r="R36" s="154">
        <f t="shared" si="11"/>
        <v>0.32011892963330024</v>
      </c>
      <c r="S36" s="154">
        <f t="shared" si="12"/>
        <v>0.50346878097125858</v>
      </c>
      <c r="T36" s="154">
        <f t="shared" si="13"/>
        <v>0.63230921704658072</v>
      </c>
      <c r="U36" s="154">
        <f t="shared" si="14"/>
        <v>0.7205153617443012</v>
      </c>
      <c r="V36" s="154">
        <f t="shared" si="15"/>
        <v>0.83548067393458858</v>
      </c>
      <c r="W36" s="162">
        <v>1</v>
      </c>
      <c r="X36" s="154"/>
      <c r="Y36" s="142">
        <f t="shared" si="24"/>
        <v>3.5044598612487619E-2</v>
      </c>
      <c r="Z36" s="142">
        <f t="shared" si="24"/>
        <v>6.0178394449950462E-2</v>
      </c>
      <c r="AA36" s="142">
        <f t="shared" si="24"/>
        <v>7.5401387512388521E-2</v>
      </c>
      <c r="AB36" s="142">
        <f t="shared" si="24"/>
        <v>7.69474727452924E-2</v>
      </c>
      <c r="AC36" s="142">
        <f t="shared" si="24"/>
        <v>3.4103072348860265E-2</v>
      </c>
      <c r="AD36" s="142">
        <f t="shared" si="24"/>
        <v>1.4546580773042623E-2</v>
      </c>
      <c r="AE36" s="142">
        <f t="shared" si="24"/>
        <v>7.806144697720523E-3</v>
      </c>
      <c r="AF36" s="142">
        <f t="shared" si="24"/>
        <v>0</v>
      </c>
      <c r="AH36" s="158">
        <f t="shared" si="16"/>
        <v>2.4777006937561942E-2</v>
      </c>
      <c r="AI36" s="158">
        <f t="shared" si="17"/>
        <v>9.9108027750247768E-2</v>
      </c>
      <c r="AJ36" s="158">
        <f t="shared" si="18"/>
        <v>0.22299306243805747</v>
      </c>
      <c r="AK36" s="158">
        <f t="shared" si="19"/>
        <v>0.4152626362735381</v>
      </c>
      <c r="AL36" s="158">
        <f t="shared" si="20"/>
        <v>0.55896927651139738</v>
      </c>
      <c r="AM36" s="158">
        <f t="shared" si="21"/>
        <v>0.65906838453914762</v>
      </c>
      <c r="AN36" s="158">
        <f t="shared" si="22"/>
        <v>0.79484638255698703</v>
      </c>
      <c r="AO36" s="158">
        <v>1</v>
      </c>
      <c r="AP36" s="143"/>
      <c r="AQ36" s="152">
        <f>'B2-RdTr'!$O145</f>
        <v>8.8000000000000007</v>
      </c>
      <c r="AR36" s="152">
        <f>'B2-RdTr'!$O183</f>
        <v>10.199999999999999</v>
      </c>
      <c r="AS36" s="152">
        <f>'B2-RdTr'!$O221</f>
        <v>13.3</v>
      </c>
      <c r="AT36" s="152">
        <f>'B2-RdTr'!$O259</f>
        <v>18.5</v>
      </c>
      <c r="AU36" s="152">
        <f>'B2-RdTr'!$O335</f>
        <v>13</v>
      </c>
      <c r="AV36" s="152">
        <f>'B2-RdTr'!$O373</f>
        <v>8.9</v>
      </c>
      <c r="AW36" s="152">
        <f>'B2-RdTr'!$O411</f>
        <v>11.6</v>
      </c>
      <c r="AX36" s="152">
        <f>'B2-RdTr'!$O449</f>
        <v>16.600000000000001</v>
      </c>
      <c r="AY36" s="462"/>
      <c r="AZ36" s="152">
        <f>'B2-RdTr'!$N145</f>
        <v>2.5</v>
      </c>
      <c r="BA36" s="152">
        <f>'B2-RdTr'!$N183</f>
        <v>7.5</v>
      </c>
      <c r="BB36" s="152">
        <f>'B2-RdTr'!$N221</f>
        <v>12.5</v>
      </c>
      <c r="BC36" s="152">
        <f>'B2-RdTr'!$N259</f>
        <v>19.399999999999999</v>
      </c>
      <c r="BD36" s="152">
        <f>'B2-RdTr'!$N335</f>
        <v>14.5</v>
      </c>
      <c r="BE36" s="152">
        <f>'B2-RdTr'!$N373</f>
        <v>10.1</v>
      </c>
      <c r="BF36" s="152">
        <f>'B2-RdTr'!$N411</f>
        <v>13.7</v>
      </c>
      <c r="BG36" s="152">
        <f>'B2-RdTr'!$N449</f>
        <v>20.7</v>
      </c>
    </row>
    <row r="37" spans="1:59">
      <c r="A37" s="46">
        <f t="shared" si="23"/>
        <v>2008</v>
      </c>
      <c r="B37" s="141">
        <f t="shared" si="5"/>
        <v>0.17757396449704133</v>
      </c>
      <c r="D37" s="164">
        <f>SUM(G37:N37)*2</f>
        <v>0.41102445759368844</v>
      </c>
      <c r="E37" s="164">
        <f t="shared" si="7"/>
        <v>0.58859842209072977</v>
      </c>
      <c r="F37" s="37"/>
      <c r="G37" s="165">
        <f>(P$4-P37)*P$3</f>
        <v>2.1065088757396454E-2</v>
      </c>
      <c r="H37" s="165">
        <f t="shared" si="8"/>
        <v>3.9763313609467457E-2</v>
      </c>
      <c r="I37" s="165">
        <f t="shared" si="8"/>
        <v>5.2149901380670619E-2</v>
      </c>
      <c r="J37" s="165">
        <f t="shared" si="8"/>
        <v>5.3885601577909274E-2</v>
      </c>
      <c r="K37" s="165">
        <f t="shared" si="8"/>
        <v>2.3727810650887571E-2</v>
      </c>
      <c r="L37" s="165">
        <f t="shared" si="8"/>
        <v>9.8767258382643011E-3</v>
      </c>
      <c r="M37" s="165">
        <f t="shared" si="8"/>
        <v>5.0437869822485219E-3</v>
      </c>
      <c r="N37" s="165">
        <f t="shared" si="8"/>
        <v>0</v>
      </c>
      <c r="O37" s="37"/>
      <c r="P37" s="154">
        <f t="shared" si="9"/>
        <v>9.4674556213017749E-2</v>
      </c>
      <c r="Q37" s="154">
        <f t="shared" si="10"/>
        <v>0.20118343195266275</v>
      </c>
      <c r="R37" s="154">
        <f t="shared" si="11"/>
        <v>0.33925049309664701</v>
      </c>
      <c r="S37" s="154">
        <f t="shared" si="12"/>
        <v>0.53057199211045369</v>
      </c>
      <c r="T37" s="154">
        <f t="shared" si="13"/>
        <v>0.66272189349112431</v>
      </c>
      <c r="U37" s="154">
        <f t="shared" si="14"/>
        <v>0.75246548323471407</v>
      </c>
      <c r="V37" s="154">
        <f t="shared" si="15"/>
        <v>0.86390532544378706</v>
      </c>
      <c r="W37" s="162">
        <v>1</v>
      </c>
      <c r="X37" s="154"/>
      <c r="Y37" s="142">
        <f t="shared" si="24"/>
        <v>3.5069033530571996E-2</v>
      </c>
      <c r="Z37" s="142">
        <f t="shared" si="24"/>
        <v>5.9881656804733729E-2</v>
      </c>
      <c r="AA37" s="142">
        <f t="shared" si="24"/>
        <v>7.4043392504930985E-2</v>
      </c>
      <c r="AB37" s="142">
        <f t="shared" si="24"/>
        <v>7.3609467455621316E-2</v>
      </c>
      <c r="AC37" s="142">
        <f t="shared" si="24"/>
        <v>3.1814595660749512E-2</v>
      </c>
      <c r="AD37" s="142">
        <f t="shared" si="24"/>
        <v>1.3180473372781071E-2</v>
      </c>
      <c r="AE37" s="142">
        <f t="shared" si="24"/>
        <v>6.700591715976336E-3</v>
      </c>
      <c r="AF37" s="142">
        <f t="shared" si="24"/>
        <v>0</v>
      </c>
      <c r="AH37" s="158">
        <f t="shared" si="16"/>
        <v>2.465483234714004E-2</v>
      </c>
      <c r="AI37" s="158">
        <f t="shared" si="17"/>
        <v>0.10059171597633138</v>
      </c>
      <c r="AJ37" s="158">
        <f t="shared" si="18"/>
        <v>0.22978303747534518</v>
      </c>
      <c r="AK37" s="158">
        <f t="shared" si="19"/>
        <v>0.43195266272189348</v>
      </c>
      <c r="AL37" s="158">
        <f t="shared" si="20"/>
        <v>0.5818540433925049</v>
      </c>
      <c r="AM37" s="158">
        <f t="shared" si="21"/>
        <v>0.68639053254437865</v>
      </c>
      <c r="AN37" s="158">
        <f t="shared" si="22"/>
        <v>0.8224852071005917</v>
      </c>
      <c r="AO37" s="158">
        <v>1</v>
      </c>
      <c r="AP37" s="143"/>
      <c r="AQ37" s="152">
        <f>'B2-RdTr'!$O146</f>
        <v>9.6</v>
      </c>
      <c r="AR37" s="152">
        <f>'B2-RdTr'!$O184</f>
        <v>10.8</v>
      </c>
      <c r="AS37" s="152">
        <f>'B2-RdTr'!$O222</f>
        <v>14</v>
      </c>
      <c r="AT37" s="152">
        <f>'B2-RdTr'!$O260</f>
        <v>19.399999999999999</v>
      </c>
      <c r="AU37" s="152">
        <f>'B2-RdTr'!$O336</f>
        <v>13.4</v>
      </c>
      <c r="AV37" s="152">
        <f>'B2-RdTr'!$O374</f>
        <v>9.1</v>
      </c>
      <c r="AW37" s="152">
        <f>'B2-RdTr'!$O412</f>
        <v>11.3</v>
      </c>
      <c r="AX37" s="152">
        <f>'B2-RdTr'!$O450</f>
        <v>13.8</v>
      </c>
      <c r="AY37" s="462"/>
      <c r="AZ37" s="152">
        <f>'B2-RdTr'!$N146</f>
        <v>2.5</v>
      </c>
      <c r="BA37" s="152">
        <f>'B2-RdTr'!$N184</f>
        <v>7.7</v>
      </c>
      <c r="BB37" s="152">
        <f>'B2-RdTr'!$N222</f>
        <v>13.1</v>
      </c>
      <c r="BC37" s="152">
        <f>'B2-RdTr'!$N260</f>
        <v>20.5</v>
      </c>
      <c r="BD37" s="152">
        <f>'B2-RdTr'!$N336</f>
        <v>15.2</v>
      </c>
      <c r="BE37" s="152">
        <f>'B2-RdTr'!$N374</f>
        <v>10.6</v>
      </c>
      <c r="BF37" s="152">
        <f>'B2-RdTr'!$N412</f>
        <v>13.8</v>
      </c>
      <c r="BG37" s="152">
        <f>'B2-RdTr'!$N450</f>
        <v>18</v>
      </c>
    </row>
    <row r="38" spans="1:59">
      <c r="A38" s="46">
        <f t="shared" si="23"/>
        <v>2009</v>
      </c>
      <c r="B38" s="141">
        <f t="shared" si="5"/>
        <v>0.19753445848738443</v>
      </c>
      <c r="D38" s="164">
        <f t="shared" si="6"/>
        <v>0.37916062992125993</v>
      </c>
      <c r="E38" s="164">
        <f t="shared" si="7"/>
        <v>0.57669508840864436</v>
      </c>
      <c r="F38" s="37"/>
      <c r="G38" s="165">
        <f t="shared" si="8"/>
        <v>1.992125984251969E-2</v>
      </c>
      <c r="H38" s="165">
        <f t="shared" si="8"/>
        <v>3.7480314960629924E-2</v>
      </c>
      <c r="I38" s="165">
        <f t="shared" si="8"/>
        <v>4.893700787401576E-2</v>
      </c>
      <c r="J38" s="165">
        <f t="shared" si="8"/>
        <v>4.9566929133858274E-2</v>
      </c>
      <c r="K38" s="165">
        <f t="shared" si="8"/>
        <v>2.1102362204724414E-2</v>
      </c>
      <c r="L38" s="165">
        <f t="shared" si="8"/>
        <v>8.5236220472441008E-3</v>
      </c>
      <c r="M38" s="165">
        <f t="shared" si="8"/>
        <v>4.0488188976378001E-3</v>
      </c>
      <c r="N38" s="165">
        <f t="shared" si="8"/>
        <v>0</v>
      </c>
      <c r="O38" s="37"/>
      <c r="P38" s="154">
        <f t="shared" si="9"/>
        <v>0.10039370078740158</v>
      </c>
      <c r="Q38" s="154">
        <f t="shared" si="10"/>
        <v>0.2125984251968504</v>
      </c>
      <c r="R38" s="154">
        <f t="shared" si="11"/>
        <v>0.35531496062992129</v>
      </c>
      <c r="S38" s="154">
        <f t="shared" si="12"/>
        <v>0.55216535433070868</v>
      </c>
      <c r="T38" s="154">
        <f t="shared" si="13"/>
        <v>0.6889763779527559</v>
      </c>
      <c r="U38" s="154">
        <f t="shared" si="14"/>
        <v>0.77952755905511806</v>
      </c>
      <c r="V38" s="154">
        <f t="shared" si="15"/>
        <v>0.88877952755905509</v>
      </c>
      <c r="W38" s="162">
        <v>1</v>
      </c>
      <c r="X38" s="154"/>
      <c r="Y38" s="142">
        <f t="shared" si="24"/>
        <v>3.5481335952848726E-2</v>
      </c>
      <c r="Z38" s="142">
        <f t="shared" si="24"/>
        <v>6.0353634577603149E-2</v>
      </c>
      <c r="AA38" s="142">
        <f t="shared" si="24"/>
        <v>7.3831041257367405E-2</v>
      </c>
      <c r="AB38" s="142">
        <f t="shared" si="24"/>
        <v>7.1394891944990185E-2</v>
      </c>
      <c r="AC38" s="142">
        <f t="shared" si="24"/>
        <v>2.9783889980353629E-2</v>
      </c>
      <c r="AD38" s="142">
        <f t="shared" si="24"/>
        <v>1.1890962671905697E-2</v>
      </c>
      <c r="AE38" s="142">
        <f t="shared" si="24"/>
        <v>5.6117878192534403E-3</v>
      </c>
      <c r="AF38" s="142">
        <f t="shared" si="24"/>
        <v>0</v>
      </c>
      <c r="AH38" s="158">
        <f t="shared" si="16"/>
        <v>2.2593320235756383E-2</v>
      </c>
      <c r="AI38" s="158">
        <f t="shared" si="17"/>
        <v>9.8231827111984291E-2</v>
      </c>
      <c r="AJ38" s="158">
        <f t="shared" si="18"/>
        <v>0.23084479371316308</v>
      </c>
      <c r="AK38" s="158">
        <f t="shared" si="19"/>
        <v>0.44302554027504915</v>
      </c>
      <c r="AL38" s="158">
        <f t="shared" si="20"/>
        <v>0.60216110019646374</v>
      </c>
      <c r="AM38" s="158">
        <f t="shared" si="21"/>
        <v>0.71218074656188612</v>
      </c>
      <c r="AN38" s="158">
        <f t="shared" si="22"/>
        <v>0.84970530451866411</v>
      </c>
      <c r="AO38" s="158">
        <v>1</v>
      </c>
      <c r="AP38" s="143"/>
      <c r="AQ38" s="152">
        <f>'B2-RdTr'!$O147</f>
        <v>10.199999999999999</v>
      </c>
      <c r="AR38" s="152">
        <f>'B2-RdTr'!$O185</f>
        <v>11.4</v>
      </c>
      <c r="AS38" s="152">
        <f>'B2-RdTr'!$O223</f>
        <v>14.5</v>
      </c>
      <c r="AT38" s="152">
        <f>'B2-RdTr'!$O261</f>
        <v>20</v>
      </c>
      <c r="AU38" s="152">
        <f>'B2-RdTr'!$O337</f>
        <v>13.9</v>
      </c>
      <c r="AV38" s="152">
        <f>'B2-RdTr'!$O375</f>
        <v>9.1999999999999993</v>
      </c>
      <c r="AW38" s="152">
        <f>'B2-RdTr'!$O413</f>
        <v>11.1</v>
      </c>
      <c r="AX38" s="152">
        <f>'B2-RdTr'!$O451</f>
        <v>11.3</v>
      </c>
      <c r="AY38" s="462"/>
      <c r="AZ38" s="152">
        <f>'B2-RdTr'!$N147</f>
        <v>2.2999999999999998</v>
      </c>
      <c r="BA38" s="152">
        <f>'B2-RdTr'!$N185</f>
        <v>7.7</v>
      </c>
      <c r="BB38" s="152">
        <f>'B2-RdTr'!$N223</f>
        <v>13.5</v>
      </c>
      <c r="BC38" s="152">
        <f>'B2-RdTr'!$N261</f>
        <v>21.6</v>
      </c>
      <c r="BD38" s="152">
        <f>'B2-RdTr'!$N337</f>
        <v>16.2</v>
      </c>
      <c r="BE38" s="152">
        <f>'B2-RdTr'!$N375</f>
        <v>11.2</v>
      </c>
      <c r="BF38" s="152">
        <f>'B2-RdTr'!$N413</f>
        <v>14</v>
      </c>
      <c r="BG38" s="152">
        <f>'B2-RdTr'!$N451</f>
        <v>15.3</v>
      </c>
    </row>
    <row r="39" spans="1:59">
      <c r="A39" s="46">
        <f t="shared" si="23"/>
        <v>2010</v>
      </c>
      <c r="B39" s="141">
        <f t="shared" si="5"/>
        <v>0.20283431661750251</v>
      </c>
      <c r="D39" s="141">
        <f t="shared" si="6"/>
        <v>0.39169999999999994</v>
      </c>
      <c r="E39" s="141">
        <f t="shared" si="7"/>
        <v>0.59453431661750245</v>
      </c>
      <c r="F39" s="46"/>
      <c r="G39" s="157">
        <f t="shared" si="8"/>
        <v>2.0118110236220472E-2</v>
      </c>
      <c r="H39" s="157">
        <f t="shared" si="8"/>
        <v>3.8070866141732287E-2</v>
      </c>
      <c r="I39" s="157">
        <f t="shared" si="8"/>
        <v>5.0118110236220481E-2</v>
      </c>
      <c r="J39" s="157">
        <f t="shared" si="8"/>
        <v>5.1535433070866124E-2</v>
      </c>
      <c r="K39" s="157">
        <f t="shared" si="8"/>
        <v>2.2283464566929125E-2</v>
      </c>
      <c r="L39" s="157">
        <f t="shared" si="8"/>
        <v>9.1633858267716473E-3</v>
      </c>
      <c r="M39" s="157">
        <f t="shared" si="8"/>
        <v>4.5606299212598376E-3</v>
      </c>
      <c r="N39" s="157">
        <f t="shared" si="8"/>
        <v>0</v>
      </c>
      <c r="O39" s="46"/>
      <c r="P39" s="154">
        <f t="shared" si="9"/>
        <v>9.9409448818897655E-2</v>
      </c>
      <c r="Q39" s="154">
        <f t="shared" si="10"/>
        <v>0.2096456692913386</v>
      </c>
      <c r="R39" s="154">
        <f t="shared" si="11"/>
        <v>0.34940944881889768</v>
      </c>
      <c r="S39" s="154">
        <f t="shared" si="12"/>
        <v>0.54232283464566944</v>
      </c>
      <c r="T39" s="154">
        <f t="shared" si="13"/>
        <v>0.67716535433070879</v>
      </c>
      <c r="U39" s="154">
        <f t="shared" si="14"/>
        <v>0.76673228346456712</v>
      </c>
      <c r="V39" s="154">
        <f t="shared" si="15"/>
        <v>0.87598425196850416</v>
      </c>
      <c r="W39" s="162">
        <v>1</v>
      </c>
      <c r="X39" s="154"/>
      <c r="Y39" s="142">
        <f t="shared" si="24"/>
        <v>3.5673549655850546E-2</v>
      </c>
      <c r="Z39" s="142">
        <f t="shared" si="24"/>
        <v>6.1120943952802369E-2</v>
      </c>
      <c r="AA39" s="142">
        <f t="shared" si="24"/>
        <v>7.555555555555557E-2</v>
      </c>
      <c r="AB39" s="142">
        <f t="shared" si="24"/>
        <v>7.4257620452310713E-2</v>
      </c>
      <c r="AC39" s="142">
        <f t="shared" si="24"/>
        <v>3.1494591937069806E-2</v>
      </c>
      <c r="AD39" s="142">
        <f t="shared" si="24"/>
        <v>1.283923303834808E-2</v>
      </c>
      <c r="AE39" s="142">
        <f t="shared" si="24"/>
        <v>6.3256637168141562E-3</v>
      </c>
      <c r="AF39" s="142">
        <f t="shared" si="24"/>
        <v>0</v>
      </c>
      <c r="AH39" s="158">
        <f t="shared" si="16"/>
        <v>2.16322517207473E-2</v>
      </c>
      <c r="AI39" s="158">
        <f t="shared" si="17"/>
        <v>9.4395280235988213E-2</v>
      </c>
      <c r="AJ39" s="158">
        <f t="shared" si="18"/>
        <v>0.22222222222222227</v>
      </c>
      <c r="AK39" s="158">
        <f t="shared" si="19"/>
        <v>0.42871189773844648</v>
      </c>
      <c r="AL39" s="158">
        <f t="shared" si="20"/>
        <v>0.58505408062930198</v>
      </c>
      <c r="AM39" s="158">
        <f t="shared" si="21"/>
        <v>0.69321533923303846</v>
      </c>
      <c r="AN39" s="158">
        <f t="shared" si="22"/>
        <v>0.8318584070796462</v>
      </c>
      <c r="AO39" s="158">
        <v>1</v>
      </c>
      <c r="AP39" s="143"/>
      <c r="AQ39" s="152">
        <f>'B2-RdTr'!$O148</f>
        <v>10.1</v>
      </c>
      <c r="AR39" s="152">
        <f>'B2-RdTr'!$O186</f>
        <v>11.2</v>
      </c>
      <c r="AS39" s="152">
        <f>'B2-RdTr'!$O224</f>
        <v>14.2</v>
      </c>
      <c r="AT39" s="152">
        <f>'B2-RdTr'!$O262</f>
        <v>19.600000000000001</v>
      </c>
      <c r="AU39" s="152">
        <f>'B2-RdTr'!$O338</f>
        <v>13.7</v>
      </c>
      <c r="AV39" s="152">
        <f>'B2-RdTr'!$O376</f>
        <v>9.1</v>
      </c>
      <c r="AW39" s="152">
        <f>'B2-RdTr'!$O414</f>
        <v>11.1</v>
      </c>
      <c r="AX39" s="152">
        <f>'B2-RdTr'!$O452</f>
        <v>12.6</v>
      </c>
      <c r="AY39" s="462"/>
      <c r="AZ39" s="152">
        <f>'B2-RdTr'!$N148</f>
        <v>2.2000000000000002</v>
      </c>
      <c r="BA39" s="152">
        <f>'B2-RdTr'!$N186</f>
        <v>7.4</v>
      </c>
      <c r="BB39" s="152">
        <f>'B2-RdTr'!$N224</f>
        <v>13</v>
      </c>
      <c r="BC39" s="152">
        <f>'B2-RdTr'!$N262</f>
        <v>21</v>
      </c>
      <c r="BD39" s="152">
        <f>'B2-RdTr'!$N338</f>
        <v>15.9</v>
      </c>
      <c r="BE39" s="152">
        <f>'B2-RdTr'!$N376</f>
        <v>11</v>
      </c>
      <c r="BF39" s="152">
        <f>'B2-RdTr'!$N414</f>
        <v>14.1</v>
      </c>
      <c r="BG39" s="152">
        <f>'B2-RdTr'!$N452</f>
        <v>17.100000000000001</v>
      </c>
    </row>
    <row r="40" spans="1:59">
      <c r="A40" s="46">
        <f t="shared" si="23"/>
        <v>2011</v>
      </c>
      <c r="B40" s="141">
        <f t="shared" si="5"/>
        <v>0.19724104895988187</v>
      </c>
      <c r="D40" s="141">
        <f t="shared" si="6"/>
        <v>0.39453530571992129</v>
      </c>
      <c r="E40" s="141">
        <f t="shared" si="7"/>
        <v>0.59177635467980316</v>
      </c>
      <c r="F40" s="46"/>
      <c r="G40" s="157">
        <f t="shared" si="8"/>
        <v>2.0078895463510854E-2</v>
      </c>
      <c r="H40" s="157">
        <f t="shared" si="8"/>
        <v>3.8579881656804739E-2</v>
      </c>
      <c r="I40" s="157">
        <f t="shared" si="8"/>
        <v>5.057199211045367E-2</v>
      </c>
      <c r="J40" s="157">
        <f t="shared" si="8"/>
        <v>5.1913214990138082E-2</v>
      </c>
      <c r="K40" s="157">
        <f t="shared" si="8"/>
        <v>2.2445759368836294E-2</v>
      </c>
      <c r="L40" s="157">
        <f t="shared" si="8"/>
        <v>9.186390532544381E-3</v>
      </c>
      <c r="M40" s="157">
        <f t="shared" si="8"/>
        <v>4.4915187376725861E-3</v>
      </c>
      <c r="N40" s="157">
        <f t="shared" si="8"/>
        <v>0</v>
      </c>
      <c r="O40" s="46"/>
      <c r="P40" s="154">
        <f t="shared" si="9"/>
        <v>9.9605522682445755E-2</v>
      </c>
      <c r="Q40" s="154">
        <f t="shared" si="10"/>
        <v>0.20710059171597633</v>
      </c>
      <c r="R40" s="154">
        <f t="shared" si="11"/>
        <v>0.34714003944773175</v>
      </c>
      <c r="S40" s="154">
        <f t="shared" si="12"/>
        <v>0.54043392504930965</v>
      </c>
      <c r="T40" s="154">
        <f t="shared" si="13"/>
        <v>0.67554240631163709</v>
      </c>
      <c r="U40" s="154">
        <f t="shared" si="14"/>
        <v>0.76627218934911245</v>
      </c>
      <c r="V40" s="154">
        <f t="shared" si="15"/>
        <v>0.87771203155818545</v>
      </c>
      <c r="W40" s="162">
        <v>1</v>
      </c>
      <c r="X40" s="154"/>
      <c r="Y40" s="142">
        <f t="shared" si="24"/>
        <v>3.5467980295566505E-2</v>
      </c>
      <c r="Z40" s="142">
        <f t="shared" si="24"/>
        <v>6.0886699507389168E-2</v>
      </c>
      <c r="AA40" s="142">
        <f t="shared" si="24"/>
        <v>7.5270935960591159E-2</v>
      </c>
      <c r="AB40" s="142">
        <f t="shared" si="24"/>
        <v>7.3891625615763554E-2</v>
      </c>
      <c r="AC40" s="142">
        <f t="shared" si="24"/>
        <v>3.1379310344827584E-2</v>
      </c>
      <c r="AD40" s="142">
        <f t="shared" si="24"/>
        <v>1.2770935960591135E-2</v>
      </c>
      <c r="AE40" s="142">
        <f t="shared" si="24"/>
        <v>6.2206896551724178E-3</v>
      </c>
      <c r="AF40" s="142">
        <f t="shared" si="24"/>
        <v>0</v>
      </c>
      <c r="AH40" s="158">
        <f t="shared" si="16"/>
        <v>2.2660098522167486E-2</v>
      </c>
      <c r="AI40" s="158">
        <f t="shared" si="17"/>
        <v>9.5566502463054176E-2</v>
      </c>
      <c r="AJ40" s="158">
        <f t="shared" si="18"/>
        <v>0.22364532019704433</v>
      </c>
      <c r="AK40" s="158">
        <f t="shared" si="19"/>
        <v>0.43054187192118226</v>
      </c>
      <c r="AL40" s="158">
        <f t="shared" si="20"/>
        <v>0.5862068965517242</v>
      </c>
      <c r="AM40" s="158">
        <f t="shared" si="21"/>
        <v>0.69458128078817738</v>
      </c>
      <c r="AN40" s="158">
        <f t="shared" si="22"/>
        <v>0.83448275862068966</v>
      </c>
      <c r="AO40" s="158">
        <v>1</v>
      </c>
      <c r="AP40" s="143"/>
      <c r="AQ40" s="152">
        <f>'B2-RdTr'!$O149</f>
        <v>10.1</v>
      </c>
      <c r="AR40" s="152">
        <f>'B2-RdTr'!$O187</f>
        <v>10.9</v>
      </c>
      <c r="AS40" s="152">
        <f>'B2-RdTr'!$O225</f>
        <v>14.2</v>
      </c>
      <c r="AT40" s="152">
        <f>'B2-RdTr'!$O263</f>
        <v>19.600000000000001</v>
      </c>
      <c r="AU40" s="152">
        <f>'B2-RdTr'!$O339</f>
        <v>13.7</v>
      </c>
      <c r="AV40" s="152">
        <f>'B2-RdTr'!$O377</f>
        <v>9.1999999999999993</v>
      </c>
      <c r="AW40" s="152">
        <f>'B2-RdTr'!$O415</f>
        <v>11.3</v>
      </c>
      <c r="AX40" s="152">
        <f>'B2-RdTr'!$O453</f>
        <v>12.4</v>
      </c>
      <c r="AY40" s="462"/>
      <c r="AZ40" s="152">
        <f>'B2-RdTr'!$N149</f>
        <v>2.2999999999999998</v>
      </c>
      <c r="BA40" s="152">
        <f>'B2-RdTr'!$N187</f>
        <v>7.4</v>
      </c>
      <c r="BB40" s="152">
        <f>'B2-RdTr'!$N225</f>
        <v>13</v>
      </c>
      <c r="BC40" s="152">
        <f>'B2-RdTr'!$N263</f>
        <v>21</v>
      </c>
      <c r="BD40" s="152">
        <f>'B2-RdTr'!$N339</f>
        <v>15.8</v>
      </c>
      <c r="BE40" s="152">
        <f>'B2-RdTr'!$N377</f>
        <v>11</v>
      </c>
      <c r="BF40" s="152">
        <f>'B2-RdTr'!$N415</f>
        <v>14.2</v>
      </c>
      <c r="BG40" s="152">
        <f>'B2-RdTr'!$N453</f>
        <v>16.8</v>
      </c>
    </row>
    <row r="41" spans="1:59">
      <c r="A41" s="46">
        <f t="shared" si="23"/>
        <v>2012</v>
      </c>
      <c r="B41" s="141">
        <f t="shared" si="5"/>
        <v>0.19548323471400397</v>
      </c>
      <c r="D41" s="141">
        <f t="shared" si="6"/>
        <v>0.42530453648915201</v>
      </c>
      <c r="E41" s="141">
        <f t="shared" si="7"/>
        <v>0.62078777120315598</v>
      </c>
      <c r="F41" s="46"/>
      <c r="G41" s="157">
        <f t="shared" si="8"/>
        <v>2.1262327416173576E-2</v>
      </c>
      <c r="H41" s="157">
        <f t="shared" si="8"/>
        <v>4.0552268244575945E-2</v>
      </c>
      <c r="I41" s="157">
        <f t="shared" si="8"/>
        <v>5.3727810650887602E-2</v>
      </c>
      <c r="J41" s="157">
        <f t="shared" si="8"/>
        <v>5.6252465483234732E-2</v>
      </c>
      <c r="K41" s="157">
        <f t="shared" si="8"/>
        <v>2.49112426035503E-2</v>
      </c>
      <c r="L41" s="157">
        <f t="shared" si="8"/>
        <v>1.0468441814595664E-2</v>
      </c>
      <c r="M41" s="157">
        <f t="shared" si="8"/>
        <v>5.4777120315581884E-3</v>
      </c>
      <c r="N41" s="157">
        <f t="shared" si="8"/>
        <v>0</v>
      </c>
      <c r="O41" s="46"/>
      <c r="P41" s="154">
        <f t="shared" si="9"/>
        <v>9.3688362919132143E-2</v>
      </c>
      <c r="Q41" s="154">
        <f t="shared" si="10"/>
        <v>0.1972386587771203</v>
      </c>
      <c r="R41" s="154">
        <f t="shared" si="11"/>
        <v>0.3313609467455621</v>
      </c>
      <c r="S41" s="154">
        <f t="shared" si="12"/>
        <v>0.51873767258382641</v>
      </c>
      <c r="T41" s="154">
        <f t="shared" si="13"/>
        <v>0.65088757396449703</v>
      </c>
      <c r="U41" s="154">
        <f t="shared" si="14"/>
        <v>0.74063116370808679</v>
      </c>
      <c r="V41" s="154">
        <f t="shared" si="15"/>
        <v>0.85305719921104539</v>
      </c>
      <c r="W41" s="162">
        <v>1</v>
      </c>
      <c r="X41" s="154"/>
      <c r="Y41" s="142">
        <f t="shared" si="24"/>
        <v>3.6055226824457602E-2</v>
      </c>
      <c r="Z41" s="142">
        <f t="shared" si="24"/>
        <v>6.2445759368836298E-2</v>
      </c>
      <c r="AA41" s="142">
        <f t="shared" si="24"/>
        <v>7.7988165680473398E-2</v>
      </c>
      <c r="AB41" s="142">
        <f t="shared" si="24"/>
        <v>7.8145956607495085E-2</v>
      </c>
      <c r="AC41" s="142">
        <f t="shared" si="24"/>
        <v>3.4082840236686396E-2</v>
      </c>
      <c r="AD41" s="142">
        <f t="shared" si="24"/>
        <v>1.4265285996055234E-2</v>
      </c>
      <c r="AE41" s="142">
        <f t="shared" si="24"/>
        <v>7.410650887573973E-3</v>
      </c>
      <c r="AF41" s="142">
        <f t="shared" si="24"/>
        <v>0</v>
      </c>
      <c r="AH41" s="158">
        <f t="shared" si="16"/>
        <v>1.9723865877712032E-2</v>
      </c>
      <c r="AI41" s="158">
        <f t="shared" si="17"/>
        <v>8.7771203155818545E-2</v>
      </c>
      <c r="AJ41" s="158">
        <f t="shared" si="18"/>
        <v>0.21005917159763315</v>
      </c>
      <c r="AK41" s="158">
        <f t="shared" si="19"/>
        <v>0.40927021696252464</v>
      </c>
      <c r="AL41" s="158">
        <f t="shared" si="20"/>
        <v>0.55917159763313606</v>
      </c>
      <c r="AM41" s="158">
        <f t="shared" si="21"/>
        <v>0.66469428007889542</v>
      </c>
      <c r="AN41" s="158">
        <f t="shared" si="22"/>
        <v>0.80473372781065078</v>
      </c>
      <c r="AO41" s="158">
        <v>1</v>
      </c>
      <c r="AP41" s="143"/>
      <c r="AQ41" s="152">
        <f>'B2-RdTr'!$O150</f>
        <v>9.5</v>
      </c>
      <c r="AR41" s="152">
        <f>'B2-RdTr'!$O188</f>
        <v>10.5</v>
      </c>
      <c r="AS41" s="152">
        <f>'B2-RdTr'!$O226</f>
        <v>13.6</v>
      </c>
      <c r="AT41" s="152">
        <f>'B2-RdTr'!$O264</f>
        <v>19</v>
      </c>
      <c r="AU41" s="152">
        <f>'B2-RdTr'!$O340</f>
        <v>13.4</v>
      </c>
      <c r="AV41" s="152">
        <f>'B2-RdTr'!$O378</f>
        <v>9.1</v>
      </c>
      <c r="AW41" s="152">
        <f>'B2-RdTr'!$O416</f>
        <v>11.4</v>
      </c>
      <c r="AX41" s="152">
        <f>'B2-RdTr'!$O454</f>
        <v>14.9</v>
      </c>
      <c r="AY41" s="462"/>
      <c r="AZ41" s="152">
        <f>'B2-RdTr'!$N150</f>
        <v>2</v>
      </c>
      <c r="BA41" s="152">
        <f>'B2-RdTr'!$N188</f>
        <v>6.9</v>
      </c>
      <c r="BB41" s="152">
        <f>'B2-RdTr'!$N226</f>
        <v>12.4</v>
      </c>
      <c r="BC41" s="152">
        <f>'B2-RdTr'!$N264</f>
        <v>20.2</v>
      </c>
      <c r="BD41" s="152">
        <f>'B2-RdTr'!$N340</f>
        <v>15.2</v>
      </c>
      <c r="BE41" s="152">
        <f>'B2-RdTr'!$N378</f>
        <v>10.7</v>
      </c>
      <c r="BF41" s="152">
        <f>'B2-RdTr'!$N416</f>
        <v>14.2</v>
      </c>
      <c r="BG41" s="152">
        <f>'B2-RdTr'!$N454</f>
        <v>19.8</v>
      </c>
    </row>
    <row r="42" spans="1:59">
      <c r="A42" s="46">
        <f t="shared" si="23"/>
        <v>2013</v>
      </c>
      <c r="B42" s="141">
        <f t="shared" si="5"/>
        <v>0.20019485279857252</v>
      </c>
      <c r="D42" s="141">
        <f t="shared" si="6"/>
        <v>0.3962295566502464</v>
      </c>
      <c r="E42" s="141">
        <f t="shared" si="7"/>
        <v>0.59642440944881892</v>
      </c>
      <c r="F42" s="46"/>
      <c r="G42" s="157">
        <f t="shared" si="8"/>
        <v>2.0295566502463058E-2</v>
      </c>
      <c r="H42" s="157">
        <f t="shared" si="8"/>
        <v>3.8620689655172416E-2</v>
      </c>
      <c r="I42" s="157">
        <f t="shared" si="8"/>
        <v>5.0837438423645333E-2</v>
      </c>
      <c r="J42" s="157">
        <f t="shared" si="8"/>
        <v>5.2216748768472911E-2</v>
      </c>
      <c r="K42" s="157">
        <f t="shared" si="8"/>
        <v>2.2512315270935959E-2</v>
      </c>
      <c r="L42" s="157">
        <f t="shared" si="8"/>
        <v>9.2241379310344825E-3</v>
      </c>
      <c r="M42" s="157">
        <f t="shared" si="8"/>
        <v>4.4078817733990139E-3</v>
      </c>
      <c r="N42" s="157">
        <f t="shared" si="8"/>
        <v>0</v>
      </c>
      <c r="O42" s="46"/>
      <c r="P42" s="154">
        <f t="shared" si="9"/>
        <v>9.8522167487684734E-2</v>
      </c>
      <c r="Q42" s="154">
        <f t="shared" si="10"/>
        <v>0.20689655172413796</v>
      </c>
      <c r="R42" s="154">
        <f t="shared" si="11"/>
        <v>0.34581280788177343</v>
      </c>
      <c r="S42" s="154">
        <f t="shared" si="12"/>
        <v>0.5389162561576355</v>
      </c>
      <c r="T42" s="154">
        <f t="shared" si="13"/>
        <v>0.67487684729064046</v>
      </c>
      <c r="U42" s="154">
        <f t="shared" si="14"/>
        <v>0.76551724137931043</v>
      </c>
      <c r="V42" s="154">
        <f t="shared" si="15"/>
        <v>0.87980295566502476</v>
      </c>
      <c r="W42" s="162">
        <v>1</v>
      </c>
      <c r="X42" s="154"/>
      <c r="Y42" s="142">
        <f t="shared" si="24"/>
        <v>3.5472440944881896E-2</v>
      </c>
      <c r="Z42" s="142">
        <f t="shared" si="24"/>
        <v>6.1102362204724418E-2</v>
      </c>
      <c r="AA42" s="142">
        <f t="shared" si="24"/>
        <v>7.5708661417322853E-2</v>
      </c>
      <c r="AB42" s="142">
        <f t="shared" si="24"/>
        <v>7.4763779527559068E-2</v>
      </c>
      <c r="AC42" s="142">
        <f t="shared" si="24"/>
        <v>3.1830708661417316E-2</v>
      </c>
      <c r="AD42" s="142">
        <f t="shared" si="24"/>
        <v>1.3001968503937006E-2</v>
      </c>
      <c r="AE42" s="142">
        <f t="shared" si="24"/>
        <v>6.3322834645669302E-3</v>
      </c>
      <c r="AF42" s="142">
        <f t="shared" si="24"/>
        <v>0</v>
      </c>
      <c r="AH42" s="158">
        <f t="shared" si="16"/>
        <v>2.2637795275590549E-2</v>
      </c>
      <c r="AI42" s="158">
        <f t="shared" si="17"/>
        <v>9.4488188976377951E-2</v>
      </c>
      <c r="AJ42" s="158">
        <f t="shared" si="18"/>
        <v>0.22145669291338585</v>
      </c>
      <c r="AK42" s="158">
        <f t="shared" si="19"/>
        <v>0.42618110236220474</v>
      </c>
      <c r="AL42" s="158">
        <f t="shared" si="20"/>
        <v>0.58169291338582685</v>
      </c>
      <c r="AM42" s="158">
        <f t="shared" si="21"/>
        <v>0.68996062992125995</v>
      </c>
      <c r="AN42" s="158">
        <f t="shared" si="22"/>
        <v>0.83169291338582685</v>
      </c>
      <c r="AO42" s="158">
        <v>1</v>
      </c>
      <c r="AP42" s="143"/>
      <c r="AQ42" s="152">
        <f>'B2-RdTr'!$O151</f>
        <v>10</v>
      </c>
      <c r="AR42" s="152">
        <f>'B2-RdTr'!$O189</f>
        <v>11</v>
      </c>
      <c r="AS42" s="152">
        <f>'B2-RdTr'!$O227</f>
        <v>14.1</v>
      </c>
      <c r="AT42" s="152">
        <f>'B2-RdTr'!$O265</f>
        <v>19.600000000000001</v>
      </c>
      <c r="AU42" s="152">
        <f>'B2-RdTr'!$O341</f>
        <v>13.8</v>
      </c>
      <c r="AV42" s="152">
        <f>'B2-RdTr'!$O379</f>
        <v>9.1999999999999993</v>
      </c>
      <c r="AW42" s="152">
        <f>'B2-RdTr'!$O417</f>
        <v>11.6</v>
      </c>
      <c r="AX42" s="152">
        <f>'B2-RdTr'!$O455</f>
        <v>12.2</v>
      </c>
      <c r="AY42" s="462"/>
      <c r="AZ42" s="152">
        <f>'B2-RdTr'!$N151</f>
        <v>2.2999999999999998</v>
      </c>
      <c r="BA42" s="152">
        <f>'B2-RdTr'!$N189</f>
        <v>7.3</v>
      </c>
      <c r="BB42" s="152">
        <f>'B2-RdTr'!$N227</f>
        <v>12.9</v>
      </c>
      <c r="BC42" s="152">
        <f>'B2-RdTr'!$N265</f>
        <v>20.8</v>
      </c>
      <c r="BD42" s="152">
        <f>'B2-RdTr'!$N341</f>
        <v>15.8</v>
      </c>
      <c r="BE42" s="152">
        <f>'B2-RdTr'!$N379</f>
        <v>11</v>
      </c>
      <c r="BF42" s="152">
        <f>'B2-RdTr'!$N417</f>
        <v>14.4</v>
      </c>
      <c r="BG42" s="152">
        <f>'B2-RdTr'!$N455</f>
        <v>17.100000000000001</v>
      </c>
    </row>
    <row r="43" spans="1:59">
      <c r="A43" s="46">
        <f t="shared" si="23"/>
        <v>2014</v>
      </c>
      <c r="B43" s="141">
        <f t="shared" si="5"/>
        <v>0.2047043605541749</v>
      </c>
      <c r="D43" s="141">
        <f t="shared" si="6"/>
        <v>0.40673701875616991</v>
      </c>
      <c r="E43" s="141">
        <f t="shared" si="7"/>
        <v>0.61144137931034481</v>
      </c>
      <c r="F43" s="46"/>
      <c r="G43" s="157">
        <f t="shared" si="8"/>
        <v>2.0651530108588351E-2</v>
      </c>
      <c r="H43" s="157">
        <f t="shared" si="8"/>
        <v>3.9131293188548869E-2</v>
      </c>
      <c r="I43" s="157">
        <f t="shared" si="8"/>
        <v>5.1688055281342564E-2</v>
      </c>
      <c r="J43" s="157">
        <f t="shared" si="8"/>
        <v>5.3780848963474841E-2</v>
      </c>
      <c r="K43" s="157">
        <f t="shared" si="8"/>
        <v>2.3563672260612047E-2</v>
      </c>
      <c r="L43" s="157">
        <f t="shared" si="8"/>
        <v>9.7408687068114563E-3</v>
      </c>
      <c r="M43" s="157">
        <f t="shared" si="8"/>
        <v>4.8122408687068189E-3</v>
      </c>
      <c r="N43" s="157">
        <f t="shared" si="8"/>
        <v>0</v>
      </c>
      <c r="O43" s="46"/>
      <c r="P43" s="154">
        <f t="shared" si="9"/>
        <v>9.6742349457058258E-2</v>
      </c>
      <c r="Q43" s="154">
        <f t="shared" si="10"/>
        <v>0.20434353405725569</v>
      </c>
      <c r="R43" s="154">
        <f t="shared" si="11"/>
        <v>0.34155972359328729</v>
      </c>
      <c r="S43" s="154">
        <f t="shared" si="12"/>
        <v>0.53109575518262586</v>
      </c>
      <c r="T43" s="154">
        <f t="shared" si="13"/>
        <v>0.66436327739387957</v>
      </c>
      <c r="U43" s="154">
        <f t="shared" si="14"/>
        <v>0.75518262586377094</v>
      </c>
      <c r="V43" s="154">
        <f t="shared" si="15"/>
        <v>0.86969397828232964</v>
      </c>
      <c r="W43" s="162">
        <v>1</v>
      </c>
      <c r="X43" s="154"/>
      <c r="Y43" s="142">
        <f t="shared" si="24"/>
        <v>3.5862068965517246E-2</v>
      </c>
      <c r="Z43" s="142">
        <f t="shared" si="24"/>
        <v>6.1871921182266011E-2</v>
      </c>
      <c r="AA43" s="142">
        <f t="shared" si="24"/>
        <v>7.7044334975369486E-2</v>
      </c>
      <c r="AB43" s="142">
        <f t="shared" si="24"/>
        <v>7.7044334975369472E-2</v>
      </c>
      <c r="AC43" s="142">
        <f t="shared" si="24"/>
        <v>3.3251231527093597E-2</v>
      </c>
      <c r="AD43" s="142">
        <f t="shared" si="24"/>
        <v>1.3756157635467982E-2</v>
      </c>
      <c r="AE43" s="142">
        <f t="shared" si="24"/>
        <v>6.8906403940886696E-3</v>
      </c>
      <c r="AF43" s="142">
        <f t="shared" si="24"/>
        <v>0</v>
      </c>
      <c r="AH43" s="158">
        <f t="shared" si="16"/>
        <v>2.0689655172413793E-2</v>
      </c>
      <c r="AI43" s="158">
        <f t="shared" si="17"/>
        <v>9.0640394088669946E-2</v>
      </c>
      <c r="AJ43" s="158">
        <f t="shared" si="18"/>
        <v>0.2147783251231527</v>
      </c>
      <c r="AK43" s="158">
        <f t="shared" si="19"/>
        <v>0.41477832512315271</v>
      </c>
      <c r="AL43" s="158">
        <f t="shared" si="20"/>
        <v>0.56748768472906408</v>
      </c>
      <c r="AM43" s="158">
        <f t="shared" si="21"/>
        <v>0.67487684729064046</v>
      </c>
      <c r="AN43" s="158">
        <f t="shared" si="22"/>
        <v>0.81773399014778336</v>
      </c>
      <c r="AO43" s="158">
        <v>1</v>
      </c>
      <c r="AP43" s="143"/>
      <c r="AQ43" s="152">
        <f>'B2-RdTr'!$O152</f>
        <v>9.8000000000000007</v>
      </c>
      <c r="AR43" s="152">
        <f>'B2-RdTr'!$O190</f>
        <v>10.9</v>
      </c>
      <c r="AS43" s="152">
        <f>'B2-RdTr'!$O228</f>
        <v>13.9</v>
      </c>
      <c r="AT43" s="152">
        <f>'B2-RdTr'!$O266</f>
        <v>19.2</v>
      </c>
      <c r="AU43" s="152">
        <f>'B2-RdTr'!$O342</f>
        <v>13.5</v>
      </c>
      <c r="AV43" s="152">
        <f>'B2-RdTr'!$O380</f>
        <v>9.1999999999999993</v>
      </c>
      <c r="AW43" s="152">
        <f>'B2-RdTr'!$O418</f>
        <v>11.6</v>
      </c>
      <c r="AX43" s="152">
        <f>'B2-RdTr'!$O456</f>
        <v>13.2</v>
      </c>
      <c r="AY43" s="462"/>
      <c r="AZ43" s="152">
        <f>'B2-RdTr'!$N152</f>
        <v>2.1</v>
      </c>
      <c r="BA43" s="152">
        <f>'B2-RdTr'!$N190</f>
        <v>7.1</v>
      </c>
      <c r="BB43" s="152">
        <f>'B2-RdTr'!$N228</f>
        <v>12.6</v>
      </c>
      <c r="BC43" s="152">
        <f>'B2-RdTr'!$N266</f>
        <v>20.3</v>
      </c>
      <c r="BD43" s="152">
        <f>'B2-RdTr'!$N342</f>
        <v>15.5</v>
      </c>
      <c r="BE43" s="152">
        <f>'B2-RdTr'!$N380</f>
        <v>10.9</v>
      </c>
      <c r="BF43" s="152">
        <f>'B2-RdTr'!$N418</f>
        <v>14.5</v>
      </c>
      <c r="BG43" s="152">
        <f>'B2-RdTr'!$N456</f>
        <v>18.5</v>
      </c>
    </row>
    <row r="44" spans="1:59">
      <c r="A44" s="46">
        <f t="shared" si="23"/>
        <v>2015</v>
      </c>
      <c r="B44" s="141">
        <f t="shared" si="5"/>
        <v>0.20580655065535686</v>
      </c>
      <c r="D44" s="141">
        <f t="shared" si="6"/>
        <v>0.40204236453201997</v>
      </c>
      <c r="E44" s="141">
        <f t="shared" si="7"/>
        <v>0.60784891518737683</v>
      </c>
      <c r="F44" s="46"/>
      <c r="G44" s="157">
        <f t="shared" si="8"/>
        <v>2.0295566502463058E-2</v>
      </c>
      <c r="H44" s="157">
        <f t="shared" si="8"/>
        <v>3.862068965517243E-2</v>
      </c>
      <c r="I44" s="157">
        <f t="shared" si="8"/>
        <v>5.1034482758620728E-2</v>
      </c>
      <c r="J44" s="157">
        <f t="shared" si="8"/>
        <v>5.3201970443349782E-2</v>
      </c>
      <c r="K44" s="157">
        <f t="shared" si="8"/>
        <v>2.3399014778325136E-2</v>
      </c>
      <c r="L44" s="157">
        <f t="shared" si="8"/>
        <v>9.667487684729071E-3</v>
      </c>
      <c r="M44" s="157">
        <f t="shared" si="8"/>
        <v>4.8019704433497614E-3</v>
      </c>
      <c r="N44" s="157">
        <f t="shared" si="8"/>
        <v>0</v>
      </c>
      <c r="O44" s="161">
        <v>0</v>
      </c>
      <c r="P44" s="154">
        <f t="shared" si="9"/>
        <v>9.852216748768472E-2</v>
      </c>
      <c r="Q44" s="154">
        <f t="shared" si="10"/>
        <v>0.2068965517241379</v>
      </c>
      <c r="R44" s="154">
        <f t="shared" si="11"/>
        <v>0.34482758620689646</v>
      </c>
      <c r="S44" s="154">
        <f t="shared" si="12"/>
        <v>0.53399014778325116</v>
      </c>
      <c r="T44" s="154">
        <f t="shared" si="13"/>
        <v>0.66600985221674869</v>
      </c>
      <c r="U44" s="154">
        <f t="shared" si="14"/>
        <v>0.75665024630541866</v>
      </c>
      <c r="V44" s="154">
        <f t="shared" si="15"/>
        <v>0.86995073891625607</v>
      </c>
      <c r="W44" s="162">
        <v>1</v>
      </c>
      <c r="X44" s="154"/>
      <c r="Y44" s="142">
        <f t="shared" si="24"/>
        <v>3.5660749506903358E-2</v>
      </c>
      <c r="Z44" s="142">
        <f t="shared" si="24"/>
        <v>6.1459566074950692E-2</v>
      </c>
      <c r="AA44" s="142">
        <f t="shared" si="24"/>
        <v>7.6607495069033554E-2</v>
      </c>
      <c r="AB44" s="142">
        <f t="shared" si="24"/>
        <v>7.6568047337278122E-2</v>
      </c>
      <c r="AC44" s="142">
        <f t="shared" si="24"/>
        <v>3.3096646942800789E-2</v>
      </c>
      <c r="AD44" s="142">
        <f t="shared" si="24"/>
        <v>1.367357001972387E-2</v>
      </c>
      <c r="AE44" s="142">
        <f t="shared" si="24"/>
        <v>6.858382642998033E-3</v>
      </c>
      <c r="AF44" s="142">
        <f t="shared" si="24"/>
        <v>0</v>
      </c>
      <c r="AG44" s="161">
        <v>0</v>
      </c>
      <c r="AH44" s="158">
        <f t="shared" si="16"/>
        <v>2.1696252465483234E-2</v>
      </c>
      <c r="AI44" s="158">
        <f t="shared" si="17"/>
        <v>9.270216962524655E-2</v>
      </c>
      <c r="AJ44" s="158">
        <f t="shared" si="18"/>
        <v>0.21696252465483234</v>
      </c>
      <c r="AK44" s="158">
        <f t="shared" si="19"/>
        <v>0.41715976331360949</v>
      </c>
      <c r="AL44" s="158">
        <f t="shared" si="20"/>
        <v>0.56903353057199213</v>
      </c>
      <c r="AM44" s="158">
        <f t="shared" si="21"/>
        <v>0.6765285996055227</v>
      </c>
      <c r="AN44" s="158">
        <f t="shared" si="22"/>
        <v>0.81854043392504927</v>
      </c>
      <c r="AO44" s="158">
        <v>1</v>
      </c>
      <c r="AP44" s="143"/>
      <c r="AQ44" s="152">
        <f>'B2-RdTr'!$O153</f>
        <v>10</v>
      </c>
      <c r="AR44" s="152">
        <f>'B2-RdTr'!$O191</f>
        <v>11</v>
      </c>
      <c r="AS44" s="152">
        <f>'B2-RdTr'!$O229</f>
        <v>14</v>
      </c>
      <c r="AT44" s="152">
        <f>'B2-RdTr'!$O267</f>
        <v>19.2</v>
      </c>
      <c r="AU44" s="152">
        <f>'B2-RdTr'!$O343</f>
        <v>13.4</v>
      </c>
      <c r="AV44" s="152">
        <f>'B2-RdTr'!$O381</f>
        <v>9.1999999999999993</v>
      </c>
      <c r="AW44" s="152">
        <f>'B2-RdTr'!$O419</f>
        <v>11.5</v>
      </c>
      <c r="AX44" s="152">
        <f>'B2-RdTr'!$O457</f>
        <v>13.2</v>
      </c>
      <c r="AY44" s="462"/>
      <c r="AZ44" s="152">
        <f>'B2-RdTr'!$N153</f>
        <v>2.2000000000000002</v>
      </c>
      <c r="BA44" s="152">
        <f>'B2-RdTr'!$N191</f>
        <v>7.2</v>
      </c>
      <c r="BB44" s="152">
        <f>'B2-RdTr'!$N229</f>
        <v>12.6</v>
      </c>
      <c r="BC44" s="152">
        <f>'B2-RdTr'!$N267</f>
        <v>20.3</v>
      </c>
      <c r="BD44" s="152">
        <f>'B2-RdTr'!$N343</f>
        <v>15.4</v>
      </c>
      <c r="BE44" s="152">
        <f>'B2-RdTr'!$N381</f>
        <v>10.9</v>
      </c>
      <c r="BF44" s="152">
        <f>'B2-RdTr'!$N419</f>
        <v>14.4</v>
      </c>
      <c r="BG44" s="152">
        <f>'B2-RdTr'!$N457</f>
        <v>18.399999999999999</v>
      </c>
    </row>
    <row r="45" spans="1:59">
      <c r="A45" s="46">
        <f t="shared" si="23"/>
        <v>2016</v>
      </c>
      <c r="B45" s="141">
        <f t="shared" si="5"/>
        <v>0.20929659982359505</v>
      </c>
      <c r="D45" s="141">
        <f t="shared" si="6"/>
        <v>0.39165562130177534</v>
      </c>
      <c r="E45" s="141">
        <f t="shared" si="7"/>
        <v>0.60095222112537039</v>
      </c>
      <c r="F45" s="46"/>
      <c r="G45" s="157">
        <f t="shared" si="8"/>
        <v>1.968441814595661E-2</v>
      </c>
      <c r="H45" s="157">
        <f t="shared" si="8"/>
        <v>3.7593688362919146E-2</v>
      </c>
      <c r="I45" s="157">
        <f t="shared" si="8"/>
        <v>4.9980276134122315E-2</v>
      </c>
      <c r="J45" s="157">
        <f t="shared" si="8"/>
        <v>5.21104536489152E-2</v>
      </c>
      <c r="K45" s="157">
        <f t="shared" si="8"/>
        <v>2.2642998027613416E-2</v>
      </c>
      <c r="L45" s="157">
        <f t="shared" si="8"/>
        <v>9.285009861932942E-3</v>
      </c>
      <c r="M45" s="157">
        <f t="shared" si="8"/>
        <v>4.5309664694280103E-3</v>
      </c>
      <c r="N45" s="157">
        <f t="shared" si="8"/>
        <v>0</v>
      </c>
      <c r="O45" s="161">
        <v>0</v>
      </c>
      <c r="P45" s="154">
        <f t="shared" si="9"/>
        <v>0.10157790927021697</v>
      </c>
      <c r="Q45" s="154">
        <f t="shared" si="10"/>
        <v>0.21203155818540431</v>
      </c>
      <c r="R45" s="154">
        <f t="shared" si="11"/>
        <v>0.35009861932938852</v>
      </c>
      <c r="S45" s="154">
        <f t="shared" si="12"/>
        <v>0.53944773175542404</v>
      </c>
      <c r="T45" s="154">
        <f t="shared" si="13"/>
        <v>0.67357001972386588</v>
      </c>
      <c r="U45" s="154">
        <f t="shared" si="14"/>
        <v>0.76429980276134124</v>
      </c>
      <c r="V45" s="154">
        <f t="shared" si="15"/>
        <v>0.87672583826429984</v>
      </c>
      <c r="W45" s="162">
        <v>1</v>
      </c>
      <c r="X45" s="154"/>
      <c r="Y45" s="142">
        <f t="shared" si="24"/>
        <v>3.5656465942744325E-2</v>
      </c>
      <c r="Z45" s="142">
        <f t="shared" si="24"/>
        <v>6.124383020730504E-2</v>
      </c>
      <c r="AA45" s="142">
        <f t="shared" si="24"/>
        <v>7.5972359328726591E-2</v>
      </c>
      <c r="AB45" s="142">
        <f t="shared" si="24"/>
        <v>7.5498519249753232E-2</v>
      </c>
      <c r="AC45" s="142">
        <f t="shared" si="24"/>
        <v>3.2349457058242846E-2</v>
      </c>
      <c r="AD45" s="142">
        <f t="shared" si="24"/>
        <v>1.3245310957551833E-2</v>
      </c>
      <c r="AE45" s="142">
        <f t="shared" si="24"/>
        <v>6.5101678183613074E-3</v>
      </c>
      <c r="AF45" s="142">
        <f t="shared" si="24"/>
        <v>0</v>
      </c>
      <c r="AG45" s="161">
        <v>0</v>
      </c>
      <c r="AH45" s="158">
        <f t="shared" si="16"/>
        <v>2.1717670286278381E-2</v>
      </c>
      <c r="AI45" s="158">
        <f t="shared" si="17"/>
        <v>9.3780848963474814E-2</v>
      </c>
      <c r="AJ45" s="158">
        <f t="shared" si="18"/>
        <v>0.22013820335636719</v>
      </c>
      <c r="AK45" s="158">
        <f t="shared" si="19"/>
        <v>0.42250740375123391</v>
      </c>
      <c r="AL45" s="158">
        <f t="shared" si="20"/>
        <v>0.57650542941757155</v>
      </c>
      <c r="AM45" s="158">
        <f t="shared" si="21"/>
        <v>0.68509378084896344</v>
      </c>
      <c r="AN45" s="158">
        <f t="shared" si="22"/>
        <v>0.82724580454096741</v>
      </c>
      <c r="AO45" s="158">
        <v>1</v>
      </c>
      <c r="AP45" s="143"/>
      <c r="AQ45" s="152">
        <f>'B2-RdTr'!$O154</f>
        <v>10.3</v>
      </c>
      <c r="AR45" s="152">
        <f>'B2-RdTr'!$O192</f>
        <v>11.2</v>
      </c>
      <c r="AS45" s="152">
        <f>'B2-RdTr'!$O230</f>
        <v>14</v>
      </c>
      <c r="AT45" s="152">
        <f>'B2-RdTr'!$O268</f>
        <v>19.2</v>
      </c>
      <c r="AU45" s="152">
        <f>'B2-RdTr'!$O344</f>
        <v>13.6</v>
      </c>
      <c r="AV45" s="152">
        <f>'B2-RdTr'!$O382</f>
        <v>9.1999999999999993</v>
      </c>
      <c r="AW45" s="152">
        <f>'B2-RdTr'!$O420</f>
        <v>11.4</v>
      </c>
      <c r="AX45" s="152">
        <f>'B2-RdTr'!$O458</f>
        <v>12.5</v>
      </c>
      <c r="AY45" s="462"/>
      <c r="AZ45" s="152">
        <f>'B2-RdTr'!$N154</f>
        <v>2.2000000000000002</v>
      </c>
      <c r="BA45" s="152">
        <f>'B2-RdTr'!$N192</f>
        <v>7.3</v>
      </c>
      <c r="BB45" s="152">
        <f>'B2-RdTr'!$N230</f>
        <v>12.8</v>
      </c>
      <c r="BC45" s="152">
        <f>'B2-RdTr'!$N268</f>
        <v>20.5</v>
      </c>
      <c r="BD45" s="152">
        <f>'B2-RdTr'!$N344</f>
        <v>15.6</v>
      </c>
      <c r="BE45" s="152">
        <f>'B2-RdTr'!$N382</f>
        <v>11</v>
      </c>
      <c r="BF45" s="152">
        <f>'B2-RdTr'!$N420</f>
        <v>14.4</v>
      </c>
      <c r="BG45" s="152">
        <f>'B2-RdTr'!$N458</f>
        <v>17.5</v>
      </c>
    </row>
    <row r="46" spans="1:59">
      <c r="A46" s="201" t="s">
        <v>154</v>
      </c>
      <c r="B46" s="451">
        <f>(B45-B8)/B8</f>
        <v>0.58625124394035066</v>
      </c>
    </row>
    <row r="47" spans="1:59">
      <c r="A47" s="201" t="s">
        <v>791</v>
      </c>
      <c r="B47" s="451">
        <f>(B45-B15)/B15</f>
        <v>0.65530525591264255</v>
      </c>
    </row>
    <row r="48" spans="1:59">
      <c r="B48" s="45"/>
    </row>
  </sheetData>
  <mergeCells count="9">
    <mergeCell ref="AH6:AO6"/>
    <mergeCell ref="AQ6:AX6"/>
    <mergeCell ref="AZ6:BG6"/>
    <mergeCell ref="Y6:AF6"/>
    <mergeCell ref="B6:B7"/>
    <mergeCell ref="D6:D7"/>
    <mergeCell ref="E6:E7"/>
    <mergeCell ref="G6:N6"/>
    <mergeCell ref="P6:W6"/>
  </mergeCells>
  <phoneticPr fontId="46" type="noConversion"/>
  <hyperlinks>
    <hyperlink ref="H1" location="Index!A1" display="index" xr:uid="{49BBAA1B-9D6C-4C39-A7BB-BB6D86D50F2F}"/>
  </hyperlinks>
  <pageMargins left="0.7" right="0.7" top="0.75" bottom="0.75" header="0.3" footer="0.3"/>
  <pageSetup orientation="portrait" horizontalDpi="1200"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B34E27-0D54-49B5-A1EA-EDF80289B98B}">
  <dimension ref="A1:P151"/>
  <sheetViews>
    <sheetView zoomScale="85" zoomScaleNormal="85" workbookViewId="0"/>
  </sheetViews>
  <sheetFormatPr defaultRowHeight="15"/>
  <cols>
    <col min="1" max="1" width="10.28515625" style="140" customWidth="1"/>
    <col min="2" max="2" width="9.140625" style="140"/>
    <col min="3" max="3" width="2.28515625" style="140" customWidth="1"/>
    <col min="4" max="4" width="11.140625" style="140" customWidth="1"/>
    <col min="5" max="5" width="8.42578125" style="462" customWidth="1"/>
    <col min="6" max="6" width="11.42578125" style="140" customWidth="1"/>
    <col min="7" max="7" width="11.85546875" style="140" customWidth="1"/>
    <col min="8" max="8" width="11.5703125" style="140" customWidth="1"/>
    <col min="9" max="9" width="12.42578125" style="140" customWidth="1"/>
    <col min="10" max="10" width="2.42578125" style="140" customWidth="1"/>
    <col min="11" max="12" width="9.140625" style="140"/>
    <col min="13" max="13" width="4.42578125" style="140" customWidth="1"/>
    <col min="14" max="16384" width="9.140625" style="140"/>
  </cols>
  <sheetData>
    <row r="1" spans="1:11">
      <c r="A1" s="9" t="s">
        <v>810</v>
      </c>
      <c r="K1" s="641" t="s">
        <v>762</v>
      </c>
    </row>
    <row r="27" spans="1:16">
      <c r="A27" s="9"/>
      <c r="E27" s="9"/>
    </row>
    <row r="28" spans="1:16">
      <c r="A28" s="112" t="s">
        <v>304</v>
      </c>
      <c r="E28" s="9"/>
      <c r="F28" s="14"/>
      <c r="G28" s="14"/>
      <c r="H28" s="14"/>
      <c r="I28" s="14"/>
      <c r="J28" s="14"/>
      <c r="K28" s="14"/>
      <c r="L28" s="14"/>
      <c r="M28" s="14"/>
      <c r="N28" s="14"/>
      <c r="O28" s="14"/>
      <c r="P28" s="14"/>
    </row>
    <row r="29" spans="1:16">
      <c r="A29" s="112" t="s">
        <v>671</v>
      </c>
      <c r="B29" s="9"/>
      <c r="F29" s="10"/>
      <c r="G29" s="10"/>
      <c r="H29" s="10"/>
      <c r="I29" s="10"/>
      <c r="J29" s="14"/>
      <c r="K29" s="14"/>
      <c r="L29" s="14"/>
      <c r="M29" s="14"/>
      <c r="N29" s="14"/>
      <c r="O29" s="14"/>
      <c r="P29" s="14"/>
    </row>
    <row r="30" spans="1:16">
      <c r="C30" s="191"/>
      <c r="D30" s="9"/>
      <c r="F30" s="569"/>
      <c r="G30" s="14"/>
      <c r="H30" s="14"/>
      <c r="I30" s="14"/>
      <c r="J30" s="14"/>
      <c r="K30" s="15"/>
      <c r="L30" s="15"/>
      <c r="M30" s="14"/>
      <c r="N30" s="111"/>
      <c r="O30" s="15"/>
      <c r="P30" s="14"/>
    </row>
    <row r="31" spans="1:16" ht="24.75" customHeight="1">
      <c r="A31" s="144"/>
      <c r="B31" s="742" t="s">
        <v>484</v>
      </c>
      <c r="C31" s="742"/>
      <c r="D31" s="742"/>
      <c r="E31" s="453"/>
      <c r="F31" s="743" t="s">
        <v>614</v>
      </c>
      <c r="G31" s="456"/>
      <c r="H31" s="456"/>
      <c r="I31" s="456"/>
      <c r="J31" s="15"/>
      <c r="K31" s="15"/>
      <c r="L31" s="15"/>
      <c r="M31" s="14"/>
      <c r="N31" s="15"/>
      <c r="O31" s="15"/>
      <c r="P31" s="14"/>
    </row>
    <row r="32" spans="1:16" ht="40.5" customHeight="1">
      <c r="A32" s="53"/>
      <c r="B32" s="407" t="s">
        <v>483</v>
      </c>
      <c r="C32" s="191"/>
      <c r="D32" s="407" t="s">
        <v>274</v>
      </c>
      <c r="E32" s="199"/>
      <c r="F32" s="744"/>
      <c r="G32" s="568">
        <v>165</v>
      </c>
      <c r="H32" s="456"/>
      <c r="I32" s="456"/>
      <c r="J32" s="457"/>
      <c r="K32" s="456"/>
      <c r="L32" s="456"/>
      <c r="M32" s="14"/>
      <c r="N32" s="456"/>
      <c r="O32" s="456"/>
      <c r="P32" s="14"/>
    </row>
    <row r="33" spans="1:16">
      <c r="A33" s="46">
        <v>1979</v>
      </c>
      <c r="B33" s="141">
        <f>'7-RS'!B8</f>
        <v>0.13194416749750737</v>
      </c>
      <c r="D33" s="46">
        <f>100</f>
        <v>100</v>
      </c>
      <c r="E33" s="46"/>
      <c r="F33" s="567">
        <v>0</v>
      </c>
      <c r="G33" s="570">
        <f>F33*G$32</f>
        <v>0</v>
      </c>
      <c r="H33" s="459"/>
      <c r="I33" s="459"/>
      <c r="J33" s="459"/>
      <c r="K33" s="458"/>
      <c r="L33" s="458"/>
      <c r="M33" s="14"/>
      <c r="N33" s="65"/>
      <c r="O33" s="65"/>
      <c r="P33" s="14"/>
    </row>
    <row r="34" spans="1:16">
      <c r="A34" s="46">
        <f>A33+1</f>
        <v>1980</v>
      </c>
      <c r="B34" s="141">
        <f>'7-RS'!B9</f>
        <v>0.13902390438246992</v>
      </c>
      <c r="D34" s="102">
        <f t="shared" ref="D34:D70" si="0">B34/B$33*D$33</f>
        <v>105.36570658577713</v>
      </c>
      <c r="E34" s="46"/>
      <c r="F34" s="567">
        <v>1</v>
      </c>
      <c r="G34" s="570">
        <f>F34*G$32</f>
        <v>165</v>
      </c>
      <c r="H34" s="459"/>
      <c r="I34" s="459"/>
      <c r="J34" s="459"/>
      <c r="K34" s="458"/>
      <c r="L34" s="458"/>
      <c r="M34" s="14"/>
      <c r="N34" s="452"/>
      <c r="O34" s="452"/>
      <c r="P34" s="14"/>
    </row>
    <row r="35" spans="1:16">
      <c r="A35" s="46">
        <f t="shared" ref="A35:A73" si="1">A34+1</f>
        <v>1981</v>
      </c>
      <c r="B35" s="141">
        <f>'7-RS'!B10</f>
        <v>0.13904477611940286</v>
      </c>
      <c r="D35" s="102">
        <f t="shared" si="0"/>
        <v>105.38152519855008</v>
      </c>
      <c r="E35" s="46"/>
      <c r="F35" s="567">
        <v>1</v>
      </c>
      <c r="G35" s="570">
        <f t="shared" ref="G35:G70" si="2">F35*G$32</f>
        <v>165</v>
      </c>
      <c r="H35" s="459"/>
      <c r="I35" s="459"/>
      <c r="J35" s="459"/>
      <c r="K35" s="458"/>
      <c r="L35" s="458"/>
      <c r="M35" s="14"/>
      <c r="N35" s="452"/>
      <c r="O35" s="452"/>
      <c r="P35" s="14"/>
    </row>
    <row r="36" spans="1:16">
      <c r="A36" s="46">
        <f t="shared" si="1"/>
        <v>1982</v>
      </c>
      <c r="B36" s="141">
        <f>'7-RS'!B11</f>
        <v>0.13808424527314778</v>
      </c>
      <c r="D36" s="102">
        <f t="shared" si="0"/>
        <v>104.65354239758753</v>
      </c>
      <c r="E36" s="46"/>
      <c r="F36" s="567">
        <v>1</v>
      </c>
      <c r="G36" s="570">
        <f t="shared" si="2"/>
        <v>165</v>
      </c>
      <c r="H36" s="459"/>
      <c r="I36" s="459"/>
      <c r="J36" s="459"/>
      <c r="K36" s="458"/>
      <c r="L36" s="458"/>
      <c r="M36" s="14"/>
      <c r="N36" s="452"/>
      <c r="O36" s="452"/>
      <c r="P36" s="14"/>
    </row>
    <row r="37" spans="1:16">
      <c r="A37" s="46">
        <f t="shared" si="1"/>
        <v>1983</v>
      </c>
      <c r="B37" s="141">
        <f>'7-RS'!B12</f>
        <v>0.13799240633029097</v>
      </c>
      <c r="D37" s="102">
        <f t="shared" si="0"/>
        <v>104.58393800006193</v>
      </c>
      <c r="E37" s="46"/>
      <c r="F37" s="567">
        <v>0</v>
      </c>
      <c r="G37" s="570">
        <f t="shared" si="2"/>
        <v>0</v>
      </c>
      <c r="H37" s="459"/>
      <c r="I37" s="459"/>
      <c r="J37" s="459"/>
      <c r="K37" s="458"/>
      <c r="L37" s="458"/>
      <c r="M37" s="14"/>
      <c r="N37" s="452"/>
      <c r="O37" s="452"/>
      <c r="P37" s="14"/>
    </row>
    <row r="38" spans="1:16">
      <c r="A38" s="46">
        <f t="shared" si="1"/>
        <v>1984</v>
      </c>
      <c r="B38" s="141">
        <f>'7-RS'!B13</f>
        <v>0.12431554515218862</v>
      </c>
      <c r="D38" s="102">
        <f t="shared" si="0"/>
        <v>94.21829513952342</v>
      </c>
      <c r="E38" s="46"/>
      <c r="F38" s="567">
        <v>0</v>
      </c>
      <c r="G38" s="570">
        <f t="shared" si="2"/>
        <v>0</v>
      </c>
      <c r="H38" s="459"/>
      <c r="I38" s="459"/>
      <c r="J38" s="459"/>
      <c r="K38" s="458"/>
      <c r="L38" s="458"/>
      <c r="M38" s="14"/>
      <c r="N38" s="452"/>
      <c r="O38" s="452"/>
      <c r="P38" s="14"/>
    </row>
    <row r="39" spans="1:16">
      <c r="A39" s="46">
        <f t="shared" si="1"/>
        <v>1985</v>
      </c>
      <c r="B39" s="141">
        <f>'7-RS'!B14</f>
        <v>0.12784321259122655</v>
      </c>
      <c r="D39" s="102">
        <f t="shared" si="0"/>
        <v>96.891901336708727</v>
      </c>
      <c r="E39" s="46"/>
      <c r="F39" s="567">
        <v>0</v>
      </c>
      <c r="G39" s="570">
        <f t="shared" si="2"/>
        <v>0</v>
      </c>
      <c r="H39" s="459"/>
      <c r="I39" s="459"/>
      <c r="J39" s="459"/>
      <c r="K39" s="458"/>
      <c r="L39" s="458"/>
      <c r="M39" s="14"/>
      <c r="N39" s="452"/>
      <c r="O39" s="452"/>
      <c r="P39" s="14"/>
    </row>
    <row r="40" spans="1:16">
      <c r="A40" s="46">
        <f t="shared" si="1"/>
        <v>1986</v>
      </c>
      <c r="B40" s="141">
        <f>'7-RS'!B15</f>
        <v>0.12643988114941412</v>
      </c>
      <c r="D40" s="102">
        <f t="shared" si="0"/>
        <v>95.828321590496046</v>
      </c>
      <c r="E40" s="46"/>
      <c r="F40" s="567">
        <v>0</v>
      </c>
      <c r="G40" s="570">
        <f t="shared" si="2"/>
        <v>0</v>
      </c>
      <c r="H40" s="459"/>
      <c r="I40" s="459"/>
      <c r="J40" s="459"/>
      <c r="K40" s="458"/>
      <c r="L40" s="458"/>
      <c r="M40" s="14"/>
      <c r="N40" s="452"/>
      <c r="O40" s="452"/>
      <c r="P40" s="14"/>
    </row>
    <row r="41" spans="1:16">
      <c r="A41" s="46">
        <f t="shared" si="1"/>
        <v>1987</v>
      </c>
      <c r="B41" s="141">
        <f>'7-RS'!B16</f>
        <v>0.13633219833380777</v>
      </c>
      <c r="D41" s="102">
        <f t="shared" si="0"/>
        <v>103.32567245640722</v>
      </c>
      <c r="E41" s="46"/>
      <c r="F41" s="567">
        <v>0</v>
      </c>
      <c r="G41" s="570">
        <f t="shared" si="2"/>
        <v>0</v>
      </c>
      <c r="H41" s="459"/>
      <c r="I41" s="459"/>
      <c r="J41" s="459"/>
      <c r="K41" s="458"/>
      <c r="L41" s="458"/>
      <c r="M41" s="14"/>
      <c r="N41" s="452"/>
      <c r="O41" s="452"/>
      <c r="P41" s="14"/>
    </row>
    <row r="42" spans="1:16">
      <c r="A42" s="46">
        <f t="shared" si="1"/>
        <v>1988</v>
      </c>
      <c r="B42" s="141">
        <f>'7-RS'!B17</f>
        <v>0.13465346534653455</v>
      </c>
      <c r="D42" s="102">
        <f t="shared" si="0"/>
        <v>102.05336689026316</v>
      </c>
      <c r="E42" s="46"/>
      <c r="F42" s="567">
        <v>0</v>
      </c>
      <c r="G42" s="570">
        <f t="shared" si="2"/>
        <v>0</v>
      </c>
      <c r="H42" s="459"/>
      <c r="I42" s="459"/>
      <c r="J42" s="459"/>
      <c r="K42" s="458"/>
      <c r="L42" s="458"/>
      <c r="M42" s="14"/>
      <c r="N42" s="452"/>
      <c r="O42" s="452"/>
      <c r="P42" s="14"/>
    </row>
    <row r="43" spans="1:16">
      <c r="A43" s="46">
        <f t="shared" si="1"/>
        <v>1989</v>
      </c>
      <c r="B43" s="141">
        <f>'7-RS'!B18</f>
        <v>0.13313086979092931</v>
      </c>
      <c r="D43" s="102">
        <f t="shared" si="0"/>
        <v>100.89939731018755</v>
      </c>
      <c r="E43" s="46"/>
      <c r="F43" s="567">
        <v>0</v>
      </c>
      <c r="G43" s="570">
        <f t="shared" si="2"/>
        <v>0</v>
      </c>
      <c r="H43" s="459"/>
      <c r="I43" s="459"/>
      <c r="J43" s="459"/>
      <c r="K43" s="458"/>
      <c r="L43" s="458"/>
      <c r="M43" s="14"/>
      <c r="N43" s="452"/>
      <c r="O43" s="452"/>
      <c r="P43" s="14"/>
    </row>
    <row r="44" spans="1:16">
      <c r="A44" s="46">
        <f t="shared" si="1"/>
        <v>1990</v>
      </c>
      <c r="B44" s="141">
        <f>'7-RS'!B19</f>
        <v>0.13795904123031194</v>
      </c>
      <c r="D44" s="102">
        <f t="shared" si="0"/>
        <v>104.55865071331645</v>
      </c>
      <c r="E44" s="46"/>
      <c r="F44" s="567">
        <v>1</v>
      </c>
      <c r="G44" s="570">
        <f t="shared" si="2"/>
        <v>165</v>
      </c>
      <c r="H44" s="459"/>
      <c r="I44" s="459"/>
      <c r="J44" s="459"/>
      <c r="K44" s="458"/>
      <c r="L44" s="458"/>
      <c r="M44" s="14"/>
      <c r="N44" s="452"/>
      <c r="O44" s="452"/>
      <c r="P44" s="14"/>
    </row>
    <row r="45" spans="1:16">
      <c r="A45" s="46">
        <f t="shared" si="1"/>
        <v>1991</v>
      </c>
      <c r="B45" s="141">
        <f>'7-RS'!B20</f>
        <v>0.15126073664004258</v>
      </c>
      <c r="D45" s="102">
        <f t="shared" si="0"/>
        <v>114.63995681574946</v>
      </c>
      <c r="E45" s="46"/>
      <c r="F45" s="567">
        <v>1</v>
      </c>
      <c r="G45" s="570">
        <f t="shared" si="2"/>
        <v>165</v>
      </c>
      <c r="H45" s="459"/>
      <c r="I45" s="459"/>
      <c r="J45" s="459"/>
      <c r="K45" s="458"/>
      <c r="L45" s="458"/>
      <c r="M45" s="14"/>
      <c r="N45" s="452"/>
      <c r="O45" s="452"/>
      <c r="P45" s="14"/>
    </row>
    <row r="46" spans="1:16">
      <c r="A46" s="46">
        <f t="shared" si="1"/>
        <v>1992</v>
      </c>
      <c r="B46" s="141">
        <f>'7-RS'!B21</f>
        <v>0.15630821361067876</v>
      </c>
      <c r="D46" s="102">
        <f t="shared" si="0"/>
        <v>118.46542107564677</v>
      </c>
      <c r="E46" s="46"/>
      <c r="F46" s="567">
        <v>0</v>
      </c>
      <c r="G46" s="570">
        <f t="shared" si="2"/>
        <v>0</v>
      </c>
      <c r="H46" s="459"/>
      <c r="I46" s="459"/>
      <c r="J46" s="459"/>
      <c r="K46" s="458"/>
      <c r="L46" s="458"/>
      <c r="M46" s="14"/>
      <c r="N46" s="452"/>
      <c r="O46" s="452"/>
      <c r="P46" s="14"/>
    </row>
    <row r="47" spans="1:16">
      <c r="A47" s="46">
        <f t="shared" si="1"/>
        <v>1993</v>
      </c>
      <c r="B47" s="141">
        <f>'7-RS'!B22</f>
        <v>0.1674832056050008</v>
      </c>
      <c r="D47" s="102">
        <f t="shared" si="0"/>
        <v>126.93490646956019</v>
      </c>
      <c r="E47" s="46"/>
      <c r="F47" s="567">
        <v>0</v>
      </c>
      <c r="G47" s="570">
        <f t="shared" si="2"/>
        <v>0</v>
      </c>
      <c r="H47" s="459"/>
      <c r="I47" s="459"/>
      <c r="J47" s="459"/>
      <c r="K47" s="458"/>
      <c r="L47" s="458"/>
      <c r="M47" s="14"/>
      <c r="N47" s="452"/>
      <c r="O47" s="452"/>
      <c r="P47" s="14"/>
    </row>
    <row r="48" spans="1:16">
      <c r="A48" s="46">
        <f t="shared" si="1"/>
        <v>1994</v>
      </c>
      <c r="B48" s="141">
        <f>'7-RS'!B23</f>
        <v>0.16827577400597221</v>
      </c>
      <c r="D48" s="102">
        <f t="shared" si="0"/>
        <v>127.53559115006065</v>
      </c>
      <c r="E48" s="46"/>
      <c r="F48" s="567">
        <v>0</v>
      </c>
      <c r="G48" s="570">
        <f t="shared" si="2"/>
        <v>0</v>
      </c>
      <c r="H48" s="459"/>
      <c r="I48" s="459"/>
      <c r="J48" s="459"/>
      <c r="K48" s="458"/>
      <c r="L48" s="458"/>
      <c r="M48" s="14"/>
      <c r="N48" s="452"/>
      <c r="O48" s="452"/>
      <c r="P48" s="14"/>
    </row>
    <row r="49" spans="1:16">
      <c r="A49" s="46">
        <f t="shared" si="1"/>
        <v>1995</v>
      </c>
      <c r="B49" s="141">
        <f>'7-RS'!B24</f>
        <v>0.1703958237250881</v>
      </c>
      <c r="D49" s="102">
        <f t="shared" si="0"/>
        <v>129.14236904659475</v>
      </c>
      <c r="E49" s="46"/>
      <c r="F49" s="567">
        <v>0</v>
      </c>
      <c r="G49" s="570">
        <f t="shared" si="2"/>
        <v>0</v>
      </c>
      <c r="H49" s="459"/>
      <c r="I49" s="459"/>
      <c r="J49" s="459"/>
      <c r="K49" s="458"/>
      <c r="L49" s="458"/>
      <c r="M49" s="14"/>
      <c r="N49" s="452"/>
      <c r="O49" s="452"/>
      <c r="P49" s="14"/>
    </row>
    <row r="50" spans="1:16">
      <c r="A50" s="46">
        <f t="shared" si="1"/>
        <v>1996</v>
      </c>
      <c r="B50" s="141">
        <f>'7-RS'!B25</f>
        <v>0.16849206349206353</v>
      </c>
      <c r="D50" s="102">
        <f t="shared" si="0"/>
        <v>127.69951615727659</v>
      </c>
      <c r="E50" s="46"/>
      <c r="F50" s="567">
        <v>0</v>
      </c>
      <c r="G50" s="570">
        <f t="shared" si="2"/>
        <v>0</v>
      </c>
      <c r="H50" s="459"/>
      <c r="I50" s="459"/>
      <c r="J50" s="459"/>
      <c r="K50" s="458"/>
      <c r="L50" s="458"/>
      <c r="M50" s="14"/>
      <c r="N50" s="452"/>
      <c r="O50" s="452"/>
      <c r="P50" s="14"/>
    </row>
    <row r="51" spans="1:16">
      <c r="A51" s="46">
        <f t="shared" si="1"/>
        <v>1997</v>
      </c>
      <c r="B51" s="141">
        <f>'7-RS'!B26</f>
        <v>0.16154202329723694</v>
      </c>
      <c r="D51" s="102">
        <f t="shared" si="0"/>
        <v>122.4321062166607</v>
      </c>
      <c r="E51" s="46"/>
      <c r="F51" s="567">
        <v>0</v>
      </c>
      <c r="G51" s="570">
        <f t="shared" si="2"/>
        <v>0</v>
      </c>
      <c r="H51" s="459"/>
      <c r="I51" s="459"/>
      <c r="J51" s="459"/>
      <c r="K51" s="458"/>
      <c r="L51" s="458"/>
      <c r="M51" s="14"/>
      <c r="N51" s="452"/>
      <c r="O51" s="452"/>
      <c r="P51" s="14"/>
    </row>
    <row r="52" spans="1:16">
      <c r="A52" s="46">
        <f t="shared" si="1"/>
        <v>1998</v>
      </c>
      <c r="B52" s="141">
        <f>'7-RS'!B27</f>
        <v>0.15527317758464088</v>
      </c>
      <c r="D52" s="102">
        <f t="shared" si="0"/>
        <v>117.68097107253659</v>
      </c>
      <c r="E52" s="46"/>
      <c r="F52" s="567">
        <v>0</v>
      </c>
      <c r="G52" s="570">
        <f t="shared" si="2"/>
        <v>0</v>
      </c>
      <c r="H52" s="459"/>
      <c r="I52" s="459"/>
      <c r="J52" s="459"/>
      <c r="K52" s="458"/>
      <c r="L52" s="458"/>
      <c r="M52" s="14"/>
      <c r="N52" s="452"/>
      <c r="O52" s="452"/>
      <c r="P52" s="14"/>
    </row>
    <row r="53" spans="1:16">
      <c r="A53" s="46">
        <f t="shared" si="1"/>
        <v>1999</v>
      </c>
      <c r="B53" s="141">
        <f>'7-RS'!B28</f>
        <v>0.15098311817279036</v>
      </c>
      <c r="D53" s="102">
        <f t="shared" si="0"/>
        <v>114.4295507989337</v>
      </c>
      <c r="E53" s="46"/>
      <c r="F53" s="567">
        <v>0</v>
      </c>
      <c r="G53" s="570">
        <f t="shared" si="2"/>
        <v>0</v>
      </c>
      <c r="H53" s="459"/>
      <c r="I53" s="459"/>
      <c r="J53" s="459"/>
      <c r="K53" s="458"/>
      <c r="L53" s="458"/>
      <c r="M53" s="14"/>
      <c r="N53" s="452"/>
      <c r="O53" s="452"/>
      <c r="P53" s="14"/>
    </row>
    <row r="54" spans="1:16">
      <c r="A54" s="46">
        <f t="shared" si="1"/>
        <v>2000</v>
      </c>
      <c r="B54" s="141">
        <f>'7-RS'!B29</f>
        <v>0.1511929725750592</v>
      </c>
      <c r="D54" s="102">
        <f t="shared" si="0"/>
        <v>114.58859867975252</v>
      </c>
      <c r="E54" s="46"/>
      <c r="F54" s="567">
        <v>0</v>
      </c>
      <c r="G54" s="570">
        <f t="shared" si="2"/>
        <v>0</v>
      </c>
      <c r="H54" s="459"/>
      <c r="I54" s="459"/>
      <c r="J54" s="459"/>
      <c r="K54" s="458"/>
      <c r="L54" s="458"/>
      <c r="M54" s="14"/>
      <c r="N54" s="452"/>
      <c r="O54" s="452"/>
      <c r="P54" s="14"/>
    </row>
    <row r="55" spans="1:16">
      <c r="A55" s="46">
        <f t="shared" si="1"/>
        <v>2001</v>
      </c>
      <c r="B55" s="141">
        <f>'7-RS'!B30</f>
        <v>0.16009323623524213</v>
      </c>
      <c r="D55" s="102">
        <f t="shared" si="0"/>
        <v>121.33407582284114</v>
      </c>
      <c r="E55" s="46"/>
      <c r="F55" s="567">
        <v>1</v>
      </c>
      <c r="G55" s="570">
        <f t="shared" si="2"/>
        <v>165</v>
      </c>
      <c r="H55" s="459"/>
      <c r="I55" s="459"/>
      <c r="J55" s="459"/>
      <c r="K55" s="458"/>
      <c r="L55" s="458"/>
      <c r="M55" s="14"/>
      <c r="N55" s="452"/>
      <c r="O55" s="452"/>
      <c r="P55" s="14"/>
    </row>
    <row r="56" spans="1:16">
      <c r="A56" s="46">
        <f t="shared" si="1"/>
        <v>2002</v>
      </c>
      <c r="B56" s="141">
        <f>'7-RS'!B31</f>
        <v>0.17252725470763125</v>
      </c>
      <c r="D56" s="102">
        <f t="shared" si="0"/>
        <v>130.75777276088431</v>
      </c>
      <c r="E56" s="46"/>
      <c r="F56" s="567">
        <v>0</v>
      </c>
      <c r="G56" s="570">
        <f t="shared" si="2"/>
        <v>0</v>
      </c>
      <c r="H56" s="459"/>
      <c r="I56" s="459"/>
      <c r="J56" s="459"/>
      <c r="K56" s="458"/>
      <c r="L56" s="458"/>
      <c r="M56" s="14"/>
      <c r="N56" s="452"/>
      <c r="O56" s="452"/>
      <c r="P56" s="14"/>
    </row>
    <row r="57" spans="1:16">
      <c r="A57" s="46">
        <f t="shared" si="1"/>
        <v>2003</v>
      </c>
      <c r="B57" s="141">
        <f>'7-RS'!B32</f>
        <v>0.17111992071357784</v>
      </c>
      <c r="D57" s="102">
        <f t="shared" si="0"/>
        <v>129.69115949502699</v>
      </c>
      <c r="E57" s="46"/>
      <c r="F57" s="567">
        <v>0</v>
      </c>
      <c r="G57" s="570">
        <f t="shared" si="2"/>
        <v>0</v>
      </c>
      <c r="H57" s="459"/>
      <c r="I57" s="459"/>
      <c r="J57" s="459"/>
      <c r="K57" s="458"/>
      <c r="L57" s="458"/>
      <c r="M57" s="14"/>
      <c r="N57" s="452"/>
      <c r="O57" s="452"/>
      <c r="P57" s="14"/>
    </row>
    <row r="58" spans="1:16">
      <c r="A58" s="46">
        <f t="shared" si="1"/>
        <v>2004</v>
      </c>
      <c r="B58" s="141">
        <f>'7-RS'!B33</f>
        <v>0.17077563830289316</v>
      </c>
      <c r="D58" s="102">
        <f t="shared" si="0"/>
        <v>129.43022912029772</v>
      </c>
      <c r="E58" s="46"/>
      <c r="F58" s="567">
        <v>0</v>
      </c>
      <c r="G58" s="570">
        <f t="shared" si="2"/>
        <v>0</v>
      </c>
      <c r="H58" s="459"/>
      <c r="I58" s="459"/>
      <c r="J58" s="459"/>
      <c r="K58" s="458"/>
      <c r="L58" s="458"/>
      <c r="M58" s="14"/>
      <c r="N58" s="452"/>
      <c r="O58" s="452"/>
      <c r="P58" s="14"/>
    </row>
    <row r="59" spans="1:16">
      <c r="A59" s="46">
        <f t="shared" si="1"/>
        <v>2005</v>
      </c>
      <c r="B59" s="141">
        <f>'7-RS'!B34</f>
        <v>0.16728493164692382</v>
      </c>
      <c r="D59" s="102">
        <f t="shared" si="0"/>
        <v>126.78463536486679</v>
      </c>
      <c r="E59" s="46"/>
      <c r="F59" s="567">
        <v>0</v>
      </c>
      <c r="G59" s="570">
        <f t="shared" si="2"/>
        <v>0</v>
      </c>
      <c r="H59" s="459"/>
      <c r="I59" s="459"/>
      <c r="J59" s="459"/>
      <c r="K59" s="458"/>
      <c r="L59" s="458"/>
      <c r="M59" s="14"/>
      <c r="N59" s="452"/>
      <c r="O59" s="452"/>
      <c r="P59" s="14"/>
    </row>
    <row r="60" spans="1:16">
      <c r="A60" s="46">
        <f t="shared" si="1"/>
        <v>2006</v>
      </c>
      <c r="B60" s="141">
        <f>'7-RS'!B35</f>
        <v>0.16477697308214201</v>
      </c>
      <c r="D60" s="102">
        <f t="shared" si="0"/>
        <v>124.88386277874307</v>
      </c>
      <c r="E60" s="46"/>
      <c r="F60" s="567">
        <v>0</v>
      </c>
      <c r="G60" s="570">
        <f t="shared" si="2"/>
        <v>0</v>
      </c>
      <c r="H60" s="459"/>
      <c r="I60" s="459"/>
      <c r="J60" s="459"/>
      <c r="K60" s="458"/>
      <c r="L60" s="458"/>
      <c r="M60" s="14"/>
      <c r="N60" s="452"/>
      <c r="O60" s="452"/>
      <c r="P60" s="14"/>
    </row>
    <row r="61" spans="1:16">
      <c r="A61" s="46">
        <f t="shared" si="1"/>
        <v>2007</v>
      </c>
      <c r="B61" s="141">
        <f>'7-RS'!B36</f>
        <v>0.15885034687809707</v>
      </c>
      <c r="D61" s="102">
        <f t="shared" si="0"/>
        <v>120.39209454339692</v>
      </c>
      <c r="E61" s="46"/>
      <c r="F61" s="567">
        <v>0</v>
      </c>
      <c r="G61" s="570">
        <f t="shared" si="2"/>
        <v>0</v>
      </c>
      <c r="H61" s="459"/>
      <c r="I61" s="459"/>
      <c r="J61" s="459"/>
      <c r="K61" s="458"/>
      <c r="L61" s="458"/>
      <c r="M61" s="14"/>
      <c r="N61" s="452"/>
      <c r="O61" s="452"/>
      <c r="P61" s="14"/>
    </row>
    <row r="62" spans="1:16">
      <c r="A62" s="46">
        <f t="shared" si="1"/>
        <v>2008</v>
      </c>
      <c r="B62" s="141">
        <f>'7-RS'!B37</f>
        <v>0.17757396449704133</v>
      </c>
      <c r="D62" s="102">
        <f t="shared" si="0"/>
        <v>134.5826555769477</v>
      </c>
      <c r="E62" s="46"/>
      <c r="F62" s="567">
        <v>1</v>
      </c>
      <c r="G62" s="570">
        <f t="shared" si="2"/>
        <v>165</v>
      </c>
      <c r="H62" s="459"/>
      <c r="I62" s="459"/>
      <c r="J62" s="459"/>
      <c r="K62" s="458"/>
      <c r="L62" s="458"/>
      <c r="M62" s="14"/>
      <c r="N62" s="452"/>
      <c r="O62" s="452"/>
      <c r="P62" s="14"/>
    </row>
    <row r="63" spans="1:16">
      <c r="A63" s="46">
        <f t="shared" si="1"/>
        <v>2009</v>
      </c>
      <c r="B63" s="141">
        <f>'7-RS'!B38</f>
        <v>0.19753445848738443</v>
      </c>
      <c r="D63" s="102">
        <f t="shared" si="0"/>
        <v>149.7106406701275</v>
      </c>
      <c r="E63" s="46"/>
      <c r="F63" s="567">
        <v>1</v>
      </c>
      <c r="G63" s="570">
        <f t="shared" si="2"/>
        <v>165</v>
      </c>
      <c r="H63" s="459"/>
      <c r="I63" s="459"/>
      <c r="J63" s="459"/>
      <c r="K63" s="458"/>
      <c r="L63" s="458"/>
      <c r="M63" s="14"/>
      <c r="N63" s="452"/>
      <c r="O63" s="452"/>
      <c r="P63" s="14"/>
    </row>
    <row r="64" spans="1:16">
      <c r="A64" s="46">
        <f t="shared" si="1"/>
        <v>2010</v>
      </c>
      <c r="B64" s="141">
        <f>'7-RS'!B39</f>
        <v>0.20283431661750251</v>
      </c>
      <c r="D64" s="102">
        <f t="shared" si="0"/>
        <v>153.7273836839619</v>
      </c>
      <c r="E64" s="46"/>
      <c r="F64" s="567">
        <v>0</v>
      </c>
      <c r="G64" s="570">
        <f t="shared" si="2"/>
        <v>0</v>
      </c>
      <c r="H64" s="459"/>
      <c r="I64" s="459"/>
      <c r="J64" s="459"/>
      <c r="K64" s="458"/>
      <c r="L64" s="458"/>
      <c r="M64" s="14"/>
      <c r="N64" s="452"/>
      <c r="O64" s="452"/>
      <c r="P64" s="14"/>
    </row>
    <row r="65" spans="1:16">
      <c r="A65" s="46">
        <f t="shared" si="1"/>
        <v>2011</v>
      </c>
      <c r="B65" s="141">
        <f>'7-RS'!B40</f>
        <v>0.19724104895988187</v>
      </c>
      <c r="D65" s="102">
        <f t="shared" si="0"/>
        <v>149.48826666673847</v>
      </c>
      <c r="E65" s="46"/>
      <c r="F65" s="567">
        <v>0</v>
      </c>
      <c r="G65" s="570">
        <f t="shared" si="2"/>
        <v>0</v>
      </c>
      <c r="H65" s="459"/>
      <c r="I65" s="459"/>
      <c r="J65" s="459"/>
      <c r="K65" s="458"/>
      <c r="L65" s="458"/>
      <c r="M65" s="14"/>
      <c r="N65" s="452"/>
      <c r="O65" s="452"/>
      <c r="P65" s="14"/>
    </row>
    <row r="66" spans="1:16">
      <c r="A66" s="46">
        <f t="shared" si="1"/>
        <v>2012</v>
      </c>
      <c r="B66" s="141">
        <f>'7-RS'!B41</f>
        <v>0.19548323471400397</v>
      </c>
      <c r="D66" s="102">
        <f t="shared" si="0"/>
        <v>148.15602570511271</v>
      </c>
      <c r="E66" s="46"/>
      <c r="F66" s="567">
        <v>0</v>
      </c>
      <c r="G66" s="570">
        <f t="shared" si="2"/>
        <v>0</v>
      </c>
      <c r="H66" s="459"/>
      <c r="I66" s="459"/>
      <c r="J66" s="459"/>
      <c r="K66" s="458"/>
      <c r="L66" s="458"/>
      <c r="M66" s="14"/>
      <c r="N66" s="452"/>
      <c r="O66" s="452"/>
      <c r="P66" s="14"/>
    </row>
    <row r="67" spans="1:16">
      <c r="A67" s="46">
        <f t="shared" si="1"/>
        <v>2013</v>
      </c>
      <c r="B67" s="141">
        <f>'7-RS'!B42</f>
        <v>0.20019485279857252</v>
      </c>
      <c r="D67" s="102">
        <f t="shared" si="0"/>
        <v>151.72694374865375</v>
      </c>
      <c r="E67" s="46"/>
      <c r="F67" s="567">
        <v>0</v>
      </c>
      <c r="G67" s="570">
        <f t="shared" si="2"/>
        <v>0</v>
      </c>
      <c r="H67" s="459"/>
      <c r="I67" s="459"/>
      <c r="J67" s="459"/>
      <c r="K67" s="458"/>
      <c r="L67" s="458"/>
      <c r="M67" s="14"/>
      <c r="N67" s="452"/>
      <c r="O67" s="452"/>
      <c r="P67" s="14"/>
    </row>
    <row r="68" spans="1:16">
      <c r="A68" s="46">
        <f t="shared" si="1"/>
        <v>2014</v>
      </c>
      <c r="B68" s="141">
        <f>'7-RS'!B43</f>
        <v>0.2047043605541749</v>
      </c>
      <c r="D68" s="102">
        <f t="shared" si="0"/>
        <v>155.14468311609309</v>
      </c>
      <c r="E68" s="46"/>
      <c r="F68" s="567">
        <v>0</v>
      </c>
      <c r="G68" s="570">
        <f t="shared" si="2"/>
        <v>0</v>
      </c>
      <c r="H68" s="459"/>
      <c r="I68" s="459"/>
      <c r="J68" s="459"/>
      <c r="K68" s="458"/>
      <c r="L68" s="458"/>
      <c r="M68" s="14"/>
      <c r="N68" s="452"/>
      <c r="O68" s="452"/>
      <c r="P68" s="14"/>
    </row>
    <row r="69" spans="1:16">
      <c r="A69" s="46">
        <f t="shared" si="1"/>
        <v>2015</v>
      </c>
      <c r="B69" s="141">
        <f>'7-RS'!B44</f>
        <v>0.20580655065535686</v>
      </c>
      <c r="D69" s="102">
        <f t="shared" si="0"/>
        <v>155.98002894614106</v>
      </c>
      <c r="E69" s="46"/>
      <c r="F69" s="567">
        <v>0</v>
      </c>
      <c r="G69" s="570">
        <f t="shared" si="2"/>
        <v>0</v>
      </c>
      <c r="H69" s="459"/>
      <c r="I69" s="459"/>
      <c r="J69" s="459"/>
      <c r="K69" s="458"/>
      <c r="L69" s="458"/>
      <c r="M69" s="14"/>
      <c r="N69" s="452"/>
      <c r="O69" s="452"/>
      <c r="P69" s="14"/>
    </row>
    <row r="70" spans="1:16">
      <c r="A70" s="46">
        <f t="shared" si="1"/>
        <v>2016</v>
      </c>
      <c r="B70" s="141">
        <f>'7-RS'!B45</f>
        <v>0.20929659982359505</v>
      </c>
      <c r="D70" s="102">
        <f t="shared" si="0"/>
        <v>158.62512439403505</v>
      </c>
      <c r="E70" s="46"/>
      <c r="F70" s="567">
        <v>0</v>
      </c>
      <c r="G70" s="570">
        <f t="shared" si="2"/>
        <v>0</v>
      </c>
      <c r="H70" s="459"/>
      <c r="I70" s="459"/>
      <c r="J70" s="459"/>
      <c r="K70" s="458"/>
      <c r="L70" s="458"/>
      <c r="M70" s="14"/>
      <c r="N70" s="452"/>
      <c r="O70" s="452"/>
      <c r="P70" s="14"/>
    </row>
    <row r="71" spans="1:16">
      <c r="A71" s="46">
        <f t="shared" si="1"/>
        <v>2017</v>
      </c>
      <c r="B71" s="166"/>
      <c r="E71" s="46"/>
      <c r="F71" s="14"/>
      <c r="G71" s="14"/>
      <c r="H71" s="14"/>
      <c r="I71" s="14"/>
      <c r="J71" s="14"/>
      <c r="K71" s="14"/>
      <c r="L71" s="14"/>
      <c r="M71" s="14"/>
      <c r="N71" s="14"/>
      <c r="O71" s="14"/>
      <c r="P71" s="14"/>
    </row>
    <row r="72" spans="1:16">
      <c r="A72" s="46">
        <f t="shared" si="1"/>
        <v>2018</v>
      </c>
      <c r="B72" s="166"/>
      <c r="E72" s="46"/>
      <c r="F72" s="14"/>
      <c r="G72" s="14"/>
      <c r="H72" s="14"/>
      <c r="I72" s="14"/>
      <c r="J72" s="14"/>
      <c r="K72" s="14"/>
      <c r="L72" s="14"/>
      <c r="M72" s="14"/>
      <c r="N72" s="14"/>
      <c r="O72" s="14"/>
      <c r="P72" s="14"/>
    </row>
    <row r="73" spans="1:16">
      <c r="A73" s="46">
        <f t="shared" si="1"/>
        <v>2019</v>
      </c>
      <c r="B73" s="166"/>
      <c r="E73" s="46"/>
      <c r="F73" s="14"/>
      <c r="G73" s="14"/>
      <c r="H73" s="14"/>
      <c r="I73" s="14"/>
      <c r="J73" s="14"/>
      <c r="K73" s="14"/>
      <c r="L73" s="14"/>
      <c r="M73" s="14"/>
      <c r="N73" s="14"/>
      <c r="O73" s="14"/>
      <c r="P73" s="14"/>
    </row>
    <row r="74" spans="1:16">
      <c r="A74" s="46"/>
      <c r="E74" s="46"/>
      <c r="F74" s="14"/>
      <c r="G74" s="14"/>
      <c r="H74" s="14"/>
      <c r="I74" s="14"/>
      <c r="J74" s="14"/>
      <c r="K74" s="14"/>
      <c r="L74" s="14"/>
      <c r="M74" s="14"/>
      <c r="N74" s="14"/>
      <c r="O74" s="14"/>
      <c r="P74" s="14"/>
    </row>
    <row r="75" spans="1:16">
      <c r="A75" s="160" t="s">
        <v>154</v>
      </c>
      <c r="B75" s="16">
        <f>(B$70-B33)/B33</f>
        <v>0.58625124394035066</v>
      </c>
      <c r="E75" s="160"/>
      <c r="F75" s="14"/>
      <c r="G75" s="14"/>
      <c r="H75" s="14"/>
      <c r="I75" s="14"/>
      <c r="J75" s="14"/>
      <c r="K75" s="17"/>
      <c r="L75" s="17"/>
      <c r="M75" s="14"/>
      <c r="N75" s="14"/>
      <c r="O75" s="14"/>
      <c r="P75" s="14"/>
    </row>
    <row r="76" spans="1:16">
      <c r="A76" s="160" t="s">
        <v>791</v>
      </c>
      <c r="B76" s="16">
        <f>(B$70-B40)/B40</f>
        <v>0.65530525591264255</v>
      </c>
      <c r="E76" s="160"/>
      <c r="F76" s="14"/>
      <c r="G76" s="14"/>
      <c r="H76" s="14"/>
      <c r="I76" s="14"/>
      <c r="J76" s="14"/>
      <c r="K76" s="17"/>
      <c r="L76" s="17"/>
      <c r="M76" s="14"/>
      <c r="N76" s="14"/>
      <c r="O76" s="14"/>
      <c r="P76" s="14"/>
    </row>
    <row r="77" spans="1:16">
      <c r="A77" s="46"/>
      <c r="E77" s="46"/>
      <c r="F77" s="14"/>
      <c r="G77" s="14"/>
      <c r="H77" s="14"/>
      <c r="I77" s="14"/>
      <c r="J77" s="14"/>
      <c r="K77" s="14"/>
      <c r="L77" s="14"/>
      <c r="M77" s="14"/>
      <c r="N77" s="14"/>
      <c r="O77" s="14"/>
      <c r="P77" s="14"/>
    </row>
    <row r="78" spans="1:16">
      <c r="A78" s="46"/>
      <c r="E78" s="46"/>
    </row>
    <row r="79" spans="1:16">
      <c r="A79" s="46"/>
      <c r="E79" s="46"/>
    </row>
    <row r="80" spans="1:16">
      <c r="A80" s="46"/>
      <c r="E80" s="46"/>
    </row>
    <row r="81" spans="1:5">
      <c r="A81" s="46"/>
      <c r="E81" s="46"/>
    </row>
    <row r="82" spans="1:5">
      <c r="A82" s="46"/>
      <c r="E82" s="46"/>
    </row>
    <row r="83" spans="1:5">
      <c r="A83" s="46"/>
      <c r="E83" s="46"/>
    </row>
    <row r="84" spans="1:5">
      <c r="A84" s="46"/>
      <c r="E84" s="46"/>
    </row>
    <row r="85" spans="1:5">
      <c r="A85" s="46"/>
      <c r="E85" s="46"/>
    </row>
    <row r="86" spans="1:5">
      <c r="A86" s="46"/>
      <c r="E86" s="46"/>
    </row>
    <row r="87" spans="1:5">
      <c r="A87" s="46"/>
      <c r="E87" s="46"/>
    </row>
    <row r="88" spans="1:5">
      <c r="A88" s="46"/>
      <c r="E88" s="46"/>
    </row>
    <row r="89" spans="1:5">
      <c r="A89" s="46"/>
      <c r="E89" s="46"/>
    </row>
    <row r="90" spans="1:5">
      <c r="A90" s="46"/>
      <c r="E90" s="46"/>
    </row>
    <row r="91" spans="1:5">
      <c r="A91" s="46"/>
      <c r="E91" s="46"/>
    </row>
    <row r="92" spans="1:5">
      <c r="A92" s="46"/>
      <c r="E92" s="46"/>
    </row>
    <row r="93" spans="1:5">
      <c r="A93" s="46"/>
      <c r="E93" s="46"/>
    </row>
    <row r="94" spans="1:5">
      <c r="A94" s="46"/>
      <c r="E94" s="46"/>
    </row>
    <row r="95" spans="1:5">
      <c r="A95" s="46"/>
      <c r="E95" s="46"/>
    </row>
    <row r="96" spans="1:5">
      <c r="A96" s="46"/>
      <c r="E96" s="46"/>
    </row>
    <row r="97" spans="1:5">
      <c r="A97" s="46"/>
      <c r="E97" s="46"/>
    </row>
    <row r="98" spans="1:5">
      <c r="A98" s="46"/>
      <c r="E98" s="46"/>
    </row>
    <row r="99" spans="1:5">
      <c r="A99" s="46"/>
      <c r="E99" s="46"/>
    </row>
    <row r="100" spans="1:5">
      <c r="A100" s="46"/>
      <c r="E100" s="46"/>
    </row>
    <row r="101" spans="1:5">
      <c r="A101" s="46"/>
      <c r="E101" s="46"/>
    </row>
    <row r="102" spans="1:5">
      <c r="A102" s="46"/>
      <c r="E102" s="46"/>
    </row>
    <row r="103" spans="1:5">
      <c r="A103" s="46"/>
      <c r="E103" s="46"/>
    </row>
    <row r="104" spans="1:5">
      <c r="A104" s="46"/>
      <c r="E104" s="46"/>
    </row>
    <row r="105" spans="1:5">
      <c r="A105" s="46"/>
      <c r="E105" s="46"/>
    </row>
    <row r="106" spans="1:5">
      <c r="A106" s="46"/>
      <c r="E106" s="46"/>
    </row>
    <row r="107" spans="1:5">
      <c r="A107" s="46"/>
      <c r="E107" s="46"/>
    </row>
    <row r="108" spans="1:5">
      <c r="A108" s="46"/>
      <c r="E108" s="46"/>
    </row>
    <row r="109" spans="1:5">
      <c r="A109" s="46"/>
      <c r="E109" s="46"/>
    </row>
    <row r="110" spans="1:5">
      <c r="A110" s="46"/>
      <c r="E110" s="46"/>
    </row>
    <row r="111" spans="1:5">
      <c r="A111" s="46"/>
      <c r="E111" s="46"/>
    </row>
    <row r="112" spans="1:5">
      <c r="A112" s="46"/>
      <c r="E112" s="46"/>
    </row>
    <row r="113" spans="1:5">
      <c r="A113" s="46"/>
      <c r="E113" s="46"/>
    </row>
    <row r="114" spans="1:5">
      <c r="A114" s="46"/>
      <c r="E114" s="46"/>
    </row>
    <row r="115" spans="1:5">
      <c r="A115" s="46"/>
      <c r="E115" s="46"/>
    </row>
    <row r="116" spans="1:5">
      <c r="A116" s="46"/>
      <c r="E116" s="46"/>
    </row>
    <row r="117" spans="1:5">
      <c r="A117" s="46"/>
      <c r="E117" s="46"/>
    </row>
    <row r="118" spans="1:5">
      <c r="A118" s="46"/>
      <c r="E118" s="46"/>
    </row>
    <row r="119" spans="1:5">
      <c r="A119" s="46"/>
      <c r="E119" s="46"/>
    </row>
    <row r="120" spans="1:5">
      <c r="A120" s="46"/>
      <c r="E120" s="46"/>
    </row>
    <row r="121" spans="1:5">
      <c r="A121" s="46"/>
      <c r="E121" s="46"/>
    </row>
    <row r="122" spans="1:5">
      <c r="A122" s="46"/>
      <c r="E122" s="46"/>
    </row>
    <row r="123" spans="1:5">
      <c r="A123" s="46"/>
      <c r="E123" s="46"/>
    </row>
    <row r="124" spans="1:5">
      <c r="A124" s="46"/>
      <c r="E124" s="46"/>
    </row>
    <row r="125" spans="1:5">
      <c r="A125" s="46"/>
      <c r="E125" s="46"/>
    </row>
    <row r="126" spans="1:5">
      <c r="A126" s="46"/>
      <c r="E126" s="46"/>
    </row>
    <row r="127" spans="1:5">
      <c r="A127" s="46"/>
      <c r="E127" s="46"/>
    </row>
    <row r="128" spans="1:5">
      <c r="A128" s="46"/>
      <c r="E128" s="46"/>
    </row>
    <row r="129" spans="1:5">
      <c r="A129" s="46"/>
      <c r="E129" s="46"/>
    </row>
    <row r="130" spans="1:5">
      <c r="A130" s="46"/>
      <c r="E130" s="46"/>
    </row>
    <row r="131" spans="1:5">
      <c r="A131" s="46"/>
      <c r="E131" s="46"/>
    </row>
    <row r="132" spans="1:5">
      <c r="A132" s="46"/>
      <c r="E132" s="46"/>
    </row>
    <row r="133" spans="1:5">
      <c r="A133" s="46"/>
      <c r="E133" s="46"/>
    </row>
    <row r="134" spans="1:5">
      <c r="A134" s="46"/>
      <c r="E134" s="46"/>
    </row>
    <row r="135" spans="1:5">
      <c r="A135" s="46"/>
      <c r="E135" s="46"/>
    </row>
    <row r="136" spans="1:5">
      <c r="A136" s="46"/>
      <c r="E136" s="46"/>
    </row>
    <row r="137" spans="1:5">
      <c r="A137" s="46"/>
      <c r="E137" s="46"/>
    </row>
    <row r="138" spans="1:5">
      <c r="A138" s="46"/>
      <c r="E138" s="46"/>
    </row>
    <row r="139" spans="1:5">
      <c r="A139" s="46"/>
      <c r="E139" s="46"/>
    </row>
    <row r="140" spans="1:5">
      <c r="A140" s="46"/>
      <c r="E140" s="46"/>
    </row>
    <row r="141" spans="1:5">
      <c r="A141" s="46"/>
      <c r="E141" s="46"/>
    </row>
    <row r="142" spans="1:5">
      <c r="A142" s="46"/>
      <c r="E142" s="46"/>
    </row>
    <row r="143" spans="1:5">
      <c r="A143" s="46"/>
      <c r="E143" s="46"/>
    </row>
    <row r="144" spans="1:5">
      <c r="A144" s="46"/>
      <c r="E144" s="46"/>
    </row>
    <row r="145" spans="1:5">
      <c r="A145" s="46"/>
      <c r="E145" s="46"/>
    </row>
    <row r="146" spans="1:5">
      <c r="A146" s="46"/>
      <c r="E146" s="46"/>
    </row>
    <row r="147" spans="1:5">
      <c r="A147" s="46"/>
      <c r="E147" s="46"/>
    </row>
    <row r="148" spans="1:5">
      <c r="A148" s="46"/>
      <c r="E148" s="46"/>
    </row>
    <row r="149" spans="1:5">
      <c r="A149" s="46"/>
      <c r="E149" s="46"/>
    </row>
    <row r="150" spans="1:5">
      <c r="A150" s="46"/>
      <c r="E150" s="46"/>
    </row>
    <row r="151" spans="1:5">
      <c r="A151" s="46"/>
      <c r="E151" s="46"/>
    </row>
  </sheetData>
  <mergeCells count="2">
    <mergeCell ref="B31:D31"/>
    <mergeCell ref="F31:F32"/>
  </mergeCells>
  <phoneticPr fontId="46" type="noConversion"/>
  <hyperlinks>
    <hyperlink ref="K1" location="Index!A1" display="index" xr:uid="{0D5D6FDD-8A88-4460-A020-F843933A628F}"/>
  </hyperlinks>
  <pageMargins left="0.7" right="0.7" top="0.75" bottom="0.75" header="0.3" footer="0.3"/>
  <pageSetup orientation="portrait" horizontalDpi="1200" verticalDpi="1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50</vt:i4>
      </vt:variant>
    </vt:vector>
  </HeadingPairs>
  <TitlesOfParts>
    <vt:vector size="50" baseType="lpstr">
      <vt:lpstr>Index</vt:lpstr>
      <vt:lpstr>1-Prog</vt:lpstr>
      <vt:lpstr>2-Rates</vt:lpstr>
      <vt:lpstr>3-Kak</vt:lpstr>
      <vt:lpstr>4-Prog</vt:lpstr>
      <vt:lpstr>5-Top</vt:lpstr>
      <vt:lpstr>6-Red</vt:lpstr>
      <vt:lpstr>7-RS</vt:lpstr>
      <vt:lpstr>8-Redist</vt:lpstr>
      <vt:lpstr>A1-Tx</vt:lpstr>
      <vt:lpstr>B1-Elast</vt:lpstr>
      <vt:lpstr>B2-RdTr</vt:lpstr>
      <vt:lpstr>B3-Top</vt:lpstr>
      <vt:lpstr>B4-Top</vt:lpstr>
      <vt:lpstr>B5-PrVsRd</vt:lpstr>
      <vt:lpstr>B6-SL</vt:lpstr>
      <vt:lpstr>B7-SZ</vt:lpstr>
      <vt:lpstr>C0-PrVsRd</vt:lpstr>
      <vt:lpstr>C1-RdTrAlt</vt:lpstr>
      <vt:lpstr>C2-NetEl</vt:lpstr>
      <vt:lpstr>C3-EDI</vt:lpstr>
      <vt:lpstr>C4a-RSalt1</vt:lpstr>
      <vt:lpstr>C4b-RSalt2</vt:lpstr>
      <vt:lpstr>C4c-RSalt3</vt:lpstr>
      <vt:lpstr>C4d-RSalt4</vt:lpstr>
      <vt:lpstr>C5-SS</vt:lpstr>
      <vt:lpstr>C6-Top</vt:lpstr>
      <vt:lpstr>C7-Trans</vt:lpstr>
      <vt:lpstr>C8-Suits</vt:lpstr>
      <vt:lpstr>C9-KakMid</vt:lpstr>
      <vt:lpstr>C10a-KakIC</vt:lpstr>
      <vt:lpstr>C10b-KakNIC</vt:lpstr>
      <vt:lpstr>C10c-KakCredits</vt:lpstr>
      <vt:lpstr>C11-TCJA</vt:lpstr>
      <vt:lpstr>CBO data</vt:lpstr>
      <vt:lpstr>TxRt</vt:lpstr>
      <vt:lpstr>Dem</vt:lpstr>
      <vt:lpstr>Inc</vt:lpstr>
      <vt:lpstr>Tax</vt:lpstr>
      <vt:lpstr>Shares</vt:lpstr>
      <vt:lpstr>Trans</vt:lpstr>
      <vt:lpstr>HH inc</vt:lpstr>
      <vt:lpstr>JCT</vt:lpstr>
      <vt:lpstr>OTA</vt:lpstr>
      <vt:lpstr>NoTax</vt:lpstr>
      <vt:lpstr>SZ data</vt:lpstr>
      <vt:lpstr>PikettySaez</vt:lpstr>
      <vt:lpstr>AS</vt:lpstr>
      <vt:lpstr>AS-top</vt:lpstr>
      <vt:lpstr>longrun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david.splinter</dc:creator>
  <cp:lastModifiedBy>Splinter, David</cp:lastModifiedBy>
  <cp:lastPrinted>2019-09-25T21:53:36Z</cp:lastPrinted>
  <dcterms:created xsi:type="dcterms:W3CDTF">2019-09-12T18:06:26Z</dcterms:created>
  <dcterms:modified xsi:type="dcterms:W3CDTF">2020-09-15T14:49:04Z</dcterms:modified>
</cp:coreProperties>
</file>